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harts/chart2.xml" ContentType="application/vnd.openxmlformats-officedocument.drawingml.chart+xml"/>
  <Override PartName="/xl/comments24.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omments25.xml" ContentType="application/vnd.openxmlformats-officedocument.spreadsheetml.comments+xml"/>
  <Override PartName="/xl/drawings/drawing4.xml" ContentType="application/vnd.openxmlformats-officedocument.drawing+xml"/>
  <Override PartName="/xl/comments26.xml" ContentType="application/vnd.openxmlformats-officedocument.spreadsheetml.comment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C:\Users\asalimi\Downloads\Appendix Folder\"/>
    </mc:Choice>
  </mc:AlternateContent>
  <xr:revisionPtr revIDLastSave="0" documentId="13_ncr:1_{90CCDD6C-643C-4A33-BC3D-DA6699832A1C}" xr6:coauthVersionLast="45" xr6:coauthVersionMax="45" xr10:uidLastSave="{00000000-0000-0000-0000-000000000000}"/>
  <bookViews>
    <workbookView xWindow="28680" yWindow="-120" windowWidth="29040" windowHeight="15840" tabRatio="854" xr2:uid="{00000000-000D-0000-FFFF-FFFF00000000}"/>
  </bookViews>
  <sheets>
    <sheet name="ReadMe" sheetId="110" r:id="rId1"/>
    <sheet name="Summary" sheetId="109" r:id="rId2"/>
    <sheet name="SCCRedFacsFull" sheetId="103" r:id="rId3"/>
    <sheet name="SCCRedFacs2019" sheetId="149" r:id="rId4"/>
    <sheet name="SCCRedFacs2020" sheetId="83" r:id="rId5"/>
    <sheet name="SCCRedFacs2021" sheetId="143" r:id="rId6"/>
    <sheet name="SCCRedFacs2022" sheetId="144" r:id="rId7"/>
    <sheet name="SCCRedFacs2023" sheetId="84" r:id="rId8"/>
    <sheet name="SCCRedFacs2024" sheetId="145" r:id="rId9"/>
    <sheet name="SCCRedFacs2025" sheetId="146" r:id="rId10"/>
    <sheet name="SCCRedFacs2026" sheetId="85" r:id="rId11"/>
    <sheet name="SCCRedFacs2027" sheetId="147" r:id="rId12"/>
    <sheet name="SCCRedFacs2028" sheetId="148" r:id="rId13"/>
    <sheet name="SCCRedFacs2029" sheetId="75" r:id="rId14"/>
    <sheet name="STF-12" sheetId="41" r:id="rId15"/>
    <sheet name="STF-13" sheetId="49" r:id="rId16"/>
    <sheet name="STF-17" sheetId="46" r:id="rId17"/>
    <sheet name="BACM-R8" sheetId="69" r:id="rId18"/>
    <sheet name="BACM-48" sheetId="76" r:id="rId19"/>
    <sheet name="STF-22" sheetId="70" r:id="rId20"/>
    <sheet name="STF-23" sheetId="72" r:id="rId21"/>
    <sheet name="CM-SerSIP" sheetId="78" r:id="rId22"/>
    <sheet name="CMRevSIP2021" sheetId="151" r:id="rId23"/>
    <sheet name="CMRevSIP2022" sheetId="152" r:id="rId24"/>
    <sheet name="CMRevSIP2023" sheetId="153" r:id="rId25"/>
    <sheet name="CMRevSIP2024" sheetId="154" r:id="rId26"/>
    <sheet name="CMRevSIP2025" sheetId="155" r:id="rId27"/>
    <sheet name="CMRevSIP2026" sheetId="156" r:id="rId28"/>
    <sheet name="WSCOReductions-5PctSIP" sheetId="135" r:id="rId29"/>
    <sheet name="WSCOReductions-SerSIP" sheetId="68" r:id="rId30"/>
    <sheet name="CurtailCalcsFull-2Stage" sheetId="57" r:id="rId31"/>
    <sheet name="CurtailCalcs2019-2Stage" sheetId="150" r:id="rId32"/>
    <sheet name="CurtailCalcs2020-2Stage" sheetId="104" r:id="rId33"/>
    <sheet name="CurtailCalcs2021-2Stage" sheetId="138" r:id="rId34"/>
    <sheet name="CurtailCalcs2022-2Stage" sheetId="137" r:id="rId35"/>
    <sheet name="CurtailCalcs2023-2Stage" sheetId="105" r:id="rId36"/>
    <sheet name="CurtailCalcs2024-2Stage" sheetId="139" r:id="rId37"/>
    <sheet name="CurtailCalcs2025-2Stage" sheetId="140" r:id="rId38"/>
    <sheet name="CurtailCalcs2026-2Stage" sheetId="106" r:id="rId39"/>
    <sheet name="CurtailCalcs2027-2Stage" sheetId="141" r:id="rId40"/>
    <sheet name="CurtailCalcs2028-2Stage" sheetId="142" r:id="rId41"/>
    <sheet name="CurtailCalcs2029-2Stage" sheetId="107" r:id="rId42"/>
    <sheet name="CurtailCalcs2032-2Stage" sheetId="108" r:id="rId43"/>
    <sheet name="Devices" sheetId="26" r:id="rId44"/>
    <sheet name="BuildSizeG3C" sheetId="71" r:id="rId45"/>
    <sheet name="EFs-BTU" sheetId="14" r:id="rId46"/>
    <sheet name="TabsAll" sheetId="42" r:id="rId47"/>
    <sheet name="HHSurveyG2" sheetId="44" r:id="rId48"/>
    <sheet name="Lookup" sheetId="34" r:id="rId49"/>
    <sheet name="DevSumOut-2019BSR" sheetId="111" r:id="rId50"/>
    <sheet name="DevSumOut-2020BSR" sheetId="112" r:id="rId51"/>
    <sheet name="DevSumOut-2021BSR" sheetId="113" r:id="rId52"/>
    <sheet name="DevSumOut-2022BSR" sheetId="114" r:id="rId53"/>
    <sheet name="DevSumOut-2023BSR" sheetId="115" r:id="rId54"/>
    <sheet name="DevSumOut-2024BSR" sheetId="116" r:id="rId55"/>
    <sheet name="DevSumOut-2025BSR" sheetId="117" r:id="rId56"/>
    <sheet name="DevSumOut-2026BSR" sheetId="118" r:id="rId57"/>
    <sheet name="DevSumOut-2027BSR" sheetId="119" r:id="rId58"/>
    <sheet name="DevSumOut-2028BSR" sheetId="120" r:id="rId59"/>
    <sheet name="DevSumOut-2029BSR" sheetId="121" r:id="rId60"/>
    <sheet name="ZipOutNA-2019BSR" sheetId="123" r:id="rId61"/>
    <sheet name="ZipOutNA-2020BSR" sheetId="124" r:id="rId62"/>
    <sheet name="ZipOutNA-2021BSR" sheetId="125" r:id="rId63"/>
    <sheet name="ZipOutNA-2022BSR" sheetId="126" r:id="rId64"/>
    <sheet name="ZipOutNA-2023BSR" sheetId="127" r:id="rId65"/>
    <sheet name="ZipOutNA-2024BSR" sheetId="128" r:id="rId66"/>
    <sheet name="ZipOutNA-2025BSR" sheetId="129" r:id="rId67"/>
    <sheet name="ZipOutNA-2026BSR" sheetId="130" r:id="rId68"/>
    <sheet name="ZipOutNA-2027BSR" sheetId="131" r:id="rId69"/>
    <sheet name="ZipOutNA-2028BSR" sheetId="132" r:id="rId70"/>
    <sheet name="ZipOutNA-2029BSR" sheetId="133" r:id="rId71"/>
    <sheet name="AQCZSplits" sheetId="61" r:id="rId72"/>
    <sheet name="Ph2HHs" sheetId="136" r:id="rId73"/>
    <sheet name="Episodes" sheetId="58" r:id="rId74"/>
    <sheet name="ULSEFs" sheetId="43" r:id="rId75"/>
    <sheet name="Moisture" sheetId="35" r:id="rId76"/>
  </sheets>
  <externalReferences>
    <externalReference r:id="rId77"/>
  </externalReferences>
  <definedNames>
    <definedName name="_xlnm._FilterDatabase" localSheetId="49" hidden="1">'DevSumOut-2019BSR'!$A$1:$W$26</definedName>
    <definedName name="_xlnm._FilterDatabase" localSheetId="50" hidden="1">'DevSumOut-2020BSR'!$A$1:$W$26</definedName>
    <definedName name="_xlnm._FilterDatabase" localSheetId="51" hidden="1">'DevSumOut-2021BSR'!$A$1:$W$26</definedName>
    <definedName name="_xlnm._FilterDatabase" localSheetId="52" hidden="1">'DevSumOut-2022BSR'!$A$1:$W$26</definedName>
    <definedName name="_xlnm._FilterDatabase" localSheetId="53" hidden="1">'DevSumOut-2023BSR'!$A$1:$W$26</definedName>
    <definedName name="_xlnm._FilterDatabase" localSheetId="54" hidden="1">'DevSumOut-2024BSR'!$A$1:$W$26</definedName>
    <definedName name="_xlnm._FilterDatabase" localSheetId="55" hidden="1">'DevSumOut-2025BSR'!$A$1:$W$26</definedName>
    <definedName name="_xlnm._FilterDatabase" localSheetId="56" hidden="1">'DevSumOut-2026BSR'!$A$1:$W$26</definedName>
    <definedName name="_xlnm._FilterDatabase" localSheetId="57" hidden="1">'DevSumOut-2027BSR'!$A$1:$W$26</definedName>
    <definedName name="_xlnm._FilterDatabase" localSheetId="58" hidden="1">'DevSumOut-2028BSR'!$A$1:$W$26</definedName>
    <definedName name="_xlnm._FilterDatabase" localSheetId="59" hidden="1">'DevSumOut-2029BSR'!$A$1:$W$26</definedName>
    <definedName name="_xlnm._FilterDatabase" localSheetId="72" hidden="1">Ph2HHs!$A$3:$J$117</definedName>
    <definedName name="BTUEFs">'EFs-BTU'!$B$37:$N$64</definedName>
    <definedName name="ConvLoss">Moisture!$T$13</definedName>
    <definedName name="CYr">Moisture!$B$50</definedName>
    <definedName name="DevTechFracs">[1]HHSurvey!$N$48:$Q$63</definedName>
    <definedName name="EpData">Episodes!$A$5:$AG$39</definedName>
    <definedName name="ExAir">Moisture!$T$12</definedName>
    <definedName name="HHVOD">Moisture!$M$22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thrEFs">'EFs-BTU'!$B$54:$N$66</definedName>
    <definedName name="_xlnm.Print_Area" localSheetId="29">'WSCOReductions-SerSIP'!$S$1:$AM$36</definedName>
    <definedName name="_xlnm.Print_Titles" localSheetId="14">'STF-12'!$1:$5</definedName>
    <definedName name="solver_adj" localSheetId="19" hidden="1">'STF-22'!$G$100</definedName>
    <definedName name="solver_eng" localSheetId="19" hidden="1">1</definedName>
    <definedName name="solver_neg" localSheetId="19" hidden="1">1</definedName>
    <definedName name="solver_num" localSheetId="19" hidden="1">0</definedName>
    <definedName name="solver_opt" localSheetId="19" hidden="1">'STF-22'!#REF!</definedName>
    <definedName name="solver_typ" localSheetId="19" hidden="1">3</definedName>
    <definedName name="solver_val" localSheetId="19" hidden="1">0</definedName>
    <definedName name="solver_ver" localSheetId="19" hidden="1">3</definedName>
    <definedName name="Ts">Moisture!$T$11</definedName>
    <definedName name="Tw">Moisture!$T$10</definedName>
    <definedName name="WoodEFs">'EFs-BTU'!$B$37:$N$49</definedName>
    <definedName name="Year">SCCRedFacsFull!$B$2</definedName>
  </definedNames>
  <calcPr calcId="191028"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0" i="156" l="1"/>
  <c r="AA39" i="156"/>
  <c r="W39" i="156"/>
  <c r="C7" i="156"/>
  <c r="AA4" i="156"/>
  <c r="W4" i="156"/>
  <c r="S4" i="156"/>
  <c r="R4" i="156"/>
  <c r="Q4" i="156"/>
  <c r="O4" i="156"/>
  <c r="M4" i="156"/>
  <c r="K4" i="156"/>
  <c r="I4" i="156"/>
  <c r="G4" i="156"/>
  <c r="AJ3" i="156"/>
  <c r="W3" i="156"/>
  <c r="U3" i="156"/>
  <c r="S3" i="156"/>
  <c r="Q3" i="156"/>
  <c r="O3" i="156"/>
  <c r="M3" i="156"/>
  <c r="K3" i="156"/>
  <c r="I3" i="156"/>
  <c r="G3" i="156"/>
  <c r="W41" i="155"/>
  <c r="W40" i="155"/>
  <c r="AA39" i="155"/>
  <c r="W39" i="155"/>
  <c r="C7" i="155"/>
  <c r="AA4" i="155"/>
  <c r="W4" i="155"/>
  <c r="S4" i="155"/>
  <c r="R4" i="155"/>
  <c r="Q4" i="155"/>
  <c r="O4" i="155"/>
  <c r="M4" i="155"/>
  <c r="K4" i="155"/>
  <c r="I4" i="155"/>
  <c r="G4" i="155"/>
  <c r="AJ3" i="155"/>
  <c r="W3" i="155"/>
  <c r="U3" i="155"/>
  <c r="S3" i="155"/>
  <c r="Q3" i="155"/>
  <c r="O3" i="155"/>
  <c r="M3" i="155"/>
  <c r="K3" i="155"/>
  <c r="I3" i="155"/>
  <c r="G3" i="155"/>
  <c r="W40" i="154"/>
  <c r="AA39" i="154"/>
  <c r="W39" i="154"/>
  <c r="W41" i="154" s="1"/>
  <c r="C7" i="154"/>
  <c r="AA4" i="154"/>
  <c r="W4" i="154"/>
  <c r="S4" i="154"/>
  <c r="R4" i="154"/>
  <c r="Q4" i="154"/>
  <c r="O4" i="154"/>
  <c r="M4" i="154"/>
  <c r="K4" i="154"/>
  <c r="I4" i="154"/>
  <c r="G4" i="154"/>
  <c r="AJ3" i="154"/>
  <c r="W3" i="154"/>
  <c r="U3" i="154"/>
  <c r="S3" i="154"/>
  <c r="Q3" i="154"/>
  <c r="O3" i="154"/>
  <c r="M3" i="154"/>
  <c r="K3" i="154"/>
  <c r="I3" i="154"/>
  <c r="G3" i="154"/>
  <c r="W40" i="153"/>
  <c r="AA39" i="153"/>
  <c r="W39" i="153"/>
  <c r="W41" i="153" s="1"/>
  <c r="C7" i="153"/>
  <c r="AA4" i="153"/>
  <c r="W4" i="153"/>
  <c r="S4" i="153"/>
  <c r="R4" i="153"/>
  <c r="Q4" i="153"/>
  <c r="M4" i="153"/>
  <c r="I4" i="153"/>
  <c r="G4" i="153"/>
  <c r="AJ3" i="153"/>
  <c r="W3" i="153"/>
  <c r="U3" i="153"/>
  <c r="S3" i="153"/>
  <c r="Q3" i="153"/>
  <c r="O3" i="153"/>
  <c r="M3" i="153"/>
  <c r="K3" i="153"/>
  <c r="I3" i="153"/>
  <c r="G3" i="153"/>
  <c r="W40" i="152"/>
  <c r="AA39" i="152"/>
  <c r="W39" i="152"/>
  <c r="W41" i="152" s="1"/>
  <c r="C7" i="152"/>
  <c r="AA4" i="152"/>
  <c r="W4" i="152"/>
  <c r="S4" i="152"/>
  <c r="R4" i="152"/>
  <c r="Q4" i="152"/>
  <c r="M4" i="152"/>
  <c r="I4" i="152"/>
  <c r="AJ3" i="152"/>
  <c r="W3" i="152"/>
  <c r="U3" i="152"/>
  <c r="S3" i="152"/>
  <c r="Q3" i="152"/>
  <c r="O3" i="152"/>
  <c r="M3" i="152"/>
  <c r="K3" i="152"/>
  <c r="I3" i="152"/>
  <c r="G3" i="152"/>
  <c r="AA39" i="151"/>
  <c r="W40" i="151"/>
  <c r="W39" i="151"/>
  <c r="W41" i="151" s="1"/>
  <c r="C7" i="151"/>
  <c r="AA4" i="151"/>
  <c r="W4" i="151"/>
  <c r="S4" i="151"/>
  <c r="R4" i="151"/>
  <c r="Q4" i="151"/>
  <c r="M4" i="151"/>
  <c r="AJ3" i="151"/>
  <c r="W3" i="151"/>
  <c r="U3" i="151"/>
  <c r="S3" i="151"/>
  <c r="Q3" i="151"/>
  <c r="O3" i="151"/>
  <c r="M3" i="151"/>
  <c r="K3" i="151"/>
  <c r="I3" i="151"/>
  <c r="G3" i="151"/>
  <c r="C11" i="156"/>
  <c r="D10" i="153"/>
  <c r="C23" i="151"/>
  <c r="C25" i="154"/>
  <c r="C21" i="151"/>
  <c r="D22" i="153"/>
  <c r="D18" i="154"/>
  <c r="C27" i="153"/>
  <c r="D12" i="154"/>
  <c r="C21" i="154"/>
  <c r="D17" i="155"/>
  <c r="C16" i="151"/>
  <c r="D21" i="156"/>
  <c r="C10" i="156"/>
  <c r="C10" i="155"/>
  <c r="C14" i="155"/>
  <c r="D17" i="154"/>
  <c r="C23" i="155"/>
  <c r="C25" i="152"/>
  <c r="C18" i="151"/>
  <c r="D19" i="156"/>
  <c r="D27" i="154"/>
  <c r="D13" i="156"/>
  <c r="C19" i="154"/>
  <c r="D27" i="156"/>
  <c r="D12" i="153"/>
  <c r="C11" i="152"/>
  <c r="C15" i="156"/>
  <c r="D14" i="154"/>
  <c r="D26" i="156"/>
  <c r="D24" i="156"/>
  <c r="D13" i="152"/>
  <c r="D23" i="153"/>
  <c r="D26" i="154"/>
  <c r="D24" i="151"/>
  <c r="D12" i="156"/>
  <c r="C17" i="151"/>
  <c r="D18" i="152"/>
  <c r="C23" i="153"/>
  <c r="C27" i="154"/>
  <c r="D27" i="151"/>
  <c r="C11" i="155"/>
  <c r="D9" i="153"/>
  <c r="D15" i="156"/>
  <c r="C22" i="151"/>
  <c r="D9" i="151"/>
  <c r="D17" i="152"/>
  <c r="C26" i="156"/>
  <c r="C25" i="155"/>
  <c r="D13" i="153"/>
  <c r="C24" i="152"/>
  <c r="C20" i="155"/>
  <c r="D16" i="155"/>
  <c r="C15" i="151"/>
  <c r="C24" i="153"/>
  <c r="D17" i="151"/>
  <c r="D20" i="154"/>
  <c r="C20" i="152"/>
  <c r="D14" i="155"/>
  <c r="C16" i="152"/>
  <c r="C9" i="153"/>
  <c r="D11" i="153"/>
  <c r="C13" i="155"/>
  <c r="D23" i="154"/>
  <c r="D25" i="152"/>
  <c r="C16" i="153"/>
  <c r="C26" i="153"/>
  <c r="C19" i="153"/>
  <c r="D21" i="155"/>
  <c r="D11" i="155"/>
  <c r="C16" i="154"/>
  <c r="D12" i="151"/>
  <c r="D24" i="155"/>
  <c r="D16" i="153"/>
  <c r="D15" i="152"/>
  <c r="D16" i="151"/>
  <c r="C20" i="154"/>
  <c r="D9" i="154"/>
  <c r="D24" i="154"/>
  <c r="D16" i="156"/>
  <c r="D14" i="152"/>
  <c r="C16" i="155"/>
  <c r="C22" i="155"/>
  <c r="D15" i="154"/>
  <c r="C10" i="153"/>
  <c r="D21" i="151"/>
  <c r="C12" i="154"/>
  <c r="D27" i="152"/>
  <c r="C16" i="156"/>
  <c r="C18" i="154"/>
  <c r="D24" i="152"/>
  <c r="C12" i="156"/>
  <c r="D25" i="156"/>
  <c r="C15" i="154"/>
  <c r="C15" i="153"/>
  <c r="C9" i="151"/>
  <c r="D25" i="155"/>
  <c r="C22" i="152"/>
  <c r="D9" i="156"/>
  <c r="D20" i="152"/>
  <c r="C18" i="156"/>
  <c r="C15" i="155"/>
  <c r="D23" i="152"/>
  <c r="C10" i="154"/>
  <c r="D10" i="152"/>
  <c r="C14" i="152"/>
  <c r="C23" i="154"/>
  <c r="D16" i="154"/>
  <c r="D15" i="155"/>
  <c r="C17" i="153"/>
  <c r="D19" i="151"/>
  <c r="C11" i="153"/>
  <c r="D20" i="153"/>
  <c r="C22" i="154"/>
  <c r="D13" i="155"/>
  <c r="D19" i="154"/>
  <c r="D26" i="152"/>
  <c r="C23" i="156"/>
  <c r="C24" i="154"/>
  <c r="D10" i="154"/>
  <c r="D27" i="153"/>
  <c r="D22" i="154"/>
  <c r="D14" i="153"/>
  <c r="D21" i="154"/>
  <c r="C27" i="152"/>
  <c r="C20" i="153"/>
  <c r="C27" i="155"/>
  <c r="C10" i="152"/>
  <c r="C27" i="156"/>
  <c r="D15" i="151"/>
  <c r="D22" i="156"/>
  <c r="C13" i="153"/>
  <c r="D23" i="151"/>
  <c r="D11" i="156"/>
  <c r="D26" i="153"/>
  <c r="D10" i="156"/>
  <c r="D25" i="151"/>
  <c r="C26" i="151"/>
  <c r="C17" i="155"/>
  <c r="D20" i="156"/>
  <c r="C17" i="156"/>
  <c r="D25" i="154"/>
  <c r="D9" i="152"/>
  <c r="C21" i="153"/>
  <c r="D20" i="151"/>
  <c r="C19" i="151"/>
  <c r="C13" i="152"/>
  <c r="C20" i="151"/>
  <c r="D14" i="151"/>
  <c r="C11" i="154"/>
  <c r="C18" i="152"/>
  <c r="D19" i="152"/>
  <c r="C18" i="155"/>
  <c r="D26" i="151"/>
  <c r="C12" i="155"/>
  <c r="C22" i="153"/>
  <c r="C22" i="156"/>
  <c r="D18" i="156"/>
  <c r="D18" i="153"/>
  <c r="D19" i="155"/>
  <c r="C25" i="151"/>
  <c r="C19" i="156"/>
  <c r="D13" i="154"/>
  <c r="C9" i="155"/>
  <c r="D9" i="155"/>
  <c r="C21" i="156"/>
  <c r="D12" i="152"/>
  <c r="C21" i="152"/>
  <c r="D11" i="151"/>
  <c r="D25" i="153"/>
  <c r="C14" i="154"/>
  <c r="C12" i="151"/>
  <c r="C27" i="151"/>
  <c r="D23" i="155"/>
  <c r="D22" i="155"/>
  <c r="D16" i="152"/>
  <c r="C9" i="154"/>
  <c r="C19" i="155"/>
  <c r="C17" i="152"/>
  <c r="C9" i="156"/>
  <c r="D12" i="155"/>
  <c r="D24" i="153"/>
  <c r="C15" i="152"/>
  <c r="C14" i="156"/>
  <c r="C26" i="155"/>
  <c r="D19" i="153"/>
  <c r="C18" i="153"/>
  <c r="C24" i="155"/>
  <c r="D17" i="153"/>
  <c r="D27" i="155"/>
  <c r="D11" i="152"/>
  <c r="C20" i="156"/>
  <c r="C11" i="151"/>
  <c r="C26" i="152"/>
  <c r="D17" i="156"/>
  <c r="D23" i="156"/>
  <c r="C9" i="152"/>
  <c r="C24" i="156"/>
  <c r="D18" i="155"/>
  <c r="D11" i="154"/>
  <c r="C25" i="153"/>
  <c r="C24" i="151"/>
  <c r="D14" i="156"/>
  <c r="C13" i="156"/>
  <c r="C14" i="151"/>
  <c r="D10" i="155"/>
  <c r="D18" i="151"/>
  <c r="C26" i="154"/>
  <c r="D15" i="153"/>
  <c r="C25" i="156"/>
  <c r="D20" i="155"/>
  <c r="C10" i="151"/>
  <c r="C21" i="155"/>
  <c r="D13" i="151"/>
  <c r="D21" i="152"/>
  <c r="C19" i="152"/>
  <c r="D21" i="153"/>
  <c r="C23" i="152"/>
  <c r="D22" i="151"/>
  <c r="C17" i="154"/>
  <c r="D10" i="151"/>
  <c r="C14" i="153"/>
  <c r="D26" i="155"/>
  <c r="C13" i="154"/>
  <c r="C12" i="153"/>
  <c r="C12" i="152"/>
  <c r="C13" i="151"/>
  <c r="D22" i="152"/>
  <c r="C33" i="155" l="1"/>
  <c r="D33" i="155"/>
  <c r="C33" i="156"/>
  <c r="D33" i="156"/>
  <c r="D35" i="156"/>
  <c r="J36" i="156"/>
  <c r="C35" i="155"/>
  <c r="I36" i="155"/>
  <c r="J36" i="155"/>
  <c r="D35" i="155"/>
  <c r="I36" i="156"/>
  <c r="C35" i="156"/>
  <c r="W41" i="156"/>
  <c r="D33" i="153"/>
  <c r="C35" i="153"/>
  <c r="I36" i="153"/>
  <c r="D35" i="153"/>
  <c r="J36" i="153"/>
  <c r="D33" i="154"/>
  <c r="C33" i="153"/>
  <c r="C35" i="154"/>
  <c r="I36" i="154"/>
  <c r="D35" i="154"/>
  <c r="J36" i="154"/>
  <c r="C33" i="154"/>
  <c r="D33" i="152"/>
  <c r="C35" i="152"/>
  <c r="I36" i="152"/>
  <c r="D35" i="152"/>
  <c r="J36" i="152"/>
  <c r="C33" i="152"/>
  <c r="C33" i="151"/>
  <c r="D33" i="151"/>
  <c r="C35" i="151"/>
  <c r="I36" i="151"/>
  <c r="J36" i="151"/>
  <c r="D35" i="151"/>
  <c r="S40" i="34" l="1"/>
  <c r="BF36" i="135" l="1"/>
  <c r="BF35" i="135"/>
  <c r="BF34" i="135"/>
  <c r="BF33" i="135"/>
  <c r="BF32" i="135"/>
  <c r="BF31" i="135"/>
  <c r="BF30" i="135"/>
  <c r="BF29" i="135"/>
  <c r="BF28" i="135"/>
  <c r="BF27" i="135"/>
  <c r="BF26" i="135"/>
  <c r="BF25" i="135"/>
  <c r="BF24" i="135"/>
  <c r="BF23" i="135"/>
  <c r="BF22" i="135"/>
  <c r="BF21" i="135"/>
  <c r="BF20" i="135"/>
  <c r="BF19" i="135"/>
  <c r="BF18" i="135"/>
  <c r="BF17" i="135"/>
  <c r="AH36" i="135"/>
  <c r="AH34" i="135"/>
  <c r="AH32" i="135"/>
  <c r="AH31" i="135"/>
  <c r="AH30" i="135"/>
  <c r="AH29" i="135"/>
  <c r="AH28" i="135"/>
  <c r="AH27" i="135"/>
  <c r="AH26" i="135"/>
  <c r="AH24" i="135"/>
  <c r="AH22" i="135"/>
  <c r="AH21" i="135"/>
  <c r="AH20" i="135"/>
  <c r="AH19" i="135"/>
  <c r="AH18" i="135"/>
  <c r="AH17" i="135"/>
  <c r="BF5" i="135"/>
  <c r="AH5" i="135"/>
  <c r="BF15" i="135"/>
  <c r="BF14" i="135"/>
  <c r="BF13" i="135"/>
  <c r="BF12" i="135"/>
  <c r="BF11" i="135"/>
  <c r="BF10" i="135"/>
  <c r="BF9" i="135"/>
  <c r="BF8" i="135"/>
  <c r="BF7" i="135"/>
  <c r="AH15" i="135"/>
  <c r="AH14" i="135"/>
  <c r="AH13" i="135"/>
  <c r="AH12" i="135"/>
  <c r="AH11" i="135"/>
  <c r="AH10" i="135"/>
  <c r="AH9" i="135"/>
  <c r="AH8" i="135"/>
  <c r="AH7" i="135"/>
  <c r="K39" i="78" l="1"/>
  <c r="J39" i="78"/>
  <c r="K37" i="78"/>
  <c r="K36" i="78"/>
  <c r="U79" i="112" l="1"/>
  <c r="T79" i="112"/>
  <c r="S79" i="112"/>
  <c r="R79" i="112"/>
  <c r="Q79" i="112"/>
  <c r="P79" i="112"/>
  <c r="O79" i="112"/>
  <c r="N79" i="112"/>
  <c r="U78" i="112"/>
  <c r="T78" i="112"/>
  <c r="S78" i="112"/>
  <c r="R78" i="112"/>
  <c r="Q78" i="112"/>
  <c r="P78" i="112"/>
  <c r="O78" i="112"/>
  <c r="N78" i="112"/>
  <c r="U77" i="112"/>
  <c r="T77" i="112"/>
  <c r="S77" i="112"/>
  <c r="R77" i="112"/>
  <c r="R80" i="112" s="1"/>
  <c r="Q77" i="112"/>
  <c r="P77" i="112"/>
  <c r="O77" i="112"/>
  <c r="N77" i="112"/>
  <c r="U76" i="112"/>
  <c r="U80" i="112" s="1"/>
  <c r="T76" i="112"/>
  <c r="T80" i="112" s="1"/>
  <c r="S76" i="112"/>
  <c r="S80" i="112" s="1"/>
  <c r="R76" i="112"/>
  <c r="Q76" i="112"/>
  <c r="Q80" i="112" s="1"/>
  <c r="P76" i="112"/>
  <c r="P80" i="112" s="1"/>
  <c r="O76" i="112"/>
  <c r="O80" i="112" s="1"/>
  <c r="N76" i="112"/>
  <c r="N80" i="112" s="1"/>
  <c r="U75" i="112"/>
  <c r="T75" i="112"/>
  <c r="S75" i="112"/>
  <c r="R75" i="112"/>
  <c r="Q75" i="112"/>
  <c r="P75" i="112"/>
  <c r="O75" i="112"/>
  <c r="N75" i="112"/>
  <c r="U74" i="112"/>
  <c r="T74" i="112"/>
  <c r="S74" i="112"/>
  <c r="R74" i="112"/>
  <c r="Q74" i="112"/>
  <c r="P74" i="112"/>
  <c r="O74" i="112"/>
  <c r="N74" i="112"/>
  <c r="U79" i="113"/>
  <c r="T79" i="113"/>
  <c r="S79" i="113"/>
  <c r="R79" i="113"/>
  <c r="Q79" i="113"/>
  <c r="P79" i="113"/>
  <c r="O79" i="113"/>
  <c r="N79" i="113"/>
  <c r="U78" i="113"/>
  <c r="T78" i="113"/>
  <c r="S78" i="113"/>
  <c r="R78" i="113"/>
  <c r="Q78" i="113"/>
  <c r="P78" i="113"/>
  <c r="O78" i="113"/>
  <c r="N78" i="113"/>
  <c r="U77" i="113"/>
  <c r="U80" i="113" s="1"/>
  <c r="T77" i="113"/>
  <c r="S77" i="113"/>
  <c r="S80" i="113" s="1"/>
  <c r="R77" i="113"/>
  <c r="Q77" i="113"/>
  <c r="P77" i="113"/>
  <c r="O77" i="113"/>
  <c r="N77" i="113"/>
  <c r="N80" i="113" s="1"/>
  <c r="U76" i="113"/>
  <c r="T76" i="113"/>
  <c r="T80" i="113" s="1"/>
  <c r="S76" i="113"/>
  <c r="R76" i="113"/>
  <c r="R80" i="113" s="1"/>
  <c r="Q76" i="113"/>
  <c r="Q80" i="113" s="1"/>
  <c r="P76" i="113"/>
  <c r="P80" i="113" s="1"/>
  <c r="O76" i="113"/>
  <c r="O80" i="113" s="1"/>
  <c r="N76" i="113"/>
  <c r="U75" i="113"/>
  <c r="T75" i="113"/>
  <c r="S75" i="113"/>
  <c r="R75" i="113"/>
  <c r="Q75" i="113"/>
  <c r="P75" i="113"/>
  <c r="O75" i="113"/>
  <c r="N75" i="113"/>
  <c r="U74" i="113"/>
  <c r="T74" i="113"/>
  <c r="S74" i="113"/>
  <c r="R74" i="113"/>
  <c r="Q74" i="113"/>
  <c r="P74" i="113"/>
  <c r="O74" i="113"/>
  <c r="N74" i="113"/>
  <c r="U79" i="114"/>
  <c r="T79" i="114"/>
  <c r="S79" i="114"/>
  <c r="R79" i="114"/>
  <c r="Q79" i="114"/>
  <c r="P79" i="114"/>
  <c r="O79" i="114"/>
  <c r="N79" i="114"/>
  <c r="U78" i="114"/>
  <c r="T78" i="114"/>
  <c r="S78" i="114"/>
  <c r="R78" i="114"/>
  <c r="Q78" i="114"/>
  <c r="P78" i="114"/>
  <c r="O78" i="114"/>
  <c r="N78" i="114"/>
  <c r="U77" i="114"/>
  <c r="T77" i="114"/>
  <c r="S77" i="114"/>
  <c r="R77" i="114"/>
  <c r="Q77" i="114"/>
  <c r="Q80" i="114" s="1"/>
  <c r="P77" i="114"/>
  <c r="O77" i="114"/>
  <c r="O80" i="114" s="1"/>
  <c r="N77" i="114"/>
  <c r="U76" i="114"/>
  <c r="U80" i="114" s="1"/>
  <c r="T76" i="114"/>
  <c r="T80" i="114" s="1"/>
  <c r="S76" i="114"/>
  <c r="S80" i="114" s="1"/>
  <c r="R76" i="114"/>
  <c r="R80" i="114" s="1"/>
  <c r="Q76" i="114"/>
  <c r="P76" i="114"/>
  <c r="P80" i="114" s="1"/>
  <c r="O76" i="114"/>
  <c r="N76" i="114"/>
  <c r="N80" i="114" s="1"/>
  <c r="U75" i="114"/>
  <c r="T75" i="114"/>
  <c r="S75" i="114"/>
  <c r="R75" i="114"/>
  <c r="Q75" i="114"/>
  <c r="P75" i="114"/>
  <c r="O75" i="114"/>
  <c r="N75" i="114"/>
  <c r="U74" i="114"/>
  <c r="T74" i="114"/>
  <c r="S74" i="114"/>
  <c r="R74" i="114"/>
  <c r="Q74" i="114"/>
  <c r="P74" i="114"/>
  <c r="O74" i="114"/>
  <c r="N74" i="114"/>
  <c r="U79" i="115"/>
  <c r="T79" i="115"/>
  <c r="S79" i="115"/>
  <c r="R79" i="115"/>
  <c r="Q79" i="115"/>
  <c r="P79" i="115"/>
  <c r="O79" i="115"/>
  <c r="N79" i="115"/>
  <c r="U78" i="115"/>
  <c r="T78" i="115"/>
  <c r="S78" i="115"/>
  <c r="R78" i="115"/>
  <c r="Q78" i="115"/>
  <c r="P78" i="115"/>
  <c r="O78" i="115"/>
  <c r="N78" i="115"/>
  <c r="U77" i="115"/>
  <c r="T77" i="115"/>
  <c r="S77" i="115"/>
  <c r="R77" i="115"/>
  <c r="R80" i="115" s="1"/>
  <c r="Q77" i="115"/>
  <c r="P77" i="115"/>
  <c r="O77" i="115"/>
  <c r="N77" i="115"/>
  <c r="U76" i="115"/>
  <c r="U80" i="115" s="1"/>
  <c r="T76" i="115"/>
  <c r="T80" i="115" s="1"/>
  <c r="S76" i="115"/>
  <c r="S80" i="115" s="1"/>
  <c r="R76" i="115"/>
  <c r="Q76" i="115"/>
  <c r="Q80" i="115" s="1"/>
  <c r="P76" i="115"/>
  <c r="P80" i="115" s="1"/>
  <c r="O76" i="115"/>
  <c r="O80" i="115" s="1"/>
  <c r="N76" i="115"/>
  <c r="N80" i="115" s="1"/>
  <c r="U75" i="115"/>
  <c r="T75" i="115"/>
  <c r="S75" i="115"/>
  <c r="R75" i="115"/>
  <c r="Q75" i="115"/>
  <c r="P75" i="115"/>
  <c r="O75" i="115"/>
  <c r="N75" i="115"/>
  <c r="U74" i="115"/>
  <c r="T74" i="115"/>
  <c r="S74" i="115"/>
  <c r="R74" i="115"/>
  <c r="Q74" i="115"/>
  <c r="P74" i="115"/>
  <c r="O74" i="115"/>
  <c r="N74" i="115"/>
  <c r="U79" i="116"/>
  <c r="T79" i="116"/>
  <c r="S79" i="116"/>
  <c r="R79" i="116"/>
  <c r="Q79" i="116"/>
  <c r="P79" i="116"/>
  <c r="O79" i="116"/>
  <c r="N79" i="116"/>
  <c r="U78" i="116"/>
  <c r="T78" i="116"/>
  <c r="S78" i="116"/>
  <c r="R78" i="116"/>
  <c r="Q78" i="116"/>
  <c r="P78" i="116"/>
  <c r="O78" i="116"/>
  <c r="N78" i="116"/>
  <c r="U77" i="116"/>
  <c r="U80" i="116" s="1"/>
  <c r="T77" i="116"/>
  <c r="S77" i="116"/>
  <c r="S80" i="116" s="1"/>
  <c r="R77" i="116"/>
  <c r="Q77" i="116"/>
  <c r="P77" i="116"/>
  <c r="O77" i="116"/>
  <c r="N77" i="116"/>
  <c r="N80" i="116" s="1"/>
  <c r="U76" i="116"/>
  <c r="T76" i="116"/>
  <c r="T80" i="116" s="1"/>
  <c r="S76" i="116"/>
  <c r="R76" i="116"/>
  <c r="R80" i="116" s="1"/>
  <c r="Q76" i="116"/>
  <c r="Q80" i="116" s="1"/>
  <c r="P76" i="116"/>
  <c r="P80" i="116" s="1"/>
  <c r="O76" i="116"/>
  <c r="O80" i="116" s="1"/>
  <c r="N76" i="116"/>
  <c r="U75" i="116"/>
  <c r="T75" i="116"/>
  <c r="S75" i="116"/>
  <c r="R75" i="116"/>
  <c r="Q75" i="116"/>
  <c r="P75" i="116"/>
  <c r="O75" i="116"/>
  <c r="N75" i="116"/>
  <c r="U74" i="116"/>
  <c r="T74" i="116"/>
  <c r="S74" i="116"/>
  <c r="R74" i="116"/>
  <c r="Q74" i="116"/>
  <c r="P74" i="116"/>
  <c r="O74" i="116"/>
  <c r="N74" i="116"/>
  <c r="U79" i="117"/>
  <c r="T79" i="117"/>
  <c r="S79" i="117"/>
  <c r="R79" i="117"/>
  <c r="Q79" i="117"/>
  <c r="P79" i="117"/>
  <c r="O79" i="117"/>
  <c r="N79" i="117"/>
  <c r="U78" i="117"/>
  <c r="T78" i="117"/>
  <c r="S78" i="117"/>
  <c r="R78" i="117"/>
  <c r="Q78" i="117"/>
  <c r="P78" i="117"/>
  <c r="O78" i="117"/>
  <c r="N78" i="117"/>
  <c r="U77" i="117"/>
  <c r="T77" i="117"/>
  <c r="S77" i="117"/>
  <c r="R77" i="117"/>
  <c r="Q77" i="117"/>
  <c r="Q80" i="117" s="1"/>
  <c r="P77" i="117"/>
  <c r="O77" i="117"/>
  <c r="O80" i="117" s="1"/>
  <c r="N77" i="117"/>
  <c r="U76" i="117"/>
  <c r="U80" i="117" s="1"/>
  <c r="T76" i="117"/>
  <c r="T80" i="117" s="1"/>
  <c r="S76" i="117"/>
  <c r="S80" i="117" s="1"/>
  <c r="R76" i="117"/>
  <c r="R80" i="117" s="1"/>
  <c r="Q76" i="117"/>
  <c r="P76" i="117"/>
  <c r="P80" i="117" s="1"/>
  <c r="O76" i="117"/>
  <c r="N76" i="117"/>
  <c r="N80" i="117" s="1"/>
  <c r="U75" i="117"/>
  <c r="T75" i="117"/>
  <c r="S75" i="117"/>
  <c r="R75" i="117"/>
  <c r="Q75" i="117"/>
  <c r="P75" i="117"/>
  <c r="O75" i="117"/>
  <c r="N75" i="117"/>
  <c r="U74" i="117"/>
  <c r="T74" i="117"/>
  <c r="S74" i="117"/>
  <c r="R74" i="117"/>
  <c r="Q74" i="117"/>
  <c r="P74" i="117"/>
  <c r="O74" i="117"/>
  <c r="N74" i="117"/>
  <c r="U79" i="118"/>
  <c r="T79" i="118"/>
  <c r="S79" i="118"/>
  <c r="R79" i="118"/>
  <c r="Q79" i="118"/>
  <c r="P79" i="118"/>
  <c r="O79" i="118"/>
  <c r="N79" i="118"/>
  <c r="U78" i="118"/>
  <c r="T78" i="118"/>
  <c r="S78" i="118"/>
  <c r="R78" i="118"/>
  <c r="Q78" i="118"/>
  <c r="P78" i="118"/>
  <c r="O78" i="118"/>
  <c r="N78" i="118"/>
  <c r="U77" i="118"/>
  <c r="T77" i="118"/>
  <c r="S77" i="118"/>
  <c r="R77" i="118"/>
  <c r="R80" i="118" s="1"/>
  <c r="Q77" i="118"/>
  <c r="P77" i="118"/>
  <c r="O77" i="118"/>
  <c r="N77" i="118"/>
  <c r="U76" i="118"/>
  <c r="U80" i="118" s="1"/>
  <c r="T76" i="118"/>
  <c r="T80" i="118" s="1"/>
  <c r="S76" i="118"/>
  <c r="S80" i="118" s="1"/>
  <c r="R76" i="118"/>
  <c r="Q76" i="118"/>
  <c r="Q80" i="118" s="1"/>
  <c r="P76" i="118"/>
  <c r="P80" i="118" s="1"/>
  <c r="O76" i="118"/>
  <c r="O80" i="118" s="1"/>
  <c r="N76" i="118"/>
  <c r="N80" i="118" s="1"/>
  <c r="U75" i="118"/>
  <c r="T75" i="118"/>
  <c r="S75" i="118"/>
  <c r="R75" i="118"/>
  <c r="Q75" i="118"/>
  <c r="P75" i="118"/>
  <c r="O75" i="118"/>
  <c r="N75" i="118"/>
  <c r="U74" i="118"/>
  <c r="T74" i="118"/>
  <c r="S74" i="118"/>
  <c r="R74" i="118"/>
  <c r="Q74" i="118"/>
  <c r="P74" i="118"/>
  <c r="O74" i="118"/>
  <c r="N74" i="118"/>
  <c r="S80" i="119"/>
  <c r="U79" i="119"/>
  <c r="T79" i="119"/>
  <c r="S79" i="119"/>
  <c r="R79" i="119"/>
  <c r="Q79" i="119"/>
  <c r="P79" i="119"/>
  <c r="O79" i="119"/>
  <c r="N79" i="119"/>
  <c r="U78" i="119"/>
  <c r="T78" i="119"/>
  <c r="S78" i="119"/>
  <c r="R78" i="119"/>
  <c r="Q78" i="119"/>
  <c r="P78" i="119"/>
  <c r="O78" i="119"/>
  <c r="N78" i="119"/>
  <c r="U77" i="119"/>
  <c r="U80" i="119" s="1"/>
  <c r="T77" i="119"/>
  <c r="S77" i="119"/>
  <c r="R77" i="119"/>
  <c r="Q77" i="119"/>
  <c r="P77" i="119"/>
  <c r="O77" i="119"/>
  <c r="N77" i="119"/>
  <c r="N80" i="119" s="1"/>
  <c r="U76" i="119"/>
  <c r="T76" i="119"/>
  <c r="T80" i="119" s="1"/>
  <c r="S76" i="119"/>
  <c r="R76" i="119"/>
  <c r="R80" i="119" s="1"/>
  <c r="Q76" i="119"/>
  <c r="Q80" i="119" s="1"/>
  <c r="P76" i="119"/>
  <c r="P80" i="119" s="1"/>
  <c r="O76" i="119"/>
  <c r="O80" i="119" s="1"/>
  <c r="N76" i="119"/>
  <c r="U75" i="119"/>
  <c r="T75" i="119"/>
  <c r="S75" i="119"/>
  <c r="R75" i="119"/>
  <c r="Q75" i="119"/>
  <c r="P75" i="119"/>
  <c r="O75" i="119"/>
  <c r="N75" i="119"/>
  <c r="U74" i="119"/>
  <c r="T74" i="119"/>
  <c r="S74" i="119"/>
  <c r="R74" i="119"/>
  <c r="Q74" i="119"/>
  <c r="P74" i="119"/>
  <c r="O74" i="119"/>
  <c r="N74" i="119"/>
  <c r="U79" i="120"/>
  <c r="T79" i="120"/>
  <c r="S79" i="120"/>
  <c r="R79" i="120"/>
  <c r="Q79" i="120"/>
  <c r="P79" i="120"/>
  <c r="O79" i="120"/>
  <c r="N79" i="120"/>
  <c r="U78" i="120"/>
  <c r="T78" i="120"/>
  <c r="S78" i="120"/>
  <c r="R78" i="120"/>
  <c r="Q78" i="120"/>
  <c r="P78" i="120"/>
  <c r="O78" i="120"/>
  <c r="N78" i="120"/>
  <c r="U77" i="120"/>
  <c r="T77" i="120"/>
  <c r="S77" i="120"/>
  <c r="R77" i="120"/>
  <c r="Q77" i="120"/>
  <c r="Q80" i="120" s="1"/>
  <c r="P77" i="120"/>
  <c r="O77" i="120"/>
  <c r="O80" i="120" s="1"/>
  <c r="N77" i="120"/>
  <c r="U76" i="120"/>
  <c r="U80" i="120" s="1"/>
  <c r="T76" i="120"/>
  <c r="T80" i="120" s="1"/>
  <c r="S76" i="120"/>
  <c r="S80" i="120" s="1"/>
  <c r="R76" i="120"/>
  <c r="R80" i="120" s="1"/>
  <c r="Q76" i="120"/>
  <c r="P76" i="120"/>
  <c r="P80" i="120" s="1"/>
  <c r="O76" i="120"/>
  <c r="N76" i="120"/>
  <c r="N80" i="120" s="1"/>
  <c r="U75" i="120"/>
  <c r="T75" i="120"/>
  <c r="S75" i="120"/>
  <c r="R75" i="120"/>
  <c r="Q75" i="120"/>
  <c r="P75" i="120"/>
  <c r="O75" i="120"/>
  <c r="N75" i="120"/>
  <c r="U74" i="120"/>
  <c r="T74" i="120"/>
  <c r="S74" i="120"/>
  <c r="R74" i="120"/>
  <c r="Q74" i="120"/>
  <c r="P74" i="120"/>
  <c r="O74" i="120"/>
  <c r="N74" i="120"/>
  <c r="U79" i="121"/>
  <c r="T79" i="121"/>
  <c r="S79" i="121"/>
  <c r="R79" i="121"/>
  <c r="Q79" i="121"/>
  <c r="P79" i="121"/>
  <c r="O79" i="121"/>
  <c r="N79" i="121"/>
  <c r="U78" i="121"/>
  <c r="T78" i="121"/>
  <c r="S78" i="121"/>
  <c r="R78" i="121"/>
  <c r="Q78" i="121"/>
  <c r="P78" i="121"/>
  <c r="O78" i="121"/>
  <c r="N78" i="121"/>
  <c r="U77" i="121"/>
  <c r="T77" i="121"/>
  <c r="S77" i="121"/>
  <c r="R77" i="121"/>
  <c r="R80" i="121" s="1"/>
  <c r="Q77" i="121"/>
  <c r="P77" i="121"/>
  <c r="O77" i="121"/>
  <c r="N77" i="121"/>
  <c r="U76" i="121"/>
  <c r="U80" i="121" s="1"/>
  <c r="T76" i="121"/>
  <c r="T80" i="121" s="1"/>
  <c r="S76" i="121"/>
  <c r="S80" i="121" s="1"/>
  <c r="R76" i="121"/>
  <c r="Q76" i="121"/>
  <c r="Q80" i="121" s="1"/>
  <c r="P76" i="121"/>
  <c r="P80" i="121" s="1"/>
  <c r="O76" i="121"/>
  <c r="O80" i="121" s="1"/>
  <c r="N76" i="121"/>
  <c r="N80" i="121" s="1"/>
  <c r="U75" i="121"/>
  <c r="T75" i="121"/>
  <c r="S75" i="121"/>
  <c r="R75" i="121"/>
  <c r="Q75" i="121"/>
  <c r="P75" i="121"/>
  <c r="O75" i="121"/>
  <c r="N75" i="121"/>
  <c r="U74" i="121"/>
  <c r="T74" i="121"/>
  <c r="S74" i="121"/>
  <c r="R74" i="121"/>
  <c r="Q74" i="121"/>
  <c r="P74" i="121"/>
  <c r="O74" i="121"/>
  <c r="N74" i="121"/>
  <c r="U79" i="111"/>
  <c r="T79" i="111"/>
  <c r="S79" i="111"/>
  <c r="R79" i="111"/>
  <c r="Q79" i="111"/>
  <c r="P79" i="111"/>
  <c r="O79" i="111"/>
  <c r="N79" i="111"/>
  <c r="U78" i="111"/>
  <c r="T78" i="111"/>
  <c r="S78" i="111"/>
  <c r="R78" i="111"/>
  <c r="Q78" i="111"/>
  <c r="P78" i="111"/>
  <c r="O78" i="111"/>
  <c r="N78" i="111"/>
  <c r="U77" i="111"/>
  <c r="T77" i="111"/>
  <c r="S77" i="111"/>
  <c r="R77" i="111"/>
  <c r="Q77" i="111"/>
  <c r="Q80" i="111" s="1"/>
  <c r="P77" i="111"/>
  <c r="O77" i="111"/>
  <c r="O80" i="111" s="1"/>
  <c r="N77" i="111"/>
  <c r="U76" i="111"/>
  <c r="U80" i="111" s="1"/>
  <c r="T76" i="111"/>
  <c r="T80" i="111" s="1"/>
  <c r="S76" i="111"/>
  <c r="S80" i="111" s="1"/>
  <c r="R76" i="111"/>
  <c r="R80" i="111" s="1"/>
  <c r="Q76" i="111"/>
  <c r="P76" i="111"/>
  <c r="P80" i="111" s="1"/>
  <c r="O76" i="111"/>
  <c r="N76" i="111"/>
  <c r="N80" i="111" s="1"/>
  <c r="U75" i="111"/>
  <c r="T75" i="111"/>
  <c r="S75" i="111"/>
  <c r="R75" i="111"/>
  <c r="Q75" i="111"/>
  <c r="P75" i="111"/>
  <c r="O75" i="111"/>
  <c r="N75" i="111"/>
  <c r="U74" i="111"/>
  <c r="T74" i="111"/>
  <c r="S74" i="111"/>
  <c r="R74" i="111"/>
  <c r="Q74" i="111"/>
  <c r="P74" i="111"/>
  <c r="O74" i="111"/>
  <c r="N74" i="111"/>
  <c r="N131" i="150" l="1"/>
  <c r="K131" i="150"/>
  <c r="G131" i="150"/>
  <c r="D131" i="150"/>
  <c r="H110" i="150"/>
  <c r="G110" i="150"/>
  <c r="E110" i="150"/>
  <c r="D110" i="150"/>
  <c r="E109" i="150"/>
  <c r="D109" i="150"/>
  <c r="H108" i="150"/>
  <c r="E108" i="150"/>
  <c r="D108" i="150"/>
  <c r="G107" i="150"/>
  <c r="E107" i="150"/>
  <c r="D107" i="150"/>
  <c r="A107" i="150"/>
  <c r="A108" i="150" s="1"/>
  <c r="H106" i="150"/>
  <c r="G106" i="150"/>
  <c r="A106" i="150"/>
  <c r="H105" i="150"/>
  <c r="G105" i="150"/>
  <c r="A105" i="150"/>
  <c r="H104" i="150"/>
  <c r="G104" i="150"/>
  <c r="A104" i="150"/>
  <c r="H103" i="150"/>
  <c r="G103" i="150"/>
  <c r="A103" i="150"/>
  <c r="H102" i="150"/>
  <c r="G102" i="150"/>
  <c r="A102" i="150"/>
  <c r="H101" i="150"/>
  <c r="G101" i="150"/>
  <c r="A101" i="150"/>
  <c r="H100" i="150"/>
  <c r="G100" i="150"/>
  <c r="E100" i="150"/>
  <c r="D100" i="150"/>
  <c r="A100" i="150"/>
  <c r="G99" i="150"/>
  <c r="E99" i="150"/>
  <c r="D99" i="150"/>
  <c r="A99" i="150"/>
  <c r="G98" i="150"/>
  <c r="E98" i="150"/>
  <c r="D98" i="150"/>
  <c r="A98" i="150"/>
  <c r="E97" i="150"/>
  <c r="A97" i="150"/>
  <c r="H96" i="150"/>
  <c r="E96" i="150"/>
  <c r="A96" i="150"/>
  <c r="G95" i="150"/>
  <c r="E95" i="150"/>
  <c r="D95" i="150"/>
  <c r="A95" i="150"/>
  <c r="J95" i="150" s="1"/>
  <c r="E94" i="150"/>
  <c r="D94" i="150"/>
  <c r="A94" i="150"/>
  <c r="E93" i="150"/>
  <c r="A93" i="150"/>
  <c r="H92" i="150"/>
  <c r="G92" i="150"/>
  <c r="E92" i="150"/>
  <c r="D92" i="150"/>
  <c r="A92" i="150"/>
  <c r="H91" i="150"/>
  <c r="G91" i="150"/>
  <c r="E91" i="150"/>
  <c r="A91" i="150"/>
  <c r="F86" i="150"/>
  <c r="P85" i="150"/>
  <c r="A110" i="150" s="1"/>
  <c r="I85" i="150"/>
  <c r="S84" i="150"/>
  <c r="A62" i="150"/>
  <c r="A63" i="150" s="1"/>
  <c r="A64" i="150" s="1"/>
  <c r="A65" i="150" s="1"/>
  <c r="A66" i="150" s="1"/>
  <c r="A67" i="150" s="1"/>
  <c r="A68" i="150" s="1"/>
  <c r="A69" i="150" s="1"/>
  <c r="A70" i="150" s="1"/>
  <c r="A71" i="150" s="1"/>
  <c r="A72" i="150" s="1"/>
  <c r="A73" i="150" s="1"/>
  <c r="A74" i="150" s="1"/>
  <c r="A75" i="150" s="1"/>
  <c r="A76" i="150" s="1"/>
  <c r="A61" i="150"/>
  <c r="A41" i="150"/>
  <c r="A42" i="150" s="1"/>
  <c r="A43" i="150" s="1"/>
  <c r="A44" i="150" s="1"/>
  <c r="A45" i="150" s="1"/>
  <c r="A46" i="150" s="1"/>
  <c r="A47" i="150" s="1"/>
  <c r="A48" i="150" s="1"/>
  <c r="A49" i="150" s="1"/>
  <c r="A50" i="150" s="1"/>
  <c r="A51" i="150" s="1"/>
  <c r="A52" i="150" s="1"/>
  <c r="A53" i="150" s="1"/>
  <c r="A54" i="150" s="1"/>
  <c r="A55" i="150" s="1"/>
  <c r="A56" i="150" s="1"/>
  <c r="Q30" i="150"/>
  <c r="J30" i="150"/>
  <c r="C30" i="150"/>
  <c r="Q4" i="150"/>
  <c r="Q38" i="150" s="1"/>
  <c r="J4" i="150"/>
  <c r="J38" i="150" s="1"/>
  <c r="C4" i="150"/>
  <c r="C38" i="150" s="1"/>
  <c r="A1" i="150"/>
  <c r="W40" i="149"/>
  <c r="W39" i="149"/>
  <c r="W41" i="149" s="1"/>
  <c r="C7" i="149"/>
  <c r="AA4" i="149"/>
  <c r="AJ3" i="149"/>
  <c r="W3" i="149"/>
  <c r="U3" i="149"/>
  <c r="S3" i="149"/>
  <c r="Q3" i="149"/>
  <c r="O3" i="149"/>
  <c r="M3" i="149"/>
  <c r="K3" i="149"/>
  <c r="I3" i="149"/>
  <c r="G3" i="149"/>
  <c r="V21" i="150"/>
  <c r="R23" i="150"/>
  <c r="R14" i="150"/>
  <c r="G23" i="150"/>
  <c r="C7" i="150"/>
  <c r="K14" i="150"/>
  <c r="C18" i="149"/>
  <c r="K18" i="150"/>
  <c r="J15" i="150"/>
  <c r="G15" i="150"/>
  <c r="E25" i="150"/>
  <c r="E9" i="150"/>
  <c r="S8" i="150"/>
  <c r="J20" i="150"/>
  <c r="C33" i="150"/>
  <c r="D25" i="149"/>
  <c r="J16" i="150"/>
  <c r="U24" i="150"/>
  <c r="E33" i="150"/>
  <c r="S16" i="150"/>
  <c r="H7" i="150"/>
  <c r="U34" i="68"/>
  <c r="U35" i="68"/>
  <c r="V17" i="150"/>
  <c r="C24" i="149"/>
  <c r="U32" i="68"/>
  <c r="S17" i="150"/>
  <c r="L9" i="150"/>
  <c r="D23" i="149"/>
  <c r="H14" i="150"/>
  <c r="Q10" i="150"/>
  <c r="H16" i="150"/>
  <c r="V18" i="150"/>
  <c r="C21" i="149"/>
  <c r="V6" i="150"/>
  <c r="S21" i="150"/>
  <c r="D9" i="150"/>
  <c r="K20" i="150"/>
  <c r="Q14" i="150"/>
  <c r="O17" i="150"/>
  <c r="Q24" i="150"/>
  <c r="O8" i="150"/>
  <c r="C19" i="149"/>
  <c r="C14" i="150"/>
  <c r="J21" i="150"/>
  <c r="C12" i="150"/>
  <c r="C10" i="150"/>
  <c r="V14" i="150"/>
  <c r="Q6" i="150"/>
  <c r="E24" i="150"/>
  <c r="U31" i="68"/>
  <c r="D7" i="150"/>
  <c r="D14" i="149"/>
  <c r="G19" i="150"/>
  <c r="K15" i="150"/>
  <c r="U15" i="150"/>
  <c r="Q9" i="150"/>
  <c r="G18" i="150"/>
  <c r="R6" i="150"/>
  <c r="U78" i="68"/>
  <c r="S10" i="150"/>
  <c r="U36" i="68"/>
  <c r="S18" i="150"/>
  <c r="D12" i="150"/>
  <c r="O19" i="150"/>
  <c r="H25" i="150"/>
  <c r="E23" i="150"/>
  <c r="J14" i="150"/>
  <c r="K23" i="150"/>
  <c r="L10" i="150"/>
  <c r="C11" i="150"/>
  <c r="N9" i="150"/>
  <c r="Q25" i="150"/>
  <c r="V8" i="150"/>
  <c r="N6" i="150"/>
  <c r="L23" i="150"/>
  <c r="D26" i="149"/>
  <c r="D18" i="149"/>
  <c r="N33" i="150"/>
  <c r="H17" i="150"/>
  <c r="V7" i="150"/>
  <c r="N18" i="150"/>
  <c r="O22" i="150"/>
  <c r="V10" i="150"/>
  <c r="H24" i="150"/>
  <c r="D14" i="150"/>
  <c r="V20" i="150"/>
  <c r="C9" i="150"/>
  <c r="E11" i="150"/>
  <c r="U21" i="150"/>
  <c r="R9" i="150"/>
  <c r="G6" i="150"/>
  <c r="R18" i="150"/>
  <c r="J17" i="150"/>
  <c r="V12" i="150"/>
  <c r="D13" i="149"/>
  <c r="O33" i="150"/>
  <c r="R20" i="150"/>
  <c r="N25" i="150"/>
  <c r="L22" i="150"/>
  <c r="R25" i="150"/>
  <c r="L16" i="150"/>
  <c r="O14" i="150"/>
  <c r="E15" i="150"/>
  <c r="D33" i="150"/>
  <c r="O7" i="150"/>
  <c r="R8" i="150"/>
  <c r="N15" i="150"/>
  <c r="K9" i="150"/>
  <c r="U77" i="68"/>
  <c r="C21" i="150"/>
  <c r="Q8" i="150"/>
  <c r="D11" i="150"/>
  <c r="J22" i="150"/>
  <c r="N12" i="150"/>
  <c r="U13" i="150"/>
  <c r="C17" i="149"/>
  <c r="N20" i="150"/>
  <c r="O12" i="150"/>
  <c r="K25" i="150"/>
  <c r="O20" i="150"/>
  <c r="C24" i="150"/>
  <c r="O11" i="150"/>
  <c r="C23" i="149"/>
  <c r="H8" i="150"/>
  <c r="R15" i="150"/>
  <c r="O16" i="150"/>
  <c r="C16" i="149"/>
  <c r="U12" i="150"/>
  <c r="C27" i="149"/>
  <c r="O6" i="150"/>
  <c r="H22" i="150"/>
  <c r="U8" i="150"/>
  <c r="U14" i="150"/>
  <c r="L8" i="150"/>
  <c r="E7" i="150"/>
  <c r="G16" i="150"/>
  <c r="J9" i="150"/>
  <c r="G10" i="150"/>
  <c r="S22" i="150"/>
  <c r="D10" i="149"/>
  <c r="H18" i="150"/>
  <c r="C9" i="149"/>
  <c r="S33" i="150"/>
  <c r="C10" i="149"/>
  <c r="Q23" i="150"/>
  <c r="N8" i="150"/>
  <c r="K17" i="150"/>
  <c r="C15" i="149"/>
  <c r="E10" i="150"/>
  <c r="N23" i="150"/>
  <c r="G13" i="150"/>
  <c r="V19" i="150"/>
  <c r="C13" i="150"/>
  <c r="D22" i="150"/>
  <c r="D21" i="149"/>
  <c r="U16" i="150"/>
  <c r="H33" i="150"/>
  <c r="R22" i="150"/>
  <c r="C26" i="149"/>
  <c r="H10" i="150"/>
  <c r="J19" i="150"/>
  <c r="D10" i="150"/>
  <c r="H15" i="150"/>
  <c r="N7" i="150"/>
  <c r="J11" i="150"/>
  <c r="G20" i="150"/>
  <c r="D21" i="150"/>
  <c r="U9" i="150"/>
  <c r="Q21" i="150"/>
  <c r="C17" i="150"/>
  <c r="C12" i="149"/>
  <c r="K24" i="150"/>
  <c r="N24" i="150"/>
  <c r="K33" i="150"/>
  <c r="C16" i="150"/>
  <c r="N10" i="150"/>
  <c r="D17" i="149"/>
  <c r="C15" i="150"/>
  <c r="G12" i="150"/>
  <c r="E18" i="150"/>
  <c r="E8" i="150"/>
  <c r="S24" i="150"/>
  <c r="H6" i="150"/>
  <c r="E21" i="150"/>
  <c r="L33" i="150"/>
  <c r="V15" i="150"/>
  <c r="S9" i="150"/>
  <c r="C25" i="150"/>
  <c r="S23" i="150"/>
  <c r="V9" i="150"/>
  <c r="L18" i="150"/>
  <c r="C11" i="149"/>
  <c r="E16" i="150"/>
  <c r="L19" i="150"/>
  <c r="U22" i="150"/>
  <c r="U17" i="150"/>
  <c r="O10" i="150"/>
  <c r="U79" i="68"/>
  <c r="J23" i="150"/>
  <c r="G25" i="150"/>
  <c r="R13" i="150"/>
  <c r="K21" i="150"/>
  <c r="V13" i="150"/>
  <c r="D22" i="149"/>
  <c r="H21" i="150"/>
  <c r="K12" i="150"/>
  <c r="L6" i="150"/>
  <c r="H13" i="150"/>
  <c r="D11" i="149"/>
  <c r="U6" i="150"/>
  <c r="C18" i="150"/>
  <c r="E22" i="150"/>
  <c r="D24" i="150"/>
  <c r="Q11" i="150"/>
  <c r="K16" i="150"/>
  <c r="J12" i="150"/>
  <c r="V11" i="150"/>
  <c r="S14" i="150"/>
  <c r="Q7" i="150"/>
  <c r="H12" i="150"/>
  <c r="C19" i="150"/>
  <c r="V16" i="150"/>
  <c r="O23" i="150"/>
  <c r="N22" i="150"/>
  <c r="S19" i="150"/>
  <c r="J7" i="150"/>
  <c r="H11" i="150"/>
  <c r="C22" i="149"/>
  <c r="R7" i="150"/>
  <c r="Q18" i="150"/>
  <c r="K11" i="150"/>
  <c r="J10" i="150"/>
  <c r="K19" i="150"/>
  <c r="U23" i="150"/>
  <c r="U18" i="150"/>
  <c r="R21" i="150"/>
  <c r="J8" i="150"/>
  <c r="S13" i="150"/>
  <c r="L7" i="150"/>
  <c r="N13" i="150"/>
  <c r="R11" i="150"/>
  <c r="R12" i="150"/>
  <c r="S11" i="150"/>
  <c r="D6" i="150"/>
  <c r="V25" i="150"/>
  <c r="E12" i="150"/>
  <c r="R24" i="150"/>
  <c r="R10" i="150"/>
  <c r="N19" i="150"/>
  <c r="G17" i="150"/>
  <c r="L15" i="150"/>
  <c r="G11" i="150"/>
  <c r="V22" i="150"/>
  <c r="Q19" i="150"/>
  <c r="D15" i="149"/>
  <c r="R16" i="150"/>
  <c r="U33" i="150"/>
  <c r="U20" i="150"/>
  <c r="D19" i="150"/>
  <c r="D25" i="150"/>
  <c r="O24" i="150"/>
  <c r="S25" i="150"/>
  <c r="N11" i="150"/>
  <c r="H19" i="150"/>
  <c r="D9" i="149"/>
  <c r="Q15" i="150"/>
  <c r="C13" i="149"/>
  <c r="O9" i="150"/>
  <c r="O18" i="150"/>
  <c r="E14" i="150"/>
  <c r="K6" i="150"/>
  <c r="L20" i="150"/>
  <c r="J13" i="150"/>
  <c r="U25" i="150"/>
  <c r="D13" i="150"/>
  <c r="L21" i="150"/>
  <c r="U81" i="68"/>
  <c r="S15" i="150"/>
  <c r="L13" i="150"/>
  <c r="D20" i="150"/>
  <c r="L25" i="150"/>
  <c r="V23" i="150"/>
  <c r="L11" i="150"/>
  <c r="S20" i="150"/>
  <c r="N21" i="150"/>
  <c r="L17" i="150"/>
  <c r="E20" i="150"/>
  <c r="K7" i="150"/>
  <c r="H20" i="150"/>
  <c r="U11" i="150"/>
  <c r="G14" i="150"/>
  <c r="K13" i="150"/>
  <c r="Q13" i="150"/>
  <c r="K8" i="150"/>
  <c r="Q16" i="150"/>
  <c r="J18" i="150"/>
  <c r="C25" i="149"/>
  <c r="G33" i="150"/>
  <c r="D17" i="150"/>
  <c r="D12" i="149"/>
  <c r="C23" i="150"/>
  <c r="G21" i="150"/>
  <c r="C8" i="150"/>
  <c r="G24" i="150"/>
  <c r="O25" i="150"/>
  <c r="R19" i="150"/>
  <c r="U33" i="68"/>
  <c r="L24" i="150"/>
  <c r="G22" i="150"/>
  <c r="L12" i="150"/>
  <c r="Q22" i="150"/>
  <c r="E19" i="150"/>
  <c r="Q12" i="150"/>
  <c r="H9" i="150"/>
  <c r="K22" i="150"/>
  <c r="S6" i="150"/>
  <c r="V33" i="150"/>
  <c r="U7" i="150"/>
  <c r="Q20" i="150"/>
  <c r="E13" i="150"/>
  <c r="C14" i="149"/>
  <c r="D15" i="150"/>
  <c r="C22" i="150"/>
  <c r="Q33" i="150"/>
  <c r="U80" i="68"/>
  <c r="J33" i="150"/>
  <c r="D8" i="150"/>
  <c r="S7" i="150"/>
  <c r="N14" i="150"/>
  <c r="D18" i="150"/>
  <c r="N16" i="150"/>
  <c r="U19" i="150"/>
  <c r="C20" i="150"/>
  <c r="O13" i="150"/>
  <c r="U10" i="150"/>
  <c r="E6" i="150"/>
  <c r="U82" i="68"/>
  <c r="D16" i="149"/>
  <c r="L14" i="150"/>
  <c r="D27" i="149"/>
  <c r="D19" i="149"/>
  <c r="Q17" i="150"/>
  <c r="V24" i="150"/>
  <c r="S12" i="150"/>
  <c r="J6" i="150"/>
  <c r="D16" i="150"/>
  <c r="J24" i="150"/>
  <c r="G9" i="150"/>
  <c r="D24" i="149"/>
  <c r="E17" i="150"/>
  <c r="D23" i="150"/>
  <c r="O21" i="150"/>
  <c r="R17" i="150"/>
  <c r="G8" i="150"/>
  <c r="K10" i="150"/>
  <c r="O15" i="150"/>
  <c r="R33" i="150"/>
  <c r="G7" i="150"/>
  <c r="H23" i="150"/>
  <c r="C20" i="149"/>
  <c r="J25" i="150"/>
  <c r="C6" i="150"/>
  <c r="D20" i="149"/>
  <c r="N17" i="150"/>
  <c r="J103" i="150" l="1"/>
  <c r="J99" i="150"/>
  <c r="K96" i="150"/>
  <c r="K109" i="150" s="1"/>
  <c r="AC10" i="150"/>
  <c r="X21" i="150"/>
  <c r="R26" i="150"/>
  <c r="R32" i="150" s="1"/>
  <c r="R34" i="150" s="1"/>
  <c r="AB7" i="150"/>
  <c r="AB10" i="150"/>
  <c r="AB13" i="150"/>
  <c r="AB16" i="150"/>
  <c r="AB19" i="150"/>
  <c r="AB22" i="150"/>
  <c r="Y25" i="150"/>
  <c r="N120" i="150"/>
  <c r="X9" i="150"/>
  <c r="AC16" i="150"/>
  <c r="AC22" i="150"/>
  <c r="D26" i="150"/>
  <c r="D62" i="150" s="1"/>
  <c r="Y6" i="150"/>
  <c r="U26" i="150"/>
  <c r="U32" i="150" s="1"/>
  <c r="U34" i="150" s="1"/>
  <c r="Y9" i="150"/>
  <c r="Y12" i="150"/>
  <c r="Y15" i="150"/>
  <c r="Y18" i="150"/>
  <c r="Y21" i="150"/>
  <c r="AB25" i="150"/>
  <c r="E26" i="150"/>
  <c r="E69" i="150" s="1"/>
  <c r="Z6" i="150"/>
  <c r="V26" i="150"/>
  <c r="V32" i="150" s="1"/>
  <c r="V34" i="150" s="1"/>
  <c r="Z9" i="150"/>
  <c r="Z12" i="150"/>
  <c r="Z15" i="150"/>
  <c r="Z18" i="150"/>
  <c r="Z21" i="150"/>
  <c r="AC25" i="150"/>
  <c r="S26" i="150"/>
  <c r="S64" i="150" s="1"/>
  <c r="X18" i="150"/>
  <c r="G26" i="150"/>
  <c r="G76" i="150" s="1"/>
  <c r="AB6" i="150"/>
  <c r="AB9" i="150"/>
  <c r="AB12" i="150"/>
  <c r="AB15" i="150"/>
  <c r="AB18" i="150"/>
  <c r="AB21" i="150"/>
  <c r="C120" i="150"/>
  <c r="C124" i="150" s="1"/>
  <c r="AC7" i="150"/>
  <c r="AC13" i="150"/>
  <c r="Z25" i="150"/>
  <c r="H26" i="150"/>
  <c r="H75" i="150" s="1"/>
  <c r="AC6" i="150"/>
  <c r="X8" i="150"/>
  <c r="AC9" i="150"/>
  <c r="X11" i="150"/>
  <c r="AC12" i="150"/>
  <c r="X14" i="150"/>
  <c r="AC15" i="150"/>
  <c r="X17" i="150"/>
  <c r="AC18" i="150"/>
  <c r="X20" i="150"/>
  <c r="AC21" i="150"/>
  <c r="D120" i="150"/>
  <c r="D124" i="150" s="1"/>
  <c r="X15" i="150"/>
  <c r="J26" i="150"/>
  <c r="Y8" i="150"/>
  <c r="Y11" i="150"/>
  <c r="Y14" i="150"/>
  <c r="Y17" i="150"/>
  <c r="Y20" i="150"/>
  <c r="E120" i="150"/>
  <c r="E124" i="150" s="1"/>
  <c r="AC19" i="150"/>
  <c r="O120" i="150"/>
  <c r="K26" i="150"/>
  <c r="K67" i="150" s="1"/>
  <c r="Z8" i="150"/>
  <c r="Z11" i="150"/>
  <c r="Z14" i="150"/>
  <c r="Z17" i="150"/>
  <c r="Z20" i="150"/>
  <c r="G120" i="150"/>
  <c r="C26" i="150"/>
  <c r="C75" i="150" s="1"/>
  <c r="X6" i="150"/>
  <c r="X12" i="150"/>
  <c r="L26" i="150"/>
  <c r="L65" i="150" s="1"/>
  <c r="AB8" i="150"/>
  <c r="AB11" i="150"/>
  <c r="AB14" i="150"/>
  <c r="AB17" i="150"/>
  <c r="AB20" i="150"/>
  <c r="H120" i="150"/>
  <c r="N26" i="150"/>
  <c r="N68" i="150" s="1"/>
  <c r="X7" i="150"/>
  <c r="AC8" i="150"/>
  <c r="X10" i="150"/>
  <c r="AC11" i="150"/>
  <c r="X13" i="150"/>
  <c r="AC14" i="150"/>
  <c r="X16" i="150"/>
  <c r="AC17" i="150"/>
  <c r="X19" i="150"/>
  <c r="AC20" i="150"/>
  <c r="X22" i="150"/>
  <c r="J120" i="150"/>
  <c r="J124" i="150" s="1"/>
  <c r="O26" i="150"/>
  <c r="O62" i="150" s="1"/>
  <c r="Y7" i="150"/>
  <c r="Y10" i="150"/>
  <c r="Y13" i="150"/>
  <c r="Y16" i="150"/>
  <c r="Y19" i="150"/>
  <c r="Y22" i="150"/>
  <c r="K120" i="150"/>
  <c r="K124" i="150" s="1"/>
  <c r="Q26" i="150"/>
  <c r="Q32" i="150" s="1"/>
  <c r="Q34" i="150" s="1"/>
  <c r="Z7" i="150"/>
  <c r="Z10" i="150"/>
  <c r="Z13" i="150"/>
  <c r="Z16" i="150"/>
  <c r="Z19" i="150"/>
  <c r="Z22" i="150"/>
  <c r="X25" i="150"/>
  <c r="L120" i="150"/>
  <c r="L124" i="150" s="1"/>
  <c r="A77" i="150"/>
  <c r="A78" i="150" s="1"/>
  <c r="A79" i="150"/>
  <c r="A57" i="150"/>
  <c r="A58" i="150" s="1"/>
  <c r="A59" i="150"/>
  <c r="G94" i="150"/>
  <c r="K101" i="150"/>
  <c r="K91" i="150"/>
  <c r="K92" i="150"/>
  <c r="H94" i="150"/>
  <c r="J102" i="150"/>
  <c r="K94" i="150"/>
  <c r="J100" i="150"/>
  <c r="J101" i="150"/>
  <c r="K104" i="150"/>
  <c r="H95" i="150"/>
  <c r="K97" i="150"/>
  <c r="J93" i="150"/>
  <c r="K95" i="150"/>
  <c r="K98" i="150"/>
  <c r="D96" i="150"/>
  <c r="D97" i="150"/>
  <c r="D93" i="150"/>
  <c r="J96" i="150"/>
  <c r="J109" i="150" s="1"/>
  <c r="H97" i="150"/>
  <c r="J104" i="150"/>
  <c r="K110" i="150"/>
  <c r="J110" i="150"/>
  <c r="J97" i="150"/>
  <c r="H98" i="150"/>
  <c r="K99" i="150"/>
  <c r="K105" i="150"/>
  <c r="J106" i="150"/>
  <c r="J92" i="150"/>
  <c r="H93" i="150"/>
  <c r="K103" i="150"/>
  <c r="J91" i="150"/>
  <c r="K93" i="150"/>
  <c r="J98" i="150"/>
  <c r="H99" i="150"/>
  <c r="K100" i="150"/>
  <c r="J94" i="150"/>
  <c r="K102" i="150"/>
  <c r="K106" i="150"/>
  <c r="H107" i="150"/>
  <c r="G109" i="150"/>
  <c r="J105" i="150"/>
  <c r="J107" i="150"/>
  <c r="J108" i="150" s="1"/>
  <c r="H109" i="150"/>
  <c r="K107" i="150"/>
  <c r="K108" i="150" s="1"/>
  <c r="G108" i="150"/>
  <c r="C35" i="149"/>
  <c r="I36" i="149"/>
  <c r="J36" i="149"/>
  <c r="D35" i="149"/>
  <c r="C33" i="149"/>
  <c r="D33" i="149"/>
  <c r="V76" i="150" l="1"/>
  <c r="R65" i="150"/>
  <c r="E70" i="150"/>
  <c r="E78" i="150"/>
  <c r="E76" i="150"/>
  <c r="E73" i="150"/>
  <c r="E67" i="150"/>
  <c r="E64" i="150"/>
  <c r="E61" i="150"/>
  <c r="V61" i="150"/>
  <c r="R50" i="150"/>
  <c r="R70" i="150"/>
  <c r="V50" i="150"/>
  <c r="R75" i="150"/>
  <c r="V70" i="150"/>
  <c r="R47" i="150"/>
  <c r="R74" i="150"/>
  <c r="V73" i="150"/>
  <c r="R67" i="150"/>
  <c r="R78" i="150"/>
  <c r="R59" i="150"/>
  <c r="R71" i="150"/>
  <c r="V47" i="150"/>
  <c r="R79" i="150"/>
  <c r="R56" i="150"/>
  <c r="R44" i="150"/>
  <c r="V56" i="150"/>
  <c r="V67" i="150"/>
  <c r="V78" i="150"/>
  <c r="R76" i="150"/>
  <c r="R64" i="150"/>
  <c r="R53" i="150"/>
  <c r="R41" i="150"/>
  <c r="R73" i="150"/>
  <c r="R61" i="150"/>
  <c r="D64" i="150"/>
  <c r="D78" i="150"/>
  <c r="D76" i="150"/>
  <c r="D73" i="150"/>
  <c r="D67" i="150"/>
  <c r="E71" i="150"/>
  <c r="U70" i="150"/>
  <c r="V51" i="150"/>
  <c r="G78" i="150"/>
  <c r="O109" i="150" s="1"/>
  <c r="V74" i="150"/>
  <c r="D70" i="150"/>
  <c r="R77" i="150"/>
  <c r="V68" i="150"/>
  <c r="V59" i="150"/>
  <c r="V53" i="150"/>
  <c r="V64" i="150"/>
  <c r="D61" i="150"/>
  <c r="R68" i="150"/>
  <c r="V48" i="150"/>
  <c r="V57" i="150"/>
  <c r="V45" i="150"/>
  <c r="V77" i="150"/>
  <c r="V65" i="150"/>
  <c r="R51" i="150"/>
  <c r="V44" i="150"/>
  <c r="V58" i="150"/>
  <c r="V54" i="150"/>
  <c r="V79" i="150"/>
  <c r="V71" i="150"/>
  <c r="V41" i="150"/>
  <c r="R62" i="150"/>
  <c r="V66" i="150"/>
  <c r="V46" i="150"/>
  <c r="D68" i="150"/>
  <c r="K68" i="150"/>
  <c r="K74" i="150"/>
  <c r="R57" i="150"/>
  <c r="R69" i="150"/>
  <c r="R58" i="150"/>
  <c r="R42" i="150"/>
  <c r="G74" i="150"/>
  <c r="R54" i="150"/>
  <c r="O75" i="150"/>
  <c r="AH106" i="150" s="1"/>
  <c r="H74" i="150"/>
  <c r="P105" i="150" s="1"/>
  <c r="K71" i="150"/>
  <c r="C61" i="150"/>
  <c r="C73" i="150"/>
  <c r="C79" i="150"/>
  <c r="C70" i="150"/>
  <c r="V63" i="150"/>
  <c r="E72" i="150"/>
  <c r="E77" i="150"/>
  <c r="E68" i="150"/>
  <c r="R45" i="150"/>
  <c r="E74" i="150"/>
  <c r="E65" i="150"/>
  <c r="H71" i="150"/>
  <c r="P102" i="150" s="1"/>
  <c r="N60" i="150"/>
  <c r="R46" i="150"/>
  <c r="K77" i="150"/>
  <c r="K62" i="150"/>
  <c r="E62" i="150"/>
  <c r="E79" i="150"/>
  <c r="R48" i="150"/>
  <c r="C64" i="150"/>
  <c r="K63" i="150"/>
  <c r="O66" i="150"/>
  <c r="AB97" i="150" s="1"/>
  <c r="K69" i="150"/>
  <c r="K75" i="150"/>
  <c r="L69" i="150"/>
  <c r="C66" i="150"/>
  <c r="K66" i="150"/>
  <c r="V75" i="150"/>
  <c r="O72" i="150"/>
  <c r="AB103" i="150" s="1"/>
  <c r="L75" i="150"/>
  <c r="K72" i="150"/>
  <c r="E75" i="150"/>
  <c r="K65" i="150"/>
  <c r="Q75" i="150"/>
  <c r="G71" i="150"/>
  <c r="U102" i="150" s="1"/>
  <c r="G62" i="150"/>
  <c r="K76" i="150"/>
  <c r="G66" i="150"/>
  <c r="V42" i="150"/>
  <c r="C65" i="150"/>
  <c r="C78" i="150"/>
  <c r="G75" i="150"/>
  <c r="O106" i="150" s="1"/>
  <c r="G77" i="150"/>
  <c r="O108" i="150" s="1"/>
  <c r="V72" i="150"/>
  <c r="Q66" i="150"/>
  <c r="G68" i="150"/>
  <c r="Q72" i="150"/>
  <c r="D75" i="150"/>
  <c r="U56" i="150"/>
  <c r="U41" i="150"/>
  <c r="U68" i="150"/>
  <c r="U76" i="150"/>
  <c r="U61" i="150"/>
  <c r="U48" i="150"/>
  <c r="U72" i="150"/>
  <c r="L71" i="150"/>
  <c r="Q52" i="150"/>
  <c r="O69" i="150"/>
  <c r="AB100" i="150" s="1"/>
  <c r="L60" i="150"/>
  <c r="U57" i="150"/>
  <c r="K79" i="150"/>
  <c r="C62" i="150"/>
  <c r="U47" i="150"/>
  <c r="Q50" i="150"/>
  <c r="U77" i="150"/>
  <c r="D72" i="150"/>
  <c r="U67" i="150"/>
  <c r="L66" i="150"/>
  <c r="D77" i="150"/>
  <c r="U65" i="150"/>
  <c r="N61" i="150"/>
  <c r="AG92" i="150" s="1"/>
  <c r="L64" i="150"/>
  <c r="E63" i="150"/>
  <c r="Q60" i="150"/>
  <c r="U53" i="150"/>
  <c r="O60" i="150"/>
  <c r="AB91" i="150" s="1"/>
  <c r="U74" i="150"/>
  <c r="U45" i="150"/>
  <c r="O68" i="150"/>
  <c r="AB99" i="150" s="1"/>
  <c r="C63" i="150"/>
  <c r="U73" i="150"/>
  <c r="L72" i="150"/>
  <c r="U54" i="150"/>
  <c r="U66" i="150"/>
  <c r="Q55" i="150"/>
  <c r="Q79" i="150"/>
  <c r="Q41" i="150"/>
  <c r="U42" i="150"/>
  <c r="C71" i="150"/>
  <c r="U46" i="150"/>
  <c r="U59" i="150"/>
  <c r="Q49" i="150"/>
  <c r="U44" i="150"/>
  <c r="U78" i="150"/>
  <c r="O79" i="150"/>
  <c r="L63" i="150"/>
  <c r="Q53" i="150"/>
  <c r="Q61" i="150"/>
  <c r="D74" i="150"/>
  <c r="U62" i="150"/>
  <c r="K70" i="150"/>
  <c r="E60" i="150"/>
  <c r="U79" i="150"/>
  <c r="Q69" i="150"/>
  <c r="Q43" i="150"/>
  <c r="U64" i="150"/>
  <c r="U58" i="150"/>
  <c r="Q73" i="150"/>
  <c r="Q47" i="150"/>
  <c r="U71" i="150"/>
  <c r="U63" i="150"/>
  <c r="Q63" i="150"/>
  <c r="U50" i="150"/>
  <c r="K60" i="150"/>
  <c r="U51" i="150"/>
  <c r="U75" i="150"/>
  <c r="V106" i="150"/>
  <c r="P106" i="150"/>
  <c r="J122" i="150"/>
  <c r="J32" i="150"/>
  <c r="J64" i="150"/>
  <c r="J76" i="150"/>
  <c r="J69" i="150"/>
  <c r="J71" i="150"/>
  <c r="J61" i="150"/>
  <c r="J73" i="150"/>
  <c r="J66" i="150"/>
  <c r="J79" i="150"/>
  <c r="J68" i="150"/>
  <c r="J78" i="150"/>
  <c r="J70" i="150"/>
  <c r="J63" i="150"/>
  <c r="J75" i="150"/>
  <c r="J65" i="150"/>
  <c r="J77" i="150"/>
  <c r="J60" i="150"/>
  <c r="J67" i="150"/>
  <c r="J72" i="150"/>
  <c r="AA99" i="150"/>
  <c r="AG99" i="150"/>
  <c r="O107" i="150"/>
  <c r="U107" i="150"/>
  <c r="J62" i="150"/>
  <c r="S32" i="150"/>
  <c r="S63" i="150"/>
  <c r="S78" i="150"/>
  <c r="S68" i="150"/>
  <c r="S75" i="150"/>
  <c r="S61" i="150"/>
  <c r="S66" i="150"/>
  <c r="S65" i="150"/>
  <c r="S76" i="150"/>
  <c r="S69" i="150"/>
  <c r="S62" i="150"/>
  <c r="S79" i="150"/>
  <c r="S77" i="150"/>
  <c r="S73" i="150"/>
  <c r="S72" i="150"/>
  <c r="S70" i="150"/>
  <c r="S74" i="150"/>
  <c r="S67" i="150"/>
  <c r="S60" i="150"/>
  <c r="J74" i="150"/>
  <c r="S71" i="150"/>
  <c r="G93" i="150"/>
  <c r="N75" i="150"/>
  <c r="N71" i="150"/>
  <c r="Q70" i="150"/>
  <c r="O76" i="150"/>
  <c r="AH107" i="150" s="1"/>
  <c r="O64" i="150"/>
  <c r="AH95" i="150" s="1"/>
  <c r="C68" i="150"/>
  <c r="L70" i="150"/>
  <c r="Q51" i="150"/>
  <c r="E122" i="150"/>
  <c r="E32" i="150"/>
  <c r="U55" i="150"/>
  <c r="U43" i="150"/>
  <c r="R40" i="150"/>
  <c r="G97" i="150"/>
  <c r="N122" i="150"/>
  <c r="N32" i="150"/>
  <c r="N64" i="150"/>
  <c r="G122" i="150"/>
  <c r="G32" i="150"/>
  <c r="Q71" i="150"/>
  <c r="D122" i="150"/>
  <c r="D32" i="150"/>
  <c r="G70" i="150"/>
  <c r="AH93" i="150"/>
  <c r="AB93" i="150"/>
  <c r="G96" i="150"/>
  <c r="N62" i="150"/>
  <c r="N67" i="150"/>
  <c r="H122" i="150"/>
  <c r="H32" i="150"/>
  <c r="H61" i="150"/>
  <c r="G60" i="150"/>
  <c r="O71" i="150"/>
  <c r="D63" i="150"/>
  <c r="D60" i="150"/>
  <c r="R55" i="150"/>
  <c r="R60" i="150"/>
  <c r="O67" i="150"/>
  <c r="AB98" i="150" s="1"/>
  <c r="N77" i="150"/>
  <c r="AG108" i="150" s="1"/>
  <c r="O78" i="150"/>
  <c r="AB109" i="150" s="1"/>
  <c r="H60" i="150"/>
  <c r="H79" i="150"/>
  <c r="Q54" i="150"/>
  <c r="Q42" i="150"/>
  <c r="G64" i="150"/>
  <c r="H77" i="150"/>
  <c r="C67" i="150"/>
  <c r="N63" i="150"/>
  <c r="AG94" i="150" s="1"/>
  <c r="G65" i="150"/>
  <c r="L122" i="150"/>
  <c r="L32" i="150"/>
  <c r="K122" i="150"/>
  <c r="K32" i="150"/>
  <c r="D71" i="150"/>
  <c r="C74" i="150"/>
  <c r="N70" i="150"/>
  <c r="H63" i="150"/>
  <c r="P94" i="150" s="1"/>
  <c r="G69" i="150"/>
  <c r="Q74" i="150"/>
  <c r="V49" i="150"/>
  <c r="Q62" i="150"/>
  <c r="G79" i="150"/>
  <c r="L74" i="150"/>
  <c r="R49" i="150"/>
  <c r="Q40" i="150"/>
  <c r="N66" i="150"/>
  <c r="N65" i="150"/>
  <c r="Q56" i="150"/>
  <c r="Q44" i="150"/>
  <c r="L79" i="150"/>
  <c r="L73" i="150"/>
  <c r="L78" i="150"/>
  <c r="K73" i="150"/>
  <c r="V69" i="150"/>
  <c r="E66" i="150"/>
  <c r="O74" i="150"/>
  <c r="U69" i="150"/>
  <c r="D66" i="150"/>
  <c r="H76" i="150"/>
  <c r="P107" i="150" s="1"/>
  <c r="D79" i="150"/>
  <c r="R43" i="150"/>
  <c r="O122" i="150"/>
  <c r="O32" i="150"/>
  <c r="C122" i="150"/>
  <c r="C32" i="150"/>
  <c r="Q76" i="150"/>
  <c r="Q64" i="150"/>
  <c r="Q58" i="150"/>
  <c r="O70" i="150"/>
  <c r="N73" i="150"/>
  <c r="H66" i="150"/>
  <c r="P97" i="150" s="1"/>
  <c r="G63" i="150"/>
  <c r="U94" i="150" s="1"/>
  <c r="C72" i="150"/>
  <c r="Q57" i="150"/>
  <c r="Q45" i="150"/>
  <c r="K61" i="150"/>
  <c r="K78" i="150"/>
  <c r="U49" i="150"/>
  <c r="G73" i="150"/>
  <c r="L68" i="150"/>
  <c r="R63" i="150"/>
  <c r="N69" i="150"/>
  <c r="H62" i="150"/>
  <c r="P93" i="150" s="1"/>
  <c r="C60" i="150"/>
  <c r="Q78" i="150"/>
  <c r="C69" i="150"/>
  <c r="C77" i="150"/>
  <c r="N78" i="150"/>
  <c r="AA109" i="150" s="1"/>
  <c r="L67" i="150"/>
  <c r="Q77" i="150"/>
  <c r="V52" i="150"/>
  <c r="Q65" i="150"/>
  <c r="V40" i="150"/>
  <c r="H70" i="150"/>
  <c r="H78" i="150"/>
  <c r="V109" i="150" s="1"/>
  <c r="N76" i="150"/>
  <c r="H69" i="150"/>
  <c r="N74" i="150"/>
  <c r="O77" i="150"/>
  <c r="D69" i="150"/>
  <c r="O65" i="150"/>
  <c r="R72" i="150"/>
  <c r="G67" i="150"/>
  <c r="L62" i="150"/>
  <c r="N72" i="150"/>
  <c r="H65" i="150"/>
  <c r="Q67" i="150"/>
  <c r="H73" i="150"/>
  <c r="O73" i="150"/>
  <c r="O61" i="150"/>
  <c r="G72" i="150"/>
  <c r="Q48" i="150"/>
  <c r="K64" i="150"/>
  <c r="V60" i="150"/>
  <c r="U52" i="150"/>
  <c r="U60" i="150"/>
  <c r="L77" i="150"/>
  <c r="R52" i="150"/>
  <c r="Q46" i="150"/>
  <c r="O63" i="150"/>
  <c r="AH94" i="150" s="1"/>
  <c r="Q59" i="150"/>
  <c r="C76" i="150"/>
  <c r="H68" i="150"/>
  <c r="V99" i="150" s="1"/>
  <c r="N79" i="150"/>
  <c r="V62" i="150"/>
  <c r="D65" i="150"/>
  <c r="H72" i="150"/>
  <c r="H67" i="150"/>
  <c r="V98" i="150" s="1"/>
  <c r="L76" i="150"/>
  <c r="L61" i="150"/>
  <c r="V55" i="150"/>
  <c r="Q68" i="150"/>
  <c r="V43" i="150"/>
  <c r="U40" i="150"/>
  <c r="R66" i="150"/>
  <c r="G61" i="150"/>
  <c r="H64" i="150"/>
  <c r="P95" i="150" s="1"/>
  <c r="U108" i="150" l="1"/>
  <c r="AL108" i="150" s="1"/>
  <c r="AV107" i="150" s="1"/>
  <c r="U109" i="150"/>
  <c r="AL109" i="150" s="1"/>
  <c r="AV108" i="150" s="1"/>
  <c r="AH91" i="150"/>
  <c r="AQ91" i="150" s="1"/>
  <c r="AH103" i="150"/>
  <c r="AQ103" i="150" s="1"/>
  <c r="AB106" i="150"/>
  <c r="AQ106" i="150" s="1"/>
  <c r="BA105" i="150" s="1"/>
  <c r="O102" i="150"/>
  <c r="AL102" i="150" s="1"/>
  <c r="AV102" i="150" s="1"/>
  <c r="AH98" i="150"/>
  <c r="AQ98" i="150" s="1"/>
  <c r="BA98" i="150" s="1"/>
  <c r="O105" i="150"/>
  <c r="U105" i="150"/>
  <c r="V102" i="150"/>
  <c r="AM102" i="150" s="1"/>
  <c r="AW102" i="150" s="1"/>
  <c r="V105" i="150"/>
  <c r="AM105" i="150" s="1"/>
  <c r="AW104" i="150" s="1"/>
  <c r="AM106" i="150"/>
  <c r="AW105" i="150" s="1"/>
  <c r="AH97" i="150"/>
  <c r="AQ97" i="150" s="1"/>
  <c r="BA97" i="150" s="1"/>
  <c r="AQ93" i="150"/>
  <c r="BA93" i="150" s="1"/>
  <c r="AG91" i="150"/>
  <c r="AA91" i="150"/>
  <c r="AH99" i="150"/>
  <c r="AQ99" i="150" s="1"/>
  <c r="BA99" i="150" s="1"/>
  <c r="AH109" i="150"/>
  <c r="AQ109" i="150" s="1"/>
  <c r="BA108" i="150" s="1"/>
  <c r="U106" i="150"/>
  <c r="AL106" i="150" s="1"/>
  <c r="AV105" i="150" s="1"/>
  <c r="U99" i="150"/>
  <c r="O99" i="150"/>
  <c r="AB110" i="150"/>
  <c r="AH110" i="150"/>
  <c r="AH100" i="150"/>
  <c r="AQ100" i="150" s="1"/>
  <c r="BA100" i="150" s="1"/>
  <c r="AA92" i="150"/>
  <c r="AP92" i="150" s="1"/>
  <c r="AZ92" i="150" s="1"/>
  <c r="AA108" i="150"/>
  <c r="AP108" i="150" s="1"/>
  <c r="AZ107" i="150" s="1"/>
  <c r="O94" i="150"/>
  <c r="AL94" i="150" s="1"/>
  <c r="AV94" i="150" s="1"/>
  <c r="P109" i="150"/>
  <c r="AM109" i="150" s="1"/>
  <c r="AW108" i="150" s="1"/>
  <c r="AA94" i="150"/>
  <c r="AP94" i="150" s="1"/>
  <c r="AZ94" i="150" s="1"/>
  <c r="V97" i="150"/>
  <c r="AM97" i="150" s="1"/>
  <c r="AW97" i="150" s="1"/>
  <c r="P98" i="150"/>
  <c r="AM98" i="150" s="1"/>
  <c r="AW98" i="150" s="1"/>
  <c r="P91" i="150"/>
  <c r="V91" i="150"/>
  <c r="P100" i="150"/>
  <c r="V100" i="150"/>
  <c r="U104" i="150"/>
  <c r="O104" i="150"/>
  <c r="AG109" i="150"/>
  <c r="AP109" i="150" s="1"/>
  <c r="AZ108" i="150" s="1"/>
  <c r="AB102" i="150"/>
  <c r="AH102" i="150"/>
  <c r="U101" i="150"/>
  <c r="O101" i="150"/>
  <c r="U97" i="150"/>
  <c r="O97" i="150"/>
  <c r="AG97" i="150"/>
  <c r="AA97" i="150"/>
  <c r="AL107" i="150"/>
  <c r="AV106" i="150" s="1"/>
  <c r="AA107" i="150"/>
  <c r="AG107" i="150"/>
  <c r="O100" i="150"/>
  <c r="U100" i="150"/>
  <c r="V108" i="150"/>
  <c r="P108" i="150"/>
  <c r="U91" i="150"/>
  <c r="O91" i="150"/>
  <c r="U96" i="150"/>
  <c r="O96" i="150"/>
  <c r="AG96" i="150"/>
  <c r="AA96" i="150"/>
  <c r="D119" i="150"/>
  <c r="D121" i="150" s="1"/>
  <c r="D125" i="150" s="1"/>
  <c r="D34" i="150"/>
  <c r="D57" i="150"/>
  <c r="D47" i="150"/>
  <c r="D49" i="150"/>
  <c r="D54" i="150"/>
  <c r="D44" i="150"/>
  <c r="D56" i="150"/>
  <c r="D46" i="150"/>
  <c r="D42" i="150"/>
  <c r="D51" i="150"/>
  <c r="D59" i="150"/>
  <c r="D43" i="150"/>
  <c r="D55" i="150"/>
  <c r="D58" i="150"/>
  <c r="D41" i="150"/>
  <c r="D53" i="150"/>
  <c r="D48" i="150"/>
  <c r="D52" i="150"/>
  <c r="D50" i="150"/>
  <c r="D40" i="150"/>
  <c r="D45" i="150"/>
  <c r="C119" i="150"/>
  <c r="C123" i="150" s="1"/>
  <c r="C34" i="150"/>
  <c r="C43" i="150"/>
  <c r="C45" i="150"/>
  <c r="C56" i="150"/>
  <c r="C49" i="150"/>
  <c r="C59" i="150"/>
  <c r="C52" i="150"/>
  <c r="C42" i="150"/>
  <c r="C53" i="150"/>
  <c r="C57" i="150"/>
  <c r="C55" i="150"/>
  <c r="C54" i="150"/>
  <c r="C40" i="150"/>
  <c r="C50" i="150"/>
  <c r="C51" i="150"/>
  <c r="C46" i="150"/>
  <c r="C47" i="150"/>
  <c r="C48" i="150"/>
  <c r="C44" i="150"/>
  <c r="C58" i="150"/>
  <c r="C41" i="150"/>
  <c r="R80" i="150"/>
  <c r="AG102" i="150"/>
  <c r="AA102" i="150"/>
  <c r="J119" i="150"/>
  <c r="J123" i="150" s="1"/>
  <c r="J34" i="150"/>
  <c r="J44" i="150"/>
  <c r="J56" i="150"/>
  <c r="J51" i="150"/>
  <c r="J49" i="150"/>
  <c r="J53" i="150"/>
  <c r="J41" i="150"/>
  <c r="J48" i="150"/>
  <c r="J46" i="150"/>
  <c r="J50" i="150"/>
  <c r="J59" i="150"/>
  <c r="J58" i="150"/>
  <c r="J45" i="150"/>
  <c r="J57" i="150"/>
  <c r="J43" i="150"/>
  <c r="J55" i="150"/>
  <c r="J47" i="150"/>
  <c r="J40" i="150"/>
  <c r="J42" i="150"/>
  <c r="J54" i="150"/>
  <c r="J52" i="150"/>
  <c r="AG101" i="150"/>
  <c r="AA101" i="150"/>
  <c r="V92" i="150"/>
  <c r="P92" i="150"/>
  <c r="V93" i="150"/>
  <c r="AM93" i="150" s="1"/>
  <c r="AW93" i="150" s="1"/>
  <c r="AP99" i="150"/>
  <c r="AZ99" i="150" s="1"/>
  <c r="AG105" i="150"/>
  <c r="AA105" i="150"/>
  <c r="AG110" i="150"/>
  <c r="AA110" i="150"/>
  <c r="U80" i="150"/>
  <c r="U103" i="150"/>
  <c r="O103" i="150"/>
  <c r="V94" i="150"/>
  <c r="AM94" i="150" s="1"/>
  <c r="AW94" i="150" s="1"/>
  <c r="H119" i="150"/>
  <c r="H123" i="150" s="1"/>
  <c r="H34" i="150"/>
  <c r="H53" i="150"/>
  <c r="H44" i="150"/>
  <c r="H52" i="150"/>
  <c r="H50" i="150"/>
  <c r="H45" i="150"/>
  <c r="H49" i="150"/>
  <c r="H58" i="150"/>
  <c r="H42" i="150"/>
  <c r="H46" i="150"/>
  <c r="H57" i="150"/>
  <c r="H56" i="150"/>
  <c r="H43" i="150"/>
  <c r="H54" i="150"/>
  <c r="H59" i="150"/>
  <c r="H41" i="150"/>
  <c r="H51" i="150"/>
  <c r="H40" i="150"/>
  <c r="H55" i="150"/>
  <c r="H48" i="150"/>
  <c r="H47" i="150"/>
  <c r="G119" i="150"/>
  <c r="G123" i="150" s="1"/>
  <c r="G34" i="150"/>
  <c r="G46" i="150"/>
  <c r="G48" i="150"/>
  <c r="G58" i="150"/>
  <c r="G47" i="150"/>
  <c r="G54" i="150"/>
  <c r="G52" i="150"/>
  <c r="G53" i="150"/>
  <c r="G45" i="150"/>
  <c r="G43" i="150"/>
  <c r="G44" i="150"/>
  <c r="G51" i="150"/>
  <c r="G59" i="150"/>
  <c r="G49" i="150"/>
  <c r="G50" i="150"/>
  <c r="G57" i="150"/>
  <c r="G55" i="150"/>
  <c r="G42" i="150"/>
  <c r="G56" i="150"/>
  <c r="G41" i="150"/>
  <c r="G40" i="150"/>
  <c r="AB95" i="150"/>
  <c r="AQ95" i="150" s="1"/>
  <c r="BA95" i="150" s="1"/>
  <c r="AB92" i="150"/>
  <c r="AH92" i="150"/>
  <c r="O119" i="150"/>
  <c r="O123" i="150" s="1"/>
  <c r="O34" i="150"/>
  <c r="O48" i="150"/>
  <c r="O41" i="150"/>
  <c r="O53" i="150"/>
  <c r="O55" i="150"/>
  <c r="O43" i="150"/>
  <c r="O45" i="150"/>
  <c r="O57" i="150"/>
  <c r="O50" i="150"/>
  <c r="O59" i="150"/>
  <c r="O40" i="150"/>
  <c r="O52" i="150"/>
  <c r="O42" i="150"/>
  <c r="O54" i="150"/>
  <c r="O47" i="150"/>
  <c r="O49" i="150"/>
  <c r="O58" i="150"/>
  <c r="O51" i="150"/>
  <c r="O44" i="150"/>
  <c r="O56" i="150"/>
  <c r="O46" i="150"/>
  <c r="Q80" i="150"/>
  <c r="AB94" i="150"/>
  <c r="AQ94" i="150" s="1"/>
  <c r="BA94" i="150" s="1"/>
  <c r="AG106" i="150"/>
  <c r="AA106" i="150"/>
  <c r="V95" i="150"/>
  <c r="AM95" i="150" s="1"/>
  <c r="AW95" i="150" s="1"/>
  <c r="AH104" i="150"/>
  <c r="AB104" i="150"/>
  <c r="O98" i="150"/>
  <c r="U98" i="150"/>
  <c r="AH105" i="150"/>
  <c r="AB105" i="150"/>
  <c r="K119" i="150"/>
  <c r="K121" i="150" s="1"/>
  <c r="K125" i="150" s="1"/>
  <c r="K34" i="150"/>
  <c r="K46" i="150"/>
  <c r="K56" i="150"/>
  <c r="K42" i="150"/>
  <c r="K54" i="150"/>
  <c r="K44" i="150"/>
  <c r="K43" i="150"/>
  <c r="K55" i="150"/>
  <c r="K53" i="150"/>
  <c r="K51" i="150"/>
  <c r="K58" i="150"/>
  <c r="K41" i="150"/>
  <c r="K40" i="150"/>
  <c r="K52" i="150"/>
  <c r="K48" i="150"/>
  <c r="K50" i="150"/>
  <c r="K49" i="150"/>
  <c r="K59" i="150"/>
  <c r="K45" i="150"/>
  <c r="K57" i="150"/>
  <c r="K47" i="150"/>
  <c r="AA98" i="150"/>
  <c r="AG98" i="150"/>
  <c r="AG95" i="150"/>
  <c r="AA95" i="150"/>
  <c r="E119" i="150"/>
  <c r="E121" i="150" s="1"/>
  <c r="E125" i="150" s="1"/>
  <c r="E34" i="150"/>
  <c r="E40" i="150"/>
  <c r="E52" i="150"/>
  <c r="E51" i="150"/>
  <c r="E47" i="150"/>
  <c r="E49" i="150"/>
  <c r="E48" i="150"/>
  <c r="E44" i="150"/>
  <c r="E56" i="150"/>
  <c r="E46" i="150"/>
  <c r="E59" i="150"/>
  <c r="E45" i="150"/>
  <c r="E57" i="150"/>
  <c r="E41" i="150"/>
  <c r="E53" i="150"/>
  <c r="E43" i="150"/>
  <c r="E55" i="150"/>
  <c r="E54" i="150"/>
  <c r="E58" i="150"/>
  <c r="E42" i="150"/>
  <c r="E50" i="150"/>
  <c r="U92" i="150"/>
  <c r="O92" i="150"/>
  <c r="V104" i="150"/>
  <c r="P104" i="150"/>
  <c r="O95" i="150"/>
  <c r="U95" i="150"/>
  <c r="P99" i="150"/>
  <c r="AM99" i="150" s="1"/>
  <c r="AW99" i="150" s="1"/>
  <c r="N119" i="150"/>
  <c r="N123" i="150" s="1"/>
  <c r="N34" i="150"/>
  <c r="N41" i="150"/>
  <c r="N52" i="150"/>
  <c r="N56" i="150"/>
  <c r="N59" i="150"/>
  <c r="N49" i="150"/>
  <c r="N54" i="150"/>
  <c r="N53" i="150"/>
  <c r="N58" i="150"/>
  <c r="N46" i="150"/>
  <c r="N50" i="150"/>
  <c r="N45" i="150"/>
  <c r="N47" i="150"/>
  <c r="N40" i="150"/>
  <c r="N43" i="150"/>
  <c r="N57" i="150"/>
  <c r="N42" i="150"/>
  <c r="N44" i="150"/>
  <c r="N55" i="150"/>
  <c r="N51" i="150"/>
  <c r="N48" i="150"/>
  <c r="V107" i="150"/>
  <c r="AM107" i="150" s="1"/>
  <c r="AW106" i="150" s="1"/>
  <c r="AH96" i="150"/>
  <c r="AB96" i="150"/>
  <c r="P101" i="150"/>
  <c r="V101" i="150"/>
  <c r="L119" i="150"/>
  <c r="L121" i="150" s="1"/>
  <c r="L125" i="150" s="1"/>
  <c r="L34" i="150"/>
  <c r="L51" i="150"/>
  <c r="L43" i="150"/>
  <c r="L41" i="150"/>
  <c r="L57" i="150"/>
  <c r="L47" i="150"/>
  <c r="L49" i="150"/>
  <c r="L42" i="150"/>
  <c r="L53" i="150"/>
  <c r="L40" i="150"/>
  <c r="L48" i="150"/>
  <c r="L55" i="150"/>
  <c r="L58" i="150"/>
  <c r="L59" i="150"/>
  <c r="L54" i="150"/>
  <c r="L46" i="150"/>
  <c r="L44" i="150"/>
  <c r="L50" i="150"/>
  <c r="L52" i="150"/>
  <c r="L45" i="150"/>
  <c r="L56" i="150"/>
  <c r="AB107" i="150"/>
  <c r="AQ107" i="150" s="1"/>
  <c r="BA106" i="150" s="1"/>
  <c r="V96" i="150"/>
  <c r="P96" i="150"/>
  <c r="V80" i="150"/>
  <c r="AG100" i="150"/>
  <c r="AA100" i="150"/>
  <c r="AA104" i="150"/>
  <c r="AG104" i="150"/>
  <c r="U110" i="150"/>
  <c r="O110" i="150"/>
  <c r="AA93" i="150"/>
  <c r="AG93" i="150"/>
  <c r="U93" i="150"/>
  <c r="O93" i="150"/>
  <c r="S34" i="150"/>
  <c r="S40" i="150"/>
  <c r="S48" i="150"/>
  <c r="S55" i="150"/>
  <c r="S44" i="150"/>
  <c r="S46" i="150"/>
  <c r="S43" i="150"/>
  <c r="S58" i="150"/>
  <c r="S45" i="150"/>
  <c r="S41" i="150"/>
  <c r="S49" i="150"/>
  <c r="S56" i="150"/>
  <c r="S42" i="150"/>
  <c r="S52" i="150"/>
  <c r="S59" i="150"/>
  <c r="S57" i="150"/>
  <c r="S53" i="150"/>
  <c r="S54" i="150"/>
  <c r="S50" i="150"/>
  <c r="S51" i="150"/>
  <c r="S47" i="150"/>
  <c r="P103" i="150"/>
  <c r="V103" i="150"/>
  <c r="AG103" i="150"/>
  <c r="AA103" i="150"/>
  <c r="AB108" i="150"/>
  <c r="AH108" i="150"/>
  <c r="AH101" i="150"/>
  <c r="AB101" i="150"/>
  <c r="V110" i="150"/>
  <c r="P110" i="150"/>
  <c r="D46" i="109"/>
  <c r="C46" i="109"/>
  <c r="D40" i="109"/>
  <c r="D57" i="109" s="1"/>
  <c r="C40" i="109"/>
  <c r="C57" i="109" s="1"/>
  <c r="D39" i="109"/>
  <c r="D56" i="109" s="1"/>
  <c r="C39" i="109"/>
  <c r="C56" i="109" s="1"/>
  <c r="D38" i="109"/>
  <c r="D55" i="109" s="1"/>
  <c r="C38" i="109"/>
  <c r="C55" i="109" s="1"/>
  <c r="D31" i="109"/>
  <c r="D48" i="109" s="1"/>
  <c r="C31" i="109"/>
  <c r="C48" i="109" s="1"/>
  <c r="D37" i="109"/>
  <c r="D54" i="109" s="1"/>
  <c r="C37" i="109"/>
  <c r="C54" i="109" s="1"/>
  <c r="D36" i="109"/>
  <c r="D53" i="109" s="1"/>
  <c r="C36" i="109"/>
  <c r="C53" i="109" s="1"/>
  <c r="D35" i="109"/>
  <c r="D52" i="109" s="1"/>
  <c r="C35" i="109"/>
  <c r="C52" i="109" s="1"/>
  <c r="D34" i="109"/>
  <c r="D51" i="109" s="1"/>
  <c r="C34" i="109"/>
  <c r="C51" i="109" s="1"/>
  <c r="D33" i="109"/>
  <c r="D50" i="109" s="1"/>
  <c r="C33" i="109"/>
  <c r="C50" i="109" s="1"/>
  <c r="D32" i="109"/>
  <c r="D49" i="109" s="1"/>
  <c r="C32" i="109"/>
  <c r="C49" i="109" s="1"/>
  <c r="D30" i="109"/>
  <c r="D47" i="109" s="1"/>
  <c r="C30" i="109"/>
  <c r="C47" i="109" s="1"/>
  <c r="E46" i="109"/>
  <c r="E29" i="109"/>
  <c r="AL101" i="150" l="1"/>
  <c r="AP96" i="150"/>
  <c r="AZ96" i="150" s="1"/>
  <c r="AL105" i="150"/>
  <c r="AV104" i="150" s="1"/>
  <c r="AP91" i="150"/>
  <c r="AZ91" i="150" s="1"/>
  <c r="AM108" i="150"/>
  <c r="AW107" i="150" s="1"/>
  <c r="AP100" i="150"/>
  <c r="AZ100" i="150" s="1"/>
  <c r="AM96" i="150"/>
  <c r="AW96" i="150" s="1"/>
  <c r="AP104" i="150"/>
  <c r="AZ103" i="150" s="1"/>
  <c r="AM92" i="150"/>
  <c r="AW92" i="150" s="1"/>
  <c r="AQ92" i="150"/>
  <c r="BA92" i="150" s="1"/>
  <c r="N121" i="150"/>
  <c r="N125" i="150" s="1"/>
  <c r="AM104" i="150"/>
  <c r="AW103" i="150" s="1"/>
  <c r="AP106" i="150"/>
  <c r="AZ105" i="150" s="1"/>
  <c r="AL99" i="150"/>
  <c r="AV99" i="150" s="1"/>
  <c r="AQ105" i="150"/>
  <c r="BA104" i="150" s="1"/>
  <c r="AL103" i="150"/>
  <c r="AP101" i="150"/>
  <c r="O121" i="150"/>
  <c r="O125" i="150" s="1"/>
  <c r="AM110" i="150"/>
  <c r="AW109" i="150" s="1"/>
  <c r="AQ104" i="150"/>
  <c r="BA103" i="150" s="1"/>
  <c r="AP105" i="150"/>
  <c r="AZ104" i="150" s="1"/>
  <c r="AL97" i="150"/>
  <c r="AV97" i="150" s="1"/>
  <c r="AG111" i="150"/>
  <c r="AM101" i="150"/>
  <c r="AQ96" i="150"/>
  <c r="BA96" i="150" s="1"/>
  <c r="AQ101" i="150"/>
  <c r="BA101" i="150" s="1"/>
  <c r="AL98" i="150"/>
  <c r="AV98" i="150" s="1"/>
  <c r="AM100" i="150"/>
  <c r="AW100" i="150" s="1"/>
  <c r="AL95" i="150"/>
  <c r="AV95" i="150" s="1"/>
  <c r="AH111" i="150"/>
  <c r="AQ108" i="150"/>
  <c r="BA107" i="150" s="1"/>
  <c r="S80" i="150"/>
  <c r="AQ110" i="150"/>
  <c r="BA109" i="150" s="1"/>
  <c r="O80" i="150"/>
  <c r="M105" i="150"/>
  <c r="S105" i="150"/>
  <c r="AP103" i="150"/>
  <c r="Y95" i="150"/>
  <c r="AE95" i="150"/>
  <c r="AE108" i="150"/>
  <c r="Y108" i="150"/>
  <c r="S106" i="150"/>
  <c r="M106" i="150"/>
  <c r="S98" i="150"/>
  <c r="M98" i="150"/>
  <c r="AD96" i="150"/>
  <c r="X96" i="150"/>
  <c r="AD94" i="150"/>
  <c r="X94" i="150"/>
  <c r="R102" i="150"/>
  <c r="L102" i="150"/>
  <c r="AL93" i="150"/>
  <c r="AV93" i="150" s="1"/>
  <c r="Y97" i="150"/>
  <c r="AE97" i="150"/>
  <c r="AE92" i="150"/>
  <c r="Y92" i="150"/>
  <c r="M94" i="150"/>
  <c r="S94" i="150"/>
  <c r="M102" i="150"/>
  <c r="S102" i="150"/>
  <c r="AD110" i="150"/>
  <c r="X110" i="150"/>
  <c r="X95" i="150"/>
  <c r="AD95" i="150"/>
  <c r="L96" i="150"/>
  <c r="R96" i="150"/>
  <c r="L93" i="150"/>
  <c r="R93" i="150"/>
  <c r="AL96" i="150"/>
  <c r="AV96" i="150" s="1"/>
  <c r="AP97" i="150"/>
  <c r="AZ97" i="150" s="1"/>
  <c r="AE105" i="150"/>
  <c r="Y105" i="150"/>
  <c r="M103" i="150"/>
  <c r="S103" i="150"/>
  <c r="X100" i="150"/>
  <c r="AD100" i="150"/>
  <c r="X105" i="150"/>
  <c r="AD105" i="150"/>
  <c r="J80" i="150"/>
  <c r="R91" i="150"/>
  <c r="D80" i="150"/>
  <c r="L91" i="150"/>
  <c r="L97" i="150"/>
  <c r="R97" i="150"/>
  <c r="V111" i="150"/>
  <c r="AD108" i="150"/>
  <c r="X108" i="150"/>
  <c r="Y110" i="150"/>
  <c r="AE110" i="150"/>
  <c r="M92" i="150"/>
  <c r="S92" i="150"/>
  <c r="E80" i="150"/>
  <c r="M91" i="150"/>
  <c r="S91" i="150"/>
  <c r="AD101" i="150"/>
  <c r="X101" i="150"/>
  <c r="X93" i="150"/>
  <c r="AD93" i="150"/>
  <c r="R101" i="150"/>
  <c r="L101" i="150"/>
  <c r="R107" i="150"/>
  <c r="L107" i="150"/>
  <c r="O111" i="150"/>
  <c r="AL91" i="150"/>
  <c r="P111" i="150"/>
  <c r="AM91" i="150"/>
  <c r="S100" i="150"/>
  <c r="M100" i="150"/>
  <c r="AE102" i="150"/>
  <c r="Y102" i="150"/>
  <c r="AP93" i="150"/>
  <c r="AA111" i="150"/>
  <c r="Y109" i="150"/>
  <c r="AE109" i="150"/>
  <c r="S108" i="150"/>
  <c r="M108" i="150"/>
  <c r="AD99" i="150"/>
  <c r="X99" i="150"/>
  <c r="X107" i="150"/>
  <c r="AD107" i="150"/>
  <c r="G80" i="150"/>
  <c r="R103" i="150"/>
  <c r="L103" i="150"/>
  <c r="R95" i="150"/>
  <c r="L95" i="150"/>
  <c r="U111" i="150"/>
  <c r="X106" i="150"/>
  <c r="AD106" i="150"/>
  <c r="M104" i="150"/>
  <c r="S104" i="150"/>
  <c r="AM103" i="150"/>
  <c r="Y106" i="150"/>
  <c r="AE106" i="150"/>
  <c r="S96" i="150"/>
  <c r="M96" i="150"/>
  <c r="X103" i="150"/>
  <c r="AD103" i="150"/>
  <c r="AD97" i="150"/>
  <c r="X97" i="150"/>
  <c r="H80" i="150"/>
  <c r="R99" i="150"/>
  <c r="L99" i="150"/>
  <c r="L105" i="150"/>
  <c r="R105" i="150"/>
  <c r="Y94" i="150"/>
  <c r="AE94" i="150"/>
  <c r="AE99" i="150"/>
  <c r="Y99" i="150"/>
  <c r="AL92" i="150"/>
  <c r="AV92" i="150" s="1"/>
  <c r="S110" i="150"/>
  <c r="M110" i="150"/>
  <c r="AP95" i="150"/>
  <c r="AZ95" i="150" s="1"/>
  <c r="X91" i="150"/>
  <c r="K80" i="150"/>
  <c r="AD91" i="150"/>
  <c r="AP110" i="150"/>
  <c r="AZ109" i="150" s="1"/>
  <c r="R104" i="150"/>
  <c r="L104" i="150"/>
  <c r="L100" i="150"/>
  <c r="R100" i="150"/>
  <c r="R110" i="150"/>
  <c r="L110" i="150"/>
  <c r="AL110" i="150"/>
  <c r="AV109" i="150" s="1"/>
  <c r="L80" i="150"/>
  <c r="AE91" i="150"/>
  <c r="Y91" i="150"/>
  <c r="S97" i="150"/>
  <c r="M97" i="150"/>
  <c r="X92" i="150"/>
  <c r="AD92" i="150"/>
  <c r="G121" i="150"/>
  <c r="G125" i="150" s="1"/>
  <c r="C121" i="150"/>
  <c r="C125" i="150" s="1"/>
  <c r="C126" i="150" s="1"/>
  <c r="C127" i="150" s="1"/>
  <c r="R92" i="150"/>
  <c r="L92" i="150"/>
  <c r="R98" i="150"/>
  <c r="L98" i="150"/>
  <c r="Y101" i="150"/>
  <c r="AE101" i="150"/>
  <c r="Y107" i="150"/>
  <c r="AE107" i="150"/>
  <c r="AE104" i="150"/>
  <c r="Y104" i="150"/>
  <c r="N80" i="150"/>
  <c r="S101" i="150"/>
  <c r="M101" i="150"/>
  <c r="M107" i="150"/>
  <c r="S107" i="150"/>
  <c r="AD109" i="150"/>
  <c r="X109" i="150"/>
  <c r="L109" i="150"/>
  <c r="R109" i="150"/>
  <c r="L108" i="150"/>
  <c r="R108" i="150"/>
  <c r="AL100" i="150"/>
  <c r="AV100" i="150" s="1"/>
  <c r="AQ102" i="150"/>
  <c r="BA102" i="150" s="1"/>
  <c r="Y98" i="150"/>
  <c r="AE98" i="150"/>
  <c r="Y96" i="150"/>
  <c r="AE96" i="150"/>
  <c r="Y93" i="150"/>
  <c r="AE93" i="150"/>
  <c r="M93" i="150"/>
  <c r="S93" i="150"/>
  <c r="M95" i="150"/>
  <c r="S95" i="150"/>
  <c r="AP98" i="150"/>
  <c r="AZ98" i="150" s="1"/>
  <c r="AD102" i="150"/>
  <c r="X102" i="150"/>
  <c r="H121" i="150"/>
  <c r="H125" i="150" s="1"/>
  <c r="BA91" i="150"/>
  <c r="AP102" i="150"/>
  <c r="AZ102" i="150" s="1"/>
  <c r="R106" i="150"/>
  <c r="L106" i="150"/>
  <c r="AE103" i="150"/>
  <c r="Y103" i="150"/>
  <c r="Y100" i="150"/>
  <c r="AE100" i="150"/>
  <c r="M109" i="150"/>
  <c r="S109" i="150"/>
  <c r="S99" i="150"/>
  <c r="M99" i="150"/>
  <c r="AD98" i="150"/>
  <c r="X98" i="150"/>
  <c r="X104" i="150"/>
  <c r="AD104" i="150"/>
  <c r="J121" i="150"/>
  <c r="J125" i="150" s="1"/>
  <c r="J126" i="150" s="1"/>
  <c r="J127" i="150" s="1"/>
  <c r="AB111" i="150"/>
  <c r="C80" i="150"/>
  <c r="R94" i="150"/>
  <c r="L94" i="150"/>
  <c r="AP107" i="150"/>
  <c r="AZ106" i="150" s="1"/>
  <c r="AL104" i="150"/>
  <c r="AV103" i="150" s="1"/>
  <c r="E6" i="109"/>
  <c r="F6" i="109"/>
  <c r="AJ3" i="143"/>
  <c r="AJ3" i="144"/>
  <c r="AV101" i="150" l="1"/>
  <c r="AZ101" i="150"/>
  <c r="AW101" i="150"/>
  <c r="AK97" i="150"/>
  <c r="AU97" i="150" s="1"/>
  <c r="BC97" i="150" s="1"/>
  <c r="AN98" i="150"/>
  <c r="AX98" i="150" s="1"/>
  <c r="BD98" i="150" s="1"/>
  <c r="AK110" i="150"/>
  <c r="AU109" i="150" s="1"/>
  <c r="BC109" i="150" s="1"/>
  <c r="AK96" i="150"/>
  <c r="AU96" i="150" s="1"/>
  <c r="BC96" i="150" s="1"/>
  <c r="AK104" i="150"/>
  <c r="AU103" i="150" s="1"/>
  <c r="BC103" i="150" s="1"/>
  <c r="AJ94" i="150"/>
  <c r="AT94" i="150" s="1"/>
  <c r="BB94" i="150" s="1"/>
  <c r="H124" i="150"/>
  <c r="H126" i="150" s="1"/>
  <c r="H127" i="150" s="1"/>
  <c r="AJ103" i="150"/>
  <c r="AN94" i="150"/>
  <c r="AX94" i="150" s="1"/>
  <c r="BD94" i="150" s="1"/>
  <c r="AK94" i="150"/>
  <c r="AU94" i="150" s="1"/>
  <c r="BC94" i="150" s="1"/>
  <c r="AK98" i="150"/>
  <c r="AU98" i="150" s="1"/>
  <c r="BC98" i="150" s="1"/>
  <c r="AN106" i="150"/>
  <c r="AX105" i="150" s="1"/>
  <c r="BD105" i="150" s="1"/>
  <c r="AJ107" i="150"/>
  <c r="AT106" i="150" s="1"/>
  <c r="BB106" i="150" s="1"/>
  <c r="AK106" i="150"/>
  <c r="AU105" i="150" s="1"/>
  <c r="BC105" i="150" s="1"/>
  <c r="AO110" i="150"/>
  <c r="AY109" i="150" s="1"/>
  <c r="BE109" i="150" s="1"/>
  <c r="AJ102" i="150"/>
  <c r="AT102" i="150" s="1"/>
  <c r="BB102" i="150" s="1"/>
  <c r="O124" i="150"/>
  <c r="O126" i="150" s="1"/>
  <c r="O127" i="150" s="1"/>
  <c r="AK107" i="150"/>
  <c r="AU106" i="150" s="1"/>
  <c r="BC106" i="150" s="1"/>
  <c r="N124" i="150"/>
  <c r="N126" i="150" s="1"/>
  <c r="N127" i="150" s="1"/>
  <c r="AO94" i="150"/>
  <c r="AY94" i="150" s="1"/>
  <c r="BE94" i="150" s="1"/>
  <c r="AN95" i="150"/>
  <c r="AX95" i="150" s="1"/>
  <c r="BD95" i="150" s="1"/>
  <c r="AK100" i="150"/>
  <c r="AU100" i="150" s="1"/>
  <c r="BC100" i="150" s="1"/>
  <c r="AN101" i="150"/>
  <c r="AK92" i="150"/>
  <c r="AU92" i="150" s="1"/>
  <c r="BC92" i="150" s="1"/>
  <c r="AK95" i="150"/>
  <c r="AU95" i="150" s="1"/>
  <c r="BC95" i="150" s="1"/>
  <c r="AJ108" i="150"/>
  <c r="AT107" i="150" s="1"/>
  <c r="BB107" i="150" s="1"/>
  <c r="AJ100" i="150"/>
  <c r="AT100" i="150" s="1"/>
  <c r="BB100" i="150" s="1"/>
  <c r="AJ95" i="150"/>
  <c r="AT95" i="150" s="1"/>
  <c r="BB95" i="150" s="1"/>
  <c r="AO109" i="150"/>
  <c r="AY108" i="150" s="1"/>
  <c r="BE108" i="150" s="1"/>
  <c r="AO97" i="150"/>
  <c r="AY97" i="150" s="1"/>
  <c r="BE97" i="150" s="1"/>
  <c r="AO108" i="150"/>
  <c r="AY107" i="150" s="1"/>
  <c r="BE107" i="150" s="1"/>
  <c r="AJ101" i="150"/>
  <c r="AN109" i="150"/>
  <c r="AX108" i="150" s="1"/>
  <c r="BD108" i="150" s="1"/>
  <c r="AO105" i="150"/>
  <c r="AY104" i="150" s="1"/>
  <c r="BE104" i="150" s="1"/>
  <c r="AK99" i="150"/>
  <c r="AU99" i="150" s="1"/>
  <c r="BC99" i="150" s="1"/>
  <c r="AJ99" i="150"/>
  <c r="AT99" i="150" s="1"/>
  <c r="BB99" i="150" s="1"/>
  <c r="AN107" i="150"/>
  <c r="AX106" i="150" s="1"/>
  <c r="BD106" i="150" s="1"/>
  <c r="AO103" i="150"/>
  <c r="AO99" i="150"/>
  <c r="AY99" i="150" s="1"/>
  <c r="BE99" i="150" s="1"/>
  <c r="AK108" i="150"/>
  <c r="AU107" i="150" s="1"/>
  <c r="BC107" i="150" s="1"/>
  <c r="AK91" i="150"/>
  <c r="M111" i="150"/>
  <c r="AN104" i="150"/>
  <c r="AX103" i="150" s="1"/>
  <c r="BD103" i="150" s="1"/>
  <c r="AJ106" i="150"/>
  <c r="AT105" i="150" s="1"/>
  <c r="BB105" i="150" s="1"/>
  <c r="AK93" i="150"/>
  <c r="AU93" i="150" s="1"/>
  <c r="BC93" i="150" s="1"/>
  <c r="AJ109" i="150"/>
  <c r="AT108" i="150" s="1"/>
  <c r="BB108" i="150" s="1"/>
  <c r="AO107" i="150"/>
  <c r="AY106" i="150" s="1"/>
  <c r="BE106" i="150" s="1"/>
  <c r="AN92" i="150"/>
  <c r="AX92" i="150" s="1"/>
  <c r="BD92" i="150" s="1"/>
  <c r="AJ104" i="150"/>
  <c r="AT103" i="150" s="1"/>
  <c r="BB103" i="150" s="1"/>
  <c r="AN103" i="150"/>
  <c r="G124" i="150"/>
  <c r="G126" i="150" s="1"/>
  <c r="G127" i="150" s="1"/>
  <c r="AJ93" i="150"/>
  <c r="AT93" i="150" s="1"/>
  <c r="BB93" i="150" s="1"/>
  <c r="AO92" i="150"/>
  <c r="AY92" i="150" s="1"/>
  <c r="BE92" i="150" s="1"/>
  <c r="AN105" i="150"/>
  <c r="AX104" i="150" s="1"/>
  <c r="BD104" i="150" s="1"/>
  <c r="AJ96" i="150"/>
  <c r="AT96" i="150" s="1"/>
  <c r="BB96" i="150" s="1"/>
  <c r="AO101" i="150"/>
  <c r="AZ93" i="150"/>
  <c r="AP111" i="150"/>
  <c r="AZ110" i="150" s="1"/>
  <c r="R111" i="150"/>
  <c r="AO93" i="150"/>
  <c r="AY93" i="150" s="1"/>
  <c r="BE93" i="150" s="1"/>
  <c r="AD111" i="150"/>
  <c r="AQ111" i="150"/>
  <c r="BA110" i="150" s="1"/>
  <c r="AO96" i="150"/>
  <c r="AY96" i="150" s="1"/>
  <c r="BE96" i="150" s="1"/>
  <c r="AJ98" i="150"/>
  <c r="AT98" i="150" s="1"/>
  <c r="BB98" i="150" s="1"/>
  <c r="Y111" i="150"/>
  <c r="AO91" i="150"/>
  <c r="AJ105" i="150"/>
  <c r="AT104" i="150" s="1"/>
  <c r="BB104" i="150" s="1"/>
  <c r="AO102" i="150"/>
  <c r="AY102" i="150" s="1"/>
  <c r="BE102" i="150" s="1"/>
  <c r="AN108" i="150"/>
  <c r="AX107" i="150" s="1"/>
  <c r="BD107" i="150" s="1"/>
  <c r="AN100" i="150"/>
  <c r="AX100" i="150" s="1"/>
  <c r="BD100" i="150" s="1"/>
  <c r="AE111" i="150"/>
  <c r="X111" i="150"/>
  <c r="AN91" i="150"/>
  <c r="AK109" i="150"/>
  <c r="AU108" i="150" s="1"/>
  <c r="BC108" i="150" s="1"/>
  <c r="AN102" i="150"/>
  <c r="AX102" i="150" s="1"/>
  <c r="BD102" i="150" s="1"/>
  <c r="AO98" i="150"/>
  <c r="AY98" i="150" s="1"/>
  <c r="BE98" i="150" s="1"/>
  <c r="AK101" i="150"/>
  <c r="AJ92" i="150"/>
  <c r="AT92" i="150" s="1"/>
  <c r="BB92" i="150" s="1"/>
  <c r="AO106" i="150"/>
  <c r="AY105" i="150" s="1"/>
  <c r="BE105" i="150" s="1"/>
  <c r="AN93" i="150"/>
  <c r="AX93" i="150" s="1"/>
  <c r="BD93" i="150" s="1"/>
  <c r="AK103" i="150"/>
  <c r="AN110" i="150"/>
  <c r="AX109" i="150" s="1"/>
  <c r="BD109" i="150" s="1"/>
  <c r="AO95" i="150"/>
  <c r="AY95" i="150" s="1"/>
  <c r="BE95" i="150" s="1"/>
  <c r="AL111" i="150"/>
  <c r="AV110" i="150" s="1"/>
  <c r="AV91" i="150"/>
  <c r="AJ110" i="150"/>
  <c r="AT109" i="150" s="1"/>
  <c r="BB109" i="150" s="1"/>
  <c r="AN99" i="150"/>
  <c r="AX99" i="150" s="1"/>
  <c r="BD99" i="150" s="1"/>
  <c r="AJ97" i="150"/>
  <c r="AT97" i="150" s="1"/>
  <c r="BB97" i="150" s="1"/>
  <c r="AO100" i="150"/>
  <c r="AY100" i="150" s="1"/>
  <c r="BE100" i="150" s="1"/>
  <c r="AO104" i="150"/>
  <c r="AY103" i="150" s="1"/>
  <c r="BE103" i="150" s="1"/>
  <c r="AN97" i="150"/>
  <c r="AX97" i="150" s="1"/>
  <c r="BD97" i="150" s="1"/>
  <c r="AM111" i="150"/>
  <c r="AW110" i="150" s="1"/>
  <c r="AW91" i="150"/>
  <c r="S111" i="150"/>
  <c r="L111" i="150"/>
  <c r="AJ91" i="150"/>
  <c r="AK102" i="150"/>
  <c r="AU102" i="150" s="1"/>
  <c r="BC102" i="150" s="1"/>
  <c r="AN96" i="150"/>
  <c r="AX96" i="150" s="1"/>
  <c r="BD96" i="150" s="1"/>
  <c r="AK105" i="150"/>
  <c r="AU104" i="150" s="1"/>
  <c r="BC104" i="150" s="1"/>
  <c r="R4" i="83"/>
  <c r="R4" i="143"/>
  <c r="R4" i="144"/>
  <c r="R4" i="84"/>
  <c r="R4" i="145"/>
  <c r="R4" i="146"/>
  <c r="R4" i="85"/>
  <c r="R4" i="147"/>
  <c r="R4" i="148"/>
  <c r="R4" i="75"/>
  <c r="R4" i="103"/>
  <c r="Q4" i="83"/>
  <c r="Q4" i="143"/>
  <c r="Q4" i="144"/>
  <c r="Q4" i="84"/>
  <c r="Q4" i="145"/>
  <c r="Q4" i="146"/>
  <c r="Q4" i="85"/>
  <c r="Q4" i="147"/>
  <c r="Q4" i="148"/>
  <c r="Q4" i="75"/>
  <c r="Q4" i="103"/>
  <c r="O15" i="109"/>
  <c r="U4" i="103" s="1"/>
  <c r="N15" i="109"/>
  <c r="U4" i="148" s="1"/>
  <c r="M15" i="109"/>
  <c r="U4" i="147" s="1"/>
  <c r="L15" i="109"/>
  <c r="K15" i="109"/>
  <c r="J15" i="109"/>
  <c r="I15" i="109"/>
  <c r="H15" i="109"/>
  <c r="G15" i="109"/>
  <c r="F15" i="109"/>
  <c r="U4" i="83" s="1"/>
  <c r="E15" i="109"/>
  <c r="U4" i="149" s="1"/>
  <c r="W4" i="83"/>
  <c r="W4" i="143"/>
  <c r="W4" i="144"/>
  <c r="W4" i="84"/>
  <c r="W4" i="145"/>
  <c r="W4" i="146"/>
  <c r="W4" i="85"/>
  <c r="W4" i="147"/>
  <c r="W4" i="148"/>
  <c r="W4" i="75"/>
  <c r="W4" i="103"/>
  <c r="S4" i="83"/>
  <c r="S4" i="143"/>
  <c r="S4" i="144"/>
  <c r="S4" i="84"/>
  <c r="S4" i="145"/>
  <c r="S4" i="146"/>
  <c r="S4" i="85"/>
  <c r="S4" i="147"/>
  <c r="S4" i="148"/>
  <c r="S4" i="75"/>
  <c r="S4" i="103"/>
  <c r="O4" i="103"/>
  <c r="M4" i="103"/>
  <c r="K4" i="103"/>
  <c r="I4" i="103"/>
  <c r="G4" i="103"/>
  <c r="M4" i="143"/>
  <c r="M4" i="144"/>
  <c r="I4" i="144"/>
  <c r="M4" i="84"/>
  <c r="I4" i="84"/>
  <c r="O4" i="145"/>
  <c r="M4" i="145"/>
  <c r="K4" i="145"/>
  <c r="I4" i="145"/>
  <c r="O4" i="146"/>
  <c r="M4" i="146"/>
  <c r="K4" i="146"/>
  <c r="I4" i="146"/>
  <c r="O4" i="85"/>
  <c r="M4" i="85"/>
  <c r="K4" i="85"/>
  <c r="I4" i="85"/>
  <c r="O4" i="147"/>
  <c r="M4" i="147"/>
  <c r="K4" i="147"/>
  <c r="I4" i="147"/>
  <c r="O4" i="148"/>
  <c r="M4" i="148"/>
  <c r="K4" i="148"/>
  <c r="I4" i="148"/>
  <c r="O4" i="75"/>
  <c r="M4" i="75"/>
  <c r="K4" i="75"/>
  <c r="I4" i="75"/>
  <c r="M4" i="83"/>
  <c r="G4" i="84"/>
  <c r="G4" i="145"/>
  <c r="G4" i="146"/>
  <c r="G4" i="85"/>
  <c r="G4" i="147"/>
  <c r="G4" i="148"/>
  <c r="G4" i="75"/>
  <c r="AA22" i="149"/>
  <c r="AB13" i="149"/>
  <c r="AA20" i="149"/>
  <c r="AB18" i="149"/>
  <c r="AC11" i="149"/>
  <c r="AA21" i="149"/>
  <c r="AD11" i="149"/>
  <c r="AD18" i="149"/>
  <c r="AB14" i="149"/>
  <c r="AB20" i="149"/>
  <c r="AC14" i="149"/>
  <c r="AC23" i="149"/>
  <c r="AA14" i="149"/>
  <c r="AC22" i="149"/>
  <c r="AC13" i="149"/>
  <c r="AB12" i="149"/>
  <c r="AC10" i="149"/>
  <c r="AA10" i="149"/>
  <c r="AD13" i="149"/>
  <c r="AD10" i="149"/>
  <c r="AD12" i="149"/>
  <c r="AA13" i="149"/>
  <c r="AD20" i="149"/>
  <c r="AD16" i="149"/>
  <c r="AC20" i="149"/>
  <c r="AB11" i="149"/>
  <c r="AD22" i="149"/>
  <c r="AD15" i="149"/>
  <c r="AA18" i="149"/>
  <c r="AC18" i="149"/>
  <c r="AB21" i="149"/>
  <c r="AA16" i="149"/>
  <c r="AC12" i="149"/>
  <c r="AB22" i="149"/>
  <c r="AA17" i="149"/>
  <c r="AA12" i="149"/>
  <c r="AD17" i="149"/>
  <c r="AB16" i="149"/>
  <c r="AD23" i="149"/>
  <c r="AB15" i="149"/>
  <c r="AD14" i="149"/>
  <c r="AC21" i="149"/>
  <c r="AC15" i="149"/>
  <c r="AB10" i="149"/>
  <c r="AB23" i="149"/>
  <c r="AC17" i="149"/>
  <c r="AD21" i="149"/>
  <c r="AA23" i="149"/>
  <c r="AA15" i="149"/>
  <c r="AB17" i="149"/>
  <c r="AC16" i="149"/>
  <c r="AA11" i="149"/>
  <c r="U4" i="144" l="1"/>
  <c r="U4" i="152"/>
  <c r="U4" i="84"/>
  <c r="U4" i="153"/>
  <c r="U4" i="145"/>
  <c r="U4" i="154"/>
  <c r="U4" i="146"/>
  <c r="U4" i="155"/>
  <c r="U4" i="85"/>
  <c r="U4" i="156"/>
  <c r="U4" i="143"/>
  <c r="U4" i="151"/>
  <c r="H22" i="156"/>
  <c r="G21" i="156"/>
  <c r="G22" i="156"/>
  <c r="G26" i="155"/>
  <c r="H22" i="155"/>
  <c r="G22" i="155"/>
  <c r="H26" i="156"/>
  <c r="H26" i="155"/>
  <c r="H23" i="156"/>
  <c r="G23" i="156"/>
  <c r="H24" i="155"/>
  <c r="H24" i="156"/>
  <c r="G24" i="155"/>
  <c r="H21" i="156"/>
  <c r="G23" i="155"/>
  <c r="G21" i="155"/>
  <c r="G26" i="156"/>
  <c r="H21" i="155"/>
  <c r="H23" i="155"/>
  <c r="G24" i="156"/>
  <c r="W15" i="156"/>
  <c r="W18" i="156"/>
  <c r="W10" i="156"/>
  <c r="X13" i="156"/>
  <c r="W13" i="156"/>
  <c r="X11" i="156"/>
  <c r="X20" i="156"/>
  <c r="W16" i="156"/>
  <c r="X12" i="156"/>
  <c r="W9" i="156"/>
  <c r="X17" i="156"/>
  <c r="X14" i="155"/>
  <c r="W14" i="155"/>
  <c r="X9" i="155"/>
  <c r="X10" i="155"/>
  <c r="W12" i="156"/>
  <c r="W10" i="155"/>
  <c r="W16" i="155"/>
  <c r="X21" i="155"/>
  <c r="W21" i="156"/>
  <c r="W21" i="155"/>
  <c r="X18" i="156"/>
  <c r="W17" i="156"/>
  <c r="X10" i="156"/>
  <c r="X14" i="156"/>
  <c r="X13" i="155"/>
  <c r="X19" i="155"/>
  <c r="X9" i="156"/>
  <c r="X20" i="155"/>
  <c r="X21" i="156"/>
  <c r="X18" i="155"/>
  <c r="X15" i="155"/>
  <c r="X12" i="155"/>
  <c r="W20" i="156"/>
  <c r="X17" i="155"/>
  <c r="W15" i="155"/>
  <c r="X15" i="156"/>
  <c r="W19" i="156"/>
  <c r="W13" i="155"/>
  <c r="X11" i="155"/>
  <c r="W9" i="155"/>
  <c r="W20" i="155"/>
  <c r="X16" i="155"/>
  <c r="W11" i="156"/>
  <c r="W17" i="155"/>
  <c r="W14" i="156"/>
  <c r="W11" i="155"/>
  <c r="W19" i="155"/>
  <c r="W18" i="155"/>
  <c r="X16" i="156"/>
  <c r="W12" i="155"/>
  <c r="X19" i="156"/>
  <c r="T16" i="156"/>
  <c r="T17" i="156"/>
  <c r="S20" i="156"/>
  <c r="S17" i="156"/>
  <c r="S21" i="156"/>
  <c r="T10" i="156"/>
  <c r="S13" i="156"/>
  <c r="S10" i="156"/>
  <c r="S19" i="156"/>
  <c r="S22" i="156"/>
  <c r="S14" i="156"/>
  <c r="T11" i="156"/>
  <c r="S11" i="156"/>
  <c r="S16" i="156"/>
  <c r="T9" i="156"/>
  <c r="S16" i="155"/>
  <c r="S19" i="155"/>
  <c r="T25" i="155"/>
  <c r="S23" i="156"/>
  <c r="S26" i="155"/>
  <c r="T23" i="156"/>
  <c r="T9" i="155"/>
  <c r="T14" i="155"/>
  <c r="T19" i="155"/>
  <c r="T22" i="155"/>
  <c r="T26" i="155"/>
  <c r="S10" i="155"/>
  <c r="T21" i="155"/>
  <c r="S24" i="156"/>
  <c r="T20" i="155"/>
  <c r="T13" i="156"/>
  <c r="S25" i="156"/>
  <c r="S11" i="155"/>
  <c r="T23" i="155"/>
  <c r="S17" i="155"/>
  <c r="S25" i="155"/>
  <c r="T17" i="155"/>
  <c r="S26" i="156"/>
  <c r="S21" i="155"/>
  <c r="S13" i="155"/>
  <c r="T24" i="156"/>
  <c r="S18" i="156"/>
  <c r="T16" i="155"/>
  <c r="T24" i="155"/>
  <c r="S23" i="155"/>
  <c r="S9" i="156"/>
  <c r="T21" i="156"/>
  <c r="T20" i="156"/>
  <c r="S24" i="155"/>
  <c r="T25" i="156"/>
  <c r="T14" i="156"/>
  <c r="S9" i="155"/>
  <c r="T10" i="155"/>
  <c r="T18" i="155"/>
  <c r="S20" i="155"/>
  <c r="T22" i="156"/>
  <c r="T18" i="156"/>
  <c r="T13" i="155"/>
  <c r="S22" i="155"/>
  <c r="S14" i="155"/>
  <c r="T19" i="156"/>
  <c r="T11" i="155"/>
  <c r="T26" i="156"/>
  <c r="S18" i="155"/>
  <c r="T10" i="153"/>
  <c r="T20" i="153"/>
  <c r="T17" i="153"/>
  <c r="T18" i="153"/>
  <c r="S19" i="153"/>
  <c r="S9" i="154"/>
  <c r="T10" i="154"/>
  <c r="T13" i="153"/>
  <c r="S13" i="153"/>
  <c r="T9" i="153"/>
  <c r="S9" i="153"/>
  <c r="T11" i="153"/>
  <c r="T21" i="153"/>
  <c r="S21" i="153"/>
  <c r="S18" i="153"/>
  <c r="T23" i="153"/>
  <c r="S14" i="153"/>
  <c r="S23" i="153"/>
  <c r="S24" i="153"/>
  <c r="T25" i="154"/>
  <c r="S18" i="154"/>
  <c r="T16" i="153"/>
  <c r="T23" i="154"/>
  <c r="T17" i="154"/>
  <c r="T13" i="154"/>
  <c r="S22" i="153"/>
  <c r="T26" i="153"/>
  <c r="T22" i="154"/>
  <c r="T14" i="154"/>
  <c r="T24" i="153"/>
  <c r="T21" i="154"/>
  <c r="S10" i="153"/>
  <c r="T11" i="154"/>
  <c r="S23" i="154"/>
  <c r="S13" i="154"/>
  <c r="T19" i="154"/>
  <c r="T25" i="153"/>
  <c r="T16" i="154"/>
  <c r="T22" i="153"/>
  <c r="S16" i="153"/>
  <c r="S26" i="154"/>
  <c r="S21" i="154"/>
  <c r="S25" i="154"/>
  <c r="S24" i="154"/>
  <c r="S20" i="154"/>
  <c r="S11" i="153"/>
  <c r="S17" i="154"/>
  <c r="T9" i="154"/>
  <c r="S10" i="154"/>
  <c r="T14" i="153"/>
  <c r="T19" i="153"/>
  <c r="T20" i="154"/>
  <c r="S22" i="154"/>
  <c r="S19" i="154"/>
  <c r="T24" i="154"/>
  <c r="S26" i="153"/>
  <c r="S17" i="153"/>
  <c r="S16" i="154"/>
  <c r="S11" i="154"/>
  <c r="S14" i="154"/>
  <c r="S25" i="153"/>
  <c r="S20" i="153"/>
  <c r="T26" i="154"/>
  <c r="T18" i="154"/>
  <c r="G22" i="153"/>
  <c r="H26" i="153"/>
  <c r="H23" i="153"/>
  <c r="H21" i="153"/>
  <c r="H24" i="153"/>
  <c r="G23" i="153"/>
  <c r="G21" i="153"/>
  <c r="H26" i="154"/>
  <c r="G22" i="154"/>
  <c r="G24" i="153"/>
  <c r="G23" i="154"/>
  <c r="H22" i="154"/>
  <c r="H21" i="154"/>
  <c r="H23" i="154"/>
  <c r="G26" i="153"/>
  <c r="H22" i="153"/>
  <c r="G24" i="154"/>
  <c r="H24" i="154"/>
  <c r="G26" i="154"/>
  <c r="G21" i="154"/>
  <c r="X10" i="154"/>
  <c r="W19" i="153"/>
  <c r="X14" i="153"/>
  <c r="W15" i="153"/>
  <c r="W20" i="153"/>
  <c r="X20" i="153"/>
  <c r="X13" i="153"/>
  <c r="X18" i="154"/>
  <c r="X15" i="154"/>
  <c r="W11" i="154"/>
  <c r="W12" i="154"/>
  <c r="X21" i="154"/>
  <c r="W21" i="154"/>
  <c r="W17" i="154"/>
  <c r="X16" i="153"/>
  <c r="X15" i="153"/>
  <c r="X11" i="153"/>
  <c r="X18" i="153"/>
  <c r="X17" i="153"/>
  <c r="W16" i="153"/>
  <c r="W10" i="154"/>
  <c r="X12" i="154"/>
  <c r="W15" i="154"/>
  <c r="X9" i="154"/>
  <c r="W11" i="153"/>
  <c r="X21" i="153"/>
  <c r="X17" i="154"/>
  <c r="X10" i="153"/>
  <c r="W14" i="154"/>
  <c r="W17" i="153"/>
  <c r="X12" i="153"/>
  <c r="W9" i="154"/>
  <c r="W18" i="154"/>
  <c r="X16" i="154"/>
  <c r="W16" i="154"/>
  <c r="W12" i="153"/>
  <c r="X20" i="154"/>
  <c r="W10" i="153"/>
  <c r="X11" i="154"/>
  <c r="W19" i="154"/>
  <c r="W18" i="153"/>
  <c r="X14" i="154"/>
  <c r="X13" i="154"/>
  <c r="W21" i="153"/>
  <c r="W13" i="153"/>
  <c r="W9" i="153"/>
  <c r="W13" i="154"/>
  <c r="W20" i="154"/>
  <c r="X19" i="153"/>
  <c r="X9" i="153"/>
  <c r="X19" i="154"/>
  <c r="W14" i="153"/>
  <c r="X21" i="152"/>
  <c r="W12" i="152"/>
  <c r="W13" i="152"/>
  <c r="X17" i="152"/>
  <c r="X10" i="152"/>
  <c r="X16" i="152"/>
  <c r="X20" i="152"/>
  <c r="X13" i="152"/>
  <c r="X11" i="152"/>
  <c r="W11" i="152"/>
  <c r="W20" i="152"/>
  <c r="W17" i="152"/>
  <c r="X19" i="152"/>
  <c r="X15" i="152"/>
  <c r="W19" i="152"/>
  <c r="X14" i="152"/>
  <c r="X18" i="152"/>
  <c r="W9" i="152"/>
  <c r="W14" i="152"/>
  <c r="W15" i="152"/>
  <c r="W18" i="152"/>
  <c r="W10" i="152"/>
  <c r="W16" i="152"/>
  <c r="X9" i="152"/>
  <c r="W21" i="152"/>
  <c r="X12" i="152"/>
  <c r="T24" i="152"/>
  <c r="T17" i="152"/>
  <c r="T25" i="152"/>
  <c r="T20" i="152"/>
  <c r="S9" i="152"/>
  <c r="T11" i="152"/>
  <c r="T9" i="152"/>
  <c r="T21" i="152"/>
  <c r="S25" i="152"/>
  <c r="T16" i="152"/>
  <c r="S10" i="152"/>
  <c r="T23" i="152"/>
  <c r="S26" i="152"/>
  <c r="S13" i="152"/>
  <c r="T10" i="152"/>
  <c r="T26" i="152"/>
  <c r="T22" i="152"/>
  <c r="S16" i="152"/>
  <c r="S21" i="152"/>
  <c r="S17" i="152"/>
  <c r="S20" i="152"/>
  <c r="S23" i="152"/>
  <c r="S22" i="152"/>
  <c r="T13" i="152"/>
  <c r="T19" i="152"/>
  <c r="S14" i="152"/>
  <c r="T14" i="152"/>
  <c r="S11" i="152"/>
  <c r="S19" i="152"/>
  <c r="T18" i="152"/>
  <c r="S24" i="152"/>
  <c r="S18" i="152"/>
  <c r="X12" i="151"/>
  <c r="X16" i="151"/>
  <c r="W9" i="151"/>
  <c r="W15" i="151"/>
  <c r="X10" i="151"/>
  <c r="W11" i="151"/>
  <c r="X20" i="151"/>
  <c r="W19" i="151"/>
  <c r="W18" i="151"/>
  <c r="W10" i="151"/>
  <c r="X9" i="151"/>
  <c r="X19" i="151"/>
  <c r="W21" i="151"/>
  <c r="X21" i="151"/>
  <c r="W17" i="151"/>
  <c r="X13" i="151"/>
  <c r="W14" i="151"/>
  <c r="X14" i="151"/>
  <c r="W16" i="151"/>
  <c r="X15" i="151"/>
  <c r="W20" i="151"/>
  <c r="W13" i="151"/>
  <c r="W12" i="151"/>
  <c r="X17" i="151"/>
  <c r="X18" i="151"/>
  <c r="X11" i="151"/>
  <c r="S18" i="151"/>
  <c r="T18" i="151"/>
  <c r="S17" i="151"/>
  <c r="T17" i="151"/>
  <c r="S16" i="151"/>
  <c r="T9" i="151"/>
  <c r="S20" i="151"/>
  <c r="T20" i="151"/>
  <c r="S13" i="151"/>
  <c r="S22" i="151"/>
  <c r="T13" i="151"/>
  <c r="S14" i="151"/>
  <c r="S23" i="151"/>
  <c r="T22" i="151"/>
  <c r="S9" i="151"/>
  <c r="S24" i="151"/>
  <c r="T24" i="151"/>
  <c r="T26" i="151"/>
  <c r="S19" i="151"/>
  <c r="S25" i="151"/>
  <c r="T25" i="151"/>
  <c r="T21" i="151"/>
  <c r="S26" i="151"/>
  <c r="T16" i="151"/>
  <c r="T19" i="151"/>
  <c r="T23" i="151"/>
  <c r="S21" i="151"/>
  <c r="T14" i="151"/>
  <c r="T10" i="151"/>
  <c r="S11" i="151"/>
  <c r="T11" i="151"/>
  <c r="S10" i="151"/>
  <c r="AT101" i="150"/>
  <c r="BB101" i="150" s="1"/>
  <c r="AX101" i="150"/>
  <c r="BD101" i="150" s="1"/>
  <c r="K123" i="150"/>
  <c r="K126" i="150" s="1"/>
  <c r="K127" i="150" s="1"/>
  <c r="AY101" i="150"/>
  <c r="BE101" i="150" s="1"/>
  <c r="D123" i="150"/>
  <c r="D126" i="150" s="1"/>
  <c r="D127" i="150" s="1"/>
  <c r="AO111" i="150"/>
  <c r="AY110" i="150" s="1"/>
  <c r="AY91" i="150"/>
  <c r="BE91" i="150" s="1"/>
  <c r="AU101" i="150"/>
  <c r="BC101" i="150" s="1"/>
  <c r="L123" i="150"/>
  <c r="L126" i="150" s="1"/>
  <c r="L127" i="150" s="1"/>
  <c r="E123" i="150"/>
  <c r="E126" i="150" s="1"/>
  <c r="E127" i="150" s="1"/>
  <c r="AK111" i="150"/>
  <c r="AU91" i="150"/>
  <c r="BC91" i="150" s="1"/>
  <c r="AJ111" i="150"/>
  <c r="AT91" i="150"/>
  <c r="BB91" i="150" s="1"/>
  <c r="AN111" i="150"/>
  <c r="AX110" i="150" s="1"/>
  <c r="AX91" i="150"/>
  <c r="BD91" i="150" s="1"/>
  <c r="U4" i="75"/>
  <c r="AA4" i="83"/>
  <c r="AA4" i="143"/>
  <c r="AA4" i="144"/>
  <c r="AA4" i="84"/>
  <c r="AA4" i="145"/>
  <c r="AA4" i="146"/>
  <c r="AA4" i="85"/>
  <c r="AA4" i="147"/>
  <c r="AA4" i="148"/>
  <c r="AA4" i="75"/>
  <c r="AA4" i="103"/>
  <c r="W3" i="103"/>
  <c r="U3" i="103"/>
  <c r="S3" i="103"/>
  <c r="Q3" i="103"/>
  <c r="O3" i="103"/>
  <c r="M3" i="103"/>
  <c r="K3" i="103"/>
  <c r="I3" i="103"/>
  <c r="G3" i="103"/>
  <c r="W3" i="144"/>
  <c r="U3" i="144"/>
  <c r="S3" i="144"/>
  <c r="Q3" i="144"/>
  <c r="O3" i="144"/>
  <c r="M3" i="144"/>
  <c r="K3" i="144"/>
  <c r="I3" i="144"/>
  <c r="G3" i="144"/>
  <c r="W3" i="84"/>
  <c r="U3" i="84"/>
  <c r="S3" i="84"/>
  <c r="Q3" i="84"/>
  <c r="O3" i="84"/>
  <c r="M3" i="84"/>
  <c r="K3" i="84"/>
  <c r="I3" i="84"/>
  <c r="G3" i="84"/>
  <c r="W3" i="145"/>
  <c r="U3" i="145"/>
  <c r="S3" i="145"/>
  <c r="Q3" i="145"/>
  <c r="O3" i="145"/>
  <c r="M3" i="145"/>
  <c r="K3" i="145"/>
  <c r="I3" i="145"/>
  <c r="G3" i="145"/>
  <c r="W3" i="146"/>
  <c r="U3" i="146"/>
  <c r="S3" i="146"/>
  <c r="Q3" i="146"/>
  <c r="O3" i="146"/>
  <c r="M3" i="146"/>
  <c r="K3" i="146"/>
  <c r="I3" i="146"/>
  <c r="G3" i="146"/>
  <c r="W3" i="85"/>
  <c r="U3" i="85"/>
  <c r="S3" i="85"/>
  <c r="Q3" i="85"/>
  <c r="O3" i="85"/>
  <c r="M3" i="85"/>
  <c r="K3" i="85"/>
  <c r="I3" i="85"/>
  <c r="G3" i="85"/>
  <c r="W3" i="147"/>
  <c r="U3" i="147"/>
  <c r="S3" i="147"/>
  <c r="Q3" i="147"/>
  <c r="O3" i="147"/>
  <c r="M3" i="147"/>
  <c r="K3" i="147"/>
  <c r="I3" i="147"/>
  <c r="G3" i="147"/>
  <c r="W3" i="148"/>
  <c r="U3" i="148"/>
  <c r="S3" i="148"/>
  <c r="Q3" i="148"/>
  <c r="O3" i="148"/>
  <c r="M3" i="148"/>
  <c r="K3" i="148"/>
  <c r="I3" i="148"/>
  <c r="G3" i="148"/>
  <c r="W3" i="75"/>
  <c r="U3" i="75"/>
  <c r="S3" i="75"/>
  <c r="Q3" i="75"/>
  <c r="O3" i="75"/>
  <c r="M3" i="75"/>
  <c r="K3" i="75"/>
  <c r="I3" i="75"/>
  <c r="G3" i="75"/>
  <c r="W3" i="143"/>
  <c r="U3" i="143"/>
  <c r="S3" i="143"/>
  <c r="Q3" i="143"/>
  <c r="O3" i="143"/>
  <c r="M3" i="143"/>
  <c r="K3" i="143"/>
  <c r="I3" i="143"/>
  <c r="G3" i="143"/>
  <c r="G3" i="83"/>
  <c r="I3" i="83"/>
  <c r="K3" i="83"/>
  <c r="M3" i="83"/>
  <c r="O3" i="83"/>
  <c r="Q3" i="83"/>
  <c r="S3" i="83"/>
  <c r="W3" i="83"/>
  <c r="B4" i="72"/>
  <c r="B4" i="70"/>
  <c r="B4" i="76"/>
  <c r="B4" i="69"/>
  <c r="B4" i="46"/>
  <c r="B4" i="49"/>
  <c r="B4" i="41"/>
  <c r="H12" i="109"/>
  <c r="G12" i="109"/>
  <c r="H10" i="109"/>
  <c r="G10" i="109"/>
  <c r="G9" i="109"/>
  <c r="H8" i="109"/>
  <c r="G8" i="109"/>
  <c r="B25" i="41"/>
  <c r="AC9" i="149"/>
  <c r="D25" i="41"/>
  <c r="AB9" i="149"/>
  <c r="AC19" i="149"/>
  <c r="E24" i="41"/>
  <c r="C88" i="41"/>
  <c r="F25" i="41"/>
  <c r="D24" i="41"/>
  <c r="AA19" i="149"/>
  <c r="AB19" i="149"/>
  <c r="AA9" i="149"/>
  <c r="G24" i="41"/>
  <c r="H25" i="41"/>
  <c r="C24" i="41"/>
  <c r="B24" i="41"/>
  <c r="C25" i="41"/>
  <c r="G25" i="41"/>
  <c r="F24" i="41"/>
  <c r="AD19" i="149"/>
  <c r="C87" i="41"/>
  <c r="AD9" i="149"/>
  <c r="E25" i="41"/>
  <c r="H24" i="41"/>
  <c r="G4" i="143" l="1"/>
  <c r="G4" i="151"/>
  <c r="G4" i="144"/>
  <c r="G4" i="152"/>
  <c r="K4" i="143"/>
  <c r="K4" i="151"/>
  <c r="K4" i="144"/>
  <c r="K4" i="152"/>
  <c r="O4" i="143"/>
  <c r="O4" i="151"/>
  <c r="I4" i="143"/>
  <c r="I4" i="151"/>
  <c r="O4" i="144"/>
  <c r="O4" i="152"/>
  <c r="W36" i="155"/>
  <c r="W36" i="154"/>
  <c r="X36" i="156"/>
  <c r="X36" i="152"/>
  <c r="X36" i="155"/>
  <c r="W36" i="156"/>
  <c r="X28" i="156"/>
  <c r="X34" i="156"/>
  <c r="X34" i="155"/>
  <c r="X28" i="155"/>
  <c r="W34" i="156"/>
  <c r="W28" i="156"/>
  <c r="X36" i="153"/>
  <c r="W34" i="155"/>
  <c r="W28" i="155"/>
  <c r="X28" i="153"/>
  <c r="X34" i="153"/>
  <c r="X34" i="154"/>
  <c r="X28" i="154"/>
  <c r="X36" i="151"/>
  <c r="W28" i="153"/>
  <c r="W34" i="153"/>
  <c r="W34" i="154"/>
  <c r="W28" i="154"/>
  <c r="X36" i="154"/>
  <c r="W36" i="153"/>
  <c r="X28" i="152"/>
  <c r="X34" i="152"/>
  <c r="W34" i="152"/>
  <c r="W28" i="152"/>
  <c r="W36" i="152"/>
  <c r="X28" i="151"/>
  <c r="X34" i="151"/>
  <c r="W36" i="151"/>
  <c r="W34" i="151"/>
  <c r="W28" i="151"/>
  <c r="AD28" i="149"/>
  <c r="AD27" i="149" s="1"/>
  <c r="AC28" i="149"/>
  <c r="AA28" i="149"/>
  <c r="AB28" i="149"/>
  <c r="AB27" i="149" s="1"/>
  <c r="AT110" i="150"/>
  <c r="AJ113" i="150"/>
  <c r="AU110" i="150"/>
  <c r="AK113" i="150"/>
  <c r="W40" i="148"/>
  <c r="W39" i="148"/>
  <c r="W41" i="148" s="1"/>
  <c r="C7" i="148"/>
  <c r="AJ3" i="148"/>
  <c r="W40" i="147"/>
  <c r="W39" i="147"/>
  <c r="W41" i="147" s="1"/>
  <c r="C7" i="147"/>
  <c r="AJ3" i="147"/>
  <c r="W40" i="146"/>
  <c r="W39" i="146"/>
  <c r="W41" i="146" s="1"/>
  <c r="C7" i="146"/>
  <c r="AJ3" i="146"/>
  <c r="W40" i="145"/>
  <c r="W39" i="145"/>
  <c r="W41" i="145" s="1"/>
  <c r="C7" i="145"/>
  <c r="AJ3" i="145"/>
  <c r="W40" i="144"/>
  <c r="W39" i="144"/>
  <c r="W41" i="144" s="1"/>
  <c r="C7" i="144"/>
  <c r="W40" i="143"/>
  <c r="W39" i="143"/>
  <c r="W41" i="143" s="1"/>
  <c r="C7" i="143"/>
  <c r="C7" i="83"/>
  <c r="C7" i="84"/>
  <c r="C7" i="85"/>
  <c r="C7" i="75"/>
  <c r="C7" i="103"/>
  <c r="N131" i="142"/>
  <c r="K131" i="142"/>
  <c r="G131" i="142"/>
  <c r="D131" i="142"/>
  <c r="E110" i="142"/>
  <c r="H110" i="142" s="1"/>
  <c r="D110" i="142"/>
  <c r="G110" i="142" s="1"/>
  <c r="E109" i="142"/>
  <c r="D109" i="142"/>
  <c r="E108" i="142"/>
  <c r="H108" i="142" s="1"/>
  <c r="D108" i="142"/>
  <c r="E107" i="142"/>
  <c r="D107" i="142"/>
  <c r="A107" i="142"/>
  <c r="A108" i="142" s="1"/>
  <c r="H106" i="142"/>
  <c r="G106" i="142"/>
  <c r="A106" i="142"/>
  <c r="H105" i="142"/>
  <c r="G105" i="142"/>
  <c r="A105" i="142"/>
  <c r="H104" i="142"/>
  <c r="G104" i="142"/>
  <c r="A104" i="142"/>
  <c r="H103" i="142"/>
  <c r="G103" i="142"/>
  <c r="A103" i="142"/>
  <c r="H102" i="142"/>
  <c r="G102" i="142"/>
  <c r="A102" i="142"/>
  <c r="H101" i="142"/>
  <c r="G101" i="142"/>
  <c r="A101" i="142"/>
  <c r="E100" i="142"/>
  <c r="A100" i="142"/>
  <c r="G99" i="142"/>
  <c r="E99" i="142"/>
  <c r="D99" i="142"/>
  <c r="A99" i="142"/>
  <c r="E98" i="142"/>
  <c r="D98" i="142"/>
  <c r="G98" i="142" s="1"/>
  <c r="A98" i="142"/>
  <c r="E97" i="142"/>
  <c r="A97" i="142"/>
  <c r="E96" i="142"/>
  <c r="H96" i="142" s="1"/>
  <c r="A96" i="142"/>
  <c r="E95" i="142"/>
  <c r="D95" i="142"/>
  <c r="A95" i="142"/>
  <c r="E94" i="142"/>
  <c r="A94" i="142"/>
  <c r="E93" i="142"/>
  <c r="A93" i="142"/>
  <c r="E92" i="142"/>
  <c r="H92" i="142" s="1"/>
  <c r="D92" i="142"/>
  <c r="A92" i="142"/>
  <c r="G91" i="142"/>
  <c r="E91" i="142"/>
  <c r="H91" i="142" s="1"/>
  <c r="A91" i="142"/>
  <c r="P85" i="142"/>
  <c r="I85" i="142"/>
  <c r="D96" i="142" s="1"/>
  <c r="S84" i="142"/>
  <c r="A61" i="142"/>
  <c r="A62" i="142" s="1"/>
  <c r="A63" i="142" s="1"/>
  <c r="A64" i="142" s="1"/>
  <c r="A65" i="142" s="1"/>
  <c r="A66" i="142" s="1"/>
  <c r="A67" i="142" s="1"/>
  <c r="A68" i="142" s="1"/>
  <c r="A69" i="142" s="1"/>
  <c r="A70" i="142" s="1"/>
  <c r="A71" i="142" s="1"/>
  <c r="A72" i="142" s="1"/>
  <c r="A73" i="142" s="1"/>
  <c r="A74" i="142" s="1"/>
  <c r="A75" i="142" s="1"/>
  <c r="A76" i="142" s="1"/>
  <c r="A41" i="142"/>
  <c r="A42" i="142" s="1"/>
  <c r="A43" i="142" s="1"/>
  <c r="A44" i="142" s="1"/>
  <c r="A45" i="142" s="1"/>
  <c r="A46" i="142" s="1"/>
  <c r="A47" i="142" s="1"/>
  <c r="A48" i="142" s="1"/>
  <c r="A49" i="142" s="1"/>
  <c r="A50" i="142" s="1"/>
  <c r="A51" i="142" s="1"/>
  <c r="A52" i="142" s="1"/>
  <c r="A53" i="142" s="1"/>
  <c r="A54" i="142" s="1"/>
  <c r="A55" i="142" s="1"/>
  <c r="A56" i="142" s="1"/>
  <c r="Q30" i="142"/>
  <c r="J30" i="142"/>
  <c r="C30" i="142"/>
  <c r="Q4" i="142"/>
  <c r="Q38" i="142" s="1"/>
  <c r="J4" i="142"/>
  <c r="J38" i="142" s="1"/>
  <c r="C4" i="142"/>
  <c r="C38" i="142" s="1"/>
  <c r="A1" i="142"/>
  <c r="N131" i="141"/>
  <c r="K131" i="141"/>
  <c r="G131" i="141"/>
  <c r="D131" i="141"/>
  <c r="H110" i="141"/>
  <c r="E110" i="141"/>
  <c r="D110" i="141"/>
  <c r="G110" i="141" s="1"/>
  <c r="E109" i="141"/>
  <c r="D109" i="141"/>
  <c r="H108" i="141"/>
  <c r="E108" i="141"/>
  <c r="D108" i="141"/>
  <c r="G108" i="141" s="1"/>
  <c r="E107" i="141"/>
  <c r="D107" i="141"/>
  <c r="A107" i="141"/>
  <c r="A108" i="141" s="1"/>
  <c r="H106" i="141"/>
  <c r="G106" i="141"/>
  <c r="A106" i="141"/>
  <c r="H105" i="141"/>
  <c r="G105" i="141"/>
  <c r="A105" i="141"/>
  <c r="H104" i="141"/>
  <c r="G104" i="141"/>
  <c r="A104" i="141"/>
  <c r="H103" i="141"/>
  <c r="G103" i="141"/>
  <c r="A103" i="141"/>
  <c r="H102" i="141"/>
  <c r="G102" i="141"/>
  <c r="A102" i="141"/>
  <c r="H101" i="141"/>
  <c r="G101" i="141"/>
  <c r="A101" i="141"/>
  <c r="E100" i="141"/>
  <c r="A100" i="141"/>
  <c r="G99" i="141"/>
  <c r="E99" i="141"/>
  <c r="D99" i="141"/>
  <c r="A99" i="141"/>
  <c r="E98" i="141"/>
  <c r="D98" i="141"/>
  <c r="G98" i="141" s="1"/>
  <c r="A98" i="141"/>
  <c r="E97" i="141"/>
  <c r="A97" i="141"/>
  <c r="E96" i="141"/>
  <c r="H96" i="141" s="1"/>
  <c r="A96" i="141"/>
  <c r="H95" i="141"/>
  <c r="E95" i="141"/>
  <c r="D95" i="141"/>
  <c r="A95" i="141"/>
  <c r="E94" i="141"/>
  <c r="A94" i="141"/>
  <c r="E93" i="141"/>
  <c r="A93" i="141"/>
  <c r="H92" i="141"/>
  <c r="E92" i="141"/>
  <c r="D92" i="141"/>
  <c r="G92" i="141" s="1"/>
  <c r="A92" i="141"/>
  <c r="G91" i="141"/>
  <c r="E91" i="141"/>
  <c r="H91" i="141" s="1"/>
  <c r="A91" i="141"/>
  <c r="P85" i="141"/>
  <c r="I85" i="141"/>
  <c r="S84" i="141"/>
  <c r="A61" i="141"/>
  <c r="A62" i="141" s="1"/>
  <c r="A63" i="141" s="1"/>
  <c r="A64" i="141" s="1"/>
  <c r="A65" i="141" s="1"/>
  <c r="A66" i="141" s="1"/>
  <c r="A67" i="141" s="1"/>
  <c r="A68" i="141" s="1"/>
  <c r="A69" i="141" s="1"/>
  <c r="A70" i="141" s="1"/>
  <c r="A71" i="141" s="1"/>
  <c r="A72" i="141" s="1"/>
  <c r="A73" i="141" s="1"/>
  <c r="A74" i="141" s="1"/>
  <c r="A75" i="141" s="1"/>
  <c r="A76" i="141" s="1"/>
  <c r="A44" i="141"/>
  <c r="A45" i="141" s="1"/>
  <c r="A46" i="141" s="1"/>
  <c r="A47" i="141" s="1"/>
  <c r="A48" i="141" s="1"/>
  <c r="A49" i="141" s="1"/>
  <c r="A50" i="141" s="1"/>
  <c r="A51" i="141" s="1"/>
  <c r="A52" i="141" s="1"/>
  <c r="A53" i="141" s="1"/>
  <c r="A54" i="141" s="1"/>
  <c r="A55" i="141" s="1"/>
  <c r="A56" i="141" s="1"/>
  <c r="A41" i="141"/>
  <c r="A42" i="141" s="1"/>
  <c r="A43" i="141" s="1"/>
  <c r="Q30" i="141"/>
  <c r="J30" i="141"/>
  <c r="C30" i="141"/>
  <c r="Q4" i="141"/>
  <c r="Q38" i="141" s="1"/>
  <c r="J4" i="141"/>
  <c r="J38" i="141" s="1"/>
  <c r="C4" i="141"/>
  <c r="C38" i="141" s="1"/>
  <c r="A1" i="141"/>
  <c r="N131" i="140"/>
  <c r="K131" i="140"/>
  <c r="G131" i="140"/>
  <c r="D131" i="140"/>
  <c r="E110" i="140"/>
  <c r="H110" i="140" s="1"/>
  <c r="D110" i="140"/>
  <c r="G110" i="140" s="1"/>
  <c r="E109" i="140"/>
  <c r="D109" i="140"/>
  <c r="E108" i="140"/>
  <c r="H108" i="140" s="1"/>
  <c r="D108" i="140"/>
  <c r="E107" i="140"/>
  <c r="D107" i="140"/>
  <c r="A107" i="140"/>
  <c r="A108" i="140" s="1"/>
  <c r="H106" i="140"/>
  <c r="G106" i="140"/>
  <c r="A106" i="140"/>
  <c r="H105" i="140"/>
  <c r="G105" i="140"/>
  <c r="A105" i="140"/>
  <c r="H104" i="140"/>
  <c r="G104" i="140"/>
  <c r="A104" i="140"/>
  <c r="H103" i="140"/>
  <c r="G103" i="140"/>
  <c r="A103" i="140"/>
  <c r="H102" i="140"/>
  <c r="G102" i="140"/>
  <c r="A102" i="140"/>
  <c r="H101" i="140"/>
  <c r="G101" i="140"/>
  <c r="A101" i="140"/>
  <c r="E100" i="140"/>
  <c r="A100" i="140"/>
  <c r="G99" i="140"/>
  <c r="E99" i="140"/>
  <c r="D99" i="140"/>
  <c r="A99" i="140"/>
  <c r="E98" i="140"/>
  <c r="D98" i="140"/>
  <c r="G98" i="140" s="1"/>
  <c r="A98" i="140"/>
  <c r="E97" i="140"/>
  <c r="A97" i="140"/>
  <c r="E96" i="140"/>
  <c r="H96" i="140" s="1"/>
  <c r="A96" i="140"/>
  <c r="E95" i="140"/>
  <c r="D95" i="140"/>
  <c r="A95" i="140"/>
  <c r="E94" i="140"/>
  <c r="A94" i="140"/>
  <c r="E93" i="140"/>
  <c r="A93" i="140"/>
  <c r="E92" i="140"/>
  <c r="H92" i="140" s="1"/>
  <c r="D92" i="140"/>
  <c r="A92" i="140"/>
  <c r="H91" i="140"/>
  <c r="G91" i="140"/>
  <c r="E91" i="140"/>
  <c r="A91" i="140"/>
  <c r="P85" i="140"/>
  <c r="I85" i="140"/>
  <c r="D96" i="140" s="1"/>
  <c r="S84" i="140"/>
  <c r="A61" i="140"/>
  <c r="A62" i="140" s="1"/>
  <c r="A63" i="140" s="1"/>
  <c r="A64" i="140" s="1"/>
  <c r="A65" i="140" s="1"/>
  <c r="A66" i="140" s="1"/>
  <c r="A67" i="140" s="1"/>
  <c r="A68" i="140" s="1"/>
  <c r="A69" i="140" s="1"/>
  <c r="A70" i="140" s="1"/>
  <c r="A71" i="140" s="1"/>
  <c r="A72" i="140" s="1"/>
  <c r="A73" i="140" s="1"/>
  <c r="A74" i="140" s="1"/>
  <c r="A75" i="140" s="1"/>
  <c r="A76" i="140" s="1"/>
  <c r="A41" i="140"/>
  <c r="A42" i="140" s="1"/>
  <c r="A43" i="140" s="1"/>
  <c r="A44" i="140" s="1"/>
  <c r="A45" i="140" s="1"/>
  <c r="A46" i="140" s="1"/>
  <c r="A47" i="140" s="1"/>
  <c r="A48" i="140" s="1"/>
  <c r="A49" i="140" s="1"/>
  <c r="A50" i="140" s="1"/>
  <c r="A51" i="140" s="1"/>
  <c r="A52" i="140" s="1"/>
  <c r="A53" i="140" s="1"/>
  <c r="A54" i="140" s="1"/>
  <c r="A55" i="140" s="1"/>
  <c r="A56" i="140" s="1"/>
  <c r="Q30" i="140"/>
  <c r="J30" i="140"/>
  <c r="C30" i="140"/>
  <c r="Q4" i="140"/>
  <c r="Q38" i="140" s="1"/>
  <c r="J4" i="140"/>
  <c r="J38" i="140" s="1"/>
  <c r="C4" i="140"/>
  <c r="C38" i="140" s="1"/>
  <c r="A1" i="140"/>
  <c r="N131" i="139"/>
  <c r="K131" i="139"/>
  <c r="G131" i="139"/>
  <c r="D131" i="139"/>
  <c r="H110" i="139"/>
  <c r="E110" i="139"/>
  <c r="D110" i="139"/>
  <c r="G110" i="139" s="1"/>
  <c r="E109" i="139"/>
  <c r="D109" i="139"/>
  <c r="H108" i="139"/>
  <c r="E108" i="139"/>
  <c r="D108" i="139"/>
  <c r="E107" i="139"/>
  <c r="D107" i="139"/>
  <c r="A107" i="139"/>
  <c r="A108" i="139" s="1"/>
  <c r="H106" i="139"/>
  <c r="G106" i="139"/>
  <c r="A106" i="139"/>
  <c r="H105" i="139"/>
  <c r="G105" i="139"/>
  <c r="A105" i="139"/>
  <c r="H104" i="139"/>
  <c r="G104" i="139"/>
  <c r="A104" i="139"/>
  <c r="H103" i="139"/>
  <c r="G103" i="139"/>
  <c r="A103" i="139"/>
  <c r="H102" i="139"/>
  <c r="G102" i="139"/>
  <c r="A102" i="139"/>
  <c r="H101" i="139"/>
  <c r="G101" i="139"/>
  <c r="A101" i="139"/>
  <c r="E100" i="139"/>
  <c r="A100" i="139"/>
  <c r="G99" i="139"/>
  <c r="E99" i="139"/>
  <c r="D99" i="139"/>
  <c r="A99" i="139"/>
  <c r="G98" i="139"/>
  <c r="E98" i="139"/>
  <c r="D98" i="139"/>
  <c r="A98" i="139"/>
  <c r="E97" i="139"/>
  <c r="A97" i="139"/>
  <c r="H96" i="139"/>
  <c r="E96" i="139"/>
  <c r="A96" i="139"/>
  <c r="E95" i="139"/>
  <c r="D95" i="139"/>
  <c r="A95" i="139"/>
  <c r="E94" i="139"/>
  <c r="A94" i="139"/>
  <c r="E93" i="139"/>
  <c r="A93" i="139"/>
  <c r="E92" i="139"/>
  <c r="H92" i="139" s="1"/>
  <c r="D92" i="139"/>
  <c r="A92" i="139"/>
  <c r="G91" i="139"/>
  <c r="E91" i="139"/>
  <c r="H91" i="139" s="1"/>
  <c r="A91" i="139"/>
  <c r="P85" i="139"/>
  <c r="I85" i="139"/>
  <c r="D96" i="139" s="1"/>
  <c r="S84" i="139"/>
  <c r="A61" i="139"/>
  <c r="A62" i="139" s="1"/>
  <c r="A63" i="139" s="1"/>
  <c r="A64" i="139" s="1"/>
  <c r="A65" i="139" s="1"/>
  <c r="A66" i="139" s="1"/>
  <c r="A67" i="139" s="1"/>
  <c r="A68" i="139" s="1"/>
  <c r="A69" i="139" s="1"/>
  <c r="A70" i="139" s="1"/>
  <c r="A71" i="139" s="1"/>
  <c r="A72" i="139" s="1"/>
  <c r="A73" i="139" s="1"/>
  <c r="A74" i="139" s="1"/>
  <c r="A75" i="139" s="1"/>
  <c r="A76" i="139" s="1"/>
  <c r="A41" i="139"/>
  <c r="A42" i="139" s="1"/>
  <c r="A43" i="139" s="1"/>
  <c r="A44" i="139" s="1"/>
  <c r="A45" i="139" s="1"/>
  <c r="A46" i="139" s="1"/>
  <c r="A47" i="139" s="1"/>
  <c r="A48" i="139" s="1"/>
  <c r="A49" i="139" s="1"/>
  <c r="A50" i="139" s="1"/>
  <c r="A51" i="139" s="1"/>
  <c r="A52" i="139" s="1"/>
  <c r="A53" i="139" s="1"/>
  <c r="A54" i="139" s="1"/>
  <c r="A55" i="139" s="1"/>
  <c r="A56" i="139" s="1"/>
  <c r="Q30" i="139"/>
  <c r="J30" i="139"/>
  <c r="C30" i="139"/>
  <c r="Q4" i="139"/>
  <c r="Q38" i="139" s="1"/>
  <c r="J4" i="139"/>
  <c r="J38" i="139" s="1"/>
  <c r="C4" i="139"/>
  <c r="C38" i="139" s="1"/>
  <c r="A1" i="139"/>
  <c r="N131" i="138"/>
  <c r="K131" i="138"/>
  <c r="G131" i="138"/>
  <c r="D131" i="138"/>
  <c r="E110" i="138"/>
  <c r="H110" i="138" s="1"/>
  <c r="D110" i="138"/>
  <c r="G110" i="138" s="1"/>
  <c r="E109" i="138"/>
  <c r="D109" i="138"/>
  <c r="E108" i="138"/>
  <c r="H108" i="138" s="1"/>
  <c r="D108" i="138"/>
  <c r="E107" i="138"/>
  <c r="D107" i="138"/>
  <c r="G107" i="138" s="1"/>
  <c r="A107" i="138"/>
  <c r="A108" i="138" s="1"/>
  <c r="H106" i="138"/>
  <c r="G106" i="138"/>
  <c r="A106" i="138"/>
  <c r="H105" i="138"/>
  <c r="G105" i="138"/>
  <c r="A105" i="138"/>
  <c r="H104" i="138"/>
  <c r="G104" i="138"/>
  <c r="A104" i="138"/>
  <c r="H103" i="138"/>
  <c r="G103" i="138"/>
  <c r="A103" i="138"/>
  <c r="H102" i="138"/>
  <c r="G102" i="138"/>
  <c r="A102" i="138"/>
  <c r="H101" i="138"/>
  <c r="G101" i="138"/>
  <c r="A101" i="138"/>
  <c r="H100" i="138"/>
  <c r="E100" i="138"/>
  <c r="A100" i="138"/>
  <c r="E99" i="138"/>
  <c r="D99" i="138"/>
  <c r="G99" i="138" s="1"/>
  <c r="A99" i="138"/>
  <c r="E98" i="138"/>
  <c r="D98" i="138"/>
  <c r="G98" i="138" s="1"/>
  <c r="A98" i="138"/>
  <c r="E97" i="138"/>
  <c r="A97" i="138"/>
  <c r="E96" i="138"/>
  <c r="H96" i="138" s="1"/>
  <c r="A96" i="138"/>
  <c r="E95" i="138"/>
  <c r="D95" i="138"/>
  <c r="G95" i="138" s="1"/>
  <c r="A95" i="138"/>
  <c r="E94" i="138"/>
  <c r="H94" i="138" s="1"/>
  <c r="A94" i="138"/>
  <c r="E93" i="138"/>
  <c r="H93" i="138" s="1"/>
  <c r="A93" i="138"/>
  <c r="H92" i="138"/>
  <c r="E92" i="138"/>
  <c r="D92" i="138"/>
  <c r="G92" i="138" s="1"/>
  <c r="A92" i="138"/>
  <c r="G91" i="138"/>
  <c r="E91" i="138"/>
  <c r="H91" i="138" s="1"/>
  <c r="A91" i="138"/>
  <c r="P85" i="138"/>
  <c r="I85" i="138"/>
  <c r="D93" i="138" s="1"/>
  <c r="S84" i="138"/>
  <c r="A61" i="138"/>
  <c r="A62" i="138" s="1"/>
  <c r="A63" i="138" s="1"/>
  <c r="A64" i="138" s="1"/>
  <c r="A65" i="138" s="1"/>
  <c r="A66" i="138" s="1"/>
  <c r="A67" i="138" s="1"/>
  <c r="A68" i="138" s="1"/>
  <c r="A69" i="138" s="1"/>
  <c r="A70" i="138" s="1"/>
  <c r="A71" i="138" s="1"/>
  <c r="A72" i="138" s="1"/>
  <c r="A73" i="138" s="1"/>
  <c r="A74" i="138" s="1"/>
  <c r="A75" i="138" s="1"/>
  <c r="A76" i="138" s="1"/>
  <c r="A41" i="138"/>
  <c r="A42" i="138" s="1"/>
  <c r="A43" i="138" s="1"/>
  <c r="A44" i="138" s="1"/>
  <c r="A45" i="138" s="1"/>
  <c r="A46" i="138" s="1"/>
  <c r="A47" i="138" s="1"/>
  <c r="A48" i="138" s="1"/>
  <c r="A49" i="138" s="1"/>
  <c r="A50" i="138" s="1"/>
  <c r="A51" i="138" s="1"/>
  <c r="A52" i="138" s="1"/>
  <c r="A53" i="138" s="1"/>
  <c r="A54" i="138" s="1"/>
  <c r="A55" i="138" s="1"/>
  <c r="A56" i="138" s="1"/>
  <c r="Q30" i="138"/>
  <c r="J30" i="138"/>
  <c r="C30" i="138"/>
  <c r="Q4" i="138"/>
  <c r="Q38" i="138" s="1"/>
  <c r="J4" i="138"/>
  <c r="J38" i="138" s="1"/>
  <c r="C4" i="138"/>
  <c r="C38" i="138" s="1"/>
  <c r="A1" i="138"/>
  <c r="N131" i="137"/>
  <c r="K131" i="137"/>
  <c r="G131" i="137"/>
  <c r="D131" i="137"/>
  <c r="E110" i="137"/>
  <c r="H110" i="137" s="1"/>
  <c r="D110" i="137"/>
  <c r="G110" i="137" s="1"/>
  <c r="E109" i="137"/>
  <c r="D109" i="137"/>
  <c r="E108" i="137"/>
  <c r="H108" i="137" s="1"/>
  <c r="D108" i="137"/>
  <c r="E107" i="137"/>
  <c r="H107" i="137" s="1"/>
  <c r="D107" i="137"/>
  <c r="G107" i="137" s="1"/>
  <c r="A107" i="137"/>
  <c r="A108" i="137" s="1"/>
  <c r="H106" i="137"/>
  <c r="G106" i="137"/>
  <c r="A106" i="137"/>
  <c r="H105" i="137"/>
  <c r="G105" i="137"/>
  <c r="A105" i="137"/>
  <c r="H104" i="137"/>
  <c r="G104" i="137"/>
  <c r="A104" i="137"/>
  <c r="H103" i="137"/>
  <c r="G103" i="137"/>
  <c r="A103" i="137"/>
  <c r="H102" i="137"/>
  <c r="G102" i="137"/>
  <c r="A102" i="137"/>
  <c r="H101" i="137"/>
  <c r="G101" i="137"/>
  <c r="A101" i="137"/>
  <c r="E100" i="137"/>
  <c r="A100" i="137"/>
  <c r="E99" i="137"/>
  <c r="D99" i="137"/>
  <c r="G99" i="137" s="1"/>
  <c r="A99" i="137"/>
  <c r="E98" i="137"/>
  <c r="D98" i="137"/>
  <c r="G98" i="137" s="1"/>
  <c r="A98" i="137"/>
  <c r="E97" i="137"/>
  <c r="D97" i="137"/>
  <c r="A97" i="137"/>
  <c r="E96" i="137"/>
  <c r="H96" i="137" s="1"/>
  <c r="A96" i="137"/>
  <c r="E95" i="137"/>
  <c r="H95" i="137" s="1"/>
  <c r="D95" i="137"/>
  <c r="G95" i="137" s="1"/>
  <c r="A95" i="137"/>
  <c r="E94" i="137"/>
  <c r="A94" i="137"/>
  <c r="E93" i="137"/>
  <c r="A93" i="137"/>
  <c r="E92" i="137"/>
  <c r="H92" i="137" s="1"/>
  <c r="D92" i="137"/>
  <c r="A92" i="137"/>
  <c r="G91" i="137"/>
  <c r="E91" i="137"/>
  <c r="H91" i="137" s="1"/>
  <c r="A91" i="137"/>
  <c r="P85" i="137"/>
  <c r="I85" i="137"/>
  <c r="D96" i="137" s="1"/>
  <c r="S84" i="137"/>
  <c r="A61" i="137"/>
  <c r="A62" i="137" s="1"/>
  <c r="A63" i="137" s="1"/>
  <c r="A64" i="137" s="1"/>
  <c r="A65" i="137" s="1"/>
  <c r="A66" i="137" s="1"/>
  <c r="A67" i="137" s="1"/>
  <c r="A68" i="137" s="1"/>
  <c r="A69" i="137" s="1"/>
  <c r="A70" i="137" s="1"/>
  <c r="A71" i="137" s="1"/>
  <c r="A72" i="137" s="1"/>
  <c r="A73" i="137" s="1"/>
  <c r="A74" i="137" s="1"/>
  <c r="A75" i="137" s="1"/>
  <c r="A76" i="137" s="1"/>
  <c r="A41" i="137"/>
  <c r="A42" i="137" s="1"/>
  <c r="A43" i="137" s="1"/>
  <c r="A44" i="137" s="1"/>
  <c r="A45" i="137" s="1"/>
  <c r="A46" i="137" s="1"/>
  <c r="A47" i="137" s="1"/>
  <c r="A48" i="137" s="1"/>
  <c r="A49" i="137" s="1"/>
  <c r="A50" i="137" s="1"/>
  <c r="A51" i="137" s="1"/>
  <c r="A52" i="137" s="1"/>
  <c r="A53" i="137" s="1"/>
  <c r="A54" i="137" s="1"/>
  <c r="A55" i="137" s="1"/>
  <c r="A56" i="137" s="1"/>
  <c r="Q30" i="137"/>
  <c r="J30" i="137"/>
  <c r="C30" i="137"/>
  <c r="Q4" i="137"/>
  <c r="Q38" i="137" s="1"/>
  <c r="J4" i="137"/>
  <c r="J38" i="137" s="1"/>
  <c r="C4" i="137"/>
  <c r="C38" i="137" s="1"/>
  <c r="A1" i="137"/>
  <c r="H21" i="152" l="1"/>
  <c r="H23" i="152"/>
  <c r="G21" i="152"/>
  <c r="G23" i="152"/>
  <c r="G26" i="152"/>
  <c r="G22" i="152"/>
  <c r="H24" i="152"/>
  <c r="G24" i="152"/>
  <c r="H26" i="152"/>
  <c r="H22" i="152"/>
  <c r="G22" i="151"/>
  <c r="G21" i="151"/>
  <c r="H24" i="151"/>
  <c r="H22" i="151"/>
  <c r="H21" i="151"/>
  <c r="G24" i="151"/>
  <c r="H26" i="151"/>
  <c r="G23" i="151"/>
  <c r="H23" i="151"/>
  <c r="G26" i="151"/>
  <c r="W29" i="155"/>
  <c r="W27" i="155"/>
  <c r="X29" i="155"/>
  <c r="X27" i="155"/>
  <c r="W29" i="156"/>
  <c r="W27" i="156"/>
  <c r="X29" i="156"/>
  <c r="X27" i="156"/>
  <c r="W29" i="154"/>
  <c r="W27" i="154"/>
  <c r="K96" i="137"/>
  <c r="K109" i="137" s="1"/>
  <c r="W29" i="153"/>
  <c r="W27" i="153"/>
  <c r="X29" i="154"/>
  <c r="X27" i="154"/>
  <c r="X29" i="153"/>
  <c r="X27" i="153"/>
  <c r="W29" i="152"/>
  <c r="W27" i="152"/>
  <c r="X29" i="152"/>
  <c r="X27" i="152"/>
  <c r="W29" i="151"/>
  <c r="W27" i="151"/>
  <c r="X29" i="151"/>
  <c r="X27" i="151"/>
  <c r="AC27" i="149"/>
  <c r="AC29" i="149"/>
  <c r="AA27" i="149"/>
  <c r="AA29" i="149"/>
  <c r="K94" i="138"/>
  <c r="K97" i="142"/>
  <c r="D93" i="140"/>
  <c r="G93" i="140" s="1"/>
  <c r="D93" i="137"/>
  <c r="D93" i="139"/>
  <c r="D93" i="142"/>
  <c r="G93" i="142" s="1"/>
  <c r="K106" i="142"/>
  <c r="K91" i="142"/>
  <c r="J94" i="142"/>
  <c r="K95" i="142"/>
  <c r="J92" i="142"/>
  <c r="K105" i="142"/>
  <c r="K104" i="142"/>
  <c r="K93" i="141"/>
  <c r="K92" i="142"/>
  <c r="J106" i="141"/>
  <c r="J91" i="141"/>
  <c r="J91" i="142"/>
  <c r="K94" i="142"/>
  <c r="A59" i="142"/>
  <c r="A57" i="142"/>
  <c r="A58" i="142" s="1"/>
  <c r="A79" i="142"/>
  <c r="A77" i="142"/>
  <c r="A78" i="142" s="1"/>
  <c r="K102" i="142"/>
  <c r="J102" i="142"/>
  <c r="G107" i="142"/>
  <c r="K96" i="141"/>
  <c r="K109" i="141" s="1"/>
  <c r="K97" i="141"/>
  <c r="K101" i="140"/>
  <c r="H93" i="142"/>
  <c r="J106" i="140"/>
  <c r="J94" i="140"/>
  <c r="K95" i="141"/>
  <c r="H98" i="142"/>
  <c r="J96" i="142"/>
  <c r="J109" i="142" s="1"/>
  <c r="K96" i="142"/>
  <c r="K109" i="142" s="1"/>
  <c r="J106" i="142"/>
  <c r="H94" i="142"/>
  <c r="K101" i="142"/>
  <c r="G95" i="142"/>
  <c r="K100" i="142"/>
  <c r="J100" i="142"/>
  <c r="H100" i="142"/>
  <c r="G96" i="142"/>
  <c r="J93" i="142"/>
  <c r="K99" i="142"/>
  <c r="K103" i="142"/>
  <c r="J101" i="142"/>
  <c r="J99" i="142"/>
  <c r="A110" i="142"/>
  <c r="J103" i="142"/>
  <c r="J97" i="142"/>
  <c r="K93" i="142"/>
  <c r="J104" i="142"/>
  <c r="K98" i="142"/>
  <c r="J98" i="142"/>
  <c r="D97" i="142"/>
  <c r="H95" i="142"/>
  <c r="H107" i="142"/>
  <c r="G109" i="142"/>
  <c r="J95" i="142"/>
  <c r="J105" i="142"/>
  <c r="J107" i="142"/>
  <c r="J108" i="142" s="1"/>
  <c r="H109" i="142"/>
  <c r="G92" i="142"/>
  <c r="D94" i="142"/>
  <c r="H97" i="142"/>
  <c r="K107" i="142"/>
  <c r="K108" i="142" s="1"/>
  <c r="H99" i="142"/>
  <c r="G108" i="142"/>
  <c r="A57" i="141"/>
  <c r="A58" i="141" s="1"/>
  <c r="A59" i="141"/>
  <c r="K102" i="141"/>
  <c r="J102" i="141"/>
  <c r="J94" i="138"/>
  <c r="K91" i="140"/>
  <c r="K94" i="140"/>
  <c r="A79" i="141"/>
  <c r="A77" i="141"/>
  <c r="A78" i="141" s="1"/>
  <c r="G95" i="141"/>
  <c r="J91" i="140"/>
  <c r="K95" i="140"/>
  <c r="K92" i="140"/>
  <c r="J96" i="140"/>
  <c r="J109" i="140" s="1"/>
  <c r="H98" i="141"/>
  <c r="K102" i="137"/>
  <c r="K106" i="137"/>
  <c r="J93" i="138"/>
  <c r="K98" i="138"/>
  <c r="G107" i="141"/>
  <c r="K91" i="141"/>
  <c r="K101" i="141"/>
  <c r="J92" i="141"/>
  <c r="J96" i="141"/>
  <c r="J109" i="141" s="1"/>
  <c r="K105" i="141"/>
  <c r="K106" i="141"/>
  <c r="J94" i="141"/>
  <c r="D96" i="141"/>
  <c r="D94" i="141"/>
  <c r="D97" i="141"/>
  <c r="H94" i="141"/>
  <c r="K100" i="141"/>
  <c r="J100" i="141"/>
  <c r="J101" i="141"/>
  <c r="A110" i="141"/>
  <c r="J103" i="141"/>
  <c r="J97" i="141"/>
  <c r="J104" i="141"/>
  <c r="K94" i="141"/>
  <c r="H100" i="141"/>
  <c r="K92" i="141"/>
  <c r="J93" i="141"/>
  <c r="K99" i="141"/>
  <c r="K103" i="141"/>
  <c r="K104" i="141"/>
  <c r="D93" i="141"/>
  <c r="K98" i="141"/>
  <c r="H93" i="141"/>
  <c r="J98" i="141"/>
  <c r="H107" i="141"/>
  <c r="G109" i="141"/>
  <c r="J95" i="141"/>
  <c r="J105" i="141"/>
  <c r="J107" i="141"/>
  <c r="J108" i="141" s="1"/>
  <c r="H109" i="141"/>
  <c r="H97" i="141"/>
  <c r="K107" i="141"/>
  <c r="K108" i="141" s="1"/>
  <c r="H99" i="141"/>
  <c r="J99" i="141"/>
  <c r="A79" i="140"/>
  <c r="A77" i="140"/>
  <c r="A78" i="140" s="1"/>
  <c r="A57" i="140"/>
  <c r="A58" i="140" s="1"/>
  <c r="A59" i="140"/>
  <c r="G95" i="140"/>
  <c r="K91" i="137"/>
  <c r="G96" i="140"/>
  <c r="H93" i="140"/>
  <c r="K102" i="140"/>
  <c r="J102" i="140"/>
  <c r="G107" i="140"/>
  <c r="J101" i="140"/>
  <c r="J99" i="140"/>
  <c r="A110" i="140"/>
  <c r="J103" i="140"/>
  <c r="J97" i="140"/>
  <c r="K93" i="140"/>
  <c r="J104" i="140"/>
  <c r="H94" i="140"/>
  <c r="K97" i="140"/>
  <c r="H98" i="140"/>
  <c r="K105" i="140"/>
  <c r="K106" i="140"/>
  <c r="K96" i="140"/>
  <c r="K109" i="140" s="1"/>
  <c r="K100" i="140"/>
  <c r="J100" i="140"/>
  <c r="H100" i="140"/>
  <c r="J93" i="140"/>
  <c r="K99" i="140"/>
  <c r="K103" i="140"/>
  <c r="K104" i="140"/>
  <c r="K98" i="140"/>
  <c r="J98" i="140"/>
  <c r="D97" i="140"/>
  <c r="H95" i="140"/>
  <c r="H107" i="140"/>
  <c r="G109" i="140"/>
  <c r="J95" i="140"/>
  <c r="J105" i="140"/>
  <c r="J107" i="140"/>
  <c r="J108" i="140" s="1"/>
  <c r="H109" i="140"/>
  <c r="G92" i="140"/>
  <c r="D94" i="140"/>
  <c r="H97" i="140"/>
  <c r="K107" i="140"/>
  <c r="K108" i="140" s="1"/>
  <c r="J92" i="140"/>
  <c r="H99" i="140"/>
  <c r="G108" i="140"/>
  <c r="A79" i="139"/>
  <c r="A77" i="139"/>
  <c r="A78" i="139" s="1"/>
  <c r="A57" i="139"/>
  <c r="A58" i="139" s="1"/>
  <c r="A59" i="139"/>
  <c r="G96" i="139"/>
  <c r="J93" i="139"/>
  <c r="K98" i="139"/>
  <c r="J101" i="139"/>
  <c r="A110" i="139"/>
  <c r="J103" i="139"/>
  <c r="J97" i="139"/>
  <c r="K93" i="139"/>
  <c r="J104" i="139"/>
  <c r="G93" i="139"/>
  <c r="K96" i="139"/>
  <c r="K109" i="139" s="1"/>
  <c r="K102" i="139"/>
  <c r="J102" i="139"/>
  <c r="K104" i="139"/>
  <c r="J106" i="139"/>
  <c r="J92" i="139"/>
  <c r="H98" i="139"/>
  <c r="K100" i="139"/>
  <c r="J100" i="139"/>
  <c r="J91" i="139"/>
  <c r="G92" i="139"/>
  <c r="H93" i="139"/>
  <c r="J94" i="139"/>
  <c r="K95" i="139"/>
  <c r="K106" i="139"/>
  <c r="H94" i="139"/>
  <c r="K92" i="139"/>
  <c r="K94" i="139"/>
  <c r="K91" i="139"/>
  <c r="K97" i="139"/>
  <c r="K99" i="139"/>
  <c r="K101" i="139"/>
  <c r="K103" i="139"/>
  <c r="K105" i="139"/>
  <c r="J96" i="139"/>
  <c r="J109" i="139" s="1"/>
  <c r="J98" i="139"/>
  <c r="G95" i="139"/>
  <c r="D97" i="139"/>
  <c r="H100" i="139"/>
  <c r="G107" i="139"/>
  <c r="H95" i="139"/>
  <c r="H107" i="139"/>
  <c r="G109" i="139"/>
  <c r="J95" i="139"/>
  <c r="J105" i="139"/>
  <c r="J107" i="139"/>
  <c r="J108" i="139" s="1"/>
  <c r="H109" i="139"/>
  <c r="D94" i="139"/>
  <c r="H97" i="139"/>
  <c r="K107" i="139"/>
  <c r="K108" i="139" s="1"/>
  <c r="H99" i="139"/>
  <c r="J99" i="139"/>
  <c r="G108" i="139"/>
  <c r="A57" i="138"/>
  <c r="A58" i="138" s="1"/>
  <c r="A59" i="138"/>
  <c r="A79" i="138"/>
  <c r="A77" i="138"/>
  <c r="A78" i="138" s="1"/>
  <c r="G93" i="138"/>
  <c r="J92" i="137"/>
  <c r="J91" i="137"/>
  <c r="J94" i="137"/>
  <c r="K92" i="138"/>
  <c r="H98" i="138"/>
  <c r="K100" i="138"/>
  <c r="J100" i="138"/>
  <c r="K102" i="138"/>
  <c r="J102" i="138"/>
  <c r="K104" i="138"/>
  <c r="J106" i="138"/>
  <c r="D96" i="138"/>
  <c r="D94" i="138"/>
  <c r="D97" i="138"/>
  <c r="K93" i="138"/>
  <c r="J101" i="138"/>
  <c r="J99" i="138"/>
  <c r="A110" i="138"/>
  <c r="J103" i="138"/>
  <c r="J97" i="138"/>
  <c r="J104" i="138"/>
  <c r="K106" i="138"/>
  <c r="J91" i="138"/>
  <c r="K95" i="138"/>
  <c r="J95" i="138"/>
  <c r="K97" i="138"/>
  <c r="K99" i="138"/>
  <c r="J92" i="138"/>
  <c r="K101" i="138"/>
  <c r="K103" i="138"/>
  <c r="K105" i="138"/>
  <c r="H95" i="138"/>
  <c r="K91" i="138"/>
  <c r="K96" i="138"/>
  <c r="K109" i="138" s="1"/>
  <c r="J96" i="138"/>
  <c r="J109" i="138" s="1"/>
  <c r="J98" i="138"/>
  <c r="H107" i="138"/>
  <c r="G109" i="138"/>
  <c r="J105" i="138"/>
  <c r="J107" i="138"/>
  <c r="J108" i="138" s="1"/>
  <c r="H109" i="138"/>
  <c r="H97" i="138"/>
  <c r="K107" i="138"/>
  <c r="H99" i="138"/>
  <c r="G108" i="138"/>
  <c r="A79" i="137"/>
  <c r="A77" i="137"/>
  <c r="A78" i="137" s="1"/>
  <c r="A57" i="137"/>
  <c r="A58" i="137" s="1"/>
  <c r="A59" i="137"/>
  <c r="K104" i="137"/>
  <c r="H94" i="137"/>
  <c r="G92" i="137"/>
  <c r="H93" i="137"/>
  <c r="K94" i="137"/>
  <c r="J96" i="137"/>
  <c r="J109" i="137" s="1"/>
  <c r="H109" i="137"/>
  <c r="G93" i="137"/>
  <c r="K97" i="137"/>
  <c r="J98" i="137"/>
  <c r="J93" i="137"/>
  <c r="G97" i="137"/>
  <c r="K92" i="137"/>
  <c r="K93" i="137"/>
  <c r="G96" i="137"/>
  <c r="K99" i="137"/>
  <c r="J101" i="137"/>
  <c r="A110" i="137"/>
  <c r="J103" i="137"/>
  <c r="J97" i="137"/>
  <c r="J104" i="137"/>
  <c r="H98" i="137"/>
  <c r="K100" i="137"/>
  <c r="J100" i="137"/>
  <c r="K101" i="137"/>
  <c r="J102" i="137"/>
  <c r="K95" i="137"/>
  <c r="K98" i="137"/>
  <c r="K103" i="137"/>
  <c r="H100" i="137"/>
  <c r="K105" i="137"/>
  <c r="J106" i="137"/>
  <c r="G109" i="137"/>
  <c r="J95" i="137"/>
  <c r="J105" i="137"/>
  <c r="J107" i="137"/>
  <c r="J108" i="137" s="1"/>
  <c r="D94" i="137"/>
  <c r="H97" i="137"/>
  <c r="K107" i="137"/>
  <c r="K108" i="137" s="1"/>
  <c r="H99" i="137"/>
  <c r="J99" i="137"/>
  <c r="G108" i="137"/>
  <c r="I85" i="104"/>
  <c r="I85" i="105"/>
  <c r="I85" i="106"/>
  <c r="I85" i="107"/>
  <c r="I85" i="108"/>
  <c r="I85" i="57"/>
  <c r="Q7" i="136"/>
  <c r="N7" i="136"/>
  <c r="Q6" i="136"/>
  <c r="P6" i="136"/>
  <c r="N6" i="136"/>
  <c r="O6" i="136" s="1"/>
  <c r="Q5" i="136"/>
  <c r="P5" i="136"/>
  <c r="N5" i="136"/>
  <c r="Q4" i="136"/>
  <c r="P4" i="136"/>
  <c r="N4" i="136"/>
  <c r="O5" i="136" l="1"/>
  <c r="G94" i="142"/>
  <c r="G97" i="142"/>
  <c r="K110" i="142"/>
  <c r="J110" i="142"/>
  <c r="G93" i="141"/>
  <c r="G97" i="141"/>
  <c r="K110" i="141"/>
  <c r="J110" i="141"/>
  <c r="G94" i="141"/>
  <c r="G96" i="141"/>
  <c r="G94" i="140"/>
  <c r="K110" i="140"/>
  <c r="J110" i="140"/>
  <c r="G97" i="140"/>
  <c r="G97" i="139"/>
  <c r="G94" i="139"/>
  <c r="K110" i="139"/>
  <c r="J110" i="139"/>
  <c r="G97" i="138"/>
  <c r="K108" i="138"/>
  <c r="G94" i="138"/>
  <c r="K110" i="138"/>
  <c r="J110" i="138"/>
  <c r="G96" i="138"/>
  <c r="G94" i="137"/>
  <c r="K110" i="137"/>
  <c r="J110" i="137"/>
  <c r="AB35" i="34"/>
  <c r="AB34" i="34"/>
  <c r="AB33" i="34"/>
  <c r="AB32" i="34"/>
  <c r="AB31" i="34"/>
  <c r="AB30" i="34"/>
  <c r="AB29" i="34"/>
  <c r="U29" i="34"/>
  <c r="AB28" i="34"/>
  <c r="AB27" i="34"/>
  <c r="AB26" i="34"/>
  <c r="AC28" i="34" s="1"/>
  <c r="AB25" i="34"/>
  <c r="AB24" i="34"/>
  <c r="AB23" i="34"/>
  <c r="AB22" i="34"/>
  <c r="AB21" i="34"/>
  <c r="AB20" i="34"/>
  <c r="AB19" i="34"/>
  <c r="AB18" i="34"/>
  <c r="AB17" i="34"/>
  <c r="AB16" i="34"/>
  <c r="Q27" i="34"/>
  <c r="R27" i="34" s="1"/>
  <c r="Q22" i="34"/>
  <c r="R22" i="34" s="1"/>
  <c r="Q21" i="34"/>
  <c r="R21" i="34" s="1"/>
  <c r="Q20" i="34"/>
  <c r="R20" i="34" s="1"/>
  <c r="Q19" i="34"/>
  <c r="R19" i="34" s="1"/>
  <c r="Q18" i="34"/>
  <c r="R18" i="34" s="1"/>
  <c r="Q17" i="34"/>
  <c r="R17" i="34" s="1"/>
  <c r="Q16" i="34"/>
  <c r="R16" i="34" s="1"/>
  <c r="O26" i="34"/>
  <c r="N26" i="34"/>
  <c r="O25" i="34"/>
  <c r="N25" i="34"/>
  <c r="AC29" i="34" l="1"/>
  <c r="O10" i="136"/>
  <c r="O11" i="136" s="1"/>
  <c r="F86" i="137"/>
  <c r="D100" i="137" s="1"/>
  <c r="G100" i="137" s="1"/>
  <c r="F86" i="139"/>
  <c r="D100" i="139" s="1"/>
  <c r="G100" i="139" s="1"/>
  <c r="F86" i="138"/>
  <c r="D100" i="138" s="1"/>
  <c r="G100" i="138" s="1"/>
  <c r="F86" i="140"/>
  <c r="D100" i="140" s="1"/>
  <c r="G100" i="140" s="1"/>
  <c r="F86" i="141"/>
  <c r="D100" i="141" s="1"/>
  <c r="G100" i="141" s="1"/>
  <c r="F86" i="142"/>
  <c r="D100" i="142" s="1"/>
  <c r="G100" i="142" s="1"/>
  <c r="F86" i="104"/>
  <c r="F86" i="105"/>
  <c r="F86" i="106"/>
  <c r="F86" i="107"/>
  <c r="F86" i="108"/>
  <c r="F86" i="57"/>
  <c r="BG35" i="135"/>
  <c r="BH35" i="135" s="1"/>
  <c r="BE35" i="135"/>
  <c r="BD35" i="135"/>
  <c r="BC35" i="135"/>
  <c r="BB35" i="135"/>
  <c r="BA35" i="135"/>
  <c r="AZ35" i="135"/>
  <c r="BE34" i="135"/>
  <c r="BB34" i="135"/>
  <c r="AZ34" i="135"/>
  <c r="AY34" i="135"/>
  <c r="AX34" i="135"/>
  <c r="AV34" i="135"/>
  <c r="AU34" i="135"/>
  <c r="AW34" i="135" s="1"/>
  <c r="BG34" i="135" s="1"/>
  <c r="BH34" i="135" s="1"/>
  <c r="BG33" i="135"/>
  <c r="BH33" i="135" s="1"/>
  <c r="BE33" i="135"/>
  <c r="BD33" i="135"/>
  <c r="BC33" i="135"/>
  <c r="BB33" i="135"/>
  <c r="BA33" i="135"/>
  <c r="AZ33" i="135"/>
  <c r="BE32" i="135"/>
  <c r="AY32" i="135"/>
  <c r="AY35" i="135" s="1"/>
  <c r="AX32" i="135"/>
  <c r="AV32" i="135"/>
  <c r="AU32" i="135"/>
  <c r="AW32" i="135" s="1"/>
  <c r="BG32" i="135" s="1"/>
  <c r="BG31" i="135"/>
  <c r="BH31" i="135" s="1"/>
  <c r="BE31" i="135"/>
  <c r="BD31" i="135"/>
  <c r="BC31" i="135"/>
  <c r="BB31" i="135"/>
  <c r="BA31" i="135"/>
  <c r="AZ31" i="135"/>
  <c r="AY30" i="135"/>
  <c r="AX30" i="135"/>
  <c r="AV30" i="135"/>
  <c r="AU30" i="135"/>
  <c r="AW30" i="135" s="1"/>
  <c r="BG30" i="135" s="1"/>
  <c r="BH30" i="135" s="1"/>
  <c r="AY29" i="135"/>
  <c r="AX29" i="135"/>
  <c r="AV29" i="135"/>
  <c r="AW29" i="135" s="1"/>
  <c r="BG29" i="135" s="1"/>
  <c r="BH29" i="135" s="1"/>
  <c r="AU29" i="135"/>
  <c r="AY28" i="135"/>
  <c r="AX28" i="135"/>
  <c r="AV28" i="135"/>
  <c r="AW28" i="135" s="1"/>
  <c r="AY27" i="135"/>
  <c r="AX27" i="135"/>
  <c r="AV27" i="135"/>
  <c r="AU27" i="135"/>
  <c r="AX26" i="135"/>
  <c r="BG25" i="135"/>
  <c r="BH25" i="135" s="1"/>
  <c r="BI25" i="135" s="1"/>
  <c r="BE25" i="135"/>
  <c r="BD25" i="135"/>
  <c r="BC25" i="135"/>
  <c r="BB25" i="135"/>
  <c r="BA25" i="135"/>
  <c r="AZ25" i="135"/>
  <c r="BD24" i="135"/>
  <c r="BB24" i="135"/>
  <c r="BA24" i="135"/>
  <c r="AY24" i="135"/>
  <c r="AX24" i="135"/>
  <c r="AV24" i="135"/>
  <c r="AU24" i="135"/>
  <c r="AW24" i="135" s="1"/>
  <c r="BG24" i="135" s="1"/>
  <c r="BG23" i="135"/>
  <c r="BH23" i="135" s="1"/>
  <c r="BI23" i="135" s="1"/>
  <c r="BE23" i="135"/>
  <c r="BD23" i="135"/>
  <c r="BC23" i="135"/>
  <c r="BB23" i="135"/>
  <c r="BA23" i="135"/>
  <c r="AZ23" i="135"/>
  <c r="BA22" i="135"/>
  <c r="AY22" i="135"/>
  <c r="AY25" i="135" s="1"/>
  <c r="AX22" i="135"/>
  <c r="AV22" i="135"/>
  <c r="AU22" i="135"/>
  <c r="AW22" i="135" s="1"/>
  <c r="BG22" i="135" s="1"/>
  <c r="BH22" i="135" s="1"/>
  <c r="BG21" i="135"/>
  <c r="BH21" i="135" s="1"/>
  <c r="BE21" i="135"/>
  <c r="BD21" i="135"/>
  <c r="BC21" i="135"/>
  <c r="BB21" i="135"/>
  <c r="BA21" i="135"/>
  <c r="AZ21" i="135"/>
  <c r="BB20" i="135"/>
  <c r="AY20" i="135"/>
  <c r="AX20" i="135"/>
  <c r="AV20" i="135"/>
  <c r="AU20" i="135"/>
  <c r="AW20" i="135" s="1"/>
  <c r="BG20" i="135" s="1"/>
  <c r="BH20" i="135" s="1"/>
  <c r="AY19" i="135"/>
  <c r="AX19" i="135"/>
  <c r="AV19" i="135"/>
  <c r="AV26" i="135" s="1"/>
  <c r="AU19" i="135"/>
  <c r="BD18" i="135"/>
  <c r="BC18" i="135"/>
  <c r="AZ18" i="135"/>
  <c r="AY18" i="135"/>
  <c r="AX18" i="135"/>
  <c r="AV18" i="135"/>
  <c r="AW18" i="135" s="1"/>
  <c r="AY17" i="135"/>
  <c r="AX17" i="135"/>
  <c r="AV17" i="135"/>
  <c r="AU17" i="135"/>
  <c r="BG15" i="135"/>
  <c r="BH15" i="135" s="1"/>
  <c r="BI15" i="135" s="1"/>
  <c r="BJ15" i="135" s="1"/>
  <c r="BK15" i="135" s="1"/>
  <c r="BL15" i="135" s="1"/>
  <c r="BM15" i="135" s="1"/>
  <c r="BN15" i="135" s="1"/>
  <c r="AX14" i="135"/>
  <c r="AV14" i="135"/>
  <c r="AU14" i="135"/>
  <c r="AW14" i="135" s="1"/>
  <c r="BG13" i="135"/>
  <c r="BH13" i="135" s="1"/>
  <c r="BI13" i="135" s="1"/>
  <c r="BJ13" i="135" s="1"/>
  <c r="BK13" i="135" s="1"/>
  <c r="BL13" i="135" s="1"/>
  <c r="BM13" i="135" s="1"/>
  <c r="BN13" i="135" s="1"/>
  <c r="AX12" i="135"/>
  <c r="AW12" i="135"/>
  <c r="AV12" i="135"/>
  <c r="AU12" i="135"/>
  <c r="BH11" i="135"/>
  <c r="BI11" i="135" s="1"/>
  <c r="BJ11" i="135" s="1"/>
  <c r="BK11" i="135" s="1"/>
  <c r="BL11" i="135" s="1"/>
  <c r="BM11" i="135" s="1"/>
  <c r="BN11" i="135" s="1"/>
  <c r="BG11" i="135"/>
  <c r="AX10" i="135"/>
  <c r="AW10" i="135"/>
  <c r="AV10" i="135"/>
  <c r="AU10" i="135"/>
  <c r="AX9" i="135"/>
  <c r="AV9" i="135"/>
  <c r="AU9" i="135"/>
  <c r="AX8" i="135"/>
  <c r="AX7" i="135" s="1"/>
  <c r="AV8" i="135"/>
  <c r="BE7" i="135"/>
  <c r="BD7" i="135"/>
  <c r="BC7" i="135"/>
  <c r="BB7" i="135"/>
  <c r="BA7" i="135"/>
  <c r="AZ7" i="135"/>
  <c r="BN4" i="135"/>
  <c r="BM4" i="135"/>
  <c r="BL4" i="135"/>
  <c r="BK4" i="135"/>
  <c r="BJ4" i="135"/>
  <c r="BI4" i="135"/>
  <c r="BH4" i="135"/>
  <c r="BG4" i="135"/>
  <c r="X36" i="135"/>
  <c r="W36" i="135"/>
  <c r="AF34" i="135"/>
  <c r="AE34" i="135"/>
  <c r="AC34" i="135"/>
  <c r="AB34" i="135"/>
  <c r="AA34" i="135"/>
  <c r="AD34" i="135" s="1"/>
  <c r="Z34" i="135"/>
  <c r="X34" i="135"/>
  <c r="W34" i="135"/>
  <c r="Y34" i="135" s="1"/>
  <c r="AI34" i="135" s="1"/>
  <c r="AJ34" i="135" s="1"/>
  <c r="AK34" i="135" s="1"/>
  <c r="AL34" i="135" s="1"/>
  <c r="AM34" i="135" s="1"/>
  <c r="AN34" i="135" s="1"/>
  <c r="AO34" i="135" s="1"/>
  <c r="AG32" i="135"/>
  <c r="AA32" i="135"/>
  <c r="AF32" i="135" s="1"/>
  <c r="Z32" i="135"/>
  <c r="X32" i="135"/>
  <c r="Y32" i="135" s="1"/>
  <c r="AI32" i="135" s="1"/>
  <c r="AJ32" i="135" s="1"/>
  <c r="W32" i="135"/>
  <c r="AI31" i="135"/>
  <c r="AJ31" i="135" s="1"/>
  <c r="AG31" i="135"/>
  <c r="AA30" i="135"/>
  <c r="AG30" i="135" s="1"/>
  <c r="Z30" i="135"/>
  <c r="X30" i="135"/>
  <c r="W30" i="135"/>
  <c r="Y30" i="135" s="1"/>
  <c r="AI30" i="135" s="1"/>
  <c r="AJ30" i="135" s="1"/>
  <c r="AA29" i="135"/>
  <c r="Z29" i="135"/>
  <c r="Z36" i="135" s="1"/>
  <c r="X29" i="135"/>
  <c r="W29" i="135"/>
  <c r="AA28" i="135"/>
  <c r="AD28" i="135" s="1"/>
  <c r="Z28" i="135"/>
  <c r="X28" i="135"/>
  <c r="Y28" i="135" s="1"/>
  <c r="AA27" i="135"/>
  <c r="Z27" i="135"/>
  <c r="X27" i="135"/>
  <c r="W27" i="135"/>
  <c r="AG24" i="135"/>
  <c r="AF24" i="135"/>
  <c r="AC24" i="135"/>
  <c r="AB24" i="135"/>
  <c r="AA24" i="135"/>
  <c r="AE24" i="135" s="1"/>
  <c r="Z24" i="135"/>
  <c r="X24" i="135"/>
  <c r="Y24" i="135" s="1"/>
  <c r="AI24" i="135" s="1"/>
  <c r="AJ24" i="135" s="1"/>
  <c r="AK24" i="135" s="1"/>
  <c r="AL24" i="135" s="1"/>
  <c r="W24" i="135"/>
  <c r="AD22" i="135"/>
  <c r="AA22" i="135"/>
  <c r="AG22" i="135" s="1"/>
  <c r="Z22" i="135"/>
  <c r="X22" i="135"/>
  <c r="Y22" i="135" s="1"/>
  <c r="AI22" i="135" s="1"/>
  <c r="AJ22" i="135" s="1"/>
  <c r="W22" i="135"/>
  <c r="AI21" i="135"/>
  <c r="AJ21" i="135" s="1"/>
  <c r="AE21" i="135"/>
  <c r="AD21" i="135"/>
  <c r="AG21" i="135"/>
  <c r="AF20" i="135"/>
  <c r="AA20" i="135"/>
  <c r="AD20" i="135" s="1"/>
  <c r="Z20" i="135"/>
  <c r="X20" i="135"/>
  <c r="W20" i="135"/>
  <c r="Y20" i="135" s="1"/>
  <c r="AI20" i="135" s="1"/>
  <c r="AJ20" i="135" s="1"/>
  <c r="AA19" i="135"/>
  <c r="Z19" i="135"/>
  <c r="X19" i="135"/>
  <c r="W19" i="135"/>
  <c r="AA18" i="135"/>
  <c r="AF18" i="135" s="1"/>
  <c r="Z18" i="135"/>
  <c r="X18" i="135"/>
  <c r="Y18" i="135" s="1"/>
  <c r="AA17" i="135"/>
  <c r="Z17" i="135"/>
  <c r="X17" i="135"/>
  <c r="W17" i="135"/>
  <c r="AJ15" i="135"/>
  <c r="AK15" i="135" s="1"/>
  <c r="AL15" i="135" s="1"/>
  <c r="AM15" i="135" s="1"/>
  <c r="AN15" i="135" s="1"/>
  <c r="AO15" i="135" s="1"/>
  <c r="AP15" i="135" s="1"/>
  <c r="AI15" i="135"/>
  <c r="Z14" i="135"/>
  <c r="X14" i="135"/>
  <c r="W14" i="135"/>
  <c r="Y14" i="135" s="1"/>
  <c r="AI14" i="135" s="1"/>
  <c r="AI13" i="135"/>
  <c r="AJ13" i="135" s="1"/>
  <c r="AK13" i="135" s="1"/>
  <c r="AL13" i="135" s="1"/>
  <c r="AM13" i="135" s="1"/>
  <c r="AN13" i="135" s="1"/>
  <c r="AO13" i="135" s="1"/>
  <c r="AP13" i="135" s="1"/>
  <c r="Z12" i="135"/>
  <c r="X12" i="135"/>
  <c r="W12" i="135"/>
  <c r="AI11" i="135"/>
  <c r="AJ11" i="135" s="1"/>
  <c r="AK11" i="135" s="1"/>
  <c r="AL11" i="135" s="1"/>
  <c r="AM11" i="135" s="1"/>
  <c r="AN11" i="135" s="1"/>
  <c r="AO11" i="135" s="1"/>
  <c r="AP11" i="135" s="1"/>
  <c r="Z10" i="135"/>
  <c r="X10" i="135"/>
  <c r="W10" i="135"/>
  <c r="Z9" i="135"/>
  <c r="X9" i="135"/>
  <c r="W9" i="135"/>
  <c r="Y9" i="135" s="1"/>
  <c r="AI9" i="135" s="1"/>
  <c r="AJ9" i="135" s="1"/>
  <c r="AK9" i="135" s="1"/>
  <c r="AL9" i="135" s="1"/>
  <c r="AM9" i="135" s="1"/>
  <c r="AN9" i="135" s="1"/>
  <c r="AO9" i="135" s="1"/>
  <c r="AP9" i="135" s="1"/>
  <c r="Z8" i="135"/>
  <c r="X8" i="135"/>
  <c r="AF7" i="135"/>
  <c r="AE7" i="135"/>
  <c r="AD7" i="135"/>
  <c r="AF5" i="135" s="1"/>
  <c r="AC7" i="135"/>
  <c r="AB7" i="135"/>
  <c r="G6" i="109" s="1"/>
  <c r="H6" i="109" s="1"/>
  <c r="AP4" i="135"/>
  <c r="AO4" i="135"/>
  <c r="AN4" i="135"/>
  <c r="AM4" i="135"/>
  <c r="AL4" i="135"/>
  <c r="AK4" i="135"/>
  <c r="AJ4" i="135"/>
  <c r="AI4" i="135"/>
  <c r="AQ15" i="135" l="1"/>
  <c r="AC32" i="135"/>
  <c r="BE22" i="135"/>
  <c r="Y12" i="135"/>
  <c r="AI12" i="135" s="1"/>
  <c r="AD32" i="135"/>
  <c r="AG34" i="135"/>
  <c r="AP34" i="135" s="1"/>
  <c r="AQ34" i="135" s="1"/>
  <c r="BE18" i="135"/>
  <c r="AZ20" i="135"/>
  <c r="BI20" i="135" s="1"/>
  <c r="BJ20" i="135" s="1"/>
  <c r="AY23" i="135"/>
  <c r="AZ24" i="135"/>
  <c r="BJ25" i="135"/>
  <c r="BK25" i="135" s="1"/>
  <c r="BL25" i="135" s="1"/>
  <c r="BM25" i="135" s="1"/>
  <c r="BN25" i="135" s="1"/>
  <c r="BO25" i="135" s="1"/>
  <c r="BA28" i="135"/>
  <c r="BC32" i="135"/>
  <c r="AU26" i="135"/>
  <c r="BA20" i="135"/>
  <c r="BB28" i="135"/>
  <c r="BD32" i="135"/>
  <c r="AB28" i="135"/>
  <c r="AF30" i="135"/>
  <c r="AW19" i="135"/>
  <c r="BG19" i="135" s="1"/>
  <c r="BH19" i="135" s="1"/>
  <c r="BC20" i="135"/>
  <c r="BC24" i="135"/>
  <c r="BC17" i="135" s="1"/>
  <c r="BD28" i="135"/>
  <c r="BD27" i="135" s="1"/>
  <c r="BA34" i="135"/>
  <c r="BI35" i="135"/>
  <c r="BJ35" i="135" s="1"/>
  <c r="BK35" i="135" s="1"/>
  <c r="BL35" i="135" s="1"/>
  <c r="BM35" i="135" s="1"/>
  <c r="BN35" i="135" s="1"/>
  <c r="BO35" i="135" s="1"/>
  <c r="AZ30" i="135"/>
  <c r="BI30" i="135" s="1"/>
  <c r="AE28" i="135"/>
  <c r="BD20" i="135"/>
  <c r="BD17" i="135" s="1"/>
  <c r="AV36" i="135"/>
  <c r="I6" i="109"/>
  <c r="AB20" i="135"/>
  <c r="AK20" i="135" s="1"/>
  <c r="BE5" i="135"/>
  <c r="BE20" i="135"/>
  <c r="BE17" i="135" s="1"/>
  <c r="BE24" i="135"/>
  <c r="BA30" i="135"/>
  <c r="BH32" i="135"/>
  <c r="BC34" i="135"/>
  <c r="BC28" i="135"/>
  <c r="BC27" i="135" s="1"/>
  <c r="AQ13" i="135"/>
  <c r="BE28" i="135"/>
  <c r="W7" i="135"/>
  <c r="AB22" i="135"/>
  <c r="AF28" i="135"/>
  <c r="AE20" i="135"/>
  <c r="AC22" i="135"/>
  <c r="Y29" i="135"/>
  <c r="AZ26" i="135"/>
  <c r="AZ22" i="135"/>
  <c r="AU36" i="135"/>
  <c r="BB30" i="135"/>
  <c r="BD34" i="135"/>
  <c r="BA26" i="135"/>
  <c r="AE22" i="135"/>
  <c r="BA18" i="135"/>
  <c r="BA17" i="135" s="1"/>
  <c r="BB22" i="135"/>
  <c r="BH24" i="135"/>
  <c r="BI24" i="135" s="1"/>
  <c r="BJ24" i="135" s="1"/>
  <c r="BK24" i="135" s="1"/>
  <c r="BD30" i="135"/>
  <c r="BD36" i="135" s="1"/>
  <c r="BC30" i="135"/>
  <c r="AQ11" i="135"/>
  <c r="BO11" i="135" s="1"/>
  <c r="Y19" i="135"/>
  <c r="AF22" i="135"/>
  <c r="AU7" i="135"/>
  <c r="BB18" i="135"/>
  <c r="BC22" i="135"/>
  <c r="AX36" i="135"/>
  <c r="BE30" i="135"/>
  <c r="BE36" i="135" s="1"/>
  <c r="AZ32" i="135"/>
  <c r="AZ27" i="135" s="1"/>
  <c r="BI33" i="135"/>
  <c r="BJ33" i="135" s="1"/>
  <c r="BK33" i="135" s="1"/>
  <c r="BL33" i="135" s="1"/>
  <c r="BM33" i="135" s="1"/>
  <c r="BN33" i="135" s="1"/>
  <c r="BO33" i="135" s="1"/>
  <c r="X26" i="135"/>
  <c r="BJ23" i="135"/>
  <c r="BK23" i="135" s="1"/>
  <c r="BL23" i="135" s="1"/>
  <c r="BM23" i="135" s="1"/>
  <c r="BN23" i="135" s="1"/>
  <c r="BO23" i="135" s="1"/>
  <c r="BD22" i="135"/>
  <c r="BA32" i="135"/>
  <c r="BI34" i="135"/>
  <c r="BJ34" i="135" s="1"/>
  <c r="BK34" i="135" s="1"/>
  <c r="BL34" i="135" s="1"/>
  <c r="BM34" i="135" s="1"/>
  <c r="BN34" i="135" s="1"/>
  <c r="BO34" i="135" s="1"/>
  <c r="AE30" i="135"/>
  <c r="X7" i="135"/>
  <c r="Z26" i="135"/>
  <c r="AZ28" i="135"/>
  <c r="BB32" i="135"/>
  <c r="BO13" i="135"/>
  <c r="BO15" i="135"/>
  <c r="BD26" i="135"/>
  <c r="BE27" i="135"/>
  <c r="BA36" i="135"/>
  <c r="BI31" i="135"/>
  <c r="BJ31" i="135" s="1"/>
  <c r="BK31" i="135" s="1"/>
  <c r="BL31" i="135" s="1"/>
  <c r="BM31" i="135" s="1"/>
  <c r="BN31" i="135" s="1"/>
  <c r="BO31" i="135" s="1"/>
  <c r="BB17" i="135"/>
  <c r="BI21" i="135"/>
  <c r="BJ21" i="135" s="1"/>
  <c r="BK21" i="135" s="1"/>
  <c r="BL21" i="135" s="1"/>
  <c r="BM21" i="135" s="1"/>
  <c r="BN21" i="135" s="1"/>
  <c r="BO21" i="135" s="1"/>
  <c r="BB26" i="135"/>
  <c r="BC26" i="135"/>
  <c r="BE26" i="135"/>
  <c r="BG28" i="135"/>
  <c r="BH28" i="135" s="1"/>
  <c r="BI28" i="135" s="1"/>
  <c r="AW27" i="135"/>
  <c r="BH36" i="135"/>
  <c r="AW26" i="135"/>
  <c r="BG26" i="135" s="1"/>
  <c r="AW17" i="135"/>
  <c r="BG18" i="135"/>
  <c r="BH18" i="135" s="1"/>
  <c r="BI18" i="135" s="1"/>
  <c r="BH26" i="135"/>
  <c r="BG10" i="135"/>
  <c r="BH10" i="135" s="1"/>
  <c r="BI10" i="135" s="1"/>
  <c r="BJ10" i="135" s="1"/>
  <c r="BK10" i="135" s="1"/>
  <c r="BL10" i="135" s="1"/>
  <c r="BM10" i="135" s="1"/>
  <c r="BN10" i="135" s="1"/>
  <c r="BG12" i="135"/>
  <c r="BH12" i="135" s="1"/>
  <c r="BI12" i="135" s="1"/>
  <c r="BJ12" i="135" s="1"/>
  <c r="BK12" i="135" s="1"/>
  <c r="BL12" i="135" s="1"/>
  <c r="BM12" i="135" s="1"/>
  <c r="BN12" i="135" s="1"/>
  <c r="BG14" i="135"/>
  <c r="BH14" i="135" s="1"/>
  <c r="BI14" i="135" s="1"/>
  <c r="BJ14" i="135" s="1"/>
  <c r="BK14" i="135" s="1"/>
  <c r="BL14" i="135" s="1"/>
  <c r="BM14" i="135" s="1"/>
  <c r="BN14" i="135" s="1"/>
  <c r="AZ17" i="135"/>
  <c r="AW36" i="135"/>
  <c r="BG36" i="135" s="1"/>
  <c r="AW8" i="135"/>
  <c r="AW9" i="135"/>
  <c r="BB27" i="135"/>
  <c r="AY33" i="135"/>
  <c r="AV7" i="135"/>
  <c r="AJ12" i="135"/>
  <c r="AK12" i="135" s="1"/>
  <c r="AL12" i="135" s="1"/>
  <c r="AM12" i="135" s="1"/>
  <c r="AN12" i="135" s="1"/>
  <c r="AO12" i="135" s="1"/>
  <c r="AP12" i="135" s="1"/>
  <c r="AQ12" i="135"/>
  <c r="AK32" i="135"/>
  <c r="AL32" i="135" s="1"/>
  <c r="Y26" i="135"/>
  <c r="AI26" i="135" s="1"/>
  <c r="AI19" i="135"/>
  <c r="AJ19" i="135" s="1"/>
  <c r="AJ26" i="135" s="1"/>
  <c r="AE26" i="135"/>
  <c r="AJ14" i="135"/>
  <c r="AK14" i="135" s="1"/>
  <c r="AL14" i="135" s="1"/>
  <c r="AM14" i="135" s="1"/>
  <c r="AN14" i="135" s="1"/>
  <c r="AO14" i="135" s="1"/>
  <c r="AP14" i="135" s="1"/>
  <c r="AQ14" i="135"/>
  <c r="Y27" i="135"/>
  <c r="AI27" i="135" s="1"/>
  <c r="AJ27" i="135" s="1"/>
  <c r="AI28" i="135"/>
  <c r="AJ28" i="135" s="1"/>
  <c r="AK28" i="135" s="1"/>
  <c r="Y17" i="135"/>
  <c r="AI17" i="135" s="1"/>
  <c r="AJ17" i="135" s="1"/>
  <c r="AI18" i="135"/>
  <c r="AJ18" i="135" s="1"/>
  <c r="Y36" i="135"/>
  <c r="AI36" i="135" s="1"/>
  <c r="AI29" i="135"/>
  <c r="AJ29" i="135" s="1"/>
  <c r="AJ36" i="135" s="1"/>
  <c r="AE36" i="135"/>
  <c r="W26" i="135"/>
  <c r="AB30" i="135"/>
  <c r="Y8" i="135"/>
  <c r="AQ9" i="135"/>
  <c r="AG20" i="135"/>
  <c r="AG26" i="135" s="1"/>
  <c r="AB21" i="135"/>
  <c r="AG28" i="135"/>
  <c r="AG27" i="135" s="1"/>
  <c r="AC30" i="135"/>
  <c r="AC21" i="135"/>
  <c r="AD30" i="135"/>
  <c r="AB32" i="135"/>
  <c r="Y10" i="135"/>
  <c r="AI10" i="135" s="1"/>
  <c r="AC18" i="135"/>
  <c r="AF21" i="135"/>
  <c r="AF17" i="135" s="1"/>
  <c r="AB31" i="135"/>
  <c r="AK31" i="135" s="1"/>
  <c r="AE32" i="135"/>
  <c r="AD18" i="135"/>
  <c r="AD17" i="135" s="1"/>
  <c r="AC31" i="135"/>
  <c r="AE18" i="135"/>
  <c r="AE17" i="135" s="1"/>
  <c r="AD31" i="135"/>
  <c r="AE31" i="135"/>
  <c r="AG18" i="135"/>
  <c r="AC20" i="135"/>
  <c r="AD24" i="135"/>
  <c r="AC28" i="135"/>
  <c r="AF31" i="135"/>
  <c r="AF27" i="135" s="1"/>
  <c r="AB18" i="135"/>
  <c r="Z7" i="135"/>
  <c r="C14" i="143"/>
  <c r="N16" i="137"/>
  <c r="E13" i="140"/>
  <c r="V18" i="142"/>
  <c r="S25" i="138"/>
  <c r="K8" i="142"/>
  <c r="G33" i="49"/>
  <c r="D20" i="146"/>
  <c r="E10" i="142"/>
  <c r="E19" i="139"/>
  <c r="L25" i="138"/>
  <c r="H17" i="139"/>
  <c r="S22" i="140"/>
  <c r="G25" i="142"/>
  <c r="E23" i="137"/>
  <c r="I42" i="49"/>
  <c r="G10" i="140"/>
  <c r="C22" i="148"/>
  <c r="J8" i="141"/>
  <c r="S24" i="137"/>
  <c r="D25" i="141"/>
  <c r="C34" i="76"/>
  <c r="U11" i="142"/>
  <c r="S19" i="137"/>
  <c r="E14" i="141"/>
  <c r="C23" i="139"/>
  <c r="Q14" i="141"/>
  <c r="H23" i="140"/>
  <c r="D20" i="145"/>
  <c r="K11" i="139"/>
  <c r="R14" i="137"/>
  <c r="S33" i="138"/>
  <c r="C25" i="139"/>
  <c r="C9" i="146"/>
  <c r="H14" i="140"/>
  <c r="C6" i="140"/>
  <c r="E6" i="137"/>
  <c r="N25" i="142"/>
  <c r="C19" i="138"/>
  <c r="R20" i="140"/>
  <c r="E11" i="141"/>
  <c r="V24" i="138"/>
  <c r="K33" i="139"/>
  <c r="V15" i="140"/>
  <c r="S33" i="142"/>
  <c r="C7" i="138"/>
  <c r="S14" i="137"/>
  <c r="D22" i="144"/>
  <c r="Q20" i="142"/>
  <c r="U19" i="139"/>
  <c r="E18" i="140"/>
  <c r="D20" i="141"/>
  <c r="J22" i="140"/>
  <c r="R15" i="139"/>
  <c r="N9" i="140"/>
  <c r="G33" i="142"/>
  <c r="D13" i="140"/>
  <c r="R23" i="139"/>
  <c r="N6" i="141"/>
  <c r="H10" i="139"/>
  <c r="S11" i="140"/>
  <c r="O17" i="138"/>
  <c r="L25" i="140"/>
  <c r="S17" i="137"/>
  <c r="V10" i="138"/>
  <c r="L16" i="140"/>
  <c r="H9" i="137"/>
  <c r="O20" i="138"/>
  <c r="K17" i="139"/>
  <c r="N16" i="138"/>
  <c r="C23" i="143"/>
  <c r="V8" i="140"/>
  <c r="G7" i="140"/>
  <c r="D11" i="145"/>
  <c r="D27" i="145"/>
  <c r="H6" i="137"/>
  <c r="J9" i="141"/>
  <c r="E25" i="138"/>
  <c r="D13" i="145"/>
  <c r="D26" i="144"/>
  <c r="S18" i="137"/>
  <c r="D14" i="142"/>
  <c r="C12" i="139"/>
  <c r="C9" i="143"/>
  <c r="S15" i="137"/>
  <c r="L8" i="138"/>
  <c r="C18" i="137"/>
  <c r="C17" i="142"/>
  <c r="O12" i="138"/>
  <c r="L16" i="138"/>
  <c r="D16" i="146"/>
  <c r="G17" i="141"/>
  <c r="J158" i="69"/>
  <c r="R12" i="142"/>
  <c r="D33" i="49"/>
  <c r="J6" i="141"/>
  <c r="V23" i="140"/>
  <c r="B35" i="49"/>
  <c r="R25" i="140"/>
  <c r="J16" i="138"/>
  <c r="N14" i="139"/>
  <c r="K11" i="138"/>
  <c r="D23" i="146"/>
  <c r="O18" i="141"/>
  <c r="S13" i="137"/>
  <c r="N17" i="137"/>
  <c r="J20" i="139"/>
  <c r="K19" i="141"/>
  <c r="U20" i="140"/>
  <c r="V18" i="138"/>
  <c r="G8" i="140"/>
  <c r="E14" i="139"/>
  <c r="O15" i="137"/>
  <c r="O13" i="138"/>
  <c r="D16" i="145"/>
  <c r="S12" i="139"/>
  <c r="N11" i="139"/>
  <c r="C22" i="143"/>
  <c r="C16" i="138"/>
  <c r="S19" i="141"/>
  <c r="K10" i="140"/>
  <c r="N15" i="139"/>
  <c r="U18" i="138"/>
  <c r="J21" i="140"/>
  <c r="S16" i="142"/>
  <c r="E8" i="139"/>
  <c r="Q20" i="139"/>
  <c r="O16" i="139"/>
  <c r="V24" i="140"/>
  <c r="L21" i="142"/>
  <c r="H15" i="140"/>
  <c r="U33" i="138"/>
  <c r="C177" i="70"/>
  <c r="B174" i="70"/>
  <c r="C21" i="147"/>
  <c r="B189" i="70"/>
  <c r="H24" i="141"/>
  <c r="S8" i="141"/>
  <c r="L15" i="142"/>
  <c r="J21" i="142"/>
  <c r="R13" i="137"/>
  <c r="U9" i="137"/>
  <c r="L22" i="141"/>
  <c r="Q12" i="141"/>
  <c r="U23" i="137"/>
  <c r="O10" i="137"/>
  <c r="E11" i="142"/>
  <c r="Q15" i="139"/>
  <c r="C8" i="138"/>
  <c r="H21" i="137"/>
  <c r="E15" i="137"/>
  <c r="N20" i="138"/>
  <c r="D50" i="46"/>
  <c r="Q11" i="140"/>
  <c r="H7" i="142"/>
  <c r="L12" i="137"/>
  <c r="D22" i="147"/>
  <c r="F36" i="49"/>
  <c r="D19" i="148"/>
  <c r="D20" i="144"/>
  <c r="L24" i="138"/>
  <c r="D12" i="146"/>
  <c r="D10" i="141"/>
  <c r="Q7" i="138"/>
  <c r="R23" i="142"/>
  <c r="R8" i="137"/>
  <c r="J13" i="140"/>
  <c r="G33" i="140"/>
  <c r="V10" i="140"/>
  <c r="H14" i="142"/>
  <c r="G11" i="137"/>
  <c r="S10" i="138"/>
  <c r="D33" i="138"/>
  <c r="V33" i="139"/>
  <c r="K14" i="141"/>
  <c r="V22" i="142"/>
  <c r="R11" i="138"/>
  <c r="R11" i="142"/>
  <c r="E48" i="46"/>
  <c r="U19" i="138"/>
  <c r="U23" i="140"/>
  <c r="K20" i="140"/>
  <c r="D25" i="140"/>
  <c r="I51" i="46"/>
  <c r="C6" i="138"/>
  <c r="C46" i="46"/>
  <c r="D24" i="148"/>
  <c r="C33" i="141"/>
  <c r="I39" i="49"/>
  <c r="D7" i="139"/>
  <c r="R9" i="142"/>
  <c r="C11" i="140"/>
  <c r="D21" i="145"/>
  <c r="H25" i="140"/>
  <c r="E22" i="141"/>
  <c r="G18" i="141"/>
  <c r="I34" i="76"/>
  <c r="B191" i="70"/>
  <c r="Q10" i="141"/>
  <c r="V6" i="141"/>
  <c r="C22" i="146"/>
  <c r="G33" i="141"/>
  <c r="N25" i="137"/>
  <c r="K18" i="141"/>
  <c r="N24" i="138"/>
  <c r="J6" i="137"/>
  <c r="U15" i="141"/>
  <c r="C15" i="140"/>
  <c r="O22" i="142"/>
  <c r="V21" i="139"/>
  <c r="E25" i="137"/>
  <c r="J155" i="69"/>
  <c r="D13" i="148"/>
  <c r="L13" i="142"/>
  <c r="C34" i="49"/>
  <c r="C14" i="144"/>
  <c r="R33" i="139"/>
  <c r="O14" i="139"/>
  <c r="H14" i="141"/>
  <c r="D17" i="142"/>
  <c r="C16" i="141"/>
  <c r="K24" i="137"/>
  <c r="E6" i="142"/>
  <c r="E11" i="137"/>
  <c r="V16" i="141"/>
  <c r="Q14" i="138"/>
  <c r="D27" i="144"/>
  <c r="C192" i="70"/>
  <c r="V25" i="139"/>
  <c r="V18" i="139"/>
  <c r="E17" i="142"/>
  <c r="S7" i="139"/>
  <c r="C14" i="147"/>
  <c r="J18" i="138"/>
  <c r="C26" i="146"/>
  <c r="C178" i="70"/>
  <c r="B42" i="49"/>
  <c r="K13" i="137"/>
  <c r="J7" i="141"/>
  <c r="V13" i="137"/>
  <c r="U16" i="137"/>
  <c r="S6" i="139"/>
  <c r="L23" i="137"/>
  <c r="D12" i="147"/>
  <c r="C22" i="145"/>
  <c r="V24" i="139"/>
  <c r="N11" i="140"/>
  <c r="J15" i="140"/>
  <c r="C13" i="148"/>
  <c r="H11" i="138"/>
  <c r="C13" i="137"/>
  <c r="G18" i="138"/>
  <c r="J25" i="138"/>
  <c r="N17" i="142"/>
  <c r="D49" i="46"/>
  <c r="C15" i="139"/>
  <c r="D9" i="144"/>
  <c r="O19" i="142"/>
  <c r="C8" i="141"/>
  <c r="D22" i="139"/>
  <c r="V9" i="140"/>
  <c r="J24" i="141"/>
  <c r="C8" i="142"/>
  <c r="N23" i="141"/>
  <c r="J18" i="142"/>
  <c r="S20" i="142"/>
  <c r="N13" i="140"/>
  <c r="F46" i="46"/>
  <c r="O12" i="142"/>
  <c r="D15" i="142"/>
  <c r="H18" i="140"/>
  <c r="N6" i="137"/>
  <c r="O19" i="138"/>
  <c r="E46" i="46"/>
  <c r="D17" i="138"/>
  <c r="S7" i="141"/>
  <c r="C11" i="147"/>
  <c r="K10" i="137"/>
  <c r="C18" i="139"/>
  <c r="D15" i="138"/>
  <c r="C13" i="141"/>
  <c r="C12" i="138"/>
  <c r="R25" i="141"/>
  <c r="R20" i="137"/>
  <c r="L25" i="139"/>
  <c r="K22" i="139"/>
  <c r="C9" i="141"/>
  <c r="D9" i="148"/>
  <c r="C13" i="147"/>
  <c r="J14" i="142"/>
  <c r="Q11" i="139"/>
  <c r="U18" i="140"/>
  <c r="C41" i="49"/>
  <c r="K19" i="137"/>
  <c r="Q21" i="142"/>
  <c r="D17" i="143"/>
  <c r="G24" i="137"/>
  <c r="R12" i="139"/>
  <c r="N23" i="137"/>
  <c r="C20" i="142"/>
  <c r="D15" i="144"/>
  <c r="D11" i="148"/>
  <c r="N20" i="139"/>
  <c r="D13" i="147"/>
  <c r="J12" i="139"/>
  <c r="D34" i="49"/>
  <c r="O11" i="138"/>
  <c r="C11" i="142"/>
  <c r="J21" i="138"/>
  <c r="E18" i="138"/>
  <c r="G6" i="138"/>
  <c r="R15" i="141"/>
  <c r="H34" i="49"/>
  <c r="K8" i="140"/>
  <c r="R9" i="137"/>
  <c r="N14" i="137"/>
  <c r="G8" i="139"/>
  <c r="C7" i="142"/>
  <c r="D18" i="145"/>
  <c r="Q7" i="139"/>
  <c r="G40" i="49"/>
  <c r="L20" i="140"/>
  <c r="B41" i="49"/>
  <c r="D20" i="148"/>
  <c r="R11" i="141"/>
  <c r="C11" i="137"/>
  <c r="Q12" i="138"/>
  <c r="S15" i="138"/>
  <c r="D8" i="142"/>
  <c r="E18" i="137"/>
  <c r="U22" i="142"/>
  <c r="U12" i="140"/>
  <c r="V9" i="138"/>
  <c r="F34" i="49"/>
  <c r="G39" i="49"/>
  <c r="S6" i="138"/>
  <c r="O23" i="139"/>
  <c r="D6" i="139"/>
  <c r="N10" i="137"/>
  <c r="H33" i="49"/>
  <c r="G11" i="142"/>
  <c r="C26" i="147"/>
  <c r="C17" i="140"/>
  <c r="D20" i="147"/>
  <c r="G25" i="137"/>
  <c r="Q24" i="141"/>
  <c r="L21" i="139"/>
  <c r="K22" i="138"/>
  <c r="S16" i="141"/>
  <c r="O14" i="137"/>
  <c r="U16" i="139"/>
  <c r="D25" i="139"/>
  <c r="N33" i="139"/>
  <c r="C26" i="148"/>
  <c r="N15" i="141"/>
  <c r="B184" i="70"/>
  <c r="J21" i="137"/>
  <c r="S24" i="140"/>
  <c r="G7" i="139"/>
  <c r="K6" i="138"/>
  <c r="D37" i="49"/>
  <c r="J9" i="142"/>
  <c r="K18" i="142"/>
  <c r="D19" i="137"/>
  <c r="S12" i="141"/>
  <c r="C14" i="141"/>
  <c r="N9" i="137"/>
  <c r="H20" i="137"/>
  <c r="D17" i="146"/>
  <c r="D25" i="145"/>
  <c r="U12" i="138"/>
  <c r="L7" i="140"/>
  <c r="N10" i="139"/>
  <c r="H15" i="137"/>
  <c r="M132" i="46"/>
  <c r="O23" i="138"/>
  <c r="C35" i="49"/>
  <c r="K33" i="137"/>
  <c r="V18" i="140"/>
  <c r="O10" i="140"/>
  <c r="D25" i="147"/>
  <c r="E21" i="139"/>
  <c r="H24" i="139"/>
  <c r="R8" i="139"/>
  <c r="C9" i="147"/>
  <c r="C15" i="146"/>
  <c r="E12" i="141"/>
  <c r="K19" i="140"/>
  <c r="C33" i="49"/>
  <c r="D23" i="137"/>
  <c r="S33" i="140"/>
  <c r="J20" i="140"/>
  <c r="C14" i="145"/>
  <c r="J17" i="141"/>
  <c r="K16" i="137"/>
  <c r="V14" i="139"/>
  <c r="H25" i="141"/>
  <c r="O17" i="139"/>
  <c r="G22" i="141"/>
  <c r="E9" i="138"/>
  <c r="K13" i="140"/>
  <c r="Q9" i="142"/>
  <c r="S22" i="142"/>
  <c r="H20" i="139"/>
  <c r="H45" i="46"/>
  <c r="L13" i="141"/>
  <c r="N19" i="142"/>
  <c r="D11" i="143"/>
  <c r="D22" i="145"/>
  <c r="J23" i="139"/>
  <c r="E20" i="137"/>
  <c r="N7" i="137"/>
  <c r="K25" i="137"/>
  <c r="L24" i="142"/>
  <c r="R12" i="141"/>
  <c r="S10" i="141"/>
  <c r="S12" i="137"/>
  <c r="R20" i="138"/>
  <c r="G17" i="138"/>
  <c r="S23" i="142"/>
  <c r="H25" i="137"/>
  <c r="L16" i="139"/>
  <c r="C18" i="141"/>
  <c r="C21" i="144"/>
  <c r="F47" i="46"/>
  <c r="G24" i="142"/>
  <c r="S23" i="140"/>
  <c r="C36" i="49"/>
  <c r="J22" i="142"/>
  <c r="D15" i="143"/>
  <c r="R15" i="140"/>
  <c r="E12" i="137"/>
  <c r="O10" i="138"/>
  <c r="Q19" i="141"/>
  <c r="Q16" i="138"/>
  <c r="C18" i="138"/>
  <c r="Q23" i="139"/>
  <c r="K12" i="141"/>
  <c r="D27" i="146"/>
  <c r="K46" i="109" s="1"/>
  <c r="G16" i="138"/>
  <c r="Q8" i="141"/>
  <c r="G20" i="139"/>
  <c r="U13" i="137"/>
  <c r="D15" i="147"/>
  <c r="C20" i="147"/>
  <c r="C20" i="138"/>
  <c r="K6" i="137"/>
  <c r="K14" i="140"/>
  <c r="N21" i="139"/>
  <c r="V23" i="139"/>
  <c r="S7" i="142"/>
  <c r="D16" i="140"/>
  <c r="C21" i="137"/>
  <c r="C23" i="140"/>
  <c r="V12" i="139"/>
  <c r="N6" i="139"/>
  <c r="Q23" i="137"/>
  <c r="D25" i="142"/>
  <c r="D12" i="145"/>
  <c r="I49" i="46"/>
  <c r="O17" i="142"/>
  <c r="C16" i="147"/>
  <c r="E18" i="141"/>
  <c r="C47" i="46"/>
  <c r="O9" i="140"/>
  <c r="S21" i="139"/>
  <c r="C19" i="140"/>
  <c r="U14" i="139"/>
  <c r="D10" i="144"/>
  <c r="G19" i="140"/>
  <c r="B179" i="70"/>
  <c r="V11" i="138"/>
  <c r="D17" i="147"/>
  <c r="L8" i="139"/>
  <c r="D7" i="137"/>
  <c r="B40" i="49"/>
  <c r="U22" i="141"/>
  <c r="L18" i="138"/>
  <c r="N33" i="138"/>
  <c r="J17" i="137"/>
  <c r="L11" i="139"/>
  <c r="I33" i="49"/>
  <c r="L15" i="137"/>
  <c r="J25" i="140"/>
  <c r="O21" i="140"/>
  <c r="N21" i="137"/>
  <c r="Q17" i="139"/>
  <c r="N10" i="140"/>
  <c r="S8" i="139"/>
  <c r="E51" i="46"/>
  <c r="C24" i="145"/>
  <c r="S6" i="137"/>
  <c r="U17" i="142"/>
  <c r="G23" i="141"/>
  <c r="D18" i="142"/>
  <c r="D10" i="143"/>
  <c r="E15" i="140"/>
  <c r="U14" i="137"/>
  <c r="H21" i="141"/>
  <c r="N13" i="137"/>
  <c r="C10" i="137"/>
  <c r="E15" i="138"/>
  <c r="N33" i="142"/>
  <c r="C19" i="141"/>
  <c r="G14" i="142"/>
  <c r="E35" i="49"/>
  <c r="L20" i="141"/>
  <c r="G15" i="141"/>
  <c r="B186" i="70"/>
  <c r="O9" i="139"/>
  <c r="Q8" i="139"/>
  <c r="U8" i="139"/>
  <c r="G47" i="46"/>
  <c r="D17" i="137"/>
  <c r="D22" i="143"/>
  <c r="C10" i="148"/>
  <c r="J25" i="141"/>
  <c r="C19" i="145"/>
  <c r="D12" i="139"/>
  <c r="D12" i="138"/>
  <c r="G17" i="142"/>
  <c r="K19" i="142"/>
  <c r="O20" i="141"/>
  <c r="K14" i="138"/>
  <c r="I34" i="49"/>
  <c r="V13" i="140"/>
  <c r="D26" i="146"/>
  <c r="L11" i="137"/>
  <c r="G6" i="142"/>
  <c r="G16" i="139"/>
  <c r="E17" i="140"/>
  <c r="U8" i="140"/>
  <c r="N23" i="138"/>
  <c r="C19" i="142"/>
  <c r="V25" i="141"/>
  <c r="G19" i="142"/>
  <c r="E17" i="139"/>
  <c r="E21" i="137"/>
  <c r="V13" i="142"/>
  <c r="D21" i="139"/>
  <c r="L33" i="137"/>
  <c r="R25" i="137"/>
  <c r="K9" i="138"/>
  <c r="G33" i="137"/>
  <c r="Q21" i="137"/>
  <c r="V8" i="142"/>
  <c r="O19" i="140"/>
  <c r="S20" i="138"/>
  <c r="C15" i="147"/>
  <c r="I45" i="46"/>
  <c r="B38" i="49"/>
  <c r="V15" i="137"/>
  <c r="R13" i="140"/>
  <c r="D19" i="142"/>
  <c r="J10" i="137"/>
  <c r="Q13" i="138"/>
  <c r="S24" i="138"/>
  <c r="G21" i="141"/>
  <c r="G18" i="140"/>
  <c r="H9" i="142"/>
  <c r="V21" i="140"/>
  <c r="S21" i="140"/>
  <c r="O33" i="139"/>
  <c r="S21" i="142"/>
  <c r="K16" i="138"/>
  <c r="V12" i="140"/>
  <c r="D8" i="138"/>
  <c r="J23" i="137"/>
  <c r="L6" i="142"/>
  <c r="C13" i="138"/>
  <c r="K18" i="140"/>
  <c r="H14" i="137"/>
  <c r="Q17" i="141"/>
  <c r="O19" i="139"/>
  <c r="H13" i="137"/>
  <c r="O21" i="141"/>
  <c r="Q25" i="142"/>
  <c r="C48" i="46"/>
  <c r="H24" i="138"/>
  <c r="N19" i="139"/>
  <c r="G6" i="140"/>
  <c r="B51" i="46"/>
  <c r="U10" i="138"/>
  <c r="E10" i="140"/>
  <c r="N8" i="137"/>
  <c r="Q24" i="138"/>
  <c r="D10" i="140"/>
  <c r="V13" i="138"/>
  <c r="U17" i="141"/>
  <c r="G16" i="137"/>
  <c r="D21" i="147"/>
  <c r="D23" i="147"/>
  <c r="C16" i="140"/>
  <c r="V8" i="139"/>
  <c r="G9" i="139"/>
  <c r="N22" i="140"/>
  <c r="C23" i="145"/>
  <c r="G15" i="140"/>
  <c r="L13" i="139"/>
  <c r="S23" i="138"/>
  <c r="L22" i="137"/>
  <c r="J16" i="140"/>
  <c r="S33" i="137"/>
  <c r="L19" i="141"/>
  <c r="J19" i="142"/>
  <c r="R17" i="139"/>
  <c r="N14" i="141"/>
  <c r="B45" i="46"/>
  <c r="D24" i="145"/>
  <c r="U24" i="142"/>
  <c r="J8" i="142"/>
  <c r="G12" i="140"/>
  <c r="O22" i="140"/>
  <c r="J11" i="139"/>
  <c r="U15" i="140"/>
  <c r="J12" i="140"/>
  <c r="H48" i="46"/>
  <c r="E7" i="142"/>
  <c r="D16" i="138"/>
  <c r="R12" i="137"/>
  <c r="Q22" i="142"/>
  <c r="D14" i="144"/>
  <c r="S17" i="141"/>
  <c r="H33" i="142"/>
  <c r="F52" i="46"/>
  <c r="Q23" i="141"/>
  <c r="N22" i="138"/>
  <c r="C15" i="145"/>
  <c r="Q16" i="140"/>
  <c r="S17" i="142"/>
  <c r="D10" i="138"/>
  <c r="V25" i="138"/>
  <c r="O17" i="141"/>
  <c r="R18" i="142"/>
  <c r="E8" i="140"/>
  <c r="D7" i="138"/>
  <c r="U13" i="142"/>
  <c r="O18" i="138"/>
  <c r="O25" i="141"/>
  <c r="U15" i="137"/>
  <c r="L12" i="139"/>
  <c r="D9" i="147"/>
  <c r="Q14" i="142"/>
  <c r="H11" i="140"/>
  <c r="E24" i="140"/>
  <c r="H16" i="138"/>
  <c r="G21" i="139"/>
  <c r="H7" i="137"/>
  <c r="I37" i="49"/>
  <c r="J18" i="140"/>
  <c r="J77" i="46"/>
  <c r="D9" i="140"/>
  <c r="E17" i="141"/>
  <c r="N8" i="140"/>
  <c r="D24" i="141"/>
  <c r="R13" i="138"/>
  <c r="L20" i="138"/>
  <c r="C11" i="143"/>
  <c r="J6" i="140"/>
  <c r="K7" i="139"/>
  <c r="R6" i="140"/>
  <c r="B175" i="70"/>
  <c r="H23" i="139"/>
  <c r="U15" i="138"/>
  <c r="R17" i="142"/>
  <c r="N12" i="137"/>
  <c r="D22" i="140"/>
  <c r="G42" i="49"/>
  <c r="D23" i="140"/>
  <c r="O21" i="142"/>
  <c r="K12" i="138"/>
  <c r="L25" i="137"/>
  <c r="C182" i="70"/>
  <c r="Q9" i="138"/>
  <c r="R22" i="142"/>
  <c r="J25" i="139"/>
  <c r="H23" i="141"/>
  <c r="G8" i="142"/>
  <c r="O8" i="142"/>
  <c r="S20" i="140"/>
  <c r="D24" i="147"/>
  <c r="Q22" i="138"/>
  <c r="C14" i="138"/>
  <c r="L14" i="142"/>
  <c r="H8" i="138"/>
  <c r="I35" i="49"/>
  <c r="G13" i="137"/>
  <c r="E25" i="140"/>
  <c r="E13" i="142"/>
  <c r="R7" i="137"/>
  <c r="L33" i="142"/>
  <c r="H23" i="137"/>
  <c r="G13" i="142"/>
  <c r="E6" i="138"/>
  <c r="N20" i="142"/>
  <c r="J12" i="141"/>
  <c r="C50" i="46"/>
  <c r="C20" i="140"/>
  <c r="J8" i="140"/>
  <c r="C12" i="147"/>
  <c r="O25" i="142"/>
  <c r="D6" i="138"/>
  <c r="U33" i="140"/>
  <c r="C9" i="140"/>
  <c r="V7" i="141"/>
  <c r="E25" i="142"/>
  <c r="N20" i="141"/>
  <c r="O13" i="142"/>
  <c r="U23" i="139"/>
  <c r="U24" i="141"/>
  <c r="V8" i="141"/>
  <c r="N25" i="140"/>
  <c r="E22" i="142"/>
  <c r="L24" i="141"/>
  <c r="H15" i="138"/>
  <c r="D8" i="139"/>
  <c r="C24" i="138"/>
  <c r="C10" i="141"/>
  <c r="C14" i="148"/>
  <c r="L10" i="142"/>
  <c r="R18" i="141"/>
  <c r="G19" i="139"/>
  <c r="G46" i="46"/>
  <c r="U21" i="140"/>
  <c r="U20" i="139"/>
  <c r="C20" i="144"/>
  <c r="V14" i="141"/>
  <c r="S25" i="141"/>
  <c r="G25" i="141"/>
  <c r="R21" i="142"/>
  <c r="G15" i="142"/>
  <c r="I40" i="49"/>
  <c r="V9" i="142"/>
  <c r="V21" i="142"/>
  <c r="C186" i="70"/>
  <c r="O22" i="141"/>
  <c r="D22" i="146"/>
  <c r="G23" i="142"/>
  <c r="K25" i="139"/>
  <c r="D24" i="140"/>
  <c r="Q9" i="139"/>
  <c r="C17" i="138"/>
  <c r="C6" i="137"/>
  <c r="U14" i="138"/>
  <c r="K25" i="141"/>
  <c r="C13" i="143"/>
  <c r="D18" i="148"/>
  <c r="U14" i="142"/>
  <c r="O20" i="139"/>
  <c r="K21" i="137"/>
  <c r="C39" i="49"/>
  <c r="J8" i="139"/>
  <c r="C174" i="70"/>
  <c r="H16" i="140"/>
  <c r="N17" i="141"/>
  <c r="N21" i="141"/>
  <c r="C24" i="144"/>
  <c r="H20" i="140"/>
  <c r="Q21" i="141"/>
  <c r="O6" i="137"/>
  <c r="N11" i="142"/>
  <c r="L19" i="139"/>
  <c r="J6" i="139"/>
  <c r="U25" i="138"/>
  <c r="G24" i="138"/>
  <c r="H35" i="49"/>
  <c r="Q21" i="140"/>
  <c r="L7" i="137"/>
  <c r="J33" i="141"/>
  <c r="H6" i="139"/>
  <c r="Q14" i="140"/>
  <c r="L33" i="138"/>
  <c r="U17" i="138"/>
  <c r="C16" i="142"/>
  <c r="N9" i="139"/>
  <c r="O6" i="139"/>
  <c r="K20" i="142"/>
  <c r="C27" i="145"/>
  <c r="D18" i="146"/>
  <c r="Q33" i="142"/>
  <c r="Q18" i="139"/>
  <c r="H8" i="142"/>
  <c r="R17" i="141"/>
  <c r="U10" i="139"/>
  <c r="V24" i="137"/>
  <c r="N25" i="138"/>
  <c r="D15" i="139"/>
  <c r="D21" i="140"/>
  <c r="S33" i="141"/>
  <c r="L10" i="137"/>
  <c r="C17" i="147"/>
  <c r="Q25" i="140"/>
  <c r="H20" i="138"/>
  <c r="U21" i="141"/>
  <c r="L19" i="140"/>
  <c r="J9" i="140"/>
  <c r="Q33" i="141"/>
  <c r="J19" i="140"/>
  <c r="E33" i="137"/>
  <c r="C14" i="146"/>
  <c r="V19" i="137"/>
  <c r="E22" i="140"/>
  <c r="Q7" i="137"/>
  <c r="D13" i="141"/>
  <c r="H10" i="142"/>
  <c r="L23" i="138"/>
  <c r="K15" i="142"/>
  <c r="U22" i="138"/>
  <c r="N14" i="142"/>
  <c r="Q33" i="140"/>
  <c r="C12" i="145"/>
  <c r="D27" i="143"/>
  <c r="S22" i="138"/>
  <c r="Q7" i="140"/>
  <c r="S22" i="141"/>
  <c r="K14" i="137"/>
  <c r="D9" i="141"/>
  <c r="G24" i="139"/>
  <c r="O18" i="139"/>
  <c r="L132" i="46"/>
  <c r="F49" i="46"/>
  <c r="V19" i="141"/>
  <c r="D47" i="46"/>
  <c r="D25" i="146"/>
  <c r="Q24" i="142"/>
  <c r="D36" i="49"/>
  <c r="G20" i="138"/>
  <c r="R16" i="139"/>
  <c r="S16" i="140"/>
  <c r="H8" i="137"/>
  <c r="L10" i="141"/>
  <c r="J9" i="137"/>
  <c r="V17" i="137"/>
  <c r="C10" i="144"/>
  <c r="E6" i="139"/>
  <c r="U6" i="141"/>
  <c r="G50" i="46"/>
  <c r="K18" i="138"/>
  <c r="C10" i="145"/>
  <c r="O18" i="140"/>
  <c r="Q22" i="140"/>
  <c r="V33" i="137"/>
  <c r="H11" i="141"/>
  <c r="K20" i="139"/>
  <c r="U13" i="138"/>
  <c r="C25" i="146"/>
  <c r="R14" i="138"/>
  <c r="G36" i="49"/>
  <c r="C25" i="147"/>
  <c r="C19" i="148"/>
  <c r="G45" i="46"/>
  <c r="D17" i="139"/>
  <c r="H9" i="139"/>
  <c r="L10" i="140"/>
  <c r="E6" i="141"/>
  <c r="H13" i="141"/>
  <c r="Q12" i="140"/>
  <c r="D12" i="142"/>
  <c r="H12" i="142"/>
  <c r="L14" i="137"/>
  <c r="V17" i="139"/>
  <c r="C11" i="139"/>
  <c r="U25" i="141"/>
  <c r="D11" i="137"/>
  <c r="O17" i="137"/>
  <c r="D15" i="146"/>
  <c r="D25" i="138"/>
  <c r="S7" i="137"/>
  <c r="D14" i="148"/>
  <c r="G17" i="140"/>
  <c r="G10" i="141"/>
  <c r="D6" i="141"/>
  <c r="D11" i="147"/>
  <c r="G6" i="141"/>
  <c r="S16" i="138"/>
  <c r="Q25" i="141"/>
  <c r="V10" i="137"/>
  <c r="H12" i="138"/>
  <c r="J15" i="138"/>
  <c r="K22" i="141"/>
  <c r="V20" i="140"/>
  <c r="L6" i="139"/>
  <c r="J17" i="139"/>
  <c r="D14" i="141"/>
  <c r="D12" i="140"/>
  <c r="G14" i="140"/>
  <c r="J21" i="141"/>
  <c r="V23" i="137"/>
  <c r="U17" i="139"/>
  <c r="D26" i="147"/>
  <c r="E13" i="137"/>
  <c r="C19" i="139"/>
  <c r="R7" i="140"/>
  <c r="Q8" i="142"/>
  <c r="N19" i="137"/>
  <c r="O9" i="142"/>
  <c r="H18" i="142"/>
  <c r="J16" i="137"/>
  <c r="H13" i="138"/>
  <c r="C21" i="143"/>
  <c r="G17" i="139"/>
  <c r="V22" i="138"/>
  <c r="V16" i="140"/>
  <c r="H16" i="141"/>
  <c r="U12" i="139"/>
  <c r="C10" i="138"/>
  <c r="O9" i="138"/>
  <c r="K11" i="142"/>
  <c r="G7" i="142"/>
  <c r="L9" i="142"/>
  <c r="E13" i="141"/>
  <c r="B181" i="70"/>
  <c r="H46" i="109"/>
  <c r="Q15" i="140"/>
  <c r="C15" i="148"/>
  <c r="U6" i="137"/>
  <c r="C15" i="138"/>
  <c r="C33" i="142"/>
  <c r="H49" i="46"/>
  <c r="G22" i="139"/>
  <c r="V22" i="139"/>
  <c r="V16" i="137"/>
  <c r="V23" i="142"/>
  <c r="G10" i="137"/>
  <c r="G21" i="137"/>
  <c r="S19" i="138"/>
  <c r="S24" i="139"/>
  <c r="O14" i="140"/>
  <c r="G48" i="46"/>
  <c r="D14" i="139"/>
  <c r="K16" i="139"/>
  <c r="S23" i="139"/>
  <c r="L22" i="142"/>
  <c r="R25" i="138"/>
  <c r="U11" i="138"/>
  <c r="G8" i="137"/>
  <c r="N6" i="138"/>
  <c r="C11" i="146"/>
  <c r="N8" i="139"/>
  <c r="C23" i="138"/>
  <c r="O9" i="137"/>
  <c r="L17" i="140"/>
  <c r="L24" i="139"/>
  <c r="O21" i="138"/>
  <c r="D9" i="142"/>
  <c r="V9" i="137"/>
  <c r="G34" i="49"/>
  <c r="G21" i="142"/>
  <c r="E14" i="138"/>
  <c r="O25" i="140"/>
  <c r="H14" i="138"/>
  <c r="C21" i="148"/>
  <c r="B187" i="70"/>
  <c r="Q11" i="141"/>
  <c r="V33" i="140"/>
  <c r="U11" i="137"/>
  <c r="G9" i="137"/>
  <c r="O25" i="137"/>
  <c r="G16" i="142"/>
  <c r="S15" i="141"/>
  <c r="H22" i="138"/>
  <c r="D33" i="140"/>
  <c r="C33" i="137"/>
  <c r="U18" i="137"/>
  <c r="H36" i="49"/>
  <c r="G6" i="137"/>
  <c r="C33" i="138"/>
  <c r="H51" i="46"/>
  <c r="O15" i="142"/>
  <c r="S13" i="138"/>
  <c r="L14" i="139"/>
  <c r="O24" i="141"/>
  <c r="C8" i="140"/>
  <c r="D13" i="137"/>
  <c r="N18" i="138"/>
  <c r="C18" i="146"/>
  <c r="R20" i="139"/>
  <c r="E40" i="49"/>
  <c r="L9" i="141"/>
  <c r="C25" i="140"/>
  <c r="V8" i="137"/>
  <c r="D20" i="143"/>
  <c r="H40" i="49"/>
  <c r="L23" i="140"/>
  <c r="U16" i="142"/>
  <c r="K33" i="142"/>
  <c r="Q25" i="138"/>
  <c r="H16" i="137"/>
  <c r="G14" i="141"/>
  <c r="U6" i="142"/>
  <c r="J23" i="141"/>
  <c r="G12" i="139"/>
  <c r="E16" i="139"/>
  <c r="S11" i="137"/>
  <c r="R22" i="141"/>
  <c r="V8" i="138"/>
  <c r="L11" i="138"/>
  <c r="G12" i="138"/>
  <c r="C13" i="142"/>
  <c r="R18" i="139"/>
  <c r="O12" i="139"/>
  <c r="H20" i="141"/>
  <c r="C18" i="147"/>
  <c r="G9" i="142"/>
  <c r="R19" i="142"/>
  <c r="J10" i="141"/>
  <c r="C11" i="145"/>
  <c r="C25" i="141"/>
  <c r="D23" i="148"/>
  <c r="D12" i="141"/>
  <c r="B36" i="49"/>
  <c r="D8" i="141"/>
  <c r="N23" i="140"/>
  <c r="H18" i="139"/>
  <c r="D11" i="138"/>
  <c r="R18" i="140"/>
  <c r="H15" i="142"/>
  <c r="E22" i="138"/>
  <c r="S23" i="137"/>
  <c r="U17" i="140"/>
  <c r="J15" i="142"/>
  <c r="V24" i="142"/>
  <c r="Q15" i="137"/>
  <c r="V6" i="137"/>
  <c r="I46" i="46"/>
  <c r="H33" i="137"/>
  <c r="H6" i="142"/>
  <c r="B34" i="49"/>
  <c r="U24" i="138"/>
  <c r="Q18" i="141"/>
  <c r="H38" i="49"/>
  <c r="R7" i="142"/>
  <c r="N22" i="139"/>
  <c r="H25" i="139"/>
  <c r="G19" i="141"/>
  <c r="V10" i="141"/>
  <c r="D16" i="147"/>
  <c r="E24" i="137"/>
  <c r="J11" i="142"/>
  <c r="L17" i="142"/>
  <c r="K22" i="140"/>
  <c r="E14" i="142"/>
  <c r="N11" i="138"/>
  <c r="R10" i="139"/>
  <c r="K16" i="140"/>
  <c r="R8" i="142"/>
  <c r="J7" i="137"/>
  <c r="H10" i="137"/>
  <c r="E18" i="139"/>
  <c r="H22" i="141"/>
  <c r="R10" i="142"/>
  <c r="L21" i="140"/>
  <c r="J13" i="137"/>
  <c r="C12" i="148"/>
  <c r="L15" i="140"/>
  <c r="E8" i="141"/>
  <c r="U20" i="141"/>
  <c r="H19" i="140"/>
  <c r="J10" i="138"/>
  <c r="C20" i="137"/>
  <c r="V17" i="140"/>
  <c r="N13" i="142"/>
  <c r="N18" i="142"/>
  <c r="N24" i="140"/>
  <c r="S12" i="138"/>
  <c r="Q12" i="137"/>
  <c r="C23" i="148"/>
  <c r="J11" i="137"/>
  <c r="D24" i="137"/>
  <c r="U7" i="137"/>
  <c r="D12" i="144"/>
  <c r="K9" i="142"/>
  <c r="L21" i="137"/>
  <c r="N19" i="138"/>
  <c r="E39" i="49"/>
  <c r="E22" i="137"/>
  <c r="K7" i="142"/>
  <c r="O10" i="142"/>
  <c r="L12" i="140"/>
  <c r="B46" i="46"/>
  <c r="K9" i="141"/>
  <c r="O19" i="137"/>
  <c r="D26" i="148"/>
  <c r="V24" i="141"/>
  <c r="O24" i="137"/>
  <c r="E23" i="141"/>
  <c r="S9" i="138"/>
  <c r="S9" i="137"/>
  <c r="D25" i="144"/>
  <c r="J24" i="142"/>
  <c r="C12" i="146"/>
  <c r="J24" i="140"/>
  <c r="J25" i="137"/>
  <c r="O23" i="142"/>
  <c r="K11" i="141"/>
  <c r="K10" i="141"/>
  <c r="O19" i="141"/>
  <c r="C21" i="141"/>
  <c r="C19" i="137"/>
  <c r="C187" i="70"/>
  <c r="K20" i="137"/>
  <c r="J9" i="139"/>
  <c r="K24" i="142"/>
  <c r="D16" i="144"/>
  <c r="H21" i="139"/>
  <c r="L12" i="138"/>
  <c r="J7" i="139"/>
  <c r="J12" i="137"/>
  <c r="O25" i="139"/>
  <c r="K6" i="141"/>
  <c r="D23" i="142"/>
  <c r="B33" i="49"/>
  <c r="R16" i="142"/>
  <c r="L24" i="140"/>
  <c r="D14" i="145"/>
  <c r="U9" i="140"/>
  <c r="C45" i="46"/>
  <c r="Q17" i="142"/>
  <c r="J33" i="140"/>
  <c r="E37" i="49"/>
  <c r="E33" i="142"/>
  <c r="E33" i="138"/>
  <c r="C22" i="138"/>
  <c r="D21" i="143"/>
  <c r="D25" i="137"/>
  <c r="U33" i="139"/>
  <c r="Q33" i="137"/>
  <c r="D24" i="138"/>
  <c r="C21" i="138"/>
  <c r="O23" i="137"/>
  <c r="D20" i="140"/>
  <c r="U20" i="138"/>
  <c r="D10" i="139"/>
  <c r="D12" i="143"/>
  <c r="E42" i="49"/>
  <c r="R12" i="140"/>
  <c r="C190" i="70"/>
  <c r="O8" i="139"/>
  <c r="C25" i="145"/>
  <c r="D17" i="144"/>
  <c r="K17" i="137"/>
  <c r="N11" i="137"/>
  <c r="Q17" i="140"/>
  <c r="S9" i="139"/>
  <c r="E25" i="141"/>
  <c r="L21" i="141"/>
  <c r="S22" i="139"/>
  <c r="U8" i="142"/>
  <c r="C185" i="70"/>
  <c r="U13" i="140"/>
  <c r="L22" i="140"/>
  <c r="N20" i="137"/>
  <c r="K11" i="137"/>
  <c r="K17" i="141"/>
  <c r="L19" i="142"/>
  <c r="C23" i="146"/>
  <c r="C18" i="145"/>
  <c r="H19" i="142"/>
  <c r="C23" i="144"/>
  <c r="L14" i="140"/>
  <c r="D18" i="141"/>
  <c r="C181" i="70"/>
  <c r="D6" i="140"/>
  <c r="O16" i="142"/>
  <c r="N13" i="141"/>
  <c r="O11" i="139"/>
  <c r="R17" i="140"/>
  <c r="E15" i="142"/>
  <c r="V11" i="139"/>
  <c r="L16" i="141"/>
  <c r="N9" i="141"/>
  <c r="K15" i="141"/>
  <c r="H10" i="138"/>
  <c r="L7" i="142"/>
  <c r="C9" i="137"/>
  <c r="F51" i="46"/>
  <c r="L33" i="139"/>
  <c r="R33" i="142"/>
  <c r="D23" i="139"/>
  <c r="O24" i="140"/>
  <c r="R7" i="141"/>
  <c r="V21" i="137"/>
  <c r="N15" i="138"/>
  <c r="R11" i="139"/>
  <c r="O22" i="137"/>
  <c r="G10" i="139"/>
  <c r="V19" i="140"/>
  <c r="K7" i="141"/>
  <c r="N16" i="142"/>
  <c r="C183" i="70"/>
  <c r="H46" i="46"/>
  <c r="E19" i="138"/>
  <c r="E23" i="138"/>
  <c r="H7" i="141"/>
  <c r="K8" i="141"/>
  <c r="E16" i="141"/>
  <c r="B190" i="70"/>
  <c r="K12" i="142"/>
  <c r="H50" i="46"/>
  <c r="L91" i="76"/>
  <c r="S20" i="139"/>
  <c r="N22" i="137"/>
  <c r="Q21" i="138"/>
  <c r="V19" i="142"/>
  <c r="R21" i="141"/>
  <c r="Q18" i="140"/>
  <c r="S25" i="137"/>
  <c r="N24" i="142"/>
  <c r="S16" i="139"/>
  <c r="L18" i="140"/>
  <c r="G8" i="141"/>
  <c r="L18" i="139"/>
  <c r="H15" i="141"/>
  <c r="J24" i="139"/>
  <c r="C25" i="148"/>
  <c r="E17" i="137"/>
  <c r="D18" i="138"/>
  <c r="S25" i="139"/>
  <c r="S25" i="142"/>
  <c r="E12" i="138"/>
  <c r="C8" i="139"/>
  <c r="D17" i="140"/>
  <c r="C24" i="142"/>
  <c r="D19" i="145"/>
  <c r="V33" i="138"/>
  <c r="C16" i="144"/>
  <c r="R19" i="138"/>
  <c r="G16" i="140"/>
  <c r="O15" i="139"/>
  <c r="K8" i="138"/>
  <c r="N16" i="139"/>
  <c r="E52" i="46"/>
  <c r="H17" i="141"/>
  <c r="S18" i="138"/>
  <c r="N13" i="139"/>
  <c r="C7" i="137"/>
  <c r="C10" i="140"/>
  <c r="C14" i="142"/>
  <c r="H11" i="139"/>
  <c r="C18" i="144"/>
  <c r="N7" i="142"/>
  <c r="K20" i="141"/>
  <c r="R16" i="138"/>
  <c r="L18" i="137"/>
  <c r="C27" i="143"/>
  <c r="C19" i="144"/>
  <c r="C176" i="70"/>
  <c r="R13" i="142"/>
  <c r="G15" i="137"/>
  <c r="D26" i="143"/>
  <c r="O24" i="142"/>
  <c r="R33" i="140"/>
  <c r="O7" i="137"/>
  <c r="E19" i="141"/>
  <c r="O11" i="141"/>
  <c r="D23" i="144"/>
  <c r="C12" i="142"/>
  <c r="K13" i="139"/>
  <c r="K16" i="142"/>
  <c r="R12" i="138"/>
  <c r="G13" i="140"/>
  <c r="R23" i="138"/>
  <c r="C26" i="145"/>
  <c r="C12" i="144"/>
  <c r="O14" i="138"/>
  <c r="G14" i="138"/>
  <c r="C17" i="146"/>
  <c r="C49" i="46"/>
  <c r="U13" i="139"/>
  <c r="E16" i="142"/>
  <c r="E23" i="139"/>
  <c r="G19" i="138"/>
  <c r="C24" i="140"/>
  <c r="Q33" i="138"/>
  <c r="L11" i="142"/>
  <c r="D33" i="139"/>
  <c r="K7" i="138"/>
  <c r="O15" i="140"/>
  <c r="N15" i="140"/>
  <c r="O21" i="139"/>
  <c r="D9" i="143"/>
  <c r="S24" i="142"/>
  <c r="B39" i="49"/>
  <c r="R14" i="139"/>
  <c r="V6" i="139"/>
  <c r="S9" i="142"/>
  <c r="H11" i="137"/>
  <c r="D11" i="144"/>
  <c r="L18" i="141"/>
  <c r="D22" i="141"/>
  <c r="E16" i="138"/>
  <c r="G49" i="46"/>
  <c r="Q6" i="141"/>
  <c r="Q22" i="137"/>
  <c r="K15" i="140"/>
  <c r="R10" i="137"/>
  <c r="K8" i="139"/>
  <c r="G9" i="138"/>
  <c r="U25" i="140"/>
  <c r="C9" i="144"/>
  <c r="G34" i="76"/>
  <c r="E24" i="139"/>
  <c r="S14" i="139"/>
  <c r="B178" i="70"/>
  <c r="C21" i="140"/>
  <c r="K12" i="139"/>
  <c r="C16" i="143"/>
  <c r="B50" i="46"/>
  <c r="C25" i="143"/>
  <c r="G8" i="138"/>
  <c r="B180" i="70"/>
  <c r="S20" i="141"/>
  <c r="H17" i="137"/>
  <c r="Q8" i="138"/>
  <c r="O23" i="140"/>
  <c r="C13" i="140"/>
  <c r="Q24" i="139"/>
  <c r="N18" i="141"/>
  <c r="D27" i="148"/>
  <c r="U19" i="140"/>
  <c r="E34" i="49"/>
  <c r="N24" i="137"/>
  <c r="C10" i="142"/>
  <c r="Q15" i="142"/>
  <c r="D11" i="141"/>
  <c r="Y157" i="70"/>
  <c r="D11" i="140"/>
  <c r="V7" i="139"/>
  <c r="E41" i="49"/>
  <c r="O17" i="140"/>
  <c r="U33" i="142"/>
  <c r="L11" i="141"/>
  <c r="H24" i="137"/>
  <c r="J22" i="139"/>
  <c r="C14" i="140"/>
  <c r="O20" i="140"/>
  <c r="S10" i="137"/>
  <c r="D33" i="137"/>
  <c r="G14" i="139"/>
  <c r="R15" i="137"/>
  <c r="V20" i="139"/>
  <c r="R11" i="140"/>
  <c r="H6" i="140"/>
  <c r="H12" i="141"/>
  <c r="K24" i="140"/>
  <c r="R24" i="141"/>
  <c r="R23" i="137"/>
  <c r="O11" i="137"/>
  <c r="D14" i="137"/>
  <c r="U16" i="141"/>
  <c r="E19" i="142"/>
  <c r="Q16" i="137"/>
  <c r="L9" i="140"/>
  <c r="J7" i="142"/>
  <c r="K33" i="141"/>
  <c r="B182" i="70"/>
  <c r="N33" i="141"/>
  <c r="R20" i="141"/>
  <c r="D22" i="148"/>
  <c r="H12" i="137"/>
  <c r="H42" i="49"/>
  <c r="C22" i="139"/>
  <c r="O25" i="138"/>
  <c r="L15" i="141"/>
  <c r="N6" i="142"/>
  <c r="N8" i="138"/>
  <c r="D22" i="142"/>
  <c r="D8" i="140"/>
  <c r="G24" i="140"/>
  <c r="N16" i="141"/>
  <c r="V20" i="141"/>
  <c r="E12" i="140"/>
  <c r="U23" i="138"/>
  <c r="F41" i="49"/>
  <c r="N12" i="141"/>
  <c r="D6" i="137"/>
  <c r="D20" i="138"/>
  <c r="C11" i="144"/>
  <c r="U12" i="137"/>
  <c r="C23" i="137"/>
  <c r="R9" i="138"/>
  <c r="D8" i="137"/>
  <c r="E7" i="137"/>
  <c r="D9" i="139"/>
  <c r="O6" i="141"/>
  <c r="S18" i="140"/>
  <c r="J16" i="141"/>
  <c r="E10" i="141"/>
  <c r="J15" i="141"/>
  <c r="Q6" i="139"/>
  <c r="K13" i="141"/>
  <c r="L22" i="138"/>
  <c r="C9" i="148"/>
  <c r="K6" i="139"/>
  <c r="S16" i="137"/>
  <c r="C15" i="141"/>
  <c r="E49" i="46"/>
  <c r="O15" i="141"/>
  <c r="D20" i="139"/>
  <c r="V17" i="141"/>
  <c r="K23" i="142"/>
  <c r="J20" i="141"/>
  <c r="E10" i="137"/>
  <c r="N24" i="141"/>
  <c r="H24" i="142"/>
  <c r="G25" i="139"/>
  <c r="N24" i="139"/>
  <c r="C21" i="145"/>
  <c r="R24" i="137"/>
  <c r="D9" i="137"/>
  <c r="C20" i="146"/>
  <c r="R24" i="138"/>
  <c r="E13" i="138"/>
  <c r="L8" i="140"/>
  <c r="J6" i="138"/>
  <c r="D42" i="49"/>
  <c r="H24" i="140"/>
  <c r="H39" i="49"/>
  <c r="L12" i="142"/>
  <c r="H37" i="49"/>
  <c r="D19" i="146"/>
  <c r="J23" i="142"/>
  <c r="S6" i="142"/>
  <c r="O16" i="140"/>
  <c r="L13" i="140"/>
  <c r="Q8" i="140"/>
  <c r="J22" i="138"/>
  <c r="D18" i="139"/>
  <c r="D10" i="137"/>
  <c r="V10" i="139"/>
  <c r="E12" i="142"/>
  <c r="L7" i="138"/>
  <c r="N15" i="137"/>
  <c r="L9" i="139"/>
  <c r="C21" i="146"/>
  <c r="E21" i="141"/>
  <c r="L20" i="139"/>
  <c r="F38" i="49"/>
  <c r="U24" i="140"/>
  <c r="H7" i="140"/>
  <c r="L14" i="138"/>
  <c r="N21" i="142"/>
  <c r="U20" i="137"/>
  <c r="L15" i="138"/>
  <c r="Q19" i="137"/>
  <c r="G16" i="141"/>
  <c r="C37" i="49"/>
  <c r="E15" i="139"/>
  <c r="N12" i="139"/>
  <c r="C11" i="138"/>
  <c r="R21" i="138"/>
  <c r="D21" i="148"/>
  <c r="V22" i="140"/>
  <c r="S21" i="138"/>
  <c r="D24" i="142"/>
  <c r="D12" i="137"/>
  <c r="S11" i="139"/>
  <c r="V15" i="141"/>
  <c r="K23" i="140"/>
  <c r="D38" i="49"/>
  <c r="H12" i="139"/>
  <c r="J11" i="140"/>
  <c r="J20" i="137"/>
  <c r="C189" i="70"/>
  <c r="E9" i="137"/>
  <c r="C17" i="145"/>
  <c r="D13" i="142"/>
  <c r="U8" i="141"/>
  <c r="J17" i="142"/>
  <c r="K21" i="142"/>
  <c r="C18" i="148"/>
  <c r="Q23" i="142"/>
  <c r="R19" i="140"/>
  <c r="U25" i="137"/>
  <c r="Q22" i="141"/>
  <c r="D10" i="146"/>
  <c r="J19" i="139"/>
  <c r="B183" i="70"/>
  <c r="R9" i="140"/>
  <c r="J15" i="137"/>
  <c r="D23" i="138"/>
  <c r="D11" i="146"/>
  <c r="V6" i="138"/>
  <c r="C179" i="70"/>
  <c r="G7" i="137"/>
  <c r="Q23" i="138"/>
  <c r="C9" i="145"/>
  <c r="C20" i="143"/>
  <c r="G38" i="49"/>
  <c r="K22" i="142"/>
  <c r="C12" i="140"/>
  <c r="G17" i="137"/>
  <c r="E15" i="141"/>
  <c r="E8" i="137"/>
  <c r="J14" i="139"/>
  <c r="H33" i="141"/>
  <c r="H33" i="139"/>
  <c r="C20" i="148"/>
  <c r="O18" i="142"/>
  <c r="J13" i="139"/>
  <c r="Q18" i="142"/>
  <c r="H22" i="137"/>
  <c r="U8" i="137"/>
  <c r="B177" i="70"/>
  <c r="N7" i="138"/>
  <c r="E23" i="140"/>
  <c r="G22" i="140"/>
  <c r="C12" i="143"/>
  <c r="G37" i="49"/>
  <c r="U14" i="140"/>
  <c r="E18" i="142"/>
  <c r="O11" i="142"/>
  <c r="E9" i="140"/>
  <c r="U21" i="142"/>
  <c r="J6" i="142"/>
  <c r="S10" i="142"/>
  <c r="J12" i="142"/>
  <c r="R22" i="137"/>
  <c r="G7" i="141"/>
  <c r="S20" i="137"/>
  <c r="E11" i="138"/>
  <c r="O10" i="141"/>
  <c r="D14" i="140"/>
  <c r="R7" i="139"/>
  <c r="D48" i="46"/>
  <c r="V14" i="140"/>
  <c r="R11" i="137"/>
  <c r="N12" i="140"/>
  <c r="E11" i="140"/>
  <c r="E13" i="139"/>
  <c r="N33" i="137"/>
  <c r="E33" i="141"/>
  <c r="H13" i="140"/>
  <c r="Q6" i="138"/>
  <c r="G13" i="138"/>
  <c r="C22" i="137"/>
  <c r="J19" i="141"/>
  <c r="D21" i="137"/>
  <c r="E22" i="139"/>
  <c r="K6" i="140"/>
  <c r="G29" i="109"/>
  <c r="R23" i="141"/>
  <c r="H9" i="138"/>
  <c r="U18" i="139"/>
  <c r="E10" i="139"/>
  <c r="V17" i="138"/>
  <c r="N10" i="142"/>
  <c r="H16" i="142"/>
  <c r="H21" i="142"/>
  <c r="G15" i="138"/>
  <c r="R19" i="139"/>
  <c r="D16" i="139"/>
  <c r="S15" i="140"/>
  <c r="C7" i="141"/>
  <c r="K25" i="140"/>
  <c r="E14" i="140"/>
  <c r="H25" i="142"/>
  <c r="H6" i="141"/>
  <c r="K25" i="142"/>
  <c r="L17" i="141"/>
  <c r="K17" i="140"/>
  <c r="J18" i="139"/>
  <c r="L9" i="137"/>
  <c r="H19" i="138"/>
  <c r="Q12" i="142"/>
  <c r="G18" i="142"/>
  <c r="G33" i="139"/>
  <c r="E50" i="46"/>
  <c r="Q13" i="142"/>
  <c r="D18" i="140"/>
  <c r="D9" i="145"/>
  <c r="D16" i="142"/>
  <c r="J18" i="137"/>
  <c r="K15" i="139"/>
  <c r="D20" i="137"/>
  <c r="G18" i="139"/>
  <c r="N25" i="141"/>
  <c r="Q18" i="138"/>
  <c r="E20" i="141"/>
  <c r="C27" i="146"/>
  <c r="S10" i="140"/>
  <c r="K19" i="139"/>
  <c r="J22" i="141"/>
  <c r="H10" i="140"/>
  <c r="D16" i="148"/>
  <c r="R6" i="139"/>
  <c r="D25" i="148"/>
  <c r="R8" i="141"/>
  <c r="L20" i="137"/>
  <c r="V25" i="142"/>
  <c r="K12" i="137"/>
  <c r="L8" i="142"/>
  <c r="E33" i="140"/>
  <c r="C18" i="143"/>
  <c r="F42" i="49"/>
  <c r="J11" i="141"/>
  <c r="V11" i="137"/>
  <c r="N21" i="140"/>
  <c r="K33" i="140"/>
  <c r="D19" i="139"/>
  <c r="C16" i="148"/>
  <c r="D18" i="143"/>
  <c r="C15" i="137"/>
  <c r="K9" i="137"/>
  <c r="K24" i="141"/>
  <c r="D24" i="143"/>
  <c r="L8" i="141"/>
  <c r="O13" i="141"/>
  <c r="M91" i="76"/>
  <c r="R22" i="139"/>
  <c r="K23" i="138"/>
  <c r="H21" i="140"/>
  <c r="O13" i="139"/>
  <c r="R8" i="138"/>
  <c r="L7" i="141"/>
  <c r="L16" i="142"/>
  <c r="J22" i="137"/>
  <c r="G21" i="138"/>
  <c r="C27" i="148"/>
  <c r="V18" i="137"/>
  <c r="L18" i="142"/>
  <c r="U24" i="139"/>
  <c r="U6" i="138"/>
  <c r="C15" i="142"/>
  <c r="E7" i="138"/>
  <c r="Q17" i="137"/>
  <c r="G11" i="140"/>
  <c r="V15" i="139"/>
  <c r="C6" i="141"/>
  <c r="C24" i="147"/>
  <c r="R33" i="138"/>
  <c r="O13" i="140"/>
  <c r="R16" i="141"/>
  <c r="R21" i="139"/>
  <c r="G23" i="139"/>
  <c r="J13" i="138"/>
  <c r="N18" i="140"/>
  <c r="L22" i="139"/>
  <c r="S19" i="140"/>
  <c r="Q20" i="141"/>
  <c r="Q9" i="140"/>
  <c r="H13" i="139"/>
  <c r="D17" i="148"/>
  <c r="N23" i="142"/>
  <c r="N8" i="141"/>
  <c r="S17" i="138"/>
  <c r="K21" i="140"/>
  <c r="L33" i="140"/>
  <c r="S11" i="141"/>
  <c r="O8" i="140"/>
  <c r="K9" i="139"/>
  <c r="F35" i="49"/>
  <c r="C14" i="137"/>
  <c r="C9" i="139"/>
  <c r="S23" i="141"/>
  <c r="C33" i="140"/>
  <c r="D21" i="144"/>
  <c r="Q11" i="142"/>
  <c r="R9" i="139"/>
  <c r="E19" i="137"/>
  <c r="U22" i="140"/>
  <c r="R22" i="138"/>
  <c r="E20" i="138"/>
  <c r="U8" i="138"/>
  <c r="B37" i="49"/>
  <c r="B176" i="70"/>
  <c r="K6" i="142"/>
  <c r="K21" i="139"/>
  <c r="O33" i="138"/>
  <c r="O6" i="142"/>
  <c r="D13" i="143"/>
  <c r="J10" i="142"/>
  <c r="K7" i="137"/>
  <c r="O20" i="137"/>
  <c r="H8" i="141"/>
  <c r="N22" i="142"/>
  <c r="J24" i="138"/>
  <c r="C17" i="143"/>
  <c r="C191" i="70"/>
  <c r="U21" i="139"/>
  <c r="C22" i="140"/>
  <c r="C9" i="138"/>
  <c r="K22" i="137"/>
  <c r="D11" i="139"/>
  <c r="E24" i="138"/>
  <c r="C26" i="144"/>
  <c r="N9" i="142"/>
  <c r="L7" i="139"/>
  <c r="U16" i="140"/>
  <c r="Q13" i="140"/>
  <c r="H19" i="137"/>
  <c r="G10" i="138"/>
  <c r="S9" i="141"/>
  <c r="V10" i="142"/>
  <c r="U20" i="142"/>
  <c r="O12" i="137"/>
  <c r="G20" i="141"/>
  <c r="H20" i="142"/>
  <c r="G25" i="140"/>
  <c r="H8" i="139"/>
  <c r="N22" i="141"/>
  <c r="E34" i="76"/>
  <c r="N13" i="138"/>
  <c r="V22" i="137"/>
  <c r="D18" i="144"/>
  <c r="J17" i="140"/>
  <c r="H33" i="138"/>
  <c r="D21" i="141"/>
  <c r="Q9" i="141"/>
  <c r="E21" i="138"/>
  <c r="C26" i="143"/>
  <c r="C12" i="141"/>
  <c r="E8" i="142"/>
  <c r="I41" i="49"/>
  <c r="R10" i="140"/>
  <c r="N17" i="139"/>
  <c r="B188" i="70"/>
  <c r="N17" i="140"/>
  <c r="C188" i="70"/>
  <c r="O12" i="141"/>
  <c r="U9" i="142"/>
  <c r="N19" i="141"/>
  <c r="Q16" i="141"/>
  <c r="R8" i="140"/>
  <c r="N16" i="140"/>
  <c r="Q12" i="139"/>
  <c r="C25" i="137"/>
  <c r="Q13" i="139"/>
  <c r="V14" i="142"/>
  <c r="C27" i="144"/>
  <c r="G12" i="137"/>
  <c r="C24" i="137"/>
  <c r="D33" i="142"/>
  <c r="V7" i="137"/>
  <c r="S10" i="139"/>
  <c r="F39" i="49"/>
  <c r="V13" i="139"/>
  <c r="H9" i="140"/>
  <c r="C52" i="46"/>
  <c r="L8" i="137"/>
  <c r="E21" i="142"/>
  <c r="K24" i="139"/>
  <c r="I48" i="46"/>
  <c r="C10" i="139"/>
  <c r="S21" i="137"/>
  <c r="R10" i="138"/>
  <c r="G23" i="140"/>
  <c r="K23" i="137"/>
  <c r="E25" i="139"/>
  <c r="J8" i="137"/>
  <c r="V7" i="138"/>
  <c r="C16" i="145"/>
  <c r="G35" i="49"/>
  <c r="L17" i="139"/>
  <c r="V16" i="142"/>
  <c r="G9" i="140"/>
  <c r="N9" i="138"/>
  <c r="O33" i="137"/>
  <c r="J12" i="138"/>
  <c r="H47" i="46"/>
  <c r="V23" i="141"/>
  <c r="R17" i="138"/>
  <c r="U6" i="139"/>
  <c r="K20" i="138"/>
  <c r="H23" i="138"/>
  <c r="U12" i="141"/>
  <c r="H18" i="137"/>
  <c r="U7" i="142"/>
  <c r="S18" i="142"/>
  <c r="U19" i="141"/>
  <c r="S11" i="138"/>
  <c r="G23" i="138"/>
  <c r="C51" i="46"/>
  <c r="D13" i="139"/>
  <c r="B49" i="46"/>
  <c r="D24" i="144"/>
  <c r="Q21" i="139"/>
  <c r="J10" i="140"/>
  <c r="O24" i="138"/>
  <c r="V9" i="139"/>
  <c r="H12" i="140"/>
  <c r="D16" i="137"/>
  <c r="C17" i="139"/>
  <c r="L11" i="140"/>
  <c r="E19" i="140"/>
  <c r="F48" i="46"/>
  <c r="R19" i="137"/>
  <c r="C14" i="139"/>
  <c r="E9" i="141"/>
  <c r="G13" i="141"/>
  <c r="H6" i="138"/>
  <c r="S25" i="140"/>
  <c r="N10" i="138"/>
  <c r="V15" i="142"/>
  <c r="C7" i="139"/>
  <c r="C20" i="139"/>
  <c r="O7" i="141"/>
  <c r="C22" i="142"/>
  <c r="C15" i="143"/>
  <c r="V6" i="142"/>
  <c r="N33" i="140"/>
  <c r="K9" i="140"/>
  <c r="N6" i="140"/>
  <c r="R6" i="142"/>
  <c r="S14" i="141"/>
  <c r="H13" i="142"/>
  <c r="J19" i="138"/>
  <c r="L10" i="138"/>
  <c r="S15" i="142"/>
  <c r="J20" i="138"/>
  <c r="J14" i="137"/>
  <c r="V6" i="140"/>
  <c r="C33" i="139"/>
  <c r="J15" i="139"/>
  <c r="G10" i="142"/>
  <c r="V14" i="138"/>
  <c r="J46" i="109"/>
  <c r="D13" i="144"/>
  <c r="E9" i="142"/>
  <c r="K10" i="138"/>
  <c r="G20" i="137"/>
  <c r="R25" i="142"/>
  <c r="Q16" i="139"/>
  <c r="R10" i="141"/>
  <c r="Q20" i="138"/>
  <c r="K17" i="138"/>
  <c r="U10" i="140"/>
  <c r="C27" i="147"/>
  <c r="O8" i="138"/>
  <c r="H21" i="138"/>
  <c r="F33" i="49"/>
  <c r="S9" i="140"/>
  <c r="S12" i="140"/>
  <c r="N10" i="141"/>
  <c r="H16" i="139"/>
  <c r="I52" i="46"/>
  <c r="G20" i="140"/>
  <c r="O23" i="141"/>
  <c r="G11" i="139"/>
  <c r="H52" i="46"/>
  <c r="E11" i="139"/>
  <c r="D7" i="141"/>
  <c r="H11" i="142"/>
  <c r="N7" i="141"/>
  <c r="D12" i="148"/>
  <c r="O11" i="140"/>
  <c r="C24" i="143"/>
  <c r="V12" i="137"/>
  <c r="C24" i="139"/>
  <c r="C21" i="139"/>
  <c r="D24" i="139"/>
  <c r="J7" i="140"/>
  <c r="J33" i="137"/>
  <c r="G22" i="137"/>
  <c r="U33" i="141"/>
  <c r="U10" i="142"/>
  <c r="U19" i="142"/>
  <c r="L13" i="137"/>
  <c r="D26" i="145"/>
  <c r="C38" i="49"/>
  <c r="E23" i="142"/>
  <c r="V11" i="140"/>
  <c r="K10" i="142"/>
  <c r="L13" i="138"/>
  <c r="D10" i="145"/>
  <c r="U22" i="139"/>
  <c r="L23" i="141"/>
  <c r="C6" i="139"/>
  <c r="J33" i="142"/>
  <c r="K21" i="138"/>
  <c r="L15" i="139"/>
  <c r="R13" i="141"/>
  <c r="R24" i="140"/>
  <c r="D33" i="141"/>
  <c r="C24" i="148"/>
  <c r="O14" i="141"/>
  <c r="V12" i="142"/>
  <c r="L17" i="138"/>
  <c r="L6" i="140"/>
  <c r="D7" i="142"/>
  <c r="K13" i="138"/>
  <c r="D15" i="140"/>
  <c r="R14" i="142"/>
  <c r="U17" i="137"/>
  <c r="S14" i="140"/>
  <c r="O9" i="141"/>
  <c r="E20" i="139"/>
  <c r="U9" i="139"/>
  <c r="H9" i="141"/>
  <c r="O21" i="137"/>
  <c r="D19" i="140"/>
  <c r="K18" i="137"/>
  <c r="V25" i="140"/>
  <c r="J20" i="142"/>
  <c r="V18" i="141"/>
  <c r="J14" i="138"/>
  <c r="D35" i="49"/>
  <c r="Q33" i="139"/>
  <c r="U21" i="138"/>
  <c r="E21" i="140"/>
  <c r="H14" i="139"/>
  <c r="C17" i="141"/>
  <c r="U14" i="141"/>
  <c r="C16" i="139"/>
  <c r="O16" i="141"/>
  <c r="D19" i="144"/>
  <c r="J11" i="138"/>
  <c r="V11" i="142"/>
  <c r="N14" i="140"/>
  <c r="N8" i="142"/>
  <c r="E33" i="49"/>
  <c r="H17" i="138"/>
  <c r="U7" i="138"/>
  <c r="Q22" i="139"/>
  <c r="F50" i="46"/>
  <c r="V33" i="142"/>
  <c r="D14" i="138"/>
  <c r="Q6" i="137"/>
  <c r="S17" i="139"/>
  <c r="C7" i="140"/>
  <c r="L25" i="141"/>
  <c r="S11" i="142"/>
  <c r="D18" i="147"/>
  <c r="R21" i="137"/>
  <c r="Q11" i="137"/>
  <c r="D6" i="142"/>
  <c r="S7" i="138"/>
  <c r="N17" i="138"/>
  <c r="V16" i="138"/>
  <c r="D11" i="142"/>
  <c r="I47" i="46"/>
  <c r="N12" i="142"/>
  <c r="H41" i="49"/>
  <c r="H7" i="139"/>
  <c r="D13" i="138"/>
  <c r="H22" i="139"/>
  <c r="N7" i="139"/>
  <c r="C9" i="142"/>
  <c r="Q19" i="138"/>
  <c r="K16" i="141"/>
  <c r="J7" i="138"/>
  <c r="U11" i="139"/>
  <c r="N15" i="142"/>
  <c r="C10" i="143"/>
  <c r="V23" i="138"/>
  <c r="F34" i="76"/>
  <c r="N20" i="140"/>
  <c r="O12" i="140"/>
  <c r="E47" i="46"/>
  <c r="D39" i="49"/>
  <c r="S7" i="140"/>
  <c r="C18" i="142"/>
  <c r="R18" i="137"/>
  <c r="K14" i="139"/>
  <c r="D40" i="49"/>
  <c r="V16" i="139"/>
  <c r="O20" i="142"/>
  <c r="E9" i="139"/>
  <c r="I50" i="46"/>
  <c r="B52" i="46"/>
  <c r="E16" i="137"/>
  <c r="U19" i="137"/>
  <c r="K19" i="138"/>
  <c r="J17" i="138"/>
  <c r="L12" i="141"/>
  <c r="V20" i="142"/>
  <c r="D15" i="148"/>
  <c r="U7" i="141"/>
  <c r="D22" i="137"/>
  <c r="S21" i="141"/>
  <c r="G11" i="138"/>
  <c r="G7" i="138"/>
  <c r="D21" i="146"/>
  <c r="C25" i="142"/>
  <c r="C40" i="49"/>
  <c r="D21" i="142"/>
  <c r="U12" i="142"/>
  <c r="E33" i="139"/>
  <c r="H19" i="139"/>
  <c r="C20" i="145"/>
  <c r="C25" i="138"/>
  <c r="K10" i="139"/>
  <c r="G6" i="139"/>
  <c r="G52" i="46"/>
  <c r="C11" i="141"/>
  <c r="B185" i="70"/>
  <c r="J33" i="138"/>
  <c r="Q24" i="137"/>
  <c r="V17" i="142"/>
  <c r="D19" i="138"/>
  <c r="D21" i="138"/>
  <c r="C180" i="70"/>
  <c r="K12" i="140"/>
  <c r="D45" i="46"/>
  <c r="U7" i="140"/>
  <c r="R15" i="138"/>
  <c r="N21" i="138"/>
  <c r="K15" i="138"/>
  <c r="J9" i="138"/>
  <c r="S8" i="137"/>
  <c r="D14" i="147"/>
  <c r="S24" i="141"/>
  <c r="H7" i="138"/>
  <c r="S6" i="141"/>
  <c r="V12" i="141"/>
  <c r="Q15" i="138"/>
  <c r="C16" i="137"/>
  <c r="N23" i="139"/>
  <c r="D20" i="142"/>
  <c r="O14" i="142"/>
  <c r="O6" i="138"/>
  <c r="C12" i="137"/>
  <c r="V12" i="138"/>
  <c r="S19" i="139"/>
  <c r="S19" i="142"/>
  <c r="U18" i="142"/>
  <c r="D10" i="147"/>
  <c r="R24" i="142"/>
  <c r="R20" i="142"/>
  <c r="C16" i="146"/>
  <c r="J80" i="46"/>
  <c r="R16" i="137"/>
  <c r="H18" i="141"/>
  <c r="G11" i="141"/>
  <c r="Q18" i="137"/>
  <c r="Q25" i="137"/>
  <c r="H22" i="142"/>
  <c r="L6" i="141"/>
  <c r="D10" i="148"/>
  <c r="O22" i="138"/>
  <c r="Q10" i="138"/>
  <c r="R13" i="139"/>
  <c r="V7" i="140"/>
  <c r="C23" i="141"/>
  <c r="R14" i="140"/>
  <c r="C23" i="142"/>
  <c r="E16" i="140"/>
  <c r="D15" i="141"/>
  <c r="D17" i="145"/>
  <c r="O13" i="137"/>
  <c r="Q10" i="137"/>
  <c r="S13" i="142"/>
  <c r="U9" i="138"/>
  <c r="V15" i="138"/>
  <c r="U16" i="138"/>
  <c r="R33" i="137"/>
  <c r="K11" i="140"/>
  <c r="E17" i="138"/>
  <c r="R16" i="140"/>
  <c r="R21" i="140"/>
  <c r="J10" i="139"/>
  <c r="Q10" i="142"/>
  <c r="L24" i="137"/>
  <c r="S13" i="140"/>
  <c r="J19" i="137"/>
  <c r="V21" i="141"/>
  <c r="C13" i="139"/>
  <c r="Q16" i="142"/>
  <c r="J23" i="140"/>
  <c r="D13" i="146"/>
  <c r="O7" i="142"/>
  <c r="D9" i="146"/>
  <c r="Q19" i="139"/>
  <c r="N11" i="141"/>
  <c r="V22" i="141"/>
  <c r="Q24" i="140"/>
  <c r="Q19" i="142"/>
  <c r="Q10" i="140"/>
  <c r="K14" i="142"/>
  <c r="C22" i="144"/>
  <c r="E45" i="46"/>
  <c r="J13" i="142"/>
  <c r="D15" i="145"/>
  <c r="J8" i="138"/>
  <c r="U25" i="139"/>
  <c r="I36" i="49"/>
  <c r="B192" i="70"/>
  <c r="R15" i="142"/>
  <c r="F45" i="46"/>
  <c r="L19" i="137"/>
  <c r="Q7" i="142"/>
  <c r="R6" i="137"/>
  <c r="U9" i="141"/>
  <c r="D16" i="141"/>
  <c r="G51" i="46"/>
  <c r="G33" i="138"/>
  <c r="U33" i="137"/>
  <c r="B47" i="46"/>
  <c r="L33" i="141"/>
  <c r="J23" i="138"/>
  <c r="D24" i="146"/>
  <c r="U7" i="139"/>
  <c r="C25" i="144"/>
  <c r="U6" i="140"/>
  <c r="O8" i="137"/>
  <c r="J29" i="109"/>
  <c r="G14" i="137"/>
  <c r="S22" i="137"/>
  <c r="H19" i="141"/>
  <c r="G22" i="142"/>
  <c r="C13" i="144"/>
  <c r="N14" i="138"/>
  <c r="E7" i="140"/>
  <c r="E7" i="139"/>
  <c r="C17" i="137"/>
  <c r="V14" i="137"/>
  <c r="L6" i="137"/>
  <c r="R9" i="141"/>
  <c r="L20" i="142"/>
  <c r="S13" i="141"/>
  <c r="Q23" i="140"/>
  <c r="Q15" i="141"/>
  <c r="K15" i="137"/>
  <c r="U10" i="141"/>
  <c r="Q20" i="137"/>
  <c r="K25" i="138"/>
  <c r="D22" i="138"/>
  <c r="E36" i="49"/>
  <c r="R22" i="140"/>
  <c r="U23" i="142"/>
  <c r="C10" i="146"/>
  <c r="L23" i="139"/>
  <c r="G12" i="142"/>
  <c r="S18" i="141"/>
  <c r="V20" i="137"/>
  <c r="C17" i="148"/>
  <c r="O16" i="138"/>
  <c r="U15" i="142"/>
  <c r="R24" i="139"/>
  <c r="U24" i="137"/>
  <c r="Q10" i="139"/>
  <c r="R33" i="141"/>
  <c r="O18" i="137"/>
  <c r="K13" i="142"/>
  <c r="N7" i="140"/>
  <c r="S33" i="139"/>
  <c r="D15" i="137"/>
  <c r="S17" i="140"/>
  <c r="C19" i="146"/>
  <c r="C22" i="141"/>
  <c r="G23" i="137"/>
  <c r="O6" i="140"/>
  <c r="Q25" i="139"/>
  <c r="Q19" i="140"/>
  <c r="D25" i="143"/>
  <c r="Q6" i="140"/>
  <c r="D9" i="138"/>
  <c r="H17" i="140"/>
  <c r="B34" i="76"/>
  <c r="Q7" i="141"/>
  <c r="O33" i="142"/>
  <c r="D19" i="141"/>
  <c r="S18" i="139"/>
  <c r="D19" i="147"/>
  <c r="J24" i="137"/>
  <c r="R25" i="139"/>
  <c r="R6" i="141"/>
  <c r="V33" i="141"/>
  <c r="E24" i="142"/>
  <c r="E10" i="138"/>
  <c r="K17" i="142"/>
  <c r="G15" i="139"/>
  <c r="C42" i="49"/>
  <c r="I38" i="49"/>
  <c r="N25" i="139"/>
  <c r="S14" i="138"/>
  <c r="E12" i="139"/>
  <c r="O15" i="138"/>
  <c r="V7" i="142"/>
  <c r="C22" i="147"/>
  <c r="J21" i="139"/>
  <c r="C8" i="137"/>
  <c r="E6" i="140"/>
  <c r="G24" i="141"/>
  <c r="G9" i="141"/>
  <c r="D7" i="140"/>
  <c r="D23" i="143"/>
  <c r="Q6" i="142"/>
  <c r="L21" i="138"/>
  <c r="J14" i="140"/>
  <c r="U18" i="141"/>
  <c r="O10" i="139"/>
  <c r="C24" i="146"/>
  <c r="H15" i="139"/>
  <c r="D23" i="141"/>
  <c r="B48" i="46"/>
  <c r="R14" i="141"/>
  <c r="V11" i="141"/>
  <c r="G22" i="138"/>
  <c r="F40" i="49"/>
  <c r="Q11" i="138"/>
  <c r="N19" i="140"/>
  <c r="K23" i="139"/>
  <c r="U13" i="141"/>
  <c r="K8" i="137"/>
  <c r="O33" i="140"/>
  <c r="H22" i="140"/>
  <c r="L25" i="142"/>
  <c r="L6" i="138"/>
  <c r="C20" i="141"/>
  <c r="E20" i="142"/>
  <c r="V19" i="139"/>
  <c r="O7" i="139"/>
  <c r="C23" i="147"/>
  <c r="L10" i="139"/>
  <c r="C175" i="70"/>
  <c r="U11" i="140"/>
  <c r="K21" i="141"/>
  <c r="D46" i="46"/>
  <c r="Q9" i="137"/>
  <c r="D19" i="143"/>
  <c r="V21" i="138"/>
  <c r="C17" i="144"/>
  <c r="H34" i="76"/>
  <c r="O16" i="137"/>
  <c r="C21" i="142"/>
  <c r="L23" i="142"/>
  <c r="H18" i="138"/>
  <c r="N18" i="137"/>
  <c r="E7" i="141"/>
  <c r="V20" i="138"/>
  <c r="D10" i="142"/>
  <c r="U10" i="137"/>
  <c r="R6" i="138"/>
  <c r="S12" i="142"/>
  <c r="E38" i="49"/>
  <c r="E14" i="137"/>
  <c r="L9" i="138"/>
  <c r="C10" i="147"/>
  <c r="C15" i="144"/>
  <c r="R17" i="137"/>
  <c r="O7" i="140"/>
  <c r="C184" i="70"/>
  <c r="Q20" i="140"/>
  <c r="U23" i="141"/>
  <c r="Y154" i="70"/>
  <c r="H33" i="140"/>
  <c r="S8" i="138"/>
  <c r="N46" i="109"/>
  <c r="C6" i="142"/>
  <c r="H23" i="142"/>
  <c r="C13" i="145"/>
  <c r="L14" i="141"/>
  <c r="E20" i="140"/>
  <c r="L19" i="138"/>
  <c r="Q17" i="138"/>
  <c r="D18" i="137"/>
  <c r="J16" i="142"/>
  <c r="R19" i="141"/>
  <c r="J33" i="139"/>
  <c r="Q13" i="141"/>
  <c r="S15" i="139"/>
  <c r="E8" i="138"/>
  <c r="D41" i="49"/>
  <c r="U25" i="142"/>
  <c r="D14" i="146"/>
  <c r="H8" i="140"/>
  <c r="S8" i="140"/>
  <c r="J18" i="141"/>
  <c r="G25" i="138"/>
  <c r="D14" i="143"/>
  <c r="J14" i="141"/>
  <c r="D52" i="46"/>
  <c r="K33" i="138"/>
  <c r="D51" i="46"/>
  <c r="S8" i="142"/>
  <c r="U21" i="137"/>
  <c r="E24" i="141"/>
  <c r="D34" i="76"/>
  <c r="U15" i="139"/>
  <c r="R7" i="138"/>
  <c r="N12" i="138"/>
  <c r="R23" i="140"/>
  <c r="K7" i="140"/>
  <c r="C11" i="148"/>
  <c r="G21" i="140"/>
  <c r="C13" i="146"/>
  <c r="C19" i="147"/>
  <c r="V9" i="141"/>
  <c r="K24" i="138"/>
  <c r="D17" i="141"/>
  <c r="C19" i="143"/>
  <c r="C18" i="140"/>
  <c r="J16" i="139"/>
  <c r="S6" i="140"/>
  <c r="F37" i="49"/>
  <c r="O8" i="141"/>
  <c r="H10" i="141"/>
  <c r="D16" i="143"/>
  <c r="K23" i="141"/>
  <c r="G12" i="141"/>
  <c r="S13" i="139"/>
  <c r="Q13" i="137"/>
  <c r="Q8" i="137"/>
  <c r="G19" i="137"/>
  <c r="Q14" i="137"/>
  <c r="J25" i="142"/>
  <c r="O7" i="138"/>
  <c r="H25" i="138"/>
  <c r="O24" i="139"/>
  <c r="K18" i="139"/>
  <c r="S14" i="142"/>
  <c r="D27" i="147"/>
  <c r="M46" i="109" s="1"/>
  <c r="D23" i="145"/>
  <c r="C24" i="141"/>
  <c r="R18" i="138"/>
  <c r="L16" i="137"/>
  <c r="G46" i="109"/>
  <c r="U22" i="137"/>
  <c r="N18" i="139"/>
  <c r="J13" i="141"/>
  <c r="H17" i="142"/>
  <c r="G41" i="49"/>
  <c r="Q14" i="139"/>
  <c r="V13" i="141"/>
  <c r="L17" i="137"/>
  <c r="G18" i="137"/>
  <c r="V25" i="137"/>
  <c r="U11" i="141"/>
  <c r="O22" i="139"/>
  <c r="O33" i="141"/>
  <c r="G13" i="139"/>
  <c r="V19" i="138"/>
  <c r="G20" i="142"/>
  <c r="Y10" i="142" l="1"/>
  <c r="Q26" i="140"/>
  <c r="Q32" i="140" s="1"/>
  <c r="Q34" i="140" s="1"/>
  <c r="K26" i="140"/>
  <c r="K77" i="140" s="1"/>
  <c r="AB20" i="142"/>
  <c r="AC19" i="139"/>
  <c r="AB9" i="141"/>
  <c r="Z22" i="139"/>
  <c r="E120" i="139"/>
  <c r="E124" i="139" s="1"/>
  <c r="Z19" i="137"/>
  <c r="Y21" i="137"/>
  <c r="Z7" i="140"/>
  <c r="AC17" i="140"/>
  <c r="Y21" i="142"/>
  <c r="AB22" i="137"/>
  <c r="X22" i="137"/>
  <c r="AB22" i="142"/>
  <c r="S26" i="140"/>
  <c r="S32" i="140" s="1"/>
  <c r="S34" i="140" s="1"/>
  <c r="S60" i="140"/>
  <c r="J120" i="137"/>
  <c r="J124" i="137" s="1"/>
  <c r="AB13" i="138"/>
  <c r="X25" i="142"/>
  <c r="AB14" i="137"/>
  <c r="C120" i="140"/>
  <c r="C124" i="140" s="1"/>
  <c r="Q26" i="138"/>
  <c r="Q32" i="138" s="1"/>
  <c r="Q34" i="138" s="1"/>
  <c r="Q26" i="142"/>
  <c r="Q32" i="142" s="1"/>
  <c r="Q34" i="142" s="1"/>
  <c r="Z6" i="140"/>
  <c r="E26" i="140"/>
  <c r="AC13" i="140"/>
  <c r="Y9" i="138"/>
  <c r="O26" i="140"/>
  <c r="O67" i="140" s="1"/>
  <c r="AH98" i="140" s="1"/>
  <c r="AB7" i="138"/>
  <c r="X21" i="139"/>
  <c r="X9" i="139"/>
  <c r="E120" i="141"/>
  <c r="E124" i="141" s="1"/>
  <c r="Z20" i="140"/>
  <c r="O120" i="141"/>
  <c r="AB11" i="138"/>
  <c r="X18" i="140"/>
  <c r="H120" i="140"/>
  <c r="X14" i="137"/>
  <c r="N120" i="137"/>
  <c r="Z7" i="141"/>
  <c r="Z17" i="138"/>
  <c r="Z13" i="139"/>
  <c r="Y22" i="137"/>
  <c r="C35" i="143"/>
  <c r="I36" i="143"/>
  <c r="X8" i="137"/>
  <c r="Z11" i="140"/>
  <c r="X22" i="141"/>
  <c r="AC19" i="141"/>
  <c r="Y17" i="141"/>
  <c r="AC18" i="138"/>
  <c r="C35" i="146"/>
  <c r="I36" i="146"/>
  <c r="L120" i="140"/>
  <c r="L124" i="140" s="1"/>
  <c r="AC11" i="142"/>
  <c r="S71" i="140"/>
  <c r="Y7" i="141"/>
  <c r="Z11" i="139"/>
  <c r="Y14" i="140"/>
  <c r="X21" i="142"/>
  <c r="Y15" i="137"/>
  <c r="U26" i="140"/>
  <c r="U32" i="140" s="1"/>
  <c r="U34" i="140" s="1"/>
  <c r="Y20" i="142"/>
  <c r="X6" i="142"/>
  <c r="C26" i="142"/>
  <c r="C60" i="142" s="1"/>
  <c r="Z16" i="137"/>
  <c r="C35" i="147"/>
  <c r="I36" i="147"/>
  <c r="AB11" i="139"/>
  <c r="Z11" i="138"/>
  <c r="AC13" i="139"/>
  <c r="AB20" i="140"/>
  <c r="AB7" i="141"/>
  <c r="Z9" i="139"/>
  <c r="Y7" i="140"/>
  <c r="AB21" i="140"/>
  <c r="AC16" i="139"/>
  <c r="S73" i="140"/>
  <c r="S66" i="140"/>
  <c r="J26" i="142"/>
  <c r="J68" i="142" s="1"/>
  <c r="S63" i="140"/>
  <c r="AB18" i="137"/>
  <c r="Z12" i="139"/>
  <c r="Z9" i="140"/>
  <c r="D35" i="143"/>
  <c r="J36" i="143"/>
  <c r="X18" i="142"/>
  <c r="AC21" i="138"/>
  <c r="AB13" i="139"/>
  <c r="S41" i="140"/>
  <c r="Z18" i="142"/>
  <c r="Y15" i="141"/>
  <c r="U68" i="140"/>
  <c r="U44" i="140"/>
  <c r="Z16" i="140"/>
  <c r="X16" i="137"/>
  <c r="X6" i="141"/>
  <c r="C26" i="141"/>
  <c r="C65" i="141" s="1"/>
  <c r="AB22" i="140"/>
  <c r="AB11" i="140"/>
  <c r="U65" i="140"/>
  <c r="AC17" i="142"/>
  <c r="AB20" i="137"/>
  <c r="Z7" i="138"/>
  <c r="X15" i="142"/>
  <c r="AC22" i="137"/>
  <c r="S26" i="141"/>
  <c r="S32" i="141" s="1"/>
  <c r="S34" i="141" s="1"/>
  <c r="Z9" i="142"/>
  <c r="U26" i="138"/>
  <c r="U32" i="138" s="1"/>
  <c r="U34" i="138" s="1"/>
  <c r="L120" i="141"/>
  <c r="L124" i="141" s="1"/>
  <c r="AC7" i="138"/>
  <c r="Q53" i="138"/>
  <c r="X9" i="142"/>
  <c r="AB10" i="142"/>
  <c r="H120" i="139"/>
  <c r="AC22" i="139"/>
  <c r="AB21" i="138"/>
  <c r="H120" i="141"/>
  <c r="Y13" i="138"/>
  <c r="C120" i="139"/>
  <c r="C124" i="139" s="1"/>
  <c r="AB15" i="139"/>
  <c r="AB12" i="142"/>
  <c r="AC7" i="139"/>
  <c r="V26" i="140"/>
  <c r="V32" i="140" s="1"/>
  <c r="V34" i="140" s="1"/>
  <c r="Z8" i="137"/>
  <c r="K120" i="138"/>
  <c r="K124" i="138" s="1"/>
  <c r="Z15" i="141"/>
  <c r="Z20" i="142"/>
  <c r="AB17" i="137"/>
  <c r="K26" i="142"/>
  <c r="K68" i="142" s="1"/>
  <c r="X12" i="140"/>
  <c r="Y11" i="142"/>
  <c r="X20" i="141"/>
  <c r="AC21" i="140"/>
  <c r="L26" i="141"/>
  <c r="L79" i="141" s="1"/>
  <c r="AC13" i="142"/>
  <c r="D120" i="142"/>
  <c r="D124" i="142" s="1"/>
  <c r="C33" i="145"/>
  <c r="D26" i="142"/>
  <c r="D60" i="142" s="1"/>
  <c r="Y6" i="142"/>
  <c r="L26" i="138"/>
  <c r="L62" i="138" s="1"/>
  <c r="R26" i="142"/>
  <c r="R32" i="142" s="1"/>
  <c r="R34" i="142" s="1"/>
  <c r="J26" i="138"/>
  <c r="J64" i="138" s="1"/>
  <c r="N26" i="140"/>
  <c r="N74" i="140" s="1"/>
  <c r="AA105" i="140" s="1"/>
  <c r="AB7" i="137"/>
  <c r="AC22" i="142"/>
  <c r="Z13" i="138"/>
  <c r="N120" i="140"/>
  <c r="AB12" i="137"/>
  <c r="V26" i="138"/>
  <c r="V32" i="138" s="1"/>
  <c r="V34" i="138" s="1"/>
  <c r="Z10" i="138"/>
  <c r="V26" i="142"/>
  <c r="V32" i="142" s="1"/>
  <c r="V34" i="142" s="1"/>
  <c r="D33" i="146"/>
  <c r="X15" i="137"/>
  <c r="Y9" i="137"/>
  <c r="X7" i="140"/>
  <c r="X22" i="142"/>
  <c r="AB25" i="138"/>
  <c r="X25" i="137"/>
  <c r="Z14" i="137"/>
  <c r="Q26" i="137"/>
  <c r="Q32" i="137" s="1"/>
  <c r="Q34" i="137" s="1"/>
  <c r="AC22" i="140"/>
  <c r="X20" i="139"/>
  <c r="Z20" i="138"/>
  <c r="Y19" i="139"/>
  <c r="Y14" i="138"/>
  <c r="G120" i="138"/>
  <c r="X7" i="139"/>
  <c r="K120" i="140"/>
  <c r="K124" i="140" s="1"/>
  <c r="AB25" i="139"/>
  <c r="U41" i="140"/>
  <c r="U61" i="140"/>
  <c r="O120" i="140"/>
  <c r="S79" i="140"/>
  <c r="Z10" i="137"/>
  <c r="Y22" i="138"/>
  <c r="AC6" i="138"/>
  <c r="H26" i="138"/>
  <c r="H72" i="138" s="1"/>
  <c r="P103" i="138" s="1"/>
  <c r="AB11" i="141"/>
  <c r="AC17" i="138"/>
  <c r="AB13" i="141"/>
  <c r="Z9" i="141"/>
  <c r="E120" i="140"/>
  <c r="E124" i="140" s="1"/>
  <c r="X14" i="139"/>
  <c r="Y20" i="139"/>
  <c r="AC18" i="141"/>
  <c r="K26" i="141"/>
  <c r="K68" i="141" s="1"/>
  <c r="AC8" i="140"/>
  <c r="Z19" i="140"/>
  <c r="AC12" i="141"/>
  <c r="Y13" i="142"/>
  <c r="X15" i="141"/>
  <c r="D35" i="144"/>
  <c r="J36" i="144"/>
  <c r="AC6" i="140"/>
  <c r="H26" i="140"/>
  <c r="H61" i="140" s="1"/>
  <c r="X17" i="139"/>
  <c r="Z9" i="137"/>
  <c r="K26" i="139"/>
  <c r="K69" i="139" s="1"/>
  <c r="AC21" i="139"/>
  <c r="X16" i="139"/>
  <c r="Y16" i="137"/>
  <c r="Z8" i="142"/>
  <c r="R26" i="139"/>
  <c r="R32" i="139" s="1"/>
  <c r="R34" i="139" s="1"/>
  <c r="C33" i="148"/>
  <c r="AC25" i="138"/>
  <c r="AB14" i="139"/>
  <c r="AC12" i="140"/>
  <c r="X12" i="141"/>
  <c r="R26" i="141"/>
  <c r="R32" i="141" s="1"/>
  <c r="R34" i="141" s="1"/>
  <c r="D120" i="137"/>
  <c r="D124" i="137" s="1"/>
  <c r="X17" i="141"/>
  <c r="AC10" i="140"/>
  <c r="AC14" i="139"/>
  <c r="Y16" i="141"/>
  <c r="Z21" i="138"/>
  <c r="AC12" i="139"/>
  <c r="Q26" i="139"/>
  <c r="Q32" i="139" s="1"/>
  <c r="Q34" i="139" s="1"/>
  <c r="Z21" i="140"/>
  <c r="Y21" i="138"/>
  <c r="X14" i="140"/>
  <c r="X19" i="137"/>
  <c r="X21" i="141"/>
  <c r="Y21" i="141"/>
  <c r="S44" i="140"/>
  <c r="Z10" i="141"/>
  <c r="H120" i="138"/>
  <c r="Z20" i="141"/>
  <c r="C120" i="142"/>
  <c r="C124" i="142" s="1"/>
  <c r="S72" i="140"/>
  <c r="X8" i="139"/>
  <c r="X15" i="138"/>
  <c r="Y19" i="138"/>
  <c r="Y13" i="139"/>
  <c r="Z12" i="138"/>
  <c r="U26" i="137"/>
  <c r="U32" i="137" s="1"/>
  <c r="U34" i="137" s="1"/>
  <c r="Y12" i="137"/>
  <c r="O26" i="141"/>
  <c r="O63" i="141" s="1"/>
  <c r="Y11" i="140"/>
  <c r="Y9" i="139"/>
  <c r="Y18" i="138"/>
  <c r="Y11" i="141"/>
  <c r="Z17" i="137"/>
  <c r="AB18" i="139"/>
  <c r="Z7" i="137"/>
  <c r="Z13" i="141"/>
  <c r="X10" i="142"/>
  <c r="Y20" i="137"/>
  <c r="Y8" i="137"/>
  <c r="AC15" i="141"/>
  <c r="AB7" i="142"/>
  <c r="U73" i="140"/>
  <c r="U53" i="140"/>
  <c r="AB8" i="141"/>
  <c r="Y19" i="140"/>
  <c r="Z8" i="138"/>
  <c r="AC8" i="139"/>
  <c r="X10" i="138"/>
  <c r="R26" i="138"/>
  <c r="R32" i="138" s="1"/>
  <c r="R34" i="138" s="1"/>
  <c r="AB25" i="140"/>
  <c r="Y16" i="142"/>
  <c r="AC16" i="141"/>
  <c r="X11" i="138"/>
  <c r="X13" i="140"/>
  <c r="AC9" i="141"/>
  <c r="AC18" i="137"/>
  <c r="AC20" i="142"/>
  <c r="D33" i="145"/>
  <c r="AB17" i="139"/>
  <c r="AC17" i="137"/>
  <c r="AB20" i="141"/>
  <c r="Y18" i="140"/>
  <c r="Z15" i="139"/>
  <c r="Y20" i="138"/>
  <c r="AB19" i="137"/>
  <c r="Z22" i="137"/>
  <c r="Z20" i="139"/>
  <c r="AC13" i="138"/>
  <c r="Y6" i="137"/>
  <c r="D26" i="137"/>
  <c r="D61" i="137" s="1"/>
  <c r="AB8" i="138"/>
  <c r="AC18" i="142"/>
  <c r="AB22" i="138"/>
  <c r="AB16" i="141"/>
  <c r="S48" i="140"/>
  <c r="S68" i="140"/>
  <c r="X13" i="139"/>
  <c r="U26" i="139"/>
  <c r="U32" i="139" s="1"/>
  <c r="U34" i="139" s="1"/>
  <c r="G120" i="139"/>
  <c r="J120" i="138"/>
  <c r="J124" i="138" s="1"/>
  <c r="X21" i="140"/>
  <c r="Z16" i="141"/>
  <c r="AB18" i="142"/>
  <c r="X19" i="139"/>
  <c r="Z13" i="137"/>
  <c r="AB10" i="138"/>
  <c r="AC7" i="141"/>
  <c r="Z12" i="140"/>
  <c r="J36" i="147"/>
  <c r="D35" i="147"/>
  <c r="Y15" i="140"/>
  <c r="AC19" i="137"/>
  <c r="Z19" i="138"/>
  <c r="AC19" i="138"/>
  <c r="C33" i="144"/>
  <c r="R26" i="137"/>
  <c r="R32" i="137" s="1"/>
  <c r="R34" i="137" s="1"/>
  <c r="U79" i="140"/>
  <c r="U59" i="140"/>
  <c r="AB14" i="140"/>
  <c r="AB9" i="138"/>
  <c r="D61" i="142"/>
  <c r="Y7" i="142"/>
  <c r="Y12" i="140"/>
  <c r="O120" i="137"/>
  <c r="U70" i="140"/>
  <c r="U50" i="140"/>
  <c r="K61" i="141"/>
  <c r="Y14" i="141"/>
  <c r="AC7" i="140"/>
  <c r="X20" i="137"/>
  <c r="L26" i="140"/>
  <c r="L70" i="140" s="1"/>
  <c r="J120" i="139"/>
  <c r="J124" i="139" s="1"/>
  <c r="AB10" i="139"/>
  <c r="L26" i="139"/>
  <c r="L63" i="139" s="1"/>
  <c r="U58" i="140"/>
  <c r="U78" i="140"/>
  <c r="Y8" i="140"/>
  <c r="AC19" i="140"/>
  <c r="AB9" i="140"/>
  <c r="Q26" i="141"/>
  <c r="Q32" i="141" s="1"/>
  <c r="Q34" i="141" s="1"/>
  <c r="D76" i="142"/>
  <c r="Y22" i="142"/>
  <c r="Z8" i="141"/>
  <c r="V50" i="142"/>
  <c r="Z16" i="138"/>
  <c r="AC12" i="138"/>
  <c r="Y22" i="141"/>
  <c r="X11" i="141"/>
  <c r="H26" i="141"/>
  <c r="H75" i="141" s="1"/>
  <c r="AC6" i="141"/>
  <c r="Z21" i="141"/>
  <c r="N26" i="142"/>
  <c r="N72" i="142" s="1"/>
  <c r="AG103" i="142" s="1"/>
  <c r="AC11" i="137"/>
  <c r="AB6" i="141"/>
  <c r="G26" i="141"/>
  <c r="G70" i="141" s="1"/>
  <c r="O101" i="141" s="1"/>
  <c r="Y11" i="139"/>
  <c r="L120" i="139"/>
  <c r="L124" i="139" s="1"/>
  <c r="AC22" i="141"/>
  <c r="AC25" i="142"/>
  <c r="V26" i="139"/>
  <c r="V32" i="139" s="1"/>
  <c r="V34" i="139" s="1"/>
  <c r="Z18" i="139"/>
  <c r="Y6" i="141"/>
  <c r="D26" i="141"/>
  <c r="D65" i="141" s="1"/>
  <c r="AC10" i="142"/>
  <c r="X9" i="137"/>
  <c r="AC10" i="137"/>
  <c r="AB10" i="141"/>
  <c r="Y13" i="141"/>
  <c r="D120" i="141"/>
  <c r="D124" i="141" s="1"/>
  <c r="X25" i="140"/>
  <c r="AB17" i="140"/>
  <c r="AC10" i="138"/>
  <c r="Z22" i="140"/>
  <c r="Z14" i="140"/>
  <c r="D33" i="143"/>
  <c r="L26" i="137"/>
  <c r="L71" i="137" s="1"/>
  <c r="Y25" i="138"/>
  <c r="E120" i="137"/>
  <c r="E124" i="137" s="1"/>
  <c r="X9" i="138"/>
  <c r="Z14" i="142"/>
  <c r="Z15" i="142"/>
  <c r="Y13" i="137"/>
  <c r="Y11" i="137"/>
  <c r="X22" i="139"/>
  <c r="D120" i="139"/>
  <c r="D124" i="139" s="1"/>
  <c r="X8" i="140"/>
  <c r="X11" i="139"/>
  <c r="X22" i="140"/>
  <c r="X7" i="141"/>
  <c r="AC20" i="138"/>
  <c r="AB19" i="138"/>
  <c r="AB12" i="141"/>
  <c r="D26" i="140"/>
  <c r="D75" i="140" s="1"/>
  <c r="Y6" i="140"/>
  <c r="AC12" i="142"/>
  <c r="AB19" i="141"/>
  <c r="Y12" i="142"/>
  <c r="D66" i="142"/>
  <c r="Z25" i="139"/>
  <c r="Z16" i="142"/>
  <c r="Y18" i="141"/>
  <c r="AC25" i="139"/>
  <c r="C120" i="138"/>
  <c r="C124" i="138" s="1"/>
  <c r="S69" i="140"/>
  <c r="S49" i="140"/>
  <c r="Z12" i="142"/>
  <c r="G26" i="137"/>
  <c r="G65" i="137" s="1"/>
  <c r="U96" i="137" s="1"/>
  <c r="AB6" i="137"/>
  <c r="AC13" i="141"/>
  <c r="H67" i="141"/>
  <c r="AC12" i="137"/>
  <c r="Y19" i="141"/>
  <c r="E26" i="141"/>
  <c r="E75" i="141" s="1"/>
  <c r="Z6" i="141"/>
  <c r="Y21" i="140"/>
  <c r="AC19" i="142"/>
  <c r="Y15" i="139"/>
  <c r="AB14" i="138"/>
  <c r="C120" i="137"/>
  <c r="C124" i="137" s="1"/>
  <c r="AC9" i="139"/>
  <c r="Y16" i="139"/>
  <c r="D120" i="140"/>
  <c r="D124" i="140" s="1"/>
  <c r="Y17" i="139"/>
  <c r="AC22" i="138"/>
  <c r="J120" i="142"/>
  <c r="J124" i="142" s="1"/>
  <c r="K71" i="141"/>
  <c r="H26" i="142"/>
  <c r="H65" i="142" s="1"/>
  <c r="V96" i="142" s="1"/>
  <c r="AC6" i="142"/>
  <c r="C35" i="148"/>
  <c r="I36" i="148"/>
  <c r="H120" i="137"/>
  <c r="AB16" i="142"/>
  <c r="AC8" i="142"/>
  <c r="AB13" i="140"/>
  <c r="Y10" i="137"/>
  <c r="V26" i="137"/>
  <c r="V32" i="137" s="1"/>
  <c r="V34" i="137" s="1"/>
  <c r="AB9" i="137"/>
  <c r="C26" i="139"/>
  <c r="C62" i="139" s="1"/>
  <c r="X6" i="139"/>
  <c r="AB6" i="139"/>
  <c r="G26" i="139"/>
  <c r="G72" i="139" s="1"/>
  <c r="U103" i="139" s="1"/>
  <c r="U67" i="140"/>
  <c r="U47" i="140"/>
  <c r="AB15" i="138"/>
  <c r="X12" i="142"/>
  <c r="Y18" i="139"/>
  <c r="N120" i="141"/>
  <c r="U71" i="140"/>
  <c r="U51" i="140"/>
  <c r="AC11" i="141"/>
  <c r="O26" i="139"/>
  <c r="O64" i="139" s="1"/>
  <c r="Y18" i="137"/>
  <c r="Z19" i="141"/>
  <c r="AB12" i="140"/>
  <c r="K26" i="138"/>
  <c r="K65" i="138" s="1"/>
  <c r="Z25" i="141"/>
  <c r="Z22" i="138"/>
  <c r="AB7" i="139"/>
  <c r="AC14" i="138"/>
  <c r="X16" i="142"/>
  <c r="S58" i="140"/>
  <c r="S78" i="140"/>
  <c r="AC21" i="142"/>
  <c r="Z17" i="142"/>
  <c r="AC15" i="142"/>
  <c r="O120" i="142"/>
  <c r="N120" i="138"/>
  <c r="Z14" i="138"/>
  <c r="N120" i="139"/>
  <c r="L120" i="138"/>
  <c r="L124" i="138" s="1"/>
  <c r="AB15" i="142"/>
  <c r="Y25" i="139"/>
  <c r="AC15" i="139"/>
  <c r="Y11" i="138"/>
  <c r="AB21" i="142"/>
  <c r="AB25" i="141"/>
  <c r="Y7" i="137"/>
  <c r="Z11" i="137"/>
  <c r="X10" i="139"/>
  <c r="AC8" i="141"/>
  <c r="E26" i="142"/>
  <c r="E62" i="142" s="1"/>
  <c r="Z6" i="142"/>
  <c r="AC18" i="139"/>
  <c r="AC6" i="139"/>
  <c r="H26" i="139"/>
  <c r="H66" i="139" s="1"/>
  <c r="V97" i="139" s="1"/>
  <c r="AC16" i="142"/>
  <c r="X16" i="141"/>
  <c r="AB15" i="137"/>
  <c r="AB15" i="140"/>
  <c r="Y17" i="142"/>
  <c r="D71" i="142"/>
  <c r="U75" i="140"/>
  <c r="U55" i="140"/>
  <c r="AB19" i="140"/>
  <c r="AB25" i="137"/>
  <c r="AC14" i="141"/>
  <c r="H68" i="141"/>
  <c r="U54" i="140"/>
  <c r="U74" i="140"/>
  <c r="U26" i="141"/>
  <c r="U32" i="141" s="1"/>
  <c r="U34" i="141" s="1"/>
  <c r="J120" i="141"/>
  <c r="J124" i="141" s="1"/>
  <c r="K73" i="141"/>
  <c r="K120" i="141"/>
  <c r="K124" i="141" s="1"/>
  <c r="AB19" i="139"/>
  <c r="AB9" i="139"/>
  <c r="X17" i="140"/>
  <c r="X17" i="137"/>
  <c r="X19" i="140"/>
  <c r="Y8" i="141"/>
  <c r="Y9" i="142"/>
  <c r="D63" i="142"/>
  <c r="X16" i="140"/>
  <c r="AB11" i="142"/>
  <c r="Z6" i="139"/>
  <c r="E26" i="139"/>
  <c r="E122" i="139" s="1"/>
  <c r="X10" i="141"/>
  <c r="S67" i="140"/>
  <c r="S47" i="140"/>
  <c r="AB16" i="137"/>
  <c r="Z18" i="141"/>
  <c r="D26" i="139"/>
  <c r="D68" i="139" s="1"/>
  <c r="Y6" i="139"/>
  <c r="Y8" i="139"/>
  <c r="Z25" i="137"/>
  <c r="AC15" i="138"/>
  <c r="S26" i="138"/>
  <c r="S32" i="138" s="1"/>
  <c r="S34" i="138" s="1"/>
  <c r="C35" i="144"/>
  <c r="I36" i="144"/>
  <c r="Y10" i="140"/>
  <c r="Z22" i="142"/>
  <c r="Q58" i="138"/>
  <c r="X15" i="140"/>
  <c r="Y12" i="141"/>
  <c r="D79" i="142"/>
  <c r="Y25" i="142"/>
  <c r="Z10" i="140"/>
  <c r="U66" i="140"/>
  <c r="U46" i="140"/>
  <c r="J26" i="137"/>
  <c r="J70" i="137" s="1"/>
  <c r="J26" i="141"/>
  <c r="J66" i="141" s="1"/>
  <c r="N26" i="139"/>
  <c r="N79" i="139" s="1"/>
  <c r="AG110" i="139" s="1"/>
  <c r="Z18" i="137"/>
  <c r="G26" i="140"/>
  <c r="G76" i="140" s="1"/>
  <c r="O107" i="140" s="1"/>
  <c r="AB6" i="140"/>
  <c r="D62" i="142"/>
  <c r="Y8" i="142"/>
  <c r="X21" i="137"/>
  <c r="G120" i="141"/>
  <c r="AB17" i="141"/>
  <c r="Z25" i="142"/>
  <c r="Y16" i="140"/>
  <c r="X12" i="137"/>
  <c r="X11" i="137"/>
  <c r="V26" i="141"/>
  <c r="V32" i="141" s="1"/>
  <c r="V34" i="141" s="1"/>
  <c r="X25" i="141"/>
  <c r="X9" i="140"/>
  <c r="X17" i="142"/>
  <c r="D26" i="138"/>
  <c r="D62" i="138" s="1"/>
  <c r="Y6" i="138"/>
  <c r="AC13" i="137"/>
  <c r="X18" i="137"/>
  <c r="K26" i="137"/>
  <c r="K60" i="137" s="1"/>
  <c r="AB18" i="141"/>
  <c r="X20" i="138"/>
  <c r="E76" i="141"/>
  <c r="Z22" i="141"/>
  <c r="AC8" i="137"/>
  <c r="J26" i="139"/>
  <c r="J66" i="139" s="1"/>
  <c r="AC14" i="137"/>
  <c r="AC25" i="140"/>
  <c r="C33" i="143"/>
  <c r="X20" i="140"/>
  <c r="K74" i="141"/>
  <c r="X12" i="139"/>
  <c r="Y10" i="139"/>
  <c r="X13" i="138"/>
  <c r="X7" i="142"/>
  <c r="X11" i="140"/>
  <c r="Y14" i="142"/>
  <c r="D68" i="142"/>
  <c r="L26" i="142"/>
  <c r="L75" i="142" s="1"/>
  <c r="AB20" i="139"/>
  <c r="AB8" i="139"/>
  <c r="S50" i="140"/>
  <c r="S70" i="140"/>
  <c r="Y7" i="139"/>
  <c r="E26" i="138"/>
  <c r="E60" i="138" s="1"/>
  <c r="Z6" i="138"/>
  <c r="Y8" i="138"/>
  <c r="AB16" i="138"/>
  <c r="AB13" i="142"/>
  <c r="C120" i="141"/>
  <c r="C124" i="141" s="1"/>
  <c r="Z25" i="138"/>
  <c r="K66" i="141"/>
  <c r="L120" i="142"/>
  <c r="L124" i="142" s="1"/>
  <c r="H26" i="137"/>
  <c r="H67" i="137" s="1"/>
  <c r="P98" i="137" s="1"/>
  <c r="AC6" i="137"/>
  <c r="O120" i="139"/>
  <c r="X18" i="138"/>
  <c r="AB6" i="138"/>
  <c r="G26" i="138"/>
  <c r="G76" i="138" s="1"/>
  <c r="U107" i="138" s="1"/>
  <c r="X6" i="138"/>
  <c r="C26" i="138"/>
  <c r="C71" i="138" s="1"/>
  <c r="Z13" i="142"/>
  <c r="Y20" i="140"/>
  <c r="S55" i="140"/>
  <c r="S75" i="140"/>
  <c r="Z18" i="138"/>
  <c r="AB9" i="142"/>
  <c r="Z25" i="140"/>
  <c r="N26" i="138"/>
  <c r="N72" i="138" s="1"/>
  <c r="AA103" i="138" s="1"/>
  <c r="Y25" i="140"/>
  <c r="AB7" i="140"/>
  <c r="AB20" i="138"/>
  <c r="AB13" i="137"/>
  <c r="O26" i="137"/>
  <c r="O74" i="137" s="1"/>
  <c r="AH105" i="137" s="1"/>
  <c r="AC9" i="142"/>
  <c r="X11" i="142"/>
  <c r="AC11" i="139"/>
  <c r="AB18" i="140"/>
  <c r="Z12" i="137"/>
  <c r="U77" i="140"/>
  <c r="U57" i="140"/>
  <c r="AC8" i="138"/>
  <c r="AB21" i="141"/>
  <c r="AB8" i="137"/>
  <c r="X14" i="138"/>
  <c r="Z21" i="142"/>
  <c r="X14" i="142"/>
  <c r="AC9" i="137"/>
  <c r="X21" i="138"/>
  <c r="Y19" i="142"/>
  <c r="S77" i="140"/>
  <c r="S57" i="140"/>
  <c r="H74" i="141"/>
  <c r="AC20" i="141"/>
  <c r="S74" i="140"/>
  <c r="S54" i="140"/>
  <c r="AC20" i="140"/>
  <c r="X20" i="142"/>
  <c r="Z10" i="139"/>
  <c r="AB8" i="142"/>
  <c r="X10" i="140"/>
  <c r="D120" i="138"/>
  <c r="D124" i="138" s="1"/>
  <c r="S26" i="142"/>
  <c r="S32" i="142" s="1"/>
  <c r="S34" i="142" s="1"/>
  <c r="X18" i="141"/>
  <c r="AB11" i="137"/>
  <c r="S45" i="140"/>
  <c r="S65" i="140"/>
  <c r="AC25" i="137"/>
  <c r="AC14" i="142"/>
  <c r="AC10" i="139"/>
  <c r="X7" i="137"/>
  <c r="N26" i="141"/>
  <c r="N66" i="141" s="1"/>
  <c r="AA97" i="141" s="1"/>
  <c r="AB17" i="138"/>
  <c r="G120" i="140"/>
  <c r="Y13" i="140"/>
  <c r="G120" i="137"/>
  <c r="U52" i="140"/>
  <c r="U72" i="140"/>
  <c r="G120" i="142"/>
  <c r="X13" i="142"/>
  <c r="L120" i="137"/>
  <c r="L124" i="137" s="1"/>
  <c r="Y10" i="141"/>
  <c r="Y22" i="140"/>
  <c r="Y21" i="139"/>
  <c r="D33" i="148"/>
  <c r="Y20" i="141"/>
  <c r="X9" i="141"/>
  <c r="L78" i="138"/>
  <c r="Z18" i="140"/>
  <c r="Y25" i="137"/>
  <c r="Z21" i="137"/>
  <c r="Z20" i="137"/>
  <c r="AB12" i="138"/>
  <c r="Z17" i="139"/>
  <c r="J36" i="148"/>
  <c r="D35" i="148"/>
  <c r="AC16" i="140"/>
  <c r="AB19" i="142"/>
  <c r="AC17" i="141"/>
  <c r="H71" i="141"/>
  <c r="R26" i="140"/>
  <c r="R32" i="140" s="1"/>
  <c r="R34" i="140" s="1"/>
  <c r="X19" i="142"/>
  <c r="X12" i="138"/>
  <c r="X7" i="138"/>
  <c r="Y14" i="139"/>
  <c r="X13" i="141"/>
  <c r="AC7" i="142"/>
  <c r="J26" i="140"/>
  <c r="J70" i="140" s="1"/>
  <c r="U42" i="140"/>
  <c r="U62" i="140"/>
  <c r="Y15" i="138"/>
  <c r="Z19" i="142"/>
  <c r="Z17" i="140"/>
  <c r="AC20" i="139"/>
  <c r="X18" i="139"/>
  <c r="K120" i="139"/>
  <c r="K124" i="139" s="1"/>
  <c r="Z7" i="139"/>
  <c r="X22" i="138"/>
  <c r="AB16" i="139"/>
  <c r="AB6" i="142"/>
  <c r="G26" i="142"/>
  <c r="G60" i="142" s="1"/>
  <c r="U91" i="142" s="1"/>
  <c r="Z15" i="137"/>
  <c r="Z11" i="141"/>
  <c r="O72" i="139"/>
  <c r="AB103" i="139" s="1"/>
  <c r="AC21" i="137"/>
  <c r="Z9" i="138"/>
  <c r="Y17" i="138"/>
  <c r="X8" i="138"/>
  <c r="X19" i="138"/>
  <c r="Z17" i="141"/>
  <c r="E71" i="141"/>
  <c r="E120" i="138"/>
  <c r="E124" i="138" s="1"/>
  <c r="AB22" i="141"/>
  <c r="Y9" i="140"/>
  <c r="Z11" i="142"/>
  <c r="E26" i="137"/>
  <c r="E61" i="137" s="1"/>
  <c r="Z6" i="137"/>
  <c r="AC25" i="141"/>
  <c r="N26" i="137"/>
  <c r="N67" i="137" s="1"/>
  <c r="C26" i="140"/>
  <c r="C69" i="140" s="1"/>
  <c r="X6" i="140"/>
  <c r="AC18" i="140"/>
  <c r="AC14" i="140"/>
  <c r="O26" i="142"/>
  <c r="O63" i="142" s="1"/>
  <c r="E120" i="142"/>
  <c r="E124" i="142" s="1"/>
  <c r="Y15" i="142"/>
  <c r="D69" i="142"/>
  <c r="C33" i="146"/>
  <c r="AC7" i="137"/>
  <c r="AB17" i="142"/>
  <c r="X25" i="139"/>
  <c r="Y9" i="141"/>
  <c r="AB21" i="139"/>
  <c r="Y12" i="138"/>
  <c r="AC9" i="138"/>
  <c r="AC16" i="138"/>
  <c r="Y12" i="139"/>
  <c r="J36" i="146"/>
  <c r="D35" i="146"/>
  <c r="C35" i="145"/>
  <c r="I36" i="145"/>
  <c r="Z16" i="139"/>
  <c r="AC11" i="140"/>
  <c r="D33" i="147"/>
  <c r="AB16" i="140"/>
  <c r="X8" i="142"/>
  <c r="H78" i="141"/>
  <c r="O26" i="138"/>
  <c r="O69" i="138" s="1"/>
  <c r="AB100" i="138" s="1"/>
  <c r="J120" i="140"/>
  <c r="J124" i="140" s="1"/>
  <c r="Y17" i="137"/>
  <c r="Z12" i="141"/>
  <c r="AB12" i="139"/>
  <c r="AB21" i="137"/>
  <c r="E68" i="141"/>
  <c r="Z14" i="141"/>
  <c r="C33" i="147"/>
  <c r="Y22" i="139"/>
  <c r="X8" i="141"/>
  <c r="X25" i="138"/>
  <c r="O73" i="142"/>
  <c r="AB104" i="142" s="1"/>
  <c r="Y7" i="138"/>
  <c r="AB10" i="137"/>
  <c r="Z21" i="139"/>
  <c r="D33" i="144"/>
  <c r="AC15" i="140"/>
  <c r="Y25" i="141"/>
  <c r="Z8" i="140"/>
  <c r="AB15" i="141"/>
  <c r="X15" i="139"/>
  <c r="AC9" i="140"/>
  <c r="O120" i="138"/>
  <c r="U26" i="142"/>
  <c r="U32" i="142" s="1"/>
  <c r="U34" i="142" s="1"/>
  <c r="AB14" i="142"/>
  <c r="K120" i="137"/>
  <c r="K124" i="137" s="1"/>
  <c r="AB10" i="140"/>
  <c r="Y10" i="138"/>
  <c r="X19" i="141"/>
  <c r="AB18" i="138"/>
  <c r="Z8" i="139"/>
  <c r="N120" i="142"/>
  <c r="X13" i="137"/>
  <c r="U63" i="140"/>
  <c r="U43" i="140"/>
  <c r="Z15" i="138"/>
  <c r="AC11" i="138"/>
  <c r="AB25" i="142"/>
  <c r="AB14" i="141"/>
  <c r="X10" i="137"/>
  <c r="AC15" i="137"/>
  <c r="S56" i="140"/>
  <c r="S76" i="140"/>
  <c r="K79" i="141"/>
  <c r="AC17" i="139"/>
  <c r="Y14" i="137"/>
  <c r="J36" i="145"/>
  <c r="D35" i="145"/>
  <c r="AC21" i="141"/>
  <c r="AC10" i="141"/>
  <c r="Z19" i="139"/>
  <c r="AC16" i="137"/>
  <c r="H120" i="142"/>
  <c r="Z15" i="140"/>
  <c r="X16" i="138"/>
  <c r="Z10" i="142"/>
  <c r="Y18" i="142"/>
  <c r="D72" i="142"/>
  <c r="AC20" i="137"/>
  <c r="S26" i="139"/>
  <c r="S32" i="139" s="1"/>
  <c r="S34" i="139" s="1"/>
  <c r="AB22" i="139"/>
  <c r="X14" i="141"/>
  <c r="Y16" i="138"/>
  <c r="X6" i="137"/>
  <c r="C26" i="137"/>
  <c r="C73" i="137" s="1"/>
  <c r="S26" i="137"/>
  <c r="S66" i="137" s="1"/>
  <c r="Z7" i="142"/>
  <c r="Y17" i="140"/>
  <c r="Y19" i="137"/>
  <c r="Z13" i="140"/>
  <c r="Z14" i="139"/>
  <c r="K120" i="142"/>
  <c r="K124" i="142" s="1"/>
  <c r="AB8" i="140"/>
  <c r="U69" i="140"/>
  <c r="U49" i="140"/>
  <c r="X17" i="138"/>
  <c r="E62" i="141"/>
  <c r="E65" i="141"/>
  <c r="E66" i="141"/>
  <c r="E74" i="141"/>
  <c r="E63" i="141"/>
  <c r="E61" i="141"/>
  <c r="V70" i="141"/>
  <c r="E73" i="141"/>
  <c r="E72" i="141"/>
  <c r="E64" i="141"/>
  <c r="E60" i="141"/>
  <c r="D73" i="142"/>
  <c r="D74" i="142"/>
  <c r="S73" i="137"/>
  <c r="E79" i="141"/>
  <c r="S69" i="137"/>
  <c r="S74" i="137"/>
  <c r="S75" i="137"/>
  <c r="S65" i="137"/>
  <c r="S68" i="137"/>
  <c r="K79" i="137"/>
  <c r="K77" i="137"/>
  <c r="K65" i="137"/>
  <c r="K69" i="137"/>
  <c r="K75" i="137"/>
  <c r="K66" i="137"/>
  <c r="K70" i="137"/>
  <c r="K62" i="137"/>
  <c r="U54" i="141"/>
  <c r="U65" i="141"/>
  <c r="U53" i="141"/>
  <c r="K63" i="139"/>
  <c r="U45" i="141"/>
  <c r="U63" i="141"/>
  <c r="U46" i="141"/>
  <c r="U70" i="141"/>
  <c r="U47" i="141"/>
  <c r="U68" i="141"/>
  <c r="U58" i="141"/>
  <c r="U44" i="141"/>
  <c r="U40" i="141"/>
  <c r="U64" i="141"/>
  <c r="U56" i="141"/>
  <c r="U50" i="141"/>
  <c r="U41" i="141"/>
  <c r="K70" i="139"/>
  <c r="U57" i="141"/>
  <c r="U76" i="141"/>
  <c r="U51" i="141"/>
  <c r="U73" i="141"/>
  <c r="U49" i="141"/>
  <c r="U43" i="141"/>
  <c r="U75" i="141"/>
  <c r="U69" i="141"/>
  <c r="U74" i="141"/>
  <c r="U42" i="141"/>
  <c r="U52" i="141"/>
  <c r="U78" i="141"/>
  <c r="U71" i="141"/>
  <c r="U72" i="141"/>
  <c r="U61" i="141"/>
  <c r="U55" i="141"/>
  <c r="K68" i="139"/>
  <c r="U60" i="141"/>
  <c r="U67" i="141"/>
  <c r="U59" i="141"/>
  <c r="U66" i="141"/>
  <c r="R56" i="140"/>
  <c r="R41" i="140"/>
  <c r="R61" i="140"/>
  <c r="R44" i="140"/>
  <c r="R57" i="140"/>
  <c r="R54" i="140"/>
  <c r="R62" i="140"/>
  <c r="R53" i="140"/>
  <c r="R69" i="140"/>
  <c r="R43" i="140"/>
  <c r="Q68" i="138"/>
  <c r="R77" i="140"/>
  <c r="R72" i="140"/>
  <c r="R71" i="140"/>
  <c r="L79" i="138"/>
  <c r="Q48" i="138"/>
  <c r="Q59" i="138"/>
  <c r="Q64" i="138"/>
  <c r="Q79" i="138"/>
  <c r="Q73" i="138"/>
  <c r="Q44" i="138"/>
  <c r="R46" i="140"/>
  <c r="R64" i="140"/>
  <c r="R60" i="140"/>
  <c r="R42" i="140"/>
  <c r="R49" i="140"/>
  <c r="R73" i="140"/>
  <c r="O32" i="142"/>
  <c r="O45" i="142" s="1"/>
  <c r="V68" i="142"/>
  <c r="R79" i="140"/>
  <c r="R51" i="140"/>
  <c r="R76" i="140"/>
  <c r="Q67" i="138"/>
  <c r="Q57" i="138"/>
  <c r="V57" i="142"/>
  <c r="R40" i="140"/>
  <c r="R67" i="140"/>
  <c r="R78" i="140"/>
  <c r="R66" i="140"/>
  <c r="R75" i="140"/>
  <c r="Q47" i="138"/>
  <c r="Q77" i="138"/>
  <c r="Q51" i="138"/>
  <c r="R48" i="140"/>
  <c r="R68" i="140"/>
  <c r="R59" i="140"/>
  <c r="Q78" i="138"/>
  <c r="Q62" i="138"/>
  <c r="D65" i="142"/>
  <c r="R46" i="141"/>
  <c r="Q74" i="138"/>
  <c r="Q71" i="138"/>
  <c r="Q42" i="138"/>
  <c r="E78" i="139"/>
  <c r="L71" i="140"/>
  <c r="U67" i="142"/>
  <c r="U77" i="141"/>
  <c r="N75" i="140"/>
  <c r="AG106" i="140" s="1"/>
  <c r="N68" i="140"/>
  <c r="AG99" i="140" s="1"/>
  <c r="N70" i="140"/>
  <c r="AA101" i="140" s="1"/>
  <c r="N78" i="140"/>
  <c r="AA109" i="140" s="1"/>
  <c r="J63" i="137"/>
  <c r="Q55" i="138"/>
  <c r="Q75" i="138"/>
  <c r="Q41" i="138"/>
  <c r="G66" i="140"/>
  <c r="O97" i="140" s="1"/>
  <c r="Q54" i="138"/>
  <c r="Q46" i="138"/>
  <c r="Q61" i="138"/>
  <c r="Q45" i="138"/>
  <c r="Q66" i="138"/>
  <c r="G70" i="142"/>
  <c r="O101" i="142" s="1"/>
  <c r="D63" i="140"/>
  <c r="U49" i="142"/>
  <c r="G61" i="142"/>
  <c r="U92" i="142" s="1"/>
  <c r="G62" i="140"/>
  <c r="O93" i="140" s="1"/>
  <c r="V64" i="141"/>
  <c r="G73" i="142"/>
  <c r="U104" i="142" s="1"/>
  <c r="V47" i="141"/>
  <c r="V44" i="141"/>
  <c r="U75" i="142"/>
  <c r="G79" i="142"/>
  <c r="O110" i="142" s="1"/>
  <c r="V67" i="141"/>
  <c r="V77" i="141"/>
  <c r="G122" i="142"/>
  <c r="V57" i="141"/>
  <c r="G78" i="140"/>
  <c r="O109" i="140" s="1"/>
  <c r="G60" i="140"/>
  <c r="U91" i="140" s="1"/>
  <c r="V61" i="141"/>
  <c r="V53" i="141"/>
  <c r="V42" i="141"/>
  <c r="G77" i="140"/>
  <c r="O108" i="140" s="1"/>
  <c r="U72" i="142"/>
  <c r="U48" i="142"/>
  <c r="U65" i="142"/>
  <c r="U70" i="142"/>
  <c r="U76" i="142"/>
  <c r="U45" i="142"/>
  <c r="U61" i="142"/>
  <c r="U69" i="142"/>
  <c r="U60" i="142"/>
  <c r="U47" i="142"/>
  <c r="U62" i="142"/>
  <c r="U41" i="142"/>
  <c r="U77" i="142"/>
  <c r="U74" i="142"/>
  <c r="U40" i="142"/>
  <c r="U50" i="142"/>
  <c r="U44" i="142"/>
  <c r="U51" i="142"/>
  <c r="U59" i="142"/>
  <c r="U58" i="142"/>
  <c r="U46" i="142"/>
  <c r="U57" i="142"/>
  <c r="U79" i="142"/>
  <c r="U53" i="142"/>
  <c r="U63" i="142"/>
  <c r="U52" i="142"/>
  <c r="U78" i="142"/>
  <c r="U66" i="142"/>
  <c r="U56" i="142"/>
  <c r="U73" i="142"/>
  <c r="U54" i="142"/>
  <c r="L68" i="141"/>
  <c r="U68" i="142"/>
  <c r="U55" i="142"/>
  <c r="U64" i="142"/>
  <c r="U71" i="142"/>
  <c r="U42" i="142"/>
  <c r="D77" i="142"/>
  <c r="L71" i="141"/>
  <c r="D77" i="138"/>
  <c r="L73" i="141"/>
  <c r="L70" i="141"/>
  <c r="L69" i="141"/>
  <c r="D75" i="138"/>
  <c r="O76" i="141"/>
  <c r="AB107" i="141" s="1"/>
  <c r="L62" i="141"/>
  <c r="L66" i="141"/>
  <c r="L122" i="141"/>
  <c r="L32" i="141"/>
  <c r="L42" i="141" s="1"/>
  <c r="Y93" i="141" s="1"/>
  <c r="L64" i="141"/>
  <c r="L61" i="141"/>
  <c r="D66" i="138"/>
  <c r="L76" i="141"/>
  <c r="L67" i="141"/>
  <c r="O72" i="141"/>
  <c r="AB103" i="141" s="1"/>
  <c r="L65" i="141"/>
  <c r="L77" i="141"/>
  <c r="L63" i="141"/>
  <c r="O67" i="141"/>
  <c r="AB98" i="141" s="1"/>
  <c r="L75" i="141"/>
  <c r="L78" i="141"/>
  <c r="L74" i="141"/>
  <c r="D64" i="138"/>
  <c r="K71" i="142"/>
  <c r="R60" i="138"/>
  <c r="R74" i="138"/>
  <c r="K72" i="142"/>
  <c r="L65" i="137"/>
  <c r="R68" i="138"/>
  <c r="R64" i="138"/>
  <c r="R69" i="138"/>
  <c r="R61" i="138"/>
  <c r="R66" i="138"/>
  <c r="L67" i="140"/>
  <c r="L79" i="140"/>
  <c r="S61" i="139"/>
  <c r="K32" i="142"/>
  <c r="K50" i="142" s="1"/>
  <c r="U75" i="139"/>
  <c r="U79" i="139"/>
  <c r="K69" i="142"/>
  <c r="K74" i="142"/>
  <c r="K65" i="142"/>
  <c r="L60" i="140"/>
  <c r="K70" i="142"/>
  <c r="K75" i="142"/>
  <c r="K61" i="142"/>
  <c r="S75" i="139"/>
  <c r="L63" i="140"/>
  <c r="L77" i="140"/>
  <c r="K60" i="142"/>
  <c r="K67" i="142"/>
  <c r="K79" i="142"/>
  <c r="K63" i="142"/>
  <c r="K73" i="142"/>
  <c r="K66" i="142"/>
  <c r="L66" i="140"/>
  <c r="K64" i="142"/>
  <c r="L61" i="140"/>
  <c r="L74" i="140"/>
  <c r="L78" i="140"/>
  <c r="K62" i="142"/>
  <c r="K122" i="142"/>
  <c r="L122" i="140"/>
  <c r="L65" i="140"/>
  <c r="L73" i="140"/>
  <c r="L62" i="140"/>
  <c r="L69" i="140"/>
  <c r="K77" i="142"/>
  <c r="S78" i="139"/>
  <c r="L76" i="140"/>
  <c r="L72" i="140"/>
  <c r="L68" i="140"/>
  <c r="S56" i="139"/>
  <c r="D78" i="142"/>
  <c r="J60" i="138"/>
  <c r="E70" i="141"/>
  <c r="U61" i="138"/>
  <c r="R52" i="142"/>
  <c r="R65" i="142"/>
  <c r="R72" i="142"/>
  <c r="R60" i="142"/>
  <c r="O66" i="137"/>
  <c r="AH97" i="137" s="1"/>
  <c r="L64" i="140"/>
  <c r="Q65" i="138"/>
  <c r="U56" i="138"/>
  <c r="U68" i="138"/>
  <c r="U43" i="142"/>
  <c r="L32" i="140"/>
  <c r="L56" i="140" s="1"/>
  <c r="Y107" i="140" s="1"/>
  <c r="L75" i="140"/>
  <c r="Q74" i="141"/>
  <c r="Q53" i="141"/>
  <c r="Q57" i="141"/>
  <c r="C72" i="141"/>
  <c r="C64" i="141"/>
  <c r="C79" i="141"/>
  <c r="U70" i="138"/>
  <c r="U55" i="138"/>
  <c r="C67" i="141"/>
  <c r="C68" i="141"/>
  <c r="U76" i="138"/>
  <c r="C69" i="141"/>
  <c r="Q60" i="141"/>
  <c r="Q76" i="141"/>
  <c r="Q62" i="141"/>
  <c r="Q63" i="141"/>
  <c r="Q73" i="141"/>
  <c r="Q77" i="141"/>
  <c r="Q58" i="141"/>
  <c r="Q40" i="141"/>
  <c r="Q65" i="141"/>
  <c r="Q49" i="141"/>
  <c r="Q66" i="141"/>
  <c r="Q68" i="141"/>
  <c r="Q70" i="141"/>
  <c r="L75" i="139"/>
  <c r="L79" i="139"/>
  <c r="Q64" i="141"/>
  <c r="Q54" i="141"/>
  <c r="Q69" i="141"/>
  <c r="Q55" i="141"/>
  <c r="Q42" i="141"/>
  <c r="Q46" i="141"/>
  <c r="Q72" i="141"/>
  <c r="Q75" i="141"/>
  <c r="Q61" i="141"/>
  <c r="Q50" i="141"/>
  <c r="Q71" i="141"/>
  <c r="Q56" i="141"/>
  <c r="Q78" i="141"/>
  <c r="L78" i="139"/>
  <c r="Q67" i="141"/>
  <c r="Q45" i="141"/>
  <c r="Q52" i="141"/>
  <c r="Q43" i="141"/>
  <c r="Q59" i="141"/>
  <c r="Q79" i="141"/>
  <c r="Q47" i="141"/>
  <c r="Q44" i="141"/>
  <c r="Q48" i="141"/>
  <c r="Q41" i="141"/>
  <c r="Q51" i="141"/>
  <c r="V66" i="139"/>
  <c r="V59" i="139"/>
  <c r="V63" i="139"/>
  <c r="V62" i="139"/>
  <c r="S70" i="141"/>
  <c r="V57" i="139"/>
  <c r="V65" i="139"/>
  <c r="V68" i="139"/>
  <c r="V45" i="139"/>
  <c r="V70" i="139"/>
  <c r="V43" i="139"/>
  <c r="V44" i="139"/>
  <c r="V42" i="139"/>
  <c r="V76" i="139"/>
  <c r="H74" i="139"/>
  <c r="P105" i="139" s="1"/>
  <c r="V53" i="139"/>
  <c r="V50" i="139"/>
  <c r="V48" i="139"/>
  <c r="C74" i="140"/>
  <c r="V54" i="139"/>
  <c r="V72" i="139"/>
  <c r="V58" i="139"/>
  <c r="V71" i="139"/>
  <c r="V47" i="139"/>
  <c r="V55" i="139"/>
  <c r="V60" i="139"/>
  <c r="V67" i="139"/>
  <c r="V56" i="139"/>
  <c r="V69" i="139"/>
  <c r="V46" i="139"/>
  <c r="V77" i="139"/>
  <c r="C63" i="140"/>
  <c r="V78" i="139"/>
  <c r="J74" i="137"/>
  <c r="J77" i="137"/>
  <c r="J62" i="137"/>
  <c r="R78" i="138"/>
  <c r="R67" i="138"/>
  <c r="V75" i="141"/>
  <c r="J73" i="137"/>
  <c r="R63" i="138"/>
  <c r="J75" i="137"/>
  <c r="H72" i="140"/>
  <c r="P103" i="140" s="1"/>
  <c r="H69" i="140"/>
  <c r="P100" i="140" s="1"/>
  <c r="V45" i="141"/>
  <c r="H63" i="140"/>
  <c r="P94" i="140" s="1"/>
  <c r="J79" i="137"/>
  <c r="R59" i="138"/>
  <c r="V65" i="141"/>
  <c r="J67" i="137"/>
  <c r="R79" i="138"/>
  <c r="R72" i="138"/>
  <c r="R45" i="138"/>
  <c r="R51" i="138"/>
  <c r="R65" i="138"/>
  <c r="H79" i="140"/>
  <c r="V110" i="140" s="1"/>
  <c r="R73" i="138"/>
  <c r="R50" i="138"/>
  <c r="R71" i="138"/>
  <c r="H70" i="140"/>
  <c r="P101" i="140" s="1"/>
  <c r="R55" i="138"/>
  <c r="H68" i="140"/>
  <c r="R77" i="138"/>
  <c r="R44" i="138"/>
  <c r="R75" i="138"/>
  <c r="R46" i="138"/>
  <c r="J69" i="137"/>
  <c r="J76" i="137"/>
  <c r="J122" i="137"/>
  <c r="J78" i="137"/>
  <c r="R62" i="138"/>
  <c r="V55" i="141"/>
  <c r="L70" i="137"/>
  <c r="R75" i="142"/>
  <c r="L63" i="137"/>
  <c r="V78" i="140"/>
  <c r="R47" i="142"/>
  <c r="R69" i="142"/>
  <c r="H32" i="139"/>
  <c r="H54" i="139" s="1"/>
  <c r="U51" i="138"/>
  <c r="U78" i="138"/>
  <c r="U60" i="138"/>
  <c r="U62" i="138"/>
  <c r="R77" i="142"/>
  <c r="L66" i="137"/>
  <c r="H60" i="139"/>
  <c r="P91" i="139" s="1"/>
  <c r="Q60" i="142"/>
  <c r="H61" i="139"/>
  <c r="P92" i="139" s="1"/>
  <c r="S77" i="141"/>
  <c r="L64" i="137"/>
  <c r="U52" i="138"/>
  <c r="U69" i="138"/>
  <c r="R56" i="142"/>
  <c r="R51" i="142"/>
  <c r="L75" i="137"/>
  <c r="H62" i="139"/>
  <c r="P93" i="139" s="1"/>
  <c r="R44" i="142"/>
  <c r="G60" i="139"/>
  <c r="O91" i="139" s="1"/>
  <c r="V76" i="140"/>
  <c r="U75" i="138"/>
  <c r="U63" i="138"/>
  <c r="U48" i="138"/>
  <c r="U58" i="138"/>
  <c r="R61" i="142"/>
  <c r="V49" i="139"/>
  <c r="U41" i="138"/>
  <c r="U59" i="138"/>
  <c r="R76" i="142"/>
  <c r="C73" i="138"/>
  <c r="L76" i="137"/>
  <c r="U46" i="138"/>
  <c r="C32" i="138"/>
  <c r="C119" i="138" s="1"/>
  <c r="C123" i="138" s="1"/>
  <c r="H65" i="139"/>
  <c r="V96" i="139" s="1"/>
  <c r="U71" i="138"/>
  <c r="R41" i="142"/>
  <c r="U65" i="138"/>
  <c r="U79" i="138"/>
  <c r="U74" i="138"/>
  <c r="R45" i="142"/>
  <c r="V40" i="139"/>
  <c r="U45" i="138"/>
  <c r="V79" i="139"/>
  <c r="L68" i="137"/>
  <c r="Q75" i="142"/>
  <c r="G69" i="139"/>
  <c r="O100" i="139" s="1"/>
  <c r="R49" i="142"/>
  <c r="R55" i="142"/>
  <c r="R78" i="142"/>
  <c r="R58" i="142"/>
  <c r="L74" i="137"/>
  <c r="H68" i="139"/>
  <c r="V99" i="139" s="1"/>
  <c r="P97" i="139"/>
  <c r="AM97" i="139" s="1"/>
  <c r="H75" i="139"/>
  <c r="P106" i="139" s="1"/>
  <c r="U43" i="138"/>
  <c r="U44" i="138"/>
  <c r="U72" i="138"/>
  <c r="R73" i="142"/>
  <c r="V73" i="139"/>
  <c r="U47" i="138"/>
  <c r="V61" i="139"/>
  <c r="V51" i="139"/>
  <c r="L67" i="137"/>
  <c r="Q46" i="142"/>
  <c r="G62" i="139"/>
  <c r="U93" i="139" s="1"/>
  <c r="R68" i="142"/>
  <c r="R42" i="142"/>
  <c r="H64" i="139"/>
  <c r="P95" i="139" s="1"/>
  <c r="C64" i="140"/>
  <c r="R64" i="142"/>
  <c r="C65" i="140"/>
  <c r="U73" i="138"/>
  <c r="V74" i="139"/>
  <c r="U64" i="138"/>
  <c r="V75" i="139"/>
  <c r="L79" i="137"/>
  <c r="L77" i="137"/>
  <c r="L60" i="137"/>
  <c r="Q40" i="142"/>
  <c r="R74" i="142"/>
  <c r="R66" i="142"/>
  <c r="H67" i="139"/>
  <c r="P98" i="139" s="1"/>
  <c r="H69" i="139"/>
  <c r="P100" i="139" s="1"/>
  <c r="H72" i="139"/>
  <c r="P103" i="139" s="1"/>
  <c r="H63" i="139"/>
  <c r="V94" i="139" s="1"/>
  <c r="H79" i="139"/>
  <c r="P110" i="139" s="1"/>
  <c r="H77" i="139"/>
  <c r="V108" i="139" s="1"/>
  <c r="U66" i="138"/>
  <c r="R50" i="142"/>
  <c r="R43" i="142"/>
  <c r="U49" i="138"/>
  <c r="R62" i="142"/>
  <c r="V41" i="139"/>
  <c r="L78" i="137"/>
  <c r="G60" i="138"/>
  <c r="U91" i="138" s="1"/>
  <c r="Q42" i="142"/>
  <c r="L69" i="137"/>
  <c r="R71" i="142"/>
  <c r="L73" i="137"/>
  <c r="R53" i="142"/>
  <c r="R79" i="142"/>
  <c r="R70" i="142"/>
  <c r="R40" i="142"/>
  <c r="H122" i="139"/>
  <c r="H78" i="139"/>
  <c r="V109" i="139" s="1"/>
  <c r="H70" i="139"/>
  <c r="P101" i="139" s="1"/>
  <c r="H73" i="139"/>
  <c r="P104" i="139" s="1"/>
  <c r="U54" i="138"/>
  <c r="R63" i="142"/>
  <c r="U42" i="138"/>
  <c r="R67" i="142"/>
  <c r="R48" i="142"/>
  <c r="R54" i="142"/>
  <c r="V52" i="139"/>
  <c r="L32" i="137"/>
  <c r="L41" i="137" s="1"/>
  <c r="Y92" i="137" s="1"/>
  <c r="L72" i="137"/>
  <c r="Q76" i="142"/>
  <c r="L62" i="137"/>
  <c r="R57" i="142"/>
  <c r="H71" i="139"/>
  <c r="P102" i="139" s="1"/>
  <c r="C75" i="140"/>
  <c r="U77" i="138"/>
  <c r="R46" i="142"/>
  <c r="R59" i="142"/>
  <c r="U40" i="138"/>
  <c r="L122" i="137"/>
  <c r="L61" i="137"/>
  <c r="H76" i="139"/>
  <c r="V107" i="139" s="1"/>
  <c r="Q73" i="142"/>
  <c r="V64" i="139"/>
  <c r="V57" i="140"/>
  <c r="J122" i="139"/>
  <c r="O65" i="141"/>
  <c r="AB96" i="141" s="1"/>
  <c r="V64" i="140"/>
  <c r="V77" i="140"/>
  <c r="V61" i="140"/>
  <c r="V66" i="140"/>
  <c r="V46" i="140"/>
  <c r="V72" i="140"/>
  <c r="V53" i="140"/>
  <c r="V42" i="140"/>
  <c r="V74" i="140"/>
  <c r="V51" i="140"/>
  <c r="V47" i="140"/>
  <c r="V41" i="140"/>
  <c r="O70" i="141"/>
  <c r="O74" i="141"/>
  <c r="O73" i="141"/>
  <c r="AB104" i="141" s="1"/>
  <c r="R70" i="138"/>
  <c r="V45" i="140"/>
  <c r="R50" i="141"/>
  <c r="V40" i="140"/>
  <c r="V55" i="140"/>
  <c r="V79" i="140"/>
  <c r="V59" i="140"/>
  <c r="J79" i="139"/>
  <c r="O68" i="141"/>
  <c r="AH99" i="141" s="1"/>
  <c r="O71" i="141"/>
  <c r="AB102" i="141" s="1"/>
  <c r="V69" i="140"/>
  <c r="V60" i="140"/>
  <c r="V44" i="140"/>
  <c r="V54" i="140"/>
  <c r="V43" i="140"/>
  <c r="V63" i="140"/>
  <c r="V71" i="140"/>
  <c r="V70" i="140"/>
  <c r="V68" i="140"/>
  <c r="V50" i="140"/>
  <c r="V75" i="140"/>
  <c r="V52" i="140"/>
  <c r="V62" i="140"/>
  <c r="V67" i="140"/>
  <c r="V58" i="140"/>
  <c r="V48" i="140"/>
  <c r="R52" i="141"/>
  <c r="J74" i="139"/>
  <c r="O75" i="141"/>
  <c r="AH106" i="141" s="1"/>
  <c r="K67" i="140"/>
  <c r="D69" i="141"/>
  <c r="D68" i="141"/>
  <c r="D73" i="141"/>
  <c r="Q74" i="137"/>
  <c r="D79" i="141"/>
  <c r="K63" i="140"/>
  <c r="K75" i="140"/>
  <c r="K66" i="140"/>
  <c r="D61" i="141"/>
  <c r="D72" i="141"/>
  <c r="Q72" i="137"/>
  <c r="Q41" i="137"/>
  <c r="D32" i="141"/>
  <c r="D45" i="141" s="1"/>
  <c r="R96" i="141" s="1"/>
  <c r="K70" i="140"/>
  <c r="D122" i="137"/>
  <c r="J32" i="137"/>
  <c r="J49" i="137" s="1"/>
  <c r="C76" i="141"/>
  <c r="C60" i="141"/>
  <c r="Q58" i="137"/>
  <c r="V68" i="141"/>
  <c r="D74" i="141"/>
  <c r="C63" i="141"/>
  <c r="J61" i="137"/>
  <c r="J65" i="137"/>
  <c r="C74" i="141"/>
  <c r="C75" i="141"/>
  <c r="Q61" i="137"/>
  <c r="D70" i="141"/>
  <c r="D60" i="141"/>
  <c r="D76" i="137"/>
  <c r="C61" i="141"/>
  <c r="C73" i="141"/>
  <c r="D76" i="141"/>
  <c r="D67" i="141"/>
  <c r="D77" i="141"/>
  <c r="D78" i="141"/>
  <c r="J64" i="137"/>
  <c r="Q40" i="137"/>
  <c r="C78" i="141"/>
  <c r="N67" i="142"/>
  <c r="AA98" i="142" s="1"/>
  <c r="D62" i="141"/>
  <c r="D71" i="141"/>
  <c r="J71" i="137"/>
  <c r="C77" i="141"/>
  <c r="S61" i="141"/>
  <c r="D64" i="141"/>
  <c r="Q60" i="137"/>
  <c r="J72" i="137"/>
  <c r="D75" i="141"/>
  <c r="Q67" i="137"/>
  <c r="C66" i="141"/>
  <c r="D66" i="141"/>
  <c r="D63" i="141"/>
  <c r="C122" i="141"/>
  <c r="Q49" i="137"/>
  <c r="J60" i="137"/>
  <c r="C62" i="141"/>
  <c r="Q79" i="137"/>
  <c r="Q54" i="137"/>
  <c r="C70" i="141"/>
  <c r="D122" i="141"/>
  <c r="J66" i="137"/>
  <c r="Q63" i="137"/>
  <c r="J68" i="137"/>
  <c r="C71" i="141"/>
  <c r="C32" i="141"/>
  <c r="C52" i="141" s="1"/>
  <c r="S46" i="141"/>
  <c r="L77" i="139"/>
  <c r="L72" i="139"/>
  <c r="L32" i="139"/>
  <c r="L43" i="139" s="1"/>
  <c r="Y94" i="139" s="1"/>
  <c r="L74" i="139"/>
  <c r="V48" i="141"/>
  <c r="L61" i="139"/>
  <c r="L76" i="139"/>
  <c r="L62" i="139"/>
  <c r="L68" i="139"/>
  <c r="L66" i="139"/>
  <c r="G78" i="137"/>
  <c r="O109" i="137" s="1"/>
  <c r="L71" i="139"/>
  <c r="L64" i="139"/>
  <c r="L67" i="139"/>
  <c r="L69" i="139"/>
  <c r="L70" i="139"/>
  <c r="G79" i="137"/>
  <c r="O110" i="137" s="1"/>
  <c r="L65" i="139"/>
  <c r="L60" i="139"/>
  <c r="L122" i="139"/>
  <c r="L73" i="139"/>
  <c r="H60" i="142"/>
  <c r="P91" i="142" s="1"/>
  <c r="V52" i="137"/>
  <c r="H61" i="142"/>
  <c r="V92" i="142" s="1"/>
  <c r="N61" i="138"/>
  <c r="AA92" i="138" s="1"/>
  <c r="N73" i="138"/>
  <c r="AG104" i="138" s="1"/>
  <c r="N79" i="138"/>
  <c r="AA110" i="138" s="1"/>
  <c r="H69" i="142"/>
  <c r="P100" i="142" s="1"/>
  <c r="H78" i="142"/>
  <c r="V109" i="142" s="1"/>
  <c r="U57" i="138"/>
  <c r="C122" i="137"/>
  <c r="C75" i="137"/>
  <c r="N66" i="138"/>
  <c r="AA97" i="138" s="1"/>
  <c r="N68" i="138"/>
  <c r="AA99" i="138" s="1"/>
  <c r="U53" i="138"/>
  <c r="C62" i="137"/>
  <c r="N78" i="138"/>
  <c r="AG109" i="138" s="1"/>
  <c r="H66" i="142"/>
  <c r="V97" i="142" s="1"/>
  <c r="H122" i="142"/>
  <c r="C65" i="137"/>
  <c r="N71" i="138"/>
  <c r="AA102" i="138" s="1"/>
  <c r="AG103" i="138"/>
  <c r="AP103" i="138" s="1"/>
  <c r="H68" i="142"/>
  <c r="P99" i="142" s="1"/>
  <c r="H70" i="142"/>
  <c r="P101" i="142" s="1"/>
  <c r="U67" i="138"/>
  <c r="C76" i="137"/>
  <c r="N77" i="138"/>
  <c r="AA108" i="138" s="1"/>
  <c r="N67" i="138"/>
  <c r="AA98" i="138" s="1"/>
  <c r="H79" i="142"/>
  <c r="P110" i="142" s="1"/>
  <c r="N62" i="138"/>
  <c r="AA93" i="138" s="1"/>
  <c r="N69" i="138"/>
  <c r="AA100" i="138" s="1"/>
  <c r="H73" i="142"/>
  <c r="V104" i="142" s="1"/>
  <c r="H67" i="142"/>
  <c r="P98" i="142" s="1"/>
  <c r="C71" i="137"/>
  <c r="N64" i="138"/>
  <c r="AA95" i="138" s="1"/>
  <c r="N60" i="138"/>
  <c r="AG91" i="138" s="1"/>
  <c r="H75" i="142"/>
  <c r="V106" i="142" s="1"/>
  <c r="C70" i="137"/>
  <c r="C60" i="137"/>
  <c r="C67" i="137"/>
  <c r="N74" i="138"/>
  <c r="AA105" i="138" s="1"/>
  <c r="N76" i="138"/>
  <c r="AA107" i="138" s="1"/>
  <c r="H32" i="142"/>
  <c r="H41" i="142" s="1"/>
  <c r="H62" i="142"/>
  <c r="V93" i="142" s="1"/>
  <c r="C61" i="137"/>
  <c r="N63" i="138"/>
  <c r="AA94" i="138" s="1"/>
  <c r="N70" i="138"/>
  <c r="AA101" i="138" s="1"/>
  <c r="H72" i="142"/>
  <c r="P103" i="142" s="1"/>
  <c r="H74" i="142"/>
  <c r="V105" i="142" s="1"/>
  <c r="C63" i="137"/>
  <c r="N65" i="138"/>
  <c r="AG96" i="138" s="1"/>
  <c r="N75" i="138"/>
  <c r="AA106" i="138" s="1"/>
  <c r="V71" i="137"/>
  <c r="P96" i="142"/>
  <c r="AM96" i="142" s="1"/>
  <c r="C66" i="137"/>
  <c r="C72" i="137"/>
  <c r="N32" i="138"/>
  <c r="N49" i="138" s="1"/>
  <c r="N122" i="138"/>
  <c r="H63" i="142"/>
  <c r="P94" i="142" s="1"/>
  <c r="H64" i="142"/>
  <c r="P95" i="142" s="1"/>
  <c r="H77" i="142"/>
  <c r="U50" i="138"/>
  <c r="K77" i="138"/>
  <c r="V62" i="137"/>
  <c r="V76" i="137"/>
  <c r="V68" i="137"/>
  <c r="V65" i="140"/>
  <c r="V43" i="137"/>
  <c r="V58" i="137"/>
  <c r="V66" i="137"/>
  <c r="V49" i="137"/>
  <c r="V79" i="137"/>
  <c r="C66" i="142"/>
  <c r="K70" i="138"/>
  <c r="V50" i="137"/>
  <c r="V70" i="137"/>
  <c r="V57" i="137"/>
  <c r="V42" i="137"/>
  <c r="V73" i="140"/>
  <c r="V78" i="137"/>
  <c r="V63" i="137"/>
  <c r="V67" i="137"/>
  <c r="C61" i="142"/>
  <c r="V53" i="137"/>
  <c r="V60" i="137"/>
  <c r="N62" i="137"/>
  <c r="AA93" i="137" s="1"/>
  <c r="V65" i="137"/>
  <c r="V64" i="137"/>
  <c r="C63" i="142"/>
  <c r="C62" i="142"/>
  <c r="V73" i="137"/>
  <c r="V44" i="137"/>
  <c r="V40" i="137"/>
  <c r="V56" i="137"/>
  <c r="V56" i="140"/>
  <c r="C71" i="142"/>
  <c r="K122" i="138"/>
  <c r="V69" i="137"/>
  <c r="V55" i="137"/>
  <c r="V54" i="137"/>
  <c r="V49" i="140"/>
  <c r="C70" i="142"/>
  <c r="C74" i="142"/>
  <c r="V41" i="137"/>
  <c r="V45" i="137"/>
  <c r="V77" i="137"/>
  <c r="V72" i="137"/>
  <c r="V59" i="137"/>
  <c r="V47" i="137"/>
  <c r="V48" i="137"/>
  <c r="V75" i="137"/>
  <c r="C72" i="142"/>
  <c r="V61" i="137"/>
  <c r="V74" i="137"/>
  <c r="V46" i="137"/>
  <c r="V51" i="137"/>
  <c r="C32" i="142"/>
  <c r="C53" i="142" s="1"/>
  <c r="E63" i="137"/>
  <c r="G74" i="137"/>
  <c r="O105" i="137" s="1"/>
  <c r="J67" i="139"/>
  <c r="G60" i="137"/>
  <c r="U91" i="137" s="1"/>
  <c r="G66" i="139"/>
  <c r="U97" i="139" s="1"/>
  <c r="G75" i="139"/>
  <c r="O106" i="139" s="1"/>
  <c r="G74" i="139"/>
  <c r="O105" i="139" s="1"/>
  <c r="G71" i="139"/>
  <c r="U102" i="139" s="1"/>
  <c r="O79" i="141"/>
  <c r="AH110" i="141" s="1"/>
  <c r="G32" i="137"/>
  <c r="G52" i="137" s="1"/>
  <c r="J69" i="139"/>
  <c r="G32" i="139"/>
  <c r="G50" i="139" s="1"/>
  <c r="J122" i="138"/>
  <c r="G65" i="139"/>
  <c r="U96" i="139" s="1"/>
  <c r="S50" i="138"/>
  <c r="G71" i="137"/>
  <c r="O102" i="137" s="1"/>
  <c r="J61" i="139"/>
  <c r="J72" i="139"/>
  <c r="J66" i="138"/>
  <c r="G77" i="139"/>
  <c r="U108" i="139" s="1"/>
  <c r="J70" i="138"/>
  <c r="S60" i="138"/>
  <c r="S79" i="138"/>
  <c r="R55" i="139"/>
  <c r="H61" i="137"/>
  <c r="P92" i="137" s="1"/>
  <c r="G76" i="137"/>
  <c r="O107" i="137" s="1"/>
  <c r="J76" i="139"/>
  <c r="J65" i="139"/>
  <c r="J78" i="138"/>
  <c r="J68" i="138"/>
  <c r="J67" i="138"/>
  <c r="C77" i="137"/>
  <c r="O96" i="137"/>
  <c r="AL96" i="137" s="1"/>
  <c r="S75" i="138"/>
  <c r="G68" i="137"/>
  <c r="O99" i="137" s="1"/>
  <c r="J64" i="139"/>
  <c r="J78" i="139"/>
  <c r="J65" i="138"/>
  <c r="G73" i="139"/>
  <c r="U104" i="139" s="1"/>
  <c r="J71" i="138"/>
  <c r="G76" i="139"/>
  <c r="O107" i="139" s="1"/>
  <c r="C74" i="137"/>
  <c r="R54" i="138"/>
  <c r="G72" i="137"/>
  <c r="U103" i="137" s="1"/>
  <c r="G69" i="137"/>
  <c r="U100" i="137" s="1"/>
  <c r="G75" i="137"/>
  <c r="O106" i="137" s="1"/>
  <c r="J63" i="139"/>
  <c r="J71" i="139"/>
  <c r="G64" i="137"/>
  <c r="U95" i="137" s="1"/>
  <c r="G79" i="139"/>
  <c r="O110" i="139" s="1"/>
  <c r="G78" i="139"/>
  <c r="U109" i="139" s="1"/>
  <c r="J32" i="138"/>
  <c r="J47" i="138" s="1"/>
  <c r="C69" i="137"/>
  <c r="R47" i="138"/>
  <c r="S42" i="138"/>
  <c r="H64" i="137"/>
  <c r="V95" i="137" s="1"/>
  <c r="G61" i="137"/>
  <c r="U92" i="137" s="1"/>
  <c r="J32" i="139"/>
  <c r="J119" i="139" s="1"/>
  <c r="J123" i="139" s="1"/>
  <c r="J73" i="139"/>
  <c r="G122" i="137"/>
  <c r="G61" i="139"/>
  <c r="O92" i="139" s="1"/>
  <c r="J62" i="138"/>
  <c r="O103" i="139"/>
  <c r="AL103" i="139" s="1"/>
  <c r="G70" i="139"/>
  <c r="O101" i="139" s="1"/>
  <c r="G68" i="139"/>
  <c r="U99" i="139" s="1"/>
  <c r="C68" i="137"/>
  <c r="C67" i="142"/>
  <c r="O65" i="142"/>
  <c r="S70" i="138"/>
  <c r="O32" i="138"/>
  <c r="O59" i="138" s="1"/>
  <c r="G62" i="137"/>
  <c r="U93" i="137" s="1"/>
  <c r="J68" i="139"/>
  <c r="G66" i="137"/>
  <c r="U97" i="137" s="1"/>
  <c r="J76" i="138"/>
  <c r="G64" i="139"/>
  <c r="O95" i="139" s="1"/>
  <c r="G63" i="139"/>
  <c r="U94" i="139" s="1"/>
  <c r="R53" i="138"/>
  <c r="R43" i="138"/>
  <c r="H71" i="137"/>
  <c r="P102" i="137" s="1"/>
  <c r="G67" i="137"/>
  <c r="O98" i="137" s="1"/>
  <c r="J77" i="139"/>
  <c r="G73" i="137"/>
  <c r="U104" i="137" s="1"/>
  <c r="J73" i="138"/>
  <c r="J75" i="138"/>
  <c r="J77" i="138"/>
  <c r="J61" i="138"/>
  <c r="G63" i="137"/>
  <c r="U94" i="137" s="1"/>
  <c r="J62" i="139"/>
  <c r="G70" i="137"/>
  <c r="O101" i="137" s="1"/>
  <c r="J72" i="138"/>
  <c r="J69" i="138"/>
  <c r="J79" i="138"/>
  <c r="J70" i="139"/>
  <c r="J60" i="139"/>
  <c r="G77" i="137"/>
  <c r="U108" i="137" s="1"/>
  <c r="G122" i="139"/>
  <c r="J63" i="138"/>
  <c r="G67" i="139"/>
  <c r="U98" i="139" s="1"/>
  <c r="J74" i="138"/>
  <c r="E67" i="142"/>
  <c r="R77" i="141"/>
  <c r="R44" i="141"/>
  <c r="R74" i="141"/>
  <c r="H73" i="138"/>
  <c r="V104" i="138" s="1"/>
  <c r="R69" i="141"/>
  <c r="R72" i="141"/>
  <c r="N67" i="141"/>
  <c r="AG98" i="141" s="1"/>
  <c r="R59" i="141"/>
  <c r="R66" i="141"/>
  <c r="R62" i="141"/>
  <c r="E32" i="142"/>
  <c r="E55" i="142" s="1"/>
  <c r="M106" i="142" s="1"/>
  <c r="R48" i="141"/>
  <c r="R75" i="141"/>
  <c r="R67" i="141"/>
  <c r="E64" i="142"/>
  <c r="H79" i="138"/>
  <c r="P110" i="138" s="1"/>
  <c r="R76" i="141"/>
  <c r="R71" i="141"/>
  <c r="R43" i="141"/>
  <c r="R49" i="141"/>
  <c r="R79" i="141"/>
  <c r="R70" i="141"/>
  <c r="R64" i="141"/>
  <c r="R60" i="141"/>
  <c r="R51" i="141"/>
  <c r="R78" i="141"/>
  <c r="R55" i="141"/>
  <c r="R57" i="141"/>
  <c r="R65" i="141"/>
  <c r="G69" i="138"/>
  <c r="O100" i="138" s="1"/>
  <c r="R41" i="141"/>
  <c r="R53" i="141"/>
  <c r="R58" i="141"/>
  <c r="R54" i="141"/>
  <c r="R40" i="141"/>
  <c r="H74" i="138"/>
  <c r="V105" i="138" s="1"/>
  <c r="H67" i="138"/>
  <c r="P98" i="138" s="1"/>
  <c r="R73" i="141"/>
  <c r="R61" i="141"/>
  <c r="R68" i="141"/>
  <c r="R47" i="141"/>
  <c r="H32" i="138"/>
  <c r="H42" i="138" s="1"/>
  <c r="H77" i="138"/>
  <c r="V108" i="138" s="1"/>
  <c r="R56" i="141"/>
  <c r="R42" i="141"/>
  <c r="R63" i="141"/>
  <c r="R45" i="141"/>
  <c r="R72" i="137"/>
  <c r="S76" i="138"/>
  <c r="E73" i="142"/>
  <c r="N68" i="142"/>
  <c r="AA99" i="142" s="1"/>
  <c r="S62" i="138"/>
  <c r="N69" i="142"/>
  <c r="AA100" i="142" s="1"/>
  <c r="N61" i="142"/>
  <c r="AA92" i="142" s="1"/>
  <c r="N32" i="142"/>
  <c r="N45" i="142" s="1"/>
  <c r="N75" i="142"/>
  <c r="AG106" i="142" s="1"/>
  <c r="H71" i="138"/>
  <c r="V102" i="138" s="1"/>
  <c r="R69" i="137"/>
  <c r="J60" i="140"/>
  <c r="J32" i="140"/>
  <c r="J53" i="140" s="1"/>
  <c r="G63" i="141"/>
  <c r="O94" i="141" s="1"/>
  <c r="G69" i="142"/>
  <c r="U100" i="142" s="1"/>
  <c r="G62" i="142"/>
  <c r="O93" i="142" s="1"/>
  <c r="G32" i="140"/>
  <c r="G52" i="140" s="1"/>
  <c r="G68" i="140"/>
  <c r="O99" i="140" s="1"/>
  <c r="J122" i="140"/>
  <c r="E70" i="142"/>
  <c r="Q49" i="139"/>
  <c r="S67" i="138"/>
  <c r="S41" i="138"/>
  <c r="N60" i="142"/>
  <c r="AA91" i="142" s="1"/>
  <c r="N70" i="142"/>
  <c r="AA101" i="142" s="1"/>
  <c r="N76" i="142"/>
  <c r="AG107" i="142" s="1"/>
  <c r="H70" i="138"/>
  <c r="P101" i="138" s="1"/>
  <c r="H60" i="138"/>
  <c r="P91" i="138" s="1"/>
  <c r="J65" i="140"/>
  <c r="G66" i="142"/>
  <c r="U97" i="142" s="1"/>
  <c r="G122" i="140"/>
  <c r="G67" i="140"/>
  <c r="U98" i="140" s="1"/>
  <c r="H76" i="142"/>
  <c r="P107" i="142" s="1"/>
  <c r="C32" i="139"/>
  <c r="C51" i="139" s="1"/>
  <c r="C61" i="139"/>
  <c r="R75" i="137"/>
  <c r="S72" i="138"/>
  <c r="S66" i="138"/>
  <c r="S69" i="138"/>
  <c r="S40" i="138"/>
  <c r="N77" i="142"/>
  <c r="AG108" i="142" s="1"/>
  <c r="E71" i="142"/>
  <c r="N62" i="142"/>
  <c r="AG93" i="142" s="1"/>
  <c r="E68" i="142"/>
  <c r="N71" i="142"/>
  <c r="AA102" i="142" s="1"/>
  <c r="H61" i="138"/>
  <c r="P92" i="138" s="1"/>
  <c r="H65" i="138"/>
  <c r="P96" i="138" s="1"/>
  <c r="H78" i="138"/>
  <c r="P109" i="138" s="1"/>
  <c r="J75" i="140"/>
  <c r="G64" i="142"/>
  <c r="O95" i="142" s="1"/>
  <c r="G63" i="142"/>
  <c r="O94" i="142" s="1"/>
  <c r="G65" i="142"/>
  <c r="O96" i="142" s="1"/>
  <c r="G72" i="140"/>
  <c r="U103" i="140" s="1"/>
  <c r="S47" i="138"/>
  <c r="S71" i="138"/>
  <c r="S53" i="138"/>
  <c r="S45" i="138"/>
  <c r="E74" i="142"/>
  <c r="N73" i="142"/>
  <c r="AA104" i="142" s="1"/>
  <c r="E77" i="142"/>
  <c r="H66" i="138"/>
  <c r="V97" i="138" s="1"/>
  <c r="G72" i="142"/>
  <c r="U103" i="142" s="1"/>
  <c r="G74" i="140"/>
  <c r="O105" i="140" s="1"/>
  <c r="S65" i="138"/>
  <c r="S51" i="138"/>
  <c r="S63" i="138"/>
  <c r="S56" i="138"/>
  <c r="E65" i="142"/>
  <c r="R48" i="137"/>
  <c r="N64" i="142"/>
  <c r="AG95" i="142" s="1"/>
  <c r="J122" i="142"/>
  <c r="N66" i="142"/>
  <c r="AA97" i="142" s="1"/>
  <c r="V103" i="138"/>
  <c r="AM103" i="138" s="1"/>
  <c r="H76" i="138"/>
  <c r="P107" i="138" s="1"/>
  <c r="J79" i="140"/>
  <c r="G68" i="142"/>
  <c r="U99" i="142" s="1"/>
  <c r="G76" i="142"/>
  <c r="O107" i="142" s="1"/>
  <c r="G74" i="142"/>
  <c r="U105" i="142" s="1"/>
  <c r="C69" i="139"/>
  <c r="J77" i="140"/>
  <c r="N70" i="139"/>
  <c r="AA101" i="139" s="1"/>
  <c r="S58" i="138"/>
  <c r="S48" i="138"/>
  <c r="R57" i="137"/>
  <c r="S55" i="138"/>
  <c r="E76" i="142"/>
  <c r="E63" i="142"/>
  <c r="N74" i="142"/>
  <c r="AG105" i="142" s="1"/>
  <c r="N78" i="142"/>
  <c r="AA109" i="142" s="1"/>
  <c r="J78" i="140"/>
  <c r="J66" i="140"/>
  <c r="J73" i="140"/>
  <c r="J67" i="140"/>
  <c r="G74" i="141"/>
  <c r="O105" i="141" s="1"/>
  <c r="G67" i="142"/>
  <c r="U98" i="142" s="1"/>
  <c r="G65" i="141"/>
  <c r="U96" i="141" s="1"/>
  <c r="G71" i="142"/>
  <c r="O102" i="142" s="1"/>
  <c r="G63" i="140"/>
  <c r="U94" i="140" s="1"/>
  <c r="J71" i="140"/>
  <c r="C67" i="139"/>
  <c r="C71" i="139"/>
  <c r="H71" i="142"/>
  <c r="P102" i="142" s="1"/>
  <c r="S78" i="138"/>
  <c r="S49" i="138"/>
  <c r="S46" i="138"/>
  <c r="AA103" i="142"/>
  <c r="AP103" i="142" s="1"/>
  <c r="N122" i="142"/>
  <c r="E75" i="142"/>
  <c r="H68" i="138"/>
  <c r="V99" i="138" s="1"/>
  <c r="J69" i="140"/>
  <c r="O91" i="142"/>
  <c r="AL91" i="142" s="1"/>
  <c r="AV91" i="142" s="1"/>
  <c r="G78" i="142"/>
  <c r="O109" i="142" s="1"/>
  <c r="U107" i="140"/>
  <c r="AL107" i="140" s="1"/>
  <c r="G75" i="140"/>
  <c r="O106" i="140" s="1"/>
  <c r="G61" i="140"/>
  <c r="U92" i="140" s="1"/>
  <c r="Q54" i="139"/>
  <c r="Q53" i="140"/>
  <c r="S74" i="138"/>
  <c r="S77" i="138"/>
  <c r="S44" i="138"/>
  <c r="N79" i="142"/>
  <c r="AA110" i="142" s="1"/>
  <c r="E122" i="142"/>
  <c r="E61" i="142"/>
  <c r="N63" i="142"/>
  <c r="AA94" i="142" s="1"/>
  <c r="H122" i="138"/>
  <c r="H64" i="138"/>
  <c r="P95" i="138" s="1"/>
  <c r="J74" i="140"/>
  <c r="G75" i="142"/>
  <c r="O106" i="142" s="1"/>
  <c r="G32" i="142"/>
  <c r="G46" i="142" s="1"/>
  <c r="G73" i="140"/>
  <c r="U104" i="140" s="1"/>
  <c r="G65" i="140"/>
  <c r="U96" i="140" s="1"/>
  <c r="G69" i="140"/>
  <c r="O100" i="140" s="1"/>
  <c r="S64" i="138"/>
  <c r="S68" i="138"/>
  <c r="R66" i="137"/>
  <c r="S59" i="138"/>
  <c r="S43" i="138"/>
  <c r="S73" i="138"/>
  <c r="H75" i="138"/>
  <c r="P106" i="138" s="1"/>
  <c r="H63" i="138"/>
  <c r="P94" i="138" s="1"/>
  <c r="H69" i="138"/>
  <c r="V100" i="138" s="1"/>
  <c r="J64" i="140"/>
  <c r="G72" i="141"/>
  <c r="O103" i="141" s="1"/>
  <c r="G77" i="142"/>
  <c r="O108" i="142" s="1"/>
  <c r="G70" i="140"/>
  <c r="O101" i="140" s="1"/>
  <c r="G71" i="140"/>
  <c r="O102" i="140" s="1"/>
  <c r="G79" i="140"/>
  <c r="O110" i="140" s="1"/>
  <c r="J72" i="140"/>
  <c r="E69" i="142"/>
  <c r="S52" i="138"/>
  <c r="S57" i="138"/>
  <c r="S54" i="138"/>
  <c r="S61" i="138"/>
  <c r="E72" i="142"/>
  <c r="N65" i="142"/>
  <c r="AG96" i="142" s="1"/>
  <c r="H62" i="138"/>
  <c r="V93" i="138" s="1"/>
  <c r="G64" i="140"/>
  <c r="O95" i="140" s="1"/>
  <c r="E79" i="142"/>
  <c r="S41" i="141"/>
  <c r="J63" i="142"/>
  <c r="S60" i="142"/>
  <c r="S69" i="142"/>
  <c r="S79" i="142"/>
  <c r="S77" i="142"/>
  <c r="D62" i="139"/>
  <c r="D69" i="139"/>
  <c r="K61" i="140"/>
  <c r="Q46" i="137"/>
  <c r="Q42" i="137"/>
  <c r="O72" i="138"/>
  <c r="AB103" i="138" s="1"/>
  <c r="S74" i="142"/>
  <c r="G76" i="141"/>
  <c r="O107" i="141" s="1"/>
  <c r="O61" i="138"/>
  <c r="AB92" i="138" s="1"/>
  <c r="Q55" i="137"/>
  <c r="S56" i="141"/>
  <c r="S74" i="141"/>
  <c r="S71" i="141"/>
  <c r="S54" i="141"/>
  <c r="N73" i="137"/>
  <c r="AA104" i="137" s="1"/>
  <c r="K70" i="141"/>
  <c r="D79" i="139"/>
  <c r="O73" i="138"/>
  <c r="AB104" i="138" s="1"/>
  <c r="S66" i="141"/>
  <c r="N64" i="137"/>
  <c r="AA95" i="137" s="1"/>
  <c r="N60" i="137"/>
  <c r="AG91" i="137" s="1"/>
  <c r="J61" i="142"/>
  <c r="S65" i="142"/>
  <c r="S67" i="142"/>
  <c r="S41" i="142"/>
  <c r="G69" i="141"/>
  <c r="U100" i="141" s="1"/>
  <c r="G32" i="141"/>
  <c r="G59" i="141" s="1"/>
  <c r="G68" i="141"/>
  <c r="O99" i="141" s="1"/>
  <c r="Q44" i="137"/>
  <c r="Q53" i="137"/>
  <c r="S47" i="141"/>
  <c r="S72" i="141"/>
  <c r="S65" i="141"/>
  <c r="N61" i="137"/>
  <c r="AG92" i="137" s="1"/>
  <c r="N67" i="139"/>
  <c r="AA98" i="139" s="1"/>
  <c r="N74" i="139"/>
  <c r="N73" i="139"/>
  <c r="H65" i="140"/>
  <c r="K71" i="137"/>
  <c r="S53" i="141"/>
  <c r="J65" i="142"/>
  <c r="D73" i="139"/>
  <c r="S55" i="142"/>
  <c r="S42" i="142"/>
  <c r="D64" i="139"/>
  <c r="S75" i="142"/>
  <c r="D75" i="139"/>
  <c r="S73" i="142"/>
  <c r="Q69" i="137"/>
  <c r="Q66" i="137"/>
  <c r="O67" i="138"/>
  <c r="AH98" i="138" s="1"/>
  <c r="G71" i="141"/>
  <c r="U102" i="141" s="1"/>
  <c r="G61" i="141"/>
  <c r="O92" i="141" s="1"/>
  <c r="Q57" i="137"/>
  <c r="Q64" i="137"/>
  <c r="Q45" i="137"/>
  <c r="S50" i="141"/>
  <c r="S64" i="141"/>
  <c r="S60" i="141"/>
  <c r="S44" i="141"/>
  <c r="N71" i="137"/>
  <c r="AG102" i="137" s="1"/>
  <c r="S52" i="141"/>
  <c r="S79" i="141"/>
  <c r="L78" i="142"/>
  <c r="J76" i="142"/>
  <c r="K60" i="140"/>
  <c r="S53" i="142"/>
  <c r="K73" i="140"/>
  <c r="D70" i="139"/>
  <c r="D78" i="139"/>
  <c r="S45" i="142"/>
  <c r="O64" i="138"/>
  <c r="AH95" i="138" s="1"/>
  <c r="Q75" i="137"/>
  <c r="O65" i="138"/>
  <c r="AB96" i="138" s="1"/>
  <c r="O77" i="138"/>
  <c r="AB108" i="138" s="1"/>
  <c r="S50" i="142"/>
  <c r="S63" i="142"/>
  <c r="Q56" i="137"/>
  <c r="S43" i="141"/>
  <c r="S57" i="141"/>
  <c r="N32" i="137"/>
  <c r="N46" i="137" s="1"/>
  <c r="S62" i="141"/>
  <c r="D32" i="139"/>
  <c r="D43" i="139" s="1"/>
  <c r="R94" i="139" s="1"/>
  <c r="D63" i="139"/>
  <c r="S46" i="142"/>
  <c r="D61" i="139"/>
  <c r="D122" i="139"/>
  <c r="K122" i="140"/>
  <c r="S58" i="142"/>
  <c r="O122" i="138"/>
  <c r="Q43" i="137"/>
  <c r="U101" i="141"/>
  <c r="AL101" i="141" s="1"/>
  <c r="G79" i="141"/>
  <c r="O110" i="141" s="1"/>
  <c r="G122" i="141"/>
  <c r="G67" i="141"/>
  <c r="O98" i="141" s="1"/>
  <c r="Q76" i="137"/>
  <c r="S51" i="141"/>
  <c r="N65" i="137"/>
  <c r="AG96" i="137" s="1"/>
  <c r="N63" i="137"/>
  <c r="S42" i="141"/>
  <c r="N64" i="139"/>
  <c r="O66" i="138"/>
  <c r="AH97" i="138" s="1"/>
  <c r="O70" i="138"/>
  <c r="AB101" i="138" s="1"/>
  <c r="J79" i="142"/>
  <c r="J32" i="142"/>
  <c r="J51" i="142" s="1"/>
  <c r="S57" i="142"/>
  <c r="S59" i="142"/>
  <c r="D66" i="139"/>
  <c r="K71" i="140"/>
  <c r="S44" i="142"/>
  <c r="O75" i="138"/>
  <c r="AH106" i="138" s="1"/>
  <c r="O71" i="138"/>
  <c r="AB102" i="138" s="1"/>
  <c r="G73" i="141"/>
  <c r="O104" i="141" s="1"/>
  <c r="G60" i="141"/>
  <c r="O91" i="141" s="1"/>
  <c r="Q70" i="137"/>
  <c r="Q65" i="137"/>
  <c r="Q73" i="137"/>
  <c r="S48" i="141"/>
  <c r="S75" i="141"/>
  <c r="J62" i="141"/>
  <c r="N74" i="137"/>
  <c r="N76" i="139"/>
  <c r="S67" i="141"/>
  <c r="S48" i="142"/>
  <c r="J77" i="142"/>
  <c r="D72" i="139"/>
  <c r="O76" i="138"/>
  <c r="AB107" i="138" s="1"/>
  <c r="S76" i="142"/>
  <c r="S54" i="142"/>
  <c r="G66" i="141"/>
  <c r="U97" i="141" s="1"/>
  <c r="R60" i="137"/>
  <c r="Q50" i="137"/>
  <c r="J79" i="141"/>
  <c r="S55" i="141"/>
  <c r="S59" i="141"/>
  <c r="N78" i="137"/>
  <c r="AA109" i="137" s="1"/>
  <c r="N70" i="137"/>
  <c r="N62" i="139"/>
  <c r="J70" i="142"/>
  <c r="J67" i="142"/>
  <c r="K76" i="140"/>
  <c r="S78" i="142"/>
  <c r="S68" i="142"/>
  <c r="K78" i="140"/>
  <c r="O79" i="138"/>
  <c r="AH110" i="138" s="1"/>
  <c r="Q48" i="137"/>
  <c r="G64" i="141"/>
  <c r="O95" i="141" s="1"/>
  <c r="G78" i="141"/>
  <c r="U109" i="141" s="1"/>
  <c r="Q51" i="137"/>
  <c r="Q71" i="137"/>
  <c r="Q47" i="137"/>
  <c r="S49" i="141"/>
  <c r="S76" i="141"/>
  <c r="S40" i="141"/>
  <c r="N79" i="137"/>
  <c r="AA110" i="137" s="1"/>
  <c r="N75" i="139"/>
  <c r="AG106" i="139" s="1"/>
  <c r="N63" i="139"/>
  <c r="H73" i="140"/>
  <c r="J74" i="142"/>
  <c r="K32" i="140"/>
  <c r="K119" i="140" s="1"/>
  <c r="K64" i="140"/>
  <c r="D74" i="139"/>
  <c r="S61" i="142"/>
  <c r="S64" i="142"/>
  <c r="AH100" i="138"/>
  <c r="AQ100" i="138" s="1"/>
  <c r="O78" i="138"/>
  <c r="AB109" i="138" s="1"/>
  <c r="J71" i="142"/>
  <c r="J72" i="142"/>
  <c r="K65" i="140"/>
  <c r="D77" i="139"/>
  <c r="S71" i="142"/>
  <c r="S70" i="142"/>
  <c r="S72" i="142"/>
  <c r="S51" i="142"/>
  <c r="Q62" i="137"/>
  <c r="O62" i="138"/>
  <c r="AB93" i="138" s="1"/>
  <c r="O68" i="138"/>
  <c r="AB99" i="138" s="1"/>
  <c r="G62" i="141"/>
  <c r="O93" i="141" s="1"/>
  <c r="G77" i="141"/>
  <c r="O108" i="141" s="1"/>
  <c r="G75" i="141"/>
  <c r="U106" i="141" s="1"/>
  <c r="Q77" i="137"/>
  <c r="Q78" i="137"/>
  <c r="S58" i="141"/>
  <c r="S63" i="141"/>
  <c r="S45" i="141"/>
  <c r="N75" i="137"/>
  <c r="AG106" i="137" s="1"/>
  <c r="H62" i="140"/>
  <c r="K63" i="137"/>
  <c r="S47" i="142"/>
  <c r="O74" i="138"/>
  <c r="AH105" i="138" s="1"/>
  <c r="O60" i="138"/>
  <c r="AB91" i="138" s="1"/>
  <c r="Q52" i="137"/>
  <c r="J69" i="142"/>
  <c r="J66" i="142"/>
  <c r="D71" i="139"/>
  <c r="S62" i="142"/>
  <c r="D67" i="139"/>
  <c r="S52" i="142"/>
  <c r="S66" i="142"/>
  <c r="D60" i="139"/>
  <c r="S49" i="142"/>
  <c r="K74" i="140"/>
  <c r="Q68" i="137"/>
  <c r="O63" i="138"/>
  <c r="AB94" i="138" s="1"/>
  <c r="Q59" i="137"/>
  <c r="S78" i="141"/>
  <c r="S73" i="141"/>
  <c r="S69" i="141"/>
  <c r="S68" i="141"/>
  <c r="N77" i="137"/>
  <c r="AG108" i="137" s="1"/>
  <c r="K72" i="140"/>
  <c r="N71" i="139"/>
  <c r="N66" i="139"/>
  <c r="AA97" i="139" s="1"/>
  <c r="H74" i="140"/>
  <c r="E79" i="138"/>
  <c r="E73" i="138"/>
  <c r="J61" i="141"/>
  <c r="J62" i="142"/>
  <c r="E74" i="138"/>
  <c r="N65" i="139"/>
  <c r="E63" i="138"/>
  <c r="O78" i="140"/>
  <c r="AB109" i="140" s="1"/>
  <c r="O68" i="140"/>
  <c r="AB99" i="140" s="1"/>
  <c r="J122" i="141"/>
  <c r="J75" i="141"/>
  <c r="E66" i="138"/>
  <c r="E65" i="138"/>
  <c r="J76" i="141"/>
  <c r="J75" i="142"/>
  <c r="E75" i="138"/>
  <c r="N72" i="139"/>
  <c r="AA103" i="139" s="1"/>
  <c r="J70" i="141"/>
  <c r="J60" i="141"/>
  <c r="L60" i="141"/>
  <c r="J64" i="142"/>
  <c r="L72" i="141"/>
  <c r="J65" i="141"/>
  <c r="J77" i="141"/>
  <c r="E62" i="138"/>
  <c r="J68" i="141"/>
  <c r="J67" i="141"/>
  <c r="E61" i="138"/>
  <c r="J78" i="141"/>
  <c r="J63" i="141"/>
  <c r="D65" i="139"/>
  <c r="E78" i="138"/>
  <c r="O60" i="141"/>
  <c r="N61" i="139"/>
  <c r="N68" i="139"/>
  <c r="N60" i="141"/>
  <c r="AG91" i="141" s="1"/>
  <c r="J71" i="141"/>
  <c r="J69" i="141"/>
  <c r="D76" i="139"/>
  <c r="N78" i="139"/>
  <c r="J73" i="141"/>
  <c r="J32" i="141"/>
  <c r="J42" i="141" s="1"/>
  <c r="J72" i="141"/>
  <c r="J73" i="142"/>
  <c r="E76" i="138"/>
  <c r="E69" i="138"/>
  <c r="E64" i="138"/>
  <c r="K78" i="142"/>
  <c r="U58" i="139"/>
  <c r="E76" i="137"/>
  <c r="E71" i="137"/>
  <c r="H70" i="137"/>
  <c r="P101" i="137" s="1"/>
  <c r="H78" i="137"/>
  <c r="V109" i="137" s="1"/>
  <c r="U66" i="137"/>
  <c r="U73" i="139"/>
  <c r="S73" i="139"/>
  <c r="S77" i="139"/>
  <c r="S49" i="139"/>
  <c r="Q72" i="139"/>
  <c r="U74" i="139"/>
  <c r="U57" i="139"/>
  <c r="U45" i="139"/>
  <c r="U78" i="139"/>
  <c r="U46" i="139"/>
  <c r="H62" i="137"/>
  <c r="P93" i="137" s="1"/>
  <c r="S58" i="139"/>
  <c r="S53" i="139"/>
  <c r="E67" i="137"/>
  <c r="E77" i="139"/>
  <c r="S70" i="139"/>
  <c r="E72" i="139"/>
  <c r="U67" i="139"/>
  <c r="U64" i="139"/>
  <c r="U52" i="139"/>
  <c r="E32" i="137"/>
  <c r="E119" i="137" s="1"/>
  <c r="E65" i="137"/>
  <c r="U51" i="139"/>
  <c r="H32" i="137"/>
  <c r="H44" i="137" s="1"/>
  <c r="H69" i="137"/>
  <c r="P100" i="137" s="1"/>
  <c r="E74" i="139"/>
  <c r="E60" i="139"/>
  <c r="U41" i="137"/>
  <c r="U69" i="137"/>
  <c r="S40" i="139"/>
  <c r="S64" i="139"/>
  <c r="S46" i="139"/>
  <c r="E68" i="139"/>
  <c r="S68" i="139"/>
  <c r="Q56" i="139"/>
  <c r="E32" i="139"/>
  <c r="E41" i="139" s="1"/>
  <c r="U54" i="139"/>
  <c r="U65" i="139"/>
  <c r="U68" i="139"/>
  <c r="U61" i="139"/>
  <c r="E72" i="137"/>
  <c r="H74" i="137"/>
  <c r="P105" i="137" s="1"/>
  <c r="H73" i="137"/>
  <c r="V104" i="137" s="1"/>
  <c r="H76" i="137"/>
  <c r="P107" i="137" s="1"/>
  <c r="E67" i="139"/>
  <c r="U56" i="137"/>
  <c r="S50" i="139"/>
  <c r="S63" i="139"/>
  <c r="S60" i="139"/>
  <c r="S51" i="139"/>
  <c r="S74" i="139"/>
  <c r="E76" i="139"/>
  <c r="E65" i="139"/>
  <c r="U63" i="139"/>
  <c r="E60" i="137"/>
  <c r="H66" i="137"/>
  <c r="V97" i="137" s="1"/>
  <c r="H68" i="137"/>
  <c r="V99" i="137" s="1"/>
  <c r="E75" i="139"/>
  <c r="U60" i="139"/>
  <c r="U43" i="139"/>
  <c r="S79" i="139"/>
  <c r="S55" i="139"/>
  <c r="S45" i="139"/>
  <c r="H65" i="137"/>
  <c r="V96" i="137" s="1"/>
  <c r="S54" i="139"/>
  <c r="U42" i="139"/>
  <c r="E64" i="137"/>
  <c r="U70" i="139"/>
  <c r="E69" i="137"/>
  <c r="U49" i="139"/>
  <c r="U71" i="139"/>
  <c r="U77" i="139"/>
  <c r="E79" i="137"/>
  <c r="V98" i="137"/>
  <c r="AM98" i="137" s="1"/>
  <c r="H79" i="137"/>
  <c r="P110" i="137" s="1"/>
  <c r="E61" i="139"/>
  <c r="E69" i="139"/>
  <c r="E79" i="139"/>
  <c r="U71" i="137"/>
  <c r="U48" i="139"/>
  <c r="U55" i="139"/>
  <c r="S43" i="139"/>
  <c r="S66" i="139"/>
  <c r="H122" i="137"/>
  <c r="S76" i="139"/>
  <c r="Q55" i="139"/>
  <c r="E74" i="137"/>
  <c r="U69" i="139"/>
  <c r="U59" i="139"/>
  <c r="E122" i="137"/>
  <c r="E73" i="139"/>
  <c r="S62" i="139"/>
  <c r="S71" i="139"/>
  <c r="S65" i="139"/>
  <c r="E78" i="137"/>
  <c r="U72" i="139"/>
  <c r="U53" i="139"/>
  <c r="E62" i="137"/>
  <c r="U66" i="139"/>
  <c r="U76" i="139"/>
  <c r="U41" i="139"/>
  <c r="H77" i="137"/>
  <c r="P108" i="137" s="1"/>
  <c r="S48" i="139"/>
  <c r="S69" i="139"/>
  <c r="S52" i="139"/>
  <c r="E66" i="137"/>
  <c r="E73" i="137"/>
  <c r="U47" i="139"/>
  <c r="U62" i="139"/>
  <c r="H63" i="137"/>
  <c r="P94" i="137" s="1"/>
  <c r="E70" i="139"/>
  <c r="E75" i="137"/>
  <c r="S47" i="139"/>
  <c r="S67" i="139"/>
  <c r="S57" i="139"/>
  <c r="U40" i="139"/>
  <c r="E68" i="137"/>
  <c r="U56" i="139"/>
  <c r="H60" i="137"/>
  <c r="P91" i="137" s="1"/>
  <c r="E64" i="139"/>
  <c r="U49" i="137"/>
  <c r="U53" i="137"/>
  <c r="S72" i="139"/>
  <c r="S41" i="139"/>
  <c r="Q42" i="139"/>
  <c r="E70" i="137"/>
  <c r="U44" i="139"/>
  <c r="U50" i="139"/>
  <c r="U72" i="137"/>
  <c r="H75" i="137"/>
  <c r="P106" i="137" s="1"/>
  <c r="H72" i="137"/>
  <c r="V103" i="137" s="1"/>
  <c r="E63" i="139"/>
  <c r="E66" i="139"/>
  <c r="S59" i="139"/>
  <c r="S44" i="139"/>
  <c r="E71" i="139"/>
  <c r="S42" i="139"/>
  <c r="Q59" i="139"/>
  <c r="E70" i="138"/>
  <c r="H67" i="140"/>
  <c r="V56" i="141"/>
  <c r="Q70" i="139"/>
  <c r="Q63" i="138"/>
  <c r="Q60" i="138"/>
  <c r="J75" i="139"/>
  <c r="N72" i="137"/>
  <c r="AA103" i="137" s="1"/>
  <c r="K72" i="141"/>
  <c r="H60" i="140"/>
  <c r="R61" i="137"/>
  <c r="C69" i="138"/>
  <c r="C68" i="140"/>
  <c r="C73" i="140"/>
  <c r="K71" i="138"/>
  <c r="C62" i="138"/>
  <c r="L72" i="142"/>
  <c r="C62" i="140"/>
  <c r="C70" i="140"/>
  <c r="D72" i="137"/>
  <c r="D67" i="137"/>
  <c r="K72" i="139"/>
  <c r="K74" i="139"/>
  <c r="N64" i="140"/>
  <c r="AG95" i="140" s="1"/>
  <c r="U50" i="137"/>
  <c r="U40" i="137"/>
  <c r="G72" i="138"/>
  <c r="U103" i="138" s="1"/>
  <c r="R68" i="137"/>
  <c r="R67" i="137"/>
  <c r="Q64" i="142"/>
  <c r="Q51" i="142"/>
  <c r="Q41" i="142"/>
  <c r="L69" i="138"/>
  <c r="L71" i="138"/>
  <c r="Q62" i="139"/>
  <c r="Q46" i="140"/>
  <c r="Q41" i="139"/>
  <c r="Q74" i="139"/>
  <c r="Q40" i="139"/>
  <c r="Q43" i="139"/>
  <c r="D74" i="137"/>
  <c r="R42" i="137"/>
  <c r="R56" i="137"/>
  <c r="L60" i="142"/>
  <c r="L68" i="142"/>
  <c r="C122" i="140"/>
  <c r="C76" i="140"/>
  <c r="K67" i="139"/>
  <c r="D71" i="137"/>
  <c r="N62" i="140"/>
  <c r="AA93" i="140" s="1"/>
  <c r="R64" i="137"/>
  <c r="U77" i="137"/>
  <c r="U51" i="137"/>
  <c r="G62" i="138"/>
  <c r="U93" i="138" s="1"/>
  <c r="G73" i="138"/>
  <c r="O104" i="138" s="1"/>
  <c r="R40" i="137"/>
  <c r="R63" i="137"/>
  <c r="Q79" i="142"/>
  <c r="Q43" i="142"/>
  <c r="Q56" i="142"/>
  <c r="L65" i="138"/>
  <c r="L61" i="142"/>
  <c r="J64" i="141"/>
  <c r="Q61" i="139"/>
  <c r="C64" i="137"/>
  <c r="Q52" i="139"/>
  <c r="Q43" i="138"/>
  <c r="Q50" i="139"/>
  <c r="Q60" i="139"/>
  <c r="R76" i="138"/>
  <c r="N60" i="140"/>
  <c r="AA91" i="140" s="1"/>
  <c r="C75" i="138"/>
  <c r="C60" i="138"/>
  <c r="L62" i="142"/>
  <c r="L74" i="142"/>
  <c r="C64" i="138"/>
  <c r="C70" i="138"/>
  <c r="C66" i="140"/>
  <c r="K64" i="138"/>
  <c r="D32" i="137"/>
  <c r="D119" i="137" s="1"/>
  <c r="K32" i="139"/>
  <c r="K58" i="139" s="1"/>
  <c r="AD109" i="139" s="1"/>
  <c r="K65" i="139"/>
  <c r="N69" i="140"/>
  <c r="AG100" i="140" s="1"/>
  <c r="U46" i="137"/>
  <c r="U45" i="137"/>
  <c r="U57" i="137"/>
  <c r="U65" i="137"/>
  <c r="G77" i="138"/>
  <c r="O108" i="138" s="1"/>
  <c r="Q68" i="142"/>
  <c r="Q70" i="142"/>
  <c r="Q49" i="142"/>
  <c r="Q53" i="142"/>
  <c r="Q52" i="142"/>
  <c r="Q59" i="142"/>
  <c r="L63" i="138"/>
  <c r="L71" i="142"/>
  <c r="Q77" i="139"/>
  <c r="Q75" i="139"/>
  <c r="Q79" i="139"/>
  <c r="Q78" i="139"/>
  <c r="Q40" i="138"/>
  <c r="J78" i="142"/>
  <c r="V40" i="138"/>
  <c r="R73" i="137"/>
  <c r="C67" i="138"/>
  <c r="C79" i="140"/>
  <c r="K79" i="138"/>
  <c r="K32" i="138"/>
  <c r="K48" i="138" s="1"/>
  <c r="X99" i="138" s="1"/>
  <c r="K61" i="138"/>
  <c r="C79" i="138"/>
  <c r="L32" i="142"/>
  <c r="L57" i="142" s="1"/>
  <c r="AE108" i="142" s="1"/>
  <c r="R49" i="137"/>
  <c r="D68" i="137"/>
  <c r="K79" i="139"/>
  <c r="K66" i="139"/>
  <c r="K62" i="139"/>
  <c r="D70" i="137"/>
  <c r="N65" i="140"/>
  <c r="AG96" i="140" s="1"/>
  <c r="E72" i="140"/>
  <c r="G70" i="138"/>
  <c r="O101" i="138" s="1"/>
  <c r="U48" i="137"/>
  <c r="U43" i="137"/>
  <c r="U60" i="137"/>
  <c r="U55" i="137"/>
  <c r="U62" i="137"/>
  <c r="G75" i="138"/>
  <c r="O106" i="138" s="1"/>
  <c r="G32" i="138"/>
  <c r="G56" i="138" s="1"/>
  <c r="R54" i="137"/>
  <c r="R51" i="137"/>
  <c r="R74" i="137"/>
  <c r="Q47" i="142"/>
  <c r="Q71" i="142"/>
  <c r="Q77" i="142"/>
  <c r="Q58" i="142"/>
  <c r="L67" i="138"/>
  <c r="L32" i="138"/>
  <c r="L119" i="138" s="1"/>
  <c r="L122" i="138"/>
  <c r="L76" i="138"/>
  <c r="Q57" i="139"/>
  <c r="Q65" i="139"/>
  <c r="Q58" i="139"/>
  <c r="Q73" i="139"/>
  <c r="Q49" i="138"/>
  <c r="K60" i="141"/>
  <c r="R41" i="137"/>
  <c r="V72" i="138"/>
  <c r="K66" i="138"/>
  <c r="L70" i="142"/>
  <c r="L66" i="142"/>
  <c r="K73" i="138"/>
  <c r="R58" i="137"/>
  <c r="D66" i="137"/>
  <c r="K60" i="139"/>
  <c r="D77" i="137"/>
  <c r="K75" i="139"/>
  <c r="Q61" i="142"/>
  <c r="N71" i="140"/>
  <c r="AG102" i="140" s="1"/>
  <c r="U79" i="137"/>
  <c r="U70" i="137"/>
  <c r="G68" i="138"/>
  <c r="U99" i="138" s="1"/>
  <c r="G66" i="138"/>
  <c r="U97" i="138" s="1"/>
  <c r="R47" i="137"/>
  <c r="Q72" i="142"/>
  <c r="Q50" i="142"/>
  <c r="L64" i="138"/>
  <c r="L74" i="138"/>
  <c r="N69" i="137"/>
  <c r="AA100" i="137" s="1"/>
  <c r="Q45" i="139"/>
  <c r="E60" i="142"/>
  <c r="Q53" i="139"/>
  <c r="O64" i="141"/>
  <c r="AB95" i="141" s="1"/>
  <c r="AA110" i="139"/>
  <c r="AP110" i="139" s="1"/>
  <c r="R55" i="137"/>
  <c r="R62" i="137"/>
  <c r="R46" i="137"/>
  <c r="R76" i="137"/>
  <c r="L77" i="142"/>
  <c r="C74" i="138"/>
  <c r="C77" i="140"/>
  <c r="K67" i="138"/>
  <c r="K74" i="138"/>
  <c r="D64" i="137"/>
  <c r="U68" i="137"/>
  <c r="G79" i="138"/>
  <c r="O110" i="138" s="1"/>
  <c r="U76" i="137"/>
  <c r="G122" i="138"/>
  <c r="R45" i="137"/>
  <c r="Q66" i="142"/>
  <c r="Q57" i="142"/>
  <c r="L73" i="138"/>
  <c r="R57" i="138"/>
  <c r="Q48" i="139"/>
  <c r="V60" i="141"/>
  <c r="R70" i="137"/>
  <c r="R59" i="137"/>
  <c r="K75" i="138"/>
  <c r="C65" i="138"/>
  <c r="C68" i="138"/>
  <c r="L64" i="142"/>
  <c r="K62" i="138"/>
  <c r="N73" i="140"/>
  <c r="AA104" i="140" s="1"/>
  <c r="N77" i="140"/>
  <c r="AG108" i="140" s="1"/>
  <c r="N122" i="140"/>
  <c r="E64" i="140"/>
  <c r="G67" i="138"/>
  <c r="O98" i="138" s="1"/>
  <c r="U54" i="137"/>
  <c r="O107" i="138"/>
  <c r="AL107" i="138" s="1"/>
  <c r="G65" i="138"/>
  <c r="U96" i="138" s="1"/>
  <c r="G63" i="138"/>
  <c r="U94" i="138" s="1"/>
  <c r="R44" i="137"/>
  <c r="Q45" i="142"/>
  <c r="L73" i="142"/>
  <c r="Q68" i="139"/>
  <c r="V40" i="141"/>
  <c r="U63" i="137"/>
  <c r="R77" i="137"/>
  <c r="R71" i="137"/>
  <c r="C76" i="138"/>
  <c r="K72" i="138"/>
  <c r="C32" i="140"/>
  <c r="C59" i="140" s="1"/>
  <c r="C72" i="138"/>
  <c r="K78" i="138"/>
  <c r="R79" i="137"/>
  <c r="C71" i="140"/>
  <c r="C61" i="138"/>
  <c r="L67" i="142"/>
  <c r="C78" i="140"/>
  <c r="L122" i="142"/>
  <c r="D75" i="137"/>
  <c r="K71" i="139"/>
  <c r="K76" i="139"/>
  <c r="C60" i="140"/>
  <c r="K69" i="138"/>
  <c r="N61" i="140"/>
  <c r="AG92" i="140" s="1"/>
  <c r="N63" i="140"/>
  <c r="AA94" i="140" s="1"/>
  <c r="N76" i="140"/>
  <c r="AG107" i="140" s="1"/>
  <c r="K60" i="138"/>
  <c r="K61" i="139"/>
  <c r="U59" i="137"/>
  <c r="U75" i="137"/>
  <c r="U52" i="137"/>
  <c r="U64" i="137"/>
  <c r="G64" i="138"/>
  <c r="O95" i="138" s="1"/>
  <c r="U58" i="137"/>
  <c r="G78" i="138"/>
  <c r="O109" i="138" s="1"/>
  <c r="R53" i="137"/>
  <c r="Q69" i="142"/>
  <c r="Q54" i="142"/>
  <c r="Q65" i="142"/>
  <c r="Q67" i="142"/>
  <c r="Q78" i="142"/>
  <c r="L72" i="138"/>
  <c r="L77" i="138"/>
  <c r="L70" i="138"/>
  <c r="O77" i="141"/>
  <c r="AB108" i="141" s="1"/>
  <c r="R65" i="137"/>
  <c r="R78" i="137"/>
  <c r="C78" i="138"/>
  <c r="C66" i="138"/>
  <c r="K68" i="138"/>
  <c r="L79" i="142"/>
  <c r="C67" i="140"/>
  <c r="L69" i="142"/>
  <c r="D69" i="137"/>
  <c r="K78" i="139"/>
  <c r="K73" i="139"/>
  <c r="C72" i="140"/>
  <c r="N67" i="140"/>
  <c r="AG98" i="140" s="1"/>
  <c r="N32" i="140"/>
  <c r="N34" i="140" s="1"/>
  <c r="U44" i="137"/>
  <c r="U73" i="137"/>
  <c r="U47" i="137"/>
  <c r="U42" i="137"/>
  <c r="G71" i="138"/>
  <c r="U102" i="138" s="1"/>
  <c r="G74" i="138"/>
  <c r="O105" i="138" s="1"/>
  <c r="K77" i="139"/>
  <c r="Q55" i="142"/>
  <c r="Q74" i="142"/>
  <c r="Q44" i="142"/>
  <c r="Q63" i="142"/>
  <c r="Q48" i="142"/>
  <c r="L60" i="138"/>
  <c r="L61" i="138"/>
  <c r="D73" i="137"/>
  <c r="Q71" i="139"/>
  <c r="Q44" i="139"/>
  <c r="R52" i="137"/>
  <c r="V54" i="138"/>
  <c r="R43" i="137"/>
  <c r="K76" i="138"/>
  <c r="L63" i="142"/>
  <c r="C122" i="138"/>
  <c r="K63" i="138"/>
  <c r="C61" i="140"/>
  <c r="D79" i="137"/>
  <c r="D63" i="137"/>
  <c r="D60" i="137"/>
  <c r="D62" i="137"/>
  <c r="D65" i="137"/>
  <c r="K122" i="139"/>
  <c r="D78" i="137"/>
  <c r="K64" i="139"/>
  <c r="N66" i="140"/>
  <c r="AA97" i="140" s="1"/>
  <c r="N72" i="140"/>
  <c r="AA103" i="140" s="1"/>
  <c r="N79" i="140"/>
  <c r="AA110" i="140" s="1"/>
  <c r="AG105" i="140"/>
  <c r="AP105" i="140" s="1"/>
  <c r="U67" i="137"/>
  <c r="U78" i="137"/>
  <c r="U74" i="137"/>
  <c r="G61" i="138"/>
  <c r="U92" i="138" s="1"/>
  <c r="R50" i="137"/>
  <c r="U61" i="137"/>
  <c r="Q62" i="142"/>
  <c r="L68" i="138"/>
  <c r="L75" i="138"/>
  <c r="L66" i="138"/>
  <c r="Q51" i="139"/>
  <c r="Q69" i="139"/>
  <c r="Q64" i="139"/>
  <c r="Q76" i="139"/>
  <c r="V49" i="141"/>
  <c r="V63" i="141"/>
  <c r="AA98" i="137"/>
  <c r="AG98" i="137"/>
  <c r="V92" i="140"/>
  <c r="P92" i="140"/>
  <c r="AH94" i="141"/>
  <c r="AB94" i="141"/>
  <c r="D61" i="140"/>
  <c r="N65" i="141"/>
  <c r="AG96" i="141" s="1"/>
  <c r="D79" i="140"/>
  <c r="V74" i="138"/>
  <c r="V71" i="138"/>
  <c r="V54" i="142"/>
  <c r="R64" i="139"/>
  <c r="V40" i="142"/>
  <c r="O71" i="140"/>
  <c r="AH102" i="140" s="1"/>
  <c r="C70" i="139"/>
  <c r="O76" i="137"/>
  <c r="AB107" i="137" s="1"/>
  <c r="C122" i="139"/>
  <c r="V54" i="141"/>
  <c r="Q59" i="140"/>
  <c r="V52" i="141"/>
  <c r="Q50" i="138"/>
  <c r="D68" i="140"/>
  <c r="D122" i="140"/>
  <c r="D70" i="140"/>
  <c r="N62" i="141"/>
  <c r="AG93" i="141" s="1"/>
  <c r="N74" i="141"/>
  <c r="AG105" i="141" s="1"/>
  <c r="V73" i="138"/>
  <c r="O72" i="137"/>
  <c r="AB103" i="137" s="1"/>
  <c r="V75" i="142"/>
  <c r="O71" i="137"/>
  <c r="AB102" i="137" s="1"/>
  <c r="V49" i="142"/>
  <c r="V66" i="142"/>
  <c r="O60" i="137"/>
  <c r="AB91" i="137" s="1"/>
  <c r="V71" i="142"/>
  <c r="R45" i="139"/>
  <c r="V59" i="142"/>
  <c r="V73" i="142"/>
  <c r="V46" i="138"/>
  <c r="E70" i="140"/>
  <c r="V62" i="138"/>
  <c r="V57" i="138"/>
  <c r="C66" i="139"/>
  <c r="Q68" i="140"/>
  <c r="C64" i="142"/>
  <c r="Q75" i="140"/>
  <c r="L65" i="142"/>
  <c r="R40" i="138"/>
  <c r="E62" i="139"/>
  <c r="V69" i="142"/>
  <c r="V51" i="141"/>
  <c r="Q67" i="139"/>
  <c r="K72" i="137"/>
  <c r="K32" i="137"/>
  <c r="K122" i="137"/>
  <c r="V72" i="141"/>
  <c r="R58" i="138"/>
  <c r="K77" i="141"/>
  <c r="K32" i="141"/>
  <c r="K122" i="141"/>
  <c r="K67" i="141"/>
  <c r="H66" i="140"/>
  <c r="N61" i="141"/>
  <c r="AA92" i="141" s="1"/>
  <c r="D76" i="140"/>
  <c r="D66" i="140"/>
  <c r="O75" i="137"/>
  <c r="AH106" i="137" s="1"/>
  <c r="V56" i="142"/>
  <c r="R43" i="139"/>
  <c r="R70" i="139"/>
  <c r="V70" i="142"/>
  <c r="R56" i="139"/>
  <c r="R51" i="139"/>
  <c r="E68" i="140"/>
  <c r="D74" i="140"/>
  <c r="E78" i="140"/>
  <c r="O69" i="140"/>
  <c r="AB100" i="140" s="1"/>
  <c r="V42" i="138"/>
  <c r="C79" i="139"/>
  <c r="R49" i="139"/>
  <c r="C77" i="138"/>
  <c r="Q48" i="140"/>
  <c r="Q76" i="140"/>
  <c r="Q55" i="140"/>
  <c r="V71" i="141"/>
  <c r="Q47" i="139"/>
  <c r="H77" i="140"/>
  <c r="D64" i="142"/>
  <c r="D32" i="142"/>
  <c r="D122" i="142"/>
  <c r="Q63" i="140"/>
  <c r="D62" i="140"/>
  <c r="D64" i="140"/>
  <c r="N79" i="141"/>
  <c r="AA110" i="141" s="1"/>
  <c r="D32" i="140"/>
  <c r="D41" i="140" s="1"/>
  <c r="R92" i="140" s="1"/>
  <c r="V65" i="142"/>
  <c r="O62" i="137"/>
  <c r="AB93" i="137" s="1"/>
  <c r="V64" i="142"/>
  <c r="R44" i="139"/>
  <c r="O69" i="137"/>
  <c r="AH100" i="137" s="1"/>
  <c r="V61" i="142"/>
  <c r="V76" i="142"/>
  <c r="V66" i="138"/>
  <c r="E76" i="140"/>
  <c r="O65" i="140"/>
  <c r="AB96" i="140" s="1"/>
  <c r="AB98" i="140"/>
  <c r="AQ98" i="140" s="1"/>
  <c r="E62" i="140"/>
  <c r="C78" i="139"/>
  <c r="Q56" i="140"/>
  <c r="Q69" i="140"/>
  <c r="Q64" i="140"/>
  <c r="E71" i="138"/>
  <c r="E32" i="138"/>
  <c r="E122" i="138"/>
  <c r="Q78" i="140"/>
  <c r="Q56" i="138"/>
  <c r="C74" i="139"/>
  <c r="Q67" i="140"/>
  <c r="N71" i="141"/>
  <c r="AG102" i="141" s="1"/>
  <c r="D77" i="140"/>
  <c r="D65" i="140"/>
  <c r="N77" i="141"/>
  <c r="AG108" i="141" s="1"/>
  <c r="V45" i="142"/>
  <c r="R54" i="139"/>
  <c r="V52" i="142"/>
  <c r="AB105" i="137"/>
  <c r="AQ105" i="137" s="1"/>
  <c r="V74" i="142"/>
  <c r="R57" i="139"/>
  <c r="V62" i="142"/>
  <c r="V41" i="142"/>
  <c r="V47" i="142"/>
  <c r="E75" i="140"/>
  <c r="V44" i="138"/>
  <c r="V59" i="138"/>
  <c r="V67" i="138"/>
  <c r="O79" i="140"/>
  <c r="AB110" i="140" s="1"/>
  <c r="O76" i="140"/>
  <c r="AH107" i="140" s="1"/>
  <c r="N63" i="141"/>
  <c r="AA94" i="141" s="1"/>
  <c r="C64" i="139"/>
  <c r="C63" i="138"/>
  <c r="R60" i="139"/>
  <c r="C78" i="142"/>
  <c r="K68" i="140"/>
  <c r="Q49" i="140"/>
  <c r="Q51" i="140"/>
  <c r="Q44" i="140"/>
  <c r="C76" i="142"/>
  <c r="Q58" i="140"/>
  <c r="R41" i="138"/>
  <c r="Q76" i="138"/>
  <c r="V78" i="141"/>
  <c r="K62" i="140"/>
  <c r="K76" i="141"/>
  <c r="N32" i="141"/>
  <c r="N48" i="141" s="1"/>
  <c r="R79" i="139"/>
  <c r="R71" i="139"/>
  <c r="V67" i="142"/>
  <c r="V79" i="142"/>
  <c r="R41" i="139"/>
  <c r="V48" i="142"/>
  <c r="O79" i="137"/>
  <c r="AB110" i="137" s="1"/>
  <c r="O63" i="140"/>
  <c r="AH94" i="140" s="1"/>
  <c r="E71" i="140"/>
  <c r="E79" i="140"/>
  <c r="V69" i="138"/>
  <c r="V43" i="138"/>
  <c r="E61" i="140"/>
  <c r="V56" i="138"/>
  <c r="N70" i="141"/>
  <c r="AG101" i="141" s="1"/>
  <c r="V61" i="138"/>
  <c r="O64" i="140"/>
  <c r="AH95" i="140" s="1"/>
  <c r="O73" i="140"/>
  <c r="AB104" i="140" s="1"/>
  <c r="N69" i="141"/>
  <c r="AA100" i="141" s="1"/>
  <c r="C60" i="139"/>
  <c r="O61" i="137"/>
  <c r="AB92" i="137" s="1"/>
  <c r="Q71" i="140"/>
  <c r="L76" i="142"/>
  <c r="C65" i="142"/>
  <c r="O78" i="141"/>
  <c r="O32" i="141"/>
  <c r="O122" i="141"/>
  <c r="H71" i="140"/>
  <c r="C79" i="142"/>
  <c r="R56" i="138"/>
  <c r="Q72" i="138"/>
  <c r="R52" i="138"/>
  <c r="K69" i="140"/>
  <c r="S76" i="137"/>
  <c r="V77" i="142"/>
  <c r="Q72" i="140"/>
  <c r="V58" i="141"/>
  <c r="N69" i="139"/>
  <c r="N32" i="139"/>
  <c r="N122" i="139"/>
  <c r="E77" i="138"/>
  <c r="V75" i="138"/>
  <c r="V52" i="138"/>
  <c r="D67" i="140"/>
  <c r="D69" i="140"/>
  <c r="N122" i="141"/>
  <c r="V53" i="138"/>
  <c r="O73" i="137"/>
  <c r="AB104" i="137" s="1"/>
  <c r="R78" i="139"/>
  <c r="V46" i="142"/>
  <c r="R48" i="139"/>
  <c r="R65" i="139"/>
  <c r="V55" i="142"/>
  <c r="O78" i="137"/>
  <c r="AB109" i="137" s="1"/>
  <c r="V51" i="142"/>
  <c r="R58" i="139"/>
  <c r="V70" i="138"/>
  <c r="E65" i="140"/>
  <c r="V58" i="138"/>
  <c r="V64" i="138"/>
  <c r="E74" i="140"/>
  <c r="O74" i="140"/>
  <c r="AB105" i="140" s="1"/>
  <c r="N75" i="141"/>
  <c r="AA106" i="141" s="1"/>
  <c r="O62" i="140"/>
  <c r="AH93" i="140" s="1"/>
  <c r="E63" i="140"/>
  <c r="C75" i="139"/>
  <c r="V78" i="142"/>
  <c r="N66" i="137"/>
  <c r="Q41" i="140"/>
  <c r="K79" i="140"/>
  <c r="C77" i="139"/>
  <c r="R76" i="139"/>
  <c r="C75" i="142"/>
  <c r="N76" i="137"/>
  <c r="Q52" i="138"/>
  <c r="C69" i="142"/>
  <c r="R63" i="139"/>
  <c r="Q52" i="140"/>
  <c r="O66" i="141"/>
  <c r="N60" i="139"/>
  <c r="V60" i="138"/>
  <c r="N68" i="141"/>
  <c r="AG99" i="141" s="1"/>
  <c r="D60" i="140"/>
  <c r="AG97" i="141"/>
  <c r="AP97" i="141" s="1"/>
  <c r="AZ97" i="141" s="1"/>
  <c r="D78" i="140"/>
  <c r="N73" i="141"/>
  <c r="AA104" i="141" s="1"/>
  <c r="V68" i="138"/>
  <c r="R67" i="139"/>
  <c r="R46" i="139"/>
  <c r="V72" i="142"/>
  <c r="R62" i="139"/>
  <c r="O67" i="137"/>
  <c r="AH98" i="137" s="1"/>
  <c r="O77" i="137"/>
  <c r="AB108" i="137" s="1"/>
  <c r="R53" i="139"/>
  <c r="R40" i="139"/>
  <c r="R66" i="139"/>
  <c r="E77" i="140"/>
  <c r="E69" i="140"/>
  <c r="V76" i="138"/>
  <c r="E32" i="140"/>
  <c r="E46" i="140" s="1"/>
  <c r="S97" i="140" s="1"/>
  <c r="V41" i="138"/>
  <c r="O70" i="140"/>
  <c r="AH101" i="140" s="1"/>
  <c r="O61" i="140"/>
  <c r="AH92" i="140" s="1"/>
  <c r="O75" i="140"/>
  <c r="AH106" i="140" s="1"/>
  <c r="C76" i="139"/>
  <c r="V63" i="138"/>
  <c r="C79" i="137"/>
  <c r="C32" i="137"/>
  <c r="V58" i="142"/>
  <c r="Q45" i="140"/>
  <c r="Q61" i="140"/>
  <c r="E77" i="141"/>
  <c r="Q70" i="140"/>
  <c r="V43" i="141"/>
  <c r="E72" i="138"/>
  <c r="O69" i="141"/>
  <c r="K76" i="142"/>
  <c r="O61" i="141"/>
  <c r="O62" i="141"/>
  <c r="Q66" i="139"/>
  <c r="Q77" i="140"/>
  <c r="R49" i="138"/>
  <c r="N76" i="141"/>
  <c r="AG107" i="141" s="1"/>
  <c r="V55" i="138"/>
  <c r="D71" i="140"/>
  <c r="R74" i="139"/>
  <c r="R69" i="139"/>
  <c r="R72" i="139"/>
  <c r="O70" i="137"/>
  <c r="AB101" i="137" s="1"/>
  <c r="R59" i="139"/>
  <c r="O32" i="137"/>
  <c r="O119" i="137" s="1"/>
  <c r="O123" i="137" s="1"/>
  <c r="O68" i="137"/>
  <c r="AB99" i="137" s="1"/>
  <c r="V60" i="142"/>
  <c r="R61" i="139"/>
  <c r="D72" i="140"/>
  <c r="E67" i="140"/>
  <c r="V47" i="138"/>
  <c r="N64" i="141"/>
  <c r="AA95" i="141" s="1"/>
  <c r="O122" i="140"/>
  <c r="C72" i="139"/>
  <c r="C68" i="139"/>
  <c r="C63" i="139"/>
  <c r="Q74" i="140"/>
  <c r="N68" i="137"/>
  <c r="N122" i="137"/>
  <c r="Q65" i="140"/>
  <c r="C77" i="142"/>
  <c r="C122" i="142"/>
  <c r="Q60" i="140"/>
  <c r="Q50" i="140"/>
  <c r="H78" i="140"/>
  <c r="C73" i="142"/>
  <c r="E67" i="138"/>
  <c r="Q46" i="139"/>
  <c r="Q57" i="140"/>
  <c r="O77" i="142"/>
  <c r="R42" i="138"/>
  <c r="V48" i="138"/>
  <c r="V45" i="138"/>
  <c r="V50" i="138"/>
  <c r="R68" i="139"/>
  <c r="V51" i="138"/>
  <c r="R73" i="139"/>
  <c r="O64" i="137"/>
  <c r="AB95" i="137" s="1"/>
  <c r="V42" i="142"/>
  <c r="O65" i="137"/>
  <c r="AH96" i="137" s="1"/>
  <c r="O122" i="137"/>
  <c r="O72" i="140"/>
  <c r="AH103" i="140" s="1"/>
  <c r="V49" i="138"/>
  <c r="E66" i="140"/>
  <c r="E60" i="140"/>
  <c r="V77" i="138"/>
  <c r="O77" i="140"/>
  <c r="AB108" i="140" s="1"/>
  <c r="O60" i="140"/>
  <c r="AB91" i="140" s="1"/>
  <c r="N78" i="141"/>
  <c r="AG109" i="141" s="1"/>
  <c r="O63" i="137"/>
  <c r="AB94" i="137" s="1"/>
  <c r="O32" i="140"/>
  <c r="O49" i="140" s="1"/>
  <c r="C65" i="139"/>
  <c r="Q54" i="140"/>
  <c r="Q66" i="140"/>
  <c r="J74" i="141"/>
  <c r="Q40" i="140"/>
  <c r="H75" i="140"/>
  <c r="H32" i="140"/>
  <c r="H122" i="140"/>
  <c r="E77" i="137"/>
  <c r="H76" i="140"/>
  <c r="Q63" i="139"/>
  <c r="Q69" i="138"/>
  <c r="Q47" i="140"/>
  <c r="H64" i="140"/>
  <c r="Q42" i="140"/>
  <c r="Q62" i="140"/>
  <c r="D73" i="140"/>
  <c r="V65" i="138"/>
  <c r="R52" i="139"/>
  <c r="V63" i="142"/>
  <c r="V44" i="142"/>
  <c r="V53" i="142"/>
  <c r="R77" i="139"/>
  <c r="V43" i="142"/>
  <c r="V78" i="138"/>
  <c r="V79" i="138"/>
  <c r="O66" i="140"/>
  <c r="AB97" i="140" s="1"/>
  <c r="N72" i="141"/>
  <c r="AA103" i="141" s="1"/>
  <c r="C73" i="139"/>
  <c r="R42" i="139"/>
  <c r="R75" i="139"/>
  <c r="C68" i="142"/>
  <c r="Q73" i="140"/>
  <c r="R50" i="139"/>
  <c r="V69" i="141"/>
  <c r="R48" i="138"/>
  <c r="V76" i="141"/>
  <c r="V74" i="141"/>
  <c r="Q43" i="140"/>
  <c r="Q79" i="140"/>
  <c r="C78" i="137"/>
  <c r="J60" i="142"/>
  <c r="R47" i="139"/>
  <c r="N77" i="139"/>
  <c r="Q70" i="138"/>
  <c r="AA106" i="140"/>
  <c r="AP106" i="140" s="1"/>
  <c r="AH103" i="139"/>
  <c r="AQ103" i="139" s="1"/>
  <c r="AH104" i="142"/>
  <c r="AQ104" i="142" s="1"/>
  <c r="AA99" i="140"/>
  <c r="AP99" i="140" s="1"/>
  <c r="O44" i="142"/>
  <c r="O46" i="142"/>
  <c r="O59" i="142"/>
  <c r="O51" i="142"/>
  <c r="O50" i="142"/>
  <c r="O55" i="142"/>
  <c r="O56" i="142"/>
  <c r="O43" i="142"/>
  <c r="O47" i="142"/>
  <c r="O41" i="142"/>
  <c r="O58" i="142"/>
  <c r="O119" i="142"/>
  <c r="O123" i="142" s="1"/>
  <c r="O54" i="142"/>
  <c r="O52" i="142"/>
  <c r="O34" i="142"/>
  <c r="O49" i="142"/>
  <c r="O42" i="142"/>
  <c r="O48" i="142"/>
  <c r="O53" i="142"/>
  <c r="O40" i="142"/>
  <c r="O57" i="142"/>
  <c r="P98" i="141"/>
  <c r="V98" i="141"/>
  <c r="P105" i="141"/>
  <c r="V105" i="141"/>
  <c r="V109" i="141"/>
  <c r="P109" i="141"/>
  <c r="V99" i="141"/>
  <c r="P99" i="141"/>
  <c r="P102" i="141"/>
  <c r="V102" i="141"/>
  <c r="K43" i="142"/>
  <c r="J6" i="109"/>
  <c r="K6" i="109" s="1"/>
  <c r="L6" i="109" s="1"/>
  <c r="BJ30" i="135"/>
  <c r="AB17" i="135"/>
  <c r="BL24" i="135"/>
  <c r="BM24" i="135" s="1"/>
  <c r="BN24" i="135" s="1"/>
  <c r="BO24" i="135" s="1"/>
  <c r="BG17" i="135"/>
  <c r="BH17" i="135" s="1"/>
  <c r="E30" i="109"/>
  <c r="BI32" i="135"/>
  <c r="BJ32" i="135" s="1"/>
  <c r="BK32" i="135" s="1"/>
  <c r="BL32" i="135" s="1"/>
  <c r="BM32" i="135" s="1"/>
  <c r="BN32" i="135" s="1"/>
  <c r="BO32" i="135" s="1"/>
  <c r="BA27" i="135"/>
  <c r="BI22" i="135"/>
  <c r="BJ22" i="135" s="1"/>
  <c r="BK22" i="135" s="1"/>
  <c r="BL22" i="135" s="1"/>
  <c r="BM22" i="135" s="1"/>
  <c r="BN22" i="135" s="1"/>
  <c r="BO22" i="135" s="1"/>
  <c r="AZ36" i="135"/>
  <c r="AK22" i="135"/>
  <c r="AL22" i="135" s="1"/>
  <c r="AM22" i="135" s="1"/>
  <c r="AN22" i="135" s="1"/>
  <c r="AO22" i="135" s="1"/>
  <c r="AP22" i="135" s="1"/>
  <c r="AQ22" i="135" s="1"/>
  <c r="AD27" i="135"/>
  <c r="AM32" i="135"/>
  <c r="BG27" i="135"/>
  <c r="BH27" i="135" s="1"/>
  <c r="E47" i="109"/>
  <c r="AG36" i="135"/>
  <c r="BC36" i="135"/>
  <c r="BB36" i="135"/>
  <c r="BO12" i="135"/>
  <c r="BO14" i="135"/>
  <c r="BI26" i="135"/>
  <c r="AC36" i="135"/>
  <c r="BJ36" i="135"/>
  <c r="BK30" i="135"/>
  <c r="AW7" i="135"/>
  <c r="BG8" i="135"/>
  <c r="BH8" i="135" s="1"/>
  <c r="BI8" i="135" s="1"/>
  <c r="BJ8" i="135" s="1"/>
  <c r="BK8" i="135" s="1"/>
  <c r="BL8" i="135" s="1"/>
  <c r="BM8" i="135" s="1"/>
  <c r="BN8" i="135" s="1"/>
  <c r="BI7" i="135"/>
  <c r="BG9" i="135"/>
  <c r="BH9" i="135" s="1"/>
  <c r="BI9" i="135" s="1"/>
  <c r="BJ9" i="135" s="1"/>
  <c r="BK9" i="135" s="1"/>
  <c r="BL9" i="135" s="1"/>
  <c r="BM9" i="135" s="1"/>
  <c r="BN9" i="135" s="1"/>
  <c r="BI17" i="135"/>
  <c r="BJ18" i="135"/>
  <c r="BJ28" i="135"/>
  <c r="BJ26" i="135"/>
  <c r="BK20" i="135"/>
  <c r="AL28" i="135"/>
  <c r="AL31" i="135"/>
  <c r="AM31" i="135" s="1"/>
  <c r="AN31" i="135" s="1"/>
  <c r="AO31" i="135" s="1"/>
  <c r="AP31" i="135" s="1"/>
  <c r="AQ31" i="135" s="1"/>
  <c r="AC27" i="135"/>
  <c r="AB26" i="135"/>
  <c r="AN32" i="135"/>
  <c r="AO32" i="135" s="1"/>
  <c r="AP32" i="135" s="1"/>
  <c r="AQ32" i="135" s="1"/>
  <c r="AC26" i="135"/>
  <c r="AD26" i="135"/>
  <c r="AG17" i="135"/>
  <c r="Y7" i="135"/>
  <c r="AI7" i="135" s="1"/>
  <c r="AJ7" i="135" s="1"/>
  <c r="AI8" i="135"/>
  <c r="AC17" i="135"/>
  <c r="AB36" i="135"/>
  <c r="AM24" i="135"/>
  <c r="AN24" i="135" s="1"/>
  <c r="AO24" i="135" s="1"/>
  <c r="AP24" i="135" s="1"/>
  <c r="AQ24" i="135" s="1"/>
  <c r="AK21" i="135"/>
  <c r="AF26" i="135"/>
  <c r="AJ10" i="135"/>
  <c r="AK10" i="135" s="1"/>
  <c r="AL10" i="135" s="1"/>
  <c r="AM10" i="135" s="1"/>
  <c r="AN10" i="135" s="1"/>
  <c r="AO10" i="135" s="1"/>
  <c r="AP10" i="135" s="1"/>
  <c r="AQ10" i="135" s="1"/>
  <c r="BO10" i="135" s="1"/>
  <c r="AB27" i="135"/>
  <c r="AE27" i="135"/>
  <c r="AL20" i="135"/>
  <c r="AK18" i="135"/>
  <c r="AK30" i="135"/>
  <c r="AK27" i="135" s="1"/>
  <c r="AD36" i="135"/>
  <c r="AF36" i="135"/>
  <c r="M29" i="109"/>
  <c r="H29" i="109"/>
  <c r="N29" i="109"/>
  <c r="K29" i="109"/>
  <c r="K74" i="137" l="1"/>
  <c r="K76" i="137"/>
  <c r="S64" i="137"/>
  <c r="S70" i="137"/>
  <c r="K63" i="141"/>
  <c r="S52" i="140"/>
  <c r="S64" i="140"/>
  <c r="S53" i="140"/>
  <c r="K68" i="137"/>
  <c r="K67" i="137"/>
  <c r="S71" i="137"/>
  <c r="S60" i="137"/>
  <c r="V59" i="141"/>
  <c r="K65" i="141"/>
  <c r="K64" i="137"/>
  <c r="K78" i="137"/>
  <c r="S32" i="137"/>
  <c r="S55" i="137" s="1"/>
  <c r="S72" i="137"/>
  <c r="V73" i="141"/>
  <c r="K64" i="141"/>
  <c r="S62" i="140"/>
  <c r="S43" i="140"/>
  <c r="K73" i="137"/>
  <c r="K61" i="137"/>
  <c r="S67" i="137"/>
  <c r="V62" i="141"/>
  <c r="V50" i="141"/>
  <c r="K69" i="141"/>
  <c r="K62" i="141"/>
  <c r="S42" i="140"/>
  <c r="S59" i="140"/>
  <c r="P106" i="141"/>
  <c r="V106" i="141"/>
  <c r="S56" i="142"/>
  <c r="E78" i="142"/>
  <c r="D32" i="138"/>
  <c r="D50" i="138" s="1"/>
  <c r="R101" i="138" s="1"/>
  <c r="D65" i="138"/>
  <c r="J68" i="140"/>
  <c r="O64" i="142"/>
  <c r="AH95" i="142" s="1"/>
  <c r="O61" i="142"/>
  <c r="AH92" i="142" s="1"/>
  <c r="O71" i="139"/>
  <c r="U48" i="140"/>
  <c r="S46" i="140"/>
  <c r="S43" i="142"/>
  <c r="D122" i="138"/>
  <c r="D73" i="138"/>
  <c r="D74" i="138"/>
  <c r="D69" i="138"/>
  <c r="O70" i="139"/>
  <c r="O66" i="139"/>
  <c r="D71" i="138"/>
  <c r="D61" i="138"/>
  <c r="D72" i="138"/>
  <c r="D79" i="138"/>
  <c r="J61" i="140"/>
  <c r="J62" i="140"/>
  <c r="O75" i="142"/>
  <c r="AH106" i="142" s="1"/>
  <c r="O60" i="139"/>
  <c r="H76" i="141"/>
  <c r="H60" i="141"/>
  <c r="U40" i="140"/>
  <c r="D63" i="138"/>
  <c r="D67" i="138"/>
  <c r="J76" i="140"/>
  <c r="O68" i="142"/>
  <c r="O70" i="142"/>
  <c r="AB101" i="142" s="1"/>
  <c r="O71" i="142"/>
  <c r="H64" i="141"/>
  <c r="H79" i="141"/>
  <c r="V79" i="141"/>
  <c r="O62" i="139"/>
  <c r="H62" i="141"/>
  <c r="H65" i="141"/>
  <c r="D70" i="142"/>
  <c r="S61" i="140"/>
  <c r="U60" i="140"/>
  <c r="S51" i="140"/>
  <c r="S40" i="140"/>
  <c r="D76" i="138"/>
  <c r="D68" i="138"/>
  <c r="D78" i="138"/>
  <c r="J63" i="140"/>
  <c r="O63" i="139"/>
  <c r="O66" i="142"/>
  <c r="O77" i="139"/>
  <c r="O68" i="139"/>
  <c r="U45" i="140"/>
  <c r="U64" i="140"/>
  <c r="S40" i="142"/>
  <c r="V100" i="140"/>
  <c r="AM100" i="140" s="1"/>
  <c r="AW100" i="140" s="1"/>
  <c r="E66" i="142"/>
  <c r="D70" i="138"/>
  <c r="D60" i="138"/>
  <c r="O74" i="142"/>
  <c r="O74" i="139"/>
  <c r="O69" i="139"/>
  <c r="O73" i="139"/>
  <c r="H66" i="141"/>
  <c r="P97" i="141" s="1"/>
  <c r="H69" i="141"/>
  <c r="H70" i="141"/>
  <c r="H63" i="141"/>
  <c r="H61" i="141"/>
  <c r="AH95" i="139"/>
  <c r="AB95" i="139"/>
  <c r="AH94" i="142"/>
  <c r="AB94" i="142"/>
  <c r="AQ94" i="142" s="1"/>
  <c r="R52" i="140"/>
  <c r="O67" i="142"/>
  <c r="R58" i="140"/>
  <c r="R45" i="140"/>
  <c r="R63" i="140"/>
  <c r="K78" i="141"/>
  <c r="H73" i="141"/>
  <c r="S61" i="137"/>
  <c r="S78" i="137"/>
  <c r="V41" i="141"/>
  <c r="O65" i="139"/>
  <c r="U48" i="141"/>
  <c r="R65" i="140"/>
  <c r="O79" i="139"/>
  <c r="E69" i="141"/>
  <c r="O76" i="142"/>
  <c r="U79" i="141"/>
  <c r="O78" i="139"/>
  <c r="E73" i="140"/>
  <c r="E122" i="140"/>
  <c r="S79" i="137"/>
  <c r="O79" i="142"/>
  <c r="S77" i="137"/>
  <c r="O75" i="139"/>
  <c r="E67" i="141"/>
  <c r="U62" i="141"/>
  <c r="U76" i="140"/>
  <c r="O69" i="142"/>
  <c r="U56" i="140"/>
  <c r="O78" i="142"/>
  <c r="H72" i="141"/>
  <c r="O72" i="142"/>
  <c r="V66" i="141"/>
  <c r="O76" i="139"/>
  <c r="R74" i="140"/>
  <c r="O61" i="139"/>
  <c r="O32" i="139"/>
  <c r="O122" i="139"/>
  <c r="V46" i="141"/>
  <c r="O62" i="142"/>
  <c r="D67" i="142"/>
  <c r="R70" i="140"/>
  <c r="D75" i="142"/>
  <c r="R47" i="140"/>
  <c r="O67" i="139"/>
  <c r="R50" i="140"/>
  <c r="R55" i="140"/>
  <c r="S63" i="137"/>
  <c r="O60" i="142"/>
  <c r="O122" i="142"/>
  <c r="E68" i="138"/>
  <c r="E78" i="141"/>
  <c r="E32" i="141"/>
  <c r="E122" i="141"/>
  <c r="S62" i="137"/>
  <c r="H77" i="141"/>
  <c r="H122" i="141"/>
  <c r="H32" i="141"/>
  <c r="K75" i="141"/>
  <c r="AH101" i="142"/>
  <c r="AQ101" i="142" s="1"/>
  <c r="D45" i="138"/>
  <c r="R96" i="138" s="1"/>
  <c r="S49" i="137"/>
  <c r="S44" i="137"/>
  <c r="S53" i="137"/>
  <c r="S57" i="137"/>
  <c r="O91" i="140"/>
  <c r="AL91" i="140" s="1"/>
  <c r="AV91" i="140" s="1"/>
  <c r="S48" i="137"/>
  <c r="S41" i="137"/>
  <c r="V93" i="139"/>
  <c r="AM93" i="139" s="1"/>
  <c r="AW93" i="139" s="1"/>
  <c r="S42" i="137"/>
  <c r="S59" i="137"/>
  <c r="K45" i="142"/>
  <c r="X96" i="142" s="1"/>
  <c r="L55" i="141"/>
  <c r="Y106" i="141" s="1"/>
  <c r="AG101" i="140"/>
  <c r="AP101" i="140" s="1"/>
  <c r="AG109" i="140"/>
  <c r="AP109" i="140" s="1"/>
  <c r="O92" i="142"/>
  <c r="AL92" i="142" s="1"/>
  <c r="AV92" i="142" s="1"/>
  <c r="H49" i="139"/>
  <c r="H40" i="138"/>
  <c r="D47" i="139"/>
  <c r="L98" i="139" s="1"/>
  <c r="D44" i="138"/>
  <c r="R95" i="138" s="1"/>
  <c r="U93" i="140"/>
  <c r="AL93" i="140" s="1"/>
  <c r="AV93" i="140" s="1"/>
  <c r="D56" i="138"/>
  <c r="L107" i="138" s="1"/>
  <c r="D59" i="138"/>
  <c r="L110" i="138" s="1"/>
  <c r="O97" i="137"/>
  <c r="AL97" i="137" s="1"/>
  <c r="AV97" i="137" s="1"/>
  <c r="V92" i="137"/>
  <c r="AM92" i="137" s="1"/>
  <c r="AW92" i="137" s="1"/>
  <c r="D55" i="138"/>
  <c r="R106" i="138" s="1"/>
  <c r="D51" i="138"/>
  <c r="R102" i="138" s="1"/>
  <c r="D41" i="138"/>
  <c r="R92" i="138" s="1"/>
  <c r="D119" i="138"/>
  <c r="AH107" i="141"/>
  <c r="AQ107" i="141" s="1"/>
  <c r="BA106" i="141" s="1"/>
  <c r="AZ99" i="140"/>
  <c r="D43" i="138"/>
  <c r="L94" i="138" s="1"/>
  <c r="O95" i="137"/>
  <c r="AL95" i="137" s="1"/>
  <c r="AV95" i="137" s="1"/>
  <c r="D46" i="138"/>
  <c r="R97" i="138" s="1"/>
  <c r="D47" i="138"/>
  <c r="R98" i="138" s="1"/>
  <c r="U92" i="139"/>
  <c r="AL92" i="139" s="1"/>
  <c r="AV92" i="139" s="1"/>
  <c r="D53" i="138"/>
  <c r="L104" i="138" s="1"/>
  <c r="D49" i="138"/>
  <c r="R100" i="138" s="1"/>
  <c r="D57" i="138"/>
  <c r="L108" i="138" s="1"/>
  <c r="D40" i="138"/>
  <c r="L91" i="138" s="1"/>
  <c r="D54" i="138"/>
  <c r="L105" i="138" s="1"/>
  <c r="U97" i="140"/>
  <c r="AL97" i="140" s="1"/>
  <c r="AV97" i="140" s="1"/>
  <c r="D58" i="138"/>
  <c r="R109" i="138" s="1"/>
  <c r="D34" i="138"/>
  <c r="L101" i="138"/>
  <c r="AJ101" i="138" s="1"/>
  <c r="D52" i="138"/>
  <c r="L103" i="138" s="1"/>
  <c r="U109" i="140"/>
  <c r="AL109" i="140" s="1"/>
  <c r="AV108" i="140" s="1"/>
  <c r="D42" i="138"/>
  <c r="L93" i="138" s="1"/>
  <c r="D48" i="138"/>
  <c r="L99" i="138" s="1"/>
  <c r="AG95" i="138"/>
  <c r="AP95" i="138" s="1"/>
  <c r="AZ95" i="138" s="1"/>
  <c r="O104" i="142"/>
  <c r="AL104" i="142" s="1"/>
  <c r="AV103" i="142" s="1"/>
  <c r="O93" i="139"/>
  <c r="AL93" i="139" s="1"/>
  <c r="AV93" i="139" s="1"/>
  <c r="AW97" i="139"/>
  <c r="V94" i="142"/>
  <c r="AM94" i="142" s="1"/>
  <c r="AH102" i="141"/>
  <c r="AQ102" i="141" s="1"/>
  <c r="BA102" i="141" s="1"/>
  <c r="AG101" i="138"/>
  <c r="AP101" i="138" s="1"/>
  <c r="AZ101" i="138" s="1"/>
  <c r="V99" i="142"/>
  <c r="AM99" i="142" s="1"/>
  <c r="AW99" i="142" s="1"/>
  <c r="N51" i="138"/>
  <c r="N55" i="138"/>
  <c r="V101" i="140"/>
  <c r="AM101" i="140" s="1"/>
  <c r="U101" i="142"/>
  <c r="AL101" i="142" s="1"/>
  <c r="L51" i="141"/>
  <c r="AE102" i="141" s="1"/>
  <c r="K58" i="142"/>
  <c r="X109" i="142" s="1"/>
  <c r="K57" i="142"/>
  <c r="AD108" i="142" s="1"/>
  <c r="L119" i="141"/>
  <c r="L121" i="141" s="1"/>
  <c r="L125" i="141" s="1"/>
  <c r="AH103" i="141"/>
  <c r="AQ103" i="141" s="1"/>
  <c r="K48" i="142"/>
  <c r="X99" i="142" s="1"/>
  <c r="L44" i="141"/>
  <c r="AE95" i="141" s="1"/>
  <c r="L58" i="141"/>
  <c r="AE109" i="141" s="1"/>
  <c r="K51" i="142"/>
  <c r="X102" i="142" s="1"/>
  <c r="K46" i="142"/>
  <c r="X97" i="142" s="1"/>
  <c r="L50" i="141"/>
  <c r="Y101" i="141" s="1"/>
  <c r="L46" i="141"/>
  <c r="Y97" i="141" s="1"/>
  <c r="K40" i="142"/>
  <c r="AD91" i="142" s="1"/>
  <c r="K34" i="142"/>
  <c r="L56" i="141"/>
  <c r="Y107" i="141" s="1"/>
  <c r="L59" i="141"/>
  <c r="AE110" i="141" s="1"/>
  <c r="K56" i="142"/>
  <c r="K47" i="142"/>
  <c r="X98" i="142" s="1"/>
  <c r="L57" i="141"/>
  <c r="AE108" i="141" s="1"/>
  <c r="L48" i="141"/>
  <c r="AE99" i="141" s="1"/>
  <c r="K42" i="142"/>
  <c r="X93" i="142" s="1"/>
  <c r="L49" i="141"/>
  <c r="Y100" i="141" s="1"/>
  <c r="K49" i="142"/>
  <c r="X100" i="142" s="1"/>
  <c r="K44" i="142"/>
  <c r="X95" i="142" s="1"/>
  <c r="L43" i="141"/>
  <c r="AE94" i="141" s="1"/>
  <c r="AE93" i="141"/>
  <c r="AO93" i="141" s="1"/>
  <c r="AY93" i="141" s="1"/>
  <c r="BE93" i="141" s="1"/>
  <c r="K41" i="142"/>
  <c r="AD92" i="142" s="1"/>
  <c r="K119" i="142"/>
  <c r="K121" i="142" s="1"/>
  <c r="K125" i="142" s="1"/>
  <c r="L54" i="141"/>
  <c r="AE105" i="141" s="1"/>
  <c r="L53" i="141"/>
  <c r="AE104" i="141" s="1"/>
  <c r="L34" i="141"/>
  <c r="K59" i="142"/>
  <c r="X110" i="142" s="1"/>
  <c r="K52" i="142"/>
  <c r="AD103" i="142" s="1"/>
  <c r="L40" i="141"/>
  <c r="Y91" i="141" s="1"/>
  <c r="L45" i="141"/>
  <c r="Y96" i="141" s="1"/>
  <c r="K55" i="142"/>
  <c r="X106" i="142" s="1"/>
  <c r="K53" i="142"/>
  <c r="X104" i="142" s="1"/>
  <c r="L41" i="141"/>
  <c r="AE92" i="141" s="1"/>
  <c r="L52" i="141"/>
  <c r="AE103" i="141" s="1"/>
  <c r="K54" i="142"/>
  <c r="X105" i="142" s="1"/>
  <c r="L47" i="141"/>
  <c r="AE98" i="141" s="1"/>
  <c r="U108" i="140"/>
  <c r="AL108" i="140" s="1"/>
  <c r="AV107" i="140" s="1"/>
  <c r="U110" i="142"/>
  <c r="AL110" i="142" s="1"/>
  <c r="AV109" i="142" s="1"/>
  <c r="AE107" i="140"/>
  <c r="AO107" i="140" s="1"/>
  <c r="G34" i="138"/>
  <c r="L42" i="140"/>
  <c r="AE93" i="140" s="1"/>
  <c r="L44" i="140"/>
  <c r="AE95" i="140" s="1"/>
  <c r="L50" i="140"/>
  <c r="AE101" i="140" s="1"/>
  <c r="L59" i="140"/>
  <c r="Y110" i="140" s="1"/>
  <c r="L47" i="140"/>
  <c r="AE98" i="140" s="1"/>
  <c r="N44" i="140"/>
  <c r="U80" i="142"/>
  <c r="C40" i="141"/>
  <c r="C57" i="141"/>
  <c r="H57" i="139"/>
  <c r="H42" i="139"/>
  <c r="H119" i="139"/>
  <c r="H123" i="139" s="1"/>
  <c r="H43" i="139"/>
  <c r="H44" i="139"/>
  <c r="H34" i="139"/>
  <c r="H58" i="139"/>
  <c r="H41" i="139"/>
  <c r="H45" i="139"/>
  <c r="H46" i="139"/>
  <c r="H50" i="139"/>
  <c r="H53" i="139"/>
  <c r="H40" i="139"/>
  <c r="H59" i="139"/>
  <c r="H52" i="139"/>
  <c r="H55" i="139"/>
  <c r="H56" i="139"/>
  <c r="V103" i="139"/>
  <c r="AM103" i="139" s="1"/>
  <c r="H51" i="139"/>
  <c r="H48" i="139"/>
  <c r="H47" i="139"/>
  <c r="G48" i="138"/>
  <c r="U93" i="142"/>
  <c r="AL93" i="142" s="1"/>
  <c r="AV93" i="142" s="1"/>
  <c r="AH93" i="138"/>
  <c r="AQ93" i="138" s="1"/>
  <c r="BA93" i="138" s="1"/>
  <c r="AH98" i="141"/>
  <c r="AQ98" i="141" s="1"/>
  <c r="BA98" i="141" s="1"/>
  <c r="N45" i="141"/>
  <c r="N57" i="141"/>
  <c r="D53" i="141"/>
  <c r="R104" i="141" s="1"/>
  <c r="P100" i="138"/>
  <c r="AM100" i="138" s="1"/>
  <c r="AW100" i="138" s="1"/>
  <c r="N53" i="141"/>
  <c r="K57" i="138"/>
  <c r="AD108" i="138" s="1"/>
  <c r="K41" i="138"/>
  <c r="X92" i="138" s="1"/>
  <c r="N56" i="141"/>
  <c r="AB97" i="137"/>
  <c r="AQ97" i="137" s="1"/>
  <c r="BA97" i="137" s="1"/>
  <c r="H54" i="138"/>
  <c r="N54" i="138"/>
  <c r="U99" i="137"/>
  <c r="AL99" i="137" s="1"/>
  <c r="AV99" i="137" s="1"/>
  <c r="N57" i="142"/>
  <c r="H48" i="138"/>
  <c r="N41" i="138"/>
  <c r="N57" i="138"/>
  <c r="O93" i="137"/>
  <c r="AL93" i="137" s="1"/>
  <c r="AV93" i="137" s="1"/>
  <c r="P109" i="142"/>
  <c r="AM109" i="142" s="1"/>
  <c r="AW108" i="142" s="1"/>
  <c r="N47" i="138"/>
  <c r="V98" i="142"/>
  <c r="AM98" i="142" s="1"/>
  <c r="AW98" i="142" s="1"/>
  <c r="D53" i="139"/>
  <c r="R104" i="139" s="1"/>
  <c r="N56" i="138"/>
  <c r="H59" i="138"/>
  <c r="N48" i="138"/>
  <c r="N40" i="138"/>
  <c r="AA98" i="141"/>
  <c r="AP98" i="141" s="1"/>
  <c r="AZ98" i="141" s="1"/>
  <c r="N59" i="138"/>
  <c r="N42" i="138"/>
  <c r="N119" i="138"/>
  <c r="N123" i="138" s="1"/>
  <c r="N40" i="142"/>
  <c r="N44" i="138"/>
  <c r="N46" i="138"/>
  <c r="N43" i="138"/>
  <c r="N53" i="138"/>
  <c r="U110" i="137"/>
  <c r="AL110" i="137" s="1"/>
  <c r="AV109" i="137" s="1"/>
  <c r="D49" i="139"/>
  <c r="R100" i="139" s="1"/>
  <c r="N45" i="138"/>
  <c r="N34" i="138"/>
  <c r="V105" i="139"/>
  <c r="AM105" i="139" s="1"/>
  <c r="AW104" i="139" s="1"/>
  <c r="H34" i="138"/>
  <c r="H44" i="138"/>
  <c r="H49" i="138"/>
  <c r="V95" i="138"/>
  <c r="AM95" i="138" s="1"/>
  <c r="AW95" i="138" s="1"/>
  <c r="H50" i="138"/>
  <c r="H57" i="138"/>
  <c r="J52" i="139"/>
  <c r="H53" i="138"/>
  <c r="H52" i="138"/>
  <c r="H47" i="138"/>
  <c r="H51" i="138"/>
  <c r="H55" i="138"/>
  <c r="H45" i="138"/>
  <c r="U106" i="140"/>
  <c r="AL106" i="140" s="1"/>
  <c r="AV105" i="140" s="1"/>
  <c r="H58" i="138"/>
  <c r="H119" i="138"/>
  <c r="H123" i="138" s="1"/>
  <c r="H43" i="138"/>
  <c r="H56" i="138"/>
  <c r="H46" i="138"/>
  <c r="H41" i="138"/>
  <c r="J58" i="141"/>
  <c r="J53" i="141"/>
  <c r="J51" i="141"/>
  <c r="U109" i="137"/>
  <c r="AL109" i="137" s="1"/>
  <c r="AV108" i="137" s="1"/>
  <c r="J44" i="141"/>
  <c r="C53" i="141"/>
  <c r="J47" i="141"/>
  <c r="O99" i="139"/>
  <c r="AL99" i="139" s="1"/>
  <c r="AV99" i="139" s="1"/>
  <c r="J52" i="141"/>
  <c r="C45" i="141"/>
  <c r="J43" i="141"/>
  <c r="C48" i="141"/>
  <c r="J41" i="141"/>
  <c r="J46" i="141"/>
  <c r="C41" i="141"/>
  <c r="C42" i="141"/>
  <c r="J48" i="141"/>
  <c r="U107" i="139"/>
  <c r="AL107" i="139" s="1"/>
  <c r="AV106" i="139" s="1"/>
  <c r="U101" i="137"/>
  <c r="AL101" i="137" s="1"/>
  <c r="C119" i="141"/>
  <c r="C123" i="141" s="1"/>
  <c r="C34" i="141"/>
  <c r="J45" i="141"/>
  <c r="J59" i="141"/>
  <c r="C55" i="141"/>
  <c r="C49" i="141"/>
  <c r="J50" i="141"/>
  <c r="AG108" i="138"/>
  <c r="AP108" i="138" s="1"/>
  <c r="AZ107" i="138" s="1"/>
  <c r="C56" i="141"/>
  <c r="C58" i="141"/>
  <c r="J119" i="141"/>
  <c r="J123" i="141" s="1"/>
  <c r="C51" i="141"/>
  <c r="AA96" i="138"/>
  <c r="AP96" i="138" s="1"/>
  <c r="AZ96" i="138" s="1"/>
  <c r="J54" i="141"/>
  <c r="C50" i="141"/>
  <c r="C43" i="141"/>
  <c r="J34" i="141"/>
  <c r="J49" i="141"/>
  <c r="O97" i="139"/>
  <c r="AL97" i="139" s="1"/>
  <c r="AV97" i="139" s="1"/>
  <c r="J40" i="141"/>
  <c r="C59" i="141"/>
  <c r="C46" i="141"/>
  <c r="J57" i="141"/>
  <c r="J56" i="141"/>
  <c r="J55" i="141"/>
  <c r="C44" i="141"/>
  <c r="P105" i="138"/>
  <c r="AM105" i="138" s="1"/>
  <c r="AW104" i="138" s="1"/>
  <c r="AB106" i="138"/>
  <c r="AQ106" i="138" s="1"/>
  <c r="BA105" i="138" s="1"/>
  <c r="V95" i="139"/>
  <c r="AM95" i="139" s="1"/>
  <c r="AW95" i="139" s="1"/>
  <c r="L51" i="140"/>
  <c r="Y102" i="140" s="1"/>
  <c r="L119" i="140"/>
  <c r="L121" i="140" s="1"/>
  <c r="L125" i="140" s="1"/>
  <c r="L48" i="137"/>
  <c r="Y99" i="137" s="1"/>
  <c r="L58" i="140"/>
  <c r="AE109" i="140" s="1"/>
  <c r="L55" i="140"/>
  <c r="Y106" i="140" s="1"/>
  <c r="L41" i="140"/>
  <c r="Y92" i="140" s="1"/>
  <c r="L34" i="140"/>
  <c r="L45" i="140"/>
  <c r="Y96" i="140" s="1"/>
  <c r="L43" i="140"/>
  <c r="AE94" i="140" s="1"/>
  <c r="L40" i="140"/>
  <c r="AE91" i="140" s="1"/>
  <c r="L52" i="140"/>
  <c r="AE103" i="140" s="1"/>
  <c r="L43" i="137"/>
  <c r="AE94" i="137" s="1"/>
  <c r="AA107" i="141"/>
  <c r="AP107" i="141" s="1"/>
  <c r="AZ106" i="141" s="1"/>
  <c r="L49" i="140"/>
  <c r="AE100" i="140" s="1"/>
  <c r="L53" i="140"/>
  <c r="Y104" i="140" s="1"/>
  <c r="L54" i="140"/>
  <c r="AE105" i="140" s="1"/>
  <c r="L46" i="140"/>
  <c r="Y97" i="140" s="1"/>
  <c r="L48" i="140"/>
  <c r="AE99" i="140" s="1"/>
  <c r="L57" i="140"/>
  <c r="AE108" i="140" s="1"/>
  <c r="U91" i="139"/>
  <c r="AL91" i="139" s="1"/>
  <c r="AV91" i="139" s="1"/>
  <c r="N44" i="141"/>
  <c r="D48" i="140"/>
  <c r="R99" i="140" s="1"/>
  <c r="L44" i="137"/>
  <c r="Y95" i="137" s="1"/>
  <c r="L49" i="137"/>
  <c r="Y100" i="137" s="1"/>
  <c r="J46" i="137"/>
  <c r="L51" i="137"/>
  <c r="AE102" i="137" s="1"/>
  <c r="AH104" i="141"/>
  <c r="AQ104" i="141" s="1"/>
  <c r="BA103" i="141" s="1"/>
  <c r="N40" i="141"/>
  <c r="L46" i="137"/>
  <c r="Y97" i="137" s="1"/>
  <c r="V106" i="139"/>
  <c r="AM106" i="139" s="1"/>
  <c r="AW105" i="139" s="1"/>
  <c r="O104" i="140"/>
  <c r="AL104" i="140" s="1"/>
  <c r="AV103" i="140" s="1"/>
  <c r="L40" i="137"/>
  <c r="Y91" i="137" s="1"/>
  <c r="N46" i="141"/>
  <c r="N59" i="141"/>
  <c r="L50" i="137"/>
  <c r="Y101" i="137" s="1"/>
  <c r="L42" i="137"/>
  <c r="AE93" i="137" s="1"/>
  <c r="V91" i="139"/>
  <c r="AM91" i="139" s="1"/>
  <c r="AW91" i="139" s="1"/>
  <c r="N50" i="141"/>
  <c r="D53" i="140"/>
  <c r="R104" i="140" s="1"/>
  <c r="L34" i="137"/>
  <c r="N51" i="141"/>
  <c r="L47" i="137"/>
  <c r="Y98" i="137" s="1"/>
  <c r="L54" i="137"/>
  <c r="AE105" i="137" s="1"/>
  <c r="D59" i="140"/>
  <c r="R110" i="140" s="1"/>
  <c r="J51" i="137"/>
  <c r="N42" i="141"/>
  <c r="L92" i="140"/>
  <c r="AJ92" i="140" s="1"/>
  <c r="L55" i="137"/>
  <c r="Y106" i="137" s="1"/>
  <c r="J40" i="137"/>
  <c r="V95" i="142"/>
  <c r="AM95" i="142" s="1"/>
  <c r="AW95" i="142" s="1"/>
  <c r="N34" i="141"/>
  <c r="AG98" i="142"/>
  <c r="AP98" i="142" s="1"/>
  <c r="AZ98" i="142" s="1"/>
  <c r="L53" i="137"/>
  <c r="AE104" i="137" s="1"/>
  <c r="AE92" i="137"/>
  <c r="AO92" i="137" s="1"/>
  <c r="N41" i="141"/>
  <c r="V109" i="138"/>
  <c r="AM109" i="138" s="1"/>
  <c r="AW108" i="138" s="1"/>
  <c r="L119" i="137"/>
  <c r="L121" i="137" s="1"/>
  <c r="L125" i="137" s="1"/>
  <c r="L52" i="137"/>
  <c r="AE103" i="137" s="1"/>
  <c r="J34" i="137"/>
  <c r="J119" i="137"/>
  <c r="J123" i="137" s="1"/>
  <c r="L59" i="137"/>
  <c r="AE110" i="137" s="1"/>
  <c r="D121" i="137"/>
  <c r="D125" i="137" s="1"/>
  <c r="N49" i="141"/>
  <c r="L57" i="137"/>
  <c r="AE108" i="137" s="1"/>
  <c r="L45" i="137"/>
  <c r="AE96" i="137" s="1"/>
  <c r="N119" i="141"/>
  <c r="N123" i="141" s="1"/>
  <c r="L56" i="137"/>
  <c r="Y107" i="137" s="1"/>
  <c r="AG93" i="140"/>
  <c r="AP93" i="140" s="1"/>
  <c r="AZ93" i="140" s="1"/>
  <c r="J41" i="137"/>
  <c r="L58" i="137"/>
  <c r="Y109" i="137" s="1"/>
  <c r="D59" i="141"/>
  <c r="L110" i="141" s="1"/>
  <c r="C52" i="142"/>
  <c r="C56" i="142"/>
  <c r="D41" i="141"/>
  <c r="R92" i="141" s="1"/>
  <c r="D49" i="141"/>
  <c r="L100" i="141" s="1"/>
  <c r="D57" i="141"/>
  <c r="R108" i="141" s="1"/>
  <c r="AG98" i="139"/>
  <c r="AP98" i="139" s="1"/>
  <c r="AZ98" i="139" s="1"/>
  <c r="P99" i="139"/>
  <c r="AM99" i="139" s="1"/>
  <c r="AW99" i="139" s="1"/>
  <c r="D46" i="141"/>
  <c r="L97" i="141" s="1"/>
  <c r="N48" i="142"/>
  <c r="C49" i="142"/>
  <c r="C40" i="142"/>
  <c r="C43" i="142"/>
  <c r="C44" i="142"/>
  <c r="C59" i="142"/>
  <c r="N58" i="142"/>
  <c r="D51" i="141"/>
  <c r="R102" i="141" s="1"/>
  <c r="G48" i="139"/>
  <c r="N43" i="142"/>
  <c r="N34" i="142"/>
  <c r="D54" i="141"/>
  <c r="L105" i="141" s="1"/>
  <c r="D56" i="141"/>
  <c r="R107" i="141" s="1"/>
  <c r="D44" i="141"/>
  <c r="R95" i="141" s="1"/>
  <c r="D58" i="141"/>
  <c r="L109" i="141" s="1"/>
  <c r="C51" i="142"/>
  <c r="C54" i="142"/>
  <c r="C41" i="142"/>
  <c r="C58" i="142"/>
  <c r="L96" i="141"/>
  <c r="AJ96" i="141" s="1"/>
  <c r="N59" i="142"/>
  <c r="N56" i="142"/>
  <c r="N50" i="142"/>
  <c r="N54" i="142"/>
  <c r="C46" i="142"/>
  <c r="N51" i="142"/>
  <c r="N44" i="142"/>
  <c r="N47" i="142"/>
  <c r="N49" i="142"/>
  <c r="N53" i="142"/>
  <c r="N41" i="142"/>
  <c r="D43" i="141"/>
  <c r="R94" i="141" s="1"/>
  <c r="C42" i="142"/>
  <c r="C50" i="142"/>
  <c r="C57" i="142"/>
  <c r="C34" i="142"/>
  <c r="AB99" i="141"/>
  <c r="AQ99" i="141" s="1"/>
  <c r="BA99" i="141" s="1"/>
  <c r="N52" i="142"/>
  <c r="N55" i="142"/>
  <c r="O98" i="140"/>
  <c r="AL98" i="140" s="1"/>
  <c r="AV98" i="140" s="1"/>
  <c r="N42" i="142"/>
  <c r="D50" i="141"/>
  <c r="R101" i="141" s="1"/>
  <c r="D119" i="141"/>
  <c r="D121" i="141" s="1"/>
  <c r="D125" i="141" s="1"/>
  <c r="D42" i="141"/>
  <c r="L93" i="141" s="1"/>
  <c r="V93" i="137"/>
  <c r="AM93" i="137" s="1"/>
  <c r="AW93" i="137" s="1"/>
  <c r="D47" i="141"/>
  <c r="L98" i="141" s="1"/>
  <c r="K53" i="138"/>
  <c r="X104" i="138" s="1"/>
  <c r="C119" i="142"/>
  <c r="C123" i="142" s="1"/>
  <c r="D48" i="141"/>
  <c r="L99" i="141" s="1"/>
  <c r="N119" i="142"/>
  <c r="N123" i="142" s="1"/>
  <c r="C48" i="142"/>
  <c r="D52" i="141"/>
  <c r="L103" i="141" s="1"/>
  <c r="AB103" i="140"/>
  <c r="AQ103" i="140" s="1"/>
  <c r="N46" i="142"/>
  <c r="AG94" i="138"/>
  <c r="AP94" i="138" s="1"/>
  <c r="AZ94" i="138" s="1"/>
  <c r="G46" i="139"/>
  <c r="V106" i="137"/>
  <c r="AM106" i="137" s="1"/>
  <c r="AW105" i="137" s="1"/>
  <c r="D34" i="141"/>
  <c r="D55" i="141"/>
  <c r="L106" i="141" s="1"/>
  <c r="D40" i="141"/>
  <c r="R91" i="141" s="1"/>
  <c r="V101" i="139"/>
  <c r="AM101" i="139" s="1"/>
  <c r="K40" i="140"/>
  <c r="AD91" i="140" s="1"/>
  <c r="P96" i="139"/>
  <c r="AM96" i="139" s="1"/>
  <c r="AW96" i="139" s="1"/>
  <c r="U100" i="139"/>
  <c r="AL100" i="139" s="1"/>
  <c r="AV100" i="139" s="1"/>
  <c r="V98" i="139"/>
  <c r="AM98" i="139" s="1"/>
  <c r="AW98" i="139" s="1"/>
  <c r="V100" i="139"/>
  <c r="AM100" i="139" s="1"/>
  <c r="AW100" i="139" s="1"/>
  <c r="K42" i="138"/>
  <c r="AD93" i="138" s="1"/>
  <c r="K51" i="138"/>
  <c r="AD102" i="138" s="1"/>
  <c r="AG100" i="142"/>
  <c r="AP100" i="142" s="1"/>
  <c r="AZ100" i="142" s="1"/>
  <c r="O51" i="140"/>
  <c r="O43" i="140"/>
  <c r="K45" i="138"/>
  <c r="X96" i="138" s="1"/>
  <c r="K49" i="138"/>
  <c r="X100" i="138" s="1"/>
  <c r="K47" i="138"/>
  <c r="AD98" i="138" s="1"/>
  <c r="K58" i="138"/>
  <c r="AD109" i="138" s="1"/>
  <c r="O58" i="140"/>
  <c r="K50" i="138"/>
  <c r="X101" i="138" s="1"/>
  <c r="K44" i="138"/>
  <c r="X95" i="138" s="1"/>
  <c r="U101" i="138"/>
  <c r="AL101" i="138" s="1"/>
  <c r="O34" i="140"/>
  <c r="O119" i="140"/>
  <c r="O123" i="140" s="1"/>
  <c r="K119" i="138"/>
  <c r="K121" i="138" s="1"/>
  <c r="K125" i="138" s="1"/>
  <c r="K46" i="138"/>
  <c r="AD97" i="138" s="1"/>
  <c r="O58" i="138"/>
  <c r="K59" i="138"/>
  <c r="AD110" i="138" s="1"/>
  <c r="O40" i="138"/>
  <c r="G53" i="137"/>
  <c r="G40" i="137"/>
  <c r="K40" i="138"/>
  <c r="X91" i="138" s="1"/>
  <c r="J40" i="139"/>
  <c r="O56" i="140"/>
  <c r="O55" i="140"/>
  <c r="K54" i="138"/>
  <c r="AD105" i="138" s="1"/>
  <c r="AH92" i="138"/>
  <c r="AQ92" i="138" s="1"/>
  <c r="BA92" i="138" s="1"/>
  <c r="U107" i="142"/>
  <c r="AL107" i="142" s="1"/>
  <c r="AV106" i="142" s="1"/>
  <c r="O59" i="140"/>
  <c r="O50" i="140"/>
  <c r="U100" i="138"/>
  <c r="AL100" i="138" s="1"/>
  <c r="AV100" i="138" s="1"/>
  <c r="AA91" i="137"/>
  <c r="AP91" i="137" s="1"/>
  <c r="AZ91" i="137" s="1"/>
  <c r="K55" i="138"/>
  <c r="AD106" i="138" s="1"/>
  <c r="AD99" i="138"/>
  <c r="AN99" i="138" s="1"/>
  <c r="O42" i="138"/>
  <c r="O40" i="140"/>
  <c r="K56" i="138"/>
  <c r="X107" i="138" s="1"/>
  <c r="K52" i="138"/>
  <c r="AD103" i="138" s="1"/>
  <c r="K34" i="138"/>
  <c r="G51" i="137"/>
  <c r="O46" i="140"/>
  <c r="O52" i="140"/>
  <c r="O41" i="140"/>
  <c r="O57" i="140"/>
  <c r="K43" i="138"/>
  <c r="X94" i="138" s="1"/>
  <c r="D59" i="139"/>
  <c r="L110" i="139" s="1"/>
  <c r="D42" i="139"/>
  <c r="L93" i="139" s="1"/>
  <c r="AH94" i="138"/>
  <c r="AQ94" i="138" s="1"/>
  <c r="BA94" i="138" s="1"/>
  <c r="D44" i="139"/>
  <c r="L95" i="139" s="1"/>
  <c r="D48" i="139"/>
  <c r="R99" i="139" s="1"/>
  <c r="D51" i="139"/>
  <c r="L102" i="139" s="1"/>
  <c r="D41" i="139"/>
  <c r="R92" i="139" s="1"/>
  <c r="D34" i="139"/>
  <c r="BA104" i="137"/>
  <c r="V94" i="140"/>
  <c r="AM94" i="140" s="1"/>
  <c r="AW94" i="140" s="1"/>
  <c r="V102" i="139"/>
  <c r="AM102" i="139" s="1"/>
  <c r="AW102" i="139" s="1"/>
  <c r="D40" i="139"/>
  <c r="L91" i="139" s="1"/>
  <c r="D58" i="139"/>
  <c r="R109" i="139" s="1"/>
  <c r="D55" i="139"/>
  <c r="L106" i="139" s="1"/>
  <c r="D45" i="139"/>
  <c r="R96" i="139" s="1"/>
  <c r="D57" i="139"/>
  <c r="L108" i="139" s="1"/>
  <c r="L94" i="139"/>
  <c r="AJ94" i="139" s="1"/>
  <c r="D56" i="139"/>
  <c r="R107" i="139" s="1"/>
  <c r="D119" i="139"/>
  <c r="D121" i="139" s="1"/>
  <c r="D125" i="139" s="1"/>
  <c r="D50" i="139"/>
  <c r="R101" i="139" s="1"/>
  <c r="D52" i="139"/>
  <c r="L103" i="139" s="1"/>
  <c r="AB98" i="138"/>
  <c r="AQ98" i="138" s="1"/>
  <c r="BA98" i="138" s="1"/>
  <c r="D46" i="139"/>
  <c r="R97" i="139" s="1"/>
  <c r="D54" i="139"/>
  <c r="L105" i="139" s="1"/>
  <c r="U98" i="141"/>
  <c r="AL98" i="141" s="1"/>
  <c r="AV98" i="141" s="1"/>
  <c r="J52" i="142"/>
  <c r="G53" i="140"/>
  <c r="U105" i="140"/>
  <c r="AL105" i="140" s="1"/>
  <c r="AV104" i="140" s="1"/>
  <c r="P110" i="140"/>
  <c r="AM110" i="140" s="1"/>
  <c r="AW109" i="140" s="1"/>
  <c r="AB106" i="141"/>
  <c r="AQ106" i="141" s="1"/>
  <c r="BA105" i="141" s="1"/>
  <c r="J44" i="142"/>
  <c r="P94" i="139"/>
  <c r="AM94" i="139" s="1"/>
  <c r="AW94" i="139" s="1"/>
  <c r="Q80" i="141"/>
  <c r="AG99" i="142"/>
  <c r="AP99" i="142" s="1"/>
  <c r="AZ99" i="142" s="1"/>
  <c r="J57" i="142"/>
  <c r="H49" i="142"/>
  <c r="D50" i="137"/>
  <c r="R101" i="137" s="1"/>
  <c r="L57" i="139"/>
  <c r="AE108" i="139" s="1"/>
  <c r="J40" i="142"/>
  <c r="J59" i="142"/>
  <c r="H119" i="142"/>
  <c r="H123" i="142" s="1"/>
  <c r="G34" i="140"/>
  <c r="V110" i="139"/>
  <c r="AM110" i="139" s="1"/>
  <c r="AW109" i="139" s="1"/>
  <c r="H44" i="142"/>
  <c r="J50" i="142"/>
  <c r="K56" i="139"/>
  <c r="AD107" i="139" s="1"/>
  <c r="G119" i="140"/>
  <c r="G123" i="140" s="1"/>
  <c r="V103" i="140"/>
  <c r="AM103" i="140" s="1"/>
  <c r="C40" i="138"/>
  <c r="J56" i="138"/>
  <c r="C48" i="138"/>
  <c r="J45" i="138"/>
  <c r="C53" i="138"/>
  <c r="C58" i="138"/>
  <c r="C54" i="138"/>
  <c r="J119" i="138"/>
  <c r="J123" i="138" s="1"/>
  <c r="C42" i="138"/>
  <c r="AG91" i="142"/>
  <c r="AP91" i="142" s="1"/>
  <c r="AZ91" i="142" s="1"/>
  <c r="AG99" i="138"/>
  <c r="AP99" i="138" s="1"/>
  <c r="AZ99" i="138" s="1"/>
  <c r="AA105" i="141"/>
  <c r="AP105" i="141" s="1"/>
  <c r="AZ104" i="141" s="1"/>
  <c r="AG92" i="141"/>
  <c r="AP92" i="141" s="1"/>
  <c r="AZ92" i="141" s="1"/>
  <c r="AG104" i="142"/>
  <c r="AP104" i="142" s="1"/>
  <c r="AZ103" i="142" s="1"/>
  <c r="C34" i="138"/>
  <c r="O98" i="142"/>
  <c r="AL98" i="142" s="1"/>
  <c r="AV98" i="142" s="1"/>
  <c r="C49" i="138"/>
  <c r="U108" i="138"/>
  <c r="AL108" i="138" s="1"/>
  <c r="AV107" i="138" s="1"/>
  <c r="R80" i="142"/>
  <c r="O91" i="138"/>
  <c r="AL91" i="138" s="1"/>
  <c r="AV91" i="138" s="1"/>
  <c r="AG97" i="140"/>
  <c r="AP97" i="140" s="1"/>
  <c r="AZ97" i="140" s="1"/>
  <c r="V104" i="139"/>
  <c r="AM104" i="139" s="1"/>
  <c r="AW103" i="139" s="1"/>
  <c r="AH108" i="141"/>
  <c r="AQ108" i="141" s="1"/>
  <c r="BA107" i="141" s="1"/>
  <c r="P92" i="142"/>
  <c r="AM92" i="142" s="1"/>
  <c r="AW92" i="142" s="1"/>
  <c r="O54" i="140"/>
  <c r="V99" i="140"/>
  <c r="P99" i="140"/>
  <c r="AZ109" i="139"/>
  <c r="V80" i="139"/>
  <c r="L119" i="139"/>
  <c r="L121" i="139" s="1"/>
  <c r="L125" i="139" s="1"/>
  <c r="P109" i="139"/>
  <c r="AM109" i="139" s="1"/>
  <c r="AW108" i="139" s="1"/>
  <c r="C50" i="138"/>
  <c r="L50" i="139"/>
  <c r="Y101" i="139" s="1"/>
  <c r="P106" i="142"/>
  <c r="AM106" i="142" s="1"/>
  <c r="AW105" i="142" s="1"/>
  <c r="J56" i="137"/>
  <c r="J50" i="137"/>
  <c r="V94" i="137"/>
  <c r="AM94" i="137" s="1"/>
  <c r="AW94" i="137" s="1"/>
  <c r="J58" i="137"/>
  <c r="H45" i="142"/>
  <c r="H57" i="142"/>
  <c r="H50" i="142"/>
  <c r="P105" i="142"/>
  <c r="AM105" i="142" s="1"/>
  <c r="AW104" i="142" s="1"/>
  <c r="AG103" i="137"/>
  <c r="AP103" i="137" s="1"/>
  <c r="H47" i="142"/>
  <c r="U95" i="140"/>
  <c r="AL95" i="140" s="1"/>
  <c r="AV95" i="140" s="1"/>
  <c r="C41" i="138"/>
  <c r="C44" i="138"/>
  <c r="P108" i="139"/>
  <c r="AM108" i="139" s="1"/>
  <c r="AW107" i="139" s="1"/>
  <c r="C52" i="138"/>
  <c r="L47" i="139"/>
  <c r="Y98" i="139" s="1"/>
  <c r="G119" i="141"/>
  <c r="G123" i="141" s="1"/>
  <c r="C56" i="138"/>
  <c r="J48" i="137"/>
  <c r="J57" i="137"/>
  <c r="H43" i="142"/>
  <c r="L56" i="139"/>
  <c r="AE107" i="139" s="1"/>
  <c r="AH101" i="138"/>
  <c r="AQ101" i="138" s="1"/>
  <c r="K34" i="140"/>
  <c r="C55" i="138"/>
  <c r="AE94" i="139"/>
  <c r="AO94" i="139" s="1"/>
  <c r="J59" i="137"/>
  <c r="H40" i="142"/>
  <c r="L48" i="139"/>
  <c r="AE99" i="139" s="1"/>
  <c r="L45" i="139"/>
  <c r="Y96" i="139" s="1"/>
  <c r="O92" i="137"/>
  <c r="AL92" i="137" s="1"/>
  <c r="AV92" i="137" s="1"/>
  <c r="J42" i="137"/>
  <c r="J55" i="137"/>
  <c r="U95" i="139"/>
  <c r="AL95" i="139" s="1"/>
  <c r="AV95" i="139" s="1"/>
  <c r="AG100" i="138"/>
  <c r="AP100" i="138" s="1"/>
  <c r="AZ100" i="138" s="1"/>
  <c r="N53" i="137"/>
  <c r="H46" i="142"/>
  <c r="H58" i="142"/>
  <c r="H53" i="142"/>
  <c r="J54" i="137"/>
  <c r="L34" i="139"/>
  <c r="L53" i="139"/>
  <c r="AE104" i="139" s="1"/>
  <c r="C57" i="138"/>
  <c r="AB94" i="140"/>
  <c r="AQ94" i="140" s="1"/>
  <c r="BA94" i="140" s="1"/>
  <c r="AG97" i="138"/>
  <c r="AP97" i="138" s="1"/>
  <c r="AZ97" i="138" s="1"/>
  <c r="L46" i="139"/>
  <c r="AE97" i="139" s="1"/>
  <c r="G41" i="141"/>
  <c r="O93" i="138"/>
  <c r="AL93" i="138" s="1"/>
  <c r="AV93" i="138" s="1"/>
  <c r="O100" i="137"/>
  <c r="AL100" i="137" s="1"/>
  <c r="AV100" i="137" s="1"/>
  <c r="P107" i="139"/>
  <c r="AM107" i="139" s="1"/>
  <c r="AW106" i="139" s="1"/>
  <c r="J47" i="137"/>
  <c r="V92" i="139"/>
  <c r="AM92" i="139" s="1"/>
  <c r="AW92" i="139" s="1"/>
  <c r="H34" i="142"/>
  <c r="U80" i="138"/>
  <c r="AH96" i="141"/>
  <c r="AQ96" i="141" s="1"/>
  <c r="BA96" i="141" s="1"/>
  <c r="L55" i="139"/>
  <c r="Y106" i="139" s="1"/>
  <c r="C59" i="138"/>
  <c r="C46" i="138"/>
  <c r="J53" i="137"/>
  <c r="J45" i="137"/>
  <c r="L59" i="139"/>
  <c r="AE110" i="139" s="1"/>
  <c r="C45" i="138"/>
  <c r="U96" i="142"/>
  <c r="AL96" i="142" s="1"/>
  <c r="AV96" i="142" s="1"/>
  <c r="J43" i="137"/>
  <c r="J44" i="137"/>
  <c r="AG110" i="138"/>
  <c r="AP110" i="138" s="1"/>
  <c r="AZ109" i="138" s="1"/>
  <c r="U101" i="140"/>
  <c r="AL101" i="140" s="1"/>
  <c r="H51" i="142"/>
  <c r="C121" i="138"/>
  <c r="C125" i="138" s="1"/>
  <c r="C126" i="138" s="1"/>
  <c r="C127" i="138" s="1"/>
  <c r="AB110" i="141"/>
  <c r="AQ110" i="141" s="1"/>
  <c r="BA109" i="141" s="1"/>
  <c r="V91" i="138"/>
  <c r="AM91" i="138" s="1"/>
  <c r="AW91" i="138" s="1"/>
  <c r="L40" i="139"/>
  <c r="AE91" i="139" s="1"/>
  <c r="H59" i="142"/>
  <c r="N59" i="137"/>
  <c r="L42" i="139"/>
  <c r="AE93" i="139" s="1"/>
  <c r="L44" i="139"/>
  <c r="AE95" i="139" s="1"/>
  <c r="L52" i="139"/>
  <c r="AE103" i="139" s="1"/>
  <c r="C51" i="138"/>
  <c r="L41" i="139"/>
  <c r="AE92" i="139" s="1"/>
  <c r="L54" i="139"/>
  <c r="AE105" i="139" s="1"/>
  <c r="G43" i="141"/>
  <c r="J52" i="137"/>
  <c r="AB92" i="140"/>
  <c r="AQ92" i="140" s="1"/>
  <c r="BA92" i="140" s="1"/>
  <c r="H54" i="142"/>
  <c r="H48" i="142"/>
  <c r="N40" i="137"/>
  <c r="C47" i="138"/>
  <c r="C43" i="138"/>
  <c r="L49" i="139"/>
  <c r="Y100" i="139" s="1"/>
  <c r="L58" i="139"/>
  <c r="AE109" i="139" s="1"/>
  <c r="L51" i="139"/>
  <c r="Y102" i="139" s="1"/>
  <c r="H52" i="142"/>
  <c r="H55" i="142"/>
  <c r="H56" i="142"/>
  <c r="H42" i="142"/>
  <c r="G119" i="142"/>
  <c r="G123" i="142" s="1"/>
  <c r="V91" i="142"/>
  <c r="AM91" i="142" s="1"/>
  <c r="AW91" i="142" s="1"/>
  <c r="J44" i="138"/>
  <c r="N58" i="141"/>
  <c r="J42" i="138"/>
  <c r="J52" i="138"/>
  <c r="D45" i="137"/>
  <c r="L96" i="137" s="1"/>
  <c r="D54" i="137"/>
  <c r="L105" i="137" s="1"/>
  <c r="D43" i="137"/>
  <c r="R94" i="137" s="1"/>
  <c r="N52" i="141"/>
  <c r="AG104" i="141"/>
  <c r="AP104" i="141" s="1"/>
  <c r="AZ103" i="141" s="1"/>
  <c r="J34" i="138"/>
  <c r="J40" i="138"/>
  <c r="D58" i="137"/>
  <c r="R109" i="137" s="1"/>
  <c r="D59" i="137"/>
  <c r="L110" i="137" s="1"/>
  <c r="U101" i="139"/>
  <c r="AL101" i="139" s="1"/>
  <c r="AV101" i="139" s="1"/>
  <c r="AG93" i="137"/>
  <c r="AP93" i="137" s="1"/>
  <c r="AZ93" i="137" s="1"/>
  <c r="J53" i="138"/>
  <c r="N47" i="141"/>
  <c r="AB102" i="140"/>
  <c r="AQ102" i="140" s="1"/>
  <c r="BA102" i="140" s="1"/>
  <c r="O94" i="139"/>
  <c r="AL94" i="139" s="1"/>
  <c r="AV94" i="139" s="1"/>
  <c r="J57" i="138"/>
  <c r="U109" i="138"/>
  <c r="AL109" i="138" s="1"/>
  <c r="AV108" i="138" s="1"/>
  <c r="J43" i="138"/>
  <c r="J46" i="138"/>
  <c r="D57" i="137"/>
  <c r="L108" i="137" s="1"/>
  <c r="D47" i="137"/>
  <c r="R98" i="137" s="1"/>
  <c r="N54" i="141"/>
  <c r="J49" i="138"/>
  <c r="J51" i="138"/>
  <c r="D42" i="137"/>
  <c r="L93" i="137" s="1"/>
  <c r="D46" i="137"/>
  <c r="L97" i="137" s="1"/>
  <c r="D49" i="137"/>
  <c r="L100" i="137" s="1"/>
  <c r="AH105" i="141"/>
  <c r="AB105" i="141"/>
  <c r="N55" i="141"/>
  <c r="J55" i="138"/>
  <c r="J58" i="138"/>
  <c r="D52" i="137"/>
  <c r="L103" i="137" s="1"/>
  <c r="D41" i="137"/>
  <c r="R92" i="137" s="1"/>
  <c r="D44" i="137"/>
  <c r="L95" i="137" s="1"/>
  <c r="AB101" i="141"/>
  <c r="AH101" i="141"/>
  <c r="N43" i="141"/>
  <c r="AB96" i="137"/>
  <c r="AQ96" i="137" s="1"/>
  <c r="BA96" i="137" s="1"/>
  <c r="J54" i="138"/>
  <c r="D48" i="137"/>
  <c r="R99" i="137" s="1"/>
  <c r="D40" i="137"/>
  <c r="R91" i="137" s="1"/>
  <c r="V108" i="137"/>
  <c r="AM108" i="137" s="1"/>
  <c r="AW107" i="137" s="1"/>
  <c r="AA98" i="140"/>
  <c r="AP98" i="140" s="1"/>
  <c r="AZ98" i="140" s="1"/>
  <c r="U102" i="137"/>
  <c r="AL102" i="137" s="1"/>
  <c r="AV102" i="137" s="1"/>
  <c r="J50" i="138"/>
  <c r="J48" i="138"/>
  <c r="J41" i="138"/>
  <c r="D53" i="137"/>
  <c r="R104" i="137" s="1"/>
  <c r="D51" i="137"/>
  <c r="L102" i="137" s="1"/>
  <c r="D55" i="137"/>
  <c r="R106" i="137" s="1"/>
  <c r="D56" i="137"/>
  <c r="R107" i="137" s="1"/>
  <c r="O91" i="137"/>
  <c r="AL91" i="137" s="1"/>
  <c r="AV91" i="137" s="1"/>
  <c r="J59" i="138"/>
  <c r="D34" i="137"/>
  <c r="AG92" i="138"/>
  <c r="AP92" i="138" s="1"/>
  <c r="AZ92" i="138" s="1"/>
  <c r="L48" i="142"/>
  <c r="AE99" i="142" s="1"/>
  <c r="L50" i="142"/>
  <c r="AE101" i="142" s="1"/>
  <c r="L47" i="142"/>
  <c r="Y98" i="142" s="1"/>
  <c r="O94" i="140"/>
  <c r="AL94" i="140" s="1"/>
  <c r="AV94" i="140" s="1"/>
  <c r="U108" i="142"/>
  <c r="AL108" i="142" s="1"/>
  <c r="AV107" i="142" s="1"/>
  <c r="L43" i="142"/>
  <c r="AE94" i="142" s="1"/>
  <c r="AG110" i="142"/>
  <c r="AP110" i="142" s="1"/>
  <c r="AZ109" i="142" s="1"/>
  <c r="O108" i="139"/>
  <c r="AL108" i="139" s="1"/>
  <c r="AV107" i="139" s="1"/>
  <c r="P95" i="137"/>
  <c r="AM95" i="137" s="1"/>
  <c r="AW95" i="137" s="1"/>
  <c r="U95" i="142"/>
  <c r="AL95" i="142" s="1"/>
  <c r="AV95" i="142" s="1"/>
  <c r="H42" i="137"/>
  <c r="O102" i="138"/>
  <c r="AL102" i="138" s="1"/>
  <c r="AV102" i="138" s="1"/>
  <c r="E58" i="139"/>
  <c r="S109" i="139" s="1"/>
  <c r="AH91" i="137"/>
  <c r="AQ91" i="137" s="1"/>
  <c r="BA91" i="137" s="1"/>
  <c r="P104" i="138"/>
  <c r="AM104" i="138" s="1"/>
  <c r="AW103" i="138" s="1"/>
  <c r="O96" i="138"/>
  <c r="AL96" i="138" s="1"/>
  <c r="AV96" i="138" s="1"/>
  <c r="O100" i="142"/>
  <c r="AL100" i="142" s="1"/>
  <c r="AV100" i="142" s="1"/>
  <c r="AV96" i="137"/>
  <c r="AG107" i="138"/>
  <c r="AP107" i="138" s="1"/>
  <c r="AZ106" i="138" s="1"/>
  <c r="P97" i="142"/>
  <c r="AM97" i="142" s="1"/>
  <c r="AW97" i="142" s="1"/>
  <c r="V110" i="138"/>
  <c r="AM110" i="138" s="1"/>
  <c r="AW109" i="138" s="1"/>
  <c r="AG102" i="138"/>
  <c r="AP102" i="138" s="1"/>
  <c r="AZ102" i="138" s="1"/>
  <c r="AH108" i="137"/>
  <c r="AQ108" i="137" s="1"/>
  <c r="BA107" i="137" s="1"/>
  <c r="P99" i="138"/>
  <c r="AM99" i="138" s="1"/>
  <c r="AW99" i="138" s="1"/>
  <c r="AG93" i="138"/>
  <c r="AP93" i="138" s="1"/>
  <c r="AZ93" i="138" s="1"/>
  <c r="U95" i="138"/>
  <c r="AL95" i="138" s="1"/>
  <c r="AV95" i="138" s="1"/>
  <c r="L46" i="142"/>
  <c r="Y97" i="142" s="1"/>
  <c r="Y108" i="142"/>
  <c r="AO108" i="142" s="1"/>
  <c r="V107" i="138"/>
  <c r="AM107" i="138" s="1"/>
  <c r="AW106" i="138" s="1"/>
  <c r="P96" i="137"/>
  <c r="AM96" i="137" s="1"/>
  <c r="AW96" i="137" s="1"/>
  <c r="AG110" i="141"/>
  <c r="AP110" i="141" s="1"/>
  <c r="AZ109" i="141" s="1"/>
  <c r="L49" i="142"/>
  <c r="AE100" i="142" s="1"/>
  <c r="O102" i="139"/>
  <c r="AL102" i="139" s="1"/>
  <c r="AV102" i="139" s="1"/>
  <c r="L34" i="142"/>
  <c r="L44" i="142"/>
  <c r="AE95" i="142" s="1"/>
  <c r="L52" i="142"/>
  <c r="AE103" i="142" s="1"/>
  <c r="L45" i="142"/>
  <c r="AE96" i="142" s="1"/>
  <c r="L55" i="142"/>
  <c r="Y106" i="142" s="1"/>
  <c r="O103" i="142"/>
  <c r="AL103" i="142" s="1"/>
  <c r="O103" i="137"/>
  <c r="AL103" i="137" s="1"/>
  <c r="L42" i="142"/>
  <c r="Y93" i="142" s="1"/>
  <c r="V101" i="138"/>
  <c r="AM101" i="138" s="1"/>
  <c r="AW101" i="138" s="1"/>
  <c r="U98" i="137"/>
  <c r="AL98" i="137" s="1"/>
  <c r="AV98" i="137" s="1"/>
  <c r="N58" i="138"/>
  <c r="N52" i="138"/>
  <c r="L41" i="142"/>
  <c r="AE92" i="142" s="1"/>
  <c r="L56" i="142"/>
  <c r="AE107" i="142" s="1"/>
  <c r="L54" i="142"/>
  <c r="Y105" i="142" s="1"/>
  <c r="L53" i="142"/>
  <c r="AE104" i="142" s="1"/>
  <c r="AB101" i="140"/>
  <c r="AQ101" i="140" s="1"/>
  <c r="N50" i="138"/>
  <c r="L40" i="142"/>
  <c r="AE91" i="142" s="1"/>
  <c r="L59" i="142"/>
  <c r="Y110" i="142" s="1"/>
  <c r="U110" i="138"/>
  <c r="AL110" i="138" s="1"/>
  <c r="AV109" i="138" s="1"/>
  <c r="O108" i="137"/>
  <c r="AL108" i="137" s="1"/>
  <c r="AV107" i="137" s="1"/>
  <c r="AW96" i="142"/>
  <c r="L119" i="142"/>
  <c r="L121" i="142" s="1"/>
  <c r="L125" i="142" s="1"/>
  <c r="AA104" i="138"/>
  <c r="AP104" i="138" s="1"/>
  <c r="AZ103" i="138" s="1"/>
  <c r="P93" i="138"/>
  <c r="AM93" i="138" s="1"/>
  <c r="AW93" i="138" s="1"/>
  <c r="O97" i="138"/>
  <c r="AL97" i="138" s="1"/>
  <c r="AV97" i="138" s="1"/>
  <c r="L51" i="142"/>
  <c r="AE102" i="142" s="1"/>
  <c r="L58" i="142"/>
  <c r="AE109" i="142" s="1"/>
  <c r="U94" i="142"/>
  <c r="AL94" i="142" s="1"/>
  <c r="AV94" i="142" s="1"/>
  <c r="K43" i="140"/>
  <c r="AD94" i="140" s="1"/>
  <c r="K41" i="140"/>
  <c r="X92" i="140" s="1"/>
  <c r="O56" i="138"/>
  <c r="G119" i="137"/>
  <c r="G123" i="137" s="1"/>
  <c r="G58" i="137"/>
  <c r="G41" i="137"/>
  <c r="G40" i="140"/>
  <c r="G44" i="140"/>
  <c r="J46" i="139"/>
  <c r="K54" i="140"/>
  <c r="AD105" i="140" s="1"/>
  <c r="K47" i="140"/>
  <c r="AD98" i="140" s="1"/>
  <c r="O45" i="138"/>
  <c r="O41" i="138"/>
  <c r="O47" i="138"/>
  <c r="O57" i="138"/>
  <c r="G47" i="137"/>
  <c r="G55" i="137"/>
  <c r="AH103" i="138"/>
  <c r="AQ103" i="138" s="1"/>
  <c r="G57" i="140"/>
  <c r="G51" i="140"/>
  <c r="J45" i="139"/>
  <c r="K56" i="140"/>
  <c r="AD107" i="140" s="1"/>
  <c r="K52" i="140"/>
  <c r="AD103" i="140" s="1"/>
  <c r="O49" i="138"/>
  <c r="O53" i="138"/>
  <c r="O44" i="138"/>
  <c r="G45" i="140"/>
  <c r="G55" i="140"/>
  <c r="J121" i="139"/>
  <c r="J125" i="139" s="1"/>
  <c r="J126" i="139" s="1"/>
  <c r="J127" i="139" s="1"/>
  <c r="J57" i="139"/>
  <c r="O55" i="138"/>
  <c r="G56" i="137"/>
  <c r="P93" i="142"/>
  <c r="AM93" i="142" s="1"/>
  <c r="AW93" i="142" s="1"/>
  <c r="O51" i="138"/>
  <c r="J41" i="139"/>
  <c r="J43" i="139"/>
  <c r="J47" i="139"/>
  <c r="K57" i="140"/>
  <c r="AD108" i="140" s="1"/>
  <c r="K53" i="140"/>
  <c r="X104" i="140" s="1"/>
  <c r="AA105" i="142"/>
  <c r="AP105" i="142" s="1"/>
  <c r="AZ104" i="142" s="1"/>
  <c r="O119" i="138"/>
  <c r="O123" i="138" s="1"/>
  <c r="O43" i="138"/>
  <c r="G59" i="140"/>
  <c r="V100" i="142"/>
  <c r="AM100" i="142" s="1"/>
  <c r="AW100" i="142" s="1"/>
  <c r="J49" i="139"/>
  <c r="J58" i="139"/>
  <c r="O50" i="138"/>
  <c r="G45" i="137"/>
  <c r="G43" i="140"/>
  <c r="G41" i="140"/>
  <c r="G57" i="137"/>
  <c r="G50" i="137"/>
  <c r="J55" i="139"/>
  <c r="P104" i="142"/>
  <c r="AM104" i="142" s="1"/>
  <c r="AW103" i="142" s="1"/>
  <c r="C54" i="141"/>
  <c r="C47" i="141"/>
  <c r="K46" i="140"/>
  <c r="X97" i="140" s="1"/>
  <c r="G48" i="137"/>
  <c r="G44" i="137"/>
  <c r="G49" i="137"/>
  <c r="G42" i="140"/>
  <c r="G34" i="137"/>
  <c r="O34" i="138"/>
  <c r="J44" i="139"/>
  <c r="J42" i="139"/>
  <c r="AA108" i="142"/>
  <c r="AP108" i="142" s="1"/>
  <c r="AZ107" i="142" s="1"/>
  <c r="G46" i="140"/>
  <c r="J56" i="139"/>
  <c r="J50" i="139"/>
  <c r="J53" i="139"/>
  <c r="K42" i="140"/>
  <c r="X93" i="140" s="1"/>
  <c r="K45" i="140"/>
  <c r="X96" i="140" s="1"/>
  <c r="AH104" i="138"/>
  <c r="AQ104" i="138" s="1"/>
  <c r="BA103" i="138" s="1"/>
  <c r="G43" i="137"/>
  <c r="G42" i="137"/>
  <c r="G50" i="140"/>
  <c r="G54" i="140"/>
  <c r="O104" i="137"/>
  <c r="AL104" i="137" s="1"/>
  <c r="AV103" i="137" s="1"/>
  <c r="J48" i="139"/>
  <c r="J34" i="139"/>
  <c r="G47" i="140"/>
  <c r="V80" i="140"/>
  <c r="K59" i="140"/>
  <c r="X110" i="140" s="1"/>
  <c r="K48" i="140"/>
  <c r="X99" i="140" s="1"/>
  <c r="K58" i="140"/>
  <c r="AD109" i="140" s="1"/>
  <c r="O46" i="138"/>
  <c r="O54" i="138"/>
  <c r="O52" i="138"/>
  <c r="G59" i="137"/>
  <c r="G54" i="137"/>
  <c r="G58" i="140"/>
  <c r="G48" i="140"/>
  <c r="J59" i="139"/>
  <c r="G46" i="137"/>
  <c r="K49" i="140"/>
  <c r="AD100" i="140" s="1"/>
  <c r="K55" i="140"/>
  <c r="X106" i="140" s="1"/>
  <c r="K50" i="140"/>
  <c r="X101" i="140" s="1"/>
  <c r="K44" i="140"/>
  <c r="AD95" i="140" s="1"/>
  <c r="O48" i="138"/>
  <c r="G49" i="140"/>
  <c r="G56" i="140"/>
  <c r="U102" i="140"/>
  <c r="AL102" i="140" s="1"/>
  <c r="AV102" i="140" s="1"/>
  <c r="J51" i="139"/>
  <c r="J54" i="139"/>
  <c r="AW98" i="137"/>
  <c r="E43" i="140"/>
  <c r="M94" i="140" s="1"/>
  <c r="J43" i="140"/>
  <c r="U95" i="141"/>
  <c r="AL95" i="141" s="1"/>
  <c r="AV95" i="141" s="1"/>
  <c r="O96" i="140"/>
  <c r="AL96" i="140" s="1"/>
  <c r="AV96" i="140" s="1"/>
  <c r="AG106" i="138"/>
  <c r="AP106" i="138" s="1"/>
  <c r="AZ105" i="138" s="1"/>
  <c r="AG97" i="142"/>
  <c r="AP97" i="142" s="1"/>
  <c r="AZ97" i="142" s="1"/>
  <c r="V98" i="138"/>
  <c r="AM98" i="138" s="1"/>
  <c r="AW98" i="138" s="1"/>
  <c r="AG101" i="142"/>
  <c r="AP101" i="142" s="1"/>
  <c r="AZ101" i="142" s="1"/>
  <c r="M97" i="140"/>
  <c r="AK97" i="140" s="1"/>
  <c r="E45" i="140"/>
  <c r="S96" i="140" s="1"/>
  <c r="AH99" i="138"/>
  <c r="AQ99" i="138" s="1"/>
  <c r="BA99" i="138" s="1"/>
  <c r="J34" i="140"/>
  <c r="J54" i="140"/>
  <c r="E50" i="140"/>
  <c r="S101" i="140" s="1"/>
  <c r="E53" i="140"/>
  <c r="S104" i="140" s="1"/>
  <c r="J41" i="140"/>
  <c r="J57" i="140"/>
  <c r="E49" i="140"/>
  <c r="M100" i="140" s="1"/>
  <c r="AB107" i="140"/>
  <c r="AQ107" i="140" s="1"/>
  <c r="BA106" i="140" s="1"/>
  <c r="J52" i="140"/>
  <c r="E34" i="140"/>
  <c r="E59" i="140"/>
  <c r="S110" i="140" s="1"/>
  <c r="J40" i="140"/>
  <c r="J58" i="140"/>
  <c r="E42" i="140"/>
  <c r="M93" i="140" s="1"/>
  <c r="AZ105" i="140"/>
  <c r="O103" i="138"/>
  <c r="AL103" i="138" s="1"/>
  <c r="E48" i="140"/>
  <c r="S99" i="140" s="1"/>
  <c r="AH102" i="138"/>
  <c r="AQ102" i="138" s="1"/>
  <c r="BA102" i="138" s="1"/>
  <c r="O96" i="141"/>
  <c r="AL96" i="141" s="1"/>
  <c r="AV96" i="141" s="1"/>
  <c r="J42" i="140"/>
  <c r="AG109" i="137"/>
  <c r="AP109" i="137" s="1"/>
  <c r="AZ108" i="137" s="1"/>
  <c r="E44" i="140"/>
  <c r="S95" i="140" s="1"/>
  <c r="E40" i="140"/>
  <c r="M91" i="140" s="1"/>
  <c r="R108" i="138"/>
  <c r="AJ108" i="138" s="1"/>
  <c r="J46" i="140"/>
  <c r="J45" i="140"/>
  <c r="J49" i="140"/>
  <c r="E57" i="140"/>
  <c r="S108" i="140" s="1"/>
  <c r="E54" i="140"/>
  <c r="M105" i="140" s="1"/>
  <c r="E56" i="140"/>
  <c r="S107" i="140" s="1"/>
  <c r="J48" i="140"/>
  <c r="J119" i="140"/>
  <c r="J123" i="140" s="1"/>
  <c r="E119" i="140"/>
  <c r="E121" i="140" s="1"/>
  <c r="E125" i="140" s="1"/>
  <c r="J59" i="140"/>
  <c r="J55" i="140"/>
  <c r="K121" i="140"/>
  <c r="K125" i="140" s="1"/>
  <c r="E58" i="140"/>
  <c r="M109" i="140" s="1"/>
  <c r="P103" i="137"/>
  <c r="AM103" i="137" s="1"/>
  <c r="AG98" i="138"/>
  <c r="AP98" i="138" s="1"/>
  <c r="AZ98" i="138" s="1"/>
  <c r="J47" i="140"/>
  <c r="J56" i="140"/>
  <c r="U106" i="139"/>
  <c r="AL106" i="139" s="1"/>
  <c r="AV105" i="139" s="1"/>
  <c r="E51" i="140"/>
  <c r="M102" i="140" s="1"/>
  <c r="E47" i="140"/>
  <c r="S98" i="140" s="1"/>
  <c r="E55" i="140"/>
  <c r="S106" i="140" s="1"/>
  <c r="J51" i="140"/>
  <c r="J50" i="140"/>
  <c r="E41" i="140"/>
  <c r="M92" i="140" s="1"/>
  <c r="E52" i="140"/>
  <c r="S103" i="140" s="1"/>
  <c r="J44" i="140"/>
  <c r="K54" i="139"/>
  <c r="X105" i="139" s="1"/>
  <c r="K49" i="139"/>
  <c r="AD100" i="139" s="1"/>
  <c r="N53" i="140"/>
  <c r="O92" i="140"/>
  <c r="AL92" i="140" s="1"/>
  <c r="AV92" i="140" s="1"/>
  <c r="U105" i="137"/>
  <c r="AL105" i="137" s="1"/>
  <c r="AV104" i="137" s="1"/>
  <c r="N48" i="140"/>
  <c r="K42" i="139"/>
  <c r="AD93" i="139" s="1"/>
  <c r="K119" i="139"/>
  <c r="K121" i="139" s="1"/>
  <c r="K125" i="139" s="1"/>
  <c r="AA91" i="138"/>
  <c r="AP91" i="138" s="1"/>
  <c r="AZ91" i="138" s="1"/>
  <c r="U110" i="139"/>
  <c r="AL110" i="139" s="1"/>
  <c r="AV109" i="139" s="1"/>
  <c r="K34" i="139"/>
  <c r="K53" i="139"/>
  <c r="AD104" i="139" s="1"/>
  <c r="V107" i="142"/>
  <c r="AM107" i="142" s="1"/>
  <c r="AW106" i="142" s="1"/>
  <c r="AH96" i="138"/>
  <c r="AQ96" i="138" s="1"/>
  <c r="BA96" i="138" s="1"/>
  <c r="K52" i="139"/>
  <c r="X103" i="139" s="1"/>
  <c r="K40" i="139"/>
  <c r="X91" i="139" s="1"/>
  <c r="X109" i="139"/>
  <c r="AN109" i="139" s="1"/>
  <c r="N57" i="140"/>
  <c r="U107" i="137"/>
  <c r="AL107" i="137" s="1"/>
  <c r="AV106" i="137" s="1"/>
  <c r="O102" i="141"/>
  <c r="AL102" i="141" s="1"/>
  <c r="AV102" i="141" s="1"/>
  <c r="K43" i="139"/>
  <c r="AD94" i="139" s="1"/>
  <c r="K59" i="139"/>
  <c r="X110" i="139" s="1"/>
  <c r="K51" i="139"/>
  <c r="AD102" i="139" s="1"/>
  <c r="K45" i="139"/>
  <c r="X96" i="139" s="1"/>
  <c r="K50" i="139"/>
  <c r="X101" i="139" s="1"/>
  <c r="AG102" i="142"/>
  <c r="AP102" i="142" s="1"/>
  <c r="AZ102" i="142" s="1"/>
  <c r="O96" i="139"/>
  <c r="AL96" i="139" s="1"/>
  <c r="AV96" i="139" s="1"/>
  <c r="K55" i="139"/>
  <c r="AD106" i="139" s="1"/>
  <c r="K47" i="139"/>
  <c r="AD98" i="139" s="1"/>
  <c r="N58" i="140"/>
  <c r="AA106" i="142"/>
  <c r="AP106" i="142" s="1"/>
  <c r="AZ105" i="142" s="1"/>
  <c r="K57" i="139"/>
  <c r="AD108" i="139" s="1"/>
  <c r="K48" i="139"/>
  <c r="X99" i="139" s="1"/>
  <c r="V103" i="142"/>
  <c r="AM103" i="142" s="1"/>
  <c r="V101" i="142"/>
  <c r="AM101" i="142" s="1"/>
  <c r="K46" i="139"/>
  <c r="AD97" i="139" s="1"/>
  <c r="K41" i="139"/>
  <c r="AD92" i="139" s="1"/>
  <c r="P104" i="137"/>
  <c r="AM104" i="137" s="1"/>
  <c r="AW103" i="137" s="1"/>
  <c r="O98" i="139"/>
  <c r="AL98" i="139" s="1"/>
  <c r="AV98" i="139" s="1"/>
  <c r="K44" i="139"/>
  <c r="AD95" i="139" s="1"/>
  <c r="AG110" i="137"/>
  <c r="AP110" i="137" s="1"/>
  <c r="AZ109" i="137" s="1"/>
  <c r="AZ104" i="140"/>
  <c r="E56" i="139"/>
  <c r="S107" i="139" s="1"/>
  <c r="O109" i="141"/>
  <c r="AL109" i="141" s="1"/>
  <c r="AV108" i="141" s="1"/>
  <c r="E34" i="139"/>
  <c r="AA102" i="140"/>
  <c r="AP102" i="140" s="1"/>
  <c r="AZ102" i="140" s="1"/>
  <c r="H119" i="137"/>
  <c r="H123" i="137" s="1"/>
  <c r="E119" i="139"/>
  <c r="E121" i="139" s="1"/>
  <c r="E125" i="139" s="1"/>
  <c r="H58" i="137"/>
  <c r="U104" i="141"/>
  <c r="AL104" i="141" s="1"/>
  <c r="AV103" i="141" s="1"/>
  <c r="K51" i="140"/>
  <c r="AD102" i="140" s="1"/>
  <c r="U99" i="141"/>
  <c r="AL99" i="141" s="1"/>
  <c r="AV99" i="141" s="1"/>
  <c r="BA100" i="138"/>
  <c r="E53" i="139"/>
  <c r="S104" i="139" s="1"/>
  <c r="AW94" i="142"/>
  <c r="U106" i="137"/>
  <c r="AL106" i="137" s="1"/>
  <c r="AV105" i="137" s="1"/>
  <c r="AH92" i="137"/>
  <c r="AQ92" i="137" s="1"/>
  <c r="BA92" i="137" s="1"/>
  <c r="V80" i="137"/>
  <c r="V108" i="142"/>
  <c r="P108" i="142"/>
  <c r="AA109" i="138"/>
  <c r="AP109" i="138" s="1"/>
  <c r="AZ108" i="138" s="1"/>
  <c r="U94" i="141"/>
  <c r="AL94" i="141" s="1"/>
  <c r="AV94" i="141" s="1"/>
  <c r="AG95" i="141"/>
  <c r="AP95" i="141" s="1"/>
  <c r="AZ95" i="141" s="1"/>
  <c r="H52" i="137"/>
  <c r="P97" i="138"/>
  <c r="AM97" i="138" s="1"/>
  <c r="AW97" i="138" s="1"/>
  <c r="AG94" i="141"/>
  <c r="AP94" i="141" s="1"/>
  <c r="AZ94" i="141" s="1"/>
  <c r="AA96" i="142"/>
  <c r="AP96" i="142" s="1"/>
  <c r="AZ96" i="142" s="1"/>
  <c r="H46" i="137"/>
  <c r="V102" i="137"/>
  <c r="AM102" i="137" s="1"/>
  <c r="AW102" i="137" s="1"/>
  <c r="O99" i="142"/>
  <c r="AL99" i="142" s="1"/>
  <c r="AV99" i="142" s="1"/>
  <c r="U105" i="139"/>
  <c r="AL105" i="139" s="1"/>
  <c r="AV104" i="139" s="1"/>
  <c r="E43" i="139"/>
  <c r="M94" i="139" s="1"/>
  <c r="AG105" i="138"/>
  <c r="AP105" i="138" s="1"/>
  <c r="AZ104" i="138" s="1"/>
  <c r="H51" i="137"/>
  <c r="H49" i="137"/>
  <c r="AH104" i="140"/>
  <c r="AQ104" i="140" s="1"/>
  <c r="BA103" i="140" s="1"/>
  <c r="AA107" i="142"/>
  <c r="AP107" i="142" s="1"/>
  <c r="AZ106" i="142" s="1"/>
  <c r="E45" i="139"/>
  <c r="S96" i="139" s="1"/>
  <c r="BA103" i="142"/>
  <c r="V110" i="142"/>
  <c r="AM110" i="142" s="1"/>
  <c r="AW109" i="142" s="1"/>
  <c r="O103" i="140"/>
  <c r="AL103" i="140" s="1"/>
  <c r="O104" i="139"/>
  <c r="AL104" i="139" s="1"/>
  <c r="AV103" i="139" s="1"/>
  <c r="E54" i="142"/>
  <c r="M105" i="142" s="1"/>
  <c r="E44" i="142"/>
  <c r="S95" i="142" s="1"/>
  <c r="C34" i="139"/>
  <c r="C47" i="142"/>
  <c r="C45" i="142"/>
  <c r="C55" i="142"/>
  <c r="E46" i="142"/>
  <c r="S97" i="142" s="1"/>
  <c r="AH108" i="138"/>
  <c r="AQ108" i="138" s="1"/>
  <c r="BA107" i="138" s="1"/>
  <c r="V107" i="137"/>
  <c r="AM107" i="137" s="1"/>
  <c r="AW106" i="137" s="1"/>
  <c r="O109" i="139"/>
  <c r="AL109" i="139" s="1"/>
  <c r="AV108" i="139" s="1"/>
  <c r="O47" i="140"/>
  <c r="O94" i="137"/>
  <c r="AL94" i="137" s="1"/>
  <c r="AV94" i="137" s="1"/>
  <c r="E59" i="142"/>
  <c r="S110" i="142" s="1"/>
  <c r="O45" i="140"/>
  <c r="AV106" i="140"/>
  <c r="D44" i="140"/>
  <c r="R95" i="140" s="1"/>
  <c r="C55" i="140"/>
  <c r="G40" i="138"/>
  <c r="G43" i="139"/>
  <c r="G58" i="139"/>
  <c r="G59" i="139"/>
  <c r="AH91" i="138"/>
  <c r="AQ91" i="138" s="1"/>
  <c r="D43" i="140"/>
  <c r="L94" i="140" s="1"/>
  <c r="C51" i="140"/>
  <c r="AZ108" i="140"/>
  <c r="C42" i="140"/>
  <c r="C47" i="140"/>
  <c r="G43" i="138"/>
  <c r="D50" i="140"/>
  <c r="L101" i="140" s="1"/>
  <c r="C40" i="140"/>
  <c r="G55" i="138"/>
  <c r="G44" i="138"/>
  <c r="G58" i="138"/>
  <c r="G57" i="138"/>
  <c r="G119" i="139"/>
  <c r="G123" i="139" s="1"/>
  <c r="AA93" i="141"/>
  <c r="AP93" i="141" s="1"/>
  <c r="AZ93" i="141" s="1"/>
  <c r="D42" i="140"/>
  <c r="L93" i="140" s="1"/>
  <c r="AA93" i="142"/>
  <c r="AP93" i="142" s="1"/>
  <c r="AZ93" i="142" s="1"/>
  <c r="C119" i="140"/>
  <c r="C123" i="140" s="1"/>
  <c r="D56" i="140"/>
  <c r="R107" i="140" s="1"/>
  <c r="D52" i="140"/>
  <c r="L103" i="140" s="1"/>
  <c r="C53" i="140"/>
  <c r="C56" i="140"/>
  <c r="G41" i="138"/>
  <c r="O105" i="142"/>
  <c r="AL105" i="142" s="1"/>
  <c r="AV104" i="142" s="1"/>
  <c r="G52" i="139"/>
  <c r="V102" i="142"/>
  <c r="AM102" i="142" s="1"/>
  <c r="AW102" i="142" s="1"/>
  <c r="AH96" i="142"/>
  <c r="AB96" i="142"/>
  <c r="C50" i="140"/>
  <c r="G53" i="139"/>
  <c r="G47" i="139"/>
  <c r="D45" i="140"/>
  <c r="L96" i="140" s="1"/>
  <c r="U107" i="141"/>
  <c r="AL107" i="141" s="1"/>
  <c r="AV106" i="141" s="1"/>
  <c r="BA94" i="142"/>
  <c r="G56" i="139"/>
  <c r="G40" i="139"/>
  <c r="P108" i="138"/>
  <c r="AM108" i="138" s="1"/>
  <c r="AW107" i="138" s="1"/>
  <c r="D57" i="140"/>
  <c r="L108" i="140" s="1"/>
  <c r="D119" i="140"/>
  <c r="D121" i="140" s="1"/>
  <c r="D125" i="140" s="1"/>
  <c r="D40" i="140"/>
  <c r="L91" i="140" s="1"/>
  <c r="D58" i="140"/>
  <c r="L109" i="140" s="1"/>
  <c r="AB95" i="138"/>
  <c r="AQ95" i="138" s="1"/>
  <c r="BA95" i="138" s="1"/>
  <c r="C54" i="140"/>
  <c r="G49" i="138"/>
  <c r="G47" i="138"/>
  <c r="G50" i="138"/>
  <c r="G46" i="138"/>
  <c r="G49" i="139"/>
  <c r="G41" i="139"/>
  <c r="D55" i="140"/>
  <c r="R106" i="140" s="1"/>
  <c r="C49" i="140"/>
  <c r="C45" i="140"/>
  <c r="O97" i="141"/>
  <c r="AL97" i="141" s="1"/>
  <c r="AV97" i="141" s="1"/>
  <c r="G119" i="138"/>
  <c r="G123" i="138" s="1"/>
  <c r="G59" i="138"/>
  <c r="G54" i="138"/>
  <c r="G53" i="138"/>
  <c r="O94" i="138"/>
  <c r="AL94" i="138" s="1"/>
  <c r="AV94" i="138" s="1"/>
  <c r="G52" i="138"/>
  <c r="G57" i="139"/>
  <c r="C44" i="140"/>
  <c r="AA102" i="141"/>
  <c r="AP102" i="141" s="1"/>
  <c r="AZ102" i="141" s="1"/>
  <c r="D47" i="140"/>
  <c r="L98" i="140" s="1"/>
  <c r="D46" i="140"/>
  <c r="L97" i="140" s="1"/>
  <c r="C34" i="140"/>
  <c r="C52" i="140"/>
  <c r="G42" i="138"/>
  <c r="G51" i="138"/>
  <c r="G42" i="139"/>
  <c r="G44" i="139"/>
  <c r="AG95" i="137"/>
  <c r="AP95" i="137" s="1"/>
  <c r="AZ95" i="137" s="1"/>
  <c r="R80" i="141"/>
  <c r="D51" i="140"/>
  <c r="R102" i="140" s="1"/>
  <c r="AG92" i="142"/>
  <c r="AP92" i="142" s="1"/>
  <c r="AZ92" i="142" s="1"/>
  <c r="C57" i="140"/>
  <c r="G54" i="139"/>
  <c r="G45" i="139"/>
  <c r="G34" i="139"/>
  <c r="C48" i="140"/>
  <c r="C46" i="140"/>
  <c r="D49" i="140"/>
  <c r="R100" i="140" s="1"/>
  <c r="D34" i="140"/>
  <c r="D54" i="140"/>
  <c r="L105" i="140" s="1"/>
  <c r="C43" i="140"/>
  <c r="C41" i="140"/>
  <c r="C58" i="140"/>
  <c r="G45" i="138"/>
  <c r="G55" i="139"/>
  <c r="G51" i="139"/>
  <c r="C43" i="139"/>
  <c r="C47" i="139"/>
  <c r="C119" i="139"/>
  <c r="C123" i="139" s="1"/>
  <c r="E47" i="142"/>
  <c r="S98" i="142" s="1"/>
  <c r="V92" i="138"/>
  <c r="AM92" i="138" s="1"/>
  <c r="AW92" i="138" s="1"/>
  <c r="C42" i="139"/>
  <c r="C53" i="139"/>
  <c r="E53" i="142"/>
  <c r="S104" i="142" s="1"/>
  <c r="E40" i="142"/>
  <c r="S91" i="142" s="1"/>
  <c r="AG94" i="140"/>
  <c r="AP94" i="140" s="1"/>
  <c r="AZ94" i="140" s="1"/>
  <c r="C58" i="139"/>
  <c r="V106" i="138"/>
  <c r="E58" i="142"/>
  <c r="M109" i="142" s="1"/>
  <c r="E41" i="142"/>
  <c r="M92" i="142" s="1"/>
  <c r="E52" i="142"/>
  <c r="M103" i="142" s="1"/>
  <c r="S106" i="142"/>
  <c r="AK106" i="142" s="1"/>
  <c r="C59" i="139"/>
  <c r="C52" i="139"/>
  <c r="BA98" i="140"/>
  <c r="AA108" i="141"/>
  <c r="AP108" i="141" s="1"/>
  <c r="AZ107" i="141" s="1"/>
  <c r="P102" i="138"/>
  <c r="AM102" i="138" s="1"/>
  <c r="AW102" i="138" s="1"/>
  <c r="E45" i="142"/>
  <c r="S96" i="142" s="1"/>
  <c r="AH104" i="137"/>
  <c r="AQ104" i="137" s="1"/>
  <c r="BA103" i="137" s="1"/>
  <c r="E49" i="142"/>
  <c r="M100" i="142" s="1"/>
  <c r="U92" i="141"/>
  <c r="AL92" i="141" s="1"/>
  <c r="AV92" i="141" s="1"/>
  <c r="V101" i="137"/>
  <c r="AM101" i="137" s="1"/>
  <c r="C57" i="139"/>
  <c r="C48" i="139"/>
  <c r="AH91" i="140"/>
  <c r="AQ91" i="140" s="1"/>
  <c r="BA91" i="140" s="1"/>
  <c r="AG110" i="140"/>
  <c r="AP110" i="140" s="1"/>
  <c r="AZ109" i="140" s="1"/>
  <c r="C44" i="139"/>
  <c r="U106" i="142"/>
  <c r="AL106" i="142" s="1"/>
  <c r="AV105" i="142" s="1"/>
  <c r="C41" i="139"/>
  <c r="C54" i="139"/>
  <c r="AA106" i="137"/>
  <c r="AP106" i="137" s="1"/>
  <c r="AZ105" i="137" s="1"/>
  <c r="C50" i="139"/>
  <c r="E43" i="142"/>
  <c r="S94" i="142" s="1"/>
  <c r="E119" i="142"/>
  <c r="E121" i="142" s="1"/>
  <c r="E125" i="142" s="1"/>
  <c r="C56" i="139"/>
  <c r="C46" i="139"/>
  <c r="E50" i="142"/>
  <c r="S101" i="142" s="1"/>
  <c r="C40" i="139"/>
  <c r="E56" i="142"/>
  <c r="S107" i="142" s="1"/>
  <c r="E51" i="142"/>
  <c r="S102" i="142" s="1"/>
  <c r="C49" i="139"/>
  <c r="C45" i="139"/>
  <c r="E48" i="142"/>
  <c r="S99" i="142" s="1"/>
  <c r="E42" i="142"/>
  <c r="S93" i="142" s="1"/>
  <c r="E34" i="142"/>
  <c r="E57" i="142"/>
  <c r="M108" i="142" s="1"/>
  <c r="AH103" i="137"/>
  <c r="AQ103" i="137" s="1"/>
  <c r="C55" i="139"/>
  <c r="E121" i="137"/>
  <c r="E125" i="137" s="1"/>
  <c r="S80" i="138"/>
  <c r="G58" i="142"/>
  <c r="AB110" i="138"/>
  <c r="AQ110" i="138" s="1"/>
  <c r="BA109" i="138" s="1"/>
  <c r="U105" i="141"/>
  <c r="AL105" i="141" s="1"/>
  <c r="AV104" i="141" s="1"/>
  <c r="AA95" i="142"/>
  <c r="AP95" i="142" s="1"/>
  <c r="AZ95" i="142" s="1"/>
  <c r="AG91" i="140"/>
  <c r="AP91" i="140" s="1"/>
  <c r="AZ91" i="140" s="1"/>
  <c r="P99" i="137"/>
  <c r="AM99" i="137" s="1"/>
  <c r="AW99" i="137" s="1"/>
  <c r="AA107" i="140"/>
  <c r="AP107" i="140" s="1"/>
  <c r="AZ106" i="140" s="1"/>
  <c r="AG104" i="140"/>
  <c r="AP104" i="140" s="1"/>
  <c r="AZ103" i="140" s="1"/>
  <c r="E53" i="137"/>
  <c r="S104" i="137" s="1"/>
  <c r="G57" i="142"/>
  <c r="G34" i="142"/>
  <c r="V94" i="138"/>
  <c r="AM94" i="138" s="1"/>
  <c r="AW94" i="138" s="1"/>
  <c r="E43" i="137"/>
  <c r="S94" i="137" s="1"/>
  <c r="AA100" i="140"/>
  <c r="AP100" i="140" s="1"/>
  <c r="AZ100" i="140" s="1"/>
  <c r="G41" i="142"/>
  <c r="G40" i="142"/>
  <c r="J41" i="142"/>
  <c r="H40" i="137"/>
  <c r="E48" i="137"/>
  <c r="S99" i="137" s="1"/>
  <c r="H41" i="137"/>
  <c r="AB100" i="137"/>
  <c r="AQ100" i="137" s="1"/>
  <c r="BA100" i="137" s="1"/>
  <c r="AH109" i="138"/>
  <c r="AQ109" i="138" s="1"/>
  <c r="BA108" i="138" s="1"/>
  <c r="E59" i="139"/>
  <c r="M110" i="139" s="1"/>
  <c r="E50" i="139"/>
  <c r="M101" i="139" s="1"/>
  <c r="J43" i="142"/>
  <c r="J54" i="142"/>
  <c r="J45" i="142"/>
  <c r="AG109" i="142"/>
  <c r="AP109" i="142" s="1"/>
  <c r="AZ108" i="142" s="1"/>
  <c r="E46" i="137"/>
  <c r="M97" i="137" s="1"/>
  <c r="E45" i="137"/>
  <c r="S96" i="137" s="1"/>
  <c r="E59" i="137"/>
  <c r="M110" i="137" s="1"/>
  <c r="H50" i="137"/>
  <c r="E54" i="137"/>
  <c r="M105" i="137" s="1"/>
  <c r="AG103" i="140"/>
  <c r="AP103" i="140" s="1"/>
  <c r="N40" i="140"/>
  <c r="N47" i="140"/>
  <c r="AA109" i="141"/>
  <c r="AP109" i="141" s="1"/>
  <c r="AZ108" i="141" s="1"/>
  <c r="AA95" i="140"/>
  <c r="AP95" i="140" s="1"/>
  <c r="AZ95" i="140" s="1"/>
  <c r="AG103" i="139"/>
  <c r="AP103" i="139" s="1"/>
  <c r="E42" i="139"/>
  <c r="M93" i="139" s="1"/>
  <c r="J55" i="142"/>
  <c r="J48" i="142"/>
  <c r="E34" i="137"/>
  <c r="G44" i="142"/>
  <c r="P109" i="137"/>
  <c r="AM109" i="137" s="1"/>
  <c r="AW108" i="137" s="1"/>
  <c r="G52" i="142"/>
  <c r="E46" i="139"/>
  <c r="S97" i="139" s="1"/>
  <c r="E44" i="139"/>
  <c r="S95" i="139" s="1"/>
  <c r="J58" i="142"/>
  <c r="J53" i="142"/>
  <c r="E51" i="137"/>
  <c r="S102" i="137" s="1"/>
  <c r="E57" i="137"/>
  <c r="M108" i="137" s="1"/>
  <c r="N119" i="140"/>
  <c r="N123" i="140" s="1"/>
  <c r="G42" i="142"/>
  <c r="AA92" i="140"/>
  <c r="AP92" i="140" s="1"/>
  <c r="AZ92" i="140" s="1"/>
  <c r="E52" i="139"/>
  <c r="M103" i="139" s="1"/>
  <c r="J119" i="142"/>
  <c r="J123" i="142" s="1"/>
  <c r="G49" i="142"/>
  <c r="E54" i="139"/>
  <c r="M105" i="139" s="1"/>
  <c r="E47" i="139"/>
  <c r="M98" i="139" s="1"/>
  <c r="H34" i="137"/>
  <c r="H47" i="137"/>
  <c r="N51" i="140"/>
  <c r="N49" i="140"/>
  <c r="N55" i="140"/>
  <c r="G45" i="142"/>
  <c r="AH99" i="137"/>
  <c r="AQ99" i="137" s="1"/>
  <c r="BA99" i="137" s="1"/>
  <c r="O42" i="140"/>
  <c r="P97" i="137"/>
  <c r="AM97" i="137" s="1"/>
  <c r="AW97" i="137" s="1"/>
  <c r="AG101" i="139"/>
  <c r="AP101" i="139" s="1"/>
  <c r="E48" i="139"/>
  <c r="M99" i="139" s="1"/>
  <c r="E55" i="139"/>
  <c r="S106" i="139" s="1"/>
  <c r="AB106" i="140"/>
  <c r="AQ106" i="140" s="1"/>
  <c r="BA105" i="140" s="1"/>
  <c r="E40" i="137"/>
  <c r="M91" i="137" s="1"/>
  <c r="H43" i="137"/>
  <c r="H54" i="137"/>
  <c r="H53" i="137"/>
  <c r="V91" i="137"/>
  <c r="AM91" i="137" s="1"/>
  <c r="AW91" i="137" s="1"/>
  <c r="U109" i="142"/>
  <c r="AL109" i="142" s="1"/>
  <c r="AV108" i="142" s="1"/>
  <c r="N43" i="140"/>
  <c r="G50" i="142"/>
  <c r="G48" i="142"/>
  <c r="G47" i="142"/>
  <c r="G51" i="142"/>
  <c r="O53" i="140"/>
  <c r="U99" i="140"/>
  <c r="AL99" i="140" s="1"/>
  <c r="AV99" i="140" s="1"/>
  <c r="E44" i="137"/>
  <c r="S95" i="137" s="1"/>
  <c r="N52" i="140"/>
  <c r="G56" i="142"/>
  <c r="G59" i="142"/>
  <c r="G43" i="142"/>
  <c r="AG104" i="137"/>
  <c r="AP104" i="137" s="1"/>
  <c r="AZ103" i="137" s="1"/>
  <c r="AA102" i="137"/>
  <c r="AP102" i="137" s="1"/>
  <c r="AZ102" i="137" s="1"/>
  <c r="Q80" i="137"/>
  <c r="J56" i="142"/>
  <c r="H55" i="137"/>
  <c r="H57" i="137"/>
  <c r="E49" i="139"/>
  <c r="M100" i="139" s="1"/>
  <c r="J49" i="142"/>
  <c r="AG94" i="142"/>
  <c r="AP94" i="142" s="1"/>
  <c r="AZ94" i="142" s="1"/>
  <c r="E47" i="137"/>
  <c r="M98" i="137" s="1"/>
  <c r="H59" i="137"/>
  <c r="E49" i="137"/>
  <c r="S100" i="137" s="1"/>
  <c r="AA96" i="140"/>
  <c r="AP96" i="140" s="1"/>
  <c r="AZ96" i="140" s="1"/>
  <c r="O97" i="142"/>
  <c r="AL97" i="142" s="1"/>
  <c r="AV97" i="142" s="1"/>
  <c r="N54" i="140"/>
  <c r="J46" i="142"/>
  <c r="N56" i="140"/>
  <c r="AH110" i="140"/>
  <c r="AQ110" i="140" s="1"/>
  <c r="BA109" i="140" s="1"/>
  <c r="G54" i="142"/>
  <c r="AH109" i="140"/>
  <c r="AQ109" i="140" s="1"/>
  <c r="BA108" i="140" s="1"/>
  <c r="U102" i="142"/>
  <c r="AL102" i="142" s="1"/>
  <c r="AV102" i="142" s="1"/>
  <c r="AA92" i="137"/>
  <c r="AP92" i="137" s="1"/>
  <c r="AZ92" i="137" s="1"/>
  <c r="AA106" i="139"/>
  <c r="AP106" i="139" s="1"/>
  <c r="AZ105" i="139" s="1"/>
  <c r="S80" i="142"/>
  <c r="S80" i="141"/>
  <c r="N42" i="140"/>
  <c r="N41" i="140"/>
  <c r="E40" i="139"/>
  <c r="M91" i="139" s="1"/>
  <c r="E51" i="139"/>
  <c r="M102" i="139" s="1"/>
  <c r="V96" i="138"/>
  <c r="AM96" i="138" s="1"/>
  <c r="AW96" i="138" s="1"/>
  <c r="H56" i="137"/>
  <c r="E58" i="137"/>
  <c r="S109" i="137" s="1"/>
  <c r="E42" i="137"/>
  <c r="M93" i="137" s="1"/>
  <c r="E56" i="137"/>
  <c r="M107" i="137" s="1"/>
  <c r="N50" i="140"/>
  <c r="N46" i="140"/>
  <c r="U93" i="141"/>
  <c r="AL93" i="141" s="1"/>
  <c r="AV93" i="141" s="1"/>
  <c r="U110" i="141"/>
  <c r="AL110" i="141" s="1"/>
  <c r="AV109" i="141" s="1"/>
  <c r="U103" i="141"/>
  <c r="AL103" i="141" s="1"/>
  <c r="AV101" i="141" s="1"/>
  <c r="AB105" i="138"/>
  <c r="AQ105" i="138" s="1"/>
  <c r="BA104" i="138" s="1"/>
  <c r="AA108" i="137"/>
  <c r="AP108" i="137" s="1"/>
  <c r="AZ107" i="137" s="1"/>
  <c r="N45" i="140"/>
  <c r="AA96" i="137"/>
  <c r="AP96" i="137" s="1"/>
  <c r="AZ96" i="137" s="1"/>
  <c r="E57" i="139"/>
  <c r="M108" i="139" s="1"/>
  <c r="J42" i="142"/>
  <c r="AB98" i="137"/>
  <c r="AQ98" i="137" s="1"/>
  <c r="BA98" i="137" s="1"/>
  <c r="J34" i="142"/>
  <c r="E50" i="137"/>
  <c r="S101" i="137" s="1"/>
  <c r="J47" i="142"/>
  <c r="H48" i="137"/>
  <c r="E55" i="137"/>
  <c r="S106" i="137" s="1"/>
  <c r="E52" i="137"/>
  <c r="M103" i="137" s="1"/>
  <c r="E41" i="137"/>
  <c r="S92" i="137" s="1"/>
  <c r="H45" i="137"/>
  <c r="N59" i="140"/>
  <c r="G55" i="142"/>
  <c r="G53" i="142"/>
  <c r="U100" i="140"/>
  <c r="AL100" i="140" s="1"/>
  <c r="AV100" i="140" s="1"/>
  <c r="U110" i="140"/>
  <c r="AL110" i="140" s="1"/>
  <c r="AV109" i="140" s="1"/>
  <c r="N55" i="137"/>
  <c r="AB97" i="138"/>
  <c r="AQ97" i="138" s="1"/>
  <c r="BA97" i="138" s="1"/>
  <c r="G46" i="141"/>
  <c r="G50" i="141"/>
  <c r="AA108" i="140"/>
  <c r="AP108" i="140" s="1"/>
  <c r="AZ107" i="140" s="1"/>
  <c r="G44" i="141"/>
  <c r="N48" i="137"/>
  <c r="AA93" i="139"/>
  <c r="AG93" i="139"/>
  <c r="AA99" i="141"/>
  <c r="G52" i="141"/>
  <c r="AH107" i="137"/>
  <c r="AQ107" i="137" s="1"/>
  <c r="BA106" i="137" s="1"/>
  <c r="N49" i="137"/>
  <c r="AG101" i="137"/>
  <c r="AA101" i="137"/>
  <c r="AG95" i="139"/>
  <c r="AA95" i="139"/>
  <c r="AA104" i="139"/>
  <c r="AG104" i="139"/>
  <c r="N41" i="137"/>
  <c r="G58" i="141"/>
  <c r="G51" i="141"/>
  <c r="U91" i="141"/>
  <c r="AL91" i="141" s="1"/>
  <c r="AV91" i="141" s="1"/>
  <c r="N50" i="137"/>
  <c r="AA105" i="139"/>
  <c r="AG105" i="139"/>
  <c r="V96" i="140"/>
  <c r="P96" i="140"/>
  <c r="O106" i="141"/>
  <c r="AL106" i="141" s="1"/>
  <c r="AV105" i="141" s="1"/>
  <c r="G55" i="141"/>
  <c r="U108" i="141"/>
  <c r="AL108" i="141" s="1"/>
  <c r="AV107" i="141" s="1"/>
  <c r="O100" i="141"/>
  <c r="AL100" i="141" s="1"/>
  <c r="AV100" i="141" s="1"/>
  <c r="N43" i="137"/>
  <c r="N119" i="137"/>
  <c r="V104" i="140"/>
  <c r="P104" i="140"/>
  <c r="AA94" i="137"/>
  <c r="AG94" i="137"/>
  <c r="N34" i="137"/>
  <c r="G53" i="141"/>
  <c r="G42" i="141"/>
  <c r="G49" i="141"/>
  <c r="AG100" i="137"/>
  <c r="AP100" i="137" s="1"/>
  <c r="AZ100" i="137" s="1"/>
  <c r="N57" i="137"/>
  <c r="P93" i="140"/>
  <c r="V93" i="140"/>
  <c r="AA94" i="139"/>
  <c r="AG94" i="139"/>
  <c r="AG107" i="139"/>
  <c r="AA107" i="139"/>
  <c r="AH96" i="140"/>
  <c r="AQ96" i="140" s="1"/>
  <c r="BA96" i="140" s="1"/>
  <c r="N51" i="137"/>
  <c r="AG105" i="137"/>
  <c r="AA105" i="137"/>
  <c r="G48" i="141"/>
  <c r="V100" i="137"/>
  <c r="AM100" i="137" s="1"/>
  <c r="AW100" i="137" s="1"/>
  <c r="L97" i="138"/>
  <c r="AJ97" i="138" s="1"/>
  <c r="G54" i="141"/>
  <c r="AH99" i="140"/>
  <c r="AQ99" i="140" s="1"/>
  <c r="BA99" i="140" s="1"/>
  <c r="N52" i="137"/>
  <c r="N56" i="137"/>
  <c r="N58" i="137"/>
  <c r="G57" i="141"/>
  <c r="AG97" i="139"/>
  <c r="AP97" i="139" s="1"/>
  <c r="AZ97" i="139" s="1"/>
  <c r="N54" i="137"/>
  <c r="N42" i="137"/>
  <c r="N44" i="137"/>
  <c r="AH107" i="138"/>
  <c r="AQ107" i="138" s="1"/>
  <c r="BA106" i="138" s="1"/>
  <c r="G45" i="141"/>
  <c r="G56" i="141"/>
  <c r="G47" i="141"/>
  <c r="N47" i="137"/>
  <c r="AG102" i="139"/>
  <c r="AA102" i="139"/>
  <c r="AH97" i="140"/>
  <c r="AQ97" i="140" s="1"/>
  <c r="BA97" i="140" s="1"/>
  <c r="G34" i="141"/>
  <c r="G40" i="141"/>
  <c r="N45" i="137"/>
  <c r="P105" i="140"/>
  <c r="V105" i="140"/>
  <c r="V110" i="137"/>
  <c r="AM110" i="137" s="1"/>
  <c r="AW109" i="137" s="1"/>
  <c r="AB95" i="140"/>
  <c r="AQ95" i="140" s="1"/>
  <c r="BA95" i="140" s="1"/>
  <c r="AA99" i="139"/>
  <c r="AG99" i="139"/>
  <c r="AA92" i="139"/>
  <c r="AG92" i="139"/>
  <c r="AB91" i="141"/>
  <c r="AH91" i="141"/>
  <c r="AB93" i="140"/>
  <c r="AQ93" i="140" s="1"/>
  <c r="BA93" i="140" s="1"/>
  <c r="L42" i="138"/>
  <c r="AE93" i="138" s="1"/>
  <c r="AG96" i="139"/>
  <c r="AA96" i="139"/>
  <c r="AH101" i="137"/>
  <c r="AQ101" i="137" s="1"/>
  <c r="L55" i="138"/>
  <c r="Y106" i="138" s="1"/>
  <c r="L54" i="138"/>
  <c r="AE105" i="138" s="1"/>
  <c r="AG109" i="139"/>
  <c r="AA109" i="139"/>
  <c r="AA91" i="141"/>
  <c r="AP91" i="141" s="1"/>
  <c r="AZ91" i="141" s="1"/>
  <c r="AH100" i="140"/>
  <c r="AQ100" i="140" s="1"/>
  <c r="BA100" i="140" s="1"/>
  <c r="R80" i="138"/>
  <c r="AV106" i="138"/>
  <c r="U80" i="139"/>
  <c r="S80" i="139"/>
  <c r="O42" i="137"/>
  <c r="O44" i="137"/>
  <c r="AH109" i="137"/>
  <c r="AQ109" i="137" s="1"/>
  <c r="BA108" i="137" s="1"/>
  <c r="O121" i="137"/>
  <c r="O125" i="137" s="1"/>
  <c r="O45" i="137"/>
  <c r="O49" i="137"/>
  <c r="AH95" i="137"/>
  <c r="AQ95" i="137" s="1"/>
  <c r="BA95" i="137" s="1"/>
  <c r="O58" i="137"/>
  <c r="O59" i="137"/>
  <c r="O34" i="137"/>
  <c r="AB106" i="137"/>
  <c r="AQ106" i="137" s="1"/>
  <c r="BA105" i="137" s="1"/>
  <c r="AG100" i="141"/>
  <c r="AP100" i="141" s="1"/>
  <c r="AZ100" i="141" s="1"/>
  <c r="U106" i="138"/>
  <c r="AL106" i="138" s="1"/>
  <c r="AV105" i="138" s="1"/>
  <c r="O55" i="137"/>
  <c r="AH110" i="137"/>
  <c r="AQ110" i="137" s="1"/>
  <c r="BA109" i="137" s="1"/>
  <c r="O41" i="137"/>
  <c r="O40" i="137"/>
  <c r="O99" i="138"/>
  <c r="AL99" i="138" s="1"/>
  <c r="AV99" i="138" s="1"/>
  <c r="O57" i="137"/>
  <c r="O52" i="137"/>
  <c r="O46" i="137"/>
  <c r="O53" i="137"/>
  <c r="O51" i="137"/>
  <c r="O43" i="137"/>
  <c r="O47" i="137"/>
  <c r="O48" i="137"/>
  <c r="O56" i="137"/>
  <c r="AH94" i="137"/>
  <c r="AQ94" i="137" s="1"/>
  <c r="BA94" i="137" s="1"/>
  <c r="V105" i="137"/>
  <c r="AM105" i="137" s="1"/>
  <c r="AW104" i="137" s="1"/>
  <c r="O54" i="137"/>
  <c r="O50" i="137"/>
  <c r="AM92" i="140"/>
  <c r="AW92" i="140" s="1"/>
  <c r="V80" i="138"/>
  <c r="U80" i="137"/>
  <c r="R80" i="137"/>
  <c r="Q80" i="142"/>
  <c r="P91" i="140"/>
  <c r="V91" i="140"/>
  <c r="R80" i="139"/>
  <c r="V80" i="142"/>
  <c r="V98" i="140"/>
  <c r="P98" i="140"/>
  <c r="L40" i="138"/>
  <c r="L43" i="138"/>
  <c r="L57" i="138"/>
  <c r="L50" i="138"/>
  <c r="L47" i="138"/>
  <c r="Y98" i="138" s="1"/>
  <c r="L46" i="138"/>
  <c r="AE97" i="138" s="1"/>
  <c r="AH93" i="137"/>
  <c r="AQ93" i="137" s="1"/>
  <c r="BA93" i="137" s="1"/>
  <c r="L45" i="138"/>
  <c r="AE96" i="138" s="1"/>
  <c r="L49" i="138"/>
  <c r="AE100" i="138" s="1"/>
  <c r="U98" i="138"/>
  <c r="AL98" i="138" s="1"/>
  <c r="AV98" i="138" s="1"/>
  <c r="Q80" i="140"/>
  <c r="AA96" i="141"/>
  <c r="AP96" i="141" s="1"/>
  <c r="AZ96" i="141" s="1"/>
  <c r="AH108" i="140"/>
  <c r="AQ108" i="140" s="1"/>
  <c r="BA107" i="140" s="1"/>
  <c r="L59" i="138"/>
  <c r="Y110" i="138" s="1"/>
  <c r="L56" i="138"/>
  <c r="L52" i="138"/>
  <c r="AH102" i="137"/>
  <c r="AQ102" i="137" s="1"/>
  <c r="BA102" i="137" s="1"/>
  <c r="AQ94" i="141"/>
  <c r="BA94" i="141" s="1"/>
  <c r="L121" i="138"/>
  <c r="L125" i="138" s="1"/>
  <c r="L41" i="138"/>
  <c r="L53" i="138"/>
  <c r="Y104" i="138" s="1"/>
  <c r="U104" i="138"/>
  <c r="AL104" i="138" s="1"/>
  <c r="AV103" i="138" s="1"/>
  <c r="AG103" i="141"/>
  <c r="AP103" i="141" s="1"/>
  <c r="L34" i="138"/>
  <c r="L58" i="138"/>
  <c r="Y109" i="138" s="1"/>
  <c r="L48" i="138"/>
  <c r="AE99" i="138" s="1"/>
  <c r="L44" i="138"/>
  <c r="Y95" i="138" s="1"/>
  <c r="Q80" i="139"/>
  <c r="AA101" i="141"/>
  <c r="AP101" i="141" s="1"/>
  <c r="AG106" i="141"/>
  <c r="AP106" i="141" s="1"/>
  <c r="AZ105" i="141" s="1"/>
  <c r="U105" i="138"/>
  <c r="AL105" i="138" s="1"/>
  <c r="AV104" i="138" s="1"/>
  <c r="O92" i="138"/>
  <c r="AL92" i="138" s="1"/>
  <c r="AV92" i="138" s="1"/>
  <c r="L51" i="138"/>
  <c r="AE102" i="138" s="1"/>
  <c r="AH95" i="141"/>
  <c r="AQ95" i="141" s="1"/>
  <c r="BA95" i="141" s="1"/>
  <c r="AP98" i="137"/>
  <c r="AZ98" i="137" s="1"/>
  <c r="V80" i="141"/>
  <c r="AB109" i="141"/>
  <c r="AH109" i="141"/>
  <c r="V95" i="140"/>
  <c r="P95" i="140"/>
  <c r="AH105" i="140"/>
  <c r="AQ105" i="140" s="1"/>
  <c r="BA104" i="140" s="1"/>
  <c r="O48" i="140"/>
  <c r="O44" i="140"/>
  <c r="AB108" i="142"/>
  <c r="AH108" i="142"/>
  <c r="AG99" i="137"/>
  <c r="AA99" i="137"/>
  <c r="AG91" i="139"/>
  <c r="AA91" i="139"/>
  <c r="AG97" i="137"/>
  <c r="AA97" i="137"/>
  <c r="V97" i="140"/>
  <c r="P97" i="140"/>
  <c r="AA108" i="139"/>
  <c r="AG108" i="139"/>
  <c r="AB97" i="141"/>
  <c r="AH97" i="141"/>
  <c r="P107" i="140"/>
  <c r="V107" i="140"/>
  <c r="C55" i="137"/>
  <c r="C48" i="137"/>
  <c r="C51" i="137"/>
  <c r="C54" i="137"/>
  <c r="C43" i="137"/>
  <c r="C59" i="137"/>
  <c r="C46" i="137"/>
  <c r="C58" i="137"/>
  <c r="C42" i="137"/>
  <c r="C57" i="137"/>
  <c r="C49" i="137"/>
  <c r="C119" i="137"/>
  <c r="C40" i="137"/>
  <c r="C44" i="137"/>
  <c r="C45" i="137"/>
  <c r="C52" i="137"/>
  <c r="C56" i="137"/>
  <c r="C47" i="137"/>
  <c r="C50" i="137"/>
  <c r="C53" i="137"/>
  <c r="C34" i="137"/>
  <c r="C41" i="137"/>
  <c r="E53" i="138"/>
  <c r="E44" i="138"/>
  <c r="E55" i="138"/>
  <c r="E59" i="138"/>
  <c r="E42" i="138"/>
  <c r="E46" i="138"/>
  <c r="E40" i="138"/>
  <c r="E48" i="138"/>
  <c r="E34" i="138"/>
  <c r="E119" i="138"/>
  <c r="E121" i="138" s="1"/>
  <c r="E125" i="138" s="1"/>
  <c r="E54" i="138"/>
  <c r="E56" i="138"/>
  <c r="E58" i="138"/>
  <c r="E43" i="138"/>
  <c r="E41" i="138"/>
  <c r="E49" i="138"/>
  <c r="E51" i="138"/>
  <c r="E50" i="138"/>
  <c r="E47" i="138"/>
  <c r="E52" i="138"/>
  <c r="E57" i="138"/>
  <c r="E45" i="138"/>
  <c r="K41" i="141"/>
  <c r="K55" i="141"/>
  <c r="K34" i="141"/>
  <c r="K58" i="141"/>
  <c r="K57" i="141"/>
  <c r="K52" i="141"/>
  <c r="K53" i="141"/>
  <c r="K119" i="141"/>
  <c r="K121" i="141" s="1"/>
  <c r="K125" i="141" s="1"/>
  <c r="K43" i="141"/>
  <c r="K46" i="141"/>
  <c r="K45" i="141"/>
  <c r="K44" i="141"/>
  <c r="K40" i="141"/>
  <c r="K51" i="141"/>
  <c r="K50" i="141"/>
  <c r="K56" i="141"/>
  <c r="K49" i="141"/>
  <c r="K54" i="141"/>
  <c r="K59" i="141"/>
  <c r="K47" i="141"/>
  <c r="K42" i="141"/>
  <c r="K48" i="141"/>
  <c r="R103" i="138"/>
  <c r="AJ103" i="138" s="1"/>
  <c r="AB93" i="141"/>
  <c r="AH93" i="141"/>
  <c r="H40" i="140"/>
  <c r="H49" i="140"/>
  <c r="H55" i="140"/>
  <c r="H54" i="140"/>
  <c r="H45" i="140"/>
  <c r="H43" i="140"/>
  <c r="H46" i="140"/>
  <c r="H58" i="140"/>
  <c r="H47" i="140"/>
  <c r="H51" i="140"/>
  <c r="H44" i="140"/>
  <c r="H50" i="140"/>
  <c r="H57" i="140"/>
  <c r="H119" i="140"/>
  <c r="H41" i="140"/>
  <c r="H59" i="140"/>
  <c r="H52" i="140"/>
  <c r="H34" i="140"/>
  <c r="H53" i="140"/>
  <c r="H48" i="140"/>
  <c r="H42" i="140"/>
  <c r="H56" i="140"/>
  <c r="P109" i="140"/>
  <c r="V109" i="140"/>
  <c r="AB92" i="141"/>
  <c r="AH92" i="141"/>
  <c r="V106" i="140"/>
  <c r="P106" i="140"/>
  <c r="AA107" i="137"/>
  <c r="AG107" i="137"/>
  <c r="P102" i="140"/>
  <c r="V102" i="140"/>
  <c r="D59" i="142"/>
  <c r="D58" i="142"/>
  <c r="D50" i="142"/>
  <c r="D51" i="142"/>
  <c r="D41" i="142"/>
  <c r="D119" i="142"/>
  <c r="D121" i="142" s="1"/>
  <c r="D125" i="142" s="1"/>
  <c r="D48" i="142"/>
  <c r="D52" i="142"/>
  <c r="D56" i="142"/>
  <c r="D57" i="142"/>
  <c r="D47" i="142"/>
  <c r="D46" i="142"/>
  <c r="D45" i="142"/>
  <c r="D44" i="142"/>
  <c r="D53" i="142"/>
  <c r="D40" i="142"/>
  <c r="D43" i="142"/>
  <c r="D42" i="142"/>
  <c r="D49" i="142"/>
  <c r="D54" i="142"/>
  <c r="D34" i="142"/>
  <c r="D55" i="142"/>
  <c r="Q80" i="138"/>
  <c r="AH100" i="141"/>
  <c r="AB100" i="141"/>
  <c r="N48" i="139"/>
  <c r="N52" i="139"/>
  <c r="N50" i="139"/>
  <c r="N34" i="139"/>
  <c r="N55" i="139"/>
  <c r="N46" i="139"/>
  <c r="N54" i="139"/>
  <c r="N58" i="139"/>
  <c r="N119" i="139"/>
  <c r="N43" i="139"/>
  <c r="N40" i="139"/>
  <c r="N57" i="139"/>
  <c r="N47" i="139"/>
  <c r="N44" i="139"/>
  <c r="N41" i="139"/>
  <c r="N59" i="139"/>
  <c r="N49" i="139"/>
  <c r="N42" i="139"/>
  <c r="N45" i="139"/>
  <c r="N53" i="139"/>
  <c r="N51" i="139"/>
  <c r="N56" i="139"/>
  <c r="AG100" i="139"/>
  <c r="AA100" i="139"/>
  <c r="O54" i="141"/>
  <c r="O46" i="141"/>
  <c r="O57" i="141"/>
  <c r="O59" i="141"/>
  <c r="O50" i="141"/>
  <c r="O40" i="141"/>
  <c r="O42" i="141"/>
  <c r="O41" i="141"/>
  <c r="O119" i="141"/>
  <c r="O44" i="141"/>
  <c r="O52" i="141"/>
  <c r="O51" i="141"/>
  <c r="O53" i="141"/>
  <c r="O43" i="141"/>
  <c r="O55" i="141"/>
  <c r="O48" i="141"/>
  <c r="O34" i="141"/>
  <c r="O47" i="141"/>
  <c r="O58" i="141"/>
  <c r="O49" i="141"/>
  <c r="O45" i="141"/>
  <c r="O56" i="141"/>
  <c r="V108" i="140"/>
  <c r="P108" i="140"/>
  <c r="K53" i="137"/>
  <c r="K47" i="137"/>
  <c r="K45" i="137"/>
  <c r="K58" i="137"/>
  <c r="K44" i="137"/>
  <c r="K54" i="137"/>
  <c r="K48" i="137"/>
  <c r="K41" i="137"/>
  <c r="K49" i="137"/>
  <c r="K119" i="137"/>
  <c r="K121" i="137" s="1"/>
  <c r="K125" i="137" s="1"/>
  <c r="K51" i="137"/>
  <c r="K59" i="137"/>
  <c r="K42" i="137"/>
  <c r="K50" i="137"/>
  <c r="K56" i="137"/>
  <c r="K40" i="137"/>
  <c r="K55" i="137"/>
  <c r="K34" i="137"/>
  <c r="K57" i="137"/>
  <c r="K43" i="137"/>
  <c r="K52" i="137"/>
  <c r="K46" i="137"/>
  <c r="L96" i="138"/>
  <c r="AJ96" i="138" s="1"/>
  <c r="L102" i="138"/>
  <c r="AJ102" i="138" s="1"/>
  <c r="R91" i="138"/>
  <c r="AJ91" i="138" s="1"/>
  <c r="R110" i="138"/>
  <c r="AJ110" i="138" s="1"/>
  <c r="AE106" i="141"/>
  <c r="AO106" i="141" s="1"/>
  <c r="Y98" i="141"/>
  <c r="AO98" i="141" s="1"/>
  <c r="R98" i="139"/>
  <c r="AJ98" i="139" s="1"/>
  <c r="Y105" i="141"/>
  <c r="AO105" i="141" s="1"/>
  <c r="O80" i="142"/>
  <c r="O121" i="142"/>
  <c r="O125" i="142" s="1"/>
  <c r="AM106" i="141"/>
  <c r="AW105" i="141" s="1"/>
  <c r="AM109" i="141"/>
  <c r="AW108" i="141" s="1"/>
  <c r="AM98" i="141"/>
  <c r="AW98" i="141" s="1"/>
  <c r="AM105" i="141"/>
  <c r="AW104" i="141" s="1"/>
  <c r="AM99" i="141"/>
  <c r="AW99" i="141" s="1"/>
  <c r="AM102" i="141"/>
  <c r="AW102" i="141" s="1"/>
  <c r="M92" i="139"/>
  <c r="S92" i="139"/>
  <c r="AD94" i="142"/>
  <c r="X94" i="142"/>
  <c r="X101" i="142"/>
  <c r="AD101" i="142"/>
  <c r="X107" i="142"/>
  <c r="AD107" i="142"/>
  <c r="AD98" i="142"/>
  <c r="X92" i="142"/>
  <c r="M6" i="109"/>
  <c r="N6" i="109" s="1"/>
  <c r="O6" i="109" s="1"/>
  <c r="BI27" i="135"/>
  <c r="BO9" i="135"/>
  <c r="BI36" i="135"/>
  <c r="BK26" i="135"/>
  <c r="BL20" i="135"/>
  <c r="BJ17" i="135"/>
  <c r="BK18" i="135"/>
  <c r="BK36" i="135"/>
  <c r="BL30" i="135"/>
  <c r="BG7" i="135"/>
  <c r="BH7" i="135" s="1"/>
  <c r="BK28" i="135"/>
  <c r="BJ27" i="135"/>
  <c r="AL21" i="135"/>
  <c r="AM21" i="135" s="1"/>
  <c r="AN21" i="135" s="1"/>
  <c r="AO21" i="135" s="1"/>
  <c r="AP21" i="135" s="1"/>
  <c r="AQ21" i="135" s="1"/>
  <c r="AK26" i="135"/>
  <c r="AK17" i="135"/>
  <c r="AL18" i="135"/>
  <c r="AM20" i="135"/>
  <c r="AL26" i="135"/>
  <c r="AJ8" i="135"/>
  <c r="AK8" i="135" s="1"/>
  <c r="AL27" i="135"/>
  <c r="AM28" i="135"/>
  <c r="AL30" i="135"/>
  <c r="AK36" i="135"/>
  <c r="AM97" i="141" l="1"/>
  <c r="AW97" i="141" s="1"/>
  <c r="D121" i="138"/>
  <c r="D125" i="138" s="1"/>
  <c r="S58" i="137"/>
  <c r="S54" i="137"/>
  <c r="AB106" i="142"/>
  <c r="AQ106" i="142" s="1"/>
  <c r="BA105" i="142" s="1"/>
  <c r="U80" i="141"/>
  <c r="R80" i="140"/>
  <c r="V97" i="141"/>
  <c r="S51" i="137"/>
  <c r="S50" i="137"/>
  <c r="S52" i="137"/>
  <c r="S45" i="137"/>
  <c r="S46" i="137"/>
  <c r="S34" i="137"/>
  <c r="S56" i="137"/>
  <c r="AQ95" i="139"/>
  <c r="BA95" i="139" s="1"/>
  <c r="S40" i="137"/>
  <c r="S47" i="137"/>
  <c r="S43" i="137"/>
  <c r="AH105" i="139"/>
  <c r="AB105" i="139"/>
  <c r="AB93" i="139"/>
  <c r="AH93" i="139"/>
  <c r="AH105" i="142"/>
  <c r="AB105" i="142"/>
  <c r="AQ105" i="142" s="1"/>
  <c r="BA104" i="142" s="1"/>
  <c r="AB99" i="139"/>
  <c r="AH99" i="139"/>
  <c r="S80" i="140"/>
  <c r="AB108" i="139"/>
  <c r="AH108" i="139"/>
  <c r="AQ108" i="139" s="1"/>
  <c r="BA107" i="139" s="1"/>
  <c r="P110" i="141"/>
  <c r="V110" i="141"/>
  <c r="AB95" i="142"/>
  <c r="AQ95" i="142" s="1"/>
  <c r="BA95" i="142" s="1"/>
  <c r="AB97" i="142"/>
  <c r="AH97" i="142"/>
  <c r="P95" i="141"/>
  <c r="V95" i="141"/>
  <c r="P91" i="141"/>
  <c r="AM91" i="141" s="1"/>
  <c r="V91" i="141"/>
  <c r="AH94" i="139"/>
  <c r="AB94" i="139"/>
  <c r="AQ94" i="139" s="1"/>
  <c r="BA94" i="139" s="1"/>
  <c r="AH102" i="142"/>
  <c r="AB102" i="142"/>
  <c r="P107" i="141"/>
  <c r="V107" i="141"/>
  <c r="AB91" i="139"/>
  <c r="AH91" i="139"/>
  <c r="AB97" i="139"/>
  <c r="AH97" i="139"/>
  <c r="AQ97" i="139" s="1"/>
  <c r="BA97" i="139" s="1"/>
  <c r="AB92" i="142"/>
  <c r="AQ92" i="142" s="1"/>
  <c r="BA92" i="142" s="1"/>
  <c r="U80" i="140"/>
  <c r="AH104" i="139"/>
  <c r="AB104" i="139"/>
  <c r="V96" i="141"/>
  <c r="P96" i="141"/>
  <c r="AH99" i="142"/>
  <c r="AB99" i="142"/>
  <c r="AQ99" i="142" s="1"/>
  <c r="BA99" i="142" s="1"/>
  <c r="AH101" i="139"/>
  <c r="AB101" i="139"/>
  <c r="AH102" i="139"/>
  <c r="AB102" i="139"/>
  <c r="AH100" i="139"/>
  <c r="AB100" i="139"/>
  <c r="P93" i="141"/>
  <c r="V93" i="141"/>
  <c r="P92" i="141"/>
  <c r="V92" i="141"/>
  <c r="P94" i="141"/>
  <c r="V94" i="141"/>
  <c r="V101" i="141"/>
  <c r="P101" i="141"/>
  <c r="P100" i="141"/>
  <c r="V100" i="141"/>
  <c r="E58" i="141"/>
  <c r="E42" i="141"/>
  <c r="E52" i="141"/>
  <c r="E55" i="141"/>
  <c r="E40" i="141"/>
  <c r="E50" i="141"/>
  <c r="E119" i="141"/>
  <c r="E121" i="141" s="1"/>
  <c r="E125" i="141" s="1"/>
  <c r="E51" i="141"/>
  <c r="E41" i="141"/>
  <c r="E48" i="141"/>
  <c r="E59" i="141"/>
  <c r="E56" i="141"/>
  <c r="E53" i="141"/>
  <c r="E44" i="141"/>
  <c r="E43" i="141"/>
  <c r="E54" i="141"/>
  <c r="E45" i="141"/>
  <c r="E34" i="141"/>
  <c r="E47" i="141"/>
  <c r="E57" i="141"/>
  <c r="E49" i="141"/>
  <c r="E46" i="141"/>
  <c r="AB109" i="142"/>
  <c r="AH109" i="142"/>
  <c r="AQ109" i="142" s="1"/>
  <c r="BA108" i="142" s="1"/>
  <c r="AB109" i="139"/>
  <c r="AH109" i="139"/>
  <c r="AH93" i="142"/>
  <c r="AB93" i="142"/>
  <c r="AH100" i="142"/>
  <c r="AB100" i="142"/>
  <c r="AH107" i="142"/>
  <c r="AB107" i="142"/>
  <c r="AQ107" i="142" s="1"/>
  <c r="BA106" i="142" s="1"/>
  <c r="AH91" i="142"/>
  <c r="AB91" i="142"/>
  <c r="AQ91" i="142" s="1"/>
  <c r="BA91" i="142" s="1"/>
  <c r="AB110" i="139"/>
  <c r="AH110" i="139"/>
  <c r="AH98" i="142"/>
  <c r="AB98" i="142"/>
  <c r="O34" i="139"/>
  <c r="O40" i="139"/>
  <c r="O56" i="139"/>
  <c r="O57" i="139"/>
  <c r="O119" i="139"/>
  <c r="O43" i="139"/>
  <c r="O44" i="139"/>
  <c r="O49" i="139"/>
  <c r="O46" i="139"/>
  <c r="O55" i="139"/>
  <c r="O42" i="139"/>
  <c r="O41" i="139"/>
  <c r="O45" i="139"/>
  <c r="O53" i="139"/>
  <c r="O51" i="139"/>
  <c r="O50" i="139"/>
  <c r="O47" i="139"/>
  <c r="O59" i="139"/>
  <c r="O58" i="139"/>
  <c r="O48" i="139"/>
  <c r="O52" i="139"/>
  <c r="O54" i="139"/>
  <c r="H54" i="141"/>
  <c r="H41" i="141"/>
  <c r="H56" i="141"/>
  <c r="H50" i="141"/>
  <c r="H53" i="141"/>
  <c r="H119" i="141"/>
  <c r="H43" i="141"/>
  <c r="H55" i="141"/>
  <c r="H52" i="141"/>
  <c r="H44" i="141"/>
  <c r="H58" i="141"/>
  <c r="H34" i="141"/>
  <c r="H47" i="141"/>
  <c r="H45" i="141"/>
  <c r="H57" i="141"/>
  <c r="H46" i="141"/>
  <c r="H48" i="141"/>
  <c r="H59" i="141"/>
  <c r="H49" i="141"/>
  <c r="H51" i="141"/>
  <c r="H40" i="141"/>
  <c r="H42" i="141"/>
  <c r="AB92" i="139"/>
  <c r="AH92" i="139"/>
  <c r="AH106" i="139"/>
  <c r="AB106" i="139"/>
  <c r="AH96" i="139"/>
  <c r="AB96" i="139"/>
  <c r="AQ96" i="139" s="1"/>
  <c r="BA96" i="139" s="1"/>
  <c r="P108" i="141"/>
  <c r="V108" i="141"/>
  <c r="AB98" i="139"/>
  <c r="AH98" i="139"/>
  <c r="AH107" i="139"/>
  <c r="AB107" i="139"/>
  <c r="AB110" i="142"/>
  <c r="AH110" i="142"/>
  <c r="AQ110" i="142" s="1"/>
  <c r="BA109" i="142" s="1"/>
  <c r="AB103" i="142"/>
  <c r="AH103" i="142"/>
  <c r="AQ103" i="142" s="1"/>
  <c r="BA101" i="142" s="1"/>
  <c r="V103" i="141"/>
  <c r="P103" i="141"/>
  <c r="V104" i="141"/>
  <c r="P104" i="141"/>
  <c r="AZ101" i="140"/>
  <c r="S80" i="137"/>
  <c r="R94" i="138"/>
  <c r="AJ94" i="138" s="1"/>
  <c r="AT94" i="138" s="1"/>
  <c r="BB94" i="138" s="1"/>
  <c r="L95" i="138"/>
  <c r="AJ95" i="138" s="1"/>
  <c r="AT95" i="138" s="1"/>
  <c r="BB95" i="138" s="1"/>
  <c r="AD96" i="142"/>
  <c r="L109" i="138"/>
  <c r="AJ109" i="138" s="1"/>
  <c r="R107" i="138"/>
  <c r="AJ107" i="138" s="1"/>
  <c r="AT106" i="138" s="1"/>
  <c r="BB106" i="138" s="1"/>
  <c r="L106" i="138"/>
  <c r="AJ106" i="138" s="1"/>
  <c r="L100" i="138"/>
  <c r="AJ100" i="138" s="1"/>
  <c r="AD104" i="142"/>
  <c r="AN104" i="142" s="1"/>
  <c r="AX103" i="142" s="1"/>
  <c r="BD103" i="142" s="1"/>
  <c r="R99" i="138"/>
  <c r="AJ99" i="138" s="1"/>
  <c r="AT99" i="138" s="1"/>
  <c r="BB99" i="138" s="1"/>
  <c r="R93" i="138"/>
  <c r="AJ93" i="138" s="1"/>
  <c r="AT93" i="138" s="1"/>
  <c r="BB93" i="138" s="1"/>
  <c r="R104" i="138"/>
  <c r="AJ104" i="138" s="1"/>
  <c r="L98" i="138"/>
  <c r="AJ98" i="138" s="1"/>
  <c r="Y103" i="141"/>
  <c r="AO103" i="141" s="1"/>
  <c r="Y97" i="139"/>
  <c r="AO97" i="139" s="1"/>
  <c r="L92" i="138"/>
  <c r="AJ92" i="138" s="1"/>
  <c r="AT92" i="138" s="1"/>
  <c r="BB92" i="138" s="1"/>
  <c r="AE107" i="141"/>
  <c r="AO107" i="141" s="1"/>
  <c r="AY106" i="141" s="1"/>
  <c r="BE106" i="141" s="1"/>
  <c r="X108" i="142"/>
  <c r="D80" i="138"/>
  <c r="AD105" i="142"/>
  <c r="AN105" i="142" s="1"/>
  <c r="AX104" i="142" s="1"/>
  <c r="BD104" i="142" s="1"/>
  <c r="R105" i="138"/>
  <c r="AJ105" i="138" s="1"/>
  <c r="AT104" i="138" s="1"/>
  <c r="BB104" i="138" s="1"/>
  <c r="Y93" i="140"/>
  <c r="AO93" i="140" s="1"/>
  <c r="AY93" i="140" s="1"/>
  <c r="BE93" i="140" s="1"/>
  <c r="AW101" i="140"/>
  <c r="Y101" i="140"/>
  <c r="AO101" i="140" s="1"/>
  <c r="AW101" i="139"/>
  <c r="AE110" i="140"/>
  <c r="AO110" i="140" s="1"/>
  <c r="Y102" i="141"/>
  <c r="AO102" i="141" s="1"/>
  <c r="AY102" i="141" s="1"/>
  <c r="BE102" i="141" s="1"/>
  <c r="Y94" i="141"/>
  <c r="AO94" i="141" s="1"/>
  <c r="AY94" i="141" s="1"/>
  <c r="BE94" i="141" s="1"/>
  <c r="AT97" i="138"/>
  <c r="BB97" i="138" s="1"/>
  <c r="X91" i="142"/>
  <c r="AN91" i="142" s="1"/>
  <c r="Y109" i="140"/>
  <c r="AO109" i="140" s="1"/>
  <c r="AY108" i="140" s="1"/>
  <c r="BE108" i="140" s="1"/>
  <c r="Y98" i="140"/>
  <c r="AO98" i="140" s="1"/>
  <c r="AY98" i="140" s="1"/>
  <c r="BE98" i="140" s="1"/>
  <c r="AD109" i="142"/>
  <c r="AN109" i="142" s="1"/>
  <c r="AX108" i="142" s="1"/>
  <c r="BD108" i="142" s="1"/>
  <c r="Y92" i="141"/>
  <c r="AO92" i="141" s="1"/>
  <c r="AY92" i="141" s="1"/>
  <c r="BE92" i="141" s="1"/>
  <c r="Y110" i="141"/>
  <c r="AO110" i="141" s="1"/>
  <c r="AY109" i="141" s="1"/>
  <c r="BE109" i="141" s="1"/>
  <c r="Y104" i="141"/>
  <c r="AO104" i="141" s="1"/>
  <c r="AY103" i="141" s="1"/>
  <c r="BE103" i="141" s="1"/>
  <c r="AD99" i="142"/>
  <c r="AN99" i="142" s="1"/>
  <c r="AX99" i="142" s="1"/>
  <c r="BD99" i="142" s="1"/>
  <c r="Y95" i="141"/>
  <c r="AO95" i="141" s="1"/>
  <c r="AY95" i="141" s="1"/>
  <c r="BE95" i="141" s="1"/>
  <c r="AD110" i="142"/>
  <c r="Y109" i="141"/>
  <c r="AO109" i="141" s="1"/>
  <c r="AY108" i="141" s="1"/>
  <c r="BE108" i="141" s="1"/>
  <c r="Y108" i="141"/>
  <c r="AO108" i="141" s="1"/>
  <c r="AY107" i="141" s="1"/>
  <c r="BE107" i="141" s="1"/>
  <c r="AD97" i="142"/>
  <c r="AN97" i="142" s="1"/>
  <c r="AX97" i="142" s="1"/>
  <c r="BD97" i="142" s="1"/>
  <c r="AD102" i="142"/>
  <c r="AN102" i="142" s="1"/>
  <c r="AX102" i="142" s="1"/>
  <c r="BD102" i="142" s="1"/>
  <c r="H121" i="139"/>
  <c r="H125" i="139" s="1"/>
  <c r="AE91" i="141"/>
  <c r="AO91" i="141" s="1"/>
  <c r="AY91" i="141" s="1"/>
  <c r="BE91" i="141" s="1"/>
  <c r="AE100" i="141"/>
  <c r="AO100" i="141" s="1"/>
  <c r="AY100" i="141" s="1"/>
  <c r="BE100" i="141" s="1"/>
  <c r="Y99" i="141"/>
  <c r="AO99" i="141" s="1"/>
  <c r="AY99" i="141" s="1"/>
  <c r="BE99" i="141" s="1"/>
  <c r="AV101" i="142"/>
  <c r="X103" i="142"/>
  <c r="AD93" i="142"/>
  <c r="K80" i="142"/>
  <c r="AY106" i="140"/>
  <c r="BE106" i="140" s="1"/>
  <c r="AD95" i="142"/>
  <c r="AN95" i="142" s="1"/>
  <c r="AX95" i="142" s="1"/>
  <c r="BD95" i="142" s="1"/>
  <c r="AD106" i="142"/>
  <c r="AN106" i="142" s="1"/>
  <c r="AX105" i="142" s="1"/>
  <c r="BD105" i="142" s="1"/>
  <c r="Y95" i="140"/>
  <c r="AO95" i="140" s="1"/>
  <c r="AY95" i="140" s="1"/>
  <c r="BE95" i="140" s="1"/>
  <c r="AE97" i="141"/>
  <c r="AO97" i="141" s="1"/>
  <c r="AY97" i="141" s="1"/>
  <c r="BE97" i="141" s="1"/>
  <c r="AD100" i="142"/>
  <c r="AN100" i="142" s="1"/>
  <c r="AX100" i="142" s="1"/>
  <c r="BD100" i="142" s="1"/>
  <c r="L100" i="139"/>
  <c r="AJ100" i="139" s="1"/>
  <c r="AT100" i="139" s="1"/>
  <c r="BB100" i="139" s="1"/>
  <c r="J121" i="138"/>
  <c r="J125" i="138" s="1"/>
  <c r="J126" i="138" s="1"/>
  <c r="J127" i="138" s="1"/>
  <c r="AE96" i="141"/>
  <c r="AO96" i="141" s="1"/>
  <c r="AY96" i="141" s="1"/>
  <c r="BE96" i="141" s="1"/>
  <c r="L80" i="141"/>
  <c r="X91" i="140"/>
  <c r="AN91" i="140" s="1"/>
  <c r="AX91" i="140" s="1"/>
  <c r="BD91" i="140" s="1"/>
  <c r="AE101" i="141"/>
  <c r="AO101" i="141" s="1"/>
  <c r="L104" i="141"/>
  <c r="AJ104" i="141" s="1"/>
  <c r="AT103" i="141" s="1"/>
  <c r="BB103" i="141" s="1"/>
  <c r="AY98" i="141"/>
  <c r="BE98" i="141" s="1"/>
  <c r="AE106" i="140"/>
  <c r="AO106" i="140" s="1"/>
  <c r="AY105" i="140" s="1"/>
  <c r="BE105" i="140" s="1"/>
  <c r="Y105" i="140"/>
  <c r="AO105" i="140" s="1"/>
  <c r="AY104" i="140" s="1"/>
  <c r="BE104" i="140" s="1"/>
  <c r="X108" i="138"/>
  <c r="AN108" i="138" s="1"/>
  <c r="AX107" i="138" s="1"/>
  <c r="BD107" i="138" s="1"/>
  <c r="H80" i="139"/>
  <c r="AE97" i="137"/>
  <c r="AO97" i="137" s="1"/>
  <c r="AY97" i="137" s="1"/>
  <c r="BE97" i="137" s="1"/>
  <c r="AV101" i="137"/>
  <c r="H121" i="138"/>
  <c r="H125" i="138" s="1"/>
  <c r="AE92" i="140"/>
  <c r="AO92" i="140" s="1"/>
  <c r="AY92" i="140" s="1"/>
  <c r="BE92" i="140" s="1"/>
  <c r="Y104" i="137"/>
  <c r="AO104" i="137" s="1"/>
  <c r="AY103" i="137" s="1"/>
  <c r="BE103" i="137" s="1"/>
  <c r="L104" i="139"/>
  <c r="AJ104" i="139" s="1"/>
  <c r="AT103" i="139" s="1"/>
  <c r="BB103" i="139" s="1"/>
  <c r="J121" i="141"/>
  <c r="J125" i="141" s="1"/>
  <c r="J126" i="141" s="1"/>
  <c r="J127" i="141" s="1"/>
  <c r="AE97" i="140"/>
  <c r="AO97" i="140" s="1"/>
  <c r="AY97" i="140" s="1"/>
  <c r="BE97" i="140" s="1"/>
  <c r="Y96" i="137"/>
  <c r="AO96" i="137" s="1"/>
  <c r="AY96" i="137" s="1"/>
  <c r="BE96" i="137" s="1"/>
  <c r="AE102" i="139"/>
  <c r="AO102" i="139" s="1"/>
  <c r="AY102" i="139" s="1"/>
  <c r="BE102" i="139" s="1"/>
  <c r="AE106" i="139"/>
  <c r="AO106" i="139" s="1"/>
  <c r="AY105" i="139" s="1"/>
  <c r="BE105" i="139" s="1"/>
  <c r="Y103" i="142"/>
  <c r="AO103" i="142" s="1"/>
  <c r="Y105" i="139"/>
  <c r="AO105" i="139" s="1"/>
  <c r="AY104" i="139" s="1"/>
  <c r="BE104" i="139" s="1"/>
  <c r="AD92" i="138"/>
  <c r="AN92" i="138" s="1"/>
  <c r="AX92" i="138" s="1"/>
  <c r="BD92" i="138" s="1"/>
  <c r="O121" i="140"/>
  <c r="O125" i="140" s="1"/>
  <c r="Y108" i="140"/>
  <c r="AO108" i="140" s="1"/>
  <c r="AY107" i="140" s="1"/>
  <c r="BE107" i="140" s="1"/>
  <c r="N121" i="141"/>
  <c r="N125" i="141" s="1"/>
  <c r="X103" i="138"/>
  <c r="AN103" i="138" s="1"/>
  <c r="AT94" i="139"/>
  <c r="BB94" i="139" s="1"/>
  <c r="AX108" i="139"/>
  <c r="BD108" i="139" s="1"/>
  <c r="L99" i="139"/>
  <c r="AJ99" i="139" s="1"/>
  <c r="AT99" i="139" s="1"/>
  <c r="BB99" i="139" s="1"/>
  <c r="Y99" i="140"/>
  <c r="AO99" i="140" s="1"/>
  <c r="AY99" i="140" s="1"/>
  <c r="BE99" i="140" s="1"/>
  <c r="AE98" i="137"/>
  <c r="AO98" i="137" s="1"/>
  <c r="AY98" i="137" s="1"/>
  <c r="BE98" i="137" s="1"/>
  <c r="C121" i="141"/>
  <c r="C125" i="141" s="1"/>
  <c r="C126" i="141" s="1"/>
  <c r="C127" i="141" s="1"/>
  <c r="R98" i="141"/>
  <c r="AJ98" i="141" s="1"/>
  <c r="AT98" i="141" s="1"/>
  <c r="BB98" i="141" s="1"/>
  <c r="X105" i="138"/>
  <c r="AN105" i="138" s="1"/>
  <c r="AX104" i="138" s="1"/>
  <c r="BD104" i="138" s="1"/>
  <c r="S92" i="142"/>
  <c r="AK92" i="142" s="1"/>
  <c r="AU92" i="142" s="1"/>
  <c r="BC92" i="142" s="1"/>
  <c r="AD94" i="138"/>
  <c r="AN94" i="138" s="1"/>
  <c r="AX94" i="138" s="1"/>
  <c r="BD94" i="138" s="1"/>
  <c r="Y100" i="140"/>
  <c r="AO100" i="140" s="1"/>
  <c r="AY100" i="140" s="1"/>
  <c r="BE100" i="140" s="1"/>
  <c r="Y110" i="137"/>
  <c r="AO110" i="137" s="1"/>
  <c r="AY109" i="137" s="1"/>
  <c r="BE109" i="137" s="1"/>
  <c r="N121" i="138"/>
  <c r="N125" i="138" s="1"/>
  <c r="X106" i="138"/>
  <c r="AN106" i="138" s="1"/>
  <c r="AX105" i="138" s="1"/>
  <c r="BD105" i="138" s="1"/>
  <c r="BA101" i="140"/>
  <c r="R110" i="139"/>
  <c r="AJ110" i="139" s="1"/>
  <c r="AT109" i="139" s="1"/>
  <c r="BB109" i="139" s="1"/>
  <c r="L101" i="141"/>
  <c r="AJ101" i="141" s="1"/>
  <c r="L92" i="141"/>
  <c r="AJ92" i="141" s="1"/>
  <c r="AT92" i="141" s="1"/>
  <c r="BB92" i="141" s="1"/>
  <c r="Y102" i="137"/>
  <c r="AO102" i="137" s="1"/>
  <c r="AY102" i="137" s="1"/>
  <c r="BE102" i="137" s="1"/>
  <c r="AE99" i="137"/>
  <c r="AO99" i="137" s="1"/>
  <c r="AY99" i="137" s="1"/>
  <c r="BE99" i="137" s="1"/>
  <c r="AE104" i="140"/>
  <c r="AO104" i="140" s="1"/>
  <c r="AY103" i="140" s="1"/>
  <c r="BE103" i="140" s="1"/>
  <c r="Y99" i="142"/>
  <c r="AO99" i="142" s="1"/>
  <c r="AY99" i="142" s="1"/>
  <c r="BE99" i="142" s="1"/>
  <c r="AE110" i="142"/>
  <c r="AO110" i="142" s="1"/>
  <c r="AY109" i="142" s="1"/>
  <c r="BE109" i="142" s="1"/>
  <c r="X98" i="138"/>
  <c r="AN98" i="138" s="1"/>
  <c r="AX98" i="138" s="1"/>
  <c r="BD98" i="138" s="1"/>
  <c r="H80" i="138"/>
  <c r="AT92" i="140"/>
  <c r="BB92" i="140" s="1"/>
  <c r="AE95" i="137"/>
  <c r="AO95" i="137" s="1"/>
  <c r="AY95" i="137" s="1"/>
  <c r="BE95" i="137" s="1"/>
  <c r="Y94" i="137"/>
  <c r="AO94" i="137" s="1"/>
  <c r="AY94" i="137" s="1"/>
  <c r="BE94" i="137" s="1"/>
  <c r="M100" i="137"/>
  <c r="AK100" i="137" s="1"/>
  <c r="AU100" i="137" s="1"/>
  <c r="BC100" i="137" s="1"/>
  <c r="AE101" i="137"/>
  <c r="AO101" i="137" s="1"/>
  <c r="R110" i="141"/>
  <c r="AJ110" i="141" s="1"/>
  <c r="AT109" i="141" s="1"/>
  <c r="BB109" i="141" s="1"/>
  <c r="S93" i="140"/>
  <c r="AK93" i="140" s="1"/>
  <c r="AU93" i="140" s="1"/>
  <c r="BC93" i="140" s="1"/>
  <c r="AU105" i="142"/>
  <c r="BC105" i="142" s="1"/>
  <c r="AY105" i="141"/>
  <c r="BE105" i="141" s="1"/>
  <c r="R105" i="141"/>
  <c r="AJ105" i="141" s="1"/>
  <c r="AT104" i="141" s="1"/>
  <c r="BB104" i="141" s="1"/>
  <c r="Y105" i="137"/>
  <c r="AO105" i="137" s="1"/>
  <c r="AY104" i="137" s="1"/>
  <c r="BE104" i="137" s="1"/>
  <c r="AY104" i="141"/>
  <c r="BE104" i="141" s="1"/>
  <c r="H121" i="142"/>
  <c r="H125" i="142" s="1"/>
  <c r="M109" i="139"/>
  <c r="AK109" i="139" s="1"/>
  <c r="AU108" i="139" s="1"/>
  <c r="BC108" i="139" s="1"/>
  <c r="M94" i="142"/>
  <c r="AK94" i="142" s="1"/>
  <c r="AU94" i="142" s="1"/>
  <c r="BC94" i="142" s="1"/>
  <c r="R106" i="141"/>
  <c r="AJ106" i="141" s="1"/>
  <c r="AT105" i="141" s="1"/>
  <c r="BB105" i="141" s="1"/>
  <c r="AE107" i="137"/>
  <c r="AO107" i="137" s="1"/>
  <c r="AY106" i="137" s="1"/>
  <c r="BE106" i="137" s="1"/>
  <c r="AD104" i="138"/>
  <c r="AN104" i="138" s="1"/>
  <c r="AX103" i="138" s="1"/>
  <c r="BD103" i="138" s="1"/>
  <c r="AT96" i="141"/>
  <c r="BB96" i="141" s="1"/>
  <c r="AE96" i="140"/>
  <c r="AO96" i="140" s="1"/>
  <c r="AY96" i="140" s="1"/>
  <c r="BE96" i="140" s="1"/>
  <c r="R97" i="141"/>
  <c r="AJ97" i="141" s="1"/>
  <c r="AT97" i="141" s="1"/>
  <c r="BB97" i="141" s="1"/>
  <c r="J80" i="141"/>
  <c r="AD93" i="140"/>
  <c r="AN93" i="140" s="1"/>
  <c r="AX93" i="140" s="1"/>
  <c r="BD93" i="140" s="1"/>
  <c r="R103" i="141"/>
  <c r="AJ103" i="141" s="1"/>
  <c r="AE106" i="137"/>
  <c r="AO106" i="137" s="1"/>
  <c r="AY105" i="137" s="1"/>
  <c r="BE105" i="137" s="1"/>
  <c r="Y93" i="137"/>
  <c r="AO93" i="137" s="1"/>
  <c r="AY93" i="137" s="1"/>
  <c r="BE93" i="137" s="1"/>
  <c r="R108" i="140"/>
  <c r="AJ108" i="140" s="1"/>
  <c r="AT107" i="140" s="1"/>
  <c r="BB107" i="140" s="1"/>
  <c r="L109" i="137"/>
  <c r="AJ109" i="137" s="1"/>
  <c r="AT108" i="137" s="1"/>
  <c r="BB108" i="137" s="1"/>
  <c r="J121" i="137"/>
  <c r="J125" i="137" s="1"/>
  <c r="J126" i="137" s="1"/>
  <c r="J127" i="137" s="1"/>
  <c r="AE102" i="140"/>
  <c r="AO102" i="140" s="1"/>
  <c r="AY102" i="140" s="1"/>
  <c r="BE102" i="140" s="1"/>
  <c r="AE100" i="137"/>
  <c r="AO100" i="137" s="1"/>
  <c r="AY100" i="137" s="1"/>
  <c r="BE100" i="137" s="1"/>
  <c r="X97" i="138"/>
  <c r="AN97" i="138" s="1"/>
  <c r="AX97" i="138" s="1"/>
  <c r="BD97" i="138" s="1"/>
  <c r="L104" i="137"/>
  <c r="AJ104" i="137" s="1"/>
  <c r="AT103" i="137" s="1"/>
  <c r="BB103" i="137" s="1"/>
  <c r="L110" i="140"/>
  <c r="AJ110" i="140" s="1"/>
  <c r="AT109" i="140" s="1"/>
  <c r="BB109" i="140" s="1"/>
  <c r="L91" i="141"/>
  <c r="AJ91" i="141" s="1"/>
  <c r="AT91" i="141" s="1"/>
  <c r="BB91" i="141" s="1"/>
  <c r="C121" i="142"/>
  <c r="C125" i="142" s="1"/>
  <c r="C126" i="142" s="1"/>
  <c r="C127" i="142" s="1"/>
  <c r="AE91" i="137"/>
  <c r="AO91" i="137" s="1"/>
  <c r="AY91" i="137" s="1"/>
  <c r="BE91" i="137" s="1"/>
  <c r="Y99" i="138"/>
  <c r="AO99" i="138" s="1"/>
  <c r="AY99" i="138" s="1"/>
  <c r="BE99" i="138" s="1"/>
  <c r="AY92" i="137"/>
  <c r="BE92" i="137" s="1"/>
  <c r="L99" i="140"/>
  <c r="AJ99" i="140" s="1"/>
  <c r="AT99" i="140" s="1"/>
  <c r="BB99" i="140" s="1"/>
  <c r="Y91" i="139"/>
  <c r="AO91" i="139" s="1"/>
  <c r="AY91" i="139" s="1"/>
  <c r="BE91" i="139" s="1"/>
  <c r="AT103" i="138"/>
  <c r="BB103" i="138" s="1"/>
  <c r="Y94" i="140"/>
  <c r="AO94" i="140" s="1"/>
  <c r="AY94" i="140" s="1"/>
  <c r="BE94" i="140" s="1"/>
  <c r="Y103" i="137"/>
  <c r="AO103" i="137" s="1"/>
  <c r="L107" i="141"/>
  <c r="AJ107" i="141" s="1"/>
  <c r="AT106" i="141" s="1"/>
  <c r="BB106" i="141" s="1"/>
  <c r="L107" i="140"/>
  <c r="AJ107" i="140" s="1"/>
  <c r="AT106" i="140" s="1"/>
  <c r="BB106" i="140" s="1"/>
  <c r="S92" i="140"/>
  <c r="AK92" i="140" s="1"/>
  <c r="AU92" i="140" s="1"/>
  <c r="BC92" i="140" s="1"/>
  <c r="M107" i="139"/>
  <c r="AK107" i="139" s="1"/>
  <c r="AU106" i="139" s="1"/>
  <c r="BC106" i="139" s="1"/>
  <c r="X94" i="139"/>
  <c r="AN94" i="139" s="1"/>
  <c r="AX94" i="139" s="1"/>
  <c r="BD94" i="139" s="1"/>
  <c r="L92" i="139"/>
  <c r="AJ92" i="139" s="1"/>
  <c r="AT92" i="139" s="1"/>
  <c r="BB92" i="139" s="1"/>
  <c r="X108" i="139"/>
  <c r="AN108" i="139" s="1"/>
  <c r="AX107" i="139" s="1"/>
  <c r="BD107" i="139" s="1"/>
  <c r="L94" i="137"/>
  <c r="AJ94" i="137" s="1"/>
  <c r="AT94" i="137" s="1"/>
  <c r="BB94" i="137" s="1"/>
  <c r="N121" i="142"/>
  <c r="N125" i="142" s="1"/>
  <c r="R109" i="141"/>
  <c r="AJ109" i="141" s="1"/>
  <c r="AT108" i="141" s="1"/>
  <c r="BB108" i="141" s="1"/>
  <c r="X102" i="140"/>
  <c r="AN102" i="140" s="1"/>
  <c r="AX102" i="140" s="1"/>
  <c r="BD102" i="140" s="1"/>
  <c r="R103" i="139"/>
  <c r="AJ103" i="139" s="1"/>
  <c r="R93" i="137"/>
  <c r="AJ93" i="137" s="1"/>
  <c r="AT93" i="137" s="1"/>
  <c r="BB93" i="137" s="1"/>
  <c r="Y110" i="139"/>
  <c r="AO110" i="139" s="1"/>
  <c r="AY109" i="139" s="1"/>
  <c r="BE109" i="139" s="1"/>
  <c r="G121" i="141"/>
  <c r="G125" i="141" s="1"/>
  <c r="L80" i="140"/>
  <c r="Y91" i="140"/>
  <c r="AO91" i="140" s="1"/>
  <c r="AE109" i="137"/>
  <c r="AO109" i="137" s="1"/>
  <c r="AY108" i="137" s="1"/>
  <c r="BE108" i="137" s="1"/>
  <c r="AD100" i="138"/>
  <c r="AN100" i="138" s="1"/>
  <c r="AX100" i="138" s="1"/>
  <c r="BD100" i="138" s="1"/>
  <c r="S107" i="137"/>
  <c r="AK107" i="137" s="1"/>
  <c r="AU106" i="137" s="1"/>
  <c r="BC106" i="137" s="1"/>
  <c r="X110" i="138"/>
  <c r="AN110" i="138" s="1"/>
  <c r="AX109" i="138" s="1"/>
  <c r="BD109" i="138" s="1"/>
  <c r="Y103" i="140"/>
  <c r="AO103" i="140" s="1"/>
  <c r="AY101" i="140" s="1"/>
  <c r="BE101" i="140" s="1"/>
  <c r="AT102" i="138"/>
  <c r="BB102" i="138" s="1"/>
  <c r="L100" i="140"/>
  <c r="AJ100" i="140" s="1"/>
  <c r="AT100" i="140" s="1"/>
  <c r="BB100" i="140" s="1"/>
  <c r="M99" i="142"/>
  <c r="AK99" i="142" s="1"/>
  <c r="AU99" i="142" s="1"/>
  <c r="BC99" i="142" s="1"/>
  <c r="L80" i="137"/>
  <c r="R100" i="141"/>
  <c r="AJ100" i="141" s="1"/>
  <c r="AT100" i="141" s="1"/>
  <c r="BB100" i="141" s="1"/>
  <c r="L94" i="141"/>
  <c r="AJ94" i="141" s="1"/>
  <c r="AT94" i="141" s="1"/>
  <c r="BB94" i="141" s="1"/>
  <c r="Y108" i="137"/>
  <c r="AO108" i="137" s="1"/>
  <c r="R106" i="139"/>
  <c r="AJ106" i="139" s="1"/>
  <c r="AT105" i="139" s="1"/>
  <c r="BB105" i="139" s="1"/>
  <c r="AT91" i="138"/>
  <c r="BB91" i="138" s="1"/>
  <c r="L101" i="137"/>
  <c r="AJ101" i="137" s="1"/>
  <c r="R110" i="137"/>
  <c r="AJ110" i="137" s="1"/>
  <c r="AT109" i="137" s="1"/>
  <c r="BB109" i="137" s="1"/>
  <c r="AE100" i="139"/>
  <c r="AO100" i="139" s="1"/>
  <c r="AY100" i="139" s="1"/>
  <c r="BE100" i="139" s="1"/>
  <c r="AV101" i="138"/>
  <c r="L104" i="140"/>
  <c r="AJ104" i="140" s="1"/>
  <c r="AT103" i="140" s="1"/>
  <c r="BB103" i="140" s="1"/>
  <c r="AE101" i="139"/>
  <c r="AO101" i="139" s="1"/>
  <c r="AD95" i="138"/>
  <c r="AN95" i="138" s="1"/>
  <c r="AX95" i="138" s="1"/>
  <c r="BD95" i="138" s="1"/>
  <c r="R93" i="141"/>
  <c r="AJ93" i="141" s="1"/>
  <c r="AT93" i="141" s="1"/>
  <c r="BB93" i="141" s="1"/>
  <c r="L108" i="141"/>
  <c r="AJ108" i="141" s="1"/>
  <c r="AT107" i="141" s="1"/>
  <c r="BB107" i="141" s="1"/>
  <c r="L96" i="139"/>
  <c r="AJ96" i="139" s="1"/>
  <c r="AT96" i="139" s="1"/>
  <c r="BB96" i="139" s="1"/>
  <c r="AV101" i="140"/>
  <c r="X102" i="138"/>
  <c r="AN102" i="138" s="1"/>
  <c r="AX102" i="138" s="1"/>
  <c r="BD102" i="138" s="1"/>
  <c r="X93" i="138"/>
  <c r="AN93" i="138" s="1"/>
  <c r="AX93" i="138" s="1"/>
  <c r="BD93" i="138" s="1"/>
  <c r="L102" i="141"/>
  <c r="AJ102" i="141" s="1"/>
  <c r="AT102" i="141" s="1"/>
  <c r="BB102" i="141" s="1"/>
  <c r="M101" i="137"/>
  <c r="AK101" i="137" s="1"/>
  <c r="R93" i="139"/>
  <c r="AJ93" i="139" s="1"/>
  <c r="AT93" i="139" s="1"/>
  <c r="BB93" i="139" s="1"/>
  <c r="Y107" i="139"/>
  <c r="AO107" i="139" s="1"/>
  <c r="AY106" i="139" s="1"/>
  <c r="BE106" i="139" s="1"/>
  <c r="D80" i="141"/>
  <c r="M96" i="139"/>
  <c r="AK96" i="139" s="1"/>
  <c r="AU96" i="139" s="1"/>
  <c r="BC96" i="139" s="1"/>
  <c r="L95" i="141"/>
  <c r="AJ95" i="141" s="1"/>
  <c r="AT95" i="141" s="1"/>
  <c r="BB95" i="141" s="1"/>
  <c r="N80" i="142"/>
  <c r="R99" i="141"/>
  <c r="AJ99" i="141" s="1"/>
  <c r="AT99" i="141" s="1"/>
  <c r="BB99" i="141" s="1"/>
  <c r="AT108" i="138"/>
  <c r="BB108" i="138" s="1"/>
  <c r="L101" i="139"/>
  <c r="AJ101" i="139" s="1"/>
  <c r="AD96" i="138"/>
  <c r="AN96" i="138" s="1"/>
  <c r="AX96" i="138" s="1"/>
  <c r="BD96" i="138" s="1"/>
  <c r="AT100" i="138"/>
  <c r="BB100" i="138" s="1"/>
  <c r="Y92" i="139"/>
  <c r="AO92" i="139" s="1"/>
  <c r="AY92" i="139" s="1"/>
  <c r="BE92" i="139" s="1"/>
  <c r="Y108" i="139"/>
  <c r="AO108" i="139" s="1"/>
  <c r="AY107" i="139" s="1"/>
  <c r="BE107" i="139" s="1"/>
  <c r="R108" i="137"/>
  <c r="AJ108" i="137" s="1"/>
  <c r="AT107" i="137" s="1"/>
  <c r="BB107" i="137" s="1"/>
  <c r="R101" i="140"/>
  <c r="AJ101" i="140" s="1"/>
  <c r="Y109" i="139"/>
  <c r="AO109" i="139" s="1"/>
  <c r="AY108" i="139" s="1"/>
  <c r="BE108" i="139" s="1"/>
  <c r="AD107" i="138"/>
  <c r="AN107" i="138" s="1"/>
  <c r="AX106" i="138" s="1"/>
  <c r="BD106" i="138" s="1"/>
  <c r="R95" i="139"/>
  <c r="AJ95" i="139" s="1"/>
  <c r="AT95" i="139" s="1"/>
  <c r="BB95" i="139" s="1"/>
  <c r="M99" i="140"/>
  <c r="AK99" i="140" s="1"/>
  <c r="AU99" i="140" s="1"/>
  <c r="BC99" i="140" s="1"/>
  <c r="AD96" i="139"/>
  <c r="AN96" i="139" s="1"/>
  <c r="AX96" i="139" s="1"/>
  <c r="BD96" i="139" s="1"/>
  <c r="M104" i="140"/>
  <c r="AK104" i="140" s="1"/>
  <c r="AU103" i="140" s="1"/>
  <c r="BC103" i="140" s="1"/>
  <c r="R108" i="139"/>
  <c r="AJ108" i="139" s="1"/>
  <c r="AT107" i="139" s="1"/>
  <c r="BB107" i="139" s="1"/>
  <c r="X92" i="139"/>
  <c r="AN92" i="139" s="1"/>
  <c r="AX92" i="139" s="1"/>
  <c r="BD92" i="139" s="1"/>
  <c r="X105" i="140"/>
  <c r="AN105" i="140" s="1"/>
  <c r="AX104" i="140" s="1"/>
  <c r="BD104" i="140" s="1"/>
  <c r="Y102" i="142"/>
  <c r="AO102" i="142" s="1"/>
  <c r="AY102" i="142" s="1"/>
  <c r="BE102" i="142" s="1"/>
  <c r="AD101" i="139"/>
  <c r="AN101" i="139" s="1"/>
  <c r="L107" i="139"/>
  <c r="AJ107" i="139" s="1"/>
  <c r="AT106" i="139" s="1"/>
  <c r="BB106" i="139" s="1"/>
  <c r="X107" i="140"/>
  <c r="AN107" i="140" s="1"/>
  <c r="AX106" i="140" s="1"/>
  <c r="BD106" i="140" s="1"/>
  <c r="X97" i="139"/>
  <c r="AN97" i="139" s="1"/>
  <c r="AX97" i="139" s="1"/>
  <c r="BD97" i="139" s="1"/>
  <c r="R102" i="139"/>
  <c r="AJ102" i="139" s="1"/>
  <c r="AT102" i="139" s="1"/>
  <c r="BB102" i="139" s="1"/>
  <c r="L97" i="139"/>
  <c r="AJ97" i="139" s="1"/>
  <c r="AT97" i="139" s="1"/>
  <c r="BB97" i="139" s="1"/>
  <c r="X109" i="138"/>
  <c r="AN109" i="138" s="1"/>
  <c r="AX108" i="138" s="1"/>
  <c r="BD108" i="138" s="1"/>
  <c r="AT96" i="138"/>
  <c r="BB96" i="138" s="1"/>
  <c r="Y99" i="139"/>
  <c r="AO99" i="139" s="1"/>
  <c r="AY99" i="139" s="1"/>
  <c r="BE99" i="139" s="1"/>
  <c r="AY107" i="142"/>
  <c r="BE107" i="142" s="1"/>
  <c r="AX99" i="138"/>
  <c r="BD99" i="138" s="1"/>
  <c r="R102" i="137"/>
  <c r="AJ102" i="137" s="1"/>
  <c r="AT102" i="137" s="1"/>
  <c r="BB102" i="137" s="1"/>
  <c r="N80" i="138"/>
  <c r="K80" i="138"/>
  <c r="G121" i="137"/>
  <c r="G125" i="137" s="1"/>
  <c r="L109" i="139"/>
  <c r="AJ109" i="139" s="1"/>
  <c r="AT108" i="139" s="1"/>
  <c r="BB108" i="139" s="1"/>
  <c r="AT98" i="138"/>
  <c r="BB98" i="138" s="1"/>
  <c r="AE98" i="142"/>
  <c r="AO98" i="142" s="1"/>
  <c r="AY98" i="142" s="1"/>
  <c r="BE98" i="142" s="1"/>
  <c r="G121" i="142"/>
  <c r="G125" i="142" s="1"/>
  <c r="Y95" i="139"/>
  <c r="AO95" i="139" s="1"/>
  <c r="AY95" i="139" s="1"/>
  <c r="BE95" i="139" s="1"/>
  <c r="Y104" i="139"/>
  <c r="AO104" i="139" s="1"/>
  <c r="AY103" i="139" s="1"/>
  <c r="BE103" i="139" s="1"/>
  <c r="AD101" i="138"/>
  <c r="AN101" i="138" s="1"/>
  <c r="AT101" i="138"/>
  <c r="BB101" i="138" s="1"/>
  <c r="X108" i="140"/>
  <c r="AN108" i="140" s="1"/>
  <c r="AX107" i="140" s="1"/>
  <c r="BD107" i="140" s="1"/>
  <c r="AD91" i="138"/>
  <c r="AN91" i="138" s="1"/>
  <c r="AX91" i="138" s="1"/>
  <c r="BD91" i="138" s="1"/>
  <c r="X98" i="139"/>
  <c r="AN98" i="139" s="1"/>
  <c r="AX98" i="139" s="1"/>
  <c r="BD98" i="139" s="1"/>
  <c r="G121" i="140"/>
  <c r="G125" i="140" s="1"/>
  <c r="S94" i="140"/>
  <c r="AK94" i="140" s="1"/>
  <c r="AU94" i="140" s="1"/>
  <c r="BC94" i="140" s="1"/>
  <c r="AD110" i="140"/>
  <c r="AN110" i="140" s="1"/>
  <c r="AX109" i="140" s="1"/>
  <c r="BD109" i="140" s="1"/>
  <c r="D80" i="139"/>
  <c r="S105" i="137"/>
  <c r="AK105" i="137" s="1"/>
  <c r="AU104" i="137" s="1"/>
  <c r="BC104" i="137" s="1"/>
  <c r="C80" i="141"/>
  <c r="R91" i="139"/>
  <c r="AJ91" i="139" s="1"/>
  <c r="S91" i="139"/>
  <c r="AK91" i="139" s="1"/>
  <c r="M106" i="137"/>
  <c r="AK106" i="137" s="1"/>
  <c r="AU105" i="137" s="1"/>
  <c r="BC105" i="137" s="1"/>
  <c r="R105" i="139"/>
  <c r="AJ105" i="139" s="1"/>
  <c r="AT104" i="139" s="1"/>
  <c r="BB104" i="139" s="1"/>
  <c r="S91" i="137"/>
  <c r="AK91" i="137" s="1"/>
  <c r="AU91" i="137" s="1"/>
  <c r="BC91" i="137" s="1"/>
  <c r="R97" i="137"/>
  <c r="AJ97" i="137" s="1"/>
  <c r="AT97" i="137" s="1"/>
  <c r="BB97" i="137" s="1"/>
  <c r="M98" i="140"/>
  <c r="AK98" i="140" s="1"/>
  <c r="AU98" i="140" s="1"/>
  <c r="BC98" i="140" s="1"/>
  <c r="X107" i="139"/>
  <c r="AN107" i="139" s="1"/>
  <c r="AX106" i="139" s="1"/>
  <c r="BD106" i="139" s="1"/>
  <c r="V111" i="139"/>
  <c r="AD92" i="140"/>
  <c r="AN92" i="140" s="1"/>
  <c r="AX92" i="140" s="1"/>
  <c r="BD92" i="140" s="1"/>
  <c r="S102" i="140"/>
  <c r="AK102" i="140" s="1"/>
  <c r="AU102" i="140" s="1"/>
  <c r="BC102" i="140" s="1"/>
  <c r="Y93" i="139"/>
  <c r="AO93" i="139" s="1"/>
  <c r="AY93" i="139" s="1"/>
  <c r="BE93" i="139" s="1"/>
  <c r="AD96" i="140"/>
  <c r="AN96" i="140" s="1"/>
  <c r="AX96" i="140" s="1"/>
  <c r="BD96" i="140" s="1"/>
  <c r="J121" i="140"/>
  <c r="J125" i="140" s="1"/>
  <c r="J126" i="140" s="1"/>
  <c r="J127" i="140" s="1"/>
  <c r="AE96" i="139"/>
  <c r="AO96" i="139" s="1"/>
  <c r="AY96" i="139" s="1"/>
  <c r="BE96" i="139" s="1"/>
  <c r="AH111" i="142"/>
  <c r="AM99" i="140"/>
  <c r="AW99" i="140" s="1"/>
  <c r="Y101" i="142"/>
  <c r="AO101" i="142" s="1"/>
  <c r="R100" i="137"/>
  <c r="AJ100" i="137" s="1"/>
  <c r="AT100" i="137" s="1"/>
  <c r="BB100" i="137" s="1"/>
  <c r="S109" i="140"/>
  <c r="AK109" i="140" s="1"/>
  <c r="AU108" i="140" s="1"/>
  <c r="BC108" i="140" s="1"/>
  <c r="M103" i="140"/>
  <c r="AK103" i="140" s="1"/>
  <c r="S109" i="142"/>
  <c r="AK109" i="142" s="1"/>
  <c r="AU108" i="142" s="1"/>
  <c r="BC108" i="142" s="1"/>
  <c r="AD105" i="139"/>
  <c r="AN105" i="139" s="1"/>
  <c r="AX104" i="139" s="1"/>
  <c r="BD104" i="139" s="1"/>
  <c r="R93" i="140"/>
  <c r="AJ93" i="140" s="1"/>
  <c r="AT93" i="140" s="1"/>
  <c r="BB93" i="140" s="1"/>
  <c r="AY97" i="139"/>
  <c r="BE97" i="139" s="1"/>
  <c r="M101" i="140"/>
  <c r="AK101" i="140" s="1"/>
  <c r="C121" i="139"/>
  <c r="C125" i="139" s="1"/>
  <c r="C126" i="139" s="1"/>
  <c r="C127" i="139" s="1"/>
  <c r="M108" i="140"/>
  <c r="AK108" i="140" s="1"/>
  <c r="AU107" i="140" s="1"/>
  <c r="BC107" i="140" s="1"/>
  <c r="C121" i="140"/>
  <c r="C125" i="140" s="1"/>
  <c r="C126" i="140" s="1"/>
  <c r="C127" i="140" s="1"/>
  <c r="Y91" i="142"/>
  <c r="AO91" i="142" s="1"/>
  <c r="AY91" i="142" s="1"/>
  <c r="BE91" i="142" s="1"/>
  <c r="Y109" i="142"/>
  <c r="AO109" i="142" s="1"/>
  <c r="AY108" i="142" s="1"/>
  <c r="BE108" i="142" s="1"/>
  <c r="R95" i="137"/>
  <c r="AJ95" i="137" s="1"/>
  <c r="AT95" i="137" s="1"/>
  <c r="BB95" i="137" s="1"/>
  <c r="J80" i="137"/>
  <c r="M97" i="142"/>
  <c r="AK97" i="142" s="1"/>
  <c r="AU97" i="142" s="1"/>
  <c r="BC97" i="142" s="1"/>
  <c r="AE93" i="142"/>
  <c r="AO93" i="142" s="1"/>
  <c r="AY93" i="142" s="1"/>
  <c r="BE93" i="142" s="1"/>
  <c r="M93" i="142"/>
  <c r="AK93" i="142" s="1"/>
  <c r="AU93" i="142" s="1"/>
  <c r="BC93" i="142" s="1"/>
  <c r="AD99" i="140"/>
  <c r="AN99" i="140" s="1"/>
  <c r="AX99" i="140" s="1"/>
  <c r="BD99" i="140" s="1"/>
  <c r="Y92" i="142"/>
  <c r="AO92" i="142" s="1"/>
  <c r="AY92" i="142" s="1"/>
  <c r="BE92" i="142" s="1"/>
  <c r="AD104" i="140"/>
  <c r="AN104" i="140" s="1"/>
  <c r="AX103" i="140" s="1"/>
  <c r="BD103" i="140" s="1"/>
  <c r="L99" i="137"/>
  <c r="AJ99" i="137" s="1"/>
  <c r="AT99" i="137" s="1"/>
  <c r="BB99" i="137" s="1"/>
  <c r="M96" i="140"/>
  <c r="AK96" i="140" s="1"/>
  <c r="AU96" i="140" s="1"/>
  <c r="BC96" i="140" s="1"/>
  <c r="L106" i="137"/>
  <c r="AJ106" i="137" s="1"/>
  <c r="AT105" i="137" s="1"/>
  <c r="BB105" i="137" s="1"/>
  <c r="AQ101" i="141"/>
  <c r="BA101" i="141" s="1"/>
  <c r="Y95" i="142"/>
  <c r="AO95" i="142" s="1"/>
  <c r="AY95" i="142" s="1"/>
  <c r="BE95" i="142" s="1"/>
  <c r="Y103" i="139"/>
  <c r="AO103" i="139" s="1"/>
  <c r="X100" i="140"/>
  <c r="AN100" i="140" s="1"/>
  <c r="AX100" i="140" s="1"/>
  <c r="BD100" i="140" s="1"/>
  <c r="AM111" i="139"/>
  <c r="AW110" i="139" s="1"/>
  <c r="AP107" i="137"/>
  <c r="AZ106" i="137" s="1"/>
  <c r="AT107" i="138"/>
  <c r="BB107" i="138" s="1"/>
  <c r="N80" i="141"/>
  <c r="J80" i="138"/>
  <c r="C80" i="138"/>
  <c r="H80" i="142"/>
  <c r="AY94" i="139"/>
  <c r="BE94" i="139" s="1"/>
  <c r="S99" i="139"/>
  <c r="AK99" i="139" s="1"/>
  <c r="AU99" i="139" s="1"/>
  <c r="BC99" i="139" s="1"/>
  <c r="AE98" i="139"/>
  <c r="AO98" i="139" s="1"/>
  <c r="AY98" i="139" s="1"/>
  <c r="BE98" i="139" s="1"/>
  <c r="L80" i="139"/>
  <c r="P111" i="139"/>
  <c r="M91" i="142"/>
  <c r="AK91" i="142" s="1"/>
  <c r="AU91" i="142" s="1"/>
  <c r="BC91" i="142" s="1"/>
  <c r="AT109" i="138"/>
  <c r="BB109" i="138" s="1"/>
  <c r="AT105" i="138"/>
  <c r="BB105" i="138" s="1"/>
  <c r="M99" i="137"/>
  <c r="AK99" i="137" s="1"/>
  <c r="Y107" i="142"/>
  <c r="AO107" i="142" s="1"/>
  <c r="AY106" i="142" s="1"/>
  <c r="BE106" i="142" s="1"/>
  <c r="Y100" i="138"/>
  <c r="AO100" i="138" s="1"/>
  <c r="AY100" i="138" s="1"/>
  <c r="BE100" i="138" s="1"/>
  <c r="R109" i="140"/>
  <c r="AJ109" i="140" s="1"/>
  <c r="AT108" i="140" s="1"/>
  <c r="BB108" i="140" s="1"/>
  <c r="L91" i="137"/>
  <c r="AJ91" i="137" s="1"/>
  <c r="AT91" i="137" s="1"/>
  <c r="BB91" i="137" s="1"/>
  <c r="M104" i="137"/>
  <c r="AK104" i="137" s="1"/>
  <c r="AU103" i="137" s="1"/>
  <c r="BC103" i="137" s="1"/>
  <c r="R96" i="140"/>
  <c r="AJ96" i="140" s="1"/>
  <c r="AT96" i="140" s="1"/>
  <c r="BB96" i="140" s="1"/>
  <c r="S105" i="142"/>
  <c r="AK105" i="142" s="1"/>
  <c r="AU104" i="142" s="1"/>
  <c r="BC104" i="142" s="1"/>
  <c r="S97" i="137"/>
  <c r="AK97" i="137" s="1"/>
  <c r="AU97" i="137" s="1"/>
  <c r="BC97" i="137" s="1"/>
  <c r="R96" i="137"/>
  <c r="AJ96" i="137" s="1"/>
  <c r="M101" i="142"/>
  <c r="AK101" i="142" s="1"/>
  <c r="S108" i="137"/>
  <c r="AK108" i="137" s="1"/>
  <c r="AU107" i="137" s="1"/>
  <c r="BC107" i="137" s="1"/>
  <c r="S110" i="137"/>
  <c r="AK110" i="137" s="1"/>
  <c r="AU109" i="137" s="1"/>
  <c r="BC109" i="137" s="1"/>
  <c r="N121" i="140"/>
  <c r="N125" i="140" s="1"/>
  <c r="M96" i="137"/>
  <c r="AK96" i="137" s="1"/>
  <c r="AU96" i="137" s="1"/>
  <c r="BC96" i="137" s="1"/>
  <c r="L107" i="137"/>
  <c r="AJ107" i="137" s="1"/>
  <c r="AT106" i="137" s="1"/>
  <c r="BB106" i="137" s="1"/>
  <c r="M106" i="140"/>
  <c r="AK106" i="140" s="1"/>
  <c r="AU105" i="140" s="1"/>
  <c r="BC105" i="140" s="1"/>
  <c r="Y94" i="142"/>
  <c r="AO94" i="142" s="1"/>
  <c r="AY94" i="142" s="1"/>
  <c r="BE94" i="142" s="1"/>
  <c r="AY109" i="140"/>
  <c r="BE109" i="140" s="1"/>
  <c r="AE105" i="142"/>
  <c r="AO105" i="142" s="1"/>
  <c r="AY104" i="142" s="1"/>
  <c r="BE104" i="142" s="1"/>
  <c r="M95" i="139"/>
  <c r="AK95" i="139" s="1"/>
  <c r="AU95" i="139" s="1"/>
  <c r="BC95" i="139" s="1"/>
  <c r="M95" i="140"/>
  <c r="AK95" i="140" s="1"/>
  <c r="AU95" i="140" s="1"/>
  <c r="BC95" i="140" s="1"/>
  <c r="M110" i="140"/>
  <c r="AK110" i="140" s="1"/>
  <c r="AU109" i="140" s="1"/>
  <c r="BC109" i="140" s="1"/>
  <c r="X109" i="140"/>
  <c r="AN109" i="140" s="1"/>
  <c r="AX108" i="140" s="1"/>
  <c r="BD108" i="140" s="1"/>
  <c r="AD103" i="139"/>
  <c r="AN103" i="139" s="1"/>
  <c r="AQ105" i="141"/>
  <c r="BA104" i="141" s="1"/>
  <c r="R103" i="140"/>
  <c r="AJ103" i="140" s="1"/>
  <c r="M109" i="137"/>
  <c r="AK109" i="137" s="1"/>
  <c r="AU108" i="137" s="1"/>
  <c r="BC108" i="137" s="1"/>
  <c r="AG111" i="138"/>
  <c r="Y96" i="142"/>
  <c r="AO96" i="142" s="1"/>
  <c r="AY96" i="142" s="1"/>
  <c r="BE96" i="142" s="1"/>
  <c r="R98" i="140"/>
  <c r="AJ98" i="140" s="1"/>
  <c r="AT98" i="140" s="1"/>
  <c r="BB98" i="140" s="1"/>
  <c r="D80" i="137"/>
  <c r="L92" i="137"/>
  <c r="AJ92" i="137" s="1"/>
  <c r="AT92" i="137" s="1"/>
  <c r="BB92" i="137" s="1"/>
  <c r="L98" i="137"/>
  <c r="AJ98" i="137" s="1"/>
  <c r="AT98" i="137" s="1"/>
  <c r="BB98" i="137" s="1"/>
  <c r="BA101" i="138"/>
  <c r="J121" i="142"/>
  <c r="J125" i="142" s="1"/>
  <c r="J126" i="142" s="1"/>
  <c r="J127" i="142" s="1"/>
  <c r="AD106" i="140"/>
  <c r="AN106" i="140" s="1"/>
  <c r="AX105" i="140" s="1"/>
  <c r="BD105" i="140" s="1"/>
  <c r="R103" i="137"/>
  <c r="AJ103" i="137" s="1"/>
  <c r="R105" i="137"/>
  <c r="AJ105" i="137" s="1"/>
  <c r="AT104" i="137" s="1"/>
  <c r="BB104" i="137" s="1"/>
  <c r="S94" i="139"/>
  <c r="AK94" i="139" s="1"/>
  <c r="AU94" i="139" s="1"/>
  <c r="BC94" i="139" s="1"/>
  <c r="M104" i="139"/>
  <c r="AK104" i="139" s="1"/>
  <c r="AU103" i="139" s="1"/>
  <c r="BC103" i="139" s="1"/>
  <c r="AD101" i="140"/>
  <c r="AN101" i="140" s="1"/>
  <c r="S91" i="140"/>
  <c r="AK91" i="140" s="1"/>
  <c r="AU91" i="140" s="1"/>
  <c r="BC91" i="140" s="1"/>
  <c r="Y102" i="138"/>
  <c r="AO102" i="138" s="1"/>
  <c r="AY102" i="138" s="1"/>
  <c r="BE102" i="138" s="1"/>
  <c r="S101" i="139"/>
  <c r="AK101" i="139" s="1"/>
  <c r="X106" i="139"/>
  <c r="AN106" i="139" s="1"/>
  <c r="AX105" i="139" s="1"/>
  <c r="BD105" i="139" s="1"/>
  <c r="H121" i="137"/>
  <c r="H125" i="137" s="1"/>
  <c r="S108" i="142"/>
  <c r="AK108" i="142" s="1"/>
  <c r="AU107" i="142" s="1"/>
  <c r="BC107" i="142" s="1"/>
  <c r="X95" i="140"/>
  <c r="AN95" i="140" s="1"/>
  <c r="AX95" i="140" s="1"/>
  <c r="BD95" i="140" s="1"/>
  <c r="O111" i="139"/>
  <c r="AE97" i="142"/>
  <c r="AO97" i="142" s="1"/>
  <c r="AY97" i="142" s="1"/>
  <c r="BE97" i="142" s="1"/>
  <c r="L102" i="140"/>
  <c r="AJ102" i="140" s="1"/>
  <c r="AT102" i="140" s="1"/>
  <c r="BB102" i="140" s="1"/>
  <c r="O111" i="140"/>
  <c r="O121" i="138"/>
  <c r="O125" i="138" s="1"/>
  <c r="AE106" i="142"/>
  <c r="AO106" i="142" s="1"/>
  <c r="AY105" i="142" s="1"/>
  <c r="BE105" i="142" s="1"/>
  <c r="AD91" i="139"/>
  <c r="AN91" i="139" s="1"/>
  <c r="AX91" i="139" s="1"/>
  <c r="BD91" i="139" s="1"/>
  <c r="X93" i="139"/>
  <c r="AN93" i="139" s="1"/>
  <c r="AX93" i="139" s="1"/>
  <c r="BD93" i="139" s="1"/>
  <c r="Y104" i="142"/>
  <c r="AO104" i="142" s="1"/>
  <c r="AY103" i="142" s="1"/>
  <c r="BE103" i="142" s="1"/>
  <c r="U111" i="139"/>
  <c r="O80" i="138"/>
  <c r="R94" i="140"/>
  <c r="AJ94" i="140" s="1"/>
  <c r="AT94" i="140" s="1"/>
  <c r="BB94" i="140" s="1"/>
  <c r="X100" i="139"/>
  <c r="AN100" i="139" s="1"/>
  <c r="AX100" i="139" s="1"/>
  <c r="BD100" i="139" s="1"/>
  <c r="M96" i="142"/>
  <c r="AK96" i="142" s="1"/>
  <c r="AU96" i="142" s="1"/>
  <c r="BC96" i="142" s="1"/>
  <c r="AD110" i="139"/>
  <c r="AN110" i="139" s="1"/>
  <c r="AX109" i="139" s="1"/>
  <c r="BD109" i="139" s="1"/>
  <c r="G121" i="138"/>
  <c r="G125" i="138" s="1"/>
  <c r="C80" i="142"/>
  <c r="AW101" i="142"/>
  <c r="AD99" i="139"/>
  <c r="AN99" i="139" s="1"/>
  <c r="AX99" i="139" s="1"/>
  <c r="BD99" i="139" s="1"/>
  <c r="O111" i="142"/>
  <c r="G80" i="140"/>
  <c r="G80" i="137"/>
  <c r="J80" i="139"/>
  <c r="X94" i="140"/>
  <c r="AN94" i="140" s="1"/>
  <c r="AX94" i="140" s="1"/>
  <c r="BD94" i="140" s="1"/>
  <c r="S100" i="140"/>
  <c r="AK100" i="140" s="1"/>
  <c r="AU100" i="140" s="1"/>
  <c r="BC100" i="140" s="1"/>
  <c r="G121" i="139"/>
  <c r="G125" i="139" s="1"/>
  <c r="S105" i="140"/>
  <c r="AK105" i="140" s="1"/>
  <c r="AU104" i="140" s="1"/>
  <c r="BC104" i="140" s="1"/>
  <c r="Y100" i="142"/>
  <c r="AO100" i="142" s="1"/>
  <c r="AY100" i="142" s="1"/>
  <c r="BE100" i="142" s="1"/>
  <c r="L80" i="142"/>
  <c r="O111" i="137"/>
  <c r="AB111" i="138"/>
  <c r="M95" i="142"/>
  <c r="AK95" i="142" s="1"/>
  <c r="AU95" i="142" s="1"/>
  <c r="BC95" i="142" s="1"/>
  <c r="X98" i="140"/>
  <c r="AN98" i="140" s="1"/>
  <c r="AX98" i="140" s="1"/>
  <c r="BD98" i="140" s="1"/>
  <c r="AE98" i="138"/>
  <c r="AO98" i="138" s="1"/>
  <c r="AY98" i="138" s="1"/>
  <c r="BE98" i="138" s="1"/>
  <c r="M92" i="137"/>
  <c r="AK92" i="137" s="1"/>
  <c r="AU92" i="137" s="1"/>
  <c r="BC92" i="137" s="1"/>
  <c r="AE104" i="138"/>
  <c r="AO104" i="138" s="1"/>
  <c r="AY103" i="138" s="1"/>
  <c r="BE103" i="138" s="1"/>
  <c r="K80" i="140"/>
  <c r="X103" i="140"/>
  <c r="AN103" i="140" s="1"/>
  <c r="AD97" i="140"/>
  <c r="AN97" i="140" s="1"/>
  <c r="AX97" i="140" s="1"/>
  <c r="BD97" i="140" s="1"/>
  <c r="Y96" i="138"/>
  <c r="AO96" i="138" s="1"/>
  <c r="AY96" i="138" s="1"/>
  <c r="BE96" i="138" s="1"/>
  <c r="AW101" i="137"/>
  <c r="P111" i="142"/>
  <c r="S100" i="139"/>
  <c r="AK100" i="139" s="1"/>
  <c r="AU100" i="139" s="1"/>
  <c r="BC100" i="139" s="1"/>
  <c r="AA111" i="138"/>
  <c r="R97" i="140"/>
  <c r="AJ97" i="140" s="1"/>
  <c r="AT97" i="140" s="1"/>
  <c r="BB97" i="140" s="1"/>
  <c r="M95" i="137"/>
  <c r="AK95" i="137" s="1"/>
  <c r="AU95" i="137" s="1"/>
  <c r="BC95" i="137" s="1"/>
  <c r="E80" i="140"/>
  <c r="AU97" i="140"/>
  <c r="BC97" i="140" s="1"/>
  <c r="X102" i="139"/>
  <c r="AN102" i="139" s="1"/>
  <c r="AX102" i="139" s="1"/>
  <c r="BD102" i="139" s="1"/>
  <c r="M107" i="142"/>
  <c r="AK107" i="142" s="1"/>
  <c r="AU106" i="142" s="1"/>
  <c r="BC106" i="142" s="1"/>
  <c r="V111" i="142"/>
  <c r="J80" i="140"/>
  <c r="S105" i="139"/>
  <c r="AK105" i="139" s="1"/>
  <c r="AU104" i="139" s="1"/>
  <c r="BC104" i="139" s="1"/>
  <c r="M110" i="142"/>
  <c r="AK110" i="142" s="1"/>
  <c r="AU109" i="142" s="1"/>
  <c r="BC109" i="142" s="1"/>
  <c r="X104" i="139"/>
  <c r="AN104" i="139" s="1"/>
  <c r="AX103" i="139" s="1"/>
  <c r="BD103" i="139" s="1"/>
  <c r="M107" i="140"/>
  <c r="AK107" i="140" s="1"/>
  <c r="AU106" i="140" s="1"/>
  <c r="BC106" i="140" s="1"/>
  <c r="N80" i="140"/>
  <c r="R91" i="140"/>
  <c r="AJ91" i="140" s="1"/>
  <c r="AT91" i="140" s="1"/>
  <c r="BB91" i="140" s="1"/>
  <c r="AL111" i="137"/>
  <c r="AV110" i="137" s="1"/>
  <c r="L106" i="140"/>
  <c r="AJ106" i="140" s="1"/>
  <c r="AT105" i="140" s="1"/>
  <c r="BB105" i="140" s="1"/>
  <c r="U111" i="137"/>
  <c r="S110" i="139"/>
  <c r="AK110" i="139" s="1"/>
  <c r="AU109" i="139" s="1"/>
  <c r="BC109" i="139" s="1"/>
  <c r="K80" i="139"/>
  <c r="M94" i="137"/>
  <c r="AK94" i="137" s="1"/>
  <c r="AU94" i="137" s="1"/>
  <c r="BC94" i="137" s="1"/>
  <c r="P111" i="137"/>
  <c r="AL111" i="139"/>
  <c r="AV110" i="139" s="1"/>
  <c r="AP111" i="138"/>
  <c r="AZ110" i="138" s="1"/>
  <c r="AH111" i="138"/>
  <c r="AG111" i="142"/>
  <c r="X95" i="139"/>
  <c r="AN95" i="139" s="1"/>
  <c r="AX95" i="139" s="1"/>
  <c r="BD95" i="139" s="1"/>
  <c r="Y105" i="138"/>
  <c r="AO105" i="138" s="1"/>
  <c r="AY104" i="138" s="1"/>
  <c r="BE104" i="138" s="1"/>
  <c r="AM108" i="142"/>
  <c r="AM93" i="140"/>
  <c r="AW93" i="140" s="1"/>
  <c r="AP94" i="137"/>
  <c r="AZ94" i="137" s="1"/>
  <c r="AM96" i="140"/>
  <c r="AW96" i="140" s="1"/>
  <c r="AP104" i="139"/>
  <c r="AZ103" i="139" s="1"/>
  <c r="AA111" i="140"/>
  <c r="D80" i="140"/>
  <c r="R105" i="140"/>
  <c r="AJ105" i="140" s="1"/>
  <c r="AT104" i="140" s="1"/>
  <c r="BB104" i="140" s="1"/>
  <c r="P111" i="138"/>
  <c r="O111" i="141"/>
  <c r="AE110" i="138"/>
  <c r="AO110" i="138" s="1"/>
  <c r="AY109" i="138" s="1"/>
  <c r="BE109" i="138" s="1"/>
  <c r="L95" i="140"/>
  <c r="AJ95" i="140" s="1"/>
  <c r="AT95" i="140" s="1"/>
  <c r="BB95" i="140" s="1"/>
  <c r="S103" i="142"/>
  <c r="AK103" i="142" s="1"/>
  <c r="AB111" i="140"/>
  <c r="AB111" i="142"/>
  <c r="M106" i="139"/>
  <c r="AK106" i="139" s="1"/>
  <c r="AU105" i="139" s="1"/>
  <c r="BC105" i="139" s="1"/>
  <c r="M98" i="142"/>
  <c r="AK98" i="142" s="1"/>
  <c r="AU98" i="142" s="1"/>
  <c r="BC98" i="142" s="1"/>
  <c r="AP107" i="139"/>
  <c r="AZ106" i="139" s="1"/>
  <c r="AP101" i="137"/>
  <c r="AZ101" i="137" s="1"/>
  <c r="V111" i="138"/>
  <c r="AP93" i="139"/>
  <c r="AZ93" i="139" s="1"/>
  <c r="G80" i="139"/>
  <c r="G80" i="138"/>
  <c r="C80" i="140"/>
  <c r="S98" i="139"/>
  <c r="AK98" i="139" s="1"/>
  <c r="AU98" i="139" s="1"/>
  <c r="BC98" i="139" s="1"/>
  <c r="M102" i="142"/>
  <c r="AK102" i="142" s="1"/>
  <c r="AU102" i="142" s="1"/>
  <c r="BC102" i="142" s="1"/>
  <c r="U111" i="142"/>
  <c r="S93" i="139"/>
  <c r="AK93" i="139" s="1"/>
  <c r="AU93" i="139" s="1"/>
  <c r="BC93" i="139" s="1"/>
  <c r="AM106" i="138"/>
  <c r="AW105" i="138" s="1"/>
  <c r="S98" i="137"/>
  <c r="AK98" i="137" s="1"/>
  <c r="AU98" i="137" s="1"/>
  <c r="BC98" i="137" s="1"/>
  <c r="G80" i="142"/>
  <c r="BA101" i="137"/>
  <c r="C80" i="139"/>
  <c r="M102" i="137"/>
  <c r="AK102" i="137" s="1"/>
  <c r="AU102" i="137" s="1"/>
  <c r="BC102" i="137" s="1"/>
  <c r="AE95" i="138"/>
  <c r="AO95" i="138" s="1"/>
  <c r="AY95" i="138" s="1"/>
  <c r="BE95" i="138" s="1"/>
  <c r="AA111" i="142"/>
  <c r="S108" i="139"/>
  <c r="AK108" i="139" s="1"/>
  <c r="AU107" i="139" s="1"/>
  <c r="BC107" i="139" s="1"/>
  <c r="S100" i="142"/>
  <c r="AK100" i="142" s="1"/>
  <c r="AU100" i="142" s="1"/>
  <c r="BC100" i="142" s="1"/>
  <c r="AL111" i="142"/>
  <c r="AV110" i="142" s="1"/>
  <c r="AT98" i="139"/>
  <c r="BB98" i="139" s="1"/>
  <c r="S93" i="137"/>
  <c r="AK93" i="137" s="1"/>
  <c r="AU93" i="137" s="1"/>
  <c r="BC93" i="137" s="1"/>
  <c r="Y97" i="138"/>
  <c r="AO97" i="138" s="1"/>
  <c r="AY97" i="138" s="1"/>
  <c r="BE97" i="138" s="1"/>
  <c r="AQ96" i="142"/>
  <c r="BA96" i="142" s="1"/>
  <c r="M104" i="142"/>
  <c r="AK104" i="142" s="1"/>
  <c r="AU103" i="142" s="1"/>
  <c r="BC103" i="142" s="1"/>
  <c r="AG111" i="140"/>
  <c r="E80" i="142"/>
  <c r="S102" i="139"/>
  <c r="AK102" i="139" s="1"/>
  <c r="AU102" i="139" s="1"/>
  <c r="BC102" i="139" s="1"/>
  <c r="AP102" i="139"/>
  <c r="AZ102" i="139" s="1"/>
  <c r="AL111" i="140"/>
  <c r="AV110" i="140" s="1"/>
  <c r="G80" i="141"/>
  <c r="H80" i="137"/>
  <c r="J80" i="142"/>
  <c r="AZ101" i="141"/>
  <c r="AZ101" i="139"/>
  <c r="M97" i="139"/>
  <c r="E80" i="139"/>
  <c r="U111" i="141"/>
  <c r="N80" i="137"/>
  <c r="O80" i="137"/>
  <c r="AA111" i="141"/>
  <c r="S103" i="137"/>
  <c r="E80" i="137"/>
  <c r="U111" i="140"/>
  <c r="AM105" i="140"/>
  <c r="AW104" i="140" s="1"/>
  <c r="AP105" i="137"/>
  <c r="AZ104" i="137" s="1"/>
  <c r="S103" i="139"/>
  <c r="AK103" i="139" s="1"/>
  <c r="O111" i="138"/>
  <c r="AE109" i="138"/>
  <c r="AO109" i="138" s="1"/>
  <c r="AY108" i="138" s="1"/>
  <c r="BE108" i="138" s="1"/>
  <c r="AE106" i="138"/>
  <c r="AO106" i="138" s="1"/>
  <c r="AY105" i="138" s="1"/>
  <c r="BE105" i="138" s="1"/>
  <c r="AP99" i="141"/>
  <c r="AZ99" i="141" s="1"/>
  <c r="U111" i="138"/>
  <c r="AM104" i="140"/>
  <c r="AW103" i="140" s="1"/>
  <c r="AP105" i="139"/>
  <c r="AZ104" i="139" s="1"/>
  <c r="AP95" i="139"/>
  <c r="AZ95" i="139" s="1"/>
  <c r="N123" i="137"/>
  <c r="N121" i="137"/>
  <c r="N125" i="137" s="1"/>
  <c r="AG111" i="137"/>
  <c r="AP109" i="139"/>
  <c r="AZ108" i="139" s="1"/>
  <c r="AQ91" i="141"/>
  <c r="BA91" i="141" s="1"/>
  <c r="V111" i="137"/>
  <c r="AG111" i="141"/>
  <c r="AM111" i="137"/>
  <c r="AW110" i="137" s="1"/>
  <c r="AL111" i="138"/>
  <c r="AV110" i="138" s="1"/>
  <c r="Y93" i="138"/>
  <c r="AO93" i="138" s="1"/>
  <c r="AY93" i="138" s="1"/>
  <c r="BE93" i="138" s="1"/>
  <c r="AP94" i="139"/>
  <c r="AZ94" i="139" s="1"/>
  <c r="AP92" i="139"/>
  <c r="AZ92" i="139" s="1"/>
  <c r="AP96" i="139"/>
  <c r="AZ96" i="139" s="1"/>
  <c r="AB111" i="137"/>
  <c r="AP99" i="139"/>
  <c r="AZ99" i="139" s="1"/>
  <c r="AM91" i="140"/>
  <c r="AW91" i="140" s="1"/>
  <c r="AH111" i="137"/>
  <c r="AM97" i="140"/>
  <c r="AW97" i="140" s="1"/>
  <c r="AQ111" i="137"/>
  <c r="BA110" i="137" s="1"/>
  <c r="AM98" i="140"/>
  <c r="AW98" i="140" s="1"/>
  <c r="AP99" i="137"/>
  <c r="AZ99" i="137" s="1"/>
  <c r="AM108" i="140"/>
  <c r="AW107" i="140" s="1"/>
  <c r="AQ93" i="141"/>
  <c r="BA93" i="141" s="1"/>
  <c r="AQ97" i="141"/>
  <c r="BA97" i="141" s="1"/>
  <c r="AQ108" i="142"/>
  <c r="AA111" i="137"/>
  <c r="AE91" i="138"/>
  <c r="Y91" i="138"/>
  <c r="AH111" i="140"/>
  <c r="Y92" i="138"/>
  <c r="AE92" i="138"/>
  <c r="Y107" i="138"/>
  <c r="AE107" i="138"/>
  <c r="AQ109" i="141"/>
  <c r="BA108" i="141" s="1"/>
  <c r="AE103" i="138"/>
  <c r="Y103" i="138"/>
  <c r="AQ111" i="140"/>
  <c r="BA110" i="140" s="1"/>
  <c r="AQ100" i="141"/>
  <c r="BA100" i="141" s="1"/>
  <c r="O80" i="140"/>
  <c r="Y101" i="138"/>
  <c r="AE101" i="138"/>
  <c r="AE108" i="138"/>
  <c r="Y108" i="138"/>
  <c r="L80" i="138"/>
  <c r="AE94" i="138"/>
  <c r="Y94" i="138"/>
  <c r="X99" i="141"/>
  <c r="AD99" i="141"/>
  <c r="AD94" i="137"/>
  <c r="X94" i="137"/>
  <c r="X92" i="137"/>
  <c r="AD92" i="137"/>
  <c r="N123" i="139"/>
  <c r="N121" i="139"/>
  <c r="N125" i="139" s="1"/>
  <c r="R106" i="142"/>
  <c r="L106" i="142"/>
  <c r="L108" i="142"/>
  <c r="R108" i="142"/>
  <c r="AD93" i="141"/>
  <c r="X93" i="141"/>
  <c r="AD94" i="141"/>
  <c r="X94" i="141"/>
  <c r="S98" i="138"/>
  <c r="M98" i="138"/>
  <c r="M91" i="138"/>
  <c r="S91" i="138"/>
  <c r="E80" i="138"/>
  <c r="AD97" i="141"/>
  <c r="X97" i="141"/>
  <c r="AD108" i="137"/>
  <c r="X108" i="137"/>
  <c r="X99" i="137"/>
  <c r="AD99" i="137"/>
  <c r="L107" i="142"/>
  <c r="R107" i="142"/>
  <c r="AD98" i="141"/>
  <c r="X98" i="141"/>
  <c r="S101" i="138"/>
  <c r="M101" i="138"/>
  <c r="S97" i="138"/>
  <c r="M97" i="138"/>
  <c r="AD103" i="137"/>
  <c r="X103" i="137"/>
  <c r="O123" i="141"/>
  <c r="O121" i="141"/>
  <c r="O125" i="141" s="1"/>
  <c r="AD105" i="137"/>
  <c r="X105" i="137"/>
  <c r="O80" i="141"/>
  <c r="L105" i="142"/>
  <c r="R105" i="142"/>
  <c r="R103" i="142"/>
  <c r="L103" i="142"/>
  <c r="AM106" i="140"/>
  <c r="AW105" i="140" s="1"/>
  <c r="X110" i="141"/>
  <c r="AD110" i="141"/>
  <c r="AD104" i="141"/>
  <c r="X104" i="141"/>
  <c r="M102" i="138"/>
  <c r="S102" i="138"/>
  <c r="S93" i="138"/>
  <c r="M93" i="138"/>
  <c r="X106" i="137"/>
  <c r="AD106" i="137"/>
  <c r="X95" i="137"/>
  <c r="AD95" i="137"/>
  <c r="R100" i="142"/>
  <c r="L100" i="142"/>
  <c r="L99" i="142"/>
  <c r="R99" i="142"/>
  <c r="X105" i="141"/>
  <c r="AD105" i="141"/>
  <c r="AD103" i="141"/>
  <c r="X103" i="141"/>
  <c r="M100" i="138"/>
  <c r="S100" i="138"/>
  <c r="S110" i="138"/>
  <c r="M110" i="138"/>
  <c r="AP97" i="137"/>
  <c r="AD91" i="137"/>
  <c r="K80" i="137"/>
  <c r="X91" i="137"/>
  <c r="AD109" i="137"/>
  <c r="X109" i="137"/>
  <c r="L93" i="142"/>
  <c r="R93" i="142"/>
  <c r="AQ92" i="141"/>
  <c r="AH111" i="141"/>
  <c r="H123" i="140"/>
  <c r="H121" i="140"/>
  <c r="H125" i="140" s="1"/>
  <c r="X100" i="141"/>
  <c r="AD100" i="141"/>
  <c r="AD108" i="141"/>
  <c r="X108" i="141"/>
  <c r="M92" i="138"/>
  <c r="S92" i="138"/>
  <c r="S106" i="138"/>
  <c r="M106" i="138"/>
  <c r="C80" i="137"/>
  <c r="AM95" i="140"/>
  <c r="P111" i="140"/>
  <c r="M99" i="138"/>
  <c r="S99" i="138"/>
  <c r="AD107" i="137"/>
  <c r="X107" i="137"/>
  <c r="AD96" i="137"/>
  <c r="X96" i="137"/>
  <c r="R94" i="142"/>
  <c r="L94" i="142"/>
  <c r="R92" i="142"/>
  <c r="L92" i="142"/>
  <c r="AB111" i="141"/>
  <c r="H80" i="140"/>
  <c r="AD107" i="141"/>
  <c r="X107" i="141"/>
  <c r="AD109" i="141"/>
  <c r="X109" i="141"/>
  <c r="S94" i="138"/>
  <c r="M94" i="138"/>
  <c r="S95" i="138"/>
  <c r="M95" i="138"/>
  <c r="C123" i="137"/>
  <c r="C121" i="137"/>
  <c r="C125" i="137" s="1"/>
  <c r="AM107" i="140"/>
  <c r="AW106" i="140" s="1"/>
  <c r="AP91" i="139"/>
  <c r="AA111" i="139"/>
  <c r="V111" i="140"/>
  <c r="S103" i="138"/>
  <c r="M103" i="138"/>
  <c r="X101" i="137"/>
  <c r="AD101" i="137"/>
  <c r="AD98" i="137"/>
  <c r="X98" i="137"/>
  <c r="R91" i="142"/>
  <c r="L91" i="142"/>
  <c r="D80" i="142"/>
  <c r="R102" i="142"/>
  <c r="L102" i="142"/>
  <c r="AM109" i="140"/>
  <c r="AW108" i="140" s="1"/>
  <c r="X101" i="141"/>
  <c r="AD101" i="141"/>
  <c r="S109" i="138"/>
  <c r="M109" i="138"/>
  <c r="S104" i="138"/>
  <c r="M104" i="138"/>
  <c r="AG111" i="139"/>
  <c r="AD93" i="137"/>
  <c r="X93" i="137"/>
  <c r="X104" i="137"/>
  <c r="AD104" i="137"/>
  <c r="R104" i="142"/>
  <c r="L104" i="142"/>
  <c r="R101" i="142"/>
  <c r="L101" i="142"/>
  <c r="X102" i="141"/>
  <c r="AD102" i="141"/>
  <c r="X106" i="141"/>
  <c r="AD106" i="141"/>
  <c r="S107" i="138"/>
  <c r="M107" i="138"/>
  <c r="AD100" i="137"/>
  <c r="X100" i="137"/>
  <c r="L98" i="142"/>
  <c r="R98" i="142"/>
  <c r="X110" i="137"/>
  <c r="AD110" i="137"/>
  <c r="AP100" i="139"/>
  <c r="AZ100" i="139" s="1"/>
  <c r="R95" i="142"/>
  <c r="L95" i="142"/>
  <c r="R109" i="142"/>
  <c r="L109" i="142"/>
  <c r="K80" i="141"/>
  <c r="AD91" i="141"/>
  <c r="X91" i="141"/>
  <c r="X92" i="141"/>
  <c r="AD92" i="141"/>
  <c r="M105" i="138"/>
  <c r="S105" i="138"/>
  <c r="AD102" i="137"/>
  <c r="X102" i="137"/>
  <c r="R96" i="142"/>
  <c r="L96" i="142"/>
  <c r="R110" i="142"/>
  <c r="L110" i="142"/>
  <c r="AD95" i="141"/>
  <c r="X95" i="141"/>
  <c r="M96" i="138"/>
  <c r="S96" i="138"/>
  <c r="AD97" i="137"/>
  <c r="X97" i="137"/>
  <c r="N80" i="139"/>
  <c r="R97" i="142"/>
  <c r="L97" i="142"/>
  <c r="AM102" i="140"/>
  <c r="AW102" i="140" s="1"/>
  <c r="AD96" i="141"/>
  <c r="X96" i="141"/>
  <c r="S108" i="138"/>
  <c r="M108" i="138"/>
  <c r="AP108" i="139"/>
  <c r="AZ107" i="139" s="1"/>
  <c r="L111" i="138"/>
  <c r="AL111" i="141"/>
  <c r="AV110" i="141" s="1"/>
  <c r="AP111" i="140"/>
  <c r="AZ110" i="140" s="1"/>
  <c r="AN98" i="142"/>
  <c r="AX98" i="142" s="1"/>
  <c r="BD98" i="142" s="1"/>
  <c r="AN108" i="142"/>
  <c r="AX107" i="142" s="1"/>
  <c r="BD107" i="142" s="1"/>
  <c r="AP111" i="142"/>
  <c r="AZ110" i="142" s="1"/>
  <c r="AN101" i="142"/>
  <c r="AN92" i="142"/>
  <c r="AX92" i="142" s="1"/>
  <c r="BD92" i="142" s="1"/>
  <c r="AN107" i="142"/>
  <c r="AX106" i="142" s="1"/>
  <c r="BD106" i="142" s="1"/>
  <c r="AN93" i="142"/>
  <c r="AX93" i="142" s="1"/>
  <c r="BD93" i="142" s="1"/>
  <c r="AK92" i="139"/>
  <c r="AU92" i="139" s="1"/>
  <c r="BC92" i="139" s="1"/>
  <c r="AN94" i="142"/>
  <c r="AX94" i="142" s="1"/>
  <c r="BD94" i="142" s="1"/>
  <c r="AN110" i="142"/>
  <c r="AX109" i="142" s="1"/>
  <c r="BD109" i="142" s="1"/>
  <c r="AW91" i="141"/>
  <c r="BA91" i="138"/>
  <c r="AQ111" i="138"/>
  <c r="BA110" i="138" s="1"/>
  <c r="AN96" i="142"/>
  <c r="AX96" i="142" s="1"/>
  <c r="BD96" i="142" s="1"/>
  <c r="AL8" i="135"/>
  <c r="AK7" i="135"/>
  <c r="BL28" i="135"/>
  <c r="BK27" i="135"/>
  <c r="BL36" i="135"/>
  <c r="BM30" i="135"/>
  <c r="BL18" i="135"/>
  <c r="BK17" i="135"/>
  <c r="BL26" i="135"/>
  <c r="BM20" i="135"/>
  <c r="AN20" i="135"/>
  <c r="AM26" i="135"/>
  <c r="AM18" i="135"/>
  <c r="AL17" i="135"/>
  <c r="AL36" i="135"/>
  <c r="AM30" i="135"/>
  <c r="AN28" i="135"/>
  <c r="AD12" i="155"/>
  <c r="AB22" i="152"/>
  <c r="AA21" i="155"/>
  <c r="AB21" i="155"/>
  <c r="AA20" i="152"/>
  <c r="AA23" i="151"/>
  <c r="AA22" i="151"/>
  <c r="AA9" i="152"/>
  <c r="AC12" i="151"/>
  <c r="AD18" i="152"/>
  <c r="AD21" i="152"/>
  <c r="AA16" i="155"/>
  <c r="AA11" i="151"/>
  <c r="AC16" i="151"/>
  <c r="AA12" i="152"/>
  <c r="AA13" i="152"/>
  <c r="AB12" i="154"/>
  <c r="AD21" i="151"/>
  <c r="AD16" i="155"/>
  <c r="AC9" i="154"/>
  <c r="AB20" i="152"/>
  <c r="AA10" i="155"/>
  <c r="AC17" i="151"/>
  <c r="AD18" i="155"/>
  <c r="AD18" i="151"/>
  <c r="AD20" i="154"/>
  <c r="AD14" i="151"/>
  <c r="AD20" i="155"/>
  <c r="AB17" i="154"/>
  <c r="AA14" i="155"/>
  <c r="AC18" i="155"/>
  <c r="AA20" i="151"/>
  <c r="AB14" i="152"/>
  <c r="AB16" i="154"/>
  <c r="AA15" i="154"/>
  <c r="AA23" i="152"/>
  <c r="AB10" i="155"/>
  <c r="AC13" i="154"/>
  <c r="AA14" i="154"/>
  <c r="AB21" i="152"/>
  <c r="AD12" i="152"/>
  <c r="AC23" i="154"/>
  <c r="AC14" i="151"/>
  <c r="AB18" i="152"/>
  <c r="AA12" i="155"/>
  <c r="AA20" i="155"/>
  <c r="AD17" i="151"/>
  <c r="AB13" i="154"/>
  <c r="AB22" i="154"/>
  <c r="AC14" i="154"/>
  <c r="AA17" i="152"/>
  <c r="AA16" i="154"/>
  <c r="AA18" i="154"/>
  <c r="AD23" i="154"/>
  <c r="AA17" i="151"/>
  <c r="AB21" i="154"/>
  <c r="AD14" i="152"/>
  <c r="AC9" i="155"/>
  <c r="AC13" i="155"/>
  <c r="AD13" i="152"/>
  <c r="AC14" i="155"/>
  <c r="AA17" i="154"/>
  <c r="AD17" i="155"/>
  <c r="AC12" i="155"/>
  <c r="AD11" i="155"/>
  <c r="AB23" i="152"/>
  <c r="AB11" i="152"/>
  <c r="AD23" i="155"/>
  <c r="AC12" i="154"/>
  <c r="AD10" i="154"/>
  <c r="AD16" i="152"/>
  <c r="AD15" i="151"/>
  <c r="AD13" i="154"/>
  <c r="AB16" i="152"/>
  <c r="AD19" i="155"/>
  <c r="AA16" i="152"/>
  <c r="AA12" i="154"/>
  <c r="AA21" i="151"/>
  <c r="AD13" i="155"/>
  <c r="AB18" i="154"/>
  <c r="AD15" i="152"/>
  <c r="AD11" i="154"/>
  <c r="AA11" i="152"/>
  <c r="AC9" i="151"/>
  <c r="AD20" i="152"/>
  <c r="AC21" i="154"/>
  <c r="AD18" i="154"/>
  <c r="AD21" i="154"/>
  <c r="AB23" i="155"/>
  <c r="AA15" i="151"/>
  <c r="AD16" i="151"/>
  <c r="AD12" i="154"/>
  <c r="AA9" i="155"/>
  <c r="AA12" i="151"/>
  <c r="AC17" i="155"/>
  <c r="AA13" i="151"/>
  <c r="AB20" i="154"/>
  <c r="AD10" i="152"/>
  <c r="AC10" i="151"/>
  <c r="AD14" i="155"/>
  <c r="AC23" i="151"/>
  <c r="AD11" i="151"/>
  <c r="AA22" i="155"/>
  <c r="AB17" i="155"/>
  <c r="AB9" i="155"/>
  <c r="AA13" i="154"/>
  <c r="AD23" i="152"/>
  <c r="AA21" i="154"/>
  <c r="AD22" i="155"/>
  <c r="AA10" i="151"/>
  <c r="AD17" i="152"/>
  <c r="AD22" i="151"/>
  <c r="AB20" i="155"/>
  <c r="AC22" i="154"/>
  <c r="AB15" i="155"/>
  <c r="AB12" i="152"/>
  <c r="AC21" i="151"/>
  <c r="AC15" i="151"/>
  <c r="AA10" i="152"/>
  <c r="AC11" i="155"/>
  <c r="AD14" i="154"/>
  <c r="AB14" i="155"/>
  <c r="AC10" i="155"/>
  <c r="AA20" i="154"/>
  <c r="AC11" i="151"/>
  <c r="AB12" i="155"/>
  <c r="AD22" i="152"/>
  <c r="AC18" i="151"/>
  <c r="AC21" i="155"/>
  <c r="AC11" i="154"/>
  <c r="AA18" i="155"/>
  <c r="AD17" i="154"/>
  <c r="AA13" i="155"/>
  <c r="AD22" i="154"/>
  <c r="AA10" i="154"/>
  <c r="AC16" i="155"/>
  <c r="AC13" i="151"/>
  <c r="AB14" i="154"/>
  <c r="AC15" i="154"/>
  <c r="AC20" i="154"/>
  <c r="AC22" i="151"/>
  <c r="AB15" i="152"/>
  <c r="AC15" i="155"/>
  <c r="AB23" i="154"/>
  <c r="AD10" i="155"/>
  <c r="AA21" i="152"/>
  <c r="AB10" i="154"/>
  <c r="AA14" i="151"/>
  <c r="AA23" i="155"/>
  <c r="AB18" i="155"/>
  <c r="AA23" i="154"/>
  <c r="AA11" i="155"/>
  <c r="AA17" i="155"/>
  <c r="AC22" i="155"/>
  <c r="AD16" i="154"/>
  <c r="AD13" i="151"/>
  <c r="AA15" i="152"/>
  <c r="AB13" i="155"/>
  <c r="AB11" i="154"/>
  <c r="AA22" i="152"/>
  <c r="AA18" i="151"/>
  <c r="AD11" i="152"/>
  <c r="AB22" i="155"/>
  <c r="AA22" i="154"/>
  <c r="AC23" i="155"/>
  <c r="AD15" i="154"/>
  <c r="AD20" i="151"/>
  <c r="AA15" i="155"/>
  <c r="AD15" i="155"/>
  <c r="AA16" i="151"/>
  <c r="AB10" i="152"/>
  <c r="AA9" i="151"/>
  <c r="AB13" i="152"/>
  <c r="AB9" i="152"/>
  <c r="AA11" i="154"/>
  <c r="AB16" i="155"/>
  <c r="AA19" i="151"/>
  <c r="AD9" i="152"/>
  <c r="AC20" i="155"/>
  <c r="AD21" i="155"/>
  <c r="AC20" i="151"/>
  <c r="AA18" i="152"/>
  <c r="AC18" i="154"/>
  <c r="AC10" i="154"/>
  <c r="AD9" i="154"/>
  <c r="AB11" i="155"/>
  <c r="AC17" i="154"/>
  <c r="AC16" i="154"/>
  <c r="AM107" i="141" l="1"/>
  <c r="AW106" i="141" s="1"/>
  <c r="AM95" i="141"/>
  <c r="AW95" i="141" s="1"/>
  <c r="AQ109" i="139"/>
  <c r="BA108" i="139" s="1"/>
  <c r="AQ101" i="139"/>
  <c r="BA101" i="139" s="1"/>
  <c r="AQ102" i="142"/>
  <c r="BA102" i="142" s="1"/>
  <c r="AQ97" i="142"/>
  <c r="BA97" i="142" s="1"/>
  <c r="AQ99" i="139"/>
  <c r="BA99" i="139" s="1"/>
  <c r="AM93" i="141"/>
  <c r="AW93" i="141" s="1"/>
  <c r="AQ107" i="139"/>
  <c r="BA106" i="139" s="1"/>
  <c r="AQ106" i="139"/>
  <c r="BA105" i="139" s="1"/>
  <c r="AQ100" i="142"/>
  <c r="BA100" i="142" s="1"/>
  <c r="AM101" i="141"/>
  <c r="AQ100" i="139"/>
  <c r="BA100" i="139" s="1"/>
  <c r="AM96" i="141"/>
  <c r="AW96" i="141" s="1"/>
  <c r="AQ91" i="139"/>
  <c r="BA91" i="139" s="1"/>
  <c r="AM110" i="141"/>
  <c r="AW109" i="141" s="1"/>
  <c r="AQ93" i="139"/>
  <c r="BA93" i="139" s="1"/>
  <c r="AQ98" i="139"/>
  <c r="BA98" i="139" s="1"/>
  <c r="AQ93" i="142"/>
  <c r="BA93" i="142" s="1"/>
  <c r="AM94" i="141"/>
  <c r="AW94" i="141" s="1"/>
  <c r="AQ102" i="139"/>
  <c r="BA102" i="139" s="1"/>
  <c r="AQ104" i="139"/>
  <c r="BA103" i="139" s="1"/>
  <c r="AQ105" i="139"/>
  <c r="BA104" i="139" s="1"/>
  <c r="V111" i="141"/>
  <c r="AM100" i="141"/>
  <c r="AW100" i="141" s="1"/>
  <c r="AM92" i="141"/>
  <c r="AW92" i="141" s="1"/>
  <c r="AB111" i="139"/>
  <c r="M107" i="141"/>
  <c r="S107" i="141"/>
  <c r="AK107" i="141" s="1"/>
  <c r="AU106" i="141" s="1"/>
  <c r="BC106" i="141" s="1"/>
  <c r="M110" i="141"/>
  <c r="S110" i="141"/>
  <c r="H80" i="141"/>
  <c r="S97" i="141"/>
  <c r="M97" i="141"/>
  <c r="S99" i="141"/>
  <c r="M99" i="141"/>
  <c r="AK99" i="141" s="1"/>
  <c r="AU99" i="141" s="1"/>
  <c r="BC99" i="141" s="1"/>
  <c r="M100" i="141"/>
  <c r="S100" i="141"/>
  <c r="M92" i="141"/>
  <c r="S92" i="141"/>
  <c r="AM104" i="141"/>
  <c r="AW103" i="141" s="1"/>
  <c r="AM108" i="141"/>
  <c r="AW107" i="141" s="1"/>
  <c r="O123" i="139"/>
  <c r="O121" i="139"/>
  <c r="O125" i="139" s="1"/>
  <c r="M108" i="141"/>
  <c r="S108" i="141"/>
  <c r="S102" i="141"/>
  <c r="M102" i="141"/>
  <c r="AK102" i="141" s="1"/>
  <c r="AU102" i="141" s="1"/>
  <c r="BC102" i="141" s="1"/>
  <c r="H121" i="141"/>
  <c r="H125" i="141" s="1"/>
  <c r="H123" i="141"/>
  <c r="S98" i="141"/>
  <c r="M98" i="141"/>
  <c r="AM103" i="141"/>
  <c r="P111" i="141"/>
  <c r="M101" i="141"/>
  <c r="S101" i="141"/>
  <c r="O80" i="139"/>
  <c r="S96" i="141"/>
  <c r="M96" i="141"/>
  <c r="M91" i="141"/>
  <c r="E80" i="141"/>
  <c r="S91" i="141"/>
  <c r="M105" i="141"/>
  <c r="S105" i="141"/>
  <c r="S106" i="141"/>
  <c r="M106" i="141"/>
  <c r="AQ98" i="142"/>
  <c r="BA98" i="142" s="1"/>
  <c r="S94" i="141"/>
  <c r="M94" i="141"/>
  <c r="AK94" i="141" s="1"/>
  <c r="AU94" i="141" s="1"/>
  <c r="BC94" i="141" s="1"/>
  <c r="M103" i="141"/>
  <c r="S103" i="141"/>
  <c r="S95" i="141"/>
  <c r="M95" i="141"/>
  <c r="M93" i="141"/>
  <c r="S93" i="141"/>
  <c r="AQ92" i="139"/>
  <c r="AH111" i="139"/>
  <c r="AQ110" i="139"/>
  <c r="BA109" i="139" s="1"/>
  <c r="S104" i="141"/>
  <c r="M104" i="141"/>
  <c r="AK104" i="141" s="1"/>
  <c r="AU103" i="141" s="1"/>
  <c r="BC103" i="141" s="1"/>
  <c r="M109" i="141"/>
  <c r="S109" i="141"/>
  <c r="R111" i="138"/>
  <c r="AJ111" i="138"/>
  <c r="AT110" i="138" s="1"/>
  <c r="AY101" i="141"/>
  <c r="BE101" i="141" s="1"/>
  <c r="AY101" i="142"/>
  <c r="BE101" i="142" s="1"/>
  <c r="X111" i="142"/>
  <c r="AE111" i="141"/>
  <c r="AD111" i="142"/>
  <c r="Y111" i="141"/>
  <c r="AN103" i="142"/>
  <c r="AX101" i="142" s="1"/>
  <c r="BD101" i="142" s="1"/>
  <c r="G124" i="142"/>
  <c r="G126" i="142" s="1"/>
  <c r="G127" i="142" s="1"/>
  <c r="O124" i="141"/>
  <c r="O126" i="141" s="1"/>
  <c r="O127" i="141" s="1"/>
  <c r="AT101" i="139"/>
  <c r="BB101" i="139" s="1"/>
  <c r="AX101" i="138"/>
  <c r="BD101" i="138" s="1"/>
  <c r="AT101" i="141"/>
  <c r="BB101" i="141" s="1"/>
  <c r="AY101" i="137"/>
  <c r="BE101" i="137" s="1"/>
  <c r="AE111" i="140"/>
  <c r="AT101" i="137"/>
  <c r="BB101" i="137" s="1"/>
  <c r="AO111" i="140"/>
  <c r="AY110" i="140" s="1"/>
  <c r="AE111" i="137"/>
  <c r="AY91" i="140"/>
  <c r="BE91" i="140" s="1"/>
  <c r="AO111" i="137"/>
  <c r="AY110" i="137" s="1"/>
  <c r="G124" i="140"/>
  <c r="G126" i="140" s="1"/>
  <c r="G127" i="140" s="1"/>
  <c r="AU101" i="140"/>
  <c r="BC101" i="140" s="1"/>
  <c r="R111" i="141"/>
  <c r="AE111" i="139"/>
  <c r="Y111" i="140"/>
  <c r="Y111" i="137"/>
  <c r="AT101" i="140"/>
  <c r="BB101" i="140" s="1"/>
  <c r="X111" i="138"/>
  <c r="L111" i="141"/>
  <c r="AX101" i="139"/>
  <c r="BD101" i="139" s="1"/>
  <c r="AY107" i="137"/>
  <c r="BE107" i="137" s="1"/>
  <c r="AJ111" i="141"/>
  <c r="AJ113" i="141" s="1"/>
  <c r="H124" i="139"/>
  <c r="H126" i="139" s="1"/>
  <c r="H127" i="139" s="1"/>
  <c r="AU101" i="142"/>
  <c r="BC101" i="142" s="1"/>
  <c r="O124" i="142"/>
  <c r="O126" i="142" s="1"/>
  <c r="O127" i="142" s="1"/>
  <c r="L111" i="139"/>
  <c r="AJ111" i="139"/>
  <c r="AJ113" i="139" s="1"/>
  <c r="N124" i="138"/>
  <c r="N126" i="138" s="1"/>
  <c r="N127" i="138" s="1"/>
  <c r="AT91" i="139"/>
  <c r="BB91" i="139" s="1"/>
  <c r="R111" i="139"/>
  <c r="AN111" i="138"/>
  <c r="AX110" i="138" s="1"/>
  <c r="AD111" i="138"/>
  <c r="G124" i="139"/>
  <c r="G126" i="139" s="1"/>
  <c r="G127" i="139" s="1"/>
  <c r="AO111" i="139"/>
  <c r="AY110" i="139" s="1"/>
  <c r="Y111" i="139"/>
  <c r="AY101" i="139"/>
  <c r="BE101" i="139" s="1"/>
  <c r="H124" i="142"/>
  <c r="H126" i="142" s="1"/>
  <c r="H127" i="142" s="1"/>
  <c r="X111" i="140"/>
  <c r="AJ111" i="137"/>
  <c r="AT110" i="137" s="1"/>
  <c r="AA28" i="151"/>
  <c r="AA27" i="151" s="1"/>
  <c r="AT96" i="137"/>
  <c r="BB96" i="137" s="1"/>
  <c r="H124" i="138"/>
  <c r="H126" i="138" s="1"/>
  <c r="H127" i="138" s="1"/>
  <c r="AP111" i="141"/>
  <c r="AZ110" i="141" s="1"/>
  <c r="L111" i="137"/>
  <c r="AX101" i="140"/>
  <c r="BD101" i="140" s="1"/>
  <c r="R111" i="137"/>
  <c r="AO111" i="142"/>
  <c r="AY110" i="142" s="1"/>
  <c r="AN111" i="140"/>
  <c r="AX110" i="140" s="1"/>
  <c r="AE111" i="142"/>
  <c r="AD111" i="140"/>
  <c r="H124" i="137"/>
  <c r="H126" i="137" s="1"/>
  <c r="H127" i="137" s="1"/>
  <c r="M111" i="140"/>
  <c r="Y111" i="142"/>
  <c r="S111" i="140"/>
  <c r="N124" i="140"/>
  <c r="N126" i="140" s="1"/>
  <c r="N127" i="140" s="1"/>
  <c r="S111" i="142"/>
  <c r="AM111" i="138"/>
  <c r="AW110" i="138" s="1"/>
  <c r="O124" i="138"/>
  <c r="O126" i="138" s="1"/>
  <c r="O127" i="138" s="1"/>
  <c r="M111" i="139"/>
  <c r="AD111" i="139"/>
  <c r="G124" i="137"/>
  <c r="G126" i="137" s="1"/>
  <c r="G127" i="137" s="1"/>
  <c r="X111" i="139"/>
  <c r="AN111" i="139"/>
  <c r="AX110" i="139" s="1"/>
  <c r="S111" i="139"/>
  <c r="R111" i="140"/>
  <c r="N124" i="142"/>
  <c r="N126" i="142" s="1"/>
  <c r="N127" i="142" s="1"/>
  <c r="AJ111" i="140"/>
  <c r="AT110" i="140" s="1"/>
  <c r="O124" i="140"/>
  <c r="O126" i="140" s="1"/>
  <c r="O127" i="140" s="1"/>
  <c r="AK97" i="139"/>
  <c r="AU97" i="139" s="1"/>
  <c r="BC97" i="139" s="1"/>
  <c r="AM111" i="142"/>
  <c r="AW110" i="142" s="1"/>
  <c r="AW107" i="142"/>
  <c r="S111" i="137"/>
  <c r="M111" i="142"/>
  <c r="AJ109" i="142"/>
  <c r="AT108" i="142" s="1"/>
  <c r="BB108" i="142" s="1"/>
  <c r="C126" i="137"/>
  <c r="C127" i="137" s="1"/>
  <c r="L111" i="140"/>
  <c r="M111" i="137"/>
  <c r="G124" i="141"/>
  <c r="G126" i="141" s="1"/>
  <c r="G127" i="141" s="1"/>
  <c r="AK111" i="142"/>
  <c r="AU110" i="142" s="1"/>
  <c r="AJ92" i="142"/>
  <c r="AT92" i="142" s="1"/>
  <c r="BB92" i="142" s="1"/>
  <c r="N124" i="141"/>
  <c r="N126" i="141" s="1"/>
  <c r="N127" i="141" s="1"/>
  <c r="G124" i="138"/>
  <c r="G126" i="138" s="1"/>
  <c r="G127" i="138" s="1"/>
  <c r="O124" i="137"/>
  <c r="O126" i="137" s="1"/>
  <c r="O127" i="137" s="1"/>
  <c r="AK103" i="137"/>
  <c r="AU101" i="137" s="1"/>
  <c r="BC101" i="137" s="1"/>
  <c r="N124" i="137"/>
  <c r="N126" i="137" s="1"/>
  <c r="N127" i="137" s="1"/>
  <c r="D123" i="138"/>
  <c r="D126" i="138" s="1"/>
  <c r="D127" i="138" s="1"/>
  <c r="AK105" i="138"/>
  <c r="AU104" i="138" s="1"/>
  <c r="BC104" i="138" s="1"/>
  <c r="AN110" i="137"/>
  <c r="AX109" i="137" s="1"/>
  <c r="BD109" i="137" s="1"/>
  <c r="AJ101" i="142"/>
  <c r="AN108" i="141"/>
  <c r="AX107" i="141" s="1"/>
  <c r="BD107" i="141" s="1"/>
  <c r="AN105" i="141"/>
  <c r="AX104" i="141" s="1"/>
  <c r="BD104" i="141" s="1"/>
  <c r="AK102" i="138"/>
  <c r="AU102" i="138" s="1"/>
  <c r="BC102" i="138" s="1"/>
  <c r="AJ110" i="142"/>
  <c r="AT109" i="142" s="1"/>
  <c r="BB109" i="142" s="1"/>
  <c r="AK107" i="138"/>
  <c r="AU106" i="138" s="1"/>
  <c r="BC106" i="138" s="1"/>
  <c r="AN95" i="137"/>
  <c r="AX95" i="137" s="1"/>
  <c r="BD95" i="137" s="1"/>
  <c r="AK97" i="138"/>
  <c r="AU97" i="138" s="1"/>
  <c r="BC97" i="138" s="1"/>
  <c r="AJ108" i="142"/>
  <c r="AT107" i="142" s="1"/>
  <c r="BB107" i="142" s="1"/>
  <c r="AO94" i="138"/>
  <c r="AY94" i="138" s="1"/>
  <c r="BE94" i="138" s="1"/>
  <c r="AO103" i="138"/>
  <c r="AN105" i="137"/>
  <c r="AX104" i="137" s="1"/>
  <c r="BD104" i="137" s="1"/>
  <c r="AJ107" i="142"/>
  <c r="AT106" i="142" s="1"/>
  <c r="BB106" i="142" s="1"/>
  <c r="AK98" i="138"/>
  <c r="AU98" i="138" s="1"/>
  <c r="BC98" i="138" s="1"/>
  <c r="AJ103" i="142"/>
  <c r="AJ95" i="142"/>
  <c r="AT95" i="142" s="1"/>
  <c r="BB95" i="142" s="1"/>
  <c r="AK104" i="138"/>
  <c r="AU103" i="138" s="1"/>
  <c r="BC103" i="138" s="1"/>
  <c r="AN98" i="137"/>
  <c r="AX98" i="137" s="1"/>
  <c r="BD98" i="137" s="1"/>
  <c r="AK95" i="138"/>
  <c r="AU95" i="138" s="1"/>
  <c r="BC95" i="138" s="1"/>
  <c r="AJ94" i="142"/>
  <c r="AT94" i="142" s="1"/>
  <c r="BB94" i="142" s="1"/>
  <c r="AK100" i="138"/>
  <c r="AU100" i="138" s="1"/>
  <c r="BC100" i="138" s="1"/>
  <c r="AJ105" i="142"/>
  <c r="AT104" i="142" s="1"/>
  <c r="BB104" i="142" s="1"/>
  <c r="AE111" i="138"/>
  <c r="Y111" i="138"/>
  <c r="AO101" i="138"/>
  <c r="AO92" i="138"/>
  <c r="AY92" i="138" s="1"/>
  <c r="BE92" i="138" s="1"/>
  <c r="AK96" i="138"/>
  <c r="AU96" i="138" s="1"/>
  <c r="BC96" i="138" s="1"/>
  <c r="AJ104" i="142"/>
  <c r="AT103" i="142" s="1"/>
  <c r="BB103" i="142" s="1"/>
  <c r="AN100" i="141"/>
  <c r="AX100" i="141" s="1"/>
  <c r="BD100" i="141" s="1"/>
  <c r="AO91" i="138"/>
  <c r="AY91" i="138" s="1"/>
  <c r="BE91" i="138" s="1"/>
  <c r="AJ100" i="142"/>
  <c r="AT100" i="142" s="1"/>
  <c r="BB100" i="142" s="1"/>
  <c r="AN110" i="141"/>
  <c r="AX109" i="141" s="1"/>
  <c r="BD109" i="141" s="1"/>
  <c r="AN103" i="137"/>
  <c r="AN108" i="137"/>
  <c r="AX107" i="137" s="1"/>
  <c r="BD107" i="137" s="1"/>
  <c r="AN101" i="141"/>
  <c r="AK103" i="138"/>
  <c r="AN93" i="141"/>
  <c r="AX93" i="141" s="1"/>
  <c r="BD93" i="141" s="1"/>
  <c r="AN99" i="141"/>
  <c r="AX99" i="141" s="1"/>
  <c r="BD99" i="141" s="1"/>
  <c r="H124" i="140"/>
  <c r="H126" i="140" s="1"/>
  <c r="H127" i="140" s="1"/>
  <c r="BA107" i="142"/>
  <c r="AQ111" i="142"/>
  <c r="BA110" i="142" s="1"/>
  <c r="AN93" i="137"/>
  <c r="AX93" i="137" s="1"/>
  <c r="BD93" i="137" s="1"/>
  <c r="AK110" i="138"/>
  <c r="AU109" i="138" s="1"/>
  <c r="BC109" i="138" s="1"/>
  <c r="AN97" i="141"/>
  <c r="AX97" i="141" s="1"/>
  <c r="BD97" i="141" s="1"/>
  <c r="AN96" i="141"/>
  <c r="AX96" i="141" s="1"/>
  <c r="BD96" i="141" s="1"/>
  <c r="AN104" i="137"/>
  <c r="AX103" i="137" s="1"/>
  <c r="BD103" i="137" s="1"/>
  <c r="AO108" i="138"/>
  <c r="AY107" i="138" s="1"/>
  <c r="BE107" i="138" s="1"/>
  <c r="AO107" i="138"/>
  <c r="AN97" i="137"/>
  <c r="AX97" i="137" s="1"/>
  <c r="BD97" i="137" s="1"/>
  <c r="AK109" i="138"/>
  <c r="AU108" i="138" s="1"/>
  <c r="BC108" i="138" s="1"/>
  <c r="AK108" i="138"/>
  <c r="AU107" i="138" s="1"/>
  <c r="BC107" i="138" s="1"/>
  <c r="AW95" i="140"/>
  <c r="AM111" i="140"/>
  <c r="AW110" i="140" s="1"/>
  <c r="AZ91" i="139"/>
  <c r="AP111" i="139"/>
  <c r="AZ110" i="139" s="1"/>
  <c r="AJ91" i="142"/>
  <c r="L111" i="142"/>
  <c r="BA92" i="141"/>
  <c r="AQ111" i="141"/>
  <c r="BA110" i="141" s="1"/>
  <c r="AD111" i="141"/>
  <c r="AJ97" i="142"/>
  <c r="AT97" i="142" s="1"/>
  <c r="BB97" i="142" s="1"/>
  <c r="AJ96" i="142"/>
  <c r="AT96" i="142" s="1"/>
  <c r="BB96" i="142" s="1"/>
  <c r="AN106" i="141"/>
  <c r="AX105" i="141" s="1"/>
  <c r="BD105" i="141" s="1"/>
  <c r="R111" i="142"/>
  <c r="AK106" i="138"/>
  <c r="AU105" i="138" s="1"/>
  <c r="BC105" i="138" s="1"/>
  <c r="AJ93" i="142"/>
  <c r="AT93" i="142" s="1"/>
  <c r="BB93" i="142" s="1"/>
  <c r="AN106" i="137"/>
  <c r="AX105" i="137" s="1"/>
  <c r="BD105" i="137" s="1"/>
  <c r="AK101" i="138"/>
  <c r="AJ106" i="142"/>
  <c r="AT105" i="142" s="1"/>
  <c r="BB105" i="142" s="1"/>
  <c r="AN102" i="137"/>
  <c r="AX102" i="137" s="1"/>
  <c r="BD102" i="137" s="1"/>
  <c r="AN102" i="141"/>
  <c r="AX102" i="141" s="1"/>
  <c r="BD102" i="141" s="1"/>
  <c r="AK92" i="138"/>
  <c r="AU92" i="138" s="1"/>
  <c r="BC92" i="138" s="1"/>
  <c r="AN109" i="137"/>
  <c r="AX108" i="137" s="1"/>
  <c r="BD108" i="137" s="1"/>
  <c r="AN103" i="141"/>
  <c r="AK93" i="138"/>
  <c r="AU93" i="138" s="1"/>
  <c r="BC93" i="138" s="1"/>
  <c r="AN98" i="141"/>
  <c r="AX98" i="141" s="1"/>
  <c r="BD98" i="141" s="1"/>
  <c r="AK91" i="138"/>
  <c r="S111" i="138"/>
  <c r="AN101" i="137"/>
  <c r="AK94" i="138"/>
  <c r="AU94" i="138" s="1"/>
  <c r="BC94" i="138" s="1"/>
  <c r="AN96" i="137"/>
  <c r="AX96" i="137" s="1"/>
  <c r="BD96" i="137" s="1"/>
  <c r="M111" i="138"/>
  <c r="AN91" i="137"/>
  <c r="X111" i="137"/>
  <c r="AN109" i="141"/>
  <c r="AX108" i="141" s="1"/>
  <c r="BD108" i="141" s="1"/>
  <c r="AN107" i="137"/>
  <c r="AX106" i="137" s="1"/>
  <c r="BD106" i="137" s="1"/>
  <c r="AN92" i="137"/>
  <c r="AX92" i="137" s="1"/>
  <c r="BD92" i="137" s="1"/>
  <c r="AD111" i="137"/>
  <c r="AJ99" i="142"/>
  <c r="AT99" i="142" s="1"/>
  <c r="BB99" i="142" s="1"/>
  <c r="AN104" i="141"/>
  <c r="AX103" i="141" s="1"/>
  <c r="BD103" i="141" s="1"/>
  <c r="AN99" i="137"/>
  <c r="AX99" i="137" s="1"/>
  <c r="BD99" i="137" s="1"/>
  <c r="AN94" i="141"/>
  <c r="AX94" i="141" s="1"/>
  <c r="BD94" i="141" s="1"/>
  <c r="AN94" i="137"/>
  <c r="AX94" i="137" s="1"/>
  <c r="BD94" i="137" s="1"/>
  <c r="AN92" i="141"/>
  <c r="AX92" i="141" s="1"/>
  <c r="BD92" i="141" s="1"/>
  <c r="AJ98" i="142"/>
  <c r="AT98" i="142" s="1"/>
  <c r="BB98" i="142" s="1"/>
  <c r="AN107" i="141"/>
  <c r="AX106" i="141" s="1"/>
  <c r="BD106" i="141" s="1"/>
  <c r="AK99" i="138"/>
  <c r="AU99" i="138" s="1"/>
  <c r="BC99" i="138" s="1"/>
  <c r="AN95" i="141"/>
  <c r="AX95" i="141" s="1"/>
  <c r="BD95" i="141" s="1"/>
  <c r="AN91" i="141"/>
  <c r="X111" i="141"/>
  <c r="AN100" i="137"/>
  <c r="AX100" i="137" s="1"/>
  <c r="BD100" i="137" s="1"/>
  <c r="AJ102" i="142"/>
  <c r="AT102" i="142" s="1"/>
  <c r="BB102" i="142" s="1"/>
  <c r="N124" i="139"/>
  <c r="N126" i="139" s="1"/>
  <c r="N127" i="139" s="1"/>
  <c r="AZ97" i="137"/>
  <c r="AP111" i="137"/>
  <c r="AZ110" i="137" s="1"/>
  <c r="AO111" i="141"/>
  <c r="AY110" i="141" s="1"/>
  <c r="AJ113" i="138"/>
  <c r="AU99" i="137"/>
  <c r="BC99" i="137" s="1"/>
  <c r="AK111" i="140"/>
  <c r="AU101" i="139"/>
  <c r="BC101" i="139" s="1"/>
  <c r="AN111" i="142"/>
  <c r="AX110" i="142" s="1"/>
  <c r="AX91" i="142"/>
  <c r="BD91" i="142" s="1"/>
  <c r="AU91" i="139"/>
  <c r="BC91" i="139" s="1"/>
  <c r="AM8" i="135"/>
  <c r="AL7" i="135"/>
  <c r="BJ7" i="135"/>
  <c r="BK7" i="135"/>
  <c r="BL7" i="135"/>
  <c r="BM7" i="135"/>
  <c r="BM36" i="135"/>
  <c r="BN30" i="135"/>
  <c r="BM26" i="135"/>
  <c r="BN20" i="135"/>
  <c r="BM18" i="135"/>
  <c r="BL17" i="135"/>
  <c r="BL27" i="135"/>
  <c r="BM28" i="135"/>
  <c r="AM36" i="135"/>
  <c r="AN30" i="135"/>
  <c r="AO28" i="135"/>
  <c r="AN27" i="135"/>
  <c r="AM27" i="135"/>
  <c r="AM17" i="135"/>
  <c r="AN18" i="135"/>
  <c r="AO20" i="135"/>
  <c r="AN26" i="135"/>
  <c r="AB10" i="151"/>
  <c r="AD9" i="155"/>
  <c r="AB9" i="154"/>
  <c r="AD19" i="154"/>
  <c r="AB23" i="151"/>
  <c r="AC23" i="152"/>
  <c r="AB20" i="151"/>
  <c r="AC11" i="152"/>
  <c r="AC21" i="152"/>
  <c r="AB18" i="151"/>
  <c r="AC16" i="152"/>
  <c r="AC17" i="152"/>
  <c r="AD10" i="151"/>
  <c r="AB16" i="151"/>
  <c r="AB19" i="152"/>
  <c r="AB11" i="151"/>
  <c r="AC19" i="154"/>
  <c r="AB12" i="151"/>
  <c r="AD9" i="151"/>
  <c r="AC15" i="152"/>
  <c r="AB14" i="151"/>
  <c r="AB19" i="155"/>
  <c r="AB19" i="154"/>
  <c r="AA19" i="154"/>
  <c r="AB22" i="151"/>
  <c r="AB13" i="151"/>
  <c r="AC19" i="155"/>
  <c r="AB15" i="154"/>
  <c r="AB21" i="151"/>
  <c r="AA9" i="154"/>
  <c r="AA19" i="155"/>
  <c r="AC19" i="151"/>
  <c r="AC10" i="152"/>
  <c r="AB17" i="152"/>
  <c r="AC13" i="152"/>
  <c r="AA19" i="152"/>
  <c r="AC20" i="152"/>
  <c r="AB15" i="151"/>
  <c r="AD12" i="151"/>
  <c r="AB17" i="151"/>
  <c r="AC14" i="152"/>
  <c r="AD19" i="152"/>
  <c r="AA14" i="152"/>
  <c r="AC12" i="152"/>
  <c r="AC22" i="152"/>
  <c r="AC18" i="152"/>
  <c r="H124" i="141" l="1"/>
  <c r="H126" i="141" s="1"/>
  <c r="H127" i="141" s="1"/>
  <c r="AK103" i="141"/>
  <c r="AK100" i="141"/>
  <c r="AU100" i="141" s="1"/>
  <c r="BC100" i="141" s="1"/>
  <c r="AK96" i="141"/>
  <c r="AU96" i="141" s="1"/>
  <c r="BC96" i="141" s="1"/>
  <c r="AK106" i="141"/>
  <c r="AU105" i="141" s="1"/>
  <c r="BC105" i="141" s="1"/>
  <c r="AK92" i="141"/>
  <c r="AU92" i="141" s="1"/>
  <c r="BC92" i="141" s="1"/>
  <c r="AK95" i="141"/>
  <c r="AU95" i="141" s="1"/>
  <c r="BC95" i="141" s="1"/>
  <c r="M111" i="141"/>
  <c r="AK91" i="141"/>
  <c r="S111" i="141"/>
  <c r="AK109" i="141"/>
  <c r="AU108" i="141" s="1"/>
  <c r="BC108" i="141" s="1"/>
  <c r="AK108" i="141"/>
  <c r="AU107" i="141" s="1"/>
  <c r="BC107" i="141" s="1"/>
  <c r="AK97" i="141"/>
  <c r="AU97" i="141" s="1"/>
  <c r="BC97" i="141" s="1"/>
  <c r="AK101" i="141"/>
  <c r="AK110" i="141"/>
  <c r="AU109" i="141" s="1"/>
  <c r="BC109" i="141" s="1"/>
  <c r="AW101" i="141"/>
  <c r="AM111" i="141"/>
  <c r="AW110" i="141" s="1"/>
  <c r="BA92" i="139"/>
  <c r="AQ111" i="139"/>
  <c r="BA110" i="139" s="1"/>
  <c r="AK105" i="141"/>
  <c r="AU104" i="141" s="1"/>
  <c r="BC104" i="141" s="1"/>
  <c r="AK98" i="141"/>
  <c r="AU98" i="141" s="1"/>
  <c r="BC98" i="141" s="1"/>
  <c r="AK93" i="141"/>
  <c r="AU93" i="141" s="1"/>
  <c r="BC93" i="141" s="1"/>
  <c r="O124" i="139"/>
  <c r="O126" i="139" s="1"/>
  <c r="O127" i="139" s="1"/>
  <c r="K123" i="142"/>
  <c r="K126" i="142" s="1"/>
  <c r="K127" i="142" s="1"/>
  <c r="L123" i="141"/>
  <c r="L126" i="141" s="1"/>
  <c r="L127" i="141" s="1"/>
  <c r="K123" i="140"/>
  <c r="K126" i="140" s="1"/>
  <c r="K127" i="140" s="1"/>
  <c r="AC28" i="151"/>
  <c r="AC27" i="151" s="1"/>
  <c r="AK111" i="139"/>
  <c r="AK113" i="139" s="1"/>
  <c r="AT110" i="141"/>
  <c r="AD28" i="152"/>
  <c r="AD27" i="152" s="1"/>
  <c r="L123" i="137"/>
  <c r="L126" i="137" s="1"/>
  <c r="L127" i="137" s="1"/>
  <c r="L123" i="140"/>
  <c r="L126" i="140" s="1"/>
  <c r="L127" i="140" s="1"/>
  <c r="AJ113" i="137"/>
  <c r="AT110" i="139"/>
  <c r="K123" i="138"/>
  <c r="K126" i="138" s="1"/>
  <c r="K127" i="138" s="1"/>
  <c r="D123" i="139"/>
  <c r="D126" i="139" s="1"/>
  <c r="D127" i="139" s="1"/>
  <c r="D123" i="140"/>
  <c r="D126" i="140" s="1"/>
  <c r="D127" i="140" s="1"/>
  <c r="L123" i="139"/>
  <c r="L126" i="139" s="1"/>
  <c r="L127" i="139" s="1"/>
  <c r="D123" i="141"/>
  <c r="D126" i="141" s="1"/>
  <c r="D127" i="141" s="1"/>
  <c r="AD28" i="155"/>
  <c r="AD27" i="155" s="1"/>
  <c r="AB28" i="155"/>
  <c r="AB27" i="155" s="1"/>
  <c r="AC28" i="154"/>
  <c r="AC27" i="154" s="1"/>
  <c r="AA28" i="155"/>
  <c r="AA27" i="155" s="1"/>
  <c r="AK111" i="137"/>
  <c r="AK113" i="137" s="1"/>
  <c r="AA28" i="154"/>
  <c r="AA27" i="154" s="1"/>
  <c r="L123" i="142"/>
  <c r="L126" i="142" s="1"/>
  <c r="L127" i="142" s="1"/>
  <c r="D123" i="137"/>
  <c r="D126" i="137" s="1"/>
  <c r="D127" i="137" s="1"/>
  <c r="E123" i="140"/>
  <c r="E126" i="140" s="1"/>
  <c r="E127" i="140" s="1"/>
  <c r="AD28" i="154"/>
  <c r="AD27" i="154" s="1"/>
  <c r="AJ113" i="140"/>
  <c r="E123" i="139"/>
  <c r="E126" i="139" s="1"/>
  <c r="E127" i="139" s="1"/>
  <c r="K123" i="139"/>
  <c r="K126" i="139" s="1"/>
  <c r="K127" i="139" s="1"/>
  <c r="AC28" i="155"/>
  <c r="AA28" i="152"/>
  <c r="AA27" i="152" s="1"/>
  <c r="E123" i="142"/>
  <c r="E126" i="142" s="1"/>
  <c r="E127" i="142" s="1"/>
  <c r="E123" i="137"/>
  <c r="E126" i="137" s="1"/>
  <c r="E127" i="137" s="1"/>
  <c r="AK113" i="140"/>
  <c r="AK113" i="142"/>
  <c r="L123" i="138"/>
  <c r="L126" i="138" s="1"/>
  <c r="L127" i="138" s="1"/>
  <c r="AY101" i="138"/>
  <c r="BE101" i="138" s="1"/>
  <c r="AT101" i="142"/>
  <c r="BB101" i="142" s="1"/>
  <c r="AX101" i="137"/>
  <c r="BD101" i="137" s="1"/>
  <c r="AU101" i="138"/>
  <c r="BC101" i="138" s="1"/>
  <c r="AX101" i="141"/>
  <c r="BD101" i="141" s="1"/>
  <c r="D123" i="142"/>
  <c r="D126" i="142" s="1"/>
  <c r="D127" i="142" s="1"/>
  <c r="AY106" i="138"/>
  <c r="BE106" i="138" s="1"/>
  <c r="AO111" i="138"/>
  <c r="AY110" i="138" s="1"/>
  <c r="K123" i="141"/>
  <c r="K126" i="141" s="1"/>
  <c r="K127" i="141" s="1"/>
  <c r="K123" i="137"/>
  <c r="K126" i="137" s="1"/>
  <c r="K127" i="137" s="1"/>
  <c r="AX91" i="137"/>
  <c r="BD91" i="137" s="1"/>
  <c r="AN111" i="137"/>
  <c r="AX110" i="137" s="1"/>
  <c r="E123" i="138"/>
  <c r="E126" i="138" s="1"/>
  <c r="E127" i="138" s="1"/>
  <c r="AT91" i="142"/>
  <c r="BB91" i="142" s="1"/>
  <c r="AJ111" i="142"/>
  <c r="AN111" i="141"/>
  <c r="AX110" i="141" s="1"/>
  <c r="AX91" i="141"/>
  <c r="BD91" i="141" s="1"/>
  <c r="AU91" i="138"/>
  <c r="BC91" i="138" s="1"/>
  <c r="AK111" i="138"/>
  <c r="AB28" i="152"/>
  <c r="AB28" i="154"/>
  <c r="AB27" i="154" s="1"/>
  <c r="AU110" i="140"/>
  <c r="AN8" i="135"/>
  <c r="AM7" i="135"/>
  <c r="BN7" i="135"/>
  <c r="BO7" i="135" s="1"/>
  <c r="BO8" i="135"/>
  <c r="BM27" i="135"/>
  <c r="BN28" i="135"/>
  <c r="BN26" i="135"/>
  <c r="BO26" i="135" s="1"/>
  <c r="BO20" i="135"/>
  <c r="BN36" i="135"/>
  <c r="BO36" i="135" s="1"/>
  <c r="BO30" i="135"/>
  <c r="BN18" i="135"/>
  <c r="BM17" i="135"/>
  <c r="AP28" i="135"/>
  <c r="AN17" i="135"/>
  <c r="AO18" i="135"/>
  <c r="AN36" i="135"/>
  <c r="AO30" i="135"/>
  <c r="AP20" i="135"/>
  <c r="AO26" i="135"/>
  <c r="AB19" i="151"/>
  <c r="AC9" i="152"/>
  <c r="AD19" i="151"/>
  <c r="AD23" i="151"/>
  <c r="AC19" i="152"/>
  <c r="AB9" i="151"/>
  <c r="AU110" i="139" l="1"/>
  <c r="AU101" i="141"/>
  <c r="BC101" i="141" s="1"/>
  <c r="AU91" i="141"/>
  <c r="BC91" i="141" s="1"/>
  <c r="AK111" i="141"/>
  <c r="E123" i="141"/>
  <c r="E126" i="141" s="1"/>
  <c r="E127" i="141" s="1"/>
  <c r="AC29" i="155"/>
  <c r="AA29" i="155"/>
  <c r="AU110" i="137"/>
  <c r="AC29" i="154"/>
  <c r="AC27" i="155"/>
  <c r="AD28" i="151"/>
  <c r="AB28" i="151"/>
  <c r="AC28" i="152"/>
  <c r="AU110" i="138"/>
  <c r="AK113" i="138"/>
  <c r="AT110" i="142"/>
  <c r="AJ113" i="142"/>
  <c r="AB27" i="152"/>
  <c r="AA29" i="152"/>
  <c r="AA29" i="154"/>
  <c r="AO8" i="135"/>
  <c r="AN7" i="135"/>
  <c r="BN27" i="135"/>
  <c r="BO27" i="135" s="1"/>
  <c r="BO28" i="135"/>
  <c r="BN17" i="135"/>
  <c r="BO17" i="135" s="1"/>
  <c r="BO18" i="135"/>
  <c r="AP26" i="135"/>
  <c r="AQ26" i="135" s="1"/>
  <c r="AQ20" i="135"/>
  <c r="AO36" i="135"/>
  <c r="AP30" i="135"/>
  <c r="AP27" i="135" s="1"/>
  <c r="AQ27" i="135" s="1"/>
  <c r="AO17" i="135"/>
  <c r="AP18" i="135"/>
  <c r="AO27" i="135"/>
  <c r="AQ28" i="135"/>
  <c r="AU110" i="141" l="1"/>
  <c r="AK113" i="141"/>
  <c r="AD27" i="151"/>
  <c r="AC29" i="151"/>
  <c r="AC29" i="152"/>
  <c r="AC27" i="152"/>
  <c r="AB27" i="151"/>
  <c r="AA29" i="151"/>
  <c r="AP8" i="135"/>
  <c r="AO7" i="135"/>
  <c r="AP17" i="135"/>
  <c r="AQ17" i="135" s="1"/>
  <c r="AQ18" i="135"/>
  <c r="AP36" i="135"/>
  <c r="AQ36" i="135" s="1"/>
  <c r="AQ30" i="135"/>
  <c r="AQ8" i="135" l="1"/>
  <c r="AP7" i="135"/>
  <c r="AQ7" i="135" s="1"/>
  <c r="AU78" i="135"/>
  <c r="AV79" i="135" s="1"/>
  <c r="X79" i="135"/>
  <c r="AU85" i="135"/>
  <c r="AU82" i="135"/>
  <c r="AU86" i="135"/>
  <c r="W85" i="135"/>
  <c r="W86" i="135"/>
  <c r="W84" i="135"/>
  <c r="AU83" i="135"/>
  <c r="W82" i="135"/>
  <c r="AU81" i="135"/>
  <c r="W83" i="135"/>
  <c r="W81" i="135"/>
  <c r="BE82" i="135" l="1"/>
  <c r="BD82" i="135"/>
  <c r="BJ82" i="135"/>
  <c r="BC82" i="135"/>
  <c r="BO82" i="135"/>
  <c r="BB82" i="135"/>
  <c r="BN82" i="135"/>
  <c r="BA82" i="135"/>
  <c r="BM82" i="135"/>
  <c r="AZ82" i="135"/>
  <c r="BH82" i="135"/>
  <c r="BL82" i="135"/>
  <c r="BK82" i="135"/>
  <c r="AX82" i="135"/>
  <c r="BI82" i="135"/>
  <c r="BG82" i="135"/>
  <c r="AW82" i="135"/>
  <c r="BK83" i="135"/>
  <c r="AX83" i="135"/>
  <c r="BJ83" i="135"/>
  <c r="AW83" i="135"/>
  <c r="BI83" i="135"/>
  <c r="AV83" i="135"/>
  <c r="AV81" i="135" s="1"/>
  <c r="BO83" i="135"/>
  <c r="BA83" i="135"/>
  <c r="BH83" i="135"/>
  <c r="BB83" i="135"/>
  <c r="BN83" i="135"/>
  <c r="BG83" i="135"/>
  <c r="BE83" i="135"/>
  <c r="BD83" i="135"/>
  <c r="BM83" i="135"/>
  <c r="BC83" i="135"/>
  <c r="BL83" i="135"/>
  <c r="AZ83" i="135"/>
  <c r="BJ85" i="135"/>
  <c r="AW85" i="135"/>
  <c r="BI85" i="135"/>
  <c r="BH85" i="135"/>
  <c r="BG85" i="135"/>
  <c r="BE85" i="135"/>
  <c r="BD85" i="135"/>
  <c r="BA85" i="135"/>
  <c r="BM85" i="135"/>
  <c r="BC85" i="135"/>
  <c r="BN85" i="135"/>
  <c r="BO85" i="135"/>
  <c r="BB85" i="135"/>
  <c r="BL85" i="135"/>
  <c r="BK85" i="135"/>
  <c r="AX85" i="135"/>
  <c r="AZ85" i="135"/>
  <c r="BO86" i="135"/>
  <c r="BB86" i="135"/>
  <c r="BE86" i="135"/>
  <c r="BN86" i="135"/>
  <c r="BA86" i="135"/>
  <c r="BM86" i="135"/>
  <c r="AZ86" i="135"/>
  <c r="BD86" i="135"/>
  <c r="BL86" i="135"/>
  <c r="BK86" i="135"/>
  <c r="AX86" i="135"/>
  <c r="BJ86" i="135"/>
  <c r="AW86" i="135"/>
  <c r="BI86" i="135"/>
  <c r="AV86" i="135"/>
  <c r="AV84" i="135" s="1"/>
  <c r="BH86" i="135"/>
  <c r="BG86" i="135"/>
  <c r="BC86" i="135"/>
  <c r="AG82" i="135"/>
  <c r="AF82" i="135"/>
  <c r="AE82" i="135"/>
  <c r="AQ82" i="135"/>
  <c r="AD82" i="135"/>
  <c r="AP82" i="135"/>
  <c r="AC82" i="135"/>
  <c r="AO82" i="135"/>
  <c r="AB82" i="135"/>
  <c r="AN82" i="135"/>
  <c r="AM82" i="135"/>
  <c r="Z82" i="135"/>
  <c r="AL82" i="135"/>
  <c r="Y82" i="135"/>
  <c r="AJ82" i="135"/>
  <c r="AI82" i="135"/>
  <c r="AK82" i="135"/>
  <c r="AM83" i="135"/>
  <c r="Z83" i="135"/>
  <c r="AL83" i="135"/>
  <c r="Y83" i="135"/>
  <c r="AK83" i="135"/>
  <c r="X83" i="135"/>
  <c r="X81" i="135" s="1"/>
  <c r="AJ83" i="135"/>
  <c r="AI83" i="135"/>
  <c r="AG83" i="135"/>
  <c r="AF83" i="135"/>
  <c r="AN83" i="135"/>
  <c r="AE83" i="135"/>
  <c r="AB83" i="135"/>
  <c r="AQ83" i="135"/>
  <c r="AD83" i="135"/>
  <c r="AO83" i="135"/>
  <c r="AP83" i="135"/>
  <c r="AC83" i="135"/>
  <c r="AL85" i="135"/>
  <c r="Y85" i="135"/>
  <c r="AK85" i="135"/>
  <c r="AJ85" i="135"/>
  <c r="AI85" i="135"/>
  <c r="AG85" i="135"/>
  <c r="AF85" i="135"/>
  <c r="Z85" i="135"/>
  <c r="AE85" i="135"/>
  <c r="AQ85" i="135"/>
  <c r="AD85" i="135"/>
  <c r="AN85" i="135"/>
  <c r="AM85" i="135"/>
  <c r="AP85" i="135"/>
  <c r="AC85" i="135"/>
  <c r="AO85" i="135"/>
  <c r="AB85" i="135"/>
  <c r="AQ86" i="135"/>
  <c r="AD86" i="135"/>
  <c r="AP86" i="135"/>
  <c r="AC86" i="135"/>
  <c r="AO86" i="135"/>
  <c r="AB86" i="135"/>
  <c r="AN86" i="135"/>
  <c r="AM86" i="135"/>
  <c r="Z86" i="135"/>
  <c r="AL86" i="135"/>
  <c r="Y86" i="135"/>
  <c r="AK86" i="135"/>
  <c r="X86" i="135"/>
  <c r="X84" i="135" s="1"/>
  <c r="AJ86" i="135"/>
  <c r="AI86" i="135"/>
  <c r="AF86" i="135"/>
  <c r="AE86" i="135"/>
  <c r="AG86" i="135"/>
  <c r="Z80" i="113"/>
  <c r="Y80" i="113"/>
  <c r="AE80" i="113"/>
  <c r="AD80" i="113"/>
  <c r="AC80" i="113"/>
  <c r="AB80" i="113"/>
  <c r="AA80" i="113"/>
  <c r="AE79" i="113"/>
  <c r="AD79" i="113"/>
  <c r="V79" i="113"/>
  <c r="V82" i="113" s="1"/>
  <c r="V83" i="113" s="1"/>
  <c r="AC79" i="113"/>
  <c r="AB79" i="113"/>
  <c r="Y79" i="113"/>
  <c r="V78" i="113"/>
  <c r="AB77" i="113"/>
  <c r="AB76" i="113"/>
  <c r="AA76" i="113"/>
  <c r="V76" i="113"/>
  <c r="AC76" i="113"/>
  <c r="Z76" i="113"/>
  <c r="Y76" i="113"/>
  <c r="Z75" i="113"/>
  <c r="AE75" i="113"/>
  <c r="AE74" i="113"/>
  <c r="AD74" i="113"/>
  <c r="U71" i="113"/>
  <c r="U72" i="113" s="1"/>
  <c r="Y80" i="114"/>
  <c r="AE80" i="114"/>
  <c r="AD80" i="114"/>
  <c r="AC80" i="114"/>
  <c r="AB80" i="114"/>
  <c r="V79" i="114"/>
  <c r="V82" i="114" s="1"/>
  <c r="V83" i="114" s="1"/>
  <c r="AC78" i="114"/>
  <c r="V78" i="114"/>
  <c r="AB78" i="114"/>
  <c r="AA78" i="114"/>
  <c r="Y78" i="114"/>
  <c r="AE77" i="114"/>
  <c r="AD77" i="114"/>
  <c r="AC77" i="114"/>
  <c r="AB77" i="114"/>
  <c r="AA77" i="114"/>
  <c r="V76" i="114"/>
  <c r="AE76" i="114"/>
  <c r="AA76" i="114"/>
  <c r="AC75" i="114"/>
  <c r="AE75" i="114"/>
  <c r="AB75" i="114"/>
  <c r="AA75" i="114"/>
  <c r="Z75" i="114"/>
  <c r="AE74" i="114"/>
  <c r="AD74" i="114"/>
  <c r="AC74" i="114"/>
  <c r="AA74" i="114"/>
  <c r="Z74" i="114"/>
  <c r="Y74" i="114"/>
  <c r="U71" i="114"/>
  <c r="U72" i="114" s="1"/>
  <c r="AB80" i="115"/>
  <c r="AA80" i="115"/>
  <c r="AE80" i="115"/>
  <c r="AD80" i="115"/>
  <c r="AC80" i="115"/>
  <c r="Z80" i="115"/>
  <c r="Y80" i="115"/>
  <c r="Z79" i="115"/>
  <c r="V79" i="115"/>
  <c r="V82" i="115" s="1"/>
  <c r="V83" i="115" s="1"/>
  <c r="AE79" i="115"/>
  <c r="AD79" i="115"/>
  <c r="AC79" i="115"/>
  <c r="AB79" i="115"/>
  <c r="AA79" i="115"/>
  <c r="V78" i="115"/>
  <c r="AE78" i="115"/>
  <c r="AA78" i="115"/>
  <c r="AE77" i="115"/>
  <c r="AC77" i="115"/>
  <c r="AB77" i="115"/>
  <c r="AA77" i="115"/>
  <c r="Z77" i="115"/>
  <c r="V76" i="115"/>
  <c r="AE76" i="115"/>
  <c r="AD76" i="115"/>
  <c r="AE75" i="115"/>
  <c r="AD75" i="115"/>
  <c r="AC75" i="115"/>
  <c r="AA75" i="115"/>
  <c r="Z75" i="115"/>
  <c r="Y75" i="115"/>
  <c r="U71" i="115"/>
  <c r="U72" i="115" s="1"/>
  <c r="AC80" i="116"/>
  <c r="AE80" i="116"/>
  <c r="Z80" i="116"/>
  <c r="AC79" i="116"/>
  <c r="Y79" i="116"/>
  <c r="V79" i="116"/>
  <c r="V82" i="116" s="1"/>
  <c r="V83" i="116" s="1"/>
  <c r="AE79" i="116"/>
  <c r="AD79" i="116"/>
  <c r="AB79" i="116"/>
  <c r="AA79" i="116"/>
  <c r="Z79" i="116"/>
  <c r="AE78" i="116"/>
  <c r="AD78" i="116"/>
  <c r="V78" i="116"/>
  <c r="AC78" i="116"/>
  <c r="AB78" i="116"/>
  <c r="AA78" i="116"/>
  <c r="Z78" i="116"/>
  <c r="Y78" i="116"/>
  <c r="AB77" i="116"/>
  <c r="AE77" i="116"/>
  <c r="Z77" i="116"/>
  <c r="Y77" i="116"/>
  <c r="AE76" i="116"/>
  <c r="Y76" i="116"/>
  <c r="V76" i="116"/>
  <c r="Z76" i="116"/>
  <c r="AD75" i="116"/>
  <c r="AE75" i="116"/>
  <c r="AA75" i="116"/>
  <c r="Z75" i="116"/>
  <c r="Z74" i="116"/>
  <c r="AE74" i="116"/>
  <c r="U71" i="116"/>
  <c r="U72" i="116" s="1"/>
  <c r="AE80" i="117"/>
  <c r="AD80" i="117"/>
  <c r="AC80" i="117"/>
  <c r="AB79" i="117"/>
  <c r="V79" i="117"/>
  <c r="V82" i="117" s="1"/>
  <c r="V83" i="117" s="1"/>
  <c r="AD79" i="117"/>
  <c r="AA78" i="117"/>
  <c r="Z78" i="117"/>
  <c r="V78" i="117"/>
  <c r="Y78" i="117"/>
  <c r="AE78" i="117"/>
  <c r="AB78" i="117"/>
  <c r="AD77" i="117"/>
  <c r="AC77" i="117"/>
  <c r="AB77" i="117"/>
  <c r="AA77" i="117"/>
  <c r="Z77" i="117"/>
  <c r="AA76" i="117"/>
  <c r="V76" i="117"/>
  <c r="AE76" i="117"/>
  <c r="AD76" i="117"/>
  <c r="AE75" i="117"/>
  <c r="AC75" i="117"/>
  <c r="AA75" i="117"/>
  <c r="AC74" i="117"/>
  <c r="AE74" i="117"/>
  <c r="AD74" i="117"/>
  <c r="AB74" i="117"/>
  <c r="AA74" i="117"/>
  <c r="Z74" i="117"/>
  <c r="Y74" i="117"/>
  <c r="U71" i="117"/>
  <c r="U72" i="117" s="1"/>
  <c r="AD80" i="118"/>
  <c r="AC80" i="118"/>
  <c r="AB80" i="118"/>
  <c r="AB79" i="118"/>
  <c r="V79" i="118"/>
  <c r="V82" i="118" s="1"/>
  <c r="V83" i="118" s="1"/>
  <c r="AE79" i="118"/>
  <c r="AC79" i="118"/>
  <c r="AA79" i="118"/>
  <c r="Z79" i="118"/>
  <c r="Y79" i="118"/>
  <c r="AE78" i="118"/>
  <c r="AA78" i="118"/>
  <c r="V78" i="118"/>
  <c r="Z78" i="118"/>
  <c r="AC78" i="118"/>
  <c r="AB78" i="118"/>
  <c r="Y78" i="118"/>
  <c r="AE77" i="118"/>
  <c r="AB77" i="118"/>
  <c r="AA77" i="118"/>
  <c r="AB76" i="118"/>
  <c r="AA76" i="118"/>
  <c r="V76" i="118"/>
  <c r="AE76" i="118"/>
  <c r="Z76" i="118"/>
  <c r="Y76" i="118"/>
  <c r="AE75" i="118"/>
  <c r="AD75" i="118"/>
  <c r="Y75" i="118"/>
  <c r="AB74" i="118"/>
  <c r="AE74" i="118"/>
  <c r="U71" i="118"/>
  <c r="U72" i="118" s="1"/>
  <c r="Z80" i="119"/>
  <c r="AE80" i="119"/>
  <c r="V79" i="119"/>
  <c r="V82" i="119" s="1"/>
  <c r="V83" i="119" s="1"/>
  <c r="AB79" i="119"/>
  <c r="AA79" i="119"/>
  <c r="Z79" i="119"/>
  <c r="AA78" i="119"/>
  <c r="V78" i="119"/>
  <c r="AD78" i="119"/>
  <c r="AB78" i="119"/>
  <c r="Z78" i="119"/>
  <c r="AD77" i="119"/>
  <c r="AE77" i="119"/>
  <c r="AC77" i="119"/>
  <c r="AB77" i="119"/>
  <c r="AA77" i="119"/>
  <c r="Z77" i="119"/>
  <c r="Y77" i="119"/>
  <c r="V76" i="119"/>
  <c r="AE76" i="119"/>
  <c r="Z76" i="119"/>
  <c r="Y76" i="119"/>
  <c r="AB75" i="119"/>
  <c r="AA75" i="119"/>
  <c r="AE75" i="119"/>
  <c r="AC75" i="119"/>
  <c r="Z75" i="119"/>
  <c r="Y75" i="119"/>
  <c r="AD74" i="119"/>
  <c r="AC74" i="119"/>
  <c r="AE74" i="119"/>
  <c r="AB74" i="119"/>
  <c r="Z74" i="119"/>
  <c r="Y74" i="119"/>
  <c r="U71" i="119"/>
  <c r="U72" i="119" s="1"/>
  <c r="AC80" i="120"/>
  <c r="AE80" i="120"/>
  <c r="AD80" i="120"/>
  <c r="AB80" i="120"/>
  <c r="AA80" i="120"/>
  <c r="Z80" i="120"/>
  <c r="Y80" i="120"/>
  <c r="V79" i="120"/>
  <c r="V82" i="120" s="1"/>
  <c r="V83" i="120" s="1"/>
  <c r="AE79" i="120"/>
  <c r="AD79" i="120"/>
  <c r="AC79" i="120"/>
  <c r="Y79" i="120"/>
  <c r="V78" i="120"/>
  <c r="AE78" i="120"/>
  <c r="AD78" i="120"/>
  <c r="AA78" i="120"/>
  <c r="Z78" i="120"/>
  <c r="Y78" i="120"/>
  <c r="Z77" i="120"/>
  <c r="AE77" i="120"/>
  <c r="AD77" i="120"/>
  <c r="AC77" i="120"/>
  <c r="AB77" i="120"/>
  <c r="AA77" i="120"/>
  <c r="Y77" i="120"/>
  <c r="V76" i="120"/>
  <c r="AE76" i="120"/>
  <c r="AD76" i="120"/>
  <c r="AB76" i="120"/>
  <c r="AA76" i="120"/>
  <c r="Z76" i="120"/>
  <c r="AA75" i="120"/>
  <c r="Z75" i="120"/>
  <c r="AD74" i="120"/>
  <c r="AE74" i="120"/>
  <c r="AB74" i="120"/>
  <c r="U71" i="120"/>
  <c r="U72" i="120" s="1"/>
  <c r="AE80" i="121"/>
  <c r="AA79" i="121"/>
  <c r="Z79" i="121"/>
  <c r="V79" i="121"/>
  <c r="V82" i="121" s="1"/>
  <c r="V83" i="121" s="1"/>
  <c r="Y79" i="121"/>
  <c r="AE79" i="121"/>
  <c r="AE78" i="121"/>
  <c r="AD78" i="121"/>
  <c r="AC78" i="121"/>
  <c r="AB78" i="121"/>
  <c r="V78" i="121"/>
  <c r="AA78" i="121"/>
  <c r="Z78" i="121"/>
  <c r="Y78" i="121"/>
  <c r="AA77" i="121"/>
  <c r="AE77" i="121"/>
  <c r="AD77" i="121"/>
  <c r="V76" i="121"/>
  <c r="AC76" i="121"/>
  <c r="AB76" i="121"/>
  <c r="AA76" i="121"/>
  <c r="AE75" i="121"/>
  <c r="AD75" i="121"/>
  <c r="AC75" i="121"/>
  <c r="AB75" i="121"/>
  <c r="AA75" i="121"/>
  <c r="Z75" i="121"/>
  <c r="Y75" i="121"/>
  <c r="AE74" i="121"/>
  <c r="AD74" i="121"/>
  <c r="AC74" i="121"/>
  <c r="AB74" i="121"/>
  <c r="AA74" i="121"/>
  <c r="Z74" i="121"/>
  <c r="Y74" i="121"/>
  <c r="U71" i="121"/>
  <c r="U72" i="121" s="1"/>
  <c r="AE80" i="112"/>
  <c r="AC80" i="112"/>
  <c r="AB80" i="112"/>
  <c r="AA80" i="112"/>
  <c r="AC79" i="112"/>
  <c r="V79" i="112"/>
  <c r="V82" i="112" s="1"/>
  <c r="V83" i="112" s="1"/>
  <c r="AA79" i="112"/>
  <c r="AB79" i="112"/>
  <c r="Z79" i="112"/>
  <c r="Y79" i="112"/>
  <c r="V78" i="112"/>
  <c r="AE78" i="112"/>
  <c r="Z78" i="112"/>
  <c r="AE77" i="112"/>
  <c r="AD77" i="112"/>
  <c r="AB77" i="112"/>
  <c r="AA77" i="112"/>
  <c r="Z77" i="112"/>
  <c r="Z76" i="112"/>
  <c r="Y76" i="112"/>
  <c r="V76" i="112"/>
  <c r="AE76" i="112"/>
  <c r="AC76" i="112"/>
  <c r="AA76" i="112"/>
  <c r="AD75" i="112"/>
  <c r="AC75" i="112"/>
  <c r="AE75" i="112"/>
  <c r="AB75" i="112"/>
  <c r="AA75" i="112"/>
  <c r="Z75" i="112"/>
  <c r="Y75" i="112"/>
  <c r="AE74" i="112"/>
  <c r="AD74" i="112"/>
  <c r="AC74" i="112"/>
  <c r="AB74" i="112"/>
  <c r="AA74" i="112"/>
  <c r="Z74" i="112"/>
  <c r="Y74" i="112"/>
  <c r="U71" i="112"/>
  <c r="U72" i="112" s="1"/>
  <c r="Z80" i="111"/>
  <c r="Y80" i="111"/>
  <c r="AE80" i="111"/>
  <c r="AD80" i="111"/>
  <c r="AC79" i="111"/>
  <c r="AB79" i="111"/>
  <c r="V79" i="111"/>
  <c r="V82" i="111" s="1"/>
  <c r="V83" i="111" s="1"/>
  <c r="AE79" i="111"/>
  <c r="AD79" i="111"/>
  <c r="AA79" i="111"/>
  <c r="AE78" i="111"/>
  <c r="V78" i="111"/>
  <c r="AD78" i="111"/>
  <c r="AB78" i="111"/>
  <c r="AA78" i="111"/>
  <c r="Y78" i="111"/>
  <c r="AC77" i="111"/>
  <c r="V76" i="111"/>
  <c r="AE76" i="111"/>
  <c r="AC76" i="111"/>
  <c r="AB76" i="111"/>
  <c r="AE75" i="111"/>
  <c r="AD75" i="111"/>
  <c r="Y75" i="111"/>
  <c r="AA74" i="111"/>
  <c r="U71" i="111"/>
  <c r="U72" i="111" s="1"/>
  <c r="AE70" i="121"/>
  <c r="AD70" i="121"/>
  <c r="AC70" i="121"/>
  <c r="AB70" i="121"/>
  <c r="AA70" i="121"/>
  <c r="Z70" i="121"/>
  <c r="Y70" i="121"/>
  <c r="AE69" i="121"/>
  <c r="AD69" i="121"/>
  <c r="AC69" i="121"/>
  <c r="AB69" i="121"/>
  <c r="AA69" i="121"/>
  <c r="Z69" i="121"/>
  <c r="Y69" i="121"/>
  <c r="AE66" i="121"/>
  <c r="AD66" i="121"/>
  <c r="AC66" i="121"/>
  <c r="AB66" i="121"/>
  <c r="AA66" i="121"/>
  <c r="Z66" i="121"/>
  <c r="Y66" i="121"/>
  <c r="AE65" i="121"/>
  <c r="AD65" i="121"/>
  <c r="AC65" i="121"/>
  <c r="AB65" i="121"/>
  <c r="AA65" i="121"/>
  <c r="Z65" i="121"/>
  <c r="Y65" i="121"/>
  <c r="AE64" i="121"/>
  <c r="AD64" i="121"/>
  <c r="AC64" i="121"/>
  <c r="AB64" i="121"/>
  <c r="AA64" i="121"/>
  <c r="Z64" i="121"/>
  <c r="Y64" i="121"/>
  <c r="AE63" i="121"/>
  <c r="AD63" i="121"/>
  <c r="AC63" i="121"/>
  <c r="AB63" i="121"/>
  <c r="AA63" i="121"/>
  <c r="Z63" i="121"/>
  <c r="Y63" i="121"/>
  <c r="AE62" i="121"/>
  <c r="AD62" i="121"/>
  <c r="AC62" i="121"/>
  <c r="AB62" i="121"/>
  <c r="AA62" i="121"/>
  <c r="Z62" i="121"/>
  <c r="Y62" i="121"/>
  <c r="AE61" i="121"/>
  <c r="AD61" i="121"/>
  <c r="AC61" i="121"/>
  <c r="AB61" i="121"/>
  <c r="AA61" i="121"/>
  <c r="Z61" i="121"/>
  <c r="Y61" i="121"/>
  <c r="AE60" i="121"/>
  <c r="AD60" i="121"/>
  <c r="AC60" i="121"/>
  <c r="AB60" i="121"/>
  <c r="AA60" i="121"/>
  <c r="Z60" i="121"/>
  <c r="Y60" i="121"/>
  <c r="AE59" i="121"/>
  <c r="AD59" i="121"/>
  <c r="AC59" i="121"/>
  <c r="AB59" i="121"/>
  <c r="AA59" i="121"/>
  <c r="Z59" i="121"/>
  <c r="Y59" i="121"/>
  <c r="AE58" i="121"/>
  <c r="AD58" i="121"/>
  <c r="AC58" i="121"/>
  <c r="AB58" i="121"/>
  <c r="AA58" i="121"/>
  <c r="Z58" i="121"/>
  <c r="Y58" i="121"/>
  <c r="AE57" i="121"/>
  <c r="AD57" i="121"/>
  <c r="AC57" i="121"/>
  <c r="AB57" i="121"/>
  <c r="AA57" i="121"/>
  <c r="Z57" i="121"/>
  <c r="Y57" i="121"/>
  <c r="AE56" i="121"/>
  <c r="AD56" i="121"/>
  <c r="AC56" i="121"/>
  <c r="AB56" i="121"/>
  <c r="AA56" i="121"/>
  <c r="Z56" i="121"/>
  <c r="Y56" i="121"/>
  <c r="AE55" i="121"/>
  <c r="AD55" i="121"/>
  <c r="AC55" i="121"/>
  <c r="AB55" i="121"/>
  <c r="AA55" i="121"/>
  <c r="Z55" i="121"/>
  <c r="Y55" i="121"/>
  <c r="AE54" i="121"/>
  <c r="AD54" i="121"/>
  <c r="AC54" i="121"/>
  <c r="AB54" i="121"/>
  <c r="AA54" i="121"/>
  <c r="Z54" i="121"/>
  <c r="Y54" i="121"/>
  <c r="AE53" i="121"/>
  <c r="AD53" i="121"/>
  <c r="AC53" i="121"/>
  <c r="AB53" i="121"/>
  <c r="AA53" i="121"/>
  <c r="Z53" i="121"/>
  <c r="Y53" i="121"/>
  <c r="AE52" i="121"/>
  <c r="AD52" i="121"/>
  <c r="AC52" i="121"/>
  <c r="AB52" i="121"/>
  <c r="AA52" i="121"/>
  <c r="Z52" i="121"/>
  <c r="Y52" i="121"/>
  <c r="AE51" i="121"/>
  <c r="AD51" i="121"/>
  <c r="AC51" i="121"/>
  <c r="AB51" i="121"/>
  <c r="AA51" i="121"/>
  <c r="Z51" i="121"/>
  <c r="Y51" i="121"/>
  <c r="AE50" i="121"/>
  <c r="AD50" i="121"/>
  <c r="AC50" i="121"/>
  <c r="AB50" i="121"/>
  <c r="AA50" i="121"/>
  <c r="Z50" i="121"/>
  <c r="Y50" i="121"/>
  <c r="AE70" i="120"/>
  <c r="AD70" i="120"/>
  <c r="AC70" i="120"/>
  <c r="AB70" i="120"/>
  <c r="AA70" i="120"/>
  <c r="Z70" i="120"/>
  <c r="Y70" i="120"/>
  <c r="AE69" i="120"/>
  <c r="AD69" i="120"/>
  <c r="AC69" i="120"/>
  <c r="AB69" i="120"/>
  <c r="AA69" i="120"/>
  <c r="Z69" i="120"/>
  <c r="Y69" i="120"/>
  <c r="AE66" i="120"/>
  <c r="AD66" i="120"/>
  <c r="AC66" i="120"/>
  <c r="AB66" i="120"/>
  <c r="AA66" i="120"/>
  <c r="Z66" i="120"/>
  <c r="Y66" i="120"/>
  <c r="AE65" i="120"/>
  <c r="AD65" i="120"/>
  <c r="AC65" i="120"/>
  <c r="AB65" i="120"/>
  <c r="AA65" i="120"/>
  <c r="Z65" i="120"/>
  <c r="Y65" i="120"/>
  <c r="AE64" i="120"/>
  <c r="AD64" i="120"/>
  <c r="AC64" i="120"/>
  <c r="AB64" i="120"/>
  <c r="AA64" i="120"/>
  <c r="Z64" i="120"/>
  <c r="Y64" i="120"/>
  <c r="AE63" i="120"/>
  <c r="AD63" i="120"/>
  <c r="AC63" i="120"/>
  <c r="AB63" i="120"/>
  <c r="AA63" i="120"/>
  <c r="Z63" i="120"/>
  <c r="Y63" i="120"/>
  <c r="AE62" i="120"/>
  <c r="AD62" i="120"/>
  <c r="AC62" i="120"/>
  <c r="AB62" i="120"/>
  <c r="AA62" i="120"/>
  <c r="Z62" i="120"/>
  <c r="Y62" i="120"/>
  <c r="AE61" i="120"/>
  <c r="AD61" i="120"/>
  <c r="AC61" i="120"/>
  <c r="AB61" i="120"/>
  <c r="AA61" i="120"/>
  <c r="Z61" i="120"/>
  <c r="Y61" i="120"/>
  <c r="AE60" i="120"/>
  <c r="AD60" i="120"/>
  <c r="AC60" i="120"/>
  <c r="AB60" i="120"/>
  <c r="AA60" i="120"/>
  <c r="Z60" i="120"/>
  <c r="Y60" i="120"/>
  <c r="AE59" i="120"/>
  <c r="AD59" i="120"/>
  <c r="AC59" i="120"/>
  <c r="AB59" i="120"/>
  <c r="AA59" i="120"/>
  <c r="Z59" i="120"/>
  <c r="Y59" i="120"/>
  <c r="AE58" i="120"/>
  <c r="AD58" i="120"/>
  <c r="AC58" i="120"/>
  <c r="AB58" i="120"/>
  <c r="AA58" i="120"/>
  <c r="Z58" i="120"/>
  <c r="Y58" i="120"/>
  <c r="AE57" i="120"/>
  <c r="AD57" i="120"/>
  <c r="AC57" i="120"/>
  <c r="AB57" i="120"/>
  <c r="AA57" i="120"/>
  <c r="Z57" i="120"/>
  <c r="Y57" i="120"/>
  <c r="AE56" i="120"/>
  <c r="AD56" i="120"/>
  <c r="AC56" i="120"/>
  <c r="AB56" i="120"/>
  <c r="AA56" i="120"/>
  <c r="Z56" i="120"/>
  <c r="Y56" i="120"/>
  <c r="AE55" i="120"/>
  <c r="AD55" i="120"/>
  <c r="AC55" i="120"/>
  <c r="AB55" i="120"/>
  <c r="AA55" i="120"/>
  <c r="Z55" i="120"/>
  <c r="Y55" i="120"/>
  <c r="AE54" i="120"/>
  <c r="AD54" i="120"/>
  <c r="AC54" i="120"/>
  <c r="AB54" i="120"/>
  <c r="AA54" i="120"/>
  <c r="Z54" i="120"/>
  <c r="Y54" i="120"/>
  <c r="AE53" i="120"/>
  <c r="AD53" i="120"/>
  <c r="AC53" i="120"/>
  <c r="AB53" i="120"/>
  <c r="AA53" i="120"/>
  <c r="Z53" i="120"/>
  <c r="Y53" i="120"/>
  <c r="AE52" i="120"/>
  <c r="AD52" i="120"/>
  <c r="AC52" i="120"/>
  <c r="AB52" i="120"/>
  <c r="AA52" i="120"/>
  <c r="Z52" i="120"/>
  <c r="Y52" i="120"/>
  <c r="AE51" i="120"/>
  <c r="AD51" i="120"/>
  <c r="AC51" i="120"/>
  <c r="AB51" i="120"/>
  <c r="AA51" i="120"/>
  <c r="Z51" i="120"/>
  <c r="Y51" i="120"/>
  <c r="AE50" i="120"/>
  <c r="AD50" i="120"/>
  <c r="AC50" i="120"/>
  <c r="AB50" i="120"/>
  <c r="AA50" i="120"/>
  <c r="Z50" i="120"/>
  <c r="Y50" i="120"/>
  <c r="AE70" i="119"/>
  <c r="AD70" i="119"/>
  <c r="AC70" i="119"/>
  <c r="AB70" i="119"/>
  <c r="AA70" i="119"/>
  <c r="Z70" i="119"/>
  <c r="Y70" i="119"/>
  <c r="AE69" i="119"/>
  <c r="AD69" i="119"/>
  <c r="AC69" i="119"/>
  <c r="AB69" i="119"/>
  <c r="AA69" i="119"/>
  <c r="Z69" i="119"/>
  <c r="Y69" i="119"/>
  <c r="AE66" i="119"/>
  <c r="AD66" i="119"/>
  <c r="AC66" i="119"/>
  <c r="AB66" i="119"/>
  <c r="AA66" i="119"/>
  <c r="Z66" i="119"/>
  <c r="Y66" i="119"/>
  <c r="AE65" i="119"/>
  <c r="AD65" i="119"/>
  <c r="AC65" i="119"/>
  <c r="AB65" i="119"/>
  <c r="AA65" i="119"/>
  <c r="Z65" i="119"/>
  <c r="Y65" i="119"/>
  <c r="AE64" i="119"/>
  <c r="AD64" i="119"/>
  <c r="AC64" i="119"/>
  <c r="AB64" i="119"/>
  <c r="AA64" i="119"/>
  <c r="Z64" i="119"/>
  <c r="Y64" i="119"/>
  <c r="AE63" i="119"/>
  <c r="AD63" i="119"/>
  <c r="AC63" i="119"/>
  <c r="AB63" i="119"/>
  <c r="AA63" i="119"/>
  <c r="Z63" i="119"/>
  <c r="Y63" i="119"/>
  <c r="AE62" i="119"/>
  <c r="AD62" i="119"/>
  <c r="AC62" i="119"/>
  <c r="AB62" i="119"/>
  <c r="AA62" i="119"/>
  <c r="Z62" i="119"/>
  <c r="Y62" i="119"/>
  <c r="AE61" i="119"/>
  <c r="AD61" i="119"/>
  <c r="AC61" i="119"/>
  <c r="AB61" i="119"/>
  <c r="AA61" i="119"/>
  <c r="Z61" i="119"/>
  <c r="Y61" i="119"/>
  <c r="AE60" i="119"/>
  <c r="AD60" i="119"/>
  <c r="AC60" i="119"/>
  <c r="AB60" i="119"/>
  <c r="AA60" i="119"/>
  <c r="Z60" i="119"/>
  <c r="Y60" i="119"/>
  <c r="AE59" i="119"/>
  <c r="AD59" i="119"/>
  <c r="AC59" i="119"/>
  <c r="AB59" i="119"/>
  <c r="AA59" i="119"/>
  <c r="Z59" i="119"/>
  <c r="Y59" i="119"/>
  <c r="AE58" i="119"/>
  <c r="AD58" i="119"/>
  <c r="AC58" i="119"/>
  <c r="AB58" i="119"/>
  <c r="AA58" i="119"/>
  <c r="Z58" i="119"/>
  <c r="Y58" i="119"/>
  <c r="AE57" i="119"/>
  <c r="AD57" i="119"/>
  <c r="AC57" i="119"/>
  <c r="AB57" i="119"/>
  <c r="AA57" i="119"/>
  <c r="Z57" i="119"/>
  <c r="Y57" i="119"/>
  <c r="AE56" i="119"/>
  <c r="AD56" i="119"/>
  <c r="AC56" i="119"/>
  <c r="AB56" i="119"/>
  <c r="AA56" i="119"/>
  <c r="Z56" i="119"/>
  <c r="Y56" i="119"/>
  <c r="AE55" i="119"/>
  <c r="AD55" i="119"/>
  <c r="AC55" i="119"/>
  <c r="AB55" i="119"/>
  <c r="AA55" i="119"/>
  <c r="Z55" i="119"/>
  <c r="Y55" i="119"/>
  <c r="AE54" i="119"/>
  <c r="AD54" i="119"/>
  <c r="AC54" i="119"/>
  <c r="AB54" i="119"/>
  <c r="AA54" i="119"/>
  <c r="Z54" i="119"/>
  <c r="Y54" i="119"/>
  <c r="AE53" i="119"/>
  <c r="AD53" i="119"/>
  <c r="AC53" i="119"/>
  <c r="AB53" i="119"/>
  <c r="AA53" i="119"/>
  <c r="Z53" i="119"/>
  <c r="Y53" i="119"/>
  <c r="AE52" i="119"/>
  <c r="AD52" i="119"/>
  <c r="AC52" i="119"/>
  <c r="AB52" i="119"/>
  <c r="AA52" i="119"/>
  <c r="Z52" i="119"/>
  <c r="Y52" i="119"/>
  <c r="AE51" i="119"/>
  <c r="AD51" i="119"/>
  <c r="AC51" i="119"/>
  <c r="AB51" i="119"/>
  <c r="AA51" i="119"/>
  <c r="Z51" i="119"/>
  <c r="Y51" i="119"/>
  <c r="AE50" i="119"/>
  <c r="AD50" i="119"/>
  <c r="AC50" i="119"/>
  <c r="AB50" i="119"/>
  <c r="AA50" i="119"/>
  <c r="Z50" i="119"/>
  <c r="Y50" i="119"/>
  <c r="AE70" i="118"/>
  <c r="AD70" i="118"/>
  <c r="AC70" i="118"/>
  <c r="AB70" i="118"/>
  <c r="AA70" i="118"/>
  <c r="Z70" i="118"/>
  <c r="Y70" i="118"/>
  <c r="AE69" i="118"/>
  <c r="AD69" i="118"/>
  <c r="AC69" i="118"/>
  <c r="AB69" i="118"/>
  <c r="AA69" i="118"/>
  <c r="Z69" i="118"/>
  <c r="Y69" i="118"/>
  <c r="AE66" i="118"/>
  <c r="AD66" i="118"/>
  <c r="AC66" i="118"/>
  <c r="AB66" i="118"/>
  <c r="AA66" i="118"/>
  <c r="Z66" i="118"/>
  <c r="Y66" i="118"/>
  <c r="AE65" i="118"/>
  <c r="AD65" i="118"/>
  <c r="AC65" i="118"/>
  <c r="AB65" i="118"/>
  <c r="AA65" i="118"/>
  <c r="Z65" i="118"/>
  <c r="Y65" i="118"/>
  <c r="AE64" i="118"/>
  <c r="AD64" i="118"/>
  <c r="AC64" i="118"/>
  <c r="AB64" i="118"/>
  <c r="AA64" i="118"/>
  <c r="Z64" i="118"/>
  <c r="Y64" i="118"/>
  <c r="AE63" i="118"/>
  <c r="AD63" i="118"/>
  <c r="AC63" i="118"/>
  <c r="AB63" i="118"/>
  <c r="AA63" i="118"/>
  <c r="Z63" i="118"/>
  <c r="Y63" i="118"/>
  <c r="AE62" i="118"/>
  <c r="AD62" i="118"/>
  <c r="AC62" i="118"/>
  <c r="AB62" i="118"/>
  <c r="AA62" i="118"/>
  <c r="Z62" i="118"/>
  <c r="Y62" i="118"/>
  <c r="AE61" i="118"/>
  <c r="AD61" i="118"/>
  <c r="AC61" i="118"/>
  <c r="AB61" i="118"/>
  <c r="AA61" i="118"/>
  <c r="Z61" i="118"/>
  <c r="Y61" i="118"/>
  <c r="AE60" i="118"/>
  <c r="AD60" i="118"/>
  <c r="AC60" i="118"/>
  <c r="AB60" i="118"/>
  <c r="AA60" i="118"/>
  <c r="Z60" i="118"/>
  <c r="Y60" i="118"/>
  <c r="AE59" i="118"/>
  <c r="AD59" i="118"/>
  <c r="AC59" i="118"/>
  <c r="AB59" i="118"/>
  <c r="AA59" i="118"/>
  <c r="Z59" i="118"/>
  <c r="Y59" i="118"/>
  <c r="AE58" i="118"/>
  <c r="AD58" i="118"/>
  <c r="AC58" i="118"/>
  <c r="AB58" i="118"/>
  <c r="AA58" i="118"/>
  <c r="Z58" i="118"/>
  <c r="Y58" i="118"/>
  <c r="AE57" i="118"/>
  <c r="AD57" i="118"/>
  <c r="AC57" i="118"/>
  <c r="AB57" i="118"/>
  <c r="AA57" i="118"/>
  <c r="Z57" i="118"/>
  <c r="Y57" i="118"/>
  <c r="AE56" i="118"/>
  <c r="AD56" i="118"/>
  <c r="AC56" i="118"/>
  <c r="AB56" i="118"/>
  <c r="AA56" i="118"/>
  <c r="Z56" i="118"/>
  <c r="Y56" i="118"/>
  <c r="AE55" i="118"/>
  <c r="AD55" i="118"/>
  <c r="AC55" i="118"/>
  <c r="AB55" i="118"/>
  <c r="AA55" i="118"/>
  <c r="Z55" i="118"/>
  <c r="Y55" i="118"/>
  <c r="AE54" i="118"/>
  <c r="AD54" i="118"/>
  <c r="AC54" i="118"/>
  <c r="AB54" i="118"/>
  <c r="AA54" i="118"/>
  <c r="Z54" i="118"/>
  <c r="Y54" i="118"/>
  <c r="AE53" i="118"/>
  <c r="AD53" i="118"/>
  <c r="AC53" i="118"/>
  <c r="AB53" i="118"/>
  <c r="AA53" i="118"/>
  <c r="Z53" i="118"/>
  <c r="Y53" i="118"/>
  <c r="AE52" i="118"/>
  <c r="AD52" i="118"/>
  <c r="AC52" i="118"/>
  <c r="AB52" i="118"/>
  <c r="AA52" i="118"/>
  <c r="Z52" i="118"/>
  <c r="Y52" i="118"/>
  <c r="AE51" i="118"/>
  <c r="AD51" i="118"/>
  <c r="AC51" i="118"/>
  <c r="AB51" i="118"/>
  <c r="AA51" i="118"/>
  <c r="Z51" i="118"/>
  <c r="Y51" i="118"/>
  <c r="AE50" i="118"/>
  <c r="AD50" i="118"/>
  <c r="AC50" i="118"/>
  <c r="AB50" i="118"/>
  <c r="AA50" i="118"/>
  <c r="Z50" i="118"/>
  <c r="Y50" i="118"/>
  <c r="AE70" i="117"/>
  <c r="AD70" i="117"/>
  <c r="AC70" i="117"/>
  <c r="AB70" i="117"/>
  <c r="AA70" i="117"/>
  <c r="Z70" i="117"/>
  <c r="Y70" i="117"/>
  <c r="AE69" i="117"/>
  <c r="AD69" i="117"/>
  <c r="AC69" i="117"/>
  <c r="AB69" i="117"/>
  <c r="AA69" i="117"/>
  <c r="Z69" i="117"/>
  <c r="Y69" i="117"/>
  <c r="AE66" i="117"/>
  <c r="AD66" i="117"/>
  <c r="AC66" i="117"/>
  <c r="AB66" i="117"/>
  <c r="AA66" i="117"/>
  <c r="Z66" i="117"/>
  <c r="Y66" i="117"/>
  <c r="AE65" i="117"/>
  <c r="AD65" i="117"/>
  <c r="AC65" i="117"/>
  <c r="AB65" i="117"/>
  <c r="AA65" i="117"/>
  <c r="Z65" i="117"/>
  <c r="Y65" i="117"/>
  <c r="AE64" i="117"/>
  <c r="AD64" i="117"/>
  <c r="AC64" i="117"/>
  <c r="AB64" i="117"/>
  <c r="AA64" i="117"/>
  <c r="Z64" i="117"/>
  <c r="Y64" i="117"/>
  <c r="AE63" i="117"/>
  <c r="AD63" i="117"/>
  <c r="AC63" i="117"/>
  <c r="AB63" i="117"/>
  <c r="AA63" i="117"/>
  <c r="Z63" i="117"/>
  <c r="Y63" i="117"/>
  <c r="AE62" i="117"/>
  <c r="AD62" i="117"/>
  <c r="AC62" i="117"/>
  <c r="AB62" i="117"/>
  <c r="AA62" i="117"/>
  <c r="Z62" i="117"/>
  <c r="Y62" i="117"/>
  <c r="AE61" i="117"/>
  <c r="AD61" i="117"/>
  <c r="AC61" i="117"/>
  <c r="AB61" i="117"/>
  <c r="AA61" i="117"/>
  <c r="Z61" i="117"/>
  <c r="Y61" i="117"/>
  <c r="AE60" i="117"/>
  <c r="AD60" i="117"/>
  <c r="AC60" i="117"/>
  <c r="AB60" i="117"/>
  <c r="AA60" i="117"/>
  <c r="Z60" i="117"/>
  <c r="Y60" i="117"/>
  <c r="AE59" i="117"/>
  <c r="AD59" i="117"/>
  <c r="AC59" i="117"/>
  <c r="AB59" i="117"/>
  <c r="AA59" i="117"/>
  <c r="Z59" i="117"/>
  <c r="Y59" i="117"/>
  <c r="AE58" i="117"/>
  <c r="AD58" i="117"/>
  <c r="AC58" i="117"/>
  <c r="AB58" i="117"/>
  <c r="AA58" i="117"/>
  <c r="Z58" i="117"/>
  <c r="Y58" i="117"/>
  <c r="AE57" i="117"/>
  <c r="AD57" i="117"/>
  <c r="AC57" i="117"/>
  <c r="AB57" i="117"/>
  <c r="AA57" i="117"/>
  <c r="Z57" i="117"/>
  <c r="Y57" i="117"/>
  <c r="AE56" i="117"/>
  <c r="AD56" i="117"/>
  <c r="AC56" i="117"/>
  <c r="AB56" i="117"/>
  <c r="AA56" i="117"/>
  <c r="Z56" i="117"/>
  <c r="Y56" i="117"/>
  <c r="AE55" i="117"/>
  <c r="AD55" i="117"/>
  <c r="AC55" i="117"/>
  <c r="AB55" i="117"/>
  <c r="AA55" i="117"/>
  <c r="Z55" i="117"/>
  <c r="Y55" i="117"/>
  <c r="AE54" i="117"/>
  <c r="AD54" i="117"/>
  <c r="AC54" i="117"/>
  <c r="AB54" i="117"/>
  <c r="AA54" i="117"/>
  <c r="Z54" i="117"/>
  <c r="Y54" i="117"/>
  <c r="AE53" i="117"/>
  <c r="AD53" i="117"/>
  <c r="AC53" i="117"/>
  <c r="AB53" i="117"/>
  <c r="AA53" i="117"/>
  <c r="Z53" i="117"/>
  <c r="Y53" i="117"/>
  <c r="AE52" i="117"/>
  <c r="AD52" i="117"/>
  <c r="AC52" i="117"/>
  <c r="AB52" i="117"/>
  <c r="AA52" i="117"/>
  <c r="Z52" i="117"/>
  <c r="Y52" i="117"/>
  <c r="AE51" i="117"/>
  <c r="AD51" i="117"/>
  <c r="AC51" i="117"/>
  <c r="AB51" i="117"/>
  <c r="AA51" i="117"/>
  <c r="Z51" i="117"/>
  <c r="Y51" i="117"/>
  <c r="AE50" i="117"/>
  <c r="AD50" i="117"/>
  <c r="AC50" i="117"/>
  <c r="AB50" i="117"/>
  <c r="AA50" i="117"/>
  <c r="Z50" i="117"/>
  <c r="Y50" i="117"/>
  <c r="AE70" i="116"/>
  <c r="AD70" i="116"/>
  <c r="AC70" i="116"/>
  <c r="AB70" i="116"/>
  <c r="AA70" i="116"/>
  <c r="Z70" i="116"/>
  <c r="Y70" i="116"/>
  <c r="AE69" i="116"/>
  <c r="AD69" i="116"/>
  <c r="AC69" i="116"/>
  <c r="AB69" i="116"/>
  <c r="AA69" i="116"/>
  <c r="Z69" i="116"/>
  <c r="Y69" i="116"/>
  <c r="AE66" i="116"/>
  <c r="AD66" i="116"/>
  <c r="AC66" i="116"/>
  <c r="AB66" i="116"/>
  <c r="AA66" i="116"/>
  <c r="Z66" i="116"/>
  <c r="Y66" i="116"/>
  <c r="AE65" i="116"/>
  <c r="AD65" i="116"/>
  <c r="AC65" i="116"/>
  <c r="AB65" i="116"/>
  <c r="AA65" i="116"/>
  <c r="Z65" i="116"/>
  <c r="Y65" i="116"/>
  <c r="AE64" i="116"/>
  <c r="AD64" i="116"/>
  <c r="AC64" i="116"/>
  <c r="AB64" i="116"/>
  <c r="AA64" i="116"/>
  <c r="Z64" i="116"/>
  <c r="Y64" i="116"/>
  <c r="AE63" i="116"/>
  <c r="AD63" i="116"/>
  <c r="AC63" i="116"/>
  <c r="AB63" i="116"/>
  <c r="AA63" i="116"/>
  <c r="Z63" i="116"/>
  <c r="Y63" i="116"/>
  <c r="AE62" i="116"/>
  <c r="AD62" i="116"/>
  <c r="AC62" i="116"/>
  <c r="AB62" i="116"/>
  <c r="AA62" i="116"/>
  <c r="Z62" i="116"/>
  <c r="Y62" i="116"/>
  <c r="AE61" i="116"/>
  <c r="AD61" i="116"/>
  <c r="AC61" i="116"/>
  <c r="AB61" i="116"/>
  <c r="AA61" i="116"/>
  <c r="Z61" i="116"/>
  <c r="Y61" i="116"/>
  <c r="AE60" i="116"/>
  <c r="AD60" i="116"/>
  <c r="AC60" i="116"/>
  <c r="AB60" i="116"/>
  <c r="AA60" i="116"/>
  <c r="Z60" i="116"/>
  <c r="Y60" i="116"/>
  <c r="AE59" i="116"/>
  <c r="AD59" i="116"/>
  <c r="AC59" i="116"/>
  <c r="AB59" i="116"/>
  <c r="AA59" i="116"/>
  <c r="Z59" i="116"/>
  <c r="Y59" i="116"/>
  <c r="AE58" i="116"/>
  <c r="AD58" i="116"/>
  <c r="AC58" i="116"/>
  <c r="AB58" i="116"/>
  <c r="AA58" i="116"/>
  <c r="Z58" i="116"/>
  <c r="Y58" i="116"/>
  <c r="AE57" i="116"/>
  <c r="AD57" i="116"/>
  <c r="AC57" i="116"/>
  <c r="AB57" i="116"/>
  <c r="AA57" i="116"/>
  <c r="Z57" i="116"/>
  <c r="Y57" i="116"/>
  <c r="AE56" i="116"/>
  <c r="AD56" i="116"/>
  <c r="AC56" i="116"/>
  <c r="AB56" i="116"/>
  <c r="AA56" i="116"/>
  <c r="Z56" i="116"/>
  <c r="Y56" i="116"/>
  <c r="AE55" i="116"/>
  <c r="AD55" i="116"/>
  <c r="AC55" i="116"/>
  <c r="AB55" i="116"/>
  <c r="AA55" i="116"/>
  <c r="Z55" i="116"/>
  <c r="Y55" i="116"/>
  <c r="AE54" i="116"/>
  <c r="AD54" i="116"/>
  <c r="AC54" i="116"/>
  <c r="AB54" i="116"/>
  <c r="AA54" i="116"/>
  <c r="Z54" i="116"/>
  <c r="Y54" i="116"/>
  <c r="AE53" i="116"/>
  <c r="AD53" i="116"/>
  <c r="AC53" i="116"/>
  <c r="AB53" i="116"/>
  <c r="AA53" i="116"/>
  <c r="Z53" i="116"/>
  <c r="Y53" i="116"/>
  <c r="AE52" i="116"/>
  <c r="AD52" i="116"/>
  <c r="AC52" i="116"/>
  <c r="AB52" i="116"/>
  <c r="AA52" i="116"/>
  <c r="Z52" i="116"/>
  <c r="Y52" i="116"/>
  <c r="AE51" i="116"/>
  <c r="AD51" i="116"/>
  <c r="AC51" i="116"/>
  <c r="AB51" i="116"/>
  <c r="AA51" i="116"/>
  <c r="Z51" i="116"/>
  <c r="Y51" i="116"/>
  <c r="AE50" i="116"/>
  <c r="AD50" i="116"/>
  <c r="AC50" i="116"/>
  <c r="AB50" i="116"/>
  <c r="AA50" i="116"/>
  <c r="Z50" i="116"/>
  <c r="Y50" i="116"/>
  <c r="AE70" i="115"/>
  <c r="AD70" i="115"/>
  <c r="AC70" i="115"/>
  <c r="AB70" i="115"/>
  <c r="AA70" i="115"/>
  <c r="Z70" i="115"/>
  <c r="Y70" i="115"/>
  <c r="AE69" i="115"/>
  <c r="AD69" i="115"/>
  <c r="AC69" i="115"/>
  <c r="AB69" i="115"/>
  <c r="AA69" i="115"/>
  <c r="Z69" i="115"/>
  <c r="Y69" i="115"/>
  <c r="AE66" i="115"/>
  <c r="AD66" i="115"/>
  <c r="AC66" i="115"/>
  <c r="AB66" i="115"/>
  <c r="AA66" i="115"/>
  <c r="Z66" i="115"/>
  <c r="Y66" i="115"/>
  <c r="AE65" i="115"/>
  <c r="AD65" i="115"/>
  <c r="AC65" i="115"/>
  <c r="AB65" i="115"/>
  <c r="AA65" i="115"/>
  <c r="Z65" i="115"/>
  <c r="Y65" i="115"/>
  <c r="AE64" i="115"/>
  <c r="AD64" i="115"/>
  <c r="AC64" i="115"/>
  <c r="AB64" i="115"/>
  <c r="AA64" i="115"/>
  <c r="Z64" i="115"/>
  <c r="Y64" i="115"/>
  <c r="AE63" i="115"/>
  <c r="AD63" i="115"/>
  <c r="AC63" i="115"/>
  <c r="AB63" i="115"/>
  <c r="AA63" i="115"/>
  <c r="Z63" i="115"/>
  <c r="Y63" i="115"/>
  <c r="AE62" i="115"/>
  <c r="AD62" i="115"/>
  <c r="AC62" i="115"/>
  <c r="AB62" i="115"/>
  <c r="AA62" i="115"/>
  <c r="Z62" i="115"/>
  <c r="Y62" i="115"/>
  <c r="AE61" i="115"/>
  <c r="AD61" i="115"/>
  <c r="AC61" i="115"/>
  <c r="AB61" i="115"/>
  <c r="AA61" i="115"/>
  <c r="Z61" i="115"/>
  <c r="Y61" i="115"/>
  <c r="AE60" i="115"/>
  <c r="AD60" i="115"/>
  <c r="AC60" i="115"/>
  <c r="AB60" i="115"/>
  <c r="AA60" i="115"/>
  <c r="Z60" i="115"/>
  <c r="Y60" i="115"/>
  <c r="AE59" i="115"/>
  <c r="AD59" i="115"/>
  <c r="AC59" i="115"/>
  <c r="AB59" i="115"/>
  <c r="AA59" i="115"/>
  <c r="Z59" i="115"/>
  <c r="Y59" i="115"/>
  <c r="AE58" i="115"/>
  <c r="AD58" i="115"/>
  <c r="AC58" i="115"/>
  <c r="AB58" i="115"/>
  <c r="AA58" i="115"/>
  <c r="Z58" i="115"/>
  <c r="Y58" i="115"/>
  <c r="AE57" i="115"/>
  <c r="AD57" i="115"/>
  <c r="AC57" i="115"/>
  <c r="AB57" i="115"/>
  <c r="AA57" i="115"/>
  <c r="Z57" i="115"/>
  <c r="Y57" i="115"/>
  <c r="AE56" i="115"/>
  <c r="AD56" i="115"/>
  <c r="AC56" i="115"/>
  <c r="AB56" i="115"/>
  <c r="AA56" i="115"/>
  <c r="Z56" i="115"/>
  <c r="Y56" i="115"/>
  <c r="AE55" i="115"/>
  <c r="AD55" i="115"/>
  <c r="AC55" i="115"/>
  <c r="AB55" i="115"/>
  <c r="AA55" i="115"/>
  <c r="Z55" i="115"/>
  <c r="Y55" i="115"/>
  <c r="AE54" i="115"/>
  <c r="AD54" i="115"/>
  <c r="AC54" i="115"/>
  <c r="AB54" i="115"/>
  <c r="AA54" i="115"/>
  <c r="Z54" i="115"/>
  <c r="Y54" i="115"/>
  <c r="AE53" i="115"/>
  <c r="AD53" i="115"/>
  <c r="AC53" i="115"/>
  <c r="AB53" i="115"/>
  <c r="AA53" i="115"/>
  <c r="Z53" i="115"/>
  <c r="Y53" i="115"/>
  <c r="AE52" i="115"/>
  <c r="AD52" i="115"/>
  <c r="AC52" i="115"/>
  <c r="AB52" i="115"/>
  <c r="AA52" i="115"/>
  <c r="Z52" i="115"/>
  <c r="Y52" i="115"/>
  <c r="AE51" i="115"/>
  <c r="AD51" i="115"/>
  <c r="AC51" i="115"/>
  <c r="AB51" i="115"/>
  <c r="AA51" i="115"/>
  <c r="Z51" i="115"/>
  <c r="Y51" i="115"/>
  <c r="AE50" i="115"/>
  <c r="AD50" i="115"/>
  <c r="AC50" i="115"/>
  <c r="AB50" i="115"/>
  <c r="AA50" i="115"/>
  <c r="Z50" i="115"/>
  <c r="Y50" i="115"/>
  <c r="AE70" i="114"/>
  <c r="AD70" i="114"/>
  <c r="AC70" i="114"/>
  <c r="AB70" i="114"/>
  <c r="AA70" i="114"/>
  <c r="Z70" i="114"/>
  <c r="Y70" i="114"/>
  <c r="AE69" i="114"/>
  <c r="AD69" i="114"/>
  <c r="AC69" i="114"/>
  <c r="AB69" i="114"/>
  <c r="AA69" i="114"/>
  <c r="Z69" i="114"/>
  <c r="Y69" i="114"/>
  <c r="AE66" i="114"/>
  <c r="AD66" i="114"/>
  <c r="AC66" i="114"/>
  <c r="AB66" i="114"/>
  <c r="AA66" i="114"/>
  <c r="Z66" i="114"/>
  <c r="Y66" i="114"/>
  <c r="AE65" i="114"/>
  <c r="AD65" i="114"/>
  <c r="AC65" i="114"/>
  <c r="AB65" i="114"/>
  <c r="AA65" i="114"/>
  <c r="Z65" i="114"/>
  <c r="Y65" i="114"/>
  <c r="AE64" i="114"/>
  <c r="AD64" i="114"/>
  <c r="AC64" i="114"/>
  <c r="AB64" i="114"/>
  <c r="AA64" i="114"/>
  <c r="Z64" i="114"/>
  <c r="Y64" i="114"/>
  <c r="AE63" i="114"/>
  <c r="AD63" i="114"/>
  <c r="AC63" i="114"/>
  <c r="AB63" i="114"/>
  <c r="AA63" i="114"/>
  <c r="Z63" i="114"/>
  <c r="Y63" i="114"/>
  <c r="AE62" i="114"/>
  <c r="AD62" i="114"/>
  <c r="AC62" i="114"/>
  <c r="AB62" i="114"/>
  <c r="AA62" i="114"/>
  <c r="Z62" i="114"/>
  <c r="Y62" i="114"/>
  <c r="AE61" i="114"/>
  <c r="AD61" i="114"/>
  <c r="AC61" i="114"/>
  <c r="AB61" i="114"/>
  <c r="AA61" i="114"/>
  <c r="Z61" i="114"/>
  <c r="Y61" i="114"/>
  <c r="AE60" i="114"/>
  <c r="AD60" i="114"/>
  <c r="AC60" i="114"/>
  <c r="AB60" i="114"/>
  <c r="AA60" i="114"/>
  <c r="Z60" i="114"/>
  <c r="Y60" i="114"/>
  <c r="AE59" i="114"/>
  <c r="AD59" i="114"/>
  <c r="AC59" i="114"/>
  <c r="AB59" i="114"/>
  <c r="AA59" i="114"/>
  <c r="Z59" i="114"/>
  <c r="Y59" i="114"/>
  <c r="AE58" i="114"/>
  <c r="AD58" i="114"/>
  <c r="AC58" i="114"/>
  <c r="AB58" i="114"/>
  <c r="AA58" i="114"/>
  <c r="Z58" i="114"/>
  <c r="Y58" i="114"/>
  <c r="AE57" i="114"/>
  <c r="AD57" i="114"/>
  <c r="AC57" i="114"/>
  <c r="AB57" i="114"/>
  <c r="AA57" i="114"/>
  <c r="Z57" i="114"/>
  <c r="Y57" i="114"/>
  <c r="AE56" i="114"/>
  <c r="AD56" i="114"/>
  <c r="AC56" i="114"/>
  <c r="AB56" i="114"/>
  <c r="AA56" i="114"/>
  <c r="Z56" i="114"/>
  <c r="Y56" i="114"/>
  <c r="AE55" i="114"/>
  <c r="AD55" i="114"/>
  <c r="AC55" i="114"/>
  <c r="AB55" i="114"/>
  <c r="AA55" i="114"/>
  <c r="Z55" i="114"/>
  <c r="Y55" i="114"/>
  <c r="AE54" i="114"/>
  <c r="AD54" i="114"/>
  <c r="AC54" i="114"/>
  <c r="AB54" i="114"/>
  <c r="AA54" i="114"/>
  <c r="Z54" i="114"/>
  <c r="Y54" i="114"/>
  <c r="AE53" i="114"/>
  <c r="AD53" i="114"/>
  <c r="AC53" i="114"/>
  <c r="AB53" i="114"/>
  <c r="AA53" i="114"/>
  <c r="Z53" i="114"/>
  <c r="Y53" i="114"/>
  <c r="AE52" i="114"/>
  <c r="AD52" i="114"/>
  <c r="AC52" i="114"/>
  <c r="AB52" i="114"/>
  <c r="AA52" i="114"/>
  <c r="Z52" i="114"/>
  <c r="Y52" i="114"/>
  <c r="AE51" i="114"/>
  <c r="AD51" i="114"/>
  <c r="AC51" i="114"/>
  <c r="AB51" i="114"/>
  <c r="AA51" i="114"/>
  <c r="Z51" i="114"/>
  <c r="Y51" i="114"/>
  <c r="AE50" i="114"/>
  <c r="AD50" i="114"/>
  <c r="AC50" i="114"/>
  <c r="AB50" i="114"/>
  <c r="AA50" i="114"/>
  <c r="Z50" i="114"/>
  <c r="Y50" i="114"/>
  <c r="AE70" i="113"/>
  <c r="AD70" i="113"/>
  <c r="AC70" i="113"/>
  <c r="AB70" i="113"/>
  <c r="AA70" i="113"/>
  <c r="Z70" i="113"/>
  <c r="Y70" i="113"/>
  <c r="AE69" i="113"/>
  <c r="AD69" i="113"/>
  <c r="AC69" i="113"/>
  <c r="AB69" i="113"/>
  <c r="AA69" i="113"/>
  <c r="Z69" i="113"/>
  <c r="Y69" i="113"/>
  <c r="AE66" i="113"/>
  <c r="AD66" i="113"/>
  <c r="AC66" i="113"/>
  <c r="AB66" i="113"/>
  <c r="AA66" i="113"/>
  <c r="Z66" i="113"/>
  <c r="Y66" i="113"/>
  <c r="AE65" i="113"/>
  <c r="AD65" i="113"/>
  <c r="AC65" i="113"/>
  <c r="AB65" i="113"/>
  <c r="AA65" i="113"/>
  <c r="Z65" i="113"/>
  <c r="Y65" i="113"/>
  <c r="AE64" i="113"/>
  <c r="AD64" i="113"/>
  <c r="AC64" i="113"/>
  <c r="AB64" i="113"/>
  <c r="AA64" i="113"/>
  <c r="Z64" i="113"/>
  <c r="Y64" i="113"/>
  <c r="AE63" i="113"/>
  <c r="AD63" i="113"/>
  <c r="AC63" i="113"/>
  <c r="AB63" i="113"/>
  <c r="AA63" i="113"/>
  <c r="Z63" i="113"/>
  <c r="Y63" i="113"/>
  <c r="AE62" i="113"/>
  <c r="AD62" i="113"/>
  <c r="AC62" i="113"/>
  <c r="AB62" i="113"/>
  <c r="AA62" i="113"/>
  <c r="Z62" i="113"/>
  <c r="Y62" i="113"/>
  <c r="AE61" i="113"/>
  <c r="AD61" i="113"/>
  <c r="AC61" i="113"/>
  <c r="AB61" i="113"/>
  <c r="AA61" i="113"/>
  <c r="Z61" i="113"/>
  <c r="Y61" i="113"/>
  <c r="AE60" i="113"/>
  <c r="AD60" i="113"/>
  <c r="AC60" i="113"/>
  <c r="AB60" i="113"/>
  <c r="AA60" i="113"/>
  <c r="Z60" i="113"/>
  <c r="Y60" i="113"/>
  <c r="AE59" i="113"/>
  <c r="AD59" i="113"/>
  <c r="AC59" i="113"/>
  <c r="AB59" i="113"/>
  <c r="AA59" i="113"/>
  <c r="Z59" i="113"/>
  <c r="Y59" i="113"/>
  <c r="AE58" i="113"/>
  <c r="AD58" i="113"/>
  <c r="AC58" i="113"/>
  <c r="AB58" i="113"/>
  <c r="AA58" i="113"/>
  <c r="Z58" i="113"/>
  <c r="Y58" i="113"/>
  <c r="AE57" i="113"/>
  <c r="AD57" i="113"/>
  <c r="AC57" i="113"/>
  <c r="AB57" i="113"/>
  <c r="AA57" i="113"/>
  <c r="Z57" i="113"/>
  <c r="Y57" i="113"/>
  <c r="AE56" i="113"/>
  <c r="AD56" i="113"/>
  <c r="AC56" i="113"/>
  <c r="AB56" i="113"/>
  <c r="AA56" i="113"/>
  <c r="Z56" i="113"/>
  <c r="Y56" i="113"/>
  <c r="AE55" i="113"/>
  <c r="AD55" i="113"/>
  <c r="AC55" i="113"/>
  <c r="AB55" i="113"/>
  <c r="AA55" i="113"/>
  <c r="Z55" i="113"/>
  <c r="Y55" i="113"/>
  <c r="AE54" i="113"/>
  <c r="AD54" i="113"/>
  <c r="AC54" i="113"/>
  <c r="AB54" i="113"/>
  <c r="AA54" i="113"/>
  <c r="Z54" i="113"/>
  <c r="Y54" i="113"/>
  <c r="AE53" i="113"/>
  <c r="AD53" i="113"/>
  <c r="AC53" i="113"/>
  <c r="AB53" i="113"/>
  <c r="AA53" i="113"/>
  <c r="Z53" i="113"/>
  <c r="Y53" i="113"/>
  <c r="AE52" i="113"/>
  <c r="AD52" i="113"/>
  <c r="AC52" i="113"/>
  <c r="AB52" i="113"/>
  <c r="AA52" i="113"/>
  <c r="Z52" i="113"/>
  <c r="Y52" i="113"/>
  <c r="AE51" i="113"/>
  <c r="AD51" i="113"/>
  <c r="AC51" i="113"/>
  <c r="AB51" i="113"/>
  <c r="AA51" i="113"/>
  <c r="Z51" i="113"/>
  <c r="Y51" i="113"/>
  <c r="AE50" i="113"/>
  <c r="AD50" i="113"/>
  <c r="AC50" i="113"/>
  <c r="AB50" i="113"/>
  <c r="AA50" i="113"/>
  <c r="Z50" i="113"/>
  <c r="Y50" i="113"/>
  <c r="AE70" i="112"/>
  <c r="AD70" i="112"/>
  <c r="AC70" i="112"/>
  <c r="AB70" i="112"/>
  <c r="AA70" i="112"/>
  <c r="Z70" i="112"/>
  <c r="Y70" i="112"/>
  <c r="AE69" i="112"/>
  <c r="AD69" i="112"/>
  <c r="AC69" i="112"/>
  <c r="AB69" i="112"/>
  <c r="AA69" i="112"/>
  <c r="Z69" i="112"/>
  <c r="Y69" i="112"/>
  <c r="AE66" i="112"/>
  <c r="AD66" i="112"/>
  <c r="AC66" i="112"/>
  <c r="AB66" i="112"/>
  <c r="AA66" i="112"/>
  <c r="Z66" i="112"/>
  <c r="Y66" i="112"/>
  <c r="AE65" i="112"/>
  <c r="AD65" i="112"/>
  <c r="AC65" i="112"/>
  <c r="AB65" i="112"/>
  <c r="AA65" i="112"/>
  <c r="Z65" i="112"/>
  <c r="Y65" i="112"/>
  <c r="AE64" i="112"/>
  <c r="AD64" i="112"/>
  <c r="AC64" i="112"/>
  <c r="AB64" i="112"/>
  <c r="AA64" i="112"/>
  <c r="Z64" i="112"/>
  <c r="Y64" i="112"/>
  <c r="AE63" i="112"/>
  <c r="AD63" i="112"/>
  <c r="AC63" i="112"/>
  <c r="AB63" i="112"/>
  <c r="AA63" i="112"/>
  <c r="Z63" i="112"/>
  <c r="Y63" i="112"/>
  <c r="AE62" i="112"/>
  <c r="AD62" i="112"/>
  <c r="AC62" i="112"/>
  <c r="AB62" i="112"/>
  <c r="AA62" i="112"/>
  <c r="Z62" i="112"/>
  <c r="Y62" i="112"/>
  <c r="AE61" i="112"/>
  <c r="AD61" i="112"/>
  <c r="AC61" i="112"/>
  <c r="AB61" i="112"/>
  <c r="AA61" i="112"/>
  <c r="Z61" i="112"/>
  <c r="Y61" i="112"/>
  <c r="AE60" i="112"/>
  <c r="AD60" i="112"/>
  <c r="AC60" i="112"/>
  <c r="AB60" i="112"/>
  <c r="AA60" i="112"/>
  <c r="Z60" i="112"/>
  <c r="Y60" i="112"/>
  <c r="AE59" i="112"/>
  <c r="AD59" i="112"/>
  <c r="AC59" i="112"/>
  <c r="AB59" i="112"/>
  <c r="AA59" i="112"/>
  <c r="Z59" i="112"/>
  <c r="Y59" i="112"/>
  <c r="AE58" i="112"/>
  <c r="AD58" i="112"/>
  <c r="AC58" i="112"/>
  <c r="AB58" i="112"/>
  <c r="AA58" i="112"/>
  <c r="Z58" i="112"/>
  <c r="Y58" i="112"/>
  <c r="AE57" i="112"/>
  <c r="AD57" i="112"/>
  <c r="AC57" i="112"/>
  <c r="AB57" i="112"/>
  <c r="AA57" i="112"/>
  <c r="Z57" i="112"/>
  <c r="Y57" i="112"/>
  <c r="AE56" i="112"/>
  <c r="AD56" i="112"/>
  <c r="AC56" i="112"/>
  <c r="AB56" i="112"/>
  <c r="AA56" i="112"/>
  <c r="Z56" i="112"/>
  <c r="Y56" i="112"/>
  <c r="AE55" i="112"/>
  <c r="AD55" i="112"/>
  <c r="AC55" i="112"/>
  <c r="AB55" i="112"/>
  <c r="AA55" i="112"/>
  <c r="Z55" i="112"/>
  <c r="Y55" i="112"/>
  <c r="AE54" i="112"/>
  <c r="AD54" i="112"/>
  <c r="AC54" i="112"/>
  <c r="AB54" i="112"/>
  <c r="AA54" i="112"/>
  <c r="Z54" i="112"/>
  <c r="Y54" i="112"/>
  <c r="AE53" i="112"/>
  <c r="AD53" i="112"/>
  <c r="AC53" i="112"/>
  <c r="AB53" i="112"/>
  <c r="AA53" i="112"/>
  <c r="Z53" i="112"/>
  <c r="Y53" i="112"/>
  <c r="AE52" i="112"/>
  <c r="AD52" i="112"/>
  <c r="AC52" i="112"/>
  <c r="AB52" i="112"/>
  <c r="AA52" i="112"/>
  <c r="Z52" i="112"/>
  <c r="Y52" i="112"/>
  <c r="AE51" i="112"/>
  <c r="AD51" i="112"/>
  <c r="AC51" i="112"/>
  <c r="AB51" i="112"/>
  <c r="AA51" i="112"/>
  <c r="Z51" i="112"/>
  <c r="Y51" i="112"/>
  <c r="AE50" i="112"/>
  <c r="AD50" i="112"/>
  <c r="AC50" i="112"/>
  <c r="AB50" i="112"/>
  <c r="AA50" i="112"/>
  <c r="Z50" i="112"/>
  <c r="Y50" i="112"/>
  <c r="AE70" i="111"/>
  <c r="AD70" i="111"/>
  <c r="AC70" i="111"/>
  <c r="AB70" i="111"/>
  <c r="AA70" i="111"/>
  <c r="Z70" i="111"/>
  <c r="Y70" i="111"/>
  <c r="AE69" i="111"/>
  <c r="AD69" i="111"/>
  <c r="AC69" i="111"/>
  <c r="AB69" i="111"/>
  <c r="AA69" i="111"/>
  <c r="Z69" i="111"/>
  <c r="Y69" i="111"/>
  <c r="AE66" i="111"/>
  <c r="AD66" i="111"/>
  <c r="AC66" i="111"/>
  <c r="AB66" i="111"/>
  <c r="AA66" i="111"/>
  <c r="Z66" i="111"/>
  <c r="Y66" i="111"/>
  <c r="AE65" i="111"/>
  <c r="AD65" i="111"/>
  <c r="AC65" i="111"/>
  <c r="AB65" i="111"/>
  <c r="AA65" i="111"/>
  <c r="Z65" i="111"/>
  <c r="Y65" i="111"/>
  <c r="AE64" i="111"/>
  <c r="AD64" i="111"/>
  <c r="AC64" i="111"/>
  <c r="AB64" i="111"/>
  <c r="AA64" i="111"/>
  <c r="Z64" i="111"/>
  <c r="Y64" i="111"/>
  <c r="AE63" i="111"/>
  <c r="AD63" i="111"/>
  <c r="AC63" i="111"/>
  <c r="AB63" i="111"/>
  <c r="AA63" i="111"/>
  <c r="Z63" i="111"/>
  <c r="Y63" i="111"/>
  <c r="AE62" i="111"/>
  <c r="AD62" i="111"/>
  <c r="AC62" i="111"/>
  <c r="AB62" i="111"/>
  <c r="AA62" i="111"/>
  <c r="Z62" i="111"/>
  <c r="Y62" i="111"/>
  <c r="AE61" i="111"/>
  <c r="AD61" i="111"/>
  <c r="AC61" i="111"/>
  <c r="AB61" i="111"/>
  <c r="AA61" i="111"/>
  <c r="Z61" i="111"/>
  <c r="Y61" i="111"/>
  <c r="AE60" i="111"/>
  <c r="AD60" i="111"/>
  <c r="AC60" i="111"/>
  <c r="AB60" i="111"/>
  <c r="AA60" i="111"/>
  <c r="Z60" i="111"/>
  <c r="Y60" i="111"/>
  <c r="AE59" i="111"/>
  <c r="AD59" i="111"/>
  <c r="AC59" i="111"/>
  <c r="AB59" i="111"/>
  <c r="AA59" i="111"/>
  <c r="Z59" i="111"/>
  <c r="Y59" i="111"/>
  <c r="AE58" i="111"/>
  <c r="AD58" i="111"/>
  <c r="AC58" i="111"/>
  <c r="AB58" i="111"/>
  <c r="AA58" i="111"/>
  <c r="Z58" i="111"/>
  <c r="Y58" i="111"/>
  <c r="AE57" i="111"/>
  <c r="AD57" i="111"/>
  <c r="AC57" i="111"/>
  <c r="AB57" i="111"/>
  <c r="AA57" i="111"/>
  <c r="Z57" i="111"/>
  <c r="Y57" i="111"/>
  <c r="AE56" i="111"/>
  <c r="AD56" i="111"/>
  <c r="AC56" i="111"/>
  <c r="AB56" i="111"/>
  <c r="AA56" i="111"/>
  <c r="Z56" i="111"/>
  <c r="Y56" i="111"/>
  <c r="AE55" i="111"/>
  <c r="AD55" i="111"/>
  <c r="AC55" i="111"/>
  <c r="AB55" i="111"/>
  <c r="AA55" i="111"/>
  <c r="Z55" i="111"/>
  <c r="Y55" i="111"/>
  <c r="AE54" i="111"/>
  <c r="AD54" i="111"/>
  <c r="AC54" i="111"/>
  <c r="AB54" i="111"/>
  <c r="AA54" i="111"/>
  <c r="Z54" i="111"/>
  <c r="Y54" i="111"/>
  <c r="AE53" i="111"/>
  <c r="AD53" i="111"/>
  <c r="AC53" i="111"/>
  <c r="AB53" i="111"/>
  <c r="AA53" i="111"/>
  <c r="Z53" i="111"/>
  <c r="Y53" i="111"/>
  <c r="AE52" i="111"/>
  <c r="AD52" i="111"/>
  <c r="AC52" i="111"/>
  <c r="AB52" i="111"/>
  <c r="AA52" i="111"/>
  <c r="Z52" i="111"/>
  <c r="Y52" i="111"/>
  <c r="AE51" i="111"/>
  <c r="AD51" i="111"/>
  <c r="AC51" i="111"/>
  <c r="AB51" i="111"/>
  <c r="AA51" i="111"/>
  <c r="Z51" i="111"/>
  <c r="Y51" i="111"/>
  <c r="AE50" i="111"/>
  <c r="AD50" i="111"/>
  <c r="AC50" i="111"/>
  <c r="AB50" i="111"/>
  <c r="AA50" i="111"/>
  <c r="Z50" i="111"/>
  <c r="Y50" i="111"/>
  <c r="D33" i="46"/>
  <c r="D29" i="76"/>
  <c r="H35" i="46"/>
  <c r="B30" i="76"/>
  <c r="B34" i="46"/>
  <c r="E34" i="46"/>
  <c r="G29" i="76"/>
  <c r="G40" i="46"/>
  <c r="H33" i="46"/>
  <c r="C30" i="76"/>
  <c r="B35" i="76"/>
  <c r="C41" i="46"/>
  <c r="C35" i="76"/>
  <c r="H41" i="46"/>
  <c r="B41" i="46"/>
  <c r="G34" i="46"/>
  <c r="AU84" i="135"/>
  <c r="D35" i="76"/>
  <c r="E29" i="76"/>
  <c r="C29" i="76"/>
  <c r="G53" i="46"/>
  <c r="H35" i="76"/>
  <c r="D35" i="46"/>
  <c r="E53" i="46"/>
  <c r="D53" i="46"/>
  <c r="G33" i="46"/>
  <c r="E35" i="46"/>
  <c r="G35" i="76"/>
  <c r="F33" i="46"/>
  <c r="C53" i="46"/>
  <c r="F40" i="46"/>
  <c r="C40" i="46"/>
  <c r="H30" i="76"/>
  <c r="B33" i="46"/>
  <c r="F29" i="76"/>
  <c r="F35" i="46"/>
  <c r="B53" i="46"/>
  <c r="G35" i="46"/>
  <c r="F35" i="76"/>
  <c r="B35" i="46"/>
  <c r="C33" i="46"/>
  <c r="H29" i="76"/>
  <c r="B40" i="46"/>
  <c r="F53" i="46"/>
  <c r="H53" i="46"/>
  <c r="E35" i="76"/>
  <c r="E40" i="46"/>
  <c r="I35" i="76"/>
  <c r="D34" i="46"/>
  <c r="D40" i="46"/>
  <c r="C34" i="46"/>
  <c r="H34" i="46"/>
  <c r="F34" i="46"/>
  <c r="H40" i="46"/>
  <c r="C35" i="46"/>
  <c r="E33" i="46"/>
  <c r="B29" i="76"/>
  <c r="I53" i="46"/>
  <c r="AC74" i="111" l="1"/>
  <c r="Z76" i="111"/>
  <c r="AE77" i="111"/>
  <c r="Y79" i="111"/>
  <c r="AA78" i="112"/>
  <c r="AE76" i="121"/>
  <c r="AB75" i="120"/>
  <c r="AA74" i="119"/>
  <c r="AA76" i="119"/>
  <c r="AE78" i="119"/>
  <c r="AE79" i="119"/>
  <c r="AD78" i="118"/>
  <c r="Y80" i="117"/>
  <c r="Y74" i="116"/>
  <c r="AC76" i="116"/>
  <c r="AA77" i="116"/>
  <c r="Y76" i="115"/>
  <c r="AD78" i="115"/>
  <c r="AD76" i="114"/>
  <c r="Z78" i="114"/>
  <c r="AD74" i="111"/>
  <c r="AA76" i="111"/>
  <c r="AD77" i="111"/>
  <c r="Z79" i="111"/>
  <c r="AB76" i="112"/>
  <c r="AB78" i="112"/>
  <c r="Y80" i="121"/>
  <c r="AC75" i="120"/>
  <c r="AC78" i="119"/>
  <c r="AD79" i="119"/>
  <c r="Z75" i="118"/>
  <c r="Y80" i="118"/>
  <c r="AD75" i="117"/>
  <c r="Y77" i="117"/>
  <c r="Z80" i="117"/>
  <c r="AD76" i="116"/>
  <c r="AB80" i="116"/>
  <c r="AB74" i="115"/>
  <c r="AB75" i="115"/>
  <c r="AC76" i="115"/>
  <c r="AC78" i="113"/>
  <c r="AE74" i="111"/>
  <c r="AC78" i="112"/>
  <c r="Y77" i="121"/>
  <c r="Z80" i="121"/>
  <c r="AD75" i="120"/>
  <c r="AC78" i="120"/>
  <c r="AA75" i="118"/>
  <c r="Y76" i="117"/>
  <c r="Y79" i="117"/>
  <c r="AA80" i="117"/>
  <c r="AA74" i="116"/>
  <c r="AC77" i="116"/>
  <c r="AB79" i="114"/>
  <c r="AD78" i="113"/>
  <c r="AB74" i="111"/>
  <c r="Y76" i="111"/>
  <c r="AD79" i="112"/>
  <c r="Z77" i="121"/>
  <c r="AB79" i="121"/>
  <c r="AA80" i="121"/>
  <c r="AA74" i="120"/>
  <c r="AE75" i="120"/>
  <c r="AD75" i="119"/>
  <c r="AD76" i="119"/>
  <c r="Y80" i="119"/>
  <c r="AB75" i="118"/>
  <c r="AC77" i="118"/>
  <c r="Z79" i="117"/>
  <c r="AB80" i="117"/>
  <c r="AB74" i="116"/>
  <c r="AD77" i="116"/>
  <c r="AD80" i="116"/>
  <c r="AD74" i="115"/>
  <c r="AA80" i="114"/>
  <c r="AC74" i="113"/>
  <c r="AE78" i="113"/>
  <c r="AD76" i="111"/>
  <c r="AE79" i="112"/>
  <c r="AC79" i="121"/>
  <c r="AC76" i="120"/>
  <c r="Y74" i="118"/>
  <c r="AC75" i="118"/>
  <c r="AC78" i="117"/>
  <c r="AC74" i="116"/>
  <c r="Z76" i="115"/>
  <c r="Y77" i="115"/>
  <c r="Y75" i="114"/>
  <c r="AA78" i="113"/>
  <c r="Z75" i="111"/>
  <c r="Y78" i="112"/>
  <c r="AB77" i="121"/>
  <c r="AD79" i="121"/>
  <c r="AC80" i="121"/>
  <c r="AC74" i="120"/>
  <c r="Z79" i="120"/>
  <c r="AA80" i="119"/>
  <c r="Z74" i="118"/>
  <c r="AB76" i="117"/>
  <c r="AD78" i="117"/>
  <c r="AD74" i="116"/>
  <c r="AB75" i="116"/>
  <c r="AE74" i="115"/>
  <c r="AA76" i="115"/>
  <c r="AA75" i="111"/>
  <c r="AD76" i="112"/>
  <c r="AD80" i="112"/>
  <c r="AC77" i="121"/>
  <c r="AD80" i="121"/>
  <c r="Y76" i="120"/>
  <c r="AA79" i="120"/>
  <c r="Y78" i="119"/>
  <c r="AB80" i="119"/>
  <c r="AA74" i="118"/>
  <c r="AD76" i="118"/>
  <c r="AD77" i="118"/>
  <c r="AC76" i="117"/>
  <c r="AC79" i="117"/>
  <c r="AC75" i="116"/>
  <c r="AB76" i="115"/>
  <c r="AE78" i="114"/>
  <c r="AE79" i="114"/>
  <c r="AA75" i="113"/>
  <c r="AB78" i="113"/>
  <c r="AB75" i="111"/>
  <c r="AB79" i="120"/>
  <c r="AC80" i="119"/>
  <c r="AA76" i="116"/>
  <c r="AB75" i="113"/>
  <c r="AC75" i="111"/>
  <c r="AD78" i="112"/>
  <c r="AB80" i="121"/>
  <c r="AD80" i="119"/>
  <c r="AC74" i="118"/>
  <c r="AE77" i="117"/>
  <c r="AE79" i="117"/>
  <c r="AB76" i="116"/>
  <c r="AB78" i="115"/>
  <c r="AB74" i="114"/>
  <c r="AC75" i="113"/>
  <c r="AE76" i="113"/>
  <c r="AE77" i="113"/>
  <c r="Z79" i="113"/>
  <c r="Z78" i="111"/>
  <c r="AC80" i="111"/>
  <c r="AC77" i="112"/>
  <c r="Y75" i="120"/>
  <c r="AD74" i="118"/>
  <c r="AA79" i="117"/>
  <c r="Y75" i="116"/>
  <c r="AD77" i="115"/>
  <c r="Y79" i="115"/>
  <c r="AD75" i="114"/>
  <c r="Z77" i="114"/>
  <c r="Z74" i="113"/>
  <c r="AD75" i="113"/>
  <c r="Y78" i="113"/>
  <c r="AA79" i="113"/>
  <c r="BH81" i="135"/>
  <c r="AN81" i="135"/>
  <c r="AM81" i="135"/>
  <c r="AD84" i="135"/>
  <c r="BJ84" i="135"/>
  <c r="BA81" i="135"/>
  <c r="BN81" i="135"/>
  <c r="AY86" i="135"/>
  <c r="AQ84" i="135"/>
  <c r="BB84" i="135"/>
  <c r="BO84" i="135"/>
  <c r="AA83" i="135"/>
  <c r="AB81" i="135"/>
  <c r="AY83" i="135"/>
  <c r="BL81" i="135"/>
  <c r="BC84" i="135"/>
  <c r="BM84" i="135"/>
  <c r="AL84" i="135"/>
  <c r="Z81" i="135"/>
  <c r="BN84" i="135"/>
  <c r="AZ81" i="135"/>
  <c r="BM81" i="135"/>
  <c r="BA84" i="135"/>
  <c r="BD84" i="135"/>
  <c r="BB81" i="135"/>
  <c r="Z84" i="135"/>
  <c r="BE84" i="135"/>
  <c r="AW81" i="135"/>
  <c r="AY82" i="135"/>
  <c r="BO81" i="135"/>
  <c r="AZ84" i="135"/>
  <c r="BG84" i="135"/>
  <c r="BG81" i="135"/>
  <c r="BC81" i="135"/>
  <c r="AX84" i="135"/>
  <c r="BH84" i="135"/>
  <c r="BI81" i="135"/>
  <c r="BJ81" i="135"/>
  <c r="AI84" i="135"/>
  <c r="AI81" i="135"/>
  <c r="BK84" i="135"/>
  <c r="BI84" i="135"/>
  <c r="AX81" i="135"/>
  <c r="BD81" i="135"/>
  <c r="BL84" i="135"/>
  <c r="AY85" i="135"/>
  <c r="AW84" i="135"/>
  <c r="BK81" i="135"/>
  <c r="BE81" i="135"/>
  <c r="AM84" i="135"/>
  <c r="AN84" i="135"/>
  <c r="AE84" i="135"/>
  <c r="AO81" i="135"/>
  <c r="AC81" i="135"/>
  <c r="AF84" i="135"/>
  <c r="AP81" i="135"/>
  <c r="AG84" i="135"/>
  <c r="AK81" i="135"/>
  <c r="AD81" i="135"/>
  <c r="AB84" i="135"/>
  <c r="AQ81" i="135"/>
  <c r="AA86" i="135"/>
  <c r="AO84" i="135"/>
  <c r="AJ84" i="135"/>
  <c r="AJ81" i="135"/>
  <c r="AE81" i="135"/>
  <c r="AC84" i="135"/>
  <c r="AK84" i="135"/>
  <c r="Y81" i="135"/>
  <c r="AA82" i="135"/>
  <c r="AF81" i="135"/>
  <c r="AP84" i="135"/>
  <c r="Y84" i="135"/>
  <c r="AA85" i="135"/>
  <c r="AL81" i="135"/>
  <c r="AG81" i="135"/>
  <c r="Y76" i="121"/>
  <c r="Y74" i="120"/>
  <c r="Y77" i="118"/>
  <c r="Z80" i="118"/>
  <c r="Y75" i="117"/>
  <c r="Z74" i="115"/>
  <c r="Y79" i="114"/>
  <c r="Z77" i="113"/>
  <c r="Y79" i="119"/>
  <c r="AC76" i="118"/>
  <c r="Z77" i="118"/>
  <c r="AD79" i="118"/>
  <c r="AA80" i="118"/>
  <c r="Z75" i="117"/>
  <c r="Y80" i="116"/>
  <c r="AA74" i="115"/>
  <c r="Y78" i="115"/>
  <c r="Y76" i="114"/>
  <c r="AD78" i="114"/>
  <c r="Z79" i="114"/>
  <c r="Y74" i="113"/>
  <c r="AD76" i="113"/>
  <c r="AA77" i="113"/>
  <c r="Y77" i="112"/>
  <c r="Z80" i="112"/>
  <c r="Z76" i="121"/>
  <c r="Z74" i="120"/>
  <c r="Z78" i="115"/>
  <c r="Z76" i="114"/>
  <c r="AA79" i="114"/>
  <c r="AB75" i="117"/>
  <c r="AA80" i="116"/>
  <c r="AC74" i="115"/>
  <c r="AA74" i="113"/>
  <c r="AC77" i="113"/>
  <c r="Y74" i="115"/>
  <c r="Y80" i="112"/>
  <c r="AB76" i="114"/>
  <c r="Y77" i="114"/>
  <c r="AC79" i="114"/>
  <c r="Z80" i="114"/>
  <c r="AB74" i="113"/>
  <c r="Y75" i="113"/>
  <c r="AD77" i="113"/>
  <c r="Z78" i="113"/>
  <c r="Y77" i="113"/>
  <c r="AD76" i="121"/>
  <c r="AB78" i="120"/>
  <c r="AB76" i="119"/>
  <c r="AC79" i="119"/>
  <c r="AE80" i="118"/>
  <c r="Z76" i="117"/>
  <c r="AC78" i="115"/>
  <c r="AC76" i="114"/>
  <c r="AD79" i="114"/>
  <c r="AC76" i="119"/>
  <c r="Z77" i="111"/>
  <c r="AA80" i="111"/>
  <c r="Y74" i="111"/>
  <c r="AA77" i="111"/>
  <c r="AB80" i="111"/>
  <c r="Y77" i="111"/>
  <c r="Z74" i="111"/>
  <c r="AB77" i="111"/>
  <c r="AC78" i="111"/>
  <c r="D30" i="76"/>
  <c r="D41" i="46"/>
  <c r="G41" i="46"/>
  <c r="E41" i="46"/>
  <c r="E30" i="76"/>
  <c r="F30" i="76"/>
  <c r="G30" i="76"/>
  <c r="F41" i="46"/>
  <c r="E17" i="156" l="1"/>
  <c r="E11" i="156"/>
  <c r="E23" i="156"/>
  <c r="E21" i="156"/>
  <c r="E18" i="156"/>
  <c r="E14" i="156"/>
  <c r="E13" i="156"/>
  <c r="E10" i="156"/>
  <c r="E14" i="155"/>
  <c r="E16" i="156"/>
  <c r="E15" i="155"/>
  <c r="E9" i="155"/>
  <c r="E19" i="156"/>
  <c r="E12" i="156"/>
  <c r="E9" i="156"/>
  <c r="E15" i="156"/>
  <c r="E23" i="155"/>
  <c r="E21" i="155"/>
  <c r="E18" i="155"/>
  <c r="E12" i="155"/>
  <c r="E17" i="155"/>
  <c r="E16" i="155"/>
  <c r="E10" i="155"/>
  <c r="E13" i="155"/>
  <c r="E19" i="155"/>
  <c r="E11" i="155"/>
  <c r="F15" i="156"/>
  <c r="F16" i="156"/>
  <c r="F17" i="156"/>
  <c r="F11" i="156"/>
  <c r="F23" i="156"/>
  <c r="F21" i="156"/>
  <c r="F18" i="156"/>
  <c r="F12" i="156"/>
  <c r="F19" i="156"/>
  <c r="F13" i="156"/>
  <c r="F10" i="156"/>
  <c r="F19" i="155"/>
  <c r="F14" i="155"/>
  <c r="F14" i="156"/>
  <c r="F15" i="155"/>
  <c r="F9" i="155"/>
  <c r="F16" i="155"/>
  <c r="F9" i="156"/>
  <c r="F18" i="155"/>
  <c r="F12" i="155"/>
  <c r="F10" i="155"/>
  <c r="F23" i="155"/>
  <c r="F13" i="155"/>
  <c r="F11" i="155"/>
  <c r="F17" i="155"/>
  <c r="F21" i="155"/>
  <c r="E15" i="154"/>
  <c r="E16" i="154"/>
  <c r="E10" i="154"/>
  <c r="E17" i="154"/>
  <c r="E11" i="154"/>
  <c r="E23" i="154"/>
  <c r="E21" i="154"/>
  <c r="E18" i="154"/>
  <c r="E19" i="154"/>
  <c r="E13" i="154"/>
  <c r="E14" i="154"/>
  <c r="E15" i="153"/>
  <c r="E9" i="153"/>
  <c r="E16" i="153"/>
  <c r="E10" i="153"/>
  <c r="E12" i="154"/>
  <c r="E9" i="154"/>
  <c r="E19" i="153"/>
  <c r="E13" i="153"/>
  <c r="E23" i="153"/>
  <c r="E18" i="153"/>
  <c r="E17" i="153"/>
  <c r="E14" i="153"/>
  <c r="E11" i="153"/>
  <c r="E12" i="153"/>
  <c r="E21" i="153"/>
  <c r="F15" i="154"/>
  <c r="F16" i="154"/>
  <c r="F17" i="154"/>
  <c r="F11" i="154"/>
  <c r="F23" i="154"/>
  <c r="F21" i="154"/>
  <c r="F18" i="154"/>
  <c r="F19" i="154"/>
  <c r="F13" i="154"/>
  <c r="F14" i="154"/>
  <c r="F15" i="153"/>
  <c r="F9" i="153"/>
  <c r="F16" i="153"/>
  <c r="F17" i="153"/>
  <c r="F12" i="154"/>
  <c r="F9" i="154"/>
  <c r="F10" i="154"/>
  <c r="F19" i="153"/>
  <c r="F13" i="153"/>
  <c r="F14" i="153"/>
  <c r="F23" i="153"/>
  <c r="F18" i="153"/>
  <c r="F10" i="153"/>
  <c r="F11" i="153"/>
  <c r="F12" i="153"/>
  <c r="F21" i="153"/>
  <c r="E9" i="152"/>
  <c r="E15" i="152"/>
  <c r="E16" i="152"/>
  <c r="E10" i="152"/>
  <c r="E17" i="152"/>
  <c r="E11" i="152"/>
  <c r="E23" i="152"/>
  <c r="E21" i="152"/>
  <c r="E18" i="152"/>
  <c r="E12" i="152"/>
  <c r="E19" i="152"/>
  <c r="E13" i="152"/>
  <c r="E14" i="152"/>
  <c r="F15" i="152"/>
  <c r="F9" i="152"/>
  <c r="F16" i="152"/>
  <c r="F17" i="152"/>
  <c r="F11" i="152"/>
  <c r="F23" i="152"/>
  <c r="F21" i="152"/>
  <c r="F18" i="152"/>
  <c r="F12" i="152"/>
  <c r="F13" i="152"/>
  <c r="F19" i="152"/>
  <c r="F10" i="152"/>
  <c r="F14" i="152"/>
  <c r="E19" i="151"/>
  <c r="E13" i="151"/>
  <c r="E12" i="151"/>
  <c r="E14" i="151"/>
  <c r="E15" i="151"/>
  <c r="E9" i="151"/>
  <c r="E21" i="151"/>
  <c r="E16" i="151"/>
  <c r="E10" i="151"/>
  <c r="E23" i="151"/>
  <c r="E17" i="151"/>
  <c r="E11" i="151"/>
  <c r="E18" i="151"/>
  <c r="F9" i="151"/>
  <c r="F14" i="151"/>
  <c r="F15" i="151"/>
  <c r="F16" i="151"/>
  <c r="F10" i="151"/>
  <c r="F19" i="151"/>
  <c r="F13" i="151"/>
  <c r="F17" i="151"/>
  <c r="F11" i="151"/>
  <c r="F23" i="151"/>
  <c r="F21" i="151"/>
  <c r="F18" i="151"/>
  <c r="F12" i="151"/>
  <c r="E14" i="103"/>
  <c r="E23" i="103"/>
  <c r="E15" i="103"/>
  <c r="E9" i="103"/>
  <c r="E21" i="103"/>
  <c r="E16" i="103"/>
  <c r="E19" i="103"/>
  <c r="E13" i="103"/>
  <c r="E10" i="103"/>
  <c r="E11" i="103"/>
  <c r="E18" i="103"/>
  <c r="E12" i="103"/>
  <c r="E17" i="103"/>
  <c r="F23" i="103"/>
  <c r="F15" i="103"/>
  <c r="F9" i="103"/>
  <c r="F14" i="103"/>
  <c r="F21" i="103"/>
  <c r="F19" i="103"/>
  <c r="F13" i="103"/>
  <c r="F18" i="103"/>
  <c r="F12" i="103"/>
  <c r="F11" i="103"/>
  <c r="F17" i="103"/>
  <c r="F16" i="103"/>
  <c r="F10" i="103"/>
  <c r="E21" i="144"/>
  <c r="E23" i="144"/>
  <c r="E15" i="144"/>
  <c r="E9" i="144"/>
  <c r="E19" i="144"/>
  <c r="E36" i="144" s="1"/>
  <c r="E13" i="144"/>
  <c r="E18" i="144"/>
  <c r="E12" i="144"/>
  <c r="E17" i="144"/>
  <c r="E11" i="144"/>
  <c r="E14" i="144"/>
  <c r="E16" i="144"/>
  <c r="E10" i="144"/>
  <c r="F18" i="146"/>
  <c r="F12" i="146"/>
  <c r="F11" i="146"/>
  <c r="F10" i="146"/>
  <c r="F23" i="146"/>
  <c r="F15" i="146"/>
  <c r="F9" i="146"/>
  <c r="F17" i="146"/>
  <c r="F16" i="146"/>
  <c r="F21" i="146"/>
  <c r="F14" i="146"/>
  <c r="F19" i="146"/>
  <c r="F36" i="146" s="1"/>
  <c r="F13" i="146"/>
  <c r="F17" i="145"/>
  <c r="F11" i="145"/>
  <c r="F21" i="145"/>
  <c r="F14" i="145"/>
  <c r="F9" i="145"/>
  <c r="F19" i="145"/>
  <c r="F36" i="145" s="1"/>
  <c r="F13" i="145"/>
  <c r="F10" i="145"/>
  <c r="F23" i="145"/>
  <c r="F18" i="145"/>
  <c r="F12" i="145"/>
  <c r="F16" i="145"/>
  <c r="F15" i="145"/>
  <c r="E16" i="84"/>
  <c r="E10" i="84"/>
  <c r="E21" i="84"/>
  <c r="E14" i="84"/>
  <c r="E23" i="84"/>
  <c r="E19" i="84"/>
  <c r="E13" i="84"/>
  <c r="E9" i="84"/>
  <c r="E18" i="84"/>
  <c r="E12" i="84"/>
  <c r="E17" i="84"/>
  <c r="E11" i="84"/>
  <c r="E15" i="84"/>
  <c r="E16" i="75"/>
  <c r="E10" i="75"/>
  <c r="E23" i="75"/>
  <c r="E21" i="75"/>
  <c r="E14" i="75"/>
  <c r="E19" i="75"/>
  <c r="E13" i="75"/>
  <c r="E15" i="75"/>
  <c r="E18" i="75"/>
  <c r="E12" i="75"/>
  <c r="E17" i="75"/>
  <c r="E11" i="75"/>
  <c r="E9" i="75"/>
  <c r="E10" i="145"/>
  <c r="E17" i="145"/>
  <c r="E11" i="145"/>
  <c r="E23" i="145"/>
  <c r="E15" i="145"/>
  <c r="E9" i="145"/>
  <c r="E21" i="145"/>
  <c r="E14" i="145"/>
  <c r="E16" i="145"/>
  <c r="E19" i="145"/>
  <c r="E36" i="145" s="1"/>
  <c r="E13" i="145"/>
  <c r="E18" i="145"/>
  <c r="E12" i="145"/>
  <c r="F19" i="85"/>
  <c r="F13" i="85"/>
  <c r="F21" i="147"/>
  <c r="F14" i="147"/>
  <c r="F23" i="148"/>
  <c r="F15" i="148"/>
  <c r="F9" i="148"/>
  <c r="F13" i="147"/>
  <c r="F11" i="85"/>
  <c r="F18" i="85"/>
  <c r="F16" i="85"/>
  <c r="F10" i="85"/>
  <c r="F17" i="147"/>
  <c r="F11" i="147"/>
  <c r="F18" i="148"/>
  <c r="F12" i="148"/>
  <c r="F21" i="148"/>
  <c r="F18" i="147"/>
  <c r="F14" i="148"/>
  <c r="F23" i="85"/>
  <c r="F15" i="85"/>
  <c r="F9" i="85"/>
  <c r="F16" i="147"/>
  <c r="F10" i="147"/>
  <c r="F17" i="148"/>
  <c r="F11" i="148"/>
  <c r="F17" i="85"/>
  <c r="F16" i="148"/>
  <c r="F10" i="148"/>
  <c r="F19" i="147"/>
  <c r="F36" i="147" s="1"/>
  <c r="F13" i="148"/>
  <c r="F21" i="85"/>
  <c r="F14" i="85"/>
  <c r="F23" i="147"/>
  <c r="F15" i="147"/>
  <c r="F9" i="147"/>
  <c r="F19" i="148"/>
  <c r="F36" i="148" s="1"/>
  <c r="F12" i="85"/>
  <c r="F12" i="147"/>
  <c r="F16" i="84"/>
  <c r="F10" i="84"/>
  <c r="F14" i="84"/>
  <c r="F19" i="84"/>
  <c r="F13" i="84"/>
  <c r="F15" i="84"/>
  <c r="F18" i="84"/>
  <c r="F12" i="84"/>
  <c r="F9" i="84"/>
  <c r="F17" i="84"/>
  <c r="F11" i="84"/>
  <c r="F21" i="84"/>
  <c r="F23" i="84"/>
  <c r="E11" i="143"/>
  <c r="E10" i="143"/>
  <c r="E23" i="143"/>
  <c r="E15" i="143"/>
  <c r="E9" i="143"/>
  <c r="E14" i="143"/>
  <c r="E21" i="143"/>
  <c r="E19" i="143"/>
  <c r="E36" i="143" s="1"/>
  <c r="E13" i="143"/>
  <c r="E16" i="143"/>
  <c r="E18" i="143"/>
  <c r="E12" i="143"/>
  <c r="E17" i="143"/>
  <c r="F17" i="143"/>
  <c r="F11" i="143"/>
  <c r="F10" i="143"/>
  <c r="F15" i="143"/>
  <c r="F21" i="143"/>
  <c r="F14" i="143"/>
  <c r="F12" i="143"/>
  <c r="F16" i="143"/>
  <c r="F23" i="143"/>
  <c r="F19" i="143"/>
  <c r="F36" i="143" s="1"/>
  <c r="F13" i="143"/>
  <c r="F18" i="143"/>
  <c r="F9" i="143"/>
  <c r="E21" i="148"/>
  <c r="E19" i="85"/>
  <c r="E13" i="85"/>
  <c r="E21" i="147"/>
  <c r="E14" i="147"/>
  <c r="E23" i="148"/>
  <c r="E15" i="148"/>
  <c r="E17" i="85"/>
  <c r="E11" i="85"/>
  <c r="E18" i="147"/>
  <c r="E12" i="147"/>
  <c r="E19" i="148"/>
  <c r="E36" i="148" s="1"/>
  <c r="E13" i="148"/>
  <c r="E18" i="148"/>
  <c r="E14" i="148"/>
  <c r="E16" i="85"/>
  <c r="E10" i="85"/>
  <c r="E17" i="147"/>
  <c r="E11" i="147"/>
  <c r="E12" i="148"/>
  <c r="E13" i="147"/>
  <c r="E23" i="85"/>
  <c r="E15" i="85"/>
  <c r="E9" i="85"/>
  <c r="E16" i="147"/>
  <c r="E10" i="147"/>
  <c r="E17" i="148"/>
  <c r="E11" i="148"/>
  <c r="E12" i="85"/>
  <c r="E18" i="85"/>
  <c r="E21" i="85"/>
  <c r="E14" i="85"/>
  <c r="E23" i="147"/>
  <c r="E15" i="147"/>
  <c r="E9" i="147"/>
  <c r="E16" i="148"/>
  <c r="E10" i="148"/>
  <c r="E9" i="148"/>
  <c r="E19" i="147"/>
  <c r="E36" i="147" s="1"/>
  <c r="F16" i="75"/>
  <c r="F10" i="75"/>
  <c r="F14" i="75"/>
  <c r="F19" i="75"/>
  <c r="F13" i="75"/>
  <c r="F21" i="75"/>
  <c r="F18" i="75"/>
  <c r="F12" i="75"/>
  <c r="F23" i="75"/>
  <c r="F11" i="75"/>
  <c r="F17" i="75"/>
  <c r="F9" i="75"/>
  <c r="F15" i="75"/>
  <c r="E18" i="146"/>
  <c r="E12" i="146"/>
  <c r="E17" i="146"/>
  <c r="E16" i="146"/>
  <c r="E10" i="146"/>
  <c r="E11" i="146"/>
  <c r="E23" i="146"/>
  <c r="E15" i="146"/>
  <c r="E9" i="146"/>
  <c r="E21" i="146"/>
  <c r="E14" i="146"/>
  <c r="E19" i="146"/>
  <c r="E36" i="146" s="1"/>
  <c r="E13" i="146"/>
  <c r="F23" i="144"/>
  <c r="F15" i="144"/>
  <c r="F9" i="144"/>
  <c r="F14" i="144"/>
  <c r="F21" i="144"/>
  <c r="F18" i="144"/>
  <c r="F12" i="144"/>
  <c r="F19" i="144"/>
  <c r="F36" i="144" s="1"/>
  <c r="F17" i="144"/>
  <c r="F11" i="144"/>
  <c r="F13" i="144"/>
  <c r="F16" i="144"/>
  <c r="F10" i="144"/>
  <c r="E23" i="83"/>
  <c r="E15" i="83"/>
  <c r="E9" i="83"/>
  <c r="E21" i="83"/>
  <c r="E14" i="83"/>
  <c r="E19" i="83"/>
  <c r="E13" i="83"/>
  <c r="E16" i="83"/>
  <c r="E18" i="83"/>
  <c r="E12" i="83"/>
  <c r="E17" i="83"/>
  <c r="E11" i="83"/>
  <c r="E10" i="83"/>
  <c r="F23" i="83"/>
  <c r="F15" i="83"/>
  <c r="F9" i="83"/>
  <c r="F21" i="83"/>
  <c r="F14" i="83"/>
  <c r="F11" i="83"/>
  <c r="F10" i="83"/>
  <c r="F19" i="83"/>
  <c r="F13" i="83"/>
  <c r="F17" i="83"/>
  <c r="F16" i="83"/>
  <c r="F18" i="83"/>
  <c r="F12" i="83"/>
  <c r="F21" i="149"/>
  <c r="F23" i="149"/>
  <c r="F9" i="149"/>
  <c r="F19" i="149"/>
  <c r="F36" i="149" s="1"/>
  <c r="F18" i="149"/>
  <c r="F17" i="149"/>
  <c r="F16" i="149"/>
  <c r="F15" i="149"/>
  <c r="F14" i="149"/>
  <c r="F13" i="149"/>
  <c r="F12" i="149"/>
  <c r="F11" i="149"/>
  <c r="F10" i="149"/>
  <c r="E21" i="149"/>
  <c r="E23" i="149"/>
  <c r="E9" i="149"/>
  <c r="E19" i="149"/>
  <c r="E36" i="149" s="1"/>
  <c r="E18" i="149"/>
  <c r="E17" i="149"/>
  <c r="E10" i="149"/>
  <c r="E16" i="149"/>
  <c r="E15" i="149"/>
  <c r="E14" i="149"/>
  <c r="E13" i="149"/>
  <c r="E12" i="149"/>
  <c r="E11" i="149"/>
  <c r="AA84" i="135"/>
  <c r="AY84" i="135"/>
  <c r="AA81" i="135"/>
  <c r="AY81" i="135"/>
  <c r="E28" i="155" l="1"/>
  <c r="E34" i="155"/>
  <c r="F28" i="156"/>
  <c r="F34" i="156"/>
  <c r="F36" i="156"/>
  <c r="F28" i="155"/>
  <c r="F34" i="155"/>
  <c r="E28" i="156"/>
  <c r="E34" i="156"/>
  <c r="F36" i="155"/>
  <c r="E36" i="155"/>
  <c r="E36" i="156"/>
  <c r="F36" i="154"/>
  <c r="F36" i="153"/>
  <c r="F34" i="154"/>
  <c r="F28" i="154"/>
  <c r="E36" i="153"/>
  <c r="E36" i="154"/>
  <c r="E34" i="154"/>
  <c r="E28" i="154"/>
  <c r="F28" i="153"/>
  <c r="F34" i="153"/>
  <c r="E28" i="153"/>
  <c r="E34" i="153"/>
  <c r="F36" i="152"/>
  <c r="E36" i="152"/>
  <c r="F28" i="152"/>
  <c r="F34" i="152"/>
  <c r="E28" i="152"/>
  <c r="E34" i="152"/>
  <c r="F36" i="151"/>
  <c r="E34" i="151"/>
  <c r="E28" i="151"/>
  <c r="F34" i="151"/>
  <c r="F28" i="151"/>
  <c r="E36" i="151"/>
  <c r="F34" i="145"/>
  <c r="E34" i="143"/>
  <c r="F34" i="143"/>
  <c r="E28" i="143"/>
  <c r="E27" i="143" s="1"/>
  <c r="F28" i="143"/>
  <c r="F29" i="143" s="1"/>
  <c r="E34" i="147"/>
  <c r="E34" i="146"/>
  <c r="F34" i="148"/>
  <c r="F34" i="144"/>
  <c r="F28" i="148"/>
  <c r="F27" i="148" s="1"/>
  <c r="F34" i="147"/>
  <c r="F28" i="144"/>
  <c r="F29" i="144" s="1"/>
  <c r="F34" i="149"/>
  <c r="F28" i="146"/>
  <c r="F29" i="146" s="1"/>
  <c r="E28" i="144"/>
  <c r="E29" i="144" s="1"/>
  <c r="E34" i="144"/>
  <c r="E28" i="148"/>
  <c r="E27" i="148" s="1"/>
  <c r="E28" i="146"/>
  <c r="E27" i="146" s="1"/>
  <c r="E34" i="149"/>
  <c r="E28" i="145"/>
  <c r="E27" i="145" s="1"/>
  <c r="E34" i="148"/>
  <c r="E34" i="145"/>
  <c r="F34" i="146"/>
  <c r="F28" i="145"/>
  <c r="F29" i="145" s="1"/>
  <c r="F28" i="147"/>
  <c r="F29" i="147" s="1"/>
  <c r="F28" i="149"/>
  <c r="F29" i="149" s="1"/>
  <c r="E28" i="147"/>
  <c r="E29" i="147" s="1"/>
  <c r="E28" i="149"/>
  <c r="E29" i="149" s="1"/>
  <c r="B78" i="68"/>
  <c r="F29" i="155" l="1"/>
  <c r="F27" i="155"/>
  <c r="F29" i="156"/>
  <c r="F27" i="156"/>
  <c r="E29" i="155"/>
  <c r="E27" i="155"/>
  <c r="E29" i="156"/>
  <c r="E27" i="156"/>
  <c r="F29" i="153"/>
  <c r="F27" i="153"/>
  <c r="F29" i="154"/>
  <c r="F27" i="154"/>
  <c r="E29" i="153"/>
  <c r="E27" i="153"/>
  <c r="E29" i="154"/>
  <c r="E27" i="154"/>
  <c r="F29" i="152"/>
  <c r="F27" i="152"/>
  <c r="E29" i="152"/>
  <c r="E27" i="152"/>
  <c r="E29" i="151"/>
  <c r="E27" i="151"/>
  <c r="F29" i="151"/>
  <c r="F27" i="151"/>
  <c r="E29" i="143"/>
  <c r="F27" i="143"/>
  <c r="F29" i="148"/>
  <c r="F27" i="146"/>
  <c r="F27" i="144"/>
  <c r="E29" i="148"/>
  <c r="E27" i="144"/>
  <c r="E29" i="146"/>
  <c r="E29" i="145"/>
  <c r="F27" i="145"/>
  <c r="F27" i="149"/>
  <c r="F27" i="147"/>
  <c r="E27" i="147"/>
  <c r="E27" i="149"/>
  <c r="AK50" i="68"/>
  <c r="AM50" i="68" s="1"/>
  <c r="AJ50" i="68"/>
  <c r="AI50" i="68"/>
  <c r="AH50" i="68"/>
  <c r="AG50" i="68"/>
  <c r="AF50" i="68"/>
  <c r="AL50" i="68" l="1"/>
  <c r="B77" i="68"/>
  <c r="G81" i="68" l="1"/>
  <c r="I81" i="68" l="1"/>
  <c r="B80" i="68"/>
  <c r="B79" i="68"/>
  <c r="B76" i="68"/>
  <c r="B75" i="68"/>
  <c r="P62" i="68"/>
  <c r="O62" i="68"/>
  <c r="D72" i="68" s="1"/>
  <c r="N62" i="68"/>
  <c r="P61" i="68"/>
  <c r="O61" i="68"/>
  <c r="N61" i="68"/>
  <c r="P60" i="68"/>
  <c r="O60" i="68"/>
  <c r="AD67" i="68" s="1"/>
  <c r="N60" i="68"/>
  <c r="P59" i="68"/>
  <c r="O59" i="68"/>
  <c r="N59" i="68"/>
  <c r="P58" i="68"/>
  <c r="O58" i="68"/>
  <c r="AA65" i="68" s="1"/>
  <c r="N58" i="68"/>
  <c r="P57" i="68"/>
  <c r="N57" i="68"/>
  <c r="O57" i="68"/>
  <c r="V70" i="68"/>
  <c r="V68" i="68"/>
  <c r="V67" i="68"/>
  <c r="V66" i="68"/>
  <c r="W70" i="68"/>
  <c r="W68" i="68"/>
  <c r="W67" i="68"/>
  <c r="W66" i="68"/>
  <c r="W65" i="68"/>
  <c r="W64" i="68"/>
  <c r="W72" i="68" l="1"/>
  <c r="AB65" i="68"/>
  <c r="AD65" i="68"/>
  <c r="Y68" i="68"/>
  <c r="AC65" i="68"/>
  <c r="AE65" i="68"/>
  <c r="D68" i="68"/>
  <c r="D75" i="68" s="1"/>
  <c r="Z65" i="68"/>
  <c r="Z67" i="68"/>
  <c r="AE67" i="68"/>
  <c r="V72" i="68"/>
  <c r="D69" i="68"/>
  <c r="D76" i="68" s="1"/>
  <c r="AB68" i="68"/>
  <c r="AA68" i="68"/>
  <c r="Z68" i="68"/>
  <c r="AE68" i="68"/>
  <c r="D70" i="68"/>
  <c r="D71" i="68" s="1"/>
  <c r="D78" i="68" s="1"/>
  <c r="AC68" i="68"/>
  <c r="AD68" i="68"/>
  <c r="AA67" i="68"/>
  <c r="AB67" i="68"/>
  <c r="D79" i="68"/>
  <c r="AC67" i="68"/>
  <c r="Z70" i="68"/>
  <c r="AC70" i="68"/>
  <c r="AD70" i="68"/>
  <c r="AB70" i="68"/>
  <c r="AE70" i="68"/>
  <c r="AA70" i="68"/>
  <c r="B81" i="68"/>
  <c r="W60" i="68"/>
  <c r="V60" i="68"/>
  <c r="W58" i="68"/>
  <c r="V58" i="68"/>
  <c r="V56" i="68"/>
  <c r="V57" i="68"/>
  <c r="W57" i="68"/>
  <c r="W56" i="68"/>
  <c r="W55" i="68"/>
  <c r="W54" i="68"/>
  <c r="P56" i="68"/>
  <c r="O56" i="68"/>
  <c r="N56" i="68"/>
  <c r="P55" i="68"/>
  <c r="O55" i="68"/>
  <c r="N55" i="68"/>
  <c r="P54" i="68"/>
  <c r="O54" i="68"/>
  <c r="AA57" i="68" s="1"/>
  <c r="N54" i="68"/>
  <c r="P53" i="68"/>
  <c r="O53" i="68"/>
  <c r="N53" i="68"/>
  <c r="P52" i="68"/>
  <c r="O52" i="68"/>
  <c r="C68" i="68" s="1"/>
  <c r="C75" i="68" s="1"/>
  <c r="N52" i="68"/>
  <c r="P51" i="68"/>
  <c r="O51" i="68"/>
  <c r="N51" i="68"/>
  <c r="W51" i="68"/>
  <c r="V51" i="68"/>
  <c r="W49" i="68"/>
  <c r="V49" i="68"/>
  <c r="W48" i="68"/>
  <c r="V48" i="68"/>
  <c r="V47" i="68"/>
  <c r="W47" i="68"/>
  <c r="W46" i="68"/>
  <c r="Y49" i="68" l="1"/>
  <c r="AB69" i="68"/>
  <c r="AB71" i="68"/>
  <c r="AC69" i="68"/>
  <c r="AC71" i="68"/>
  <c r="AC64" i="68" s="1"/>
  <c r="AD69" i="68"/>
  <c r="AD71" i="68"/>
  <c r="AE69" i="68"/>
  <c r="AE71" i="68"/>
  <c r="Z71" i="68"/>
  <c r="Z69" i="68"/>
  <c r="Z72" i="68" s="1"/>
  <c r="AA69" i="68"/>
  <c r="AA71" i="68"/>
  <c r="V62" i="68"/>
  <c r="Z55" i="68"/>
  <c r="W62" i="68"/>
  <c r="AA55" i="68"/>
  <c r="Z60" i="68"/>
  <c r="AC60" i="68"/>
  <c r="AB60" i="68"/>
  <c r="AA60" i="68"/>
  <c r="AE60" i="68"/>
  <c r="AD60" i="68"/>
  <c r="C72" i="68"/>
  <c r="C79" i="68" s="1"/>
  <c r="AC55" i="68"/>
  <c r="AD55" i="68"/>
  <c r="AI68" i="68"/>
  <c r="D73" i="68"/>
  <c r="D80" i="68" s="1"/>
  <c r="D77" i="68"/>
  <c r="AG68" i="68"/>
  <c r="AK68" i="68"/>
  <c r="AB64" i="68"/>
  <c r="AE55" i="68"/>
  <c r="AD57" i="68"/>
  <c r="AC57" i="68"/>
  <c r="AE57" i="68"/>
  <c r="Z57" i="68"/>
  <c r="AB57" i="68"/>
  <c r="C69" i="68"/>
  <c r="C76" i="68" s="1"/>
  <c r="Y58" i="68"/>
  <c r="AF68" i="68"/>
  <c r="AB55" i="68"/>
  <c r="AH68" i="68"/>
  <c r="AD58" i="68"/>
  <c r="AA58" i="68"/>
  <c r="AC58" i="68"/>
  <c r="AB58" i="68"/>
  <c r="C70" i="68"/>
  <c r="C71" i="68" s="1"/>
  <c r="C78" i="68" s="1"/>
  <c r="AE58" i="68"/>
  <c r="Z58" i="68"/>
  <c r="AJ68" i="68"/>
  <c r="AD72" i="68" l="1"/>
  <c r="AK49" i="68"/>
  <c r="AF49" i="68"/>
  <c r="AJ49" i="68"/>
  <c r="AH49" i="68"/>
  <c r="AG49" i="68"/>
  <c r="AI49" i="68"/>
  <c r="AA64" i="68"/>
  <c r="AJ71" i="68"/>
  <c r="AB72" i="68"/>
  <c r="AH71" i="68"/>
  <c r="AD64" i="68"/>
  <c r="AC72" i="68"/>
  <c r="AE72" i="68"/>
  <c r="AB61" i="68"/>
  <c r="AB59" i="68"/>
  <c r="AC61" i="68"/>
  <c r="AC59" i="68"/>
  <c r="AK71" i="68"/>
  <c r="AL71" i="68" s="1"/>
  <c r="AA61" i="68"/>
  <c r="AA59" i="68"/>
  <c r="AA54" i="68" s="1"/>
  <c r="AA72" i="68"/>
  <c r="AE64" i="68"/>
  <c r="AI71" i="68"/>
  <c r="AJ69" i="68"/>
  <c r="AH69" i="68"/>
  <c r="AK69" i="68"/>
  <c r="AG69" i="68"/>
  <c r="AF69" i="68"/>
  <c r="AI69" i="68"/>
  <c r="AD61" i="68"/>
  <c r="AD59" i="68"/>
  <c r="Z61" i="68"/>
  <c r="AF61" i="68" s="1"/>
  <c r="Z59" i="68"/>
  <c r="AE61" i="68"/>
  <c r="AE59" i="68"/>
  <c r="AE54" i="68" s="1"/>
  <c r="AF71" i="68"/>
  <c r="AG71" i="68"/>
  <c r="D81" i="68"/>
  <c r="AJ58" i="68"/>
  <c r="AG58" i="68"/>
  <c r="AF58" i="68"/>
  <c r="AI58" i="68"/>
  <c r="AK58" i="68"/>
  <c r="AH58" i="68"/>
  <c r="C73" i="68"/>
  <c r="C80" i="68" s="1"/>
  <c r="C77" i="68"/>
  <c r="AM68" i="68"/>
  <c r="AL68" i="68"/>
  <c r="AJ61" i="68" l="1"/>
  <c r="AM49" i="68"/>
  <c r="AL49" i="68"/>
  <c r="AB62" i="68"/>
  <c r="AM71" i="68"/>
  <c r="AK61" i="68"/>
  <c r="AM61" i="68" s="1"/>
  <c r="AD62" i="68"/>
  <c r="AB54" i="68"/>
  <c r="AC54" i="68"/>
  <c r="AH61" i="68"/>
  <c r="AA62" i="68"/>
  <c r="AI61" i="68"/>
  <c r="AG61" i="68"/>
  <c r="AC62" i="68"/>
  <c r="AE62" i="68"/>
  <c r="AJ59" i="68"/>
  <c r="AF59" i="68"/>
  <c r="AG59" i="68"/>
  <c r="AI59" i="68"/>
  <c r="AK59" i="68"/>
  <c r="AH59" i="68"/>
  <c r="AD54" i="68"/>
  <c r="Z62" i="68"/>
  <c r="AM69" i="68"/>
  <c r="AL69" i="68"/>
  <c r="C81" i="68"/>
  <c r="AL58" i="68"/>
  <c r="AM58" i="68"/>
  <c r="H81" i="68"/>
  <c r="C15" i="103"/>
  <c r="C6" i="106"/>
  <c r="L33" i="108"/>
  <c r="D42" i="72"/>
  <c r="C14" i="75"/>
  <c r="O19" i="108"/>
  <c r="D16" i="83"/>
  <c r="R23" i="106"/>
  <c r="U15" i="108"/>
  <c r="N15" i="105"/>
  <c r="C19" i="103"/>
  <c r="S25" i="107"/>
  <c r="D18" i="84"/>
  <c r="D25" i="104"/>
  <c r="C18" i="106"/>
  <c r="Q20" i="108"/>
  <c r="D19" i="107"/>
  <c r="E19" i="106"/>
  <c r="C9" i="85"/>
  <c r="K11" i="57"/>
  <c r="D19" i="57"/>
  <c r="V19" i="108"/>
  <c r="K12" i="57"/>
  <c r="C15" i="57"/>
  <c r="K25" i="106"/>
  <c r="N18" i="106"/>
  <c r="O15" i="104"/>
  <c r="S10" i="106"/>
  <c r="L20" i="107"/>
  <c r="J7" i="108"/>
  <c r="G25" i="105"/>
  <c r="J12" i="106"/>
  <c r="Q10" i="108"/>
  <c r="H6" i="104"/>
  <c r="R33" i="107"/>
  <c r="D21" i="105"/>
  <c r="E24" i="57"/>
  <c r="Q25" i="106"/>
  <c r="G20" i="106"/>
  <c r="J25" i="57"/>
  <c r="C16" i="75"/>
  <c r="N7" i="105"/>
  <c r="V23" i="57"/>
  <c r="C9" i="108"/>
  <c r="C27" i="85"/>
  <c r="C16" i="85"/>
  <c r="E17" i="57"/>
  <c r="H25" i="107"/>
  <c r="D16" i="57"/>
  <c r="B95" i="72"/>
  <c r="N6" i="57"/>
  <c r="U8" i="108"/>
  <c r="C10" i="105"/>
  <c r="J16" i="104"/>
  <c r="O18" i="104"/>
  <c r="J9" i="107"/>
  <c r="K19" i="57"/>
  <c r="K15" i="57"/>
  <c r="H11" i="105"/>
  <c r="D10" i="103"/>
  <c r="D13" i="85"/>
  <c r="D9" i="57"/>
  <c r="L10" i="57"/>
  <c r="N11" i="107"/>
  <c r="Q18" i="104"/>
  <c r="D25" i="107"/>
  <c r="L18" i="57"/>
  <c r="C15" i="105"/>
  <c r="H19" i="106"/>
  <c r="R23" i="104"/>
  <c r="V25" i="104"/>
  <c r="D25" i="57"/>
  <c r="U18" i="106"/>
  <c r="S19" i="107"/>
  <c r="R6" i="106"/>
  <c r="L23" i="106"/>
  <c r="U6" i="57"/>
  <c r="G14" i="106"/>
  <c r="S6" i="108"/>
  <c r="C27" i="103"/>
  <c r="O20" i="106"/>
  <c r="E14" i="106"/>
  <c r="Q16" i="108"/>
  <c r="R23" i="108"/>
  <c r="C24" i="83"/>
  <c r="G7" i="107"/>
  <c r="R20" i="104"/>
  <c r="U12" i="57"/>
  <c r="C23" i="106"/>
  <c r="C15" i="106"/>
  <c r="D19" i="84"/>
  <c r="J18" i="106"/>
  <c r="R15" i="108"/>
  <c r="V6" i="106"/>
  <c r="N11" i="106"/>
  <c r="L21" i="104"/>
  <c r="Q21" i="105"/>
  <c r="R21" i="106"/>
  <c r="E16" i="104"/>
  <c r="Q10" i="105"/>
  <c r="N10" i="107"/>
  <c r="Q13" i="57"/>
  <c r="L15" i="106"/>
  <c r="U12" i="107"/>
  <c r="G20" i="104"/>
  <c r="C24" i="85"/>
  <c r="E6" i="104"/>
  <c r="V14" i="107"/>
  <c r="D33" i="104"/>
  <c r="D12" i="83"/>
  <c r="R9" i="108"/>
  <c r="O13" i="105"/>
  <c r="D27" i="85"/>
  <c r="Q24" i="106"/>
  <c r="N22" i="105"/>
  <c r="D25" i="84"/>
  <c r="H7" i="57"/>
  <c r="H12" i="108"/>
  <c r="V33" i="106"/>
  <c r="G24" i="105"/>
  <c r="J15" i="104"/>
  <c r="F46" i="72"/>
  <c r="U11" i="107"/>
  <c r="J18" i="104"/>
  <c r="J14" i="108"/>
  <c r="C20" i="85"/>
  <c r="N13" i="104"/>
  <c r="S17" i="57"/>
  <c r="H9" i="108"/>
  <c r="K25" i="105"/>
  <c r="R19" i="106"/>
  <c r="G9" i="104"/>
  <c r="B42" i="72"/>
  <c r="D7" i="105"/>
  <c r="R10" i="108"/>
  <c r="U25" i="107"/>
  <c r="R8" i="108"/>
  <c r="V13" i="108"/>
  <c r="J20" i="107"/>
  <c r="U18" i="107"/>
  <c r="H23" i="105"/>
  <c r="D9" i="108"/>
  <c r="J16" i="57"/>
  <c r="Q23" i="104"/>
  <c r="H17" i="105"/>
  <c r="V13" i="57"/>
  <c r="J21" i="57"/>
  <c r="R10" i="57"/>
  <c r="C7" i="104"/>
  <c r="U21" i="107"/>
  <c r="K14" i="104"/>
  <c r="E10" i="105"/>
  <c r="R14" i="57"/>
  <c r="V33" i="105"/>
  <c r="U8" i="57"/>
  <c r="E7" i="108"/>
  <c r="V16" i="108"/>
  <c r="L14" i="107"/>
  <c r="E7" i="57"/>
  <c r="L13" i="106"/>
  <c r="G14" i="57"/>
  <c r="J6" i="107"/>
  <c r="R20" i="108"/>
  <c r="H20" i="104"/>
  <c r="Q14" i="107"/>
  <c r="D24" i="75"/>
  <c r="U20" i="106"/>
  <c r="C14" i="108"/>
  <c r="R25" i="104"/>
  <c r="C20" i="84"/>
  <c r="R16" i="105"/>
  <c r="U13" i="108"/>
  <c r="C25" i="104"/>
  <c r="N8" i="57"/>
  <c r="E12" i="104"/>
  <c r="C13" i="108"/>
  <c r="J13" i="106"/>
  <c r="G15" i="105"/>
  <c r="R25" i="107"/>
  <c r="J17" i="108"/>
  <c r="U23" i="108"/>
  <c r="E13" i="108"/>
  <c r="U33" i="108"/>
  <c r="S9" i="105"/>
  <c r="Q17" i="108"/>
  <c r="R33" i="105"/>
  <c r="S7" i="57"/>
  <c r="H18" i="106"/>
  <c r="E17" i="104"/>
  <c r="N23" i="104"/>
  <c r="V24" i="107"/>
  <c r="E42" i="72"/>
  <c r="V12" i="108"/>
  <c r="H16" i="106"/>
  <c r="U24" i="57"/>
  <c r="E18" i="106"/>
  <c r="O15" i="107"/>
  <c r="H11" i="104"/>
  <c r="K23" i="108"/>
  <c r="V22" i="104"/>
  <c r="Q16" i="104"/>
  <c r="L6" i="108"/>
  <c r="E13" i="104"/>
  <c r="H23" i="41"/>
  <c r="D26" i="103"/>
  <c r="G12" i="57"/>
  <c r="H22" i="104"/>
  <c r="E12" i="57"/>
  <c r="U12" i="106"/>
  <c r="C8" i="108"/>
  <c r="V6" i="57"/>
  <c r="R12" i="108"/>
  <c r="S13" i="57"/>
  <c r="E6" i="57"/>
  <c r="U13" i="104"/>
  <c r="Q18" i="108"/>
  <c r="C14" i="103"/>
  <c r="C16" i="108"/>
  <c r="Q15" i="107"/>
  <c r="G19" i="104"/>
  <c r="G11" i="107"/>
  <c r="R9" i="105"/>
  <c r="E13" i="107"/>
  <c r="N17" i="57"/>
  <c r="D33" i="57"/>
  <c r="B87" i="72"/>
  <c r="L20" i="108"/>
  <c r="C15" i="85"/>
  <c r="C25" i="83"/>
  <c r="D24" i="85"/>
  <c r="E19" i="105"/>
  <c r="C19" i="104"/>
  <c r="L9" i="106"/>
  <c r="U14" i="108"/>
  <c r="E10" i="57"/>
  <c r="C20" i="106"/>
  <c r="C22" i="84"/>
  <c r="L7" i="104"/>
  <c r="V22" i="57"/>
  <c r="V7" i="104"/>
  <c r="V33" i="104"/>
  <c r="H33" i="57"/>
  <c r="E20" i="107"/>
  <c r="N21" i="106"/>
  <c r="O11" i="57"/>
  <c r="K33" i="108"/>
  <c r="S15" i="105"/>
  <c r="H24" i="108"/>
  <c r="G6" i="57"/>
  <c r="O10" i="106"/>
  <c r="C14" i="83"/>
  <c r="E22" i="105"/>
  <c r="F23" i="41"/>
  <c r="D14" i="84"/>
  <c r="D11" i="105"/>
  <c r="V22" i="108"/>
  <c r="J24" i="57"/>
  <c r="S20" i="106"/>
  <c r="D10" i="85"/>
  <c r="S17" i="105"/>
  <c r="K18" i="105"/>
  <c r="H10" i="104"/>
  <c r="L33" i="106"/>
  <c r="O9" i="108"/>
  <c r="E10" i="106"/>
  <c r="G41" i="78"/>
  <c r="L17" i="105"/>
  <c r="D26" i="75"/>
  <c r="O18" i="57"/>
  <c r="L8" i="107"/>
  <c r="V20" i="106"/>
  <c r="U17" i="105"/>
  <c r="C95" i="72"/>
  <c r="J15" i="107"/>
  <c r="S19" i="57"/>
  <c r="Q14" i="57"/>
  <c r="H20" i="107"/>
  <c r="D7" i="106"/>
  <c r="C20" i="107"/>
  <c r="N24" i="57"/>
  <c r="J21" i="105"/>
  <c r="D10" i="105"/>
  <c r="H41" i="72"/>
  <c r="R15" i="106"/>
  <c r="C97" i="72"/>
  <c r="D23" i="84"/>
  <c r="K15" i="106"/>
  <c r="V23" i="107"/>
  <c r="J23" i="104"/>
  <c r="D10" i="84"/>
  <c r="C22" i="107"/>
  <c r="J13" i="57"/>
  <c r="N21" i="108"/>
  <c r="J95" i="78"/>
  <c r="Q19" i="106"/>
  <c r="R8" i="106"/>
  <c r="V9" i="104"/>
  <c r="L9" i="104"/>
  <c r="S14" i="107"/>
  <c r="S8" i="105"/>
  <c r="G17" i="105"/>
  <c r="Q23" i="105"/>
  <c r="N19" i="104"/>
  <c r="K7" i="57"/>
  <c r="G33" i="104"/>
  <c r="O23" i="105"/>
  <c r="H14" i="107"/>
  <c r="S24" i="105"/>
  <c r="N21" i="57"/>
  <c r="S33" i="105"/>
  <c r="U21" i="57"/>
  <c r="H16" i="105"/>
  <c r="Q13" i="107"/>
  <c r="J21" i="104"/>
  <c r="S20" i="104"/>
  <c r="E20" i="105"/>
  <c r="V22" i="106"/>
  <c r="U22" i="107"/>
  <c r="G13" i="108"/>
  <c r="S8" i="106"/>
  <c r="K14" i="57"/>
  <c r="D25" i="105"/>
  <c r="D23" i="83"/>
  <c r="V21" i="105"/>
  <c r="G18" i="106"/>
  <c r="O21" i="104"/>
  <c r="L25" i="108"/>
  <c r="R22" i="106"/>
  <c r="G15" i="107"/>
  <c r="V21" i="57"/>
  <c r="U19" i="104"/>
  <c r="J20" i="108"/>
  <c r="C16" i="105"/>
  <c r="D16" i="84"/>
  <c r="G20" i="107"/>
  <c r="G19" i="108"/>
  <c r="C88" i="72"/>
  <c r="G6" i="105"/>
  <c r="J13" i="105"/>
  <c r="N9" i="104"/>
  <c r="U24" i="106"/>
  <c r="G25" i="104"/>
  <c r="L20" i="106"/>
  <c r="F47" i="72"/>
  <c r="H18" i="104"/>
  <c r="K24" i="104"/>
  <c r="H15" i="107"/>
  <c r="V25" i="107"/>
  <c r="D24" i="105"/>
  <c r="G25" i="106"/>
  <c r="D21" i="107"/>
  <c r="N13" i="105"/>
  <c r="C33" i="105"/>
  <c r="R17" i="106"/>
  <c r="R19" i="57"/>
  <c r="D18" i="85"/>
  <c r="C33" i="104"/>
  <c r="E14" i="57"/>
  <c r="C33" i="106"/>
  <c r="U24" i="107"/>
  <c r="G9" i="106"/>
  <c r="Q33" i="105"/>
  <c r="Q9" i="108"/>
  <c r="C98" i="72"/>
  <c r="E9" i="108"/>
  <c r="O16" i="104"/>
  <c r="L22" i="104"/>
  <c r="H13" i="57"/>
  <c r="N12" i="106"/>
  <c r="E20" i="106"/>
  <c r="H16" i="57"/>
  <c r="J20" i="105"/>
  <c r="R14" i="108"/>
  <c r="H9" i="104"/>
  <c r="E14" i="105"/>
  <c r="Q13" i="104"/>
  <c r="V12" i="57"/>
  <c r="E25" i="57"/>
  <c r="N6" i="107"/>
  <c r="J12" i="107"/>
  <c r="O11" i="105"/>
  <c r="Q21" i="107"/>
  <c r="U19" i="107"/>
  <c r="U16" i="104"/>
  <c r="O10" i="108"/>
  <c r="D18" i="75"/>
  <c r="U16" i="107"/>
  <c r="S22" i="105"/>
  <c r="J17" i="106"/>
  <c r="C18" i="57"/>
  <c r="D15" i="108"/>
  <c r="C15" i="75"/>
  <c r="V25" i="57"/>
  <c r="N24" i="105"/>
  <c r="C22" i="57"/>
  <c r="H25" i="57"/>
  <c r="E24" i="108"/>
  <c r="D10" i="107"/>
  <c r="V11" i="57"/>
  <c r="C12" i="57"/>
  <c r="C18" i="105"/>
  <c r="Q20" i="104"/>
  <c r="H22" i="106"/>
  <c r="K25" i="107"/>
  <c r="K23" i="57"/>
  <c r="C8" i="104"/>
  <c r="D14" i="57"/>
  <c r="C20" i="108"/>
  <c r="U15" i="107"/>
  <c r="C6" i="107"/>
  <c r="N18" i="105"/>
  <c r="V25" i="105"/>
  <c r="S20" i="108"/>
  <c r="S15" i="108"/>
  <c r="L12" i="108"/>
  <c r="R11" i="106"/>
  <c r="N14" i="104"/>
  <c r="U6" i="104"/>
  <c r="K10" i="104"/>
  <c r="E10" i="107"/>
  <c r="L6" i="57"/>
  <c r="E8" i="107"/>
  <c r="G19" i="105"/>
  <c r="L16" i="108"/>
  <c r="S33" i="107"/>
  <c r="R15" i="57"/>
  <c r="Q22" i="107"/>
  <c r="O13" i="104"/>
  <c r="D12" i="85"/>
  <c r="V17" i="57"/>
  <c r="B23" i="41"/>
  <c r="V21" i="107"/>
  <c r="K9" i="108"/>
  <c r="N11" i="105"/>
  <c r="G9" i="107"/>
  <c r="D20" i="105"/>
  <c r="E15" i="108"/>
  <c r="K20" i="108"/>
  <c r="C9" i="103"/>
  <c r="N16" i="106"/>
  <c r="J6" i="105"/>
  <c r="V8" i="105"/>
  <c r="N11" i="108"/>
  <c r="L15" i="57"/>
  <c r="C10" i="84"/>
  <c r="G24" i="107"/>
  <c r="N25" i="107"/>
  <c r="J11" i="108"/>
  <c r="U33" i="107"/>
  <c r="R10" i="105"/>
  <c r="C16" i="57"/>
  <c r="N25" i="104"/>
  <c r="L19" i="57"/>
  <c r="G23" i="41"/>
  <c r="J19" i="108"/>
  <c r="U14" i="104"/>
  <c r="E23" i="106"/>
  <c r="V13" i="107"/>
  <c r="D13" i="83"/>
  <c r="H23" i="104"/>
  <c r="K10" i="106"/>
  <c r="C25" i="105"/>
  <c r="L23" i="107"/>
  <c r="D15" i="75"/>
  <c r="S22" i="106"/>
  <c r="H15" i="57"/>
  <c r="G9" i="105"/>
  <c r="K18" i="106"/>
  <c r="C24" i="75"/>
  <c r="Q10" i="57"/>
  <c r="S11" i="108"/>
  <c r="O16" i="106"/>
  <c r="N12" i="57"/>
  <c r="H7" i="104"/>
  <c r="Q21" i="106"/>
  <c r="S18" i="106"/>
  <c r="H16" i="107"/>
  <c r="H15" i="108"/>
  <c r="S16" i="106"/>
  <c r="R24" i="57"/>
  <c r="B89" i="72"/>
  <c r="O12" i="107"/>
  <c r="N9" i="106"/>
  <c r="S24" i="57"/>
  <c r="C16" i="84"/>
  <c r="N7" i="107"/>
  <c r="U16" i="105"/>
  <c r="D21" i="83"/>
  <c r="K20" i="57"/>
  <c r="S14" i="106"/>
  <c r="Q21" i="57"/>
  <c r="N14" i="107"/>
  <c r="G13" i="106"/>
  <c r="H24" i="107"/>
  <c r="Q12" i="108"/>
  <c r="D19" i="106"/>
  <c r="C17" i="85"/>
  <c r="G16" i="106"/>
  <c r="D18" i="57"/>
  <c r="E20" i="57"/>
  <c r="L19" i="107"/>
  <c r="U33" i="106"/>
  <c r="O14" i="104"/>
  <c r="V17" i="106"/>
  <c r="C16" i="107"/>
  <c r="J23" i="107"/>
  <c r="O22" i="106"/>
  <c r="D14" i="106"/>
  <c r="D20" i="85"/>
  <c r="L15" i="107"/>
  <c r="S20" i="57"/>
  <c r="B92" i="72"/>
  <c r="N20" i="105"/>
  <c r="U20" i="57"/>
  <c r="D11" i="103"/>
  <c r="U7" i="107"/>
  <c r="O9" i="104"/>
  <c r="C17" i="83"/>
  <c r="V23" i="105"/>
  <c r="U10" i="57"/>
  <c r="C9" i="84"/>
  <c r="K16" i="105"/>
  <c r="Q24" i="107"/>
  <c r="G15" i="106"/>
  <c r="C20" i="75"/>
  <c r="E17" i="105"/>
  <c r="U8" i="105"/>
  <c r="N24" i="104"/>
  <c r="R22" i="104"/>
  <c r="C22" i="83"/>
  <c r="O15" i="57"/>
  <c r="D23" i="106"/>
  <c r="N14" i="106"/>
  <c r="R18" i="57"/>
  <c r="K19" i="107"/>
  <c r="H17" i="57"/>
  <c r="C33" i="107"/>
  <c r="R24" i="106"/>
  <c r="V33" i="107"/>
  <c r="E24" i="105"/>
  <c r="B99" i="72"/>
  <c r="K9" i="104"/>
  <c r="J92" i="78"/>
  <c r="O8" i="108"/>
  <c r="Q10" i="106"/>
  <c r="K16" i="104"/>
  <c r="V24" i="105"/>
  <c r="C22" i="104"/>
  <c r="D20" i="106"/>
  <c r="C10" i="83"/>
  <c r="J25" i="107"/>
  <c r="G11" i="106"/>
  <c r="G24" i="106"/>
  <c r="J13" i="107"/>
  <c r="D14" i="104"/>
  <c r="N23" i="107"/>
  <c r="S10" i="105"/>
  <c r="O10" i="57"/>
  <c r="H42" i="78"/>
  <c r="U17" i="57"/>
  <c r="Q8" i="108"/>
  <c r="E11" i="105"/>
  <c r="O12" i="104"/>
  <c r="D18" i="83"/>
  <c r="O15" i="105"/>
  <c r="D20" i="103"/>
  <c r="E24" i="107"/>
  <c r="D22" i="85"/>
  <c r="V7" i="107"/>
  <c r="D23" i="85"/>
  <c r="G21" i="106"/>
  <c r="C21" i="75"/>
  <c r="E22" i="107"/>
  <c r="O8" i="104"/>
  <c r="U14" i="105"/>
  <c r="E15" i="57"/>
  <c r="H14" i="106"/>
  <c r="J14" i="57"/>
  <c r="N20" i="57"/>
  <c r="J7" i="104"/>
  <c r="N16" i="105"/>
  <c r="Q14" i="104"/>
  <c r="G33" i="108"/>
  <c r="Q8" i="107"/>
  <c r="J17" i="104"/>
  <c r="C33" i="108"/>
  <c r="Q6" i="105"/>
  <c r="G11" i="108"/>
  <c r="J22" i="57"/>
  <c r="S16" i="104"/>
  <c r="S23" i="57"/>
  <c r="Q24" i="104"/>
  <c r="J10" i="106"/>
  <c r="J6" i="106"/>
  <c r="O23" i="106"/>
  <c r="S8" i="107"/>
  <c r="R17" i="57"/>
  <c r="O14" i="57"/>
  <c r="S7" i="105"/>
  <c r="H21" i="108"/>
  <c r="J14" i="105"/>
  <c r="J25" i="105"/>
  <c r="G8" i="106"/>
  <c r="S8" i="57"/>
  <c r="H13" i="108"/>
  <c r="O6" i="107"/>
  <c r="J6" i="57"/>
  <c r="V20" i="57"/>
  <c r="H21" i="107"/>
  <c r="K22" i="107"/>
  <c r="B100" i="72"/>
  <c r="R33" i="57"/>
  <c r="R8" i="57"/>
  <c r="E14" i="108"/>
  <c r="F41" i="78"/>
  <c r="C20" i="105"/>
  <c r="D17" i="85"/>
  <c r="D17" i="84"/>
  <c r="J7" i="106"/>
  <c r="J24" i="107"/>
  <c r="N25" i="105"/>
  <c r="C23" i="107"/>
  <c r="K12" i="106"/>
  <c r="H33" i="106"/>
  <c r="R21" i="57"/>
  <c r="K7" i="106"/>
  <c r="R18" i="108"/>
  <c r="H10" i="105"/>
  <c r="R7" i="57"/>
  <c r="V25" i="108"/>
  <c r="D12" i="84"/>
  <c r="C100" i="72"/>
  <c r="C11" i="85"/>
  <c r="R9" i="107"/>
  <c r="V6" i="108"/>
  <c r="R11" i="105"/>
  <c r="C18" i="83"/>
  <c r="K14" i="108"/>
  <c r="S12" i="106"/>
  <c r="L46" i="109"/>
  <c r="L6" i="106"/>
  <c r="C8" i="107"/>
  <c r="E9" i="106"/>
  <c r="S7" i="106"/>
  <c r="O23" i="104"/>
  <c r="D13" i="103"/>
  <c r="C12" i="103"/>
  <c r="J19" i="105"/>
  <c r="K21" i="108"/>
  <c r="S9" i="107"/>
  <c r="C18" i="85"/>
  <c r="S15" i="104"/>
  <c r="C13" i="84"/>
  <c r="O24" i="57"/>
  <c r="E22" i="108"/>
  <c r="K13" i="108"/>
  <c r="N33" i="107"/>
  <c r="K10" i="57"/>
  <c r="O23" i="107"/>
  <c r="N7" i="108"/>
  <c r="V10" i="104"/>
  <c r="J11" i="106"/>
  <c r="V20" i="107"/>
  <c r="D24" i="104"/>
  <c r="J8" i="108"/>
  <c r="O22" i="108"/>
  <c r="Q14" i="106"/>
  <c r="K13" i="107"/>
  <c r="J14" i="107"/>
  <c r="Q33" i="104"/>
  <c r="D21" i="104"/>
  <c r="C18" i="103"/>
  <c r="L15" i="108"/>
  <c r="B98" i="72"/>
  <c r="O17" i="57"/>
  <c r="V22" i="107"/>
  <c r="C26" i="85"/>
  <c r="D19" i="108"/>
  <c r="N15" i="57"/>
  <c r="J15" i="57"/>
  <c r="G24" i="108"/>
  <c r="C23" i="85"/>
  <c r="D23" i="108"/>
  <c r="G33" i="106"/>
  <c r="K22" i="104"/>
  <c r="C8" i="105"/>
  <c r="C10" i="106"/>
  <c r="L23" i="105"/>
  <c r="U16" i="106"/>
  <c r="J11" i="57"/>
  <c r="O9" i="106"/>
  <c r="G18" i="104"/>
  <c r="C27" i="75"/>
  <c r="H10" i="57"/>
  <c r="U24" i="108"/>
  <c r="C24" i="84"/>
  <c r="R14" i="106"/>
  <c r="D23" i="103"/>
  <c r="D41" i="72"/>
  <c r="U12" i="105"/>
  <c r="V11" i="104"/>
  <c r="R13" i="107"/>
  <c r="Q12" i="104"/>
  <c r="U17" i="104"/>
  <c r="K24" i="105"/>
  <c r="N19" i="108"/>
  <c r="H10" i="108"/>
  <c r="D12" i="104"/>
  <c r="R19" i="104"/>
  <c r="O33" i="106"/>
  <c r="G17" i="57"/>
  <c r="D21" i="103"/>
  <c r="O14" i="107"/>
  <c r="V8" i="57"/>
  <c r="D9" i="106"/>
  <c r="V23" i="108"/>
  <c r="V14" i="104"/>
  <c r="R13" i="106"/>
  <c r="N33" i="106"/>
  <c r="C89" i="72"/>
  <c r="J16" i="106"/>
  <c r="C41" i="78"/>
  <c r="H12" i="57"/>
  <c r="D21" i="106"/>
  <c r="H15" i="106"/>
  <c r="D17" i="108"/>
  <c r="L17" i="108"/>
  <c r="L19" i="105"/>
  <c r="S21" i="57"/>
  <c r="O7" i="106"/>
  <c r="J11" i="105"/>
  <c r="D17" i="83"/>
  <c r="Q15" i="106"/>
  <c r="J7" i="57"/>
  <c r="H17" i="108"/>
  <c r="N23" i="106"/>
  <c r="S6" i="104"/>
  <c r="E33" i="105"/>
  <c r="V19" i="107"/>
  <c r="B96" i="72"/>
  <c r="G16" i="104"/>
  <c r="O13" i="106"/>
  <c r="R20" i="107"/>
  <c r="D18" i="106"/>
  <c r="Q6" i="57"/>
  <c r="O19" i="104"/>
  <c r="S9" i="57"/>
  <c r="C20" i="57"/>
  <c r="R18" i="104"/>
  <c r="D22" i="83"/>
  <c r="D11" i="83"/>
  <c r="D12" i="57"/>
  <c r="K21" i="106"/>
  <c r="J22" i="106"/>
  <c r="D22" i="57"/>
  <c r="O23" i="57"/>
  <c r="C12" i="107"/>
  <c r="D14" i="107"/>
  <c r="N6" i="105"/>
  <c r="H15" i="105"/>
  <c r="D19" i="105"/>
  <c r="S18" i="104"/>
  <c r="N25" i="108"/>
  <c r="J33" i="104"/>
  <c r="S24" i="107"/>
  <c r="O7" i="107"/>
  <c r="J23" i="108"/>
  <c r="H33" i="104"/>
  <c r="D22" i="105"/>
  <c r="R7" i="104"/>
  <c r="Q22" i="57"/>
  <c r="D24" i="84"/>
  <c r="C21" i="83"/>
  <c r="U9" i="108"/>
  <c r="C17" i="107"/>
  <c r="C9" i="104"/>
  <c r="N33" i="108"/>
  <c r="Q33" i="107"/>
  <c r="N21" i="105"/>
  <c r="N20" i="107"/>
  <c r="I47" i="72"/>
  <c r="V7" i="57"/>
  <c r="D19" i="83"/>
  <c r="J20" i="106"/>
  <c r="H13" i="105"/>
  <c r="O8" i="107"/>
  <c r="C17" i="105"/>
  <c r="O12" i="106"/>
  <c r="C14" i="57"/>
  <c r="E18" i="57"/>
  <c r="C24" i="105"/>
  <c r="S16" i="105"/>
  <c r="H24" i="105"/>
  <c r="E13" i="106"/>
  <c r="L21" i="107"/>
  <c r="G20" i="57"/>
  <c r="C20" i="83"/>
  <c r="Q17" i="57"/>
  <c r="K10" i="107"/>
  <c r="S15" i="57"/>
  <c r="R19" i="108"/>
  <c r="D21" i="75"/>
  <c r="S10" i="107"/>
  <c r="V6" i="105"/>
  <c r="D24" i="108"/>
  <c r="F42" i="72"/>
  <c r="U6" i="105"/>
  <c r="H25" i="108"/>
  <c r="N18" i="107"/>
  <c r="D14" i="108"/>
  <c r="R16" i="106"/>
  <c r="E19" i="107"/>
  <c r="S21" i="106"/>
  <c r="Q11" i="57"/>
  <c r="J22" i="108"/>
  <c r="J12" i="108"/>
  <c r="G9" i="57"/>
  <c r="L8" i="57"/>
  <c r="R22" i="57"/>
  <c r="J20" i="57"/>
  <c r="C18" i="107"/>
  <c r="H19" i="57"/>
  <c r="C87" i="72"/>
  <c r="D15" i="103"/>
  <c r="G12" i="107"/>
  <c r="G6" i="106"/>
  <c r="L12" i="57"/>
  <c r="Q13" i="105"/>
  <c r="K9" i="106"/>
  <c r="C23" i="57"/>
  <c r="K8" i="105"/>
  <c r="D15" i="83"/>
  <c r="J18" i="107"/>
  <c r="E17" i="107"/>
  <c r="E20" i="108"/>
  <c r="N7" i="57"/>
  <c r="C27" i="84"/>
  <c r="E21" i="108"/>
  <c r="D13" i="84"/>
  <c r="C21" i="84"/>
  <c r="C42" i="72"/>
  <c r="E7" i="104"/>
  <c r="K18" i="104"/>
  <c r="L9" i="57"/>
  <c r="L8" i="104"/>
  <c r="J9" i="105"/>
  <c r="V16" i="107"/>
  <c r="H6" i="57"/>
  <c r="D41" i="78"/>
  <c r="U13" i="57"/>
  <c r="R18" i="105"/>
  <c r="C19" i="75"/>
  <c r="V22" i="105"/>
  <c r="E21" i="105"/>
  <c r="E25" i="105"/>
  <c r="E23" i="108"/>
  <c r="G17" i="106"/>
  <c r="K18" i="107"/>
  <c r="S9" i="104"/>
  <c r="J23" i="106"/>
  <c r="U8" i="104"/>
  <c r="D15" i="57"/>
  <c r="L11" i="104"/>
  <c r="C21" i="57"/>
  <c r="C22" i="103"/>
  <c r="D17" i="57"/>
  <c r="Q17" i="107"/>
  <c r="D24" i="103"/>
  <c r="Q14" i="108"/>
  <c r="U25" i="104"/>
  <c r="O25" i="104"/>
  <c r="L14" i="106"/>
  <c r="D19" i="103"/>
  <c r="N12" i="107"/>
  <c r="Q9" i="57"/>
  <c r="R12" i="104"/>
  <c r="K10" i="105"/>
  <c r="R12" i="57"/>
  <c r="G7" i="108"/>
  <c r="U23" i="106"/>
  <c r="L23" i="108"/>
  <c r="C11" i="107"/>
  <c r="E19" i="57"/>
  <c r="Q16" i="105"/>
  <c r="L21" i="108"/>
  <c r="S33" i="106"/>
  <c r="D8" i="107"/>
  <c r="B94" i="72"/>
  <c r="D19" i="85"/>
  <c r="U33" i="57"/>
  <c r="C17" i="106"/>
  <c r="V19" i="104"/>
  <c r="E7" i="107"/>
  <c r="E14" i="104"/>
  <c r="E15" i="105"/>
  <c r="V9" i="105"/>
  <c r="R10" i="107"/>
  <c r="D17" i="75"/>
  <c r="C99" i="72"/>
  <c r="Q23" i="107"/>
  <c r="N13" i="57"/>
  <c r="C9" i="57"/>
  <c r="H9" i="105"/>
  <c r="H7" i="105"/>
  <c r="C42" i="78"/>
  <c r="L19" i="106"/>
  <c r="U14" i="106"/>
  <c r="U20" i="104"/>
  <c r="G23" i="106"/>
  <c r="L8" i="105"/>
  <c r="U20" i="105"/>
  <c r="V18" i="108"/>
  <c r="R20" i="57"/>
  <c r="N18" i="57"/>
  <c r="H42" i="72"/>
  <c r="O14" i="106"/>
  <c r="E23" i="107"/>
  <c r="E10" i="104"/>
  <c r="C25" i="57"/>
  <c r="D22" i="75"/>
  <c r="L33" i="107"/>
  <c r="V14" i="108"/>
  <c r="D10" i="108"/>
  <c r="O20" i="108"/>
  <c r="S17" i="106"/>
  <c r="L22" i="107"/>
  <c r="N10" i="108"/>
  <c r="D14" i="75"/>
  <c r="V15" i="105"/>
  <c r="K19" i="106"/>
  <c r="U7" i="104"/>
  <c r="L33" i="104"/>
  <c r="B47" i="72"/>
  <c r="U23" i="57"/>
  <c r="R8" i="107"/>
  <c r="H46" i="72"/>
  <c r="N17" i="108"/>
  <c r="D15" i="85"/>
  <c r="D9" i="84"/>
  <c r="K204" i="41"/>
  <c r="U15" i="104"/>
  <c r="U17" i="107"/>
  <c r="J6" i="104"/>
  <c r="C16" i="103"/>
  <c r="O19" i="105"/>
  <c r="E25" i="106"/>
  <c r="C96" i="72"/>
  <c r="S6" i="105"/>
  <c r="O20" i="107"/>
  <c r="E7" i="106"/>
  <c r="O15" i="108"/>
  <c r="L18" i="106"/>
  <c r="V20" i="108"/>
  <c r="H22" i="57"/>
  <c r="G8" i="105"/>
  <c r="V15" i="57"/>
  <c r="J24" i="105"/>
  <c r="L7" i="108"/>
  <c r="V11" i="108"/>
  <c r="O6" i="106"/>
  <c r="K13" i="106"/>
  <c r="N6" i="108"/>
  <c r="C13" i="75"/>
  <c r="F41" i="72"/>
  <c r="C10" i="85"/>
  <c r="S10" i="57"/>
  <c r="G13" i="105"/>
  <c r="S11" i="104"/>
  <c r="G22" i="106"/>
  <c r="B46" i="72"/>
  <c r="D20" i="108"/>
  <c r="N25" i="57"/>
  <c r="H24" i="104"/>
  <c r="D18" i="107"/>
  <c r="J19" i="107"/>
  <c r="C18" i="104"/>
  <c r="J22" i="105"/>
  <c r="O6" i="108"/>
  <c r="O23" i="108"/>
  <c r="C22" i="105"/>
  <c r="D12" i="108"/>
  <c r="V9" i="106"/>
  <c r="N10" i="105"/>
  <c r="H13" i="106"/>
  <c r="C20" i="104"/>
  <c r="N22" i="104"/>
  <c r="L6" i="105"/>
  <c r="C41" i="72"/>
  <c r="Q15" i="57"/>
  <c r="O25" i="108"/>
  <c r="K8" i="57"/>
  <c r="K23" i="105"/>
  <c r="D20" i="57"/>
  <c r="D33" i="107"/>
  <c r="H12" i="107"/>
  <c r="Q16" i="57"/>
  <c r="R11" i="108"/>
  <c r="N8" i="105"/>
  <c r="J9" i="108"/>
  <c r="H6" i="107"/>
  <c r="L21" i="106"/>
  <c r="R6" i="105"/>
  <c r="C23" i="105"/>
  <c r="V6" i="107"/>
  <c r="O10" i="105"/>
  <c r="D12" i="75"/>
  <c r="C17" i="104"/>
  <c r="O20" i="104"/>
  <c r="V17" i="105"/>
  <c r="E8" i="105"/>
  <c r="H11" i="106"/>
  <c r="E18" i="104"/>
  <c r="D20" i="75"/>
  <c r="H20" i="106"/>
  <c r="C13" i="103"/>
  <c r="S25" i="105"/>
  <c r="G22" i="105"/>
  <c r="Q12" i="106"/>
  <c r="U23" i="104"/>
  <c r="J15" i="106"/>
  <c r="G17" i="108"/>
  <c r="C12" i="106"/>
  <c r="D13" i="107"/>
  <c r="S24" i="104"/>
  <c r="Q25" i="107"/>
  <c r="Q24" i="105"/>
  <c r="U22" i="105"/>
  <c r="J13" i="104"/>
  <c r="C9" i="106"/>
  <c r="U17" i="106"/>
  <c r="O16" i="107"/>
  <c r="K18" i="108"/>
  <c r="E24" i="104"/>
  <c r="K11" i="105"/>
  <c r="B42" i="78"/>
  <c r="H18" i="57"/>
  <c r="L14" i="57"/>
  <c r="Q17" i="106"/>
  <c r="V21" i="106"/>
  <c r="O12" i="57"/>
  <c r="H17" i="107"/>
  <c r="G10" i="107"/>
  <c r="G22" i="57"/>
  <c r="O8" i="57"/>
  <c r="S13" i="105"/>
  <c r="J7" i="107"/>
  <c r="V9" i="108"/>
  <c r="R13" i="104"/>
  <c r="H16" i="108"/>
  <c r="N33" i="57"/>
  <c r="C22" i="106"/>
  <c r="V19" i="57"/>
  <c r="G8" i="107"/>
  <c r="K16" i="108"/>
  <c r="C22" i="75"/>
  <c r="N23" i="105"/>
  <c r="K6" i="57"/>
  <c r="L8" i="106"/>
  <c r="C15" i="104"/>
  <c r="O7" i="104"/>
  <c r="L15" i="104"/>
  <c r="E20" i="104"/>
  <c r="D7" i="107"/>
  <c r="O17" i="107"/>
  <c r="S19" i="106"/>
  <c r="K6" i="106"/>
  <c r="S25" i="104"/>
  <c r="D11" i="84"/>
  <c r="B86" i="72"/>
  <c r="V14" i="105"/>
  <c r="H9" i="57"/>
  <c r="C11" i="75"/>
  <c r="C19" i="105"/>
  <c r="D20" i="84"/>
  <c r="E21" i="107"/>
  <c r="E11" i="108"/>
  <c r="Q16" i="106"/>
  <c r="R7" i="105"/>
  <c r="K16" i="106"/>
  <c r="H12" i="104"/>
  <c r="C11" i="84"/>
  <c r="K9" i="105"/>
  <c r="R22" i="105"/>
  <c r="L33" i="57"/>
  <c r="R16" i="107"/>
  <c r="J9" i="57"/>
  <c r="O6" i="104"/>
  <c r="G21" i="104"/>
  <c r="U33" i="105"/>
  <c r="L17" i="106"/>
  <c r="O13" i="57"/>
  <c r="C46" i="72"/>
  <c r="R11" i="104"/>
  <c r="K12" i="108"/>
  <c r="H8" i="107"/>
  <c r="D15" i="105"/>
  <c r="K10" i="108"/>
  <c r="V16" i="57"/>
  <c r="J23" i="105"/>
  <c r="Q7" i="108"/>
  <c r="D17" i="104"/>
  <c r="V17" i="108"/>
  <c r="L9" i="107"/>
  <c r="O22" i="104"/>
  <c r="H47" i="72"/>
  <c r="K17" i="57"/>
  <c r="D6" i="57"/>
  <c r="L19" i="104"/>
  <c r="O8" i="106"/>
  <c r="V23" i="104"/>
  <c r="N19" i="106"/>
  <c r="R18" i="106"/>
  <c r="D11" i="57"/>
  <c r="K8" i="108"/>
  <c r="R22" i="108"/>
  <c r="D16" i="107"/>
  <c r="V18" i="107"/>
  <c r="Q20" i="57"/>
  <c r="E8" i="108"/>
  <c r="H21" i="105"/>
  <c r="C11" i="105"/>
  <c r="D15" i="84"/>
  <c r="Q16" i="107"/>
  <c r="C20" i="103"/>
  <c r="H20" i="108"/>
  <c r="C21" i="103"/>
  <c r="D16" i="108"/>
  <c r="H14" i="108"/>
  <c r="L9" i="105"/>
  <c r="E11" i="106"/>
  <c r="D22" i="108"/>
  <c r="K20" i="105"/>
  <c r="R16" i="108"/>
  <c r="Q21" i="108"/>
  <c r="K19" i="108"/>
  <c r="J19" i="106"/>
  <c r="K15" i="108"/>
  <c r="K6" i="107"/>
  <c r="L24" i="108"/>
  <c r="C94" i="72"/>
  <c r="H23" i="57"/>
  <c r="C13" i="57"/>
  <c r="N17" i="106"/>
  <c r="G21" i="108"/>
  <c r="V16" i="104"/>
  <c r="K25" i="57"/>
  <c r="G23" i="57"/>
  <c r="C11" i="57"/>
  <c r="L20" i="104"/>
  <c r="O7" i="57"/>
  <c r="D15" i="106"/>
  <c r="C23" i="83"/>
  <c r="C12" i="84"/>
  <c r="G16" i="108"/>
  <c r="E12" i="105"/>
  <c r="D25" i="108"/>
  <c r="N16" i="108"/>
  <c r="C24" i="107"/>
  <c r="K33" i="106"/>
  <c r="C93" i="72"/>
  <c r="O6" i="105"/>
  <c r="O16" i="57"/>
  <c r="N12" i="104"/>
  <c r="S8" i="108"/>
  <c r="C10" i="75"/>
  <c r="D11" i="108"/>
  <c r="J33" i="105"/>
  <c r="C21" i="108"/>
  <c r="C10" i="103"/>
  <c r="C7" i="107"/>
  <c r="E9" i="107"/>
  <c r="S7" i="108"/>
  <c r="J15" i="105"/>
  <c r="B97" i="72"/>
  <c r="Q7" i="105"/>
  <c r="V12" i="107"/>
  <c r="U15" i="57"/>
  <c r="E18" i="108"/>
  <c r="Q6" i="108"/>
  <c r="K11" i="106"/>
  <c r="L25" i="107"/>
  <c r="H11" i="108"/>
  <c r="Q22" i="104"/>
  <c r="U9" i="106"/>
  <c r="G14" i="107"/>
  <c r="H19" i="107"/>
  <c r="G23" i="104"/>
  <c r="V11" i="107"/>
  <c r="R19" i="107"/>
  <c r="S33" i="104"/>
  <c r="G8" i="104"/>
  <c r="U12" i="108"/>
  <c r="G22" i="108"/>
  <c r="S33" i="108"/>
  <c r="U10" i="105"/>
  <c r="N20" i="106"/>
  <c r="U21" i="108"/>
  <c r="D12" i="106"/>
  <c r="D6" i="106"/>
  <c r="Q22" i="106"/>
  <c r="N9" i="108"/>
  <c r="G8" i="108"/>
  <c r="U23" i="107"/>
  <c r="L16" i="106"/>
  <c r="O33" i="107"/>
  <c r="U20" i="107"/>
  <c r="E18" i="105"/>
  <c r="D13" i="105"/>
  <c r="C25" i="108"/>
  <c r="R12" i="107"/>
  <c r="U11" i="105"/>
  <c r="R17" i="105"/>
  <c r="R9" i="57"/>
  <c r="J6" i="108"/>
  <c r="S25" i="108"/>
  <c r="C84" i="72"/>
  <c r="C15" i="108"/>
  <c r="D33" i="105"/>
  <c r="U9" i="107"/>
  <c r="E33" i="57"/>
  <c r="H9" i="107"/>
  <c r="U14" i="107"/>
  <c r="J19" i="57"/>
  <c r="S15" i="107"/>
  <c r="U12" i="104"/>
  <c r="K22" i="108"/>
  <c r="N16" i="107"/>
  <c r="Q6" i="107"/>
  <c r="U14" i="57"/>
  <c r="C9" i="83"/>
  <c r="Q6" i="104"/>
  <c r="E9" i="57"/>
  <c r="V19" i="105"/>
  <c r="K12" i="104"/>
  <c r="D12" i="105"/>
  <c r="V8" i="108"/>
  <c r="K33" i="57"/>
  <c r="J17" i="105"/>
  <c r="C24" i="106"/>
  <c r="C18" i="84"/>
  <c r="V17" i="104"/>
  <c r="S6" i="57"/>
  <c r="S10" i="108"/>
  <c r="G25" i="107"/>
  <c r="D9" i="75"/>
  <c r="O21" i="106"/>
  <c r="H14" i="104"/>
  <c r="C22" i="108"/>
  <c r="C11" i="108"/>
  <c r="S12" i="57"/>
  <c r="V10" i="107"/>
  <c r="C14" i="106"/>
  <c r="N14" i="57"/>
  <c r="E16" i="108"/>
  <c r="N25" i="106"/>
  <c r="Q20" i="107"/>
  <c r="Q18" i="106"/>
  <c r="D26" i="84"/>
  <c r="C23" i="104"/>
  <c r="S22" i="107"/>
  <c r="D9" i="104"/>
  <c r="G15" i="104"/>
  <c r="D25" i="83"/>
  <c r="S14" i="108"/>
  <c r="V7" i="108"/>
  <c r="D20" i="83"/>
  <c r="U13" i="105"/>
  <c r="V11" i="105"/>
  <c r="R10" i="106"/>
  <c r="D11" i="106"/>
  <c r="L25" i="105"/>
  <c r="B91" i="72"/>
  <c r="G24" i="57"/>
  <c r="V14" i="57"/>
  <c r="L24" i="107"/>
  <c r="D24" i="107"/>
  <c r="S6" i="107"/>
  <c r="K17" i="105"/>
  <c r="E18" i="107"/>
  <c r="N15" i="107"/>
  <c r="R18" i="107"/>
  <c r="L14" i="104"/>
  <c r="J18" i="108"/>
  <c r="E13" i="105"/>
  <c r="Q10" i="104"/>
  <c r="D8" i="106"/>
  <c r="D47" i="72"/>
  <c r="N12" i="105"/>
  <c r="S14" i="104"/>
  <c r="H17" i="104"/>
  <c r="G10" i="57"/>
  <c r="H21" i="104"/>
  <c r="D8" i="104"/>
  <c r="Q17" i="105"/>
  <c r="H6" i="108"/>
  <c r="Q20" i="105"/>
  <c r="D11" i="107"/>
  <c r="O12" i="105"/>
  <c r="O16" i="105"/>
  <c r="K8" i="107"/>
  <c r="G17" i="107"/>
  <c r="G15" i="108"/>
  <c r="J33" i="108"/>
  <c r="D9" i="105"/>
  <c r="N21" i="107"/>
  <c r="U6" i="106"/>
  <c r="U22" i="104"/>
  <c r="R6" i="107"/>
  <c r="D22" i="106"/>
  <c r="K24" i="108"/>
  <c r="S13" i="104"/>
  <c r="N18" i="104"/>
  <c r="R11" i="107"/>
  <c r="R25" i="108"/>
  <c r="E41" i="72"/>
  <c r="E23" i="104"/>
  <c r="N24" i="107"/>
  <c r="G21" i="107"/>
  <c r="D16" i="75"/>
  <c r="H7" i="106"/>
  <c r="K12" i="107"/>
  <c r="D24" i="57"/>
  <c r="C15" i="83"/>
  <c r="R17" i="107"/>
  <c r="H11" i="107"/>
  <c r="U19" i="106"/>
  <c r="L17" i="104"/>
  <c r="G10" i="104"/>
  <c r="C24" i="104"/>
  <c r="J24" i="108"/>
  <c r="G13" i="107"/>
  <c r="L16" i="57"/>
  <c r="C17" i="84"/>
  <c r="O19" i="57"/>
  <c r="O33" i="108"/>
  <c r="E6" i="106"/>
  <c r="H13" i="104"/>
  <c r="E21" i="104"/>
  <c r="U9" i="57"/>
  <c r="N11" i="57"/>
  <c r="C26" i="103"/>
  <c r="D6" i="108"/>
  <c r="L12" i="107"/>
  <c r="B41" i="72"/>
  <c r="K13" i="105"/>
  <c r="L13" i="104"/>
  <c r="I29" i="109"/>
  <c r="J10" i="105"/>
  <c r="L11" i="108"/>
  <c r="E14" i="107"/>
  <c r="H6" i="105"/>
  <c r="V16" i="105"/>
  <c r="Q6" i="106"/>
  <c r="K9" i="107"/>
  <c r="C21" i="104"/>
  <c r="V8" i="106"/>
  <c r="K16" i="107"/>
  <c r="R25" i="106"/>
  <c r="D7" i="104"/>
  <c r="S7" i="104"/>
  <c r="K11" i="108"/>
  <c r="G16" i="105"/>
  <c r="O21" i="107"/>
  <c r="E11" i="57"/>
  <c r="U10" i="106"/>
  <c r="C12" i="104"/>
  <c r="O6" i="57"/>
  <c r="E46" i="72"/>
  <c r="C25" i="107"/>
  <c r="H24" i="106"/>
  <c r="K12" i="105"/>
  <c r="H6" i="106"/>
  <c r="D26" i="83"/>
  <c r="C86" i="41"/>
  <c r="S23" i="108"/>
  <c r="K13" i="57"/>
  <c r="C15" i="107"/>
  <c r="O11" i="107"/>
  <c r="B93" i="72"/>
  <c r="C18" i="75"/>
  <c r="S18" i="105"/>
  <c r="S18" i="108"/>
  <c r="L19" i="108"/>
  <c r="E16" i="107"/>
  <c r="O11" i="106"/>
  <c r="H11" i="57"/>
  <c r="R33" i="108"/>
  <c r="O14" i="105"/>
  <c r="G33" i="107"/>
  <c r="V13" i="106"/>
  <c r="K6" i="104"/>
  <c r="S25" i="57"/>
  <c r="K17" i="108"/>
  <c r="E22" i="57"/>
  <c r="J25" i="104"/>
  <c r="Q7" i="107"/>
  <c r="C9" i="107"/>
  <c r="S20" i="107"/>
  <c r="H25" i="104"/>
  <c r="L11" i="107"/>
  <c r="N6" i="106"/>
  <c r="Q33" i="106"/>
  <c r="G25" i="57"/>
  <c r="H7" i="108"/>
  <c r="C33" i="57"/>
  <c r="E15" i="104"/>
  <c r="S10" i="104"/>
  <c r="R15" i="104"/>
  <c r="N33" i="104"/>
  <c r="D16" i="103"/>
  <c r="L10" i="107"/>
  <c r="H19" i="108"/>
  <c r="E11" i="107"/>
  <c r="E23" i="105"/>
  <c r="D9" i="83"/>
  <c r="L10" i="108"/>
  <c r="O18" i="107"/>
  <c r="N21" i="104"/>
  <c r="S20" i="105"/>
  <c r="R13" i="108"/>
  <c r="V11" i="106"/>
  <c r="R23" i="57"/>
  <c r="V24" i="57"/>
  <c r="K11" i="107"/>
  <c r="K15" i="105"/>
  <c r="D18" i="103"/>
  <c r="L18" i="107"/>
  <c r="G12" i="105"/>
  <c r="N8" i="108"/>
  <c r="J12" i="105"/>
  <c r="C14" i="84"/>
  <c r="U19" i="108"/>
  <c r="L21" i="105"/>
  <c r="Q22" i="108"/>
  <c r="E24" i="106"/>
  <c r="L20" i="105"/>
  <c r="S11" i="105"/>
  <c r="Q11" i="107"/>
  <c r="C21" i="107"/>
  <c r="D9" i="103"/>
  <c r="Q11" i="104"/>
  <c r="L22" i="57"/>
  <c r="J12" i="57"/>
  <c r="K21" i="107"/>
  <c r="R17" i="108"/>
  <c r="E19" i="104"/>
  <c r="L20" i="57"/>
  <c r="J8" i="57"/>
  <c r="S7" i="107"/>
  <c r="N15" i="104"/>
  <c r="S12" i="108"/>
  <c r="O24" i="106"/>
  <c r="O14" i="108"/>
  <c r="B85" i="72"/>
  <c r="K24" i="57"/>
  <c r="D9" i="85"/>
  <c r="L15" i="105"/>
  <c r="C90" i="72"/>
  <c r="N23" i="108"/>
  <c r="C23" i="103"/>
  <c r="Q24" i="108"/>
  <c r="O33" i="105"/>
  <c r="D8" i="57"/>
  <c r="S21" i="108"/>
  <c r="C12" i="108"/>
  <c r="J14" i="106"/>
  <c r="H18" i="107"/>
  <c r="C25" i="75"/>
  <c r="U22" i="106"/>
  <c r="K17" i="107"/>
  <c r="L14" i="108"/>
  <c r="G11" i="57"/>
  <c r="L10" i="105"/>
  <c r="D15" i="104"/>
  <c r="D14" i="83"/>
  <c r="H33" i="105"/>
  <c r="C13" i="104"/>
  <c r="G18" i="105"/>
  <c r="Q9" i="104"/>
  <c r="N7" i="106"/>
  <c r="H10" i="107"/>
  <c r="O8" i="105"/>
  <c r="L25" i="106"/>
  <c r="C21" i="106"/>
  <c r="D6" i="107"/>
  <c r="R7" i="108"/>
  <c r="E17" i="108"/>
  <c r="O11" i="104"/>
  <c r="R24" i="105"/>
  <c r="V10" i="106"/>
  <c r="J33" i="106"/>
  <c r="J8" i="107"/>
  <c r="O18" i="105"/>
  <c r="S23" i="104"/>
  <c r="L33" i="105"/>
  <c r="H21" i="106"/>
  <c r="N11" i="104"/>
  <c r="S6" i="106"/>
  <c r="H15" i="104"/>
  <c r="L21" i="57"/>
  <c r="C26" i="75"/>
  <c r="C23" i="84"/>
  <c r="G21" i="57"/>
  <c r="C7" i="108"/>
  <c r="D20" i="104"/>
  <c r="H12" i="105"/>
  <c r="C9" i="75"/>
  <c r="S24" i="106"/>
  <c r="C19" i="107"/>
  <c r="V8" i="107"/>
  <c r="O24" i="108"/>
  <c r="C14" i="104"/>
  <c r="G18" i="57"/>
  <c r="G16" i="107"/>
  <c r="D33" i="108"/>
  <c r="H19" i="105"/>
  <c r="S17" i="104"/>
  <c r="S16" i="108"/>
  <c r="L23" i="57"/>
  <c r="N17" i="104"/>
  <c r="V18" i="106"/>
  <c r="E10" i="108"/>
  <c r="O17" i="104"/>
  <c r="H8" i="108"/>
  <c r="V21" i="108"/>
  <c r="O9" i="57"/>
  <c r="R7" i="107"/>
  <c r="L12" i="104"/>
  <c r="E16" i="57"/>
  <c r="D17" i="107"/>
  <c r="D25" i="85"/>
  <c r="Q25" i="104"/>
  <c r="N9" i="57"/>
  <c r="O17" i="108"/>
  <c r="D12" i="103"/>
  <c r="C8" i="57"/>
  <c r="K7" i="104"/>
  <c r="K33" i="105"/>
  <c r="U25" i="57"/>
  <c r="L14" i="105"/>
  <c r="K14" i="105"/>
  <c r="K14" i="106"/>
  <c r="D23" i="75"/>
  <c r="L13" i="107"/>
  <c r="D11" i="104"/>
  <c r="N22" i="108"/>
  <c r="Q7" i="104"/>
  <c r="C13" i="106"/>
  <c r="G6" i="104"/>
  <c r="L7" i="107"/>
  <c r="H23" i="108"/>
  <c r="U22" i="57"/>
  <c r="R13" i="57"/>
  <c r="G25" i="108"/>
  <c r="N6" i="104"/>
  <c r="J10" i="57"/>
  <c r="H14" i="105"/>
  <c r="J10" i="108"/>
  <c r="V10" i="105"/>
  <c r="U19" i="57"/>
  <c r="V15" i="106"/>
  <c r="E23" i="57"/>
  <c r="G10" i="106"/>
  <c r="Q12" i="107"/>
  <c r="D10" i="83"/>
  <c r="G14" i="105"/>
  <c r="E22" i="104"/>
  <c r="J8" i="105"/>
  <c r="S11" i="107"/>
  <c r="Q23" i="106"/>
  <c r="Q14" i="105"/>
  <c r="V9" i="57"/>
  <c r="D23" i="107"/>
  <c r="J16" i="108"/>
  <c r="S22" i="104"/>
  <c r="E33" i="108"/>
  <c r="D18" i="105"/>
  <c r="U15" i="105"/>
  <c r="S21" i="104"/>
  <c r="Q15" i="105"/>
  <c r="V12" i="105"/>
  <c r="G23" i="107"/>
  <c r="U8" i="107"/>
  <c r="V16" i="106"/>
  <c r="G24" i="104"/>
  <c r="V10" i="108"/>
  <c r="D22" i="84"/>
  <c r="J21" i="108"/>
  <c r="O25" i="57"/>
  <c r="O22" i="107"/>
  <c r="L22" i="105"/>
  <c r="R23" i="107"/>
  <c r="N9" i="107"/>
  <c r="R9" i="104"/>
  <c r="S14" i="57"/>
  <c r="H41" i="78"/>
  <c r="G33" i="57"/>
  <c r="E16" i="106"/>
  <c r="R6" i="104"/>
  <c r="S11" i="57"/>
  <c r="G15" i="57"/>
  <c r="S8" i="104"/>
  <c r="C14" i="85"/>
  <c r="Q25" i="105"/>
  <c r="B102" i="72"/>
  <c r="Q25" i="57"/>
  <c r="D13" i="57"/>
  <c r="C11" i="103"/>
  <c r="L16" i="105"/>
  <c r="U11" i="108"/>
  <c r="E41" i="78"/>
  <c r="R16" i="57"/>
  <c r="D16" i="105"/>
  <c r="C12" i="105"/>
  <c r="Q13" i="108"/>
  <c r="G7" i="104"/>
  <c r="H20" i="105"/>
  <c r="Q8" i="106"/>
  <c r="U13" i="106"/>
  <c r="O13" i="107"/>
  <c r="O10" i="104"/>
  <c r="C19" i="106"/>
  <c r="N12" i="108"/>
  <c r="G20" i="108"/>
  <c r="H33" i="108"/>
  <c r="O33" i="57"/>
  <c r="J11" i="104"/>
  <c r="N22" i="106"/>
  <c r="V24" i="106"/>
  <c r="C26" i="83"/>
  <c r="C17" i="75"/>
  <c r="R14" i="107"/>
  <c r="C8" i="106"/>
  <c r="C14" i="107"/>
  <c r="H33" i="107"/>
  <c r="L23" i="104"/>
  <c r="K24" i="107"/>
  <c r="N13" i="106"/>
  <c r="J15" i="108"/>
  <c r="D16" i="106"/>
  <c r="E9" i="105"/>
  <c r="C18" i="108"/>
  <c r="V33" i="57"/>
  <c r="D15" i="107"/>
  <c r="L18" i="105"/>
  <c r="L8" i="108"/>
  <c r="N8" i="107"/>
  <c r="J25" i="106"/>
  <c r="D13" i="104"/>
  <c r="C16" i="106"/>
  <c r="Q19" i="57"/>
  <c r="N10" i="104"/>
  <c r="L10" i="104"/>
  <c r="J8" i="104"/>
  <c r="K14" i="107"/>
  <c r="K6" i="108"/>
  <c r="K13" i="104"/>
  <c r="U21" i="106"/>
  <c r="K19" i="105"/>
  <c r="R24" i="108"/>
  <c r="Q8" i="105"/>
  <c r="R8" i="105"/>
  <c r="L13" i="108"/>
  <c r="R33" i="104"/>
  <c r="J19" i="104"/>
  <c r="E47" i="72"/>
  <c r="D13" i="106"/>
  <c r="O21" i="57"/>
  <c r="N24" i="108"/>
  <c r="D20" i="107"/>
  <c r="L16" i="104"/>
  <c r="S13" i="107"/>
  <c r="L11" i="105"/>
  <c r="S22" i="108"/>
  <c r="D18" i="104"/>
  <c r="C17" i="103"/>
  <c r="C12" i="85"/>
  <c r="Q19" i="108"/>
  <c r="V21" i="104"/>
  <c r="H8" i="106"/>
  <c r="K21" i="57"/>
  <c r="C16" i="104"/>
  <c r="S9" i="106"/>
  <c r="O9" i="105"/>
  <c r="D27" i="75"/>
  <c r="V15" i="104"/>
  <c r="D16" i="85"/>
  <c r="J24" i="104"/>
  <c r="K18" i="57"/>
  <c r="S23" i="107"/>
  <c r="S13" i="106"/>
  <c r="J25" i="108"/>
  <c r="R7" i="106"/>
  <c r="H16" i="104"/>
  <c r="L12" i="105"/>
  <c r="V25" i="106"/>
  <c r="E33" i="104"/>
  <c r="Q8" i="57"/>
  <c r="D12" i="107"/>
  <c r="G23" i="108"/>
  <c r="O7" i="105"/>
  <c r="D23" i="105"/>
  <c r="G6" i="107"/>
  <c r="B84" i="72"/>
  <c r="U20" i="108"/>
  <c r="O11" i="108"/>
  <c r="J21" i="107"/>
  <c r="K22" i="106"/>
  <c r="K7" i="105"/>
  <c r="J16" i="105"/>
  <c r="N18" i="108"/>
  <c r="C101" i="72"/>
  <c r="O18" i="106"/>
  <c r="N20" i="108"/>
  <c r="D14" i="85"/>
  <c r="Q11" i="106"/>
  <c r="S18" i="107"/>
  <c r="N16" i="104"/>
  <c r="L204" i="41"/>
  <c r="L16" i="107"/>
  <c r="G14" i="108"/>
  <c r="B101" i="72"/>
  <c r="N13" i="107"/>
  <c r="G41" i="72"/>
  <c r="H8" i="105"/>
  <c r="J33" i="107"/>
  <c r="G12" i="104"/>
  <c r="F42" i="78"/>
  <c r="Q8" i="104"/>
  <c r="C19" i="85"/>
  <c r="E6" i="107"/>
  <c r="D14" i="105"/>
  <c r="D7" i="57"/>
  <c r="D10" i="104"/>
  <c r="O24" i="104"/>
  <c r="D27" i="83"/>
  <c r="E16" i="105"/>
  <c r="J17" i="107"/>
  <c r="D22" i="107"/>
  <c r="D21" i="108"/>
  <c r="R22" i="107"/>
  <c r="V15" i="107"/>
  <c r="C13" i="105"/>
  <c r="J24" i="106"/>
  <c r="C13" i="107"/>
  <c r="J18" i="57"/>
  <c r="U21" i="105"/>
  <c r="G23" i="105"/>
  <c r="H23" i="106"/>
  <c r="C23" i="108"/>
  <c r="N14" i="108"/>
  <c r="H21" i="57"/>
  <c r="S12" i="104"/>
  <c r="C6" i="104"/>
  <c r="U19" i="105"/>
  <c r="S13" i="108"/>
  <c r="G14" i="104"/>
  <c r="C86" i="72"/>
  <c r="G13" i="57"/>
  <c r="I46" i="72"/>
  <c r="O9" i="107"/>
  <c r="N19" i="57"/>
  <c r="D7" i="108"/>
  <c r="Q22" i="105"/>
  <c r="K21" i="105"/>
  <c r="R15" i="105"/>
  <c r="K25" i="104"/>
  <c r="C12" i="75"/>
  <c r="U25" i="106"/>
  <c r="R25" i="57"/>
  <c r="H22" i="105"/>
  <c r="G47" i="72"/>
  <c r="R6" i="57"/>
  <c r="V12" i="104"/>
  <c r="L17" i="57"/>
  <c r="E33" i="106"/>
  <c r="N17" i="105"/>
  <c r="C11" i="106"/>
  <c r="R21" i="108"/>
  <c r="D27" i="103"/>
  <c r="O25" i="106"/>
  <c r="E6" i="108"/>
  <c r="V15" i="108"/>
  <c r="R20" i="105"/>
  <c r="C22" i="85"/>
  <c r="U33" i="104"/>
  <c r="D23" i="41"/>
  <c r="H18" i="108"/>
  <c r="R10" i="104"/>
  <c r="S23" i="105"/>
  <c r="N33" i="105"/>
  <c r="G18" i="108"/>
  <c r="K11" i="104"/>
  <c r="R20" i="106"/>
  <c r="H12" i="106"/>
  <c r="N19" i="107"/>
  <c r="V8" i="104"/>
  <c r="D19" i="104"/>
  <c r="O24" i="105"/>
  <c r="G10" i="108"/>
  <c r="J11" i="107"/>
  <c r="V13" i="104"/>
  <c r="R9" i="106"/>
  <c r="C24" i="57"/>
  <c r="D27" i="84"/>
  <c r="C102" i="72"/>
  <c r="K22" i="57"/>
  <c r="E22" i="106"/>
  <c r="V6" i="104"/>
  <c r="Q19" i="107"/>
  <c r="U18" i="104"/>
  <c r="O33" i="104"/>
  <c r="Q17" i="104"/>
  <c r="U13" i="107"/>
  <c r="N17" i="107"/>
  <c r="Q11" i="108"/>
  <c r="C6" i="108"/>
  <c r="R19" i="105"/>
  <c r="G8" i="57"/>
  <c r="N14" i="105"/>
  <c r="C25" i="85"/>
  <c r="U7" i="105"/>
  <c r="G9" i="108"/>
  <c r="C9" i="105"/>
  <c r="D13" i="75"/>
  <c r="H7" i="107"/>
  <c r="C47" i="72"/>
  <c r="R21" i="107"/>
  <c r="U9" i="104"/>
  <c r="N13" i="108"/>
  <c r="D22" i="104"/>
  <c r="U17" i="108"/>
  <c r="E8" i="57"/>
  <c r="V9" i="107"/>
  <c r="L7" i="106"/>
  <c r="S21" i="107"/>
  <c r="G19" i="57"/>
  <c r="K25" i="108"/>
  <c r="C17" i="108"/>
  <c r="S18" i="57"/>
  <c r="E12" i="108"/>
  <c r="Q9" i="106"/>
  <c r="G17" i="104"/>
  <c r="S23" i="106"/>
  <c r="U10" i="107"/>
  <c r="O12" i="108"/>
  <c r="D21" i="85"/>
  <c r="L29" i="109"/>
  <c r="G21" i="105"/>
  <c r="O17" i="105"/>
  <c r="E21" i="57"/>
  <c r="O25" i="105"/>
  <c r="D33" i="106"/>
  <c r="D21" i="84"/>
  <c r="V13" i="105"/>
  <c r="Q13" i="106"/>
  <c r="J16" i="107"/>
  <c r="V18" i="57"/>
  <c r="U18" i="108"/>
  <c r="R15" i="107"/>
  <c r="E15" i="106"/>
  <c r="J14" i="104"/>
  <c r="L24" i="104"/>
  <c r="R23" i="105"/>
  <c r="N10" i="57"/>
  <c r="N20" i="104"/>
  <c r="R12" i="105"/>
  <c r="J23" i="57"/>
  <c r="S19" i="108"/>
  <c r="Q21" i="104"/>
  <c r="O20" i="105"/>
  <c r="G12" i="106"/>
  <c r="N23" i="57"/>
  <c r="D23" i="104"/>
  <c r="E15" i="107"/>
  <c r="D25" i="75"/>
  <c r="D25" i="106"/>
  <c r="C13" i="85"/>
  <c r="Q10" i="107"/>
  <c r="E21" i="106"/>
  <c r="G12" i="108"/>
  <c r="J10" i="104"/>
  <c r="K22" i="105"/>
  <c r="E12" i="106"/>
  <c r="L12" i="106"/>
  <c r="S17" i="108"/>
  <c r="U24" i="105"/>
  <c r="H25" i="106"/>
  <c r="N8" i="106"/>
  <c r="C19" i="84"/>
  <c r="U7" i="108"/>
  <c r="J10" i="107"/>
  <c r="L11" i="57"/>
  <c r="B90" i="72"/>
  <c r="K17" i="104"/>
  <c r="L6" i="104"/>
  <c r="V20" i="105"/>
  <c r="H22" i="107"/>
  <c r="H8" i="104"/>
  <c r="H19" i="104"/>
  <c r="J9" i="106"/>
  <c r="K8" i="104"/>
  <c r="S24" i="108"/>
  <c r="D21" i="57"/>
  <c r="R24" i="104"/>
  <c r="U25" i="108"/>
  <c r="G16" i="57"/>
  <c r="D11" i="75"/>
  <c r="E6" i="105"/>
  <c r="L10" i="106"/>
  <c r="L25" i="104"/>
  <c r="K23" i="106"/>
  <c r="H14" i="57"/>
  <c r="C10" i="107"/>
  <c r="G33" i="105"/>
  <c r="S25" i="106"/>
  <c r="K15" i="104"/>
  <c r="O24" i="107"/>
  <c r="D16" i="104"/>
  <c r="L6" i="107"/>
  <c r="V18" i="105"/>
  <c r="O13" i="108"/>
  <c r="K16" i="57"/>
  <c r="V24" i="108"/>
  <c r="S14" i="105"/>
  <c r="L22" i="108"/>
  <c r="E11" i="104"/>
  <c r="Q19" i="105"/>
  <c r="C24" i="103"/>
  <c r="J21" i="106"/>
  <c r="L13" i="57"/>
  <c r="G13" i="104"/>
  <c r="C91" i="72"/>
  <c r="L7" i="105"/>
  <c r="H13" i="107"/>
  <c r="U10" i="104"/>
  <c r="Q23" i="57"/>
  <c r="J22" i="104"/>
  <c r="G7" i="105"/>
  <c r="D17" i="103"/>
  <c r="N9" i="105"/>
  <c r="O25" i="107"/>
  <c r="K9" i="57"/>
  <c r="D17" i="106"/>
  <c r="K33" i="107"/>
  <c r="U9" i="105"/>
  <c r="C21" i="85"/>
  <c r="V18" i="104"/>
  <c r="U16" i="108"/>
  <c r="S22" i="57"/>
  <c r="V7" i="106"/>
  <c r="R12" i="106"/>
  <c r="G46" i="72"/>
  <c r="U25" i="105"/>
  <c r="E8" i="106"/>
  <c r="S19" i="105"/>
  <c r="K33" i="104"/>
  <c r="S9" i="108"/>
  <c r="H17" i="106"/>
  <c r="S33" i="57"/>
  <c r="L22" i="106"/>
  <c r="Q15" i="104"/>
  <c r="R17" i="104"/>
  <c r="G42" i="72"/>
  <c r="C27" i="83"/>
  <c r="J17" i="57"/>
  <c r="G10" i="105"/>
  <c r="N24" i="106"/>
  <c r="D11" i="85"/>
  <c r="Q7" i="57"/>
  <c r="R25" i="105"/>
  <c r="C17" i="57"/>
  <c r="S12" i="105"/>
  <c r="D14" i="103"/>
  <c r="V33" i="108"/>
  <c r="E25" i="104"/>
  <c r="O17" i="106"/>
  <c r="V12" i="106"/>
  <c r="N8" i="104"/>
  <c r="C21" i="105"/>
  <c r="R21" i="105"/>
  <c r="N16" i="57"/>
  <c r="G20" i="105"/>
  <c r="Q11" i="105"/>
  <c r="D13" i="108"/>
  <c r="O20" i="57"/>
  <c r="C23" i="41"/>
  <c r="J20" i="104"/>
  <c r="Q24" i="57"/>
  <c r="G11" i="105"/>
  <c r="U11" i="104"/>
  <c r="C14" i="105"/>
  <c r="K17" i="106"/>
  <c r="D23" i="57"/>
  <c r="R11" i="57"/>
  <c r="R6" i="108"/>
  <c r="K20" i="107"/>
  <c r="C10" i="104"/>
  <c r="O18" i="108"/>
  <c r="Q20" i="106"/>
  <c r="H25" i="105"/>
  <c r="O7" i="108"/>
  <c r="S16" i="57"/>
  <c r="H10" i="106"/>
  <c r="D25" i="103"/>
  <c r="K23" i="104"/>
  <c r="D9" i="107"/>
  <c r="D6" i="105"/>
  <c r="L11" i="106"/>
  <c r="E25" i="107"/>
  <c r="V10" i="57"/>
  <c r="L9" i="108"/>
  <c r="E8" i="104"/>
  <c r="Q18" i="107"/>
  <c r="S16" i="107"/>
  <c r="C24" i="108"/>
  <c r="C12" i="83"/>
  <c r="R21" i="104"/>
  <c r="U23" i="105"/>
  <c r="H23" i="107"/>
  <c r="C16" i="83"/>
  <c r="U15" i="106"/>
  <c r="D42" i="78"/>
  <c r="Q9" i="107"/>
  <c r="G22" i="107"/>
  <c r="V7" i="105"/>
  <c r="V14" i="106"/>
  <c r="Q25" i="108"/>
  <c r="K24" i="106"/>
  <c r="S15" i="106"/>
  <c r="Q12" i="105"/>
  <c r="C23" i="75"/>
  <c r="E25" i="108"/>
  <c r="H18" i="105"/>
  <c r="R16" i="104"/>
  <c r="C7" i="57"/>
  <c r="G19" i="106"/>
  <c r="D24" i="83"/>
  <c r="K15" i="107"/>
  <c r="L24" i="57"/>
  <c r="C25" i="84"/>
  <c r="O22" i="105"/>
  <c r="U6" i="107"/>
  <c r="J13" i="108"/>
  <c r="L25" i="57"/>
  <c r="C7" i="106"/>
  <c r="N15" i="106"/>
  <c r="R33" i="106"/>
  <c r="Q33" i="57"/>
  <c r="R24" i="107"/>
  <c r="D6" i="104"/>
  <c r="N10" i="106"/>
  <c r="J8" i="106"/>
  <c r="Q33" i="108"/>
  <c r="O15" i="106"/>
  <c r="C25" i="106"/>
  <c r="Q12" i="57"/>
  <c r="N19" i="105"/>
  <c r="L24" i="105"/>
  <c r="U11" i="57"/>
  <c r="O22" i="57"/>
  <c r="C25" i="103"/>
  <c r="U8" i="106"/>
  <c r="G11" i="104"/>
  <c r="D19" i="75"/>
  <c r="C19" i="83"/>
  <c r="N22" i="107"/>
  <c r="C11" i="83"/>
  <c r="O21" i="105"/>
  <c r="N7" i="104"/>
  <c r="L7" i="57"/>
  <c r="L24" i="106"/>
  <c r="U18" i="105"/>
  <c r="Q15" i="108"/>
  <c r="C19" i="57"/>
  <c r="E17" i="106"/>
  <c r="G6" i="108"/>
  <c r="C26" i="84"/>
  <c r="K7" i="107"/>
  <c r="C13" i="83"/>
  <c r="E23" i="41"/>
  <c r="L18" i="108"/>
  <c r="C10" i="57"/>
  <c r="S12" i="107"/>
  <c r="C92" i="72"/>
  <c r="D26" i="85"/>
  <c r="J33" i="57"/>
  <c r="E9" i="104"/>
  <c r="E33" i="107"/>
  <c r="S17" i="107"/>
  <c r="D10" i="106"/>
  <c r="K20" i="104"/>
  <c r="E19" i="108"/>
  <c r="K7" i="108"/>
  <c r="D8" i="105"/>
  <c r="U24" i="104"/>
  <c r="J12" i="104"/>
  <c r="O10" i="107"/>
  <c r="S21" i="105"/>
  <c r="F46" i="109"/>
  <c r="U11" i="106"/>
  <c r="D17" i="105"/>
  <c r="K20" i="106"/>
  <c r="D18" i="108"/>
  <c r="C6" i="57"/>
  <c r="G18" i="107"/>
  <c r="U22" i="108"/>
  <c r="E7" i="105"/>
  <c r="J7" i="105"/>
  <c r="H20" i="57"/>
  <c r="Q19" i="104"/>
  <c r="N22" i="57"/>
  <c r="D46" i="72"/>
  <c r="H8" i="57"/>
  <c r="S11" i="106"/>
  <c r="Q23" i="108"/>
  <c r="R13" i="105"/>
  <c r="B88" i="72"/>
  <c r="N15" i="108"/>
  <c r="O21" i="108"/>
  <c r="G19" i="107"/>
  <c r="D24" i="106"/>
  <c r="K19" i="104"/>
  <c r="C6" i="105"/>
  <c r="K6" i="105"/>
  <c r="Q18" i="105"/>
  <c r="K23" i="107"/>
  <c r="D10" i="57"/>
  <c r="H22" i="108"/>
  <c r="U16" i="57"/>
  <c r="B41" i="78"/>
  <c r="V17" i="107"/>
  <c r="V19" i="106"/>
  <c r="E13" i="57"/>
  <c r="C10" i="108"/>
  <c r="K8" i="106"/>
  <c r="E12" i="107"/>
  <c r="U7" i="106"/>
  <c r="V23" i="106"/>
  <c r="R14" i="104"/>
  <c r="R8" i="104"/>
  <c r="J22" i="107"/>
  <c r="C85" i="72"/>
  <c r="C7" i="105"/>
  <c r="U21" i="104"/>
  <c r="O19" i="106"/>
  <c r="O19" i="107"/>
  <c r="J9" i="104"/>
  <c r="K21" i="104"/>
  <c r="R14" i="105"/>
  <c r="H24" i="57"/>
  <c r="O16" i="108"/>
  <c r="Q9" i="105"/>
  <c r="G42" i="78"/>
  <c r="Q18" i="57"/>
  <c r="D22" i="103"/>
  <c r="C19" i="108"/>
  <c r="G22" i="104"/>
  <c r="F29" i="109"/>
  <c r="Q7" i="106"/>
  <c r="C15" i="84"/>
  <c r="U7" i="57"/>
  <c r="U6" i="108"/>
  <c r="D10" i="75"/>
  <c r="G7" i="57"/>
  <c r="E42" i="78"/>
  <c r="O29" i="109"/>
  <c r="U18" i="57"/>
  <c r="V24" i="104"/>
  <c r="H9" i="106"/>
  <c r="D8" i="108"/>
  <c r="L13" i="105"/>
  <c r="C11" i="104"/>
  <c r="V20" i="104"/>
  <c r="U10" i="108"/>
  <c r="L17" i="107"/>
  <c r="L18" i="104"/>
  <c r="G7" i="106"/>
  <c r="S19" i="104"/>
  <c r="J18" i="105"/>
  <c r="O46" i="109"/>
  <c r="AL61" i="68" l="1"/>
  <c r="AM59" i="68"/>
  <c r="AL59" i="68"/>
  <c r="V74" i="68"/>
  <c r="X48" i="68"/>
  <c r="X46" i="68"/>
  <c r="AF44" i="68"/>
  <c r="AF76" i="68" s="1"/>
  <c r="I46" i="109"/>
  <c r="K81" i="68" l="1"/>
  <c r="J81" i="68"/>
  <c r="B88" i="68" s="1"/>
  <c r="B100" i="68" s="1"/>
  <c r="J79" i="68"/>
  <c r="J80" i="68"/>
  <c r="K80" i="68"/>
  <c r="K79" i="68"/>
  <c r="Z76" i="68"/>
  <c r="AK52" i="68"/>
  <c r="AJ52" i="68"/>
  <c r="AI52" i="68"/>
  <c r="AH52" i="68"/>
  <c r="AG52" i="68"/>
  <c r="AF52" i="68"/>
  <c r="AD45" i="68"/>
  <c r="AC45" i="68"/>
  <c r="AB45" i="68"/>
  <c r="AA45" i="68"/>
  <c r="Z45" i="68"/>
  <c r="X45" i="68"/>
  <c r="AE45" i="68"/>
  <c r="AM52" i="68" l="1"/>
  <c r="AL52" i="68"/>
  <c r="AE42" i="68"/>
  <c r="D100" i="68"/>
  <c r="AJ28" i="68"/>
  <c r="AJ4" i="68"/>
  <c r="AA44" i="68" l="1"/>
  <c r="AM74" i="68"/>
  <c r="AL74" i="68"/>
  <c r="AF74" i="68"/>
  <c r="AM42" i="68"/>
  <c r="AL42" i="68"/>
  <c r="AF42" i="68"/>
  <c r="AB44" i="68" l="1"/>
  <c r="AG44" i="68"/>
  <c r="AA76" i="68"/>
  <c r="V82" i="68"/>
  <c r="AG76" i="68" l="1"/>
  <c r="AG74" i="68" s="1"/>
  <c r="AG42" i="68"/>
  <c r="AC44" i="68"/>
  <c r="AH44" i="68"/>
  <c r="AB76" i="68"/>
  <c r="AJ3" i="75"/>
  <c r="AJ3" i="103"/>
  <c r="AJ3" i="85"/>
  <c r="AJ3" i="83"/>
  <c r="AH76" i="68" l="1"/>
  <c r="AH74" i="68" s="1"/>
  <c r="AH42" i="68"/>
  <c r="AD44" i="68"/>
  <c r="AI44" i="68"/>
  <c r="AC76" i="68"/>
  <c r="A83" i="78"/>
  <c r="A82" i="78"/>
  <c r="A81" i="78"/>
  <c r="A80" i="78"/>
  <c r="A79" i="78"/>
  <c r="H82" i="72"/>
  <c r="E4" i="78"/>
  <c r="AE44" i="68" l="1"/>
  <c r="AJ44" i="68"/>
  <c r="AD76" i="68"/>
  <c r="AI76" i="68"/>
  <c r="AI74" i="68" s="1"/>
  <c r="AI42" i="68"/>
  <c r="R88" i="78"/>
  <c r="L88" i="78"/>
  <c r="B57" i="78"/>
  <c r="B44" i="78"/>
  <c r="B39" i="78"/>
  <c r="I12" i="109"/>
  <c r="O4" i="153" s="1"/>
  <c r="F12" i="109"/>
  <c r="I10" i="109"/>
  <c r="K4" i="153" s="1"/>
  <c r="F10" i="109"/>
  <c r="F9" i="109"/>
  <c r="F8" i="109"/>
  <c r="E16" i="109"/>
  <c r="W4" i="149" s="1"/>
  <c r="E14" i="109"/>
  <c r="S4" i="149" s="1"/>
  <c r="E13" i="109"/>
  <c r="E12" i="109"/>
  <c r="O4" i="149" s="1"/>
  <c r="E11" i="109"/>
  <c r="M4" i="149" s="1"/>
  <c r="E10" i="109"/>
  <c r="K4" i="149" s="1"/>
  <c r="E9" i="109"/>
  <c r="I4" i="149" s="1"/>
  <c r="E8" i="109"/>
  <c r="G4" i="149" s="1"/>
  <c r="L108" i="78"/>
  <c r="M108" i="78"/>
  <c r="X17" i="149" l="1"/>
  <c r="X12" i="149"/>
  <c r="W19" i="149"/>
  <c r="W16" i="149"/>
  <c r="W17" i="149"/>
  <c r="W13" i="149"/>
  <c r="X19" i="149"/>
  <c r="X9" i="149"/>
  <c r="W15" i="149"/>
  <c r="W11" i="149"/>
  <c r="W20" i="149"/>
  <c r="W14" i="149"/>
  <c r="X13" i="149"/>
  <c r="X20" i="149"/>
  <c r="X11" i="149"/>
  <c r="X10" i="149"/>
  <c r="W10" i="149"/>
  <c r="W21" i="149"/>
  <c r="W12" i="149"/>
  <c r="W9" i="149"/>
  <c r="X15" i="149"/>
  <c r="X14" i="149"/>
  <c r="X18" i="149"/>
  <c r="X21" i="149"/>
  <c r="W18" i="149"/>
  <c r="X16" i="149"/>
  <c r="R4" i="149"/>
  <c r="Q4" i="149"/>
  <c r="S23" i="149"/>
  <c r="S14" i="149"/>
  <c r="T19" i="149"/>
  <c r="T10" i="149"/>
  <c r="S16" i="149"/>
  <c r="S18" i="149"/>
  <c r="T9" i="149"/>
  <c r="T24" i="149"/>
  <c r="T21" i="149"/>
  <c r="T22" i="149"/>
  <c r="S9" i="149"/>
  <c r="S20" i="149"/>
  <c r="S11" i="149"/>
  <c r="T18" i="149"/>
  <c r="S24" i="149"/>
  <c r="T16" i="149"/>
  <c r="S22" i="149"/>
  <c r="S17" i="149"/>
  <c r="T20" i="149"/>
  <c r="S26" i="149"/>
  <c r="T23" i="149"/>
  <c r="T17" i="149"/>
  <c r="T14" i="149"/>
  <c r="S19" i="149"/>
  <c r="T13" i="149"/>
  <c r="T11" i="149"/>
  <c r="S21" i="149"/>
  <c r="T26" i="149"/>
  <c r="T25" i="149"/>
  <c r="S13" i="149"/>
  <c r="S10" i="149"/>
  <c r="S25" i="149"/>
  <c r="G26" i="149"/>
  <c r="H26" i="149"/>
  <c r="H22" i="149"/>
  <c r="G21" i="149"/>
  <c r="H21" i="149"/>
  <c r="H23" i="149"/>
  <c r="G23" i="149"/>
  <c r="H24" i="149"/>
  <c r="G24" i="149"/>
  <c r="G22" i="149"/>
  <c r="G4" i="83"/>
  <c r="I4" i="83"/>
  <c r="K4" i="83"/>
  <c r="K4" i="84"/>
  <c r="O4" i="83"/>
  <c r="O4" i="84"/>
  <c r="AJ76" i="68"/>
  <c r="AJ74" i="68" s="1"/>
  <c r="AJ42" i="68"/>
  <c r="AK44" i="68"/>
  <c r="AE76" i="68"/>
  <c r="X36" i="149" l="1"/>
  <c r="W28" i="149"/>
  <c r="W34" i="149"/>
  <c r="X28" i="149"/>
  <c r="X34" i="149"/>
  <c r="W36" i="149"/>
  <c r="AK76" i="68"/>
  <c r="AK74" i="68" s="1"/>
  <c r="AK42" i="68"/>
  <c r="A145" i="70"/>
  <c r="A144" i="70"/>
  <c r="A143" i="70"/>
  <c r="A142" i="70"/>
  <c r="A141" i="70"/>
  <c r="A140" i="70"/>
  <c r="A139" i="70"/>
  <c r="A138" i="70"/>
  <c r="A137" i="70"/>
  <c r="A136" i="70"/>
  <c r="A135" i="70"/>
  <c r="A134" i="70"/>
  <c r="A133" i="70"/>
  <c r="F172" i="70"/>
  <c r="P151" i="69"/>
  <c r="A146" i="69"/>
  <c r="A145" i="69"/>
  <c r="A144" i="69"/>
  <c r="A143" i="69"/>
  <c r="A142" i="69"/>
  <c r="A141" i="69"/>
  <c r="A140" i="69"/>
  <c r="A139" i="69"/>
  <c r="A138" i="69"/>
  <c r="A137" i="69"/>
  <c r="A136" i="69"/>
  <c r="A135" i="69"/>
  <c r="A134" i="69"/>
  <c r="A39" i="69"/>
  <c r="X27" i="149" l="1"/>
  <c r="X29" i="149"/>
  <c r="W29" i="149"/>
  <c r="W27" i="149"/>
  <c r="R151" i="69"/>
  <c r="T151" i="69" s="1"/>
  <c r="V151" i="69" s="1"/>
  <c r="X151" i="69" s="1"/>
  <c r="Z151" i="69" s="1"/>
  <c r="AB151" i="69" s="1"/>
  <c r="AD151" i="69" s="1"/>
  <c r="AF151" i="69" s="1"/>
  <c r="AH151" i="69" s="1"/>
  <c r="AJ151" i="69" s="1"/>
  <c r="AL151" i="69" s="1"/>
  <c r="AN151" i="69" s="1"/>
  <c r="V29" i="68"/>
  <c r="AM28" i="68"/>
  <c r="AL28" i="68"/>
  <c r="AK28" i="68"/>
  <c r="AI28" i="68"/>
  <c r="AH28" i="68"/>
  <c r="AG28" i="68"/>
  <c r="AF28" i="68"/>
  <c r="AE28" i="68"/>
  <c r="AM4" i="68"/>
  <c r="AL4" i="68"/>
  <c r="AK4" i="68"/>
  <c r="AI4" i="68"/>
  <c r="AH4" i="68"/>
  <c r="AG4" i="68"/>
  <c r="AF4" i="68"/>
  <c r="AE4" i="68"/>
  <c r="X4" i="68"/>
  <c r="N131" i="108"/>
  <c r="K131" i="108"/>
  <c r="G131" i="108"/>
  <c r="D131" i="108"/>
  <c r="E110" i="108"/>
  <c r="D110" i="108"/>
  <c r="E109" i="108"/>
  <c r="H109" i="108" s="1"/>
  <c r="D109" i="108"/>
  <c r="G109" i="108" s="1"/>
  <c r="E108" i="108"/>
  <c r="D108" i="108"/>
  <c r="G108" i="108" s="1"/>
  <c r="E107" i="108"/>
  <c r="H107" i="108" s="1"/>
  <c r="D107" i="108"/>
  <c r="A107" i="108"/>
  <c r="A108" i="108" s="1"/>
  <c r="H106" i="108"/>
  <c r="G106" i="108"/>
  <c r="A106" i="108"/>
  <c r="H105" i="108"/>
  <c r="G105" i="108"/>
  <c r="A105" i="108"/>
  <c r="H104" i="108"/>
  <c r="G104" i="108"/>
  <c r="A104" i="108"/>
  <c r="H103" i="108"/>
  <c r="G103" i="108"/>
  <c r="A103" i="108"/>
  <c r="H102" i="108"/>
  <c r="G102" i="108"/>
  <c r="A102" i="108"/>
  <c r="H101" i="108"/>
  <c r="G101" i="108"/>
  <c r="A101" i="108"/>
  <c r="E100" i="108"/>
  <c r="A100" i="108"/>
  <c r="E99" i="108"/>
  <c r="D99" i="108"/>
  <c r="G99" i="108" s="1"/>
  <c r="A99" i="108"/>
  <c r="E98" i="108"/>
  <c r="D98" i="108"/>
  <c r="G98" i="108" s="1"/>
  <c r="A98" i="108"/>
  <c r="E97" i="108"/>
  <c r="A97" i="108"/>
  <c r="E96" i="108"/>
  <c r="A96" i="108"/>
  <c r="E95" i="108"/>
  <c r="H95" i="108" s="1"/>
  <c r="D95" i="108"/>
  <c r="A95" i="108"/>
  <c r="E94" i="108"/>
  <c r="H94" i="108" s="1"/>
  <c r="A94" i="108"/>
  <c r="E93" i="108"/>
  <c r="A93" i="108"/>
  <c r="E92" i="108"/>
  <c r="H92" i="108" s="1"/>
  <c r="D92" i="108"/>
  <c r="G92" i="108" s="1"/>
  <c r="A92" i="108"/>
  <c r="G91" i="108"/>
  <c r="E91" i="108"/>
  <c r="A91" i="108"/>
  <c r="D100" i="108"/>
  <c r="P85" i="108"/>
  <c r="S84" i="108"/>
  <c r="A61" i="108"/>
  <c r="A62" i="108" s="1"/>
  <c r="A63" i="108" s="1"/>
  <c r="A64" i="108" s="1"/>
  <c r="A65" i="108" s="1"/>
  <c r="A66" i="108" s="1"/>
  <c r="A67" i="108" s="1"/>
  <c r="A68" i="108" s="1"/>
  <c r="A69" i="108" s="1"/>
  <c r="A70" i="108" s="1"/>
  <c r="A71" i="108" s="1"/>
  <c r="A72" i="108" s="1"/>
  <c r="A73" i="108" s="1"/>
  <c r="A74" i="108" s="1"/>
  <c r="A75" i="108" s="1"/>
  <c r="A76" i="108" s="1"/>
  <c r="A42" i="108"/>
  <c r="A43" i="108" s="1"/>
  <c r="A44" i="108" s="1"/>
  <c r="A45" i="108" s="1"/>
  <c r="A46" i="108" s="1"/>
  <c r="A47" i="108" s="1"/>
  <c r="A48" i="108" s="1"/>
  <c r="A49" i="108" s="1"/>
  <c r="A50" i="108" s="1"/>
  <c r="A51" i="108" s="1"/>
  <c r="A52" i="108" s="1"/>
  <c r="A53" i="108" s="1"/>
  <c r="A54" i="108" s="1"/>
  <c r="A55" i="108" s="1"/>
  <c r="A56" i="108" s="1"/>
  <c r="A41" i="108"/>
  <c r="Q30" i="108"/>
  <c r="J30" i="108"/>
  <c r="C30" i="108"/>
  <c r="Q4" i="108"/>
  <c r="Q38" i="108" s="1"/>
  <c r="J4" i="108"/>
  <c r="J38" i="108" s="1"/>
  <c r="C4" i="108"/>
  <c r="C38" i="108" s="1"/>
  <c r="A1" i="108"/>
  <c r="N131" i="107"/>
  <c r="K131" i="107"/>
  <c r="G131" i="107"/>
  <c r="D131" i="107"/>
  <c r="E110" i="107"/>
  <c r="D110" i="107"/>
  <c r="E109" i="107"/>
  <c r="H109" i="107" s="1"/>
  <c r="D109" i="107"/>
  <c r="G109" i="107" s="1"/>
  <c r="E108" i="107"/>
  <c r="D108" i="107"/>
  <c r="G108" i="107" s="1"/>
  <c r="E107" i="107"/>
  <c r="H107" i="107" s="1"/>
  <c r="D107" i="107"/>
  <c r="A107" i="107"/>
  <c r="A108" i="107" s="1"/>
  <c r="H106" i="107"/>
  <c r="G106" i="107"/>
  <c r="A106" i="107"/>
  <c r="H105" i="107"/>
  <c r="G105" i="107"/>
  <c r="A105" i="107"/>
  <c r="H104" i="107"/>
  <c r="G104" i="107"/>
  <c r="A104" i="107"/>
  <c r="H103" i="107"/>
  <c r="G103" i="107"/>
  <c r="A103" i="107"/>
  <c r="H102" i="107"/>
  <c r="G102" i="107"/>
  <c r="A102" i="107"/>
  <c r="H101" i="107"/>
  <c r="G101" i="107"/>
  <c r="A101" i="107"/>
  <c r="E100" i="107"/>
  <c r="A100" i="107"/>
  <c r="E99" i="107"/>
  <c r="D99" i="107"/>
  <c r="A99" i="107"/>
  <c r="E98" i="107"/>
  <c r="D98" i="107"/>
  <c r="G98" i="107" s="1"/>
  <c r="A98" i="107"/>
  <c r="E97" i="107"/>
  <c r="A97" i="107"/>
  <c r="E96" i="107"/>
  <c r="H96" i="107" s="1"/>
  <c r="A96" i="107"/>
  <c r="E95" i="107"/>
  <c r="H95" i="107" s="1"/>
  <c r="D95" i="107"/>
  <c r="A95" i="107"/>
  <c r="E94" i="107"/>
  <c r="A94" i="107"/>
  <c r="E93" i="107"/>
  <c r="A93" i="107"/>
  <c r="E92" i="107"/>
  <c r="H92" i="107" s="1"/>
  <c r="D92" i="107"/>
  <c r="A92" i="107"/>
  <c r="H91" i="107"/>
  <c r="G91" i="107"/>
  <c r="E91" i="107"/>
  <c r="A91" i="107"/>
  <c r="D100" i="107"/>
  <c r="P85" i="107"/>
  <c r="S84" i="107"/>
  <c r="A61" i="107"/>
  <c r="A62" i="107" s="1"/>
  <c r="A63" i="107" s="1"/>
  <c r="A64" i="107" s="1"/>
  <c r="A65" i="107" s="1"/>
  <c r="A66" i="107" s="1"/>
  <c r="A67" i="107" s="1"/>
  <c r="A68" i="107" s="1"/>
  <c r="A69" i="107" s="1"/>
  <c r="A70" i="107" s="1"/>
  <c r="A71" i="107" s="1"/>
  <c r="A72" i="107" s="1"/>
  <c r="A73" i="107" s="1"/>
  <c r="A74" i="107" s="1"/>
  <c r="A75" i="107" s="1"/>
  <c r="A76" i="107" s="1"/>
  <c r="A41" i="107"/>
  <c r="A42" i="107" s="1"/>
  <c r="A43" i="107" s="1"/>
  <c r="A44" i="107" s="1"/>
  <c r="A45" i="107" s="1"/>
  <c r="A46" i="107" s="1"/>
  <c r="A47" i="107" s="1"/>
  <c r="A48" i="107" s="1"/>
  <c r="A49" i="107" s="1"/>
  <c r="A50" i="107" s="1"/>
  <c r="A51" i="107" s="1"/>
  <c r="A52" i="107" s="1"/>
  <c r="A53" i="107" s="1"/>
  <c r="A54" i="107" s="1"/>
  <c r="A55" i="107" s="1"/>
  <c r="A56" i="107" s="1"/>
  <c r="Q30" i="107"/>
  <c r="J30" i="107"/>
  <c r="C30" i="107"/>
  <c r="Q4" i="107"/>
  <c r="Q38" i="107" s="1"/>
  <c r="J4" i="107"/>
  <c r="J38" i="107" s="1"/>
  <c r="C4" i="107"/>
  <c r="C38" i="107" s="1"/>
  <c r="A1" i="107"/>
  <c r="N131" i="106"/>
  <c r="K131" i="106"/>
  <c r="G131" i="106"/>
  <c r="D131" i="106"/>
  <c r="E110" i="106"/>
  <c r="H110" i="106" s="1"/>
  <c r="D110" i="106"/>
  <c r="G110" i="106" s="1"/>
  <c r="E109" i="106"/>
  <c r="D109" i="106"/>
  <c r="E108" i="106"/>
  <c r="H108" i="106" s="1"/>
  <c r="D108" i="106"/>
  <c r="G108" i="106" s="1"/>
  <c r="E107" i="106"/>
  <c r="D107" i="106"/>
  <c r="G107" i="106" s="1"/>
  <c r="A107" i="106"/>
  <c r="H106" i="106"/>
  <c r="G106" i="106"/>
  <c r="A106" i="106"/>
  <c r="H105" i="106"/>
  <c r="G105" i="106"/>
  <c r="A105" i="106"/>
  <c r="H104" i="106"/>
  <c r="G104" i="106"/>
  <c r="A104" i="106"/>
  <c r="H103" i="106"/>
  <c r="G103" i="106"/>
  <c r="A103" i="106"/>
  <c r="H102" i="106"/>
  <c r="G102" i="106"/>
  <c r="A102" i="106"/>
  <c r="H101" i="106"/>
  <c r="G101" i="106"/>
  <c r="A101" i="106"/>
  <c r="E100" i="106"/>
  <c r="A100" i="106"/>
  <c r="G99" i="106"/>
  <c r="E99" i="106"/>
  <c r="D99" i="106"/>
  <c r="A99" i="106"/>
  <c r="E98" i="106"/>
  <c r="H98" i="106" s="1"/>
  <c r="D98" i="106"/>
  <c r="A98" i="106"/>
  <c r="E97" i="106"/>
  <c r="A97" i="106"/>
  <c r="E96" i="106"/>
  <c r="A96" i="106"/>
  <c r="E95" i="106"/>
  <c r="H95" i="106" s="1"/>
  <c r="D95" i="106"/>
  <c r="A95" i="106"/>
  <c r="E94" i="106"/>
  <c r="A94" i="106"/>
  <c r="E93" i="106"/>
  <c r="A93" i="106"/>
  <c r="E92" i="106"/>
  <c r="H92" i="106" s="1"/>
  <c r="D92" i="106"/>
  <c r="G92" i="106" s="1"/>
  <c r="A92" i="106"/>
  <c r="G91" i="106"/>
  <c r="E91" i="106"/>
  <c r="A91" i="106"/>
  <c r="D100" i="106"/>
  <c r="P85" i="106"/>
  <c r="D94" i="106"/>
  <c r="S84" i="106"/>
  <c r="A61" i="106"/>
  <c r="A62" i="106" s="1"/>
  <c r="A63" i="106" s="1"/>
  <c r="A64" i="106" s="1"/>
  <c r="A65" i="106" s="1"/>
  <c r="A66" i="106" s="1"/>
  <c r="A67" i="106" s="1"/>
  <c r="A68" i="106" s="1"/>
  <c r="A69" i="106" s="1"/>
  <c r="A70" i="106" s="1"/>
  <c r="A71" i="106" s="1"/>
  <c r="A72" i="106" s="1"/>
  <c r="A73" i="106" s="1"/>
  <c r="A74" i="106" s="1"/>
  <c r="A75" i="106" s="1"/>
  <c r="A76" i="106" s="1"/>
  <c r="A41" i="106"/>
  <c r="A42" i="106" s="1"/>
  <c r="A43" i="106" s="1"/>
  <c r="A44" i="106" s="1"/>
  <c r="A45" i="106" s="1"/>
  <c r="A46" i="106" s="1"/>
  <c r="A47" i="106" s="1"/>
  <c r="A48" i="106" s="1"/>
  <c r="A49" i="106" s="1"/>
  <c r="A50" i="106" s="1"/>
  <c r="A51" i="106" s="1"/>
  <c r="A52" i="106" s="1"/>
  <c r="A53" i="106" s="1"/>
  <c r="A54" i="106" s="1"/>
  <c r="A55" i="106" s="1"/>
  <c r="A56" i="106" s="1"/>
  <c r="Q30" i="106"/>
  <c r="J30" i="106"/>
  <c r="C30" i="106"/>
  <c r="Q4" i="106"/>
  <c r="Q38" i="106" s="1"/>
  <c r="J4" i="106"/>
  <c r="J38" i="106" s="1"/>
  <c r="C4" i="106"/>
  <c r="C38" i="106" s="1"/>
  <c r="A1" i="106"/>
  <c r="N131" i="105"/>
  <c r="K131" i="105"/>
  <c r="G131" i="105"/>
  <c r="D131" i="105"/>
  <c r="E110" i="105"/>
  <c r="H110" i="105" s="1"/>
  <c r="D110" i="105"/>
  <c r="E109" i="105"/>
  <c r="H109" i="105" s="1"/>
  <c r="D109" i="105"/>
  <c r="G109" i="105" s="1"/>
  <c r="E108" i="105"/>
  <c r="D108" i="105"/>
  <c r="E107" i="105"/>
  <c r="H107" i="105" s="1"/>
  <c r="D107" i="105"/>
  <c r="A107" i="105"/>
  <c r="A108" i="105" s="1"/>
  <c r="H106" i="105"/>
  <c r="G106" i="105"/>
  <c r="A106" i="105"/>
  <c r="H105" i="105"/>
  <c r="G105" i="105"/>
  <c r="A105" i="105"/>
  <c r="H104" i="105"/>
  <c r="G104" i="105"/>
  <c r="A104" i="105"/>
  <c r="H103" i="105"/>
  <c r="G103" i="105"/>
  <c r="A103" i="105"/>
  <c r="H102" i="105"/>
  <c r="G102" i="105"/>
  <c r="A102" i="105"/>
  <c r="H101" i="105"/>
  <c r="G101" i="105"/>
  <c r="A101" i="105"/>
  <c r="E100" i="105"/>
  <c r="A100" i="105"/>
  <c r="E99" i="105"/>
  <c r="H99" i="105" s="1"/>
  <c r="D99" i="105"/>
  <c r="G99" i="105" s="1"/>
  <c r="A99" i="105"/>
  <c r="E98" i="105"/>
  <c r="D98" i="105"/>
  <c r="G98" i="105" s="1"/>
  <c r="A98" i="105"/>
  <c r="E97" i="105"/>
  <c r="A97" i="105"/>
  <c r="E96" i="105"/>
  <c r="A96" i="105"/>
  <c r="E95" i="105"/>
  <c r="H95" i="105" s="1"/>
  <c r="D95" i="105"/>
  <c r="A95" i="105"/>
  <c r="E94" i="105"/>
  <c r="H94" i="105" s="1"/>
  <c r="A94" i="105"/>
  <c r="E93" i="105"/>
  <c r="A93" i="105"/>
  <c r="E92" i="105"/>
  <c r="D92" i="105"/>
  <c r="G92" i="105" s="1"/>
  <c r="A92" i="105"/>
  <c r="G91" i="105"/>
  <c r="E91" i="105"/>
  <c r="H91" i="105" s="1"/>
  <c r="A91" i="105"/>
  <c r="D100" i="105"/>
  <c r="P85" i="105"/>
  <c r="D97" i="105"/>
  <c r="S84" i="105"/>
  <c r="A61" i="105"/>
  <c r="A62" i="105" s="1"/>
  <c r="A63" i="105" s="1"/>
  <c r="A64" i="105" s="1"/>
  <c r="A65" i="105" s="1"/>
  <c r="A66" i="105" s="1"/>
  <c r="A67" i="105" s="1"/>
  <c r="A68" i="105" s="1"/>
  <c r="A69" i="105" s="1"/>
  <c r="A70" i="105" s="1"/>
  <c r="A71" i="105" s="1"/>
  <c r="A72" i="105" s="1"/>
  <c r="A73" i="105" s="1"/>
  <c r="A74" i="105" s="1"/>
  <c r="A75" i="105" s="1"/>
  <c r="A76" i="105" s="1"/>
  <c r="A41" i="105"/>
  <c r="A42" i="105" s="1"/>
  <c r="A43" i="105" s="1"/>
  <c r="A44" i="105" s="1"/>
  <c r="A45" i="105" s="1"/>
  <c r="A46" i="105" s="1"/>
  <c r="A47" i="105" s="1"/>
  <c r="A48" i="105" s="1"/>
  <c r="A49" i="105" s="1"/>
  <c r="A50" i="105" s="1"/>
  <c r="A51" i="105" s="1"/>
  <c r="A52" i="105" s="1"/>
  <c r="A53" i="105" s="1"/>
  <c r="A54" i="105" s="1"/>
  <c r="A55" i="105" s="1"/>
  <c r="A56" i="105" s="1"/>
  <c r="Q30" i="105"/>
  <c r="J30" i="105"/>
  <c r="C30" i="105"/>
  <c r="Q4" i="105"/>
  <c r="Q38" i="105" s="1"/>
  <c r="J4" i="105"/>
  <c r="J38" i="105" s="1"/>
  <c r="C4" i="105"/>
  <c r="C38" i="105" s="1"/>
  <c r="A1" i="105"/>
  <c r="Q30" i="104"/>
  <c r="J30" i="104"/>
  <c r="C30" i="104"/>
  <c r="Q4" i="104"/>
  <c r="Q38" i="104" s="1"/>
  <c r="J4" i="104"/>
  <c r="J38" i="104" s="1"/>
  <c r="C4" i="104"/>
  <c r="C38" i="104" s="1"/>
  <c r="A1" i="104"/>
  <c r="N131" i="104"/>
  <c r="K131" i="104"/>
  <c r="G131" i="104"/>
  <c r="D131" i="104"/>
  <c r="E110" i="104"/>
  <c r="D110" i="104"/>
  <c r="E109" i="104"/>
  <c r="D109" i="104"/>
  <c r="G109" i="104" s="1"/>
  <c r="E108" i="104"/>
  <c r="D108" i="104"/>
  <c r="E107" i="104"/>
  <c r="H107" i="104" s="1"/>
  <c r="D107" i="104"/>
  <c r="G107" i="104" s="1"/>
  <c r="A107" i="104"/>
  <c r="A108" i="104" s="1"/>
  <c r="H106" i="104"/>
  <c r="G106" i="104"/>
  <c r="A106" i="104"/>
  <c r="H105" i="104"/>
  <c r="G105" i="104"/>
  <c r="A105" i="104"/>
  <c r="H104" i="104"/>
  <c r="G104" i="104"/>
  <c r="A104" i="104"/>
  <c r="H103" i="104"/>
  <c r="G103" i="104"/>
  <c r="A103" i="104"/>
  <c r="H102" i="104"/>
  <c r="G102" i="104"/>
  <c r="A102" i="104"/>
  <c r="H101" i="104"/>
  <c r="G101" i="104"/>
  <c r="A101" i="104"/>
  <c r="E100" i="104"/>
  <c r="H100" i="104" s="1"/>
  <c r="A100" i="104"/>
  <c r="E99" i="104"/>
  <c r="D99" i="104"/>
  <c r="G99" i="104" s="1"/>
  <c r="A99" i="104"/>
  <c r="E98" i="104"/>
  <c r="D98" i="104"/>
  <c r="G98" i="104" s="1"/>
  <c r="A98" i="104"/>
  <c r="E97" i="104"/>
  <c r="A97" i="104"/>
  <c r="E96" i="104"/>
  <c r="H96" i="104" s="1"/>
  <c r="A96" i="104"/>
  <c r="E95" i="104"/>
  <c r="D95" i="104"/>
  <c r="G95" i="104" s="1"/>
  <c r="A95" i="104"/>
  <c r="E94" i="104"/>
  <c r="A94" i="104"/>
  <c r="E93" i="104"/>
  <c r="H93" i="104" s="1"/>
  <c r="A93" i="104"/>
  <c r="E92" i="104"/>
  <c r="D92" i="104"/>
  <c r="G92" i="104" s="1"/>
  <c r="A92" i="104"/>
  <c r="G91" i="104"/>
  <c r="E91" i="104"/>
  <c r="A91" i="104"/>
  <c r="D100" i="104"/>
  <c r="P85" i="104"/>
  <c r="S84" i="104"/>
  <c r="A61" i="104"/>
  <c r="A62" i="104" s="1"/>
  <c r="A63" i="104" s="1"/>
  <c r="A64" i="104" s="1"/>
  <c r="A65" i="104" s="1"/>
  <c r="A66" i="104" s="1"/>
  <c r="A67" i="104" s="1"/>
  <c r="A68" i="104" s="1"/>
  <c r="A69" i="104" s="1"/>
  <c r="A70" i="104" s="1"/>
  <c r="A71" i="104" s="1"/>
  <c r="A72" i="104" s="1"/>
  <c r="A73" i="104" s="1"/>
  <c r="A74" i="104" s="1"/>
  <c r="A75" i="104" s="1"/>
  <c r="A76" i="104" s="1"/>
  <c r="A77" i="104" s="1"/>
  <c r="A78" i="104" s="1"/>
  <c r="A41" i="104"/>
  <c r="A42" i="104" s="1"/>
  <c r="A43" i="104" s="1"/>
  <c r="A44" i="104" s="1"/>
  <c r="A45" i="104" s="1"/>
  <c r="A46" i="104" s="1"/>
  <c r="A47" i="104" s="1"/>
  <c r="A48" i="104" s="1"/>
  <c r="A49" i="104" s="1"/>
  <c r="A50" i="104" s="1"/>
  <c r="A51" i="104" s="1"/>
  <c r="A52" i="104" s="1"/>
  <c r="A53" i="104" s="1"/>
  <c r="A54" i="104" s="1"/>
  <c r="A55" i="104" s="1"/>
  <c r="A56" i="104" s="1"/>
  <c r="AJ3" i="84"/>
  <c r="D96" i="104" l="1"/>
  <c r="G96" i="104" s="1"/>
  <c r="D93" i="104"/>
  <c r="D94" i="104"/>
  <c r="A79" i="104"/>
  <c r="A79" i="107"/>
  <c r="A77" i="107"/>
  <c r="A78" i="107" s="1"/>
  <c r="D93" i="105"/>
  <c r="G93" i="105" s="1"/>
  <c r="D97" i="104"/>
  <c r="G97" i="104" s="1"/>
  <c r="D96" i="105"/>
  <c r="G96" i="105" s="1"/>
  <c r="A59" i="108"/>
  <c r="A57" i="108"/>
  <c r="A58" i="108" s="1"/>
  <c r="A77" i="108"/>
  <c r="A78" i="108" s="1"/>
  <c r="A79" i="108"/>
  <c r="H91" i="108"/>
  <c r="H93" i="108"/>
  <c r="H99" i="108"/>
  <c r="D97" i="108"/>
  <c r="D93" i="108"/>
  <c r="D96" i="108"/>
  <c r="D94" i="108"/>
  <c r="A110" i="108"/>
  <c r="G100" i="108"/>
  <c r="H97" i="108"/>
  <c r="H96" i="108"/>
  <c r="H108" i="108"/>
  <c r="G110" i="108"/>
  <c r="H110" i="108"/>
  <c r="H98" i="108"/>
  <c r="G95" i="108"/>
  <c r="H100" i="108"/>
  <c r="G107" i="108"/>
  <c r="A77" i="106"/>
  <c r="A78" i="106" s="1"/>
  <c r="A79" i="106"/>
  <c r="A57" i="106"/>
  <c r="A58" i="106" s="1"/>
  <c r="A59" i="106"/>
  <c r="A110" i="105"/>
  <c r="G94" i="106"/>
  <c r="H91" i="106"/>
  <c r="H94" i="106"/>
  <c r="G98" i="106"/>
  <c r="H97" i="106"/>
  <c r="H99" i="106"/>
  <c r="A110" i="106"/>
  <c r="D97" i="106"/>
  <c r="D93" i="106"/>
  <c r="D96" i="106"/>
  <c r="G100" i="106"/>
  <c r="G109" i="106"/>
  <c r="H96" i="106"/>
  <c r="H109" i="106"/>
  <c r="A108" i="106"/>
  <c r="H93" i="106"/>
  <c r="G95" i="106"/>
  <c r="H100" i="106"/>
  <c r="H107" i="106"/>
  <c r="A57" i="107"/>
  <c r="A58" i="107" s="1"/>
  <c r="A59" i="107"/>
  <c r="G99" i="107"/>
  <c r="H93" i="107"/>
  <c r="H97" i="107"/>
  <c r="G92" i="107"/>
  <c r="D97" i="107"/>
  <c r="D93" i="107"/>
  <c r="D96" i="107"/>
  <c r="A110" i="107"/>
  <c r="D94" i="107"/>
  <c r="G100" i="107"/>
  <c r="H99" i="107"/>
  <c r="H94" i="107"/>
  <c r="H108" i="107"/>
  <c r="G110" i="107"/>
  <c r="H110" i="107"/>
  <c r="H98" i="107"/>
  <c r="G95" i="107"/>
  <c r="H100" i="107"/>
  <c r="G107" i="107"/>
  <c r="A79" i="105"/>
  <c r="A77" i="105"/>
  <c r="A78" i="105" s="1"/>
  <c r="A59" i="105"/>
  <c r="A57" i="105"/>
  <c r="A58" i="105" s="1"/>
  <c r="H93" i="105"/>
  <c r="G108" i="105"/>
  <c r="H96" i="105"/>
  <c r="G97" i="105"/>
  <c r="H97" i="105"/>
  <c r="G100" i="105"/>
  <c r="H92" i="105"/>
  <c r="D94" i="105"/>
  <c r="H108" i="105"/>
  <c r="G110" i="105"/>
  <c r="H98" i="105"/>
  <c r="G95" i="105"/>
  <c r="H100" i="105"/>
  <c r="G107" i="105"/>
  <c r="H97" i="104"/>
  <c r="A59" i="104"/>
  <c r="A57" i="104"/>
  <c r="A58" i="104" s="1"/>
  <c r="G94" i="104"/>
  <c r="H92" i="104"/>
  <c r="G100" i="104"/>
  <c r="G93" i="104"/>
  <c r="H91" i="104"/>
  <c r="H99" i="104"/>
  <c r="H94" i="104"/>
  <c r="A110" i="104"/>
  <c r="H95" i="104"/>
  <c r="H109" i="104"/>
  <c r="G108" i="104"/>
  <c r="H108" i="104"/>
  <c r="G110" i="104"/>
  <c r="H110" i="104"/>
  <c r="H98" i="104"/>
  <c r="G94" i="108" l="1"/>
  <c r="G96" i="108"/>
  <c r="G93" i="108"/>
  <c r="G97" i="108"/>
  <c r="G96" i="107"/>
  <c r="G93" i="107"/>
  <c r="G97" i="107"/>
  <c r="G94" i="107"/>
  <c r="G96" i="106"/>
  <c r="G93" i="106"/>
  <c r="G97" i="106"/>
  <c r="G94" i="105"/>
  <c r="AB11" i="107" l="1"/>
  <c r="AC22" i="107"/>
  <c r="Z7" i="108"/>
  <c r="Z17" i="104"/>
  <c r="AB8" i="108"/>
  <c r="AC7" i="104"/>
  <c r="Y20" i="104"/>
  <c r="R26" i="107"/>
  <c r="R32" i="107" s="1"/>
  <c r="R34" i="107" s="1"/>
  <c r="Y15" i="107"/>
  <c r="AB19" i="105"/>
  <c r="H120" i="104"/>
  <c r="G26" i="104"/>
  <c r="G72" i="104" s="1"/>
  <c r="O103" i="104" s="1"/>
  <c r="AB6" i="104"/>
  <c r="AC21" i="105"/>
  <c r="Z14" i="107"/>
  <c r="X17" i="106"/>
  <c r="AB22" i="108"/>
  <c r="AC10" i="104"/>
  <c r="C26" i="105"/>
  <c r="C64" i="105" s="1"/>
  <c r="X6" i="105"/>
  <c r="S26" i="108"/>
  <c r="S32" i="108" s="1"/>
  <c r="S34" i="108" s="1"/>
  <c r="X8" i="104"/>
  <c r="AB8" i="105"/>
  <c r="X9" i="107"/>
  <c r="Y9" i="107"/>
  <c r="AB10" i="108"/>
  <c r="Y12" i="104"/>
  <c r="I36" i="75"/>
  <c r="C35" i="75"/>
  <c r="Y15" i="106"/>
  <c r="Y25" i="106"/>
  <c r="AC16" i="105"/>
  <c r="L26" i="107"/>
  <c r="L63" i="107" s="1"/>
  <c r="AB20" i="108"/>
  <c r="X13" i="104"/>
  <c r="Z22" i="105"/>
  <c r="X17" i="104"/>
  <c r="E26" i="106"/>
  <c r="E64" i="106" s="1"/>
  <c r="Z6" i="106"/>
  <c r="Y11" i="104"/>
  <c r="Y14" i="105"/>
  <c r="AB14" i="107"/>
  <c r="AB14" i="104"/>
  <c r="Y25" i="108"/>
  <c r="AC21" i="108"/>
  <c r="C120" i="108"/>
  <c r="C124" i="108" s="1"/>
  <c r="AC12" i="108"/>
  <c r="Y21" i="107"/>
  <c r="Y9" i="106"/>
  <c r="Z8" i="104"/>
  <c r="AB9" i="107"/>
  <c r="O120" i="105"/>
  <c r="Y13" i="106"/>
  <c r="V26" i="105"/>
  <c r="V32" i="105" s="1"/>
  <c r="V34" i="105" s="1"/>
  <c r="Z13" i="108"/>
  <c r="C120" i="104"/>
  <c r="C124" i="104" s="1"/>
  <c r="X15" i="108"/>
  <c r="AC18" i="105"/>
  <c r="Y11" i="105"/>
  <c r="AB12" i="105"/>
  <c r="E120" i="105"/>
  <c r="E124" i="105" s="1"/>
  <c r="X25" i="108"/>
  <c r="AB7" i="105"/>
  <c r="C35" i="84"/>
  <c r="I36" i="84"/>
  <c r="K26" i="108"/>
  <c r="K70" i="108" s="1"/>
  <c r="AC22" i="106"/>
  <c r="Z9" i="105"/>
  <c r="Y9" i="104"/>
  <c r="AC25" i="107"/>
  <c r="Z20" i="105"/>
  <c r="J120" i="107"/>
  <c r="J124" i="107" s="1"/>
  <c r="O26" i="106"/>
  <c r="O66" i="106" s="1"/>
  <c r="AB97" i="106" s="1"/>
  <c r="Y16" i="105"/>
  <c r="G120" i="106"/>
  <c r="J120" i="104"/>
  <c r="J124" i="104" s="1"/>
  <c r="AC10" i="106"/>
  <c r="X7" i="105"/>
  <c r="AC19" i="108"/>
  <c r="G120" i="105"/>
  <c r="AC22" i="104"/>
  <c r="H26" i="105"/>
  <c r="H76" i="105" s="1"/>
  <c r="P107" i="105" s="1"/>
  <c r="AC6" i="105"/>
  <c r="Z21" i="107"/>
  <c r="Z8" i="106"/>
  <c r="AC16" i="107"/>
  <c r="Y22" i="106"/>
  <c r="Y25" i="105"/>
  <c r="Z19" i="107"/>
  <c r="Y9" i="105"/>
  <c r="Z25" i="105"/>
  <c r="Z22" i="107"/>
  <c r="Z12" i="108"/>
  <c r="O26" i="107"/>
  <c r="O66" i="107" s="1"/>
  <c r="AB97" i="107" s="1"/>
  <c r="AC6" i="106"/>
  <c r="H26" i="106"/>
  <c r="H64" i="106" s="1"/>
  <c r="P95" i="106" s="1"/>
  <c r="O120" i="106"/>
  <c r="Z7" i="106"/>
  <c r="Y17" i="105"/>
  <c r="Y25" i="104"/>
  <c r="L26" i="104"/>
  <c r="L65" i="104" s="1"/>
  <c r="AB22" i="105"/>
  <c r="AC17" i="104"/>
  <c r="AC15" i="106"/>
  <c r="AB18" i="105"/>
  <c r="AB19" i="107"/>
  <c r="AC19" i="106"/>
  <c r="X18" i="108"/>
  <c r="X15" i="104"/>
  <c r="Y16" i="108"/>
  <c r="J120" i="108"/>
  <c r="J124" i="108" s="1"/>
  <c r="U26" i="105"/>
  <c r="U32" i="105" s="1"/>
  <c r="U34" i="105" s="1"/>
  <c r="Z16" i="108"/>
  <c r="X7" i="106"/>
  <c r="Y19" i="105"/>
  <c r="Z14" i="105"/>
  <c r="V26" i="106"/>
  <c r="V32" i="106" s="1"/>
  <c r="V34" i="106" s="1"/>
  <c r="Z16" i="106"/>
  <c r="X10" i="107"/>
  <c r="AB7" i="108"/>
  <c r="AB7" i="104"/>
  <c r="AB17" i="104"/>
  <c r="AB9" i="104"/>
  <c r="AB14" i="108"/>
  <c r="Y7" i="105"/>
  <c r="U26" i="106"/>
  <c r="U32" i="106" s="1"/>
  <c r="U34" i="106" s="1"/>
  <c r="Q26" i="107"/>
  <c r="Q32" i="107" s="1"/>
  <c r="Q34" i="107" s="1"/>
  <c r="Y20" i="105"/>
  <c r="V26" i="107"/>
  <c r="V32" i="107" s="1"/>
  <c r="V34" i="107" s="1"/>
  <c r="Z14" i="108"/>
  <c r="X20" i="107"/>
  <c r="Z10" i="104"/>
  <c r="Z20" i="106"/>
  <c r="K120" i="107"/>
  <c r="K124" i="107" s="1"/>
  <c r="AC22" i="108"/>
  <c r="X13" i="107"/>
  <c r="Y12" i="105"/>
  <c r="Y10" i="108"/>
  <c r="X22" i="108"/>
  <c r="AC12" i="106"/>
  <c r="Y7" i="108"/>
  <c r="X9" i="108"/>
  <c r="J36" i="84"/>
  <c r="D35" i="84"/>
  <c r="AC22" i="105"/>
  <c r="Z25" i="104"/>
  <c r="AB20" i="107"/>
  <c r="Z11" i="105"/>
  <c r="Y8" i="108"/>
  <c r="AC14" i="108"/>
  <c r="X21" i="106"/>
  <c r="Y21" i="104"/>
  <c r="X25" i="106"/>
  <c r="AB17" i="105"/>
  <c r="AC6" i="108"/>
  <c r="H26" i="108"/>
  <c r="H62" i="108" s="1"/>
  <c r="P93" i="108" s="1"/>
  <c r="X21" i="107"/>
  <c r="J120" i="106"/>
  <c r="J124" i="106" s="1"/>
  <c r="Z15" i="104"/>
  <c r="Z13" i="107"/>
  <c r="Z16" i="104"/>
  <c r="AB18" i="108"/>
  <c r="Y7" i="107"/>
  <c r="X8" i="105"/>
  <c r="Z11" i="104"/>
  <c r="E120" i="104"/>
  <c r="E124" i="104" s="1"/>
  <c r="D26" i="107"/>
  <c r="D69" i="107" s="1"/>
  <c r="Y6" i="107"/>
  <c r="X20" i="106"/>
  <c r="X25" i="107"/>
  <c r="AB15" i="107"/>
  <c r="Z13" i="105"/>
  <c r="G120" i="107"/>
  <c r="AB8" i="104"/>
  <c r="X6" i="108"/>
  <c r="C26" i="108"/>
  <c r="C72" i="108" s="1"/>
  <c r="G26" i="108"/>
  <c r="G65" i="108" s="1"/>
  <c r="O96" i="108" s="1"/>
  <c r="AB6" i="108"/>
  <c r="Y22" i="104"/>
  <c r="N120" i="107"/>
  <c r="AB11" i="105"/>
  <c r="Y19" i="108"/>
  <c r="Y17" i="106"/>
  <c r="AC9" i="104"/>
  <c r="Z18" i="108"/>
  <c r="AC16" i="106"/>
  <c r="Z14" i="104"/>
  <c r="X9" i="106"/>
  <c r="AC9" i="108"/>
  <c r="AB10" i="104"/>
  <c r="X19" i="108"/>
  <c r="G120" i="108"/>
  <c r="Z12" i="104"/>
  <c r="L120" i="107"/>
  <c r="L124" i="107" s="1"/>
  <c r="X18" i="107"/>
  <c r="Z8" i="108"/>
  <c r="AC10" i="108"/>
  <c r="D33" i="75"/>
  <c r="Z25" i="106"/>
  <c r="E26" i="108"/>
  <c r="E64" i="108" s="1"/>
  <c r="Z6" i="108"/>
  <c r="V26" i="104"/>
  <c r="V32" i="104" s="1"/>
  <c r="V34" i="104" s="1"/>
  <c r="AC17" i="105"/>
  <c r="X9" i="105"/>
  <c r="Z8" i="105"/>
  <c r="Y10" i="106"/>
  <c r="C120" i="105"/>
  <c r="C124" i="105" s="1"/>
  <c r="X12" i="106"/>
  <c r="AB19" i="106"/>
  <c r="AC17" i="107"/>
  <c r="C33" i="85"/>
  <c r="X22" i="106"/>
  <c r="N26" i="108"/>
  <c r="N77" i="108" s="1"/>
  <c r="AA108" i="108" s="1"/>
  <c r="Y14" i="108"/>
  <c r="Z19" i="105"/>
  <c r="AB13" i="105"/>
  <c r="AC11" i="105"/>
  <c r="Z16" i="107"/>
  <c r="Z25" i="108"/>
  <c r="J26" i="104"/>
  <c r="J67" i="104" s="1"/>
  <c r="Y18" i="104"/>
  <c r="AC25" i="104"/>
  <c r="O26" i="104"/>
  <c r="O64" i="104" s="1"/>
  <c r="AB95" i="104" s="1"/>
  <c r="AC20" i="106"/>
  <c r="AB20" i="106"/>
  <c r="Y21" i="108"/>
  <c r="L120" i="105"/>
  <c r="L124" i="105" s="1"/>
  <c r="Y18" i="107"/>
  <c r="AB20" i="104"/>
  <c r="AB25" i="106"/>
  <c r="AC16" i="104"/>
  <c r="Z7" i="107"/>
  <c r="X25" i="104"/>
  <c r="Y15" i="104"/>
  <c r="O120" i="108"/>
  <c r="AB14" i="105"/>
  <c r="AC8" i="108"/>
  <c r="Y10" i="105"/>
  <c r="AC19" i="104"/>
  <c r="AC20" i="104"/>
  <c r="AC15" i="104"/>
  <c r="N120" i="105"/>
  <c r="G26" i="107"/>
  <c r="G66" i="107" s="1"/>
  <c r="O97" i="107" s="1"/>
  <c r="AB6" i="107"/>
  <c r="R26" i="108"/>
  <c r="R32" i="108" s="1"/>
  <c r="R34" i="108" s="1"/>
  <c r="AC9" i="106"/>
  <c r="S26" i="107"/>
  <c r="S69" i="107" s="1"/>
  <c r="AC20" i="108"/>
  <c r="AC8" i="104"/>
  <c r="AC10" i="105"/>
  <c r="U26" i="107"/>
  <c r="U73" i="107" s="1"/>
  <c r="Y13" i="108"/>
  <c r="K26" i="104"/>
  <c r="K71" i="104" s="1"/>
  <c r="AB16" i="108"/>
  <c r="Z18" i="106"/>
  <c r="G120" i="104"/>
  <c r="Y17" i="108"/>
  <c r="X12" i="107"/>
  <c r="AC14" i="104"/>
  <c r="G26" i="106"/>
  <c r="G70" i="106" s="1"/>
  <c r="O101" i="106" s="1"/>
  <c r="AB6" i="106"/>
  <c r="Y17" i="104"/>
  <c r="D120" i="105"/>
  <c r="D124" i="105" s="1"/>
  <c r="Z21" i="104"/>
  <c r="AB21" i="105"/>
  <c r="X16" i="104"/>
  <c r="Y12" i="108"/>
  <c r="AC11" i="108"/>
  <c r="Y22" i="108"/>
  <c r="X10" i="104"/>
  <c r="Z6" i="107"/>
  <c r="E26" i="107"/>
  <c r="E63" i="107" s="1"/>
  <c r="AB20" i="105"/>
  <c r="D120" i="108"/>
  <c r="D124" i="108" s="1"/>
  <c r="X25" i="105"/>
  <c r="X13" i="105"/>
  <c r="X13" i="108"/>
  <c r="Y12" i="106"/>
  <c r="Z15" i="105"/>
  <c r="AC11" i="104"/>
  <c r="Z10" i="107"/>
  <c r="AC19" i="105"/>
  <c r="Y8" i="107"/>
  <c r="K26" i="105"/>
  <c r="K62" i="105" s="1"/>
  <c r="H120" i="105"/>
  <c r="AB25" i="108"/>
  <c r="J26" i="106"/>
  <c r="J76" i="106" s="1"/>
  <c r="Z9" i="107"/>
  <c r="AB16" i="105"/>
  <c r="X16" i="106"/>
  <c r="Z22" i="108"/>
  <c r="X19" i="106"/>
  <c r="AB15" i="104"/>
  <c r="AB13" i="104"/>
  <c r="Y14" i="104"/>
  <c r="Z13" i="106"/>
  <c r="X19" i="107"/>
  <c r="Y7" i="106"/>
  <c r="Z17" i="106"/>
  <c r="R26" i="105"/>
  <c r="R32" i="105" s="1"/>
  <c r="R34" i="105" s="1"/>
  <c r="AB9" i="105"/>
  <c r="X10" i="108"/>
  <c r="Z6" i="105"/>
  <c r="E26" i="105"/>
  <c r="E65" i="105" s="1"/>
  <c r="Y10" i="104"/>
  <c r="AB18" i="104"/>
  <c r="Y13" i="104"/>
  <c r="AB12" i="107"/>
  <c r="D26" i="106"/>
  <c r="D75" i="106" s="1"/>
  <c r="Y6" i="106"/>
  <c r="S26" i="105"/>
  <c r="S32" i="105" s="1"/>
  <c r="S34" i="105" s="1"/>
  <c r="N26" i="106"/>
  <c r="N68" i="106" s="1"/>
  <c r="AA99" i="106" s="1"/>
  <c r="Y9" i="108"/>
  <c r="AC18" i="106"/>
  <c r="L26" i="108"/>
  <c r="L67" i="108" s="1"/>
  <c r="AB21" i="106"/>
  <c r="N120" i="108"/>
  <c r="R26" i="106"/>
  <c r="R32" i="106" s="1"/>
  <c r="R34" i="106" s="1"/>
  <c r="C120" i="107"/>
  <c r="C124" i="107" s="1"/>
  <c r="K120" i="105"/>
  <c r="K124" i="105" s="1"/>
  <c r="Z12" i="105"/>
  <c r="J36" i="85"/>
  <c r="D35" i="85"/>
  <c r="L120" i="104"/>
  <c r="L124" i="104" s="1"/>
  <c r="H120" i="107"/>
  <c r="O120" i="107"/>
  <c r="K120" i="104"/>
  <c r="K124" i="104" s="1"/>
  <c r="J26" i="107"/>
  <c r="J72" i="107" s="1"/>
  <c r="K120" i="106"/>
  <c r="K124" i="106" s="1"/>
  <c r="Y11" i="106"/>
  <c r="AB14" i="106"/>
  <c r="Y18" i="106"/>
  <c r="C120" i="106"/>
  <c r="C124" i="106" s="1"/>
  <c r="Y8" i="105"/>
  <c r="Y14" i="107"/>
  <c r="Q26" i="106"/>
  <c r="Q32" i="106" s="1"/>
  <c r="Q34" i="106" s="1"/>
  <c r="Z22" i="104"/>
  <c r="Y10" i="107"/>
  <c r="X12" i="104"/>
  <c r="Z11" i="108"/>
  <c r="Y14" i="106"/>
  <c r="X13" i="106"/>
  <c r="Y13" i="107"/>
  <c r="Y16" i="106"/>
  <c r="AB16" i="107"/>
  <c r="Y8" i="104"/>
  <c r="X22" i="104"/>
  <c r="X14" i="107"/>
  <c r="Y21" i="106"/>
  <c r="Y22" i="105"/>
  <c r="AC12" i="107"/>
  <c r="Y18" i="108"/>
  <c r="AB25" i="105"/>
  <c r="AC13" i="104"/>
  <c r="Y15" i="105"/>
  <c r="I36" i="85"/>
  <c r="C35" i="85"/>
  <c r="AC14" i="107"/>
  <c r="AC14" i="106"/>
  <c r="X14" i="105"/>
  <c r="X14" i="106"/>
  <c r="Y12" i="107"/>
  <c r="AC25" i="105"/>
  <c r="AB17" i="108"/>
  <c r="AB22" i="104"/>
  <c r="X11" i="107"/>
  <c r="Q26" i="105"/>
  <c r="Q32" i="105" s="1"/>
  <c r="Q34" i="105" s="1"/>
  <c r="X8" i="108"/>
  <c r="X6" i="106"/>
  <c r="C26" i="106"/>
  <c r="C64" i="106" s="1"/>
  <c r="Q26" i="104"/>
  <c r="Q32" i="104" s="1"/>
  <c r="Q34" i="104" s="1"/>
  <c r="L26" i="105"/>
  <c r="L63" i="105" s="1"/>
  <c r="X11" i="108"/>
  <c r="Z18" i="105"/>
  <c r="Y22" i="107"/>
  <c r="AC17" i="106"/>
  <c r="Y6" i="104"/>
  <c r="D26" i="104"/>
  <c r="D71" i="104" s="1"/>
  <c r="Z15" i="106"/>
  <c r="Z9" i="108"/>
  <c r="L120" i="108"/>
  <c r="L124" i="108" s="1"/>
  <c r="AB10" i="107"/>
  <c r="X15" i="107"/>
  <c r="X10" i="106"/>
  <c r="AB9" i="108"/>
  <c r="Z18" i="107"/>
  <c r="E120" i="107"/>
  <c r="E124" i="107" s="1"/>
  <c r="AB18" i="106"/>
  <c r="X9" i="104"/>
  <c r="AC13" i="105"/>
  <c r="D33" i="84"/>
  <c r="AB13" i="107"/>
  <c r="X16" i="105"/>
  <c r="Y6" i="108"/>
  <c r="D26" i="108"/>
  <c r="D61" i="108" s="1"/>
  <c r="AC15" i="108"/>
  <c r="AB12" i="108"/>
  <c r="AB12" i="106"/>
  <c r="C33" i="75"/>
  <c r="AC10" i="107"/>
  <c r="O26" i="105"/>
  <c r="O68" i="105" s="1"/>
  <c r="AB99" i="105" s="1"/>
  <c r="H120" i="108"/>
  <c r="Y13" i="105"/>
  <c r="Z7" i="104"/>
  <c r="X11" i="104"/>
  <c r="Z19" i="106"/>
  <c r="AC7" i="106"/>
  <c r="AC9" i="107"/>
  <c r="X22" i="105"/>
  <c r="AC15" i="105"/>
  <c r="X21" i="108"/>
  <c r="AC13" i="108"/>
  <c r="AB12" i="104"/>
  <c r="AC16" i="108"/>
  <c r="Z20" i="108"/>
  <c r="J26" i="108"/>
  <c r="J63" i="108" s="1"/>
  <c r="Z10" i="106"/>
  <c r="AC21" i="106"/>
  <c r="X12" i="105"/>
  <c r="E120" i="108"/>
  <c r="E124" i="108" s="1"/>
  <c r="C33" i="84"/>
  <c r="AC7" i="105"/>
  <c r="Y11" i="108"/>
  <c r="Z9" i="104"/>
  <c r="AB25" i="104"/>
  <c r="Y20" i="106"/>
  <c r="AB16" i="104"/>
  <c r="K26" i="106"/>
  <c r="K78" i="106" s="1"/>
  <c r="Z19" i="108"/>
  <c r="X14" i="108"/>
  <c r="X21" i="104"/>
  <c r="H120" i="106"/>
  <c r="X14" i="104"/>
  <c r="D120" i="104"/>
  <c r="D124" i="104" s="1"/>
  <c r="S26" i="106"/>
  <c r="S32" i="106" s="1"/>
  <c r="S34" i="106" s="1"/>
  <c r="AB8" i="106"/>
  <c r="AB7" i="106"/>
  <c r="Y7" i="104"/>
  <c r="J26" i="105"/>
  <c r="J68" i="105" s="1"/>
  <c r="Z13" i="104"/>
  <c r="U26" i="108"/>
  <c r="U32" i="108" s="1"/>
  <c r="U34" i="108" s="1"/>
  <c r="AC6" i="107"/>
  <c r="H26" i="107"/>
  <c r="H70" i="107" s="1"/>
  <c r="P101" i="107" s="1"/>
  <c r="R26" i="104"/>
  <c r="R32" i="104" s="1"/>
  <c r="R34" i="104" s="1"/>
  <c r="Z21" i="105"/>
  <c r="D120" i="106"/>
  <c r="D124" i="106" s="1"/>
  <c r="X17" i="105"/>
  <c r="Y19" i="104"/>
  <c r="X8" i="106"/>
  <c r="X16" i="107"/>
  <c r="Z17" i="108"/>
  <c r="X18" i="104"/>
  <c r="X18" i="106"/>
  <c r="AB11" i="106"/>
  <c r="Z17" i="105"/>
  <c r="N26" i="104"/>
  <c r="N60" i="104" s="1"/>
  <c r="AA91" i="104" s="1"/>
  <c r="Y16" i="104"/>
  <c r="Y11" i="107"/>
  <c r="AB21" i="108"/>
  <c r="AC12" i="104"/>
  <c r="AC11" i="107"/>
  <c r="L26" i="106"/>
  <c r="L63" i="106" s="1"/>
  <c r="AB18" i="107"/>
  <c r="Z15" i="107"/>
  <c r="AB21" i="104"/>
  <c r="Y15" i="108"/>
  <c r="AC8" i="105"/>
  <c r="U26" i="104"/>
  <c r="U32" i="104" s="1"/>
  <c r="U34" i="104" s="1"/>
  <c r="AB13" i="108"/>
  <c r="Y19" i="106"/>
  <c r="N26" i="105"/>
  <c r="N64" i="105" s="1"/>
  <c r="AA95" i="105" s="1"/>
  <c r="AB22" i="106"/>
  <c r="Y18" i="105"/>
  <c r="Y17" i="107"/>
  <c r="Z21" i="106"/>
  <c r="AB21" i="107"/>
  <c r="AC21" i="104"/>
  <c r="Z17" i="107"/>
  <c r="AC25" i="106"/>
  <c r="Y20" i="108"/>
  <c r="X18" i="105"/>
  <c r="AB15" i="108"/>
  <c r="Z20" i="107"/>
  <c r="AC9" i="105"/>
  <c r="X7" i="107"/>
  <c r="AB6" i="105"/>
  <c r="G26" i="105"/>
  <c r="G67" i="105" s="1"/>
  <c r="O98" i="105" s="1"/>
  <c r="S26" i="104"/>
  <c r="S32" i="104" s="1"/>
  <c r="S34" i="104" s="1"/>
  <c r="AB10" i="106"/>
  <c r="AC7" i="108"/>
  <c r="L120" i="106"/>
  <c r="L124" i="106" s="1"/>
  <c r="X20" i="104"/>
  <c r="Z16" i="105"/>
  <c r="AB17" i="107"/>
  <c r="AC25" i="108"/>
  <c r="AC11" i="106"/>
  <c r="AB11" i="104"/>
  <c r="AC19" i="107"/>
  <c r="Z7" i="105"/>
  <c r="AB17" i="106"/>
  <c r="Z10" i="108"/>
  <c r="Z9" i="106"/>
  <c r="Z14" i="106"/>
  <c r="AC18" i="107"/>
  <c r="AC6" i="104"/>
  <c r="H26" i="104"/>
  <c r="H72" i="104" s="1"/>
  <c r="P103" i="104" s="1"/>
  <c r="X7" i="108"/>
  <c r="AB9" i="106"/>
  <c r="Z6" i="104"/>
  <c r="E26" i="104"/>
  <c r="E61" i="104" s="1"/>
  <c r="X17" i="107"/>
  <c r="D26" i="105"/>
  <c r="D64" i="105" s="1"/>
  <c r="Y6" i="105"/>
  <c r="X12" i="108"/>
  <c r="Y20" i="107"/>
  <c r="Z8" i="107"/>
  <c r="Y8" i="106"/>
  <c r="AC20" i="107"/>
  <c r="X22" i="107"/>
  <c r="Z10" i="105"/>
  <c r="AB13" i="106"/>
  <c r="AC8" i="107"/>
  <c r="AB8" i="107"/>
  <c r="X15" i="105"/>
  <c r="X20" i="108"/>
  <c r="J120" i="105"/>
  <c r="J124" i="105" s="1"/>
  <c r="Q26" i="108"/>
  <c r="Q32" i="108" s="1"/>
  <c r="Q34" i="108" s="1"/>
  <c r="AC12" i="105"/>
  <c r="X19" i="104"/>
  <c r="N26" i="107"/>
  <c r="N69" i="107" s="1"/>
  <c r="AA100" i="107" s="1"/>
  <c r="AC15" i="107"/>
  <c r="AC13" i="106"/>
  <c r="AC13" i="107"/>
  <c r="Z19" i="104"/>
  <c r="Z25" i="107"/>
  <c r="AB15" i="105"/>
  <c r="Z11" i="106"/>
  <c r="AC17" i="108"/>
  <c r="AC18" i="108"/>
  <c r="AC8" i="106"/>
  <c r="Z22" i="106"/>
  <c r="C26" i="104"/>
  <c r="C65" i="104" s="1"/>
  <c r="X6" i="104"/>
  <c r="J36" i="75"/>
  <c r="D35" i="75"/>
  <c r="AC18" i="104"/>
  <c r="AB19" i="104"/>
  <c r="AB15" i="106"/>
  <c r="AC21" i="107"/>
  <c r="AC7" i="107"/>
  <c r="AB19" i="108"/>
  <c r="AB7" i="107"/>
  <c r="X20" i="105"/>
  <c r="Z11" i="107"/>
  <c r="O26" i="108"/>
  <c r="O68" i="108" s="1"/>
  <c r="AB99" i="108" s="1"/>
  <c r="N120" i="106"/>
  <c r="Y16" i="107"/>
  <c r="Z12" i="106"/>
  <c r="AB25" i="107"/>
  <c r="Z15" i="108"/>
  <c r="K26" i="107"/>
  <c r="K64" i="107" s="1"/>
  <c r="Y25" i="107"/>
  <c r="X19" i="105"/>
  <c r="X7" i="104"/>
  <c r="D33" i="85"/>
  <c r="X17" i="108"/>
  <c r="O120" i="104"/>
  <c r="X11" i="106"/>
  <c r="Z12" i="107"/>
  <c r="X11" i="105"/>
  <c r="X21" i="105"/>
  <c r="Y19" i="107"/>
  <c r="X15" i="106"/>
  <c r="X16" i="108"/>
  <c r="AB10" i="105"/>
  <c r="Z21" i="108"/>
  <c r="N120" i="104"/>
  <c r="K120" i="108"/>
  <c r="K124" i="108" s="1"/>
  <c r="AC20" i="105"/>
  <c r="D120" i="107"/>
  <c r="D124" i="107" s="1"/>
  <c r="X8" i="107"/>
  <c r="AB11" i="108"/>
  <c r="Y21" i="105"/>
  <c r="AC14" i="105"/>
  <c r="Z18" i="104"/>
  <c r="E120" i="106"/>
  <c r="E124" i="106" s="1"/>
  <c r="AB22" i="107"/>
  <c r="V26" i="108"/>
  <c r="V32" i="108" s="1"/>
  <c r="V34" i="108" s="1"/>
  <c r="X10" i="105"/>
  <c r="AB16" i="106"/>
  <c r="Z20" i="104"/>
  <c r="X6" i="107"/>
  <c r="C26" i="107"/>
  <c r="C66" i="107" s="1"/>
  <c r="E122" i="106"/>
  <c r="E60" i="106"/>
  <c r="E32" i="106"/>
  <c r="E47" i="106" s="1"/>
  <c r="E75" i="106"/>
  <c r="E73" i="106"/>
  <c r="E63" i="106"/>
  <c r="E69" i="106"/>
  <c r="E61" i="106"/>
  <c r="E65" i="106"/>
  <c r="E71" i="106"/>
  <c r="E66" i="106"/>
  <c r="E70" i="106"/>
  <c r="E72" i="106"/>
  <c r="E79" i="106"/>
  <c r="E68" i="106"/>
  <c r="N67" i="106" l="1"/>
  <c r="AA98" i="106" s="1"/>
  <c r="O78" i="106"/>
  <c r="AB109" i="106" s="1"/>
  <c r="K75" i="104"/>
  <c r="N71" i="106"/>
  <c r="AA102" i="106" s="1"/>
  <c r="N70" i="106"/>
  <c r="AA101" i="106" s="1"/>
  <c r="E78" i="106"/>
  <c r="E67" i="106"/>
  <c r="E74" i="106"/>
  <c r="E62" i="106"/>
  <c r="E77" i="106"/>
  <c r="E76" i="106"/>
  <c r="N64" i="106"/>
  <c r="AA95" i="106" s="1"/>
  <c r="N77" i="106"/>
  <c r="AA108" i="106" s="1"/>
  <c r="N63" i="106"/>
  <c r="AA94" i="106" s="1"/>
  <c r="U47" i="106"/>
  <c r="V59" i="105"/>
  <c r="C70" i="105"/>
  <c r="R73" i="107"/>
  <c r="K66" i="104"/>
  <c r="K72" i="104"/>
  <c r="K73" i="104"/>
  <c r="V74" i="105"/>
  <c r="V63" i="105"/>
  <c r="V64" i="105"/>
  <c r="V57" i="105"/>
  <c r="U40" i="106"/>
  <c r="R51" i="107"/>
  <c r="C66" i="108"/>
  <c r="C65" i="108"/>
  <c r="R72" i="107"/>
  <c r="U65" i="106"/>
  <c r="K75" i="108"/>
  <c r="U78" i="106"/>
  <c r="C78" i="108"/>
  <c r="R49" i="107"/>
  <c r="R55" i="107"/>
  <c r="R60" i="107"/>
  <c r="R62" i="107"/>
  <c r="R67" i="107"/>
  <c r="C69" i="108"/>
  <c r="R47" i="107"/>
  <c r="E67" i="108"/>
  <c r="R41" i="107"/>
  <c r="R57" i="107"/>
  <c r="R64" i="107"/>
  <c r="C62" i="108"/>
  <c r="C71" i="108"/>
  <c r="R78" i="107"/>
  <c r="R53" i="107"/>
  <c r="R54" i="107"/>
  <c r="R65" i="107"/>
  <c r="R63" i="107"/>
  <c r="R48" i="107"/>
  <c r="C74" i="108"/>
  <c r="E76" i="108"/>
  <c r="C64" i="108"/>
  <c r="R69" i="107"/>
  <c r="R42" i="107"/>
  <c r="R58" i="107"/>
  <c r="R71" i="107"/>
  <c r="C32" i="108"/>
  <c r="C54" i="108" s="1"/>
  <c r="R56" i="107"/>
  <c r="R44" i="107"/>
  <c r="R52" i="107"/>
  <c r="R66" i="107"/>
  <c r="R46" i="107"/>
  <c r="R74" i="107"/>
  <c r="C70" i="108"/>
  <c r="C79" i="108"/>
  <c r="R76" i="107"/>
  <c r="R45" i="107"/>
  <c r="R59" i="107"/>
  <c r="C75" i="108"/>
  <c r="E70" i="108"/>
  <c r="R68" i="107"/>
  <c r="R79" i="107"/>
  <c r="R43" i="107"/>
  <c r="E65" i="108"/>
  <c r="R40" i="107"/>
  <c r="R50" i="107"/>
  <c r="R77" i="107"/>
  <c r="R61" i="107"/>
  <c r="C76" i="108"/>
  <c r="C68" i="108"/>
  <c r="E68" i="108"/>
  <c r="C67" i="108"/>
  <c r="C73" i="108"/>
  <c r="R70" i="107"/>
  <c r="R75" i="107"/>
  <c r="E74" i="108"/>
  <c r="C61" i="108"/>
  <c r="N78" i="106"/>
  <c r="AA109" i="106" s="1"/>
  <c r="N75" i="106"/>
  <c r="AA106" i="106" s="1"/>
  <c r="N61" i="106"/>
  <c r="AA92" i="106" s="1"/>
  <c r="N72" i="106"/>
  <c r="AA103" i="106" s="1"/>
  <c r="N73" i="106"/>
  <c r="AA104" i="106" s="1"/>
  <c r="N65" i="106"/>
  <c r="AA96" i="106" s="1"/>
  <c r="N62" i="106"/>
  <c r="AA93" i="106" s="1"/>
  <c r="Q69" i="106"/>
  <c r="N79" i="106"/>
  <c r="AA110" i="106" s="1"/>
  <c r="N76" i="106"/>
  <c r="AA107" i="106" s="1"/>
  <c r="N69" i="106"/>
  <c r="AA100" i="106" s="1"/>
  <c r="N74" i="106"/>
  <c r="AA105" i="106" s="1"/>
  <c r="N122" i="106"/>
  <c r="Q78" i="106"/>
  <c r="Q61" i="106"/>
  <c r="N32" i="106"/>
  <c r="N34" i="106" s="1"/>
  <c r="N60" i="106"/>
  <c r="AA91" i="106" s="1"/>
  <c r="N66" i="106"/>
  <c r="AA97" i="106" s="1"/>
  <c r="L70" i="108"/>
  <c r="E122" i="108"/>
  <c r="E78" i="108"/>
  <c r="E66" i="108"/>
  <c r="E75" i="108"/>
  <c r="C77" i="108"/>
  <c r="C60" i="108"/>
  <c r="E32" i="108"/>
  <c r="E59" i="108" s="1"/>
  <c r="M110" i="108" s="1"/>
  <c r="E61" i="108"/>
  <c r="E77" i="108"/>
  <c r="C63" i="108"/>
  <c r="C122" i="108"/>
  <c r="E62" i="108"/>
  <c r="E71" i="108"/>
  <c r="E60" i="108"/>
  <c r="E72" i="108"/>
  <c r="E79" i="108"/>
  <c r="E69" i="108"/>
  <c r="S72" i="107"/>
  <c r="E73" i="108"/>
  <c r="E63" i="108"/>
  <c r="K68" i="104"/>
  <c r="K65" i="104"/>
  <c r="K67" i="104"/>
  <c r="K69" i="104"/>
  <c r="K79" i="104"/>
  <c r="K76" i="104"/>
  <c r="K74" i="104"/>
  <c r="K77" i="104"/>
  <c r="K61" i="104"/>
  <c r="K32" i="104"/>
  <c r="K119" i="104" s="1"/>
  <c r="K60" i="104"/>
  <c r="K63" i="104"/>
  <c r="K62" i="104"/>
  <c r="K64" i="104"/>
  <c r="K122" i="104"/>
  <c r="K70" i="104"/>
  <c r="U52" i="106"/>
  <c r="C71" i="105"/>
  <c r="L64" i="108"/>
  <c r="S62" i="107"/>
  <c r="S79" i="105"/>
  <c r="Q57" i="106"/>
  <c r="Q53" i="106"/>
  <c r="Q64" i="106"/>
  <c r="Q76" i="106"/>
  <c r="S70" i="105"/>
  <c r="S63" i="105"/>
  <c r="S76" i="107"/>
  <c r="S61" i="107"/>
  <c r="S78" i="107"/>
  <c r="S77" i="107"/>
  <c r="S79" i="107"/>
  <c r="S64" i="107"/>
  <c r="U79" i="106"/>
  <c r="U57" i="106"/>
  <c r="S75" i="107"/>
  <c r="S70" i="107"/>
  <c r="R64" i="108"/>
  <c r="S60" i="107"/>
  <c r="K78" i="108"/>
  <c r="V43" i="105"/>
  <c r="D74" i="108"/>
  <c r="S73" i="107"/>
  <c r="S57" i="105"/>
  <c r="S32" i="107"/>
  <c r="S43" i="107" s="1"/>
  <c r="K78" i="104"/>
  <c r="H71" i="107"/>
  <c r="P102" i="107" s="1"/>
  <c r="U49" i="106"/>
  <c r="R65" i="108"/>
  <c r="S55" i="105"/>
  <c r="S74" i="107"/>
  <c r="S71" i="107"/>
  <c r="S68" i="107"/>
  <c r="S67" i="107"/>
  <c r="S65" i="107"/>
  <c r="S66" i="107"/>
  <c r="R48" i="105"/>
  <c r="C72" i="106"/>
  <c r="R69" i="105"/>
  <c r="R47" i="105"/>
  <c r="C77" i="106"/>
  <c r="R75" i="105"/>
  <c r="C75" i="106"/>
  <c r="H63" i="107"/>
  <c r="P94" i="107" s="1"/>
  <c r="H74" i="107"/>
  <c r="P105" i="107" s="1"/>
  <c r="H67" i="107"/>
  <c r="P98" i="107" s="1"/>
  <c r="H68" i="107"/>
  <c r="P99" i="107" s="1"/>
  <c r="H78" i="107"/>
  <c r="P109" i="107" s="1"/>
  <c r="H76" i="107"/>
  <c r="P107" i="107" s="1"/>
  <c r="L63" i="104"/>
  <c r="L65" i="108"/>
  <c r="U56" i="106"/>
  <c r="K79" i="108"/>
  <c r="V47" i="105"/>
  <c r="V61" i="105"/>
  <c r="V46" i="105"/>
  <c r="R50" i="108"/>
  <c r="U77" i="106"/>
  <c r="R44" i="108"/>
  <c r="R41" i="108"/>
  <c r="K73" i="108"/>
  <c r="U55" i="106"/>
  <c r="V67" i="105"/>
  <c r="V41" i="105"/>
  <c r="V40" i="105"/>
  <c r="U50" i="106"/>
  <c r="R73" i="108"/>
  <c r="U48" i="106"/>
  <c r="U64" i="106"/>
  <c r="U53" i="106"/>
  <c r="R54" i="108"/>
  <c r="R56" i="108"/>
  <c r="K65" i="108"/>
  <c r="U68" i="106"/>
  <c r="V73" i="105"/>
  <c r="V69" i="105"/>
  <c r="U67" i="106"/>
  <c r="U59" i="106"/>
  <c r="U58" i="106"/>
  <c r="U60" i="106"/>
  <c r="R68" i="108"/>
  <c r="R77" i="108"/>
  <c r="R58" i="108"/>
  <c r="U71" i="106"/>
  <c r="V77" i="105"/>
  <c r="V70" i="105"/>
  <c r="V48" i="105"/>
  <c r="K122" i="108"/>
  <c r="U74" i="106"/>
  <c r="L78" i="108"/>
  <c r="U46" i="106"/>
  <c r="U66" i="106"/>
  <c r="R57" i="108"/>
  <c r="R62" i="108"/>
  <c r="V60" i="105"/>
  <c r="V55" i="105"/>
  <c r="K74" i="108"/>
  <c r="K77" i="108"/>
  <c r="V62" i="105"/>
  <c r="U69" i="106"/>
  <c r="L122" i="108"/>
  <c r="R48" i="108"/>
  <c r="R43" i="108"/>
  <c r="L61" i="108"/>
  <c r="U51" i="106"/>
  <c r="V72" i="105"/>
  <c r="V53" i="105"/>
  <c r="V58" i="105"/>
  <c r="U42" i="106"/>
  <c r="V50" i="105"/>
  <c r="U61" i="106"/>
  <c r="U44" i="106"/>
  <c r="L77" i="108"/>
  <c r="R47" i="108"/>
  <c r="K62" i="108"/>
  <c r="K68" i="108"/>
  <c r="V42" i="105"/>
  <c r="V76" i="105"/>
  <c r="K69" i="108"/>
  <c r="V75" i="105"/>
  <c r="U73" i="106"/>
  <c r="R53" i="108"/>
  <c r="K63" i="108"/>
  <c r="U41" i="106"/>
  <c r="K60" i="108"/>
  <c r="V52" i="105"/>
  <c r="V68" i="105"/>
  <c r="V65" i="105"/>
  <c r="V44" i="105"/>
  <c r="K66" i="108"/>
  <c r="V49" i="105"/>
  <c r="U70" i="106"/>
  <c r="U63" i="106"/>
  <c r="U45" i="106"/>
  <c r="R51" i="108"/>
  <c r="K71" i="108"/>
  <c r="U54" i="106"/>
  <c r="V78" i="105"/>
  <c r="V56" i="105"/>
  <c r="V71" i="105"/>
  <c r="V45" i="105"/>
  <c r="K32" i="108"/>
  <c r="K59" i="108" s="1"/>
  <c r="X110" i="108" s="1"/>
  <c r="K64" i="108"/>
  <c r="U75" i="106"/>
  <c r="U72" i="106"/>
  <c r="R79" i="108"/>
  <c r="R76" i="108"/>
  <c r="U62" i="106"/>
  <c r="U76" i="106"/>
  <c r="K76" i="108"/>
  <c r="V54" i="105"/>
  <c r="V79" i="105"/>
  <c r="V51" i="105"/>
  <c r="V66" i="105"/>
  <c r="K72" i="108"/>
  <c r="R61" i="108"/>
  <c r="K67" i="108"/>
  <c r="S65" i="106"/>
  <c r="K61" i="108"/>
  <c r="U43" i="106"/>
  <c r="R70" i="108"/>
  <c r="J76" i="104"/>
  <c r="U44" i="105"/>
  <c r="J78" i="104"/>
  <c r="U77" i="105"/>
  <c r="J73" i="104"/>
  <c r="J71" i="104"/>
  <c r="S60" i="106"/>
  <c r="S59" i="106"/>
  <c r="S48" i="106"/>
  <c r="J66" i="104"/>
  <c r="J60" i="104"/>
  <c r="J62" i="104"/>
  <c r="U74" i="105"/>
  <c r="G77" i="107"/>
  <c r="O108" i="107" s="1"/>
  <c r="J32" i="104"/>
  <c r="J44" i="104" s="1"/>
  <c r="J70" i="104"/>
  <c r="U43" i="105"/>
  <c r="J79" i="104"/>
  <c r="U45" i="105"/>
  <c r="G76" i="107"/>
  <c r="O107" i="107" s="1"/>
  <c r="U54" i="105"/>
  <c r="J69" i="104"/>
  <c r="J64" i="104"/>
  <c r="G74" i="107"/>
  <c r="O105" i="107" s="1"/>
  <c r="U40" i="105"/>
  <c r="U72" i="105"/>
  <c r="J75" i="104"/>
  <c r="U67" i="105"/>
  <c r="U41" i="105"/>
  <c r="U52" i="105"/>
  <c r="J122" i="104"/>
  <c r="J74" i="104"/>
  <c r="U55" i="105"/>
  <c r="U63" i="105"/>
  <c r="J61" i="104"/>
  <c r="J72" i="104"/>
  <c r="U64" i="105"/>
  <c r="U57" i="105"/>
  <c r="U78" i="105"/>
  <c r="U70" i="105"/>
  <c r="U76" i="105"/>
  <c r="J77" i="104"/>
  <c r="J65" i="104"/>
  <c r="J63" i="104"/>
  <c r="L74" i="108"/>
  <c r="L32" i="108"/>
  <c r="L47" i="108" s="1"/>
  <c r="Y98" i="108" s="1"/>
  <c r="L60" i="108"/>
  <c r="L72" i="108"/>
  <c r="L71" i="108"/>
  <c r="L69" i="108"/>
  <c r="L68" i="108"/>
  <c r="R42" i="108"/>
  <c r="R67" i="108"/>
  <c r="R40" i="108"/>
  <c r="L73" i="108"/>
  <c r="R78" i="108"/>
  <c r="R45" i="108"/>
  <c r="R66" i="108"/>
  <c r="S78" i="106"/>
  <c r="L62" i="108"/>
  <c r="S49" i="106"/>
  <c r="L63" i="108"/>
  <c r="R60" i="108"/>
  <c r="R71" i="108"/>
  <c r="S56" i="106"/>
  <c r="L79" i="108"/>
  <c r="R69" i="108"/>
  <c r="L61" i="104"/>
  <c r="L66" i="104"/>
  <c r="L73" i="104"/>
  <c r="L77" i="104"/>
  <c r="L60" i="104"/>
  <c r="L32" i="104"/>
  <c r="L56" i="104" s="1"/>
  <c r="Y107" i="104" s="1"/>
  <c r="L69" i="104"/>
  <c r="L74" i="104"/>
  <c r="L122" i="104"/>
  <c r="L70" i="104"/>
  <c r="L72" i="104"/>
  <c r="L68" i="104"/>
  <c r="L67" i="104"/>
  <c r="L62" i="104"/>
  <c r="L76" i="104"/>
  <c r="L75" i="104"/>
  <c r="L79" i="104"/>
  <c r="L71" i="104"/>
  <c r="L64" i="104"/>
  <c r="L78" i="104"/>
  <c r="N79" i="105"/>
  <c r="AA110" i="105" s="1"/>
  <c r="H75" i="107"/>
  <c r="P106" i="107" s="1"/>
  <c r="H72" i="107"/>
  <c r="P103" i="107" s="1"/>
  <c r="H32" i="107"/>
  <c r="H45" i="107" s="1"/>
  <c r="H77" i="107"/>
  <c r="P108" i="107" s="1"/>
  <c r="H122" i="107"/>
  <c r="D63" i="108"/>
  <c r="Q45" i="106"/>
  <c r="Q65" i="104"/>
  <c r="D68" i="108"/>
  <c r="S71" i="105"/>
  <c r="H79" i="107"/>
  <c r="P110" i="107" s="1"/>
  <c r="H60" i="107"/>
  <c r="P91" i="107" s="1"/>
  <c r="D72" i="108"/>
  <c r="S61" i="105"/>
  <c r="D62" i="108"/>
  <c r="D77" i="108"/>
  <c r="Q70" i="106"/>
  <c r="R47" i="104"/>
  <c r="R42" i="104"/>
  <c r="R76" i="104"/>
  <c r="R49" i="104"/>
  <c r="H69" i="107"/>
  <c r="P100" i="107" s="1"/>
  <c r="D79" i="108"/>
  <c r="D70" i="108"/>
  <c r="S43" i="105"/>
  <c r="S47" i="105"/>
  <c r="U59" i="105"/>
  <c r="J68" i="104"/>
  <c r="U79" i="105"/>
  <c r="U50" i="105"/>
  <c r="U75" i="105"/>
  <c r="U66" i="105"/>
  <c r="U46" i="105"/>
  <c r="G73" i="107"/>
  <c r="O104" i="107" s="1"/>
  <c r="G69" i="107"/>
  <c r="O100" i="107" s="1"/>
  <c r="G78" i="107"/>
  <c r="O109" i="107" s="1"/>
  <c r="U73" i="105"/>
  <c r="U69" i="105"/>
  <c r="S58" i="106"/>
  <c r="S68" i="106"/>
  <c r="S79" i="106"/>
  <c r="S63" i="106"/>
  <c r="R74" i="108"/>
  <c r="S74" i="106"/>
  <c r="S75" i="106"/>
  <c r="S54" i="106"/>
  <c r="R49" i="108"/>
  <c r="H65" i="107"/>
  <c r="P96" i="107" s="1"/>
  <c r="D78" i="108"/>
  <c r="D71" i="108"/>
  <c r="D64" i="108"/>
  <c r="S76" i="105"/>
  <c r="S58" i="105"/>
  <c r="H73" i="107"/>
  <c r="P104" i="107" s="1"/>
  <c r="D75" i="108"/>
  <c r="S41" i="105"/>
  <c r="S46" i="105"/>
  <c r="Q73" i="106"/>
  <c r="G72" i="107"/>
  <c r="O103" i="107" s="1"/>
  <c r="S72" i="105"/>
  <c r="S59" i="105"/>
  <c r="S67" i="105"/>
  <c r="Q49" i="106"/>
  <c r="H64" i="107"/>
  <c r="P95" i="107" s="1"/>
  <c r="D76" i="108"/>
  <c r="D122" i="108"/>
  <c r="S53" i="105"/>
  <c r="S49" i="105"/>
  <c r="Q55" i="104"/>
  <c r="R57" i="105"/>
  <c r="R52" i="105"/>
  <c r="C78" i="106"/>
  <c r="C65" i="106"/>
  <c r="C71" i="106"/>
  <c r="C61" i="106"/>
  <c r="R42" i="105"/>
  <c r="O69" i="106"/>
  <c r="AB100" i="106" s="1"/>
  <c r="O70" i="106"/>
  <c r="AB101" i="106" s="1"/>
  <c r="O77" i="106"/>
  <c r="AB108" i="106" s="1"/>
  <c r="O122" i="106"/>
  <c r="R73" i="105"/>
  <c r="O79" i="106"/>
  <c r="AB110" i="106" s="1"/>
  <c r="R67" i="105"/>
  <c r="R49" i="105"/>
  <c r="R41" i="105"/>
  <c r="O76" i="106"/>
  <c r="AB107" i="106" s="1"/>
  <c r="O32" i="106"/>
  <c r="O40" i="106" s="1"/>
  <c r="C60" i="106"/>
  <c r="C122" i="106"/>
  <c r="R40" i="105"/>
  <c r="O64" i="106"/>
  <c r="AB95" i="106" s="1"/>
  <c r="R72" i="105"/>
  <c r="O67" i="106"/>
  <c r="AB98" i="106" s="1"/>
  <c r="C69" i="106"/>
  <c r="C70" i="106"/>
  <c r="R59" i="105"/>
  <c r="R63" i="105"/>
  <c r="R44" i="105"/>
  <c r="O65" i="106"/>
  <c r="AB96" i="106" s="1"/>
  <c r="O74" i="106"/>
  <c r="AB105" i="106" s="1"/>
  <c r="O60" i="106"/>
  <c r="AB91" i="106" s="1"/>
  <c r="O73" i="106"/>
  <c r="AB104" i="106" s="1"/>
  <c r="R65" i="105"/>
  <c r="R58" i="105"/>
  <c r="R68" i="105"/>
  <c r="R62" i="105"/>
  <c r="R77" i="105"/>
  <c r="O75" i="106"/>
  <c r="AB106" i="106" s="1"/>
  <c r="O61" i="106"/>
  <c r="AB92" i="106" s="1"/>
  <c r="O68" i="106"/>
  <c r="AB99" i="106" s="1"/>
  <c r="C74" i="106"/>
  <c r="R71" i="105"/>
  <c r="O71" i="106"/>
  <c r="AB102" i="106" s="1"/>
  <c r="R43" i="105"/>
  <c r="C79" i="106"/>
  <c r="R76" i="105"/>
  <c r="R79" i="105"/>
  <c r="R74" i="105"/>
  <c r="R78" i="105"/>
  <c r="R50" i="105"/>
  <c r="R61" i="105"/>
  <c r="C68" i="106"/>
  <c r="R51" i="105"/>
  <c r="R56" i="105"/>
  <c r="R66" i="105"/>
  <c r="R60" i="105"/>
  <c r="C67" i="106"/>
  <c r="R64" i="105"/>
  <c r="R55" i="105"/>
  <c r="R46" i="105"/>
  <c r="O63" i="106"/>
  <c r="AB94" i="106" s="1"/>
  <c r="O62" i="106"/>
  <c r="AB93" i="106" s="1"/>
  <c r="R45" i="105"/>
  <c r="R54" i="105"/>
  <c r="C62" i="106"/>
  <c r="R53" i="105"/>
  <c r="R70" i="105"/>
  <c r="C66" i="106"/>
  <c r="O72" i="106"/>
  <c r="AB103" i="106" s="1"/>
  <c r="U41" i="104"/>
  <c r="U51" i="104"/>
  <c r="Q54" i="108"/>
  <c r="U75" i="104"/>
  <c r="R67" i="104"/>
  <c r="Q55" i="106"/>
  <c r="R45" i="104"/>
  <c r="Q71" i="106"/>
  <c r="R56" i="104"/>
  <c r="Q66" i="106"/>
  <c r="R55" i="104"/>
  <c r="R65" i="104"/>
  <c r="Q54" i="106"/>
  <c r="R43" i="104"/>
  <c r="R69" i="104"/>
  <c r="R60" i="104"/>
  <c r="R40" i="104"/>
  <c r="Q62" i="106"/>
  <c r="Q50" i="106"/>
  <c r="Q48" i="106"/>
  <c r="Q77" i="106"/>
  <c r="R44" i="104"/>
  <c r="R75" i="104"/>
  <c r="Q79" i="106"/>
  <c r="R57" i="104"/>
  <c r="R54" i="104"/>
  <c r="N63" i="104"/>
  <c r="AA94" i="104" s="1"/>
  <c r="Q67" i="106"/>
  <c r="S52" i="105"/>
  <c r="S68" i="105"/>
  <c r="S73" i="105"/>
  <c r="S40" i="105"/>
  <c r="S66" i="105"/>
  <c r="Q53" i="104"/>
  <c r="H66" i="107"/>
  <c r="P97" i="107" s="1"/>
  <c r="H62" i="107"/>
  <c r="P93" i="107" s="1"/>
  <c r="D67" i="108"/>
  <c r="S54" i="105"/>
  <c r="S42" i="105"/>
  <c r="D65" i="108"/>
  <c r="H61" i="107"/>
  <c r="P92" i="107" s="1"/>
  <c r="S50" i="105"/>
  <c r="D69" i="108"/>
  <c r="S48" i="105"/>
  <c r="D73" i="108"/>
  <c r="S75" i="104"/>
  <c r="S61" i="104"/>
  <c r="S65" i="104"/>
  <c r="S53" i="106"/>
  <c r="S43" i="106"/>
  <c r="S64" i="106"/>
  <c r="S57" i="106"/>
  <c r="S52" i="106"/>
  <c r="S73" i="106"/>
  <c r="S42" i="106"/>
  <c r="S70" i="106"/>
  <c r="S55" i="106"/>
  <c r="S76" i="106"/>
  <c r="S72" i="106"/>
  <c r="S50" i="106"/>
  <c r="S47" i="106"/>
  <c r="S45" i="106"/>
  <c r="S40" i="106"/>
  <c r="S77" i="106"/>
  <c r="S51" i="106"/>
  <c r="S67" i="106"/>
  <c r="S66" i="106"/>
  <c r="S44" i="106"/>
  <c r="S71" i="106"/>
  <c r="S46" i="106"/>
  <c r="S69" i="106"/>
  <c r="S41" i="106"/>
  <c r="S61" i="106"/>
  <c r="S62" i="106"/>
  <c r="S72" i="104"/>
  <c r="O70" i="105"/>
  <c r="AB101" i="105" s="1"/>
  <c r="S66" i="104"/>
  <c r="S73" i="104"/>
  <c r="S77" i="104"/>
  <c r="S63" i="107"/>
  <c r="G67" i="107"/>
  <c r="O98" i="107" s="1"/>
  <c r="G70" i="107"/>
  <c r="O101" i="107" s="1"/>
  <c r="G62" i="107"/>
  <c r="O93" i="107" s="1"/>
  <c r="G79" i="107"/>
  <c r="O110" i="107" s="1"/>
  <c r="R71" i="106"/>
  <c r="R76" i="106"/>
  <c r="R61" i="104"/>
  <c r="R64" i="104"/>
  <c r="R51" i="104"/>
  <c r="S46" i="104"/>
  <c r="Q44" i="106"/>
  <c r="Q59" i="106"/>
  <c r="Q74" i="106"/>
  <c r="V54" i="107"/>
  <c r="V51" i="106"/>
  <c r="R71" i="104"/>
  <c r="R74" i="104"/>
  <c r="R68" i="104"/>
  <c r="U47" i="104"/>
  <c r="Q42" i="106"/>
  <c r="Q47" i="106"/>
  <c r="R52" i="104"/>
  <c r="N65" i="104"/>
  <c r="AA96" i="104" s="1"/>
  <c r="S52" i="104"/>
  <c r="S76" i="104"/>
  <c r="Q58" i="106"/>
  <c r="Q40" i="106"/>
  <c r="V55" i="106"/>
  <c r="R79" i="104"/>
  <c r="R73" i="104"/>
  <c r="V79" i="106"/>
  <c r="U54" i="104"/>
  <c r="S48" i="104"/>
  <c r="Q56" i="106"/>
  <c r="Q75" i="106"/>
  <c r="E70" i="105"/>
  <c r="C77" i="105"/>
  <c r="C66" i="105"/>
  <c r="Q45" i="107"/>
  <c r="Q76" i="107"/>
  <c r="D60" i="108"/>
  <c r="S69" i="104"/>
  <c r="S78" i="104"/>
  <c r="S41" i="104"/>
  <c r="S74" i="104"/>
  <c r="S40" i="104"/>
  <c r="D66" i="108"/>
  <c r="S47" i="104"/>
  <c r="S71" i="104"/>
  <c r="S49" i="104"/>
  <c r="Q71" i="104"/>
  <c r="D32" i="108"/>
  <c r="D34" i="108" s="1"/>
  <c r="S57" i="104"/>
  <c r="S68" i="104"/>
  <c r="Q49" i="104"/>
  <c r="S44" i="104"/>
  <c r="Q74" i="104"/>
  <c r="S59" i="104"/>
  <c r="S53" i="104"/>
  <c r="Q59" i="104"/>
  <c r="Q70" i="104"/>
  <c r="V77" i="107"/>
  <c r="S50" i="108"/>
  <c r="V58" i="107"/>
  <c r="V56" i="107"/>
  <c r="R58" i="106"/>
  <c r="S44" i="108"/>
  <c r="V60" i="106"/>
  <c r="V45" i="106"/>
  <c r="D73" i="104"/>
  <c r="R47" i="106"/>
  <c r="R51" i="106"/>
  <c r="V64" i="107"/>
  <c r="V59" i="106"/>
  <c r="L32" i="107"/>
  <c r="L43" i="107" s="1"/>
  <c r="Y94" i="107" s="1"/>
  <c r="G68" i="106"/>
  <c r="O99" i="106" s="1"/>
  <c r="V74" i="106"/>
  <c r="R53" i="106"/>
  <c r="N65" i="108"/>
  <c r="AA96" i="108" s="1"/>
  <c r="V75" i="107"/>
  <c r="R60" i="106"/>
  <c r="V65" i="107"/>
  <c r="V69" i="107"/>
  <c r="V52" i="107"/>
  <c r="R65" i="106"/>
  <c r="V43" i="107"/>
  <c r="R40" i="106"/>
  <c r="V40" i="107"/>
  <c r="N62" i="108"/>
  <c r="AA93" i="108" s="1"/>
  <c r="V68" i="106"/>
  <c r="V78" i="106"/>
  <c r="V52" i="106"/>
  <c r="V41" i="106"/>
  <c r="K69" i="105"/>
  <c r="N73" i="108"/>
  <c r="AA104" i="108" s="1"/>
  <c r="V48" i="106"/>
  <c r="V45" i="107"/>
  <c r="V68" i="107"/>
  <c r="V53" i="107"/>
  <c r="E76" i="107"/>
  <c r="V47" i="106"/>
  <c r="R61" i="106"/>
  <c r="V76" i="106"/>
  <c r="R72" i="106"/>
  <c r="V72" i="107"/>
  <c r="V48" i="107"/>
  <c r="V66" i="107"/>
  <c r="V61" i="106"/>
  <c r="V76" i="107"/>
  <c r="N76" i="108"/>
  <c r="AA107" i="108" s="1"/>
  <c r="K78" i="105"/>
  <c r="D32" i="104"/>
  <c r="D46" i="104" s="1"/>
  <c r="L97" i="104" s="1"/>
  <c r="R54" i="106"/>
  <c r="N67" i="108"/>
  <c r="AA98" i="108" s="1"/>
  <c r="N68" i="108"/>
  <c r="AA99" i="108" s="1"/>
  <c r="N71" i="108"/>
  <c r="AA102" i="108" s="1"/>
  <c r="N64" i="108"/>
  <c r="AA95" i="108" s="1"/>
  <c r="R69" i="106"/>
  <c r="V77" i="106"/>
  <c r="D63" i="104"/>
  <c r="V46" i="107"/>
  <c r="R73" i="106"/>
  <c r="R57" i="106"/>
  <c r="R46" i="106"/>
  <c r="L76" i="108"/>
  <c r="G68" i="107"/>
  <c r="O99" i="107" s="1"/>
  <c r="G71" i="107"/>
  <c r="O102" i="107" s="1"/>
  <c r="Q41" i="106"/>
  <c r="G75" i="107"/>
  <c r="O106" i="107" s="1"/>
  <c r="G65" i="107"/>
  <c r="O96" i="107" s="1"/>
  <c r="N77" i="104"/>
  <c r="AA108" i="104" s="1"/>
  <c r="G63" i="107"/>
  <c r="O94" i="107" s="1"/>
  <c r="Q60" i="106"/>
  <c r="G122" i="107"/>
  <c r="G60" i="107"/>
  <c r="O91" i="107" s="1"/>
  <c r="N32" i="104"/>
  <c r="N58" i="104" s="1"/>
  <c r="G64" i="107"/>
  <c r="O95" i="107" s="1"/>
  <c r="G32" i="107"/>
  <c r="G49" i="107" s="1"/>
  <c r="G61" i="107"/>
  <c r="O92" i="107" s="1"/>
  <c r="Q51" i="106"/>
  <c r="Q72" i="104"/>
  <c r="Q46" i="104"/>
  <c r="Q68" i="104"/>
  <c r="Q50" i="104"/>
  <c r="Q66" i="104"/>
  <c r="Q60" i="104"/>
  <c r="Q52" i="104"/>
  <c r="Q57" i="104"/>
  <c r="E69" i="104"/>
  <c r="E122" i="104"/>
  <c r="C63" i="107"/>
  <c r="C76" i="107"/>
  <c r="E78" i="104"/>
  <c r="E70" i="104"/>
  <c r="C62" i="107"/>
  <c r="Q43" i="106"/>
  <c r="E75" i="104"/>
  <c r="E63" i="104"/>
  <c r="E60" i="104"/>
  <c r="E77" i="104"/>
  <c r="C67" i="107"/>
  <c r="Q46" i="106"/>
  <c r="E67" i="104"/>
  <c r="E62" i="104"/>
  <c r="L66" i="105"/>
  <c r="E68" i="104"/>
  <c r="C71" i="107"/>
  <c r="C61" i="107"/>
  <c r="H76" i="104"/>
  <c r="P107" i="104" s="1"/>
  <c r="E76" i="104"/>
  <c r="E71" i="104"/>
  <c r="K77" i="107"/>
  <c r="Q52" i="106"/>
  <c r="E66" i="104"/>
  <c r="E32" i="104"/>
  <c r="E54" i="104" s="1"/>
  <c r="M105" i="104" s="1"/>
  <c r="E72" i="104"/>
  <c r="Q65" i="106"/>
  <c r="C75" i="107"/>
  <c r="E64" i="104"/>
  <c r="E73" i="104"/>
  <c r="E74" i="104"/>
  <c r="E79" i="104"/>
  <c r="E65" i="104"/>
  <c r="C77" i="107"/>
  <c r="L122" i="105"/>
  <c r="S58" i="104"/>
  <c r="S63" i="104"/>
  <c r="S54" i="104"/>
  <c r="Q69" i="104"/>
  <c r="Q47" i="104"/>
  <c r="S43" i="104"/>
  <c r="S64" i="104"/>
  <c r="S42" i="104"/>
  <c r="S60" i="104"/>
  <c r="Q51" i="104"/>
  <c r="Q73" i="104"/>
  <c r="Q64" i="104"/>
  <c r="S50" i="104"/>
  <c r="S55" i="104"/>
  <c r="Q54" i="104"/>
  <c r="Q78" i="104"/>
  <c r="Q77" i="104"/>
  <c r="Q48" i="104"/>
  <c r="S56" i="104"/>
  <c r="S79" i="104"/>
  <c r="S67" i="104"/>
  <c r="Q44" i="104"/>
  <c r="Q79" i="104"/>
  <c r="S51" i="104"/>
  <c r="S70" i="104"/>
  <c r="Q41" i="104"/>
  <c r="Q62" i="104"/>
  <c r="Q75" i="104"/>
  <c r="S62" i="104"/>
  <c r="S45" i="104"/>
  <c r="Q67" i="104"/>
  <c r="K66" i="106"/>
  <c r="E75" i="105"/>
  <c r="E60" i="105"/>
  <c r="C63" i="105"/>
  <c r="C60" i="105"/>
  <c r="C76" i="105"/>
  <c r="E76" i="105"/>
  <c r="E66" i="105"/>
  <c r="C69" i="105"/>
  <c r="Q48" i="108"/>
  <c r="E71" i="105"/>
  <c r="C72" i="105"/>
  <c r="Q42" i="107"/>
  <c r="C32" i="105"/>
  <c r="C48" i="105" s="1"/>
  <c r="E77" i="105"/>
  <c r="C65" i="105"/>
  <c r="C75" i="105"/>
  <c r="C73" i="105"/>
  <c r="E69" i="105"/>
  <c r="O66" i="104"/>
  <c r="AB97" i="104" s="1"/>
  <c r="E73" i="105"/>
  <c r="C122" i="105"/>
  <c r="C62" i="105"/>
  <c r="C68" i="105"/>
  <c r="C78" i="105"/>
  <c r="E122" i="105"/>
  <c r="C79" i="105"/>
  <c r="E74" i="105"/>
  <c r="C67" i="105"/>
  <c r="Q61" i="107"/>
  <c r="C74" i="105"/>
  <c r="C61" i="105"/>
  <c r="U63" i="108"/>
  <c r="U45" i="108"/>
  <c r="K76" i="105"/>
  <c r="K32" i="105"/>
  <c r="K49" i="105" s="1"/>
  <c r="X100" i="105" s="1"/>
  <c r="G75" i="108"/>
  <c r="O106" i="108" s="1"/>
  <c r="V55" i="107"/>
  <c r="R77" i="106"/>
  <c r="R41" i="106"/>
  <c r="R49" i="106"/>
  <c r="V42" i="107"/>
  <c r="R52" i="106"/>
  <c r="R67" i="106"/>
  <c r="V41" i="107"/>
  <c r="V60" i="107"/>
  <c r="N60" i="108"/>
  <c r="AA91" i="108" s="1"/>
  <c r="N63" i="108"/>
  <c r="AA94" i="108" s="1"/>
  <c r="N69" i="108"/>
  <c r="AA100" i="108" s="1"/>
  <c r="V71" i="106"/>
  <c r="V57" i="106"/>
  <c r="K71" i="105"/>
  <c r="V63" i="106"/>
  <c r="V53" i="106"/>
  <c r="V72" i="106"/>
  <c r="V44" i="107"/>
  <c r="V74" i="107"/>
  <c r="D62" i="104"/>
  <c r="V47" i="107"/>
  <c r="R62" i="106"/>
  <c r="R48" i="106"/>
  <c r="V73" i="107"/>
  <c r="N79" i="108"/>
  <c r="AA110" i="108" s="1"/>
  <c r="N70" i="108"/>
  <c r="AA101" i="108" s="1"/>
  <c r="K60" i="105"/>
  <c r="K66" i="105"/>
  <c r="E71" i="107"/>
  <c r="G67" i="108"/>
  <c r="O98" i="108" s="1"/>
  <c r="J61" i="107"/>
  <c r="V67" i="107"/>
  <c r="V63" i="107"/>
  <c r="N32" i="108"/>
  <c r="N119" i="108" s="1"/>
  <c r="N123" i="108" s="1"/>
  <c r="V40" i="106"/>
  <c r="V43" i="106"/>
  <c r="V50" i="106"/>
  <c r="V64" i="106"/>
  <c r="R59" i="106"/>
  <c r="R75" i="106"/>
  <c r="V61" i="107"/>
  <c r="V71" i="107"/>
  <c r="V73" i="106"/>
  <c r="V49" i="106"/>
  <c r="V56" i="106"/>
  <c r="R56" i="106"/>
  <c r="D68" i="104"/>
  <c r="D61" i="104"/>
  <c r="R45" i="106"/>
  <c r="R66" i="106"/>
  <c r="D77" i="104"/>
  <c r="G73" i="105"/>
  <c r="O104" i="105" s="1"/>
  <c r="N66" i="108"/>
  <c r="AA97" i="108" s="1"/>
  <c r="V62" i="106"/>
  <c r="H61" i="104"/>
  <c r="P92" i="104" s="1"/>
  <c r="G61" i="108"/>
  <c r="O92" i="108" s="1"/>
  <c r="J76" i="107"/>
  <c r="V59" i="107"/>
  <c r="R79" i="106"/>
  <c r="R55" i="106"/>
  <c r="D72" i="104"/>
  <c r="V51" i="107"/>
  <c r="R74" i="106"/>
  <c r="R78" i="106"/>
  <c r="R43" i="106"/>
  <c r="E67" i="107"/>
  <c r="N61" i="108"/>
  <c r="AA92" i="108" s="1"/>
  <c r="N72" i="108"/>
  <c r="AA103" i="108" s="1"/>
  <c r="N75" i="108"/>
  <c r="AA106" i="108" s="1"/>
  <c r="V65" i="106"/>
  <c r="S58" i="108"/>
  <c r="V62" i="107"/>
  <c r="V79" i="107"/>
  <c r="D76" i="104"/>
  <c r="R63" i="106"/>
  <c r="V57" i="107"/>
  <c r="R68" i="106"/>
  <c r="D60" i="104"/>
  <c r="R70" i="106"/>
  <c r="E70" i="107"/>
  <c r="N78" i="108"/>
  <c r="AA109" i="108" s="1"/>
  <c r="N74" i="108"/>
  <c r="AA105" i="108" s="1"/>
  <c r="N122" i="108"/>
  <c r="V54" i="106"/>
  <c r="S49" i="108"/>
  <c r="V70" i="106"/>
  <c r="E32" i="105"/>
  <c r="E34" i="105" s="1"/>
  <c r="J32" i="107"/>
  <c r="J51" i="107" s="1"/>
  <c r="D78" i="104"/>
  <c r="D74" i="104"/>
  <c r="V67" i="106"/>
  <c r="V75" i="106"/>
  <c r="V44" i="106"/>
  <c r="V46" i="106"/>
  <c r="V69" i="106"/>
  <c r="V78" i="107"/>
  <c r="V70" i="107"/>
  <c r="D65" i="104"/>
  <c r="V49" i="107"/>
  <c r="D69" i="104"/>
  <c r="R44" i="106"/>
  <c r="R50" i="106"/>
  <c r="R64" i="106"/>
  <c r="V50" i="107"/>
  <c r="V42" i="106"/>
  <c r="K65" i="105"/>
  <c r="V58" i="106"/>
  <c r="V66" i="106"/>
  <c r="E79" i="105"/>
  <c r="E61" i="105"/>
  <c r="E68" i="105"/>
  <c r="G75" i="104"/>
  <c r="O106" i="104" s="1"/>
  <c r="O75" i="104"/>
  <c r="AB106" i="104" s="1"/>
  <c r="C70" i="107"/>
  <c r="C122" i="107"/>
  <c r="Q68" i="106"/>
  <c r="C78" i="107"/>
  <c r="H65" i="104"/>
  <c r="P96" i="104" s="1"/>
  <c r="R75" i="108"/>
  <c r="Q72" i="106"/>
  <c r="R46" i="108"/>
  <c r="R59" i="108"/>
  <c r="R72" i="108"/>
  <c r="R55" i="108"/>
  <c r="Q63" i="106"/>
  <c r="C69" i="107"/>
  <c r="R52" i="108"/>
  <c r="R63" i="108"/>
  <c r="E79" i="107"/>
  <c r="L66" i="108"/>
  <c r="K60" i="107"/>
  <c r="Q40" i="105"/>
  <c r="U60" i="104"/>
  <c r="H69" i="105"/>
  <c r="P100" i="105" s="1"/>
  <c r="J79" i="105"/>
  <c r="C32" i="104"/>
  <c r="C58" i="104" s="1"/>
  <c r="N78" i="107"/>
  <c r="AA109" i="107" s="1"/>
  <c r="V45" i="104"/>
  <c r="C75" i="104"/>
  <c r="N32" i="107"/>
  <c r="N52" i="107" s="1"/>
  <c r="C61" i="104"/>
  <c r="J63" i="105"/>
  <c r="C67" i="104"/>
  <c r="N79" i="107"/>
  <c r="AA110" i="107" s="1"/>
  <c r="N65" i="107"/>
  <c r="AA96" i="107" s="1"/>
  <c r="C77" i="104"/>
  <c r="N64" i="107"/>
  <c r="AA95" i="107" s="1"/>
  <c r="N72" i="107"/>
  <c r="AA103" i="107" s="1"/>
  <c r="N77" i="107"/>
  <c r="AA108" i="107" s="1"/>
  <c r="N75" i="107"/>
  <c r="AA106" i="107" s="1"/>
  <c r="J67" i="108"/>
  <c r="J70" i="105"/>
  <c r="C63" i="104"/>
  <c r="C60" i="104"/>
  <c r="C64" i="104"/>
  <c r="H122" i="105"/>
  <c r="N70" i="107"/>
  <c r="AA101" i="107" s="1"/>
  <c r="N122" i="107"/>
  <c r="J78" i="105"/>
  <c r="C68" i="104"/>
  <c r="N66" i="107"/>
  <c r="AA97" i="107" s="1"/>
  <c r="H74" i="105"/>
  <c r="P105" i="105" s="1"/>
  <c r="N73" i="107"/>
  <c r="AA104" i="107" s="1"/>
  <c r="C76" i="104"/>
  <c r="C71" i="104"/>
  <c r="J77" i="105"/>
  <c r="J71" i="105"/>
  <c r="H71" i="105"/>
  <c r="P102" i="105" s="1"/>
  <c r="N71" i="107"/>
  <c r="AA102" i="107" s="1"/>
  <c r="N62" i="107"/>
  <c r="AA93" i="107" s="1"/>
  <c r="Q46" i="105"/>
  <c r="J64" i="105"/>
  <c r="C79" i="104"/>
  <c r="C78" i="104"/>
  <c r="C74" i="104"/>
  <c r="Q47" i="105"/>
  <c r="J73" i="105"/>
  <c r="J62" i="105"/>
  <c r="J32" i="105"/>
  <c r="J53" i="105" s="1"/>
  <c r="C69" i="104"/>
  <c r="J122" i="105"/>
  <c r="N61" i="107"/>
  <c r="AA92" i="107" s="1"/>
  <c r="H62" i="105"/>
  <c r="P93" i="105" s="1"/>
  <c r="Q45" i="105"/>
  <c r="O69" i="107"/>
  <c r="AB100" i="107" s="1"/>
  <c r="C62" i="104"/>
  <c r="C70" i="104"/>
  <c r="N60" i="107"/>
  <c r="AA91" i="107" s="1"/>
  <c r="V63" i="104"/>
  <c r="Q70" i="105"/>
  <c r="N67" i="107"/>
  <c r="AA98" i="107" s="1"/>
  <c r="C73" i="104"/>
  <c r="J69" i="105"/>
  <c r="C66" i="104"/>
  <c r="C122" i="104"/>
  <c r="N68" i="107"/>
  <c r="AA99" i="107" s="1"/>
  <c r="N74" i="107"/>
  <c r="AA105" i="107" s="1"/>
  <c r="C72" i="104"/>
  <c r="J74" i="105"/>
  <c r="N76" i="107"/>
  <c r="AA107" i="107" s="1"/>
  <c r="N63" i="107"/>
  <c r="AA94" i="107" s="1"/>
  <c r="Q68" i="105"/>
  <c r="U79" i="108"/>
  <c r="U44" i="108"/>
  <c r="U77" i="108"/>
  <c r="U53" i="108"/>
  <c r="U71" i="108"/>
  <c r="U76" i="108"/>
  <c r="U62" i="108"/>
  <c r="U48" i="108"/>
  <c r="U43" i="108"/>
  <c r="D67" i="106"/>
  <c r="U46" i="108"/>
  <c r="U55" i="108"/>
  <c r="U50" i="108"/>
  <c r="U66" i="108"/>
  <c r="U67" i="108"/>
  <c r="U49" i="108"/>
  <c r="U78" i="108"/>
  <c r="U60" i="108"/>
  <c r="U52" i="108"/>
  <c r="J62" i="106"/>
  <c r="U65" i="108"/>
  <c r="U41" i="108"/>
  <c r="U59" i="108"/>
  <c r="U69" i="108"/>
  <c r="U61" i="108"/>
  <c r="U42" i="108"/>
  <c r="U70" i="108"/>
  <c r="U51" i="108"/>
  <c r="U73" i="108"/>
  <c r="U54" i="108"/>
  <c r="U74" i="108"/>
  <c r="U75" i="108"/>
  <c r="U47" i="108"/>
  <c r="U56" i="108"/>
  <c r="U40" i="108"/>
  <c r="U57" i="108"/>
  <c r="U68" i="108"/>
  <c r="U64" i="108"/>
  <c r="U58" i="108"/>
  <c r="U72" i="108"/>
  <c r="U63" i="107"/>
  <c r="D73" i="106"/>
  <c r="J78" i="106"/>
  <c r="U46" i="104"/>
  <c r="U49" i="104"/>
  <c r="U67" i="104"/>
  <c r="K61" i="107"/>
  <c r="K75" i="107"/>
  <c r="U76" i="104"/>
  <c r="U66" i="104"/>
  <c r="U70" i="104"/>
  <c r="K65" i="107"/>
  <c r="U57" i="104"/>
  <c r="K74" i="107"/>
  <c r="K69" i="107"/>
  <c r="K66" i="107"/>
  <c r="K71" i="106"/>
  <c r="U78" i="104"/>
  <c r="U55" i="104"/>
  <c r="U65" i="104"/>
  <c r="U64" i="104"/>
  <c r="K62" i="107"/>
  <c r="L61" i="106"/>
  <c r="U44" i="104"/>
  <c r="K79" i="107"/>
  <c r="K72" i="107"/>
  <c r="K68" i="106"/>
  <c r="U77" i="104"/>
  <c r="U48" i="104"/>
  <c r="U74" i="104"/>
  <c r="K68" i="107"/>
  <c r="U43" i="104"/>
  <c r="K63" i="107"/>
  <c r="U52" i="104"/>
  <c r="U79" i="104"/>
  <c r="K71" i="107"/>
  <c r="J76" i="108"/>
  <c r="J75" i="108"/>
  <c r="J64" i="108"/>
  <c r="L64" i="106"/>
  <c r="K32" i="106"/>
  <c r="K119" i="106" s="1"/>
  <c r="K61" i="106"/>
  <c r="L77" i="106"/>
  <c r="J66" i="108"/>
  <c r="J70" i="108"/>
  <c r="J62" i="108"/>
  <c r="L67" i="106"/>
  <c r="K67" i="106"/>
  <c r="K75" i="106"/>
  <c r="L32" i="106"/>
  <c r="L54" i="106" s="1"/>
  <c r="Y105" i="106" s="1"/>
  <c r="J69" i="108"/>
  <c r="J68" i="108"/>
  <c r="L60" i="106"/>
  <c r="K62" i="106"/>
  <c r="L78" i="106"/>
  <c r="L122" i="106"/>
  <c r="K77" i="106"/>
  <c r="L62" i="106"/>
  <c r="L73" i="106"/>
  <c r="K63" i="106"/>
  <c r="J60" i="108"/>
  <c r="J73" i="108"/>
  <c r="L74" i="106"/>
  <c r="L66" i="106"/>
  <c r="K74" i="106"/>
  <c r="K60" i="106"/>
  <c r="J61" i="108"/>
  <c r="J32" i="108"/>
  <c r="J49" i="108" s="1"/>
  <c r="L68" i="106"/>
  <c r="L72" i="106"/>
  <c r="K70" i="106"/>
  <c r="K76" i="106"/>
  <c r="K64" i="106"/>
  <c r="J79" i="108"/>
  <c r="L75" i="106"/>
  <c r="K79" i="106"/>
  <c r="L71" i="106"/>
  <c r="J122" i="108"/>
  <c r="K73" i="106"/>
  <c r="J71" i="108"/>
  <c r="J77" i="108"/>
  <c r="J74" i="108"/>
  <c r="O62" i="108"/>
  <c r="AB93" i="108" s="1"/>
  <c r="J78" i="108"/>
  <c r="L76" i="106"/>
  <c r="L70" i="106"/>
  <c r="L65" i="106"/>
  <c r="K122" i="106"/>
  <c r="J72" i="108"/>
  <c r="L79" i="106"/>
  <c r="J65" i="108"/>
  <c r="L69" i="106"/>
  <c r="K65" i="106"/>
  <c r="K69" i="106"/>
  <c r="H78" i="104"/>
  <c r="P109" i="104" s="1"/>
  <c r="H77" i="105"/>
  <c r="P108" i="105" s="1"/>
  <c r="Q78" i="105"/>
  <c r="Q71" i="105"/>
  <c r="Q52" i="105"/>
  <c r="Q73" i="105"/>
  <c r="Q72" i="105"/>
  <c r="Q50" i="105"/>
  <c r="O76" i="107"/>
  <c r="AB107" i="107" s="1"/>
  <c r="Q43" i="104"/>
  <c r="H78" i="105"/>
  <c r="P109" i="105" s="1"/>
  <c r="H73" i="105"/>
  <c r="P104" i="105" s="1"/>
  <c r="Q48" i="105"/>
  <c r="V57" i="104"/>
  <c r="Q65" i="105"/>
  <c r="H79" i="105"/>
  <c r="P110" i="105" s="1"/>
  <c r="Q49" i="105"/>
  <c r="Q76" i="105"/>
  <c r="H73" i="104"/>
  <c r="P104" i="104" s="1"/>
  <c r="H122" i="104"/>
  <c r="H32" i="105"/>
  <c r="H44" i="105" s="1"/>
  <c r="H65" i="105"/>
  <c r="P96" i="105" s="1"/>
  <c r="Q56" i="105"/>
  <c r="Q63" i="105"/>
  <c r="V44" i="104"/>
  <c r="H64" i="105"/>
  <c r="P95" i="105" s="1"/>
  <c r="H75" i="105"/>
  <c r="P106" i="105" s="1"/>
  <c r="H60" i="105"/>
  <c r="P91" i="105" s="1"/>
  <c r="V66" i="104"/>
  <c r="Q74" i="105"/>
  <c r="K73" i="107"/>
  <c r="V56" i="104"/>
  <c r="H72" i="105"/>
  <c r="P103" i="105" s="1"/>
  <c r="V61" i="104"/>
  <c r="V52" i="104"/>
  <c r="V43" i="104"/>
  <c r="O74" i="107"/>
  <c r="AB105" i="107" s="1"/>
  <c r="H67" i="104"/>
  <c r="P98" i="104" s="1"/>
  <c r="H69" i="104"/>
  <c r="P100" i="104" s="1"/>
  <c r="H70" i="105"/>
  <c r="P101" i="105" s="1"/>
  <c r="H63" i="105"/>
  <c r="P94" i="105" s="1"/>
  <c r="Q77" i="105"/>
  <c r="V77" i="104"/>
  <c r="Q54" i="105"/>
  <c r="U62" i="104"/>
  <c r="O63" i="105"/>
  <c r="AB94" i="105" s="1"/>
  <c r="O79" i="105"/>
  <c r="AB110" i="105" s="1"/>
  <c r="Q69" i="105"/>
  <c r="V42" i="104"/>
  <c r="Q66" i="105"/>
  <c r="Q44" i="105"/>
  <c r="U69" i="104"/>
  <c r="H66" i="104"/>
  <c r="P97" i="104" s="1"/>
  <c r="H71" i="104"/>
  <c r="P102" i="104" s="1"/>
  <c r="H68" i="105"/>
  <c r="P99" i="105" s="1"/>
  <c r="H67" i="105"/>
  <c r="P98" i="105" s="1"/>
  <c r="Q64" i="105"/>
  <c r="Q75" i="105"/>
  <c r="V50" i="104"/>
  <c r="O78" i="107"/>
  <c r="AB109" i="107" s="1"/>
  <c r="N122" i="105"/>
  <c r="H79" i="104"/>
  <c r="P110" i="104" s="1"/>
  <c r="H64" i="104"/>
  <c r="P95" i="104" s="1"/>
  <c r="H61" i="105"/>
  <c r="P92" i="105" s="1"/>
  <c r="H66" i="105"/>
  <c r="P97" i="105" s="1"/>
  <c r="Q57" i="105"/>
  <c r="V53" i="104"/>
  <c r="Q63" i="104"/>
  <c r="K72" i="106"/>
  <c r="G69" i="106"/>
  <c r="O100" i="106" s="1"/>
  <c r="G78" i="108"/>
  <c r="O109" i="108" s="1"/>
  <c r="G63" i="108"/>
  <c r="O94" i="108" s="1"/>
  <c r="E60" i="107"/>
  <c r="E75" i="107"/>
  <c r="E77" i="107"/>
  <c r="G67" i="106"/>
  <c r="O98" i="106" s="1"/>
  <c r="G74" i="108"/>
  <c r="O105" i="108" s="1"/>
  <c r="G32" i="108"/>
  <c r="G56" i="108" s="1"/>
  <c r="G122" i="108"/>
  <c r="E122" i="107"/>
  <c r="G76" i="108"/>
  <c r="O107" i="108" s="1"/>
  <c r="G64" i="106"/>
  <c r="O95" i="106" s="1"/>
  <c r="G64" i="108"/>
  <c r="O95" i="108" s="1"/>
  <c r="K63" i="105"/>
  <c r="K75" i="105"/>
  <c r="G122" i="106"/>
  <c r="G66" i="108"/>
  <c r="O97" i="108" s="1"/>
  <c r="D76" i="107"/>
  <c r="R42" i="106"/>
  <c r="G74" i="106"/>
  <c r="O105" i="106" s="1"/>
  <c r="G66" i="106"/>
  <c r="O97" i="106" s="1"/>
  <c r="G77" i="108"/>
  <c r="O108" i="108" s="1"/>
  <c r="G73" i="108"/>
  <c r="O104" i="108" s="1"/>
  <c r="G79" i="108"/>
  <c r="O110" i="108" s="1"/>
  <c r="G71" i="108"/>
  <c r="O102" i="108" s="1"/>
  <c r="G61" i="106"/>
  <c r="O92" i="106" s="1"/>
  <c r="G62" i="108"/>
  <c r="O93" i="108" s="1"/>
  <c r="G69" i="108"/>
  <c r="O100" i="108" s="1"/>
  <c r="G72" i="108"/>
  <c r="O103" i="108" s="1"/>
  <c r="E65" i="107"/>
  <c r="G76" i="106"/>
  <c r="O107" i="106" s="1"/>
  <c r="K122" i="105"/>
  <c r="E32" i="107"/>
  <c r="E55" i="107" s="1"/>
  <c r="M106" i="107" s="1"/>
  <c r="E78" i="107"/>
  <c r="G62" i="106"/>
  <c r="O93" i="106" s="1"/>
  <c r="G73" i="106"/>
  <c r="O104" i="106" s="1"/>
  <c r="G68" i="108"/>
  <c r="O99" i="108" s="1"/>
  <c r="G70" i="108"/>
  <c r="O101" i="108" s="1"/>
  <c r="G60" i="108"/>
  <c r="O91" i="108" s="1"/>
  <c r="E69" i="107"/>
  <c r="O73" i="105"/>
  <c r="AB104" i="105" s="1"/>
  <c r="O75" i="105"/>
  <c r="AB106" i="105" s="1"/>
  <c r="N73" i="105"/>
  <c r="AA104" i="105" s="1"/>
  <c r="Q65" i="108"/>
  <c r="Q49" i="108"/>
  <c r="Q59" i="108"/>
  <c r="D66" i="107"/>
  <c r="D62" i="107"/>
  <c r="N71" i="105"/>
  <c r="AA102" i="105" s="1"/>
  <c r="O61" i="105"/>
  <c r="AB92" i="105" s="1"/>
  <c r="Q41" i="108"/>
  <c r="Q60" i="108"/>
  <c r="Q72" i="108"/>
  <c r="V60" i="108"/>
  <c r="L75" i="108"/>
  <c r="Q68" i="108"/>
  <c r="Q45" i="108"/>
  <c r="D67" i="107"/>
  <c r="D72" i="107"/>
  <c r="D71" i="107"/>
  <c r="O60" i="105"/>
  <c r="AB91" i="105" s="1"/>
  <c r="O72" i="105"/>
  <c r="AB103" i="105" s="1"/>
  <c r="O77" i="105"/>
  <c r="AB108" i="105" s="1"/>
  <c r="Q55" i="108"/>
  <c r="Q47" i="108"/>
  <c r="Q61" i="108"/>
  <c r="D73" i="107"/>
  <c r="N60" i="105"/>
  <c r="AA91" i="105" s="1"/>
  <c r="O71" i="105"/>
  <c r="AB102" i="105" s="1"/>
  <c r="O64" i="105"/>
  <c r="AB95" i="105" s="1"/>
  <c r="Q67" i="108"/>
  <c r="D74" i="107"/>
  <c r="D79" i="107"/>
  <c r="N32" i="105"/>
  <c r="N40" i="105" s="1"/>
  <c r="N65" i="105"/>
  <c r="AA96" i="105" s="1"/>
  <c r="O66" i="105"/>
  <c r="AB97" i="105" s="1"/>
  <c r="O122" i="105"/>
  <c r="Q62" i="108"/>
  <c r="Q76" i="108"/>
  <c r="D70" i="107"/>
  <c r="Q56" i="108"/>
  <c r="Q64" i="108"/>
  <c r="Q74" i="108"/>
  <c r="Q78" i="108"/>
  <c r="N76" i="105"/>
  <c r="AA107" i="105" s="1"/>
  <c r="Q53" i="108"/>
  <c r="Q40" i="108"/>
  <c r="D75" i="107"/>
  <c r="V73" i="108"/>
  <c r="Q70" i="108"/>
  <c r="H60" i="104"/>
  <c r="P91" i="104" s="1"/>
  <c r="D60" i="107"/>
  <c r="N78" i="105"/>
  <c r="AA109" i="105" s="1"/>
  <c r="Q46" i="108"/>
  <c r="Q40" i="104"/>
  <c r="D65" i="107"/>
  <c r="O67" i="105"/>
  <c r="AB98" i="105" s="1"/>
  <c r="N72" i="105"/>
  <c r="AA103" i="105" s="1"/>
  <c r="Q73" i="108"/>
  <c r="Q66" i="108"/>
  <c r="Q42" i="108"/>
  <c r="Q75" i="108"/>
  <c r="Q57" i="108"/>
  <c r="O62" i="105"/>
  <c r="AB93" i="105" s="1"/>
  <c r="O78" i="105"/>
  <c r="AB109" i="105" s="1"/>
  <c r="N75" i="105"/>
  <c r="AA106" i="105" s="1"/>
  <c r="O76" i="105"/>
  <c r="AB107" i="105" s="1"/>
  <c r="Q50" i="108"/>
  <c r="V76" i="108"/>
  <c r="J73" i="106"/>
  <c r="J67" i="106"/>
  <c r="U67" i="107"/>
  <c r="D70" i="106"/>
  <c r="V56" i="108"/>
  <c r="V42" i="108"/>
  <c r="H71" i="106"/>
  <c r="P102" i="106" s="1"/>
  <c r="V59" i="108"/>
  <c r="H66" i="108"/>
  <c r="P97" i="108" s="1"/>
  <c r="U61" i="107"/>
  <c r="J71" i="106"/>
  <c r="D66" i="106"/>
  <c r="V46" i="108"/>
  <c r="V45" i="108"/>
  <c r="H79" i="106"/>
  <c r="P110" i="106" s="1"/>
  <c r="U68" i="107"/>
  <c r="H74" i="108"/>
  <c r="P105" i="108" s="1"/>
  <c r="U66" i="107"/>
  <c r="D65" i="106"/>
  <c r="D61" i="106"/>
  <c r="D122" i="106"/>
  <c r="V68" i="108"/>
  <c r="V49" i="108"/>
  <c r="G122" i="104"/>
  <c r="H61" i="106"/>
  <c r="P92" i="106" s="1"/>
  <c r="U77" i="107"/>
  <c r="U62" i="107"/>
  <c r="U69" i="107"/>
  <c r="U75" i="107"/>
  <c r="J66" i="106"/>
  <c r="D77" i="106"/>
  <c r="V53" i="108"/>
  <c r="G66" i="104"/>
  <c r="O97" i="104" s="1"/>
  <c r="U60" i="107"/>
  <c r="U72" i="107"/>
  <c r="J75" i="106"/>
  <c r="D63" i="106"/>
  <c r="D79" i="106"/>
  <c r="J64" i="106"/>
  <c r="H32" i="106"/>
  <c r="H49" i="106" s="1"/>
  <c r="V54" i="108"/>
  <c r="G69" i="104"/>
  <c r="O100" i="104" s="1"/>
  <c r="H60" i="106"/>
  <c r="P91" i="106" s="1"/>
  <c r="V70" i="108"/>
  <c r="H62" i="106"/>
  <c r="P93" i="106" s="1"/>
  <c r="D74" i="106"/>
  <c r="U70" i="107"/>
  <c r="J61" i="106"/>
  <c r="H78" i="106"/>
  <c r="P109" i="106" s="1"/>
  <c r="V75" i="108"/>
  <c r="H74" i="106"/>
  <c r="P105" i="106" s="1"/>
  <c r="U74" i="107"/>
  <c r="D32" i="106"/>
  <c r="D49" i="106" s="1"/>
  <c r="L100" i="106" s="1"/>
  <c r="D62" i="106"/>
  <c r="D71" i="106"/>
  <c r="H66" i="106"/>
  <c r="P97" i="106" s="1"/>
  <c r="G71" i="104"/>
  <c r="O102" i="104" s="1"/>
  <c r="V41" i="108"/>
  <c r="V64" i="108"/>
  <c r="H122" i="106"/>
  <c r="H77" i="106"/>
  <c r="P108" i="106" s="1"/>
  <c r="J63" i="106"/>
  <c r="J77" i="106"/>
  <c r="U78" i="107"/>
  <c r="D78" i="106"/>
  <c r="D69" i="106"/>
  <c r="H75" i="106"/>
  <c r="P106" i="106" s="1"/>
  <c r="V63" i="108"/>
  <c r="H73" i="106"/>
  <c r="P104" i="106" s="1"/>
  <c r="V71" i="108"/>
  <c r="H72" i="106"/>
  <c r="P103" i="106" s="1"/>
  <c r="H63" i="106"/>
  <c r="P94" i="106" s="1"/>
  <c r="U65" i="107"/>
  <c r="U64" i="107"/>
  <c r="D60" i="106"/>
  <c r="D76" i="106"/>
  <c r="J60" i="106"/>
  <c r="G78" i="104"/>
  <c r="O109" i="104" s="1"/>
  <c r="V78" i="108"/>
  <c r="V74" i="108"/>
  <c r="V55" i="108"/>
  <c r="H65" i="106"/>
  <c r="P96" i="106" s="1"/>
  <c r="H70" i="106"/>
  <c r="P101" i="106" s="1"/>
  <c r="U71" i="107"/>
  <c r="D64" i="106"/>
  <c r="D72" i="106"/>
  <c r="V66" i="108"/>
  <c r="V62" i="108"/>
  <c r="G63" i="104"/>
  <c r="O94" i="104" s="1"/>
  <c r="V48" i="108"/>
  <c r="H68" i="106"/>
  <c r="P99" i="106" s="1"/>
  <c r="H67" i="106"/>
  <c r="P98" i="106" s="1"/>
  <c r="J122" i="106"/>
  <c r="U79" i="107"/>
  <c r="U32" i="107"/>
  <c r="U52" i="107" s="1"/>
  <c r="U76" i="107"/>
  <c r="H69" i="106"/>
  <c r="P100" i="106" s="1"/>
  <c r="J32" i="106"/>
  <c r="J57" i="106" s="1"/>
  <c r="D68" i="106"/>
  <c r="V50" i="108"/>
  <c r="G62" i="104"/>
  <c r="O93" i="104" s="1"/>
  <c r="V58" i="108"/>
  <c r="H76" i="106"/>
  <c r="P107" i="106" s="1"/>
  <c r="S73" i="108"/>
  <c r="G69" i="105"/>
  <c r="O100" i="105" s="1"/>
  <c r="S53" i="108"/>
  <c r="S56" i="108"/>
  <c r="O70" i="108"/>
  <c r="AB101" i="108" s="1"/>
  <c r="L79" i="105"/>
  <c r="L62" i="105"/>
  <c r="L77" i="107"/>
  <c r="O68" i="104"/>
  <c r="AB99" i="104" s="1"/>
  <c r="O61" i="104"/>
  <c r="AB92" i="104" s="1"/>
  <c r="Q69" i="107"/>
  <c r="Q56" i="107"/>
  <c r="Q49" i="107"/>
  <c r="S76" i="108"/>
  <c r="S45" i="108"/>
  <c r="G68" i="105"/>
  <c r="O99" i="105" s="1"/>
  <c r="S71" i="108"/>
  <c r="S74" i="108"/>
  <c r="O60" i="104"/>
  <c r="AB91" i="104" s="1"/>
  <c r="L77" i="105"/>
  <c r="L74" i="105"/>
  <c r="L71" i="107"/>
  <c r="Q52" i="107"/>
  <c r="O71" i="104"/>
  <c r="AB102" i="104" s="1"/>
  <c r="O73" i="104"/>
  <c r="AB104" i="104" s="1"/>
  <c r="O76" i="104"/>
  <c r="AB107" i="104" s="1"/>
  <c r="Q78" i="107"/>
  <c r="Q41" i="107"/>
  <c r="Q68" i="107"/>
  <c r="Q40" i="107"/>
  <c r="O60" i="107"/>
  <c r="AB91" i="107" s="1"/>
  <c r="G63" i="105"/>
  <c r="O94" i="105" s="1"/>
  <c r="O66" i="108"/>
  <c r="AB97" i="108" s="1"/>
  <c r="L76" i="105"/>
  <c r="G72" i="105"/>
  <c r="O103" i="105" s="1"/>
  <c r="G32" i="105"/>
  <c r="G119" i="105" s="1"/>
  <c r="G123" i="105" s="1"/>
  <c r="O76" i="108"/>
  <c r="AB107" i="108" s="1"/>
  <c r="O122" i="108"/>
  <c r="O63" i="108"/>
  <c r="AB94" i="108" s="1"/>
  <c r="S41" i="108"/>
  <c r="S51" i="108"/>
  <c r="O72" i="104"/>
  <c r="AB103" i="104" s="1"/>
  <c r="L78" i="105"/>
  <c r="L72" i="105"/>
  <c r="G32" i="104"/>
  <c r="G44" i="104" s="1"/>
  <c r="G70" i="104"/>
  <c r="O101" i="104" s="1"/>
  <c r="V76" i="104"/>
  <c r="V46" i="104"/>
  <c r="G67" i="104"/>
  <c r="O98" i="104" s="1"/>
  <c r="V65" i="104"/>
  <c r="V70" i="104"/>
  <c r="V60" i="104"/>
  <c r="O62" i="104"/>
  <c r="AB93" i="104" s="1"/>
  <c r="O122" i="107"/>
  <c r="Q51" i="107"/>
  <c r="Q67" i="107"/>
  <c r="O75" i="107"/>
  <c r="AB106" i="107" s="1"/>
  <c r="O77" i="108"/>
  <c r="AB108" i="108" s="1"/>
  <c r="S68" i="108"/>
  <c r="S69" i="108"/>
  <c r="L32" i="105"/>
  <c r="L119" i="105" s="1"/>
  <c r="J68" i="107"/>
  <c r="V71" i="104"/>
  <c r="V54" i="104"/>
  <c r="O74" i="104"/>
  <c r="AB105" i="104" s="1"/>
  <c r="V51" i="104"/>
  <c r="Q77" i="107"/>
  <c r="Q57" i="107"/>
  <c r="S55" i="108"/>
  <c r="G78" i="105"/>
  <c r="O109" i="105" s="1"/>
  <c r="S60" i="108"/>
  <c r="S54" i="108"/>
  <c r="G75" i="105"/>
  <c r="O106" i="105" s="1"/>
  <c r="S77" i="108"/>
  <c r="S43" i="108"/>
  <c r="O67" i="108"/>
  <c r="AB98" i="108" s="1"/>
  <c r="O61" i="108"/>
  <c r="AB92" i="108" s="1"/>
  <c r="N62" i="104"/>
  <c r="AA93" i="104" s="1"/>
  <c r="L78" i="107"/>
  <c r="L79" i="107"/>
  <c r="L75" i="107"/>
  <c r="J78" i="107"/>
  <c r="Q58" i="107"/>
  <c r="V41" i="104"/>
  <c r="G76" i="104"/>
  <c r="O107" i="104" s="1"/>
  <c r="Q71" i="107"/>
  <c r="V48" i="104"/>
  <c r="J60" i="107"/>
  <c r="N122" i="104"/>
  <c r="O122" i="104"/>
  <c r="G65" i="104"/>
  <c r="O96" i="104" s="1"/>
  <c r="O72" i="107"/>
  <c r="AB103" i="107" s="1"/>
  <c r="Q50" i="107"/>
  <c r="Q64" i="107"/>
  <c r="G60" i="105"/>
  <c r="O91" i="105" s="1"/>
  <c r="G76" i="105"/>
  <c r="O107" i="105" s="1"/>
  <c r="G70" i="105"/>
  <c r="O101" i="105" s="1"/>
  <c r="S66" i="108"/>
  <c r="S79" i="108"/>
  <c r="S72" i="108"/>
  <c r="O64" i="108"/>
  <c r="AB95" i="108" s="1"/>
  <c r="O60" i="108"/>
  <c r="AB91" i="108" s="1"/>
  <c r="R66" i="104"/>
  <c r="N78" i="104"/>
  <c r="AA109" i="104" s="1"/>
  <c r="L76" i="107"/>
  <c r="L60" i="105"/>
  <c r="L67" i="107"/>
  <c r="L72" i="107"/>
  <c r="L70" i="107"/>
  <c r="L65" i="105"/>
  <c r="Q53" i="107"/>
  <c r="G74" i="104"/>
  <c r="O105" i="104" s="1"/>
  <c r="V62" i="104"/>
  <c r="J75" i="107"/>
  <c r="N76" i="104"/>
  <c r="AA107" i="104" s="1"/>
  <c r="Q46" i="107"/>
  <c r="Q65" i="107"/>
  <c r="Q48" i="107"/>
  <c r="S48" i="108"/>
  <c r="S70" i="108"/>
  <c r="S59" i="108"/>
  <c r="S64" i="108"/>
  <c r="O78" i="108"/>
  <c r="AB109" i="108" s="1"/>
  <c r="O72" i="108"/>
  <c r="AB103" i="108" s="1"/>
  <c r="R70" i="104"/>
  <c r="R46" i="104"/>
  <c r="N74" i="104"/>
  <c r="AA105" i="104" s="1"/>
  <c r="L74" i="107"/>
  <c r="L75" i="105"/>
  <c r="L69" i="105"/>
  <c r="L68" i="105"/>
  <c r="L122" i="107"/>
  <c r="L64" i="107"/>
  <c r="V58" i="104"/>
  <c r="Q73" i="107"/>
  <c r="G77" i="104"/>
  <c r="O108" i="104" s="1"/>
  <c r="V78" i="104"/>
  <c r="G64" i="104"/>
  <c r="O95" i="104" s="1"/>
  <c r="J64" i="107"/>
  <c r="Q60" i="107"/>
  <c r="G61" i="104"/>
  <c r="O92" i="104" s="1"/>
  <c r="O71" i="107"/>
  <c r="AB102" i="107" s="1"/>
  <c r="Q55" i="107"/>
  <c r="Q59" i="107"/>
  <c r="O70" i="107"/>
  <c r="AB101" i="107" s="1"/>
  <c r="G79" i="105"/>
  <c r="O110" i="105" s="1"/>
  <c r="L70" i="105"/>
  <c r="G66" i="105"/>
  <c r="O97" i="105" s="1"/>
  <c r="L61" i="105"/>
  <c r="L61" i="107"/>
  <c r="L68" i="107"/>
  <c r="V40" i="104"/>
  <c r="V67" i="104"/>
  <c r="Q72" i="107"/>
  <c r="V74" i="104"/>
  <c r="Q75" i="107"/>
  <c r="V59" i="104"/>
  <c r="O63" i="104"/>
  <c r="AB94" i="104" s="1"/>
  <c r="O32" i="104"/>
  <c r="O119" i="104" s="1"/>
  <c r="O123" i="104" s="1"/>
  <c r="O62" i="107"/>
  <c r="AB93" i="107" s="1"/>
  <c r="O73" i="107"/>
  <c r="AB104" i="107" s="1"/>
  <c r="Q62" i="107"/>
  <c r="Q43" i="107"/>
  <c r="O79" i="108"/>
  <c r="AB110" i="108" s="1"/>
  <c r="S75" i="108"/>
  <c r="G122" i="105"/>
  <c r="S62" i="108"/>
  <c r="S65" i="108"/>
  <c r="O74" i="108"/>
  <c r="AB105" i="108" s="1"/>
  <c r="O65" i="108"/>
  <c r="AB96" i="108" s="1"/>
  <c r="R53" i="104"/>
  <c r="L62" i="107"/>
  <c r="L60" i="107"/>
  <c r="V69" i="104"/>
  <c r="G60" i="104"/>
  <c r="O91" i="104" s="1"/>
  <c r="V72" i="104"/>
  <c r="G79" i="104"/>
  <c r="O110" i="104" s="1"/>
  <c r="Q79" i="107"/>
  <c r="G73" i="104"/>
  <c r="O104" i="104" s="1"/>
  <c r="O70" i="104"/>
  <c r="AB101" i="104" s="1"/>
  <c r="O65" i="104"/>
  <c r="AB96" i="104" s="1"/>
  <c r="O77" i="104"/>
  <c r="AB108" i="104" s="1"/>
  <c r="Q66" i="107"/>
  <c r="O64" i="107"/>
  <c r="AB95" i="107" s="1"/>
  <c r="Q47" i="107"/>
  <c r="O65" i="107"/>
  <c r="AB96" i="107" s="1"/>
  <c r="O68" i="107"/>
  <c r="AB99" i="107" s="1"/>
  <c r="S61" i="108"/>
  <c r="S52" i="108"/>
  <c r="S63" i="108"/>
  <c r="G74" i="105"/>
  <c r="O105" i="105" s="1"/>
  <c r="G62" i="105"/>
  <c r="O93" i="105" s="1"/>
  <c r="S57" i="108"/>
  <c r="O73" i="108"/>
  <c r="AB104" i="108" s="1"/>
  <c r="O32" i="108"/>
  <c r="O50" i="108" s="1"/>
  <c r="O75" i="108"/>
  <c r="AB106" i="108" s="1"/>
  <c r="O71" i="108"/>
  <c r="AB102" i="108" s="1"/>
  <c r="N67" i="104"/>
  <c r="AA98" i="104" s="1"/>
  <c r="L67" i="105"/>
  <c r="L69" i="107"/>
  <c r="L73" i="107"/>
  <c r="L66" i="107"/>
  <c r="L65" i="107"/>
  <c r="Q44" i="107"/>
  <c r="V75" i="104"/>
  <c r="V49" i="104"/>
  <c r="V73" i="104"/>
  <c r="O79" i="104"/>
  <c r="AB110" i="104" s="1"/>
  <c r="O67" i="104"/>
  <c r="AB98" i="104" s="1"/>
  <c r="G68" i="104"/>
  <c r="O99" i="104" s="1"/>
  <c r="O77" i="107"/>
  <c r="AB108" i="107" s="1"/>
  <c r="O61" i="107"/>
  <c r="AB92" i="107" s="1"/>
  <c r="Q74" i="107"/>
  <c r="O79" i="107"/>
  <c r="AB110" i="107" s="1"/>
  <c r="Q76" i="104"/>
  <c r="O63" i="107"/>
  <c r="AB94" i="107" s="1"/>
  <c r="S42" i="108"/>
  <c r="G65" i="105"/>
  <c r="O96" i="105" s="1"/>
  <c r="S78" i="108"/>
  <c r="S40" i="108"/>
  <c r="S67" i="108"/>
  <c r="S46" i="108"/>
  <c r="G71" i="105"/>
  <c r="O102" i="105" s="1"/>
  <c r="G64" i="105"/>
  <c r="O95" i="105" s="1"/>
  <c r="G61" i="105"/>
  <c r="O92" i="105" s="1"/>
  <c r="S47" i="108"/>
  <c r="O69" i="108"/>
  <c r="AB100" i="108" s="1"/>
  <c r="G77" i="105"/>
  <c r="O108" i="105" s="1"/>
  <c r="O69" i="104"/>
  <c r="AB100" i="104" s="1"/>
  <c r="O78" i="104"/>
  <c r="AB109" i="104" s="1"/>
  <c r="L64" i="105"/>
  <c r="L71" i="105"/>
  <c r="L73" i="105"/>
  <c r="Q54" i="107"/>
  <c r="V79" i="104"/>
  <c r="V47" i="104"/>
  <c r="J71" i="107"/>
  <c r="V64" i="104"/>
  <c r="V68" i="104"/>
  <c r="V55" i="104"/>
  <c r="Q63" i="107"/>
  <c r="Q70" i="107"/>
  <c r="Q56" i="104"/>
  <c r="D61" i="105"/>
  <c r="H63" i="108"/>
  <c r="P94" i="108" s="1"/>
  <c r="D64" i="107"/>
  <c r="D78" i="107"/>
  <c r="E67" i="105"/>
  <c r="D79" i="104"/>
  <c r="N77" i="105"/>
  <c r="AA108" i="105" s="1"/>
  <c r="N68" i="105"/>
  <c r="AA99" i="105" s="1"/>
  <c r="C79" i="107"/>
  <c r="R50" i="104"/>
  <c r="R78" i="104"/>
  <c r="C65" i="107"/>
  <c r="N67" i="105"/>
  <c r="AA98" i="105" s="1"/>
  <c r="K73" i="105"/>
  <c r="K77" i="105"/>
  <c r="K72" i="105"/>
  <c r="H74" i="104"/>
  <c r="P105" i="104" s="1"/>
  <c r="N64" i="104"/>
  <c r="AA95" i="104" s="1"/>
  <c r="U61" i="104"/>
  <c r="N72" i="104"/>
  <c r="AA103" i="104" s="1"/>
  <c r="E63" i="105"/>
  <c r="G77" i="106"/>
  <c r="O108" i="106" s="1"/>
  <c r="U56" i="105"/>
  <c r="D76" i="105"/>
  <c r="E64" i="105"/>
  <c r="D60" i="105"/>
  <c r="S56" i="105"/>
  <c r="S75" i="105"/>
  <c r="D32" i="105"/>
  <c r="D44" i="105" s="1"/>
  <c r="L95" i="105" s="1"/>
  <c r="S44" i="105"/>
  <c r="N69" i="104"/>
  <c r="AA100" i="104" s="1"/>
  <c r="J79" i="106"/>
  <c r="H63" i="104"/>
  <c r="P94" i="104" s="1"/>
  <c r="G79" i="106"/>
  <c r="O110" i="106" s="1"/>
  <c r="G60" i="106"/>
  <c r="O91" i="106" s="1"/>
  <c r="J68" i="106"/>
  <c r="H68" i="104"/>
  <c r="P99" i="104" s="1"/>
  <c r="Q59" i="105"/>
  <c r="J122" i="107"/>
  <c r="V40" i="108"/>
  <c r="J79" i="107"/>
  <c r="V52" i="108"/>
  <c r="Q79" i="105"/>
  <c r="V44" i="108"/>
  <c r="Q55" i="105"/>
  <c r="U71" i="104"/>
  <c r="H32" i="104"/>
  <c r="H55" i="104" s="1"/>
  <c r="Q58" i="104"/>
  <c r="Q43" i="108"/>
  <c r="J72" i="106"/>
  <c r="D66" i="104"/>
  <c r="D64" i="104"/>
  <c r="D77" i="107"/>
  <c r="U60" i="105"/>
  <c r="C73" i="106"/>
  <c r="D70" i="104"/>
  <c r="D32" i="107"/>
  <c r="D42" i="107" s="1"/>
  <c r="L93" i="107" s="1"/>
  <c r="U58" i="105"/>
  <c r="C32" i="106"/>
  <c r="C47" i="106" s="1"/>
  <c r="C32" i="107"/>
  <c r="C53" i="107" s="1"/>
  <c r="C72" i="107"/>
  <c r="O32" i="105"/>
  <c r="O58" i="105" s="1"/>
  <c r="N66" i="105"/>
  <c r="AA97" i="105" s="1"/>
  <c r="C74" i="107"/>
  <c r="R41" i="104"/>
  <c r="R62" i="104"/>
  <c r="Q69" i="108"/>
  <c r="Q71" i="108"/>
  <c r="U53" i="105"/>
  <c r="U49" i="105"/>
  <c r="O65" i="105"/>
  <c r="AB96" i="105" s="1"/>
  <c r="Q44" i="108"/>
  <c r="K68" i="105"/>
  <c r="K70" i="105"/>
  <c r="K61" i="105"/>
  <c r="U53" i="104"/>
  <c r="H77" i="108"/>
  <c r="P108" i="108" s="1"/>
  <c r="H71" i="108"/>
  <c r="P102" i="108" s="1"/>
  <c r="U56" i="104"/>
  <c r="U73" i="104"/>
  <c r="J65" i="106"/>
  <c r="E72" i="105"/>
  <c r="S45" i="105"/>
  <c r="S74" i="105"/>
  <c r="J65" i="105"/>
  <c r="E62" i="105"/>
  <c r="J67" i="105"/>
  <c r="S60" i="105"/>
  <c r="S78" i="105"/>
  <c r="G32" i="106"/>
  <c r="G119" i="106" s="1"/>
  <c r="G123" i="106" s="1"/>
  <c r="Q58" i="105"/>
  <c r="E72" i="107"/>
  <c r="J73" i="107"/>
  <c r="V77" i="108"/>
  <c r="Q51" i="105"/>
  <c r="J65" i="107"/>
  <c r="Q61" i="105"/>
  <c r="V47" i="108"/>
  <c r="Q67" i="105"/>
  <c r="H32" i="108"/>
  <c r="H34" i="108" s="1"/>
  <c r="N70" i="104"/>
  <c r="AA101" i="104" s="1"/>
  <c r="N61" i="104"/>
  <c r="AA92" i="104" s="1"/>
  <c r="E62" i="107"/>
  <c r="Q61" i="104"/>
  <c r="H73" i="108"/>
  <c r="P104" i="108" s="1"/>
  <c r="H76" i="108"/>
  <c r="P107" i="108" s="1"/>
  <c r="H60" i="108"/>
  <c r="P91" i="108" s="1"/>
  <c r="H65" i="108"/>
  <c r="P96" i="108" s="1"/>
  <c r="D65" i="105"/>
  <c r="D62" i="105"/>
  <c r="N66" i="104"/>
  <c r="AA97" i="104" s="1"/>
  <c r="H70" i="108"/>
  <c r="P101" i="108" s="1"/>
  <c r="K76" i="107"/>
  <c r="H75" i="108"/>
  <c r="P106" i="108" s="1"/>
  <c r="D74" i="105"/>
  <c r="D79" i="105"/>
  <c r="D68" i="105"/>
  <c r="D72" i="105"/>
  <c r="D75" i="105"/>
  <c r="H69" i="108"/>
  <c r="P100" i="108" s="1"/>
  <c r="J77" i="107"/>
  <c r="E64" i="107"/>
  <c r="Q45" i="104"/>
  <c r="D69" i="105"/>
  <c r="D67" i="105"/>
  <c r="N79" i="104"/>
  <c r="AA110" i="104" s="1"/>
  <c r="H64" i="108"/>
  <c r="P95" i="108" s="1"/>
  <c r="D71" i="105"/>
  <c r="D66" i="105"/>
  <c r="D63" i="105"/>
  <c r="U48" i="105"/>
  <c r="U71" i="105"/>
  <c r="C63" i="106"/>
  <c r="D75" i="104"/>
  <c r="D67" i="104"/>
  <c r="D68" i="107"/>
  <c r="U61" i="105"/>
  <c r="R58" i="104"/>
  <c r="R63" i="104"/>
  <c r="R59" i="104"/>
  <c r="N63" i="105"/>
  <c r="AA94" i="105" s="1"/>
  <c r="N70" i="105"/>
  <c r="AA101" i="105" s="1"/>
  <c r="N61" i="105"/>
  <c r="AA92" i="105" s="1"/>
  <c r="N62" i="105"/>
  <c r="AA93" i="105" s="1"/>
  <c r="N74" i="105"/>
  <c r="AA105" i="105" s="1"/>
  <c r="Q51" i="108"/>
  <c r="Q77" i="108"/>
  <c r="U62" i="105"/>
  <c r="U42" i="105"/>
  <c r="N69" i="105"/>
  <c r="AA100" i="105" s="1"/>
  <c r="Q52" i="108"/>
  <c r="Q58" i="108"/>
  <c r="U47" i="105"/>
  <c r="H75" i="104"/>
  <c r="P106" i="104" s="1"/>
  <c r="E61" i="107"/>
  <c r="U59" i="104"/>
  <c r="U68" i="104"/>
  <c r="U63" i="104"/>
  <c r="N68" i="104"/>
  <c r="AA99" i="104" s="1"/>
  <c r="G75" i="106"/>
  <c r="O106" i="106" s="1"/>
  <c r="H70" i="104"/>
  <c r="P101" i="104" s="1"/>
  <c r="E78" i="105"/>
  <c r="J75" i="105"/>
  <c r="D70" i="105"/>
  <c r="S51" i="105"/>
  <c r="S64" i="105"/>
  <c r="J61" i="105"/>
  <c r="D122" i="105"/>
  <c r="S62" i="105"/>
  <c r="S65" i="105"/>
  <c r="K78" i="107"/>
  <c r="G78" i="106"/>
  <c r="O109" i="106" s="1"/>
  <c r="E73" i="107"/>
  <c r="V57" i="108"/>
  <c r="J69" i="107"/>
  <c r="Q53" i="105"/>
  <c r="J74" i="107"/>
  <c r="Q42" i="105"/>
  <c r="V51" i="108"/>
  <c r="V69" i="108"/>
  <c r="V72" i="108"/>
  <c r="U50" i="104"/>
  <c r="K64" i="105"/>
  <c r="V67" i="108"/>
  <c r="K70" i="107"/>
  <c r="H62" i="104"/>
  <c r="P93" i="104" s="1"/>
  <c r="H72" i="108"/>
  <c r="P103" i="108" s="1"/>
  <c r="J66" i="107"/>
  <c r="V43" i="108"/>
  <c r="K122" i="107"/>
  <c r="E74" i="107"/>
  <c r="Q42" i="104"/>
  <c r="H79" i="108"/>
  <c r="P110" i="108" s="1"/>
  <c r="D78" i="105"/>
  <c r="H122" i="108"/>
  <c r="K67" i="107"/>
  <c r="J63" i="107"/>
  <c r="N73" i="104"/>
  <c r="AA104" i="104" s="1"/>
  <c r="Q60" i="105"/>
  <c r="K32" i="107"/>
  <c r="K44" i="107" s="1"/>
  <c r="X95" i="107" s="1"/>
  <c r="E66" i="107"/>
  <c r="H68" i="108"/>
  <c r="P99" i="108" s="1"/>
  <c r="H67" i="108"/>
  <c r="P98" i="108" s="1"/>
  <c r="H78" i="108"/>
  <c r="P109" i="108" s="1"/>
  <c r="D77" i="105"/>
  <c r="J62" i="107"/>
  <c r="J69" i="106"/>
  <c r="U51" i="105"/>
  <c r="J74" i="106"/>
  <c r="Q79" i="108"/>
  <c r="C76" i="106"/>
  <c r="D122" i="104"/>
  <c r="D61" i="107"/>
  <c r="D63" i="107"/>
  <c r="D122" i="107"/>
  <c r="O69" i="105"/>
  <c r="AB100" i="105" s="1"/>
  <c r="O74" i="105"/>
  <c r="AB105" i="105" s="1"/>
  <c r="C68" i="107"/>
  <c r="R72" i="104"/>
  <c r="R77" i="104"/>
  <c r="C60" i="107"/>
  <c r="C64" i="107"/>
  <c r="Q63" i="108"/>
  <c r="R48" i="104"/>
  <c r="C73" i="107"/>
  <c r="K74" i="105"/>
  <c r="K67" i="105"/>
  <c r="H77" i="104"/>
  <c r="P108" i="104" s="1"/>
  <c r="U42" i="104"/>
  <c r="U72" i="104"/>
  <c r="U45" i="104"/>
  <c r="H61" i="108"/>
  <c r="P92" i="108" s="1"/>
  <c r="N71" i="104"/>
  <c r="AA102" i="104" s="1"/>
  <c r="G72" i="106"/>
  <c r="O103" i="106" s="1"/>
  <c r="U68" i="105"/>
  <c r="D73" i="105"/>
  <c r="J76" i="105"/>
  <c r="J72" i="105"/>
  <c r="S77" i="105"/>
  <c r="S69" i="105"/>
  <c r="J60" i="105"/>
  <c r="U65" i="105"/>
  <c r="J66" i="105"/>
  <c r="G63" i="106"/>
  <c r="O94" i="106" s="1"/>
  <c r="G71" i="106"/>
  <c r="O102" i="106" s="1"/>
  <c r="G65" i="106"/>
  <c r="O96" i="106" s="1"/>
  <c r="J70" i="106"/>
  <c r="J67" i="107"/>
  <c r="V65" i="108"/>
  <c r="Q41" i="105"/>
  <c r="V61" i="108"/>
  <c r="Q62" i="105"/>
  <c r="J70" i="107"/>
  <c r="Q43" i="105"/>
  <c r="U40" i="104"/>
  <c r="K79" i="105"/>
  <c r="N75" i="104"/>
  <c r="AA106" i="104" s="1"/>
  <c r="U58" i="104"/>
  <c r="V79" i="108"/>
  <c r="E68" i="107"/>
  <c r="O67" i="107"/>
  <c r="AB98" i="107" s="1"/>
  <c r="O32" i="107"/>
  <c r="E34" i="106"/>
  <c r="E52" i="106"/>
  <c r="M103" i="106" s="1"/>
  <c r="E49" i="106"/>
  <c r="M100" i="106" s="1"/>
  <c r="E45" i="106"/>
  <c r="M96" i="106" s="1"/>
  <c r="E59" i="106"/>
  <c r="M110" i="106" s="1"/>
  <c r="E54" i="106"/>
  <c r="M105" i="106" s="1"/>
  <c r="E44" i="106"/>
  <c r="M95" i="106" s="1"/>
  <c r="E119" i="106"/>
  <c r="E121" i="106" s="1"/>
  <c r="E125" i="106" s="1"/>
  <c r="E56" i="106"/>
  <c r="M107" i="106" s="1"/>
  <c r="E51" i="106"/>
  <c r="M102" i="106" s="1"/>
  <c r="E46" i="106"/>
  <c r="M97" i="106" s="1"/>
  <c r="E58" i="106"/>
  <c r="M109" i="106" s="1"/>
  <c r="E57" i="106"/>
  <c r="M108" i="106" s="1"/>
  <c r="E50" i="106"/>
  <c r="M101" i="106" s="1"/>
  <c r="E42" i="106"/>
  <c r="M93" i="106" s="1"/>
  <c r="E55" i="106"/>
  <c r="M106" i="106" s="1"/>
  <c r="E53" i="106"/>
  <c r="M104" i="106" s="1"/>
  <c r="E43" i="106"/>
  <c r="M94" i="106" s="1"/>
  <c r="E41" i="106"/>
  <c r="M92" i="106" s="1"/>
  <c r="E40" i="106"/>
  <c r="M91" i="106" s="1"/>
  <c r="E48" i="106"/>
  <c r="M99" i="106" s="1"/>
  <c r="M98" i="106"/>
  <c r="H41" i="104" l="1"/>
  <c r="N42" i="106"/>
  <c r="N44" i="106"/>
  <c r="N55" i="106"/>
  <c r="N119" i="106"/>
  <c r="N123" i="106" s="1"/>
  <c r="N51" i="106"/>
  <c r="N59" i="106"/>
  <c r="N56" i="106"/>
  <c r="N46" i="106"/>
  <c r="N49" i="106"/>
  <c r="N41" i="106"/>
  <c r="N54" i="106"/>
  <c r="N58" i="106"/>
  <c r="N53" i="106"/>
  <c r="N43" i="106"/>
  <c r="N50" i="106"/>
  <c r="N45" i="106"/>
  <c r="N52" i="106"/>
  <c r="N40" i="106"/>
  <c r="N48" i="106"/>
  <c r="N47" i="106"/>
  <c r="N57" i="106"/>
  <c r="C47" i="108"/>
  <c r="C52" i="108"/>
  <c r="C55" i="108"/>
  <c r="C41" i="108"/>
  <c r="C50" i="108"/>
  <c r="C45" i="108"/>
  <c r="C40" i="108"/>
  <c r="C59" i="108"/>
  <c r="C46" i="108"/>
  <c r="C119" i="108"/>
  <c r="C123" i="108" s="1"/>
  <c r="C42" i="108"/>
  <c r="C58" i="108"/>
  <c r="C56" i="108"/>
  <c r="C53" i="108"/>
  <c r="C34" i="108"/>
  <c r="C43" i="108"/>
  <c r="C44" i="108"/>
  <c r="C49" i="108"/>
  <c r="C48" i="108"/>
  <c r="C57" i="108"/>
  <c r="C51" i="108"/>
  <c r="K51" i="104"/>
  <c r="X102" i="104" s="1"/>
  <c r="K46" i="104"/>
  <c r="X97" i="104" s="1"/>
  <c r="E34" i="108"/>
  <c r="E49" i="108"/>
  <c r="M100" i="108" s="1"/>
  <c r="K43" i="104"/>
  <c r="X94" i="104" s="1"/>
  <c r="R80" i="107"/>
  <c r="K48" i="104"/>
  <c r="X99" i="104" s="1"/>
  <c r="E58" i="108"/>
  <c r="M109" i="108" s="1"/>
  <c r="E43" i="108"/>
  <c r="M94" i="108" s="1"/>
  <c r="E46" i="108"/>
  <c r="M97" i="108" s="1"/>
  <c r="E51" i="108"/>
  <c r="M102" i="108" s="1"/>
  <c r="E57" i="108"/>
  <c r="M108" i="108" s="1"/>
  <c r="E48" i="108"/>
  <c r="M99" i="108" s="1"/>
  <c r="E54" i="108"/>
  <c r="M105" i="108" s="1"/>
  <c r="E42" i="108"/>
  <c r="M93" i="108" s="1"/>
  <c r="E44" i="108"/>
  <c r="M95" i="108" s="1"/>
  <c r="E41" i="108"/>
  <c r="M92" i="108" s="1"/>
  <c r="E50" i="108"/>
  <c r="M101" i="108" s="1"/>
  <c r="E119" i="108"/>
  <c r="E121" i="108" s="1"/>
  <c r="E125" i="108" s="1"/>
  <c r="E53" i="108"/>
  <c r="M104" i="108" s="1"/>
  <c r="E45" i="108"/>
  <c r="M96" i="108" s="1"/>
  <c r="E55" i="108"/>
  <c r="M106" i="108" s="1"/>
  <c r="E52" i="108"/>
  <c r="M103" i="108" s="1"/>
  <c r="E40" i="108"/>
  <c r="M91" i="108" s="1"/>
  <c r="E56" i="108"/>
  <c r="M107" i="108" s="1"/>
  <c r="E47" i="108"/>
  <c r="M98" i="108" s="1"/>
  <c r="AA111" i="106"/>
  <c r="S56" i="107"/>
  <c r="K121" i="104"/>
  <c r="K125" i="104" s="1"/>
  <c r="K59" i="104"/>
  <c r="X110" i="104" s="1"/>
  <c r="K41" i="104"/>
  <c r="X92" i="104" s="1"/>
  <c r="K45" i="104"/>
  <c r="X96" i="104" s="1"/>
  <c r="K57" i="104"/>
  <c r="X108" i="104" s="1"/>
  <c r="L49" i="108"/>
  <c r="Y100" i="108" s="1"/>
  <c r="K34" i="104"/>
  <c r="K56" i="104"/>
  <c r="X107" i="104" s="1"/>
  <c r="L41" i="108"/>
  <c r="Y92" i="108" s="1"/>
  <c r="K40" i="104"/>
  <c r="X91" i="104" s="1"/>
  <c r="K47" i="104"/>
  <c r="X98" i="104" s="1"/>
  <c r="L54" i="108"/>
  <c r="Y105" i="108" s="1"/>
  <c r="K42" i="104"/>
  <c r="X93" i="104" s="1"/>
  <c r="K55" i="104"/>
  <c r="X106" i="104" s="1"/>
  <c r="K52" i="104"/>
  <c r="X103" i="104" s="1"/>
  <c r="K50" i="104"/>
  <c r="X101" i="104" s="1"/>
  <c r="K58" i="104"/>
  <c r="X109" i="104" s="1"/>
  <c r="K54" i="104"/>
  <c r="X105" i="104" s="1"/>
  <c r="K49" i="104"/>
  <c r="X100" i="104" s="1"/>
  <c r="K44" i="104"/>
  <c r="X95" i="104" s="1"/>
  <c r="K53" i="104"/>
  <c r="X104" i="104" s="1"/>
  <c r="L58" i="108"/>
  <c r="Y109" i="108" s="1"/>
  <c r="L56" i="108"/>
  <c r="Y107" i="108" s="1"/>
  <c r="L57" i="108"/>
  <c r="Y108" i="108" s="1"/>
  <c r="S42" i="107"/>
  <c r="J46" i="104"/>
  <c r="J41" i="104"/>
  <c r="J48" i="104"/>
  <c r="J45" i="104"/>
  <c r="J34" i="104"/>
  <c r="J57" i="104"/>
  <c r="J40" i="104"/>
  <c r="J56" i="104"/>
  <c r="J55" i="104"/>
  <c r="J59" i="104"/>
  <c r="J52" i="104"/>
  <c r="J51" i="104"/>
  <c r="J50" i="104"/>
  <c r="J43" i="104"/>
  <c r="J119" i="104"/>
  <c r="J123" i="104" s="1"/>
  <c r="J42" i="104"/>
  <c r="J53" i="104"/>
  <c r="J54" i="104"/>
  <c r="J58" i="104"/>
  <c r="J47" i="104"/>
  <c r="J49" i="104"/>
  <c r="K55" i="108"/>
  <c r="X106" i="108" s="1"/>
  <c r="K45" i="108"/>
  <c r="X96" i="108" s="1"/>
  <c r="K119" i="108"/>
  <c r="K121" i="108" s="1"/>
  <c r="K125" i="108" s="1"/>
  <c r="K43" i="108"/>
  <c r="X94" i="108" s="1"/>
  <c r="S45" i="107"/>
  <c r="S44" i="107"/>
  <c r="S49" i="107"/>
  <c r="S47" i="107"/>
  <c r="S52" i="107"/>
  <c r="S58" i="107"/>
  <c r="S50" i="107"/>
  <c r="S53" i="107"/>
  <c r="S59" i="107"/>
  <c r="S41" i="107"/>
  <c r="S40" i="107"/>
  <c r="S51" i="107"/>
  <c r="S57" i="107"/>
  <c r="S54" i="107"/>
  <c r="S55" i="107"/>
  <c r="S46" i="107"/>
  <c r="S48" i="107"/>
  <c r="S34" i="107"/>
  <c r="K47" i="108"/>
  <c r="X98" i="108" s="1"/>
  <c r="K49" i="108"/>
  <c r="X100" i="108" s="1"/>
  <c r="K40" i="108"/>
  <c r="X91" i="108" s="1"/>
  <c r="K44" i="108"/>
  <c r="X95" i="108" s="1"/>
  <c r="K52" i="108"/>
  <c r="X103" i="108" s="1"/>
  <c r="K42" i="108"/>
  <c r="X93" i="108" s="1"/>
  <c r="K50" i="108"/>
  <c r="X101" i="108" s="1"/>
  <c r="K41" i="108"/>
  <c r="X92" i="108" s="1"/>
  <c r="K51" i="108"/>
  <c r="X102" i="108" s="1"/>
  <c r="K54" i="108"/>
  <c r="X105" i="108" s="1"/>
  <c r="K57" i="108"/>
  <c r="X108" i="108" s="1"/>
  <c r="K56" i="108"/>
  <c r="X107" i="108" s="1"/>
  <c r="K58" i="108"/>
  <c r="X109" i="108" s="1"/>
  <c r="K46" i="108"/>
  <c r="X97" i="108" s="1"/>
  <c r="K53" i="108"/>
  <c r="X104" i="108" s="1"/>
  <c r="K34" i="108"/>
  <c r="K48" i="108"/>
  <c r="X99" i="108" s="1"/>
  <c r="L43" i="104"/>
  <c r="Y94" i="104" s="1"/>
  <c r="L51" i="104"/>
  <c r="Y102" i="104" s="1"/>
  <c r="L41" i="104"/>
  <c r="Y92" i="104" s="1"/>
  <c r="L52" i="104"/>
  <c r="Y103" i="104" s="1"/>
  <c r="L47" i="104"/>
  <c r="Y98" i="104" s="1"/>
  <c r="L40" i="104"/>
  <c r="Y91" i="104" s="1"/>
  <c r="L48" i="104"/>
  <c r="Y99" i="104" s="1"/>
  <c r="L55" i="104"/>
  <c r="Y106" i="104" s="1"/>
  <c r="L42" i="104"/>
  <c r="Y93" i="104" s="1"/>
  <c r="L119" i="104"/>
  <c r="L121" i="104" s="1"/>
  <c r="L125" i="104" s="1"/>
  <c r="L58" i="104"/>
  <c r="Y109" i="104" s="1"/>
  <c r="L59" i="104"/>
  <c r="Y110" i="104" s="1"/>
  <c r="L46" i="104"/>
  <c r="Y97" i="104" s="1"/>
  <c r="L34" i="104"/>
  <c r="L49" i="104"/>
  <c r="Y100" i="104" s="1"/>
  <c r="L45" i="104"/>
  <c r="Y96" i="104" s="1"/>
  <c r="L44" i="104"/>
  <c r="Y95" i="104" s="1"/>
  <c r="L57" i="104"/>
  <c r="Y108" i="104" s="1"/>
  <c r="L50" i="104"/>
  <c r="Y101" i="104" s="1"/>
  <c r="L54" i="104"/>
  <c r="Y105" i="104" s="1"/>
  <c r="L53" i="104"/>
  <c r="Y104" i="104" s="1"/>
  <c r="U80" i="106"/>
  <c r="V80" i="105"/>
  <c r="L53" i="108"/>
  <c r="Y104" i="108" s="1"/>
  <c r="L52" i="108"/>
  <c r="Y103" i="108" s="1"/>
  <c r="L44" i="108"/>
  <c r="Y95" i="108" s="1"/>
  <c r="L119" i="108"/>
  <c r="L121" i="108" s="1"/>
  <c r="L125" i="108" s="1"/>
  <c r="L46" i="108"/>
  <c r="Y97" i="108" s="1"/>
  <c r="L40" i="108"/>
  <c r="Y91" i="108" s="1"/>
  <c r="L45" i="108"/>
  <c r="Y96" i="108" s="1"/>
  <c r="L42" i="108"/>
  <c r="Y93" i="108" s="1"/>
  <c r="L43" i="108"/>
  <c r="Y94" i="108" s="1"/>
  <c r="L48" i="108"/>
  <c r="Y99" i="108" s="1"/>
  <c r="L51" i="108"/>
  <c r="Y102" i="108" s="1"/>
  <c r="L55" i="108"/>
  <c r="Y106" i="108" s="1"/>
  <c r="L34" i="108"/>
  <c r="L50" i="108"/>
  <c r="Y101" i="108" s="1"/>
  <c r="L59" i="108"/>
  <c r="Y110" i="108" s="1"/>
  <c r="H50" i="107"/>
  <c r="O51" i="106"/>
  <c r="H56" i="107"/>
  <c r="O34" i="106"/>
  <c r="C54" i="105"/>
  <c r="O56" i="106"/>
  <c r="O44" i="106"/>
  <c r="H40" i="107"/>
  <c r="H52" i="107"/>
  <c r="O48" i="106"/>
  <c r="O45" i="106"/>
  <c r="H59" i="107"/>
  <c r="O42" i="106"/>
  <c r="O54" i="106"/>
  <c r="H43" i="107"/>
  <c r="H46" i="107"/>
  <c r="H57" i="107"/>
  <c r="O41" i="106"/>
  <c r="H55" i="107"/>
  <c r="O52" i="106"/>
  <c r="O57" i="106"/>
  <c r="H48" i="107"/>
  <c r="O53" i="106"/>
  <c r="H47" i="107"/>
  <c r="O46" i="106"/>
  <c r="O47" i="106"/>
  <c r="H119" i="107"/>
  <c r="H123" i="107" s="1"/>
  <c r="O49" i="106"/>
  <c r="H51" i="107"/>
  <c r="H54" i="107"/>
  <c r="H34" i="107"/>
  <c r="H58" i="107"/>
  <c r="O55" i="106"/>
  <c r="O50" i="106"/>
  <c r="H49" i="107"/>
  <c r="H41" i="107"/>
  <c r="H42" i="107"/>
  <c r="H53" i="107"/>
  <c r="O58" i="106"/>
  <c r="O59" i="106"/>
  <c r="H44" i="107"/>
  <c r="O43" i="106"/>
  <c r="O119" i="106"/>
  <c r="O123" i="106" s="1"/>
  <c r="G50" i="107"/>
  <c r="G51" i="107"/>
  <c r="G40" i="107"/>
  <c r="AB111" i="106"/>
  <c r="J42" i="107"/>
  <c r="G52" i="107"/>
  <c r="G43" i="107"/>
  <c r="R80" i="105"/>
  <c r="G59" i="107"/>
  <c r="G48" i="107"/>
  <c r="G42" i="107"/>
  <c r="G57" i="107"/>
  <c r="G53" i="107"/>
  <c r="G54" i="107"/>
  <c r="C49" i="104"/>
  <c r="G119" i="107"/>
  <c r="G123" i="107" s="1"/>
  <c r="G47" i="107"/>
  <c r="G41" i="107"/>
  <c r="G56" i="107"/>
  <c r="G34" i="107"/>
  <c r="G45" i="107"/>
  <c r="G58" i="107"/>
  <c r="G46" i="107"/>
  <c r="G55" i="107"/>
  <c r="G44" i="107"/>
  <c r="D44" i="104"/>
  <c r="L95" i="104" s="1"/>
  <c r="P111" i="107"/>
  <c r="C43" i="104"/>
  <c r="J50" i="107"/>
  <c r="J49" i="107"/>
  <c r="L48" i="106"/>
  <c r="Y99" i="106" s="1"/>
  <c r="J56" i="107"/>
  <c r="J47" i="107"/>
  <c r="L44" i="106"/>
  <c r="Y95" i="106" s="1"/>
  <c r="D57" i="106"/>
  <c r="L108" i="106" s="1"/>
  <c r="E57" i="104"/>
  <c r="M108" i="104" s="1"/>
  <c r="C46" i="105"/>
  <c r="S80" i="106"/>
  <c r="N45" i="105"/>
  <c r="N34" i="105"/>
  <c r="N49" i="105"/>
  <c r="C40" i="105"/>
  <c r="C42" i="105"/>
  <c r="N47" i="105"/>
  <c r="N57" i="105"/>
  <c r="C55" i="105"/>
  <c r="C41" i="105"/>
  <c r="N46" i="105"/>
  <c r="N56" i="105"/>
  <c r="C47" i="105"/>
  <c r="C52" i="105"/>
  <c r="N42" i="105"/>
  <c r="C56" i="105"/>
  <c r="C57" i="105"/>
  <c r="N43" i="105"/>
  <c r="N59" i="105"/>
  <c r="C59" i="105"/>
  <c r="C51" i="105"/>
  <c r="N48" i="105"/>
  <c r="C53" i="105"/>
  <c r="N54" i="105"/>
  <c r="N50" i="105"/>
  <c r="C50" i="105"/>
  <c r="N58" i="105"/>
  <c r="C49" i="105"/>
  <c r="N52" i="105"/>
  <c r="N55" i="105"/>
  <c r="C34" i="105"/>
  <c r="C119" i="105"/>
  <c r="C123" i="105" s="1"/>
  <c r="N41" i="105"/>
  <c r="N44" i="105"/>
  <c r="C45" i="105"/>
  <c r="C44" i="105"/>
  <c r="N51" i="105"/>
  <c r="C43" i="105"/>
  <c r="C58" i="105"/>
  <c r="N53" i="105"/>
  <c r="N119" i="105"/>
  <c r="N123" i="105" s="1"/>
  <c r="D44" i="106"/>
  <c r="L95" i="106" s="1"/>
  <c r="J48" i="108"/>
  <c r="D41" i="108"/>
  <c r="L92" i="108" s="1"/>
  <c r="D51" i="104"/>
  <c r="L102" i="104" s="1"/>
  <c r="N47" i="104"/>
  <c r="N50" i="104"/>
  <c r="N45" i="104"/>
  <c r="D43" i="108"/>
  <c r="L94" i="108" s="1"/>
  <c r="N40" i="104"/>
  <c r="D52" i="104"/>
  <c r="L103" i="104" s="1"/>
  <c r="N49" i="104"/>
  <c r="N41" i="104"/>
  <c r="L40" i="107"/>
  <c r="Y91" i="107" s="1"/>
  <c r="D41" i="104"/>
  <c r="L92" i="104" s="1"/>
  <c r="D42" i="104"/>
  <c r="L93" i="104" s="1"/>
  <c r="L52" i="107"/>
  <c r="Y103" i="107" s="1"/>
  <c r="L119" i="107"/>
  <c r="L121" i="107" s="1"/>
  <c r="L125" i="107" s="1"/>
  <c r="D34" i="104"/>
  <c r="L44" i="107"/>
  <c r="Y95" i="107" s="1"/>
  <c r="N53" i="104"/>
  <c r="D57" i="108"/>
  <c r="L108" i="108" s="1"/>
  <c r="N55" i="104"/>
  <c r="D119" i="104"/>
  <c r="D121" i="104" s="1"/>
  <c r="D125" i="104" s="1"/>
  <c r="N56" i="104"/>
  <c r="D58" i="104"/>
  <c r="L109" i="104" s="1"/>
  <c r="D54" i="104"/>
  <c r="L105" i="104" s="1"/>
  <c r="D43" i="104"/>
  <c r="L94" i="104" s="1"/>
  <c r="D49" i="108"/>
  <c r="L100" i="108" s="1"/>
  <c r="D119" i="108"/>
  <c r="D121" i="108" s="1"/>
  <c r="D125" i="108" s="1"/>
  <c r="N57" i="104"/>
  <c r="N54" i="104"/>
  <c r="D48" i="108"/>
  <c r="L99" i="108" s="1"/>
  <c r="D57" i="104"/>
  <c r="L108" i="104" s="1"/>
  <c r="D54" i="108"/>
  <c r="L105" i="108" s="1"/>
  <c r="N46" i="104"/>
  <c r="D48" i="104"/>
  <c r="L99" i="104" s="1"/>
  <c r="D55" i="108"/>
  <c r="L106" i="108" s="1"/>
  <c r="D53" i="108"/>
  <c r="L104" i="108" s="1"/>
  <c r="N44" i="104"/>
  <c r="N119" i="104"/>
  <c r="N123" i="104" s="1"/>
  <c r="D40" i="104"/>
  <c r="L91" i="104" s="1"/>
  <c r="D47" i="108"/>
  <c r="L98" i="108" s="1"/>
  <c r="D51" i="108"/>
  <c r="L102" i="108" s="1"/>
  <c r="D44" i="108"/>
  <c r="L95" i="108" s="1"/>
  <c r="N42" i="104"/>
  <c r="N34" i="104"/>
  <c r="D58" i="106"/>
  <c r="L109" i="106" s="1"/>
  <c r="N48" i="104"/>
  <c r="D45" i="108"/>
  <c r="L96" i="108" s="1"/>
  <c r="N43" i="104"/>
  <c r="N51" i="104"/>
  <c r="D50" i="104"/>
  <c r="L101" i="104" s="1"/>
  <c r="D58" i="108"/>
  <c r="L109" i="108" s="1"/>
  <c r="D42" i="108"/>
  <c r="L93" i="108" s="1"/>
  <c r="E41" i="105"/>
  <c r="M92" i="105" s="1"/>
  <c r="D53" i="104"/>
  <c r="L104" i="104" s="1"/>
  <c r="D45" i="104"/>
  <c r="L96" i="104" s="1"/>
  <c r="D52" i="108"/>
  <c r="L103" i="108" s="1"/>
  <c r="D59" i="108"/>
  <c r="L110" i="108" s="1"/>
  <c r="D55" i="104"/>
  <c r="L106" i="104" s="1"/>
  <c r="D49" i="104"/>
  <c r="L100" i="104" s="1"/>
  <c r="D50" i="108"/>
  <c r="L101" i="108" s="1"/>
  <c r="N59" i="104"/>
  <c r="D59" i="104"/>
  <c r="L110" i="104" s="1"/>
  <c r="D47" i="104"/>
  <c r="L98" i="104" s="1"/>
  <c r="D56" i="104"/>
  <c r="L107" i="104" s="1"/>
  <c r="D46" i="108"/>
  <c r="L97" i="108" s="1"/>
  <c r="D56" i="108"/>
  <c r="L107" i="108" s="1"/>
  <c r="N52" i="104"/>
  <c r="D40" i="108"/>
  <c r="L91" i="108" s="1"/>
  <c r="L58" i="107"/>
  <c r="Y109" i="107" s="1"/>
  <c r="L54" i="107"/>
  <c r="Y105" i="107" s="1"/>
  <c r="L55" i="107"/>
  <c r="Y106" i="107" s="1"/>
  <c r="L50" i="107"/>
  <c r="Y101" i="107" s="1"/>
  <c r="L53" i="107"/>
  <c r="Y104" i="107" s="1"/>
  <c r="L59" i="107"/>
  <c r="Y110" i="107" s="1"/>
  <c r="L57" i="107"/>
  <c r="Y108" i="107" s="1"/>
  <c r="H56" i="106"/>
  <c r="L46" i="107"/>
  <c r="Y97" i="107" s="1"/>
  <c r="L51" i="107"/>
  <c r="Y102" i="107" s="1"/>
  <c r="L47" i="107"/>
  <c r="Y98" i="107" s="1"/>
  <c r="L49" i="107"/>
  <c r="Y100" i="107" s="1"/>
  <c r="L45" i="107"/>
  <c r="Y96" i="107" s="1"/>
  <c r="L42" i="107"/>
  <c r="Y93" i="107" s="1"/>
  <c r="L41" i="107"/>
  <c r="Y92" i="107" s="1"/>
  <c r="L48" i="107"/>
  <c r="Y99" i="107" s="1"/>
  <c r="L34" i="107"/>
  <c r="L56" i="107"/>
  <c r="Y107" i="107" s="1"/>
  <c r="D40" i="106"/>
  <c r="L91" i="106" s="1"/>
  <c r="N50" i="108"/>
  <c r="K51" i="105"/>
  <c r="X102" i="105" s="1"/>
  <c r="K48" i="105"/>
  <c r="X99" i="105" s="1"/>
  <c r="J50" i="108"/>
  <c r="J55" i="108"/>
  <c r="K45" i="105"/>
  <c r="X96" i="105" s="1"/>
  <c r="K43" i="105"/>
  <c r="X94" i="105" s="1"/>
  <c r="K44" i="105"/>
  <c r="X95" i="105" s="1"/>
  <c r="K50" i="105"/>
  <c r="X101" i="105" s="1"/>
  <c r="N121" i="108"/>
  <c r="N125" i="108" s="1"/>
  <c r="J40" i="108"/>
  <c r="J51" i="108"/>
  <c r="K53" i="105"/>
  <c r="X104" i="105" s="1"/>
  <c r="K46" i="105"/>
  <c r="X97" i="105" s="1"/>
  <c r="N42" i="108"/>
  <c r="N48" i="108"/>
  <c r="N56" i="108"/>
  <c r="J45" i="108"/>
  <c r="U50" i="107"/>
  <c r="K57" i="105"/>
  <c r="X108" i="105" s="1"/>
  <c r="N51" i="108"/>
  <c r="N58" i="108"/>
  <c r="O111" i="107"/>
  <c r="J53" i="108"/>
  <c r="K55" i="105"/>
  <c r="X106" i="105" s="1"/>
  <c r="K54" i="105"/>
  <c r="X105" i="105" s="1"/>
  <c r="N52" i="108"/>
  <c r="J54" i="108"/>
  <c r="K52" i="105"/>
  <c r="X103" i="105" s="1"/>
  <c r="N53" i="108"/>
  <c r="J56" i="108"/>
  <c r="J42" i="108"/>
  <c r="K119" i="105"/>
  <c r="K121" i="105" s="1"/>
  <c r="K125" i="105" s="1"/>
  <c r="U49" i="107"/>
  <c r="N40" i="108"/>
  <c r="N54" i="108"/>
  <c r="J57" i="108"/>
  <c r="K41" i="105"/>
  <c r="X92" i="105" s="1"/>
  <c r="K47" i="105"/>
  <c r="X98" i="105" s="1"/>
  <c r="N55" i="108"/>
  <c r="N41" i="108"/>
  <c r="J46" i="108"/>
  <c r="J34" i="108"/>
  <c r="K56" i="105"/>
  <c r="X107" i="105" s="1"/>
  <c r="J58" i="108"/>
  <c r="K58" i="105"/>
  <c r="X109" i="105" s="1"/>
  <c r="U56" i="107"/>
  <c r="N46" i="108"/>
  <c r="N57" i="108"/>
  <c r="N45" i="108"/>
  <c r="N47" i="108"/>
  <c r="J47" i="108"/>
  <c r="J119" i="108"/>
  <c r="J123" i="108" s="1"/>
  <c r="J41" i="108"/>
  <c r="K40" i="105"/>
  <c r="X91" i="105" s="1"/>
  <c r="K34" i="105"/>
  <c r="N34" i="108"/>
  <c r="N49" i="108"/>
  <c r="N43" i="108"/>
  <c r="J44" i="108"/>
  <c r="J52" i="108"/>
  <c r="J59" i="108"/>
  <c r="J43" i="108"/>
  <c r="K42" i="105"/>
  <c r="X93" i="105" s="1"/>
  <c r="K59" i="105"/>
  <c r="X110" i="105" s="1"/>
  <c r="N44" i="108"/>
  <c r="N59" i="108"/>
  <c r="N42" i="107"/>
  <c r="N40" i="107"/>
  <c r="J49" i="105"/>
  <c r="J47" i="105"/>
  <c r="J46" i="105"/>
  <c r="J58" i="105"/>
  <c r="J41" i="105"/>
  <c r="J56" i="105"/>
  <c r="J55" i="105"/>
  <c r="J45" i="105"/>
  <c r="J40" i="105"/>
  <c r="J57" i="105"/>
  <c r="J43" i="105"/>
  <c r="J59" i="105"/>
  <c r="J44" i="105"/>
  <c r="J119" i="105"/>
  <c r="J123" i="105" s="1"/>
  <c r="J51" i="105"/>
  <c r="J48" i="105"/>
  <c r="J42" i="105"/>
  <c r="J34" i="105"/>
  <c r="J54" i="105"/>
  <c r="J50" i="105"/>
  <c r="J52" i="105"/>
  <c r="J44" i="106"/>
  <c r="E44" i="105"/>
  <c r="M95" i="105" s="1"/>
  <c r="E119" i="105"/>
  <c r="E121" i="105" s="1"/>
  <c r="E125" i="105" s="1"/>
  <c r="E58" i="105"/>
  <c r="M109" i="105" s="1"/>
  <c r="H53" i="106"/>
  <c r="E57" i="105"/>
  <c r="M108" i="105" s="1"/>
  <c r="G50" i="104"/>
  <c r="H45" i="106"/>
  <c r="E51" i="105"/>
  <c r="M102" i="105" s="1"/>
  <c r="E59" i="105"/>
  <c r="M110" i="105" s="1"/>
  <c r="H41" i="106"/>
  <c r="E47" i="105"/>
  <c r="M98" i="105" s="1"/>
  <c r="E43" i="105"/>
  <c r="M94" i="105" s="1"/>
  <c r="H42" i="106"/>
  <c r="E40" i="105"/>
  <c r="M91" i="105" s="1"/>
  <c r="E42" i="105"/>
  <c r="M93" i="105" s="1"/>
  <c r="H57" i="106"/>
  <c r="E46" i="105"/>
  <c r="M97" i="105" s="1"/>
  <c r="E55" i="105"/>
  <c r="M106" i="105" s="1"/>
  <c r="G54" i="106"/>
  <c r="G55" i="104"/>
  <c r="H50" i="106"/>
  <c r="E53" i="105"/>
  <c r="M104" i="105" s="1"/>
  <c r="E49" i="105"/>
  <c r="M100" i="105" s="1"/>
  <c r="H58" i="106"/>
  <c r="E48" i="105"/>
  <c r="M99" i="105" s="1"/>
  <c r="E56" i="105"/>
  <c r="M107" i="105" s="1"/>
  <c r="H43" i="106"/>
  <c r="E50" i="105"/>
  <c r="M101" i="105" s="1"/>
  <c r="E52" i="105"/>
  <c r="M103" i="105" s="1"/>
  <c r="H40" i="106"/>
  <c r="E54" i="105"/>
  <c r="M105" i="105" s="1"/>
  <c r="E45" i="105"/>
  <c r="M96" i="105" s="1"/>
  <c r="H34" i="106"/>
  <c r="L121" i="105"/>
  <c r="L125" i="105" s="1"/>
  <c r="G42" i="105"/>
  <c r="E47" i="104"/>
  <c r="M98" i="104" s="1"/>
  <c r="G121" i="105"/>
  <c r="G125" i="105" s="1"/>
  <c r="E46" i="104"/>
  <c r="M97" i="104" s="1"/>
  <c r="E56" i="104"/>
  <c r="M107" i="104" s="1"/>
  <c r="G44" i="105"/>
  <c r="G59" i="108"/>
  <c r="G54" i="105"/>
  <c r="G40" i="105"/>
  <c r="G51" i="105"/>
  <c r="H58" i="108"/>
  <c r="H53" i="108"/>
  <c r="S80" i="104"/>
  <c r="E55" i="104"/>
  <c r="M106" i="104" s="1"/>
  <c r="E52" i="104"/>
  <c r="M103" i="104" s="1"/>
  <c r="E58" i="104"/>
  <c r="M109" i="104" s="1"/>
  <c r="E40" i="104"/>
  <c r="M91" i="104" s="1"/>
  <c r="E44" i="104"/>
  <c r="M95" i="104" s="1"/>
  <c r="E45" i="104"/>
  <c r="M96" i="104" s="1"/>
  <c r="E48" i="104"/>
  <c r="M99" i="104" s="1"/>
  <c r="E42" i="104"/>
  <c r="M93" i="104" s="1"/>
  <c r="E41" i="104"/>
  <c r="M92" i="104" s="1"/>
  <c r="E49" i="104"/>
  <c r="M100" i="104" s="1"/>
  <c r="E50" i="104"/>
  <c r="M101" i="104" s="1"/>
  <c r="E119" i="104"/>
  <c r="E121" i="104" s="1"/>
  <c r="E125" i="104" s="1"/>
  <c r="E43" i="104"/>
  <c r="M94" i="104" s="1"/>
  <c r="E34" i="104"/>
  <c r="E53" i="104"/>
  <c r="M104" i="104" s="1"/>
  <c r="E59" i="104"/>
  <c r="M110" i="104" s="1"/>
  <c r="E51" i="104"/>
  <c r="M102" i="104" s="1"/>
  <c r="H57" i="105"/>
  <c r="L55" i="105"/>
  <c r="Y106" i="105" s="1"/>
  <c r="N49" i="107"/>
  <c r="N54" i="107"/>
  <c r="N47" i="107"/>
  <c r="N34" i="107"/>
  <c r="N56" i="107"/>
  <c r="N45" i="107"/>
  <c r="N44" i="107"/>
  <c r="N50" i="107"/>
  <c r="K121" i="106"/>
  <c r="K125" i="106" s="1"/>
  <c r="N53" i="107"/>
  <c r="Q80" i="106"/>
  <c r="N46" i="107"/>
  <c r="N51" i="107"/>
  <c r="N58" i="107"/>
  <c r="N55" i="107"/>
  <c r="N43" i="107"/>
  <c r="N41" i="107"/>
  <c r="N119" i="107"/>
  <c r="N123" i="107" s="1"/>
  <c r="N57" i="107"/>
  <c r="N59" i="107"/>
  <c r="N48" i="107"/>
  <c r="AA111" i="107"/>
  <c r="R80" i="108"/>
  <c r="C41" i="104"/>
  <c r="C54" i="104"/>
  <c r="D51" i="106"/>
  <c r="L102" i="106" s="1"/>
  <c r="D56" i="106"/>
  <c r="L107" i="106" s="1"/>
  <c r="J46" i="107"/>
  <c r="J44" i="107"/>
  <c r="J57" i="107"/>
  <c r="L40" i="106"/>
  <c r="Y91" i="106" s="1"/>
  <c r="C42" i="104"/>
  <c r="D45" i="106"/>
  <c r="L96" i="106" s="1"/>
  <c r="D46" i="106"/>
  <c r="L97" i="106" s="1"/>
  <c r="L41" i="106"/>
  <c r="Y92" i="106" s="1"/>
  <c r="L45" i="106"/>
  <c r="Y96" i="106" s="1"/>
  <c r="C53" i="104"/>
  <c r="C48" i="104"/>
  <c r="D53" i="106"/>
  <c r="L104" i="106" s="1"/>
  <c r="C34" i="104"/>
  <c r="J48" i="107"/>
  <c r="L49" i="106"/>
  <c r="Y100" i="106" s="1"/>
  <c r="L55" i="106"/>
  <c r="Y106" i="106" s="1"/>
  <c r="L119" i="106"/>
  <c r="L121" i="106" s="1"/>
  <c r="L125" i="106" s="1"/>
  <c r="L59" i="106"/>
  <c r="Y110" i="106" s="1"/>
  <c r="C44" i="104"/>
  <c r="C52" i="104"/>
  <c r="D54" i="106"/>
  <c r="L105" i="106" s="1"/>
  <c r="C47" i="104"/>
  <c r="J119" i="107"/>
  <c r="J123" i="107" s="1"/>
  <c r="J58" i="107"/>
  <c r="L53" i="106"/>
  <c r="Y104" i="106" s="1"/>
  <c r="C45" i="104"/>
  <c r="D52" i="106"/>
  <c r="L103" i="106" s="1"/>
  <c r="C40" i="104"/>
  <c r="J43" i="107"/>
  <c r="L42" i="106"/>
  <c r="Y93" i="106" s="1"/>
  <c r="L50" i="106"/>
  <c r="Y101" i="106" s="1"/>
  <c r="L58" i="106"/>
  <c r="Y109" i="106" s="1"/>
  <c r="D34" i="106"/>
  <c r="J45" i="107"/>
  <c r="J53" i="107"/>
  <c r="L34" i="106"/>
  <c r="L51" i="106"/>
  <c r="Y102" i="106" s="1"/>
  <c r="L56" i="106"/>
  <c r="Y107" i="106" s="1"/>
  <c r="C46" i="104"/>
  <c r="C50" i="104"/>
  <c r="D119" i="106"/>
  <c r="D121" i="106" s="1"/>
  <c r="D125" i="106" s="1"/>
  <c r="D48" i="106"/>
  <c r="L99" i="106" s="1"/>
  <c r="J52" i="107"/>
  <c r="L43" i="106"/>
  <c r="Y94" i="106" s="1"/>
  <c r="C56" i="104"/>
  <c r="C57" i="104"/>
  <c r="D59" i="106"/>
  <c r="L110" i="106" s="1"/>
  <c r="D47" i="106"/>
  <c r="L98" i="106" s="1"/>
  <c r="J54" i="107"/>
  <c r="J41" i="107"/>
  <c r="L57" i="106"/>
  <c r="Y108" i="106" s="1"/>
  <c r="L46" i="106"/>
  <c r="Y97" i="106" s="1"/>
  <c r="C51" i="104"/>
  <c r="D55" i="106"/>
  <c r="L106" i="106" s="1"/>
  <c r="D42" i="106"/>
  <c r="L93" i="106" s="1"/>
  <c r="C119" i="104"/>
  <c r="C123" i="104" s="1"/>
  <c r="J40" i="107"/>
  <c r="L52" i="106"/>
  <c r="Y103" i="106" s="1"/>
  <c r="R80" i="106"/>
  <c r="C59" i="104"/>
  <c r="C55" i="104"/>
  <c r="D41" i="106"/>
  <c r="L92" i="106" s="1"/>
  <c r="D43" i="106"/>
  <c r="L94" i="106" s="1"/>
  <c r="D50" i="106"/>
  <c r="L101" i="106" s="1"/>
  <c r="J55" i="107"/>
  <c r="J59" i="107"/>
  <c r="J34" i="107"/>
  <c r="L47" i="106"/>
  <c r="Y98" i="106" s="1"/>
  <c r="V80" i="106"/>
  <c r="U80" i="108"/>
  <c r="AA111" i="108"/>
  <c r="V80" i="107"/>
  <c r="K54" i="106"/>
  <c r="X105" i="106" s="1"/>
  <c r="G59" i="105"/>
  <c r="K34" i="107"/>
  <c r="D119" i="107"/>
  <c r="D121" i="107" s="1"/>
  <c r="D125" i="107" s="1"/>
  <c r="G58" i="105"/>
  <c r="G44" i="108"/>
  <c r="G57" i="105"/>
  <c r="G51" i="108"/>
  <c r="G47" i="108"/>
  <c r="K50" i="106"/>
  <c r="X101" i="106" s="1"/>
  <c r="K53" i="106"/>
  <c r="X104" i="106" s="1"/>
  <c r="H54" i="106"/>
  <c r="H119" i="106"/>
  <c r="H123" i="106" s="1"/>
  <c r="L43" i="105"/>
  <c r="Y94" i="105" s="1"/>
  <c r="G119" i="108"/>
  <c r="G123" i="108" s="1"/>
  <c r="G41" i="105"/>
  <c r="G46" i="105"/>
  <c r="G45" i="105"/>
  <c r="L42" i="105"/>
  <c r="Y93" i="105" s="1"/>
  <c r="G46" i="108"/>
  <c r="G45" i="108"/>
  <c r="H55" i="106"/>
  <c r="H48" i="106"/>
  <c r="G58" i="108"/>
  <c r="G43" i="105"/>
  <c r="G55" i="105"/>
  <c r="G50" i="105"/>
  <c r="L59" i="105"/>
  <c r="Y110" i="105" s="1"/>
  <c r="D50" i="107"/>
  <c r="L101" i="107" s="1"/>
  <c r="G56" i="105"/>
  <c r="L45" i="105"/>
  <c r="Y96" i="105" s="1"/>
  <c r="G48" i="108"/>
  <c r="G55" i="108"/>
  <c r="H47" i="106"/>
  <c r="H51" i="106"/>
  <c r="G49" i="108"/>
  <c r="G53" i="105"/>
  <c r="G34" i="105"/>
  <c r="G50" i="108"/>
  <c r="D47" i="107"/>
  <c r="L98" i="107" s="1"/>
  <c r="G52" i="108"/>
  <c r="G48" i="104"/>
  <c r="K56" i="106"/>
  <c r="X107" i="106" s="1"/>
  <c r="G54" i="108"/>
  <c r="G43" i="108"/>
  <c r="K41" i="106"/>
  <c r="X92" i="106" s="1"/>
  <c r="H46" i="106"/>
  <c r="E49" i="107"/>
  <c r="M100" i="107" s="1"/>
  <c r="D55" i="107"/>
  <c r="L106" i="107" s="1"/>
  <c r="G48" i="105"/>
  <c r="G42" i="108"/>
  <c r="D51" i="107"/>
  <c r="L102" i="107" s="1"/>
  <c r="G47" i="105"/>
  <c r="G49" i="105"/>
  <c r="G52" i="105"/>
  <c r="D49" i="107"/>
  <c r="L100" i="107" s="1"/>
  <c r="H52" i="106"/>
  <c r="E34" i="107"/>
  <c r="E46" i="107"/>
  <c r="M97" i="107" s="1"/>
  <c r="G34" i="108"/>
  <c r="E51" i="107"/>
  <c r="M102" i="107" s="1"/>
  <c r="G57" i="108"/>
  <c r="G41" i="108"/>
  <c r="G40" i="108"/>
  <c r="K57" i="106"/>
  <c r="X108" i="106" s="1"/>
  <c r="D40" i="107"/>
  <c r="L91" i="107" s="1"/>
  <c r="G53" i="108"/>
  <c r="G42" i="104"/>
  <c r="H44" i="106"/>
  <c r="H59" i="106"/>
  <c r="G52" i="106"/>
  <c r="U43" i="107"/>
  <c r="U34" i="107"/>
  <c r="U54" i="107"/>
  <c r="U48" i="107"/>
  <c r="U57" i="107"/>
  <c r="U42" i="107"/>
  <c r="U47" i="107"/>
  <c r="U55" i="107"/>
  <c r="U51" i="107"/>
  <c r="U59" i="107"/>
  <c r="U41" i="107"/>
  <c r="U58" i="107"/>
  <c r="U44" i="107"/>
  <c r="U45" i="107"/>
  <c r="U40" i="107"/>
  <c r="U53" i="107"/>
  <c r="U46" i="107"/>
  <c r="O49" i="108"/>
  <c r="C51" i="107"/>
  <c r="H47" i="105"/>
  <c r="H119" i="105"/>
  <c r="H123" i="105" s="1"/>
  <c r="H48" i="105"/>
  <c r="O49" i="104"/>
  <c r="C42" i="107"/>
  <c r="C57" i="107"/>
  <c r="O41" i="104"/>
  <c r="H56" i="105"/>
  <c r="O41" i="108"/>
  <c r="C41" i="107"/>
  <c r="L34" i="105"/>
  <c r="L48" i="105"/>
  <c r="Y99" i="105" s="1"/>
  <c r="E44" i="107"/>
  <c r="M95" i="107" s="1"/>
  <c r="E40" i="107"/>
  <c r="M91" i="107" s="1"/>
  <c r="L44" i="105"/>
  <c r="Y95" i="105" s="1"/>
  <c r="L58" i="105"/>
  <c r="Y109" i="105" s="1"/>
  <c r="K49" i="106"/>
  <c r="X100" i="106" s="1"/>
  <c r="K47" i="106"/>
  <c r="X98" i="106" s="1"/>
  <c r="E50" i="107"/>
  <c r="M101" i="107" s="1"/>
  <c r="E58" i="107"/>
  <c r="M109" i="107" s="1"/>
  <c r="L40" i="105"/>
  <c r="Y91" i="105" s="1"/>
  <c r="L47" i="105"/>
  <c r="Y98" i="105" s="1"/>
  <c r="K55" i="106"/>
  <c r="X106" i="106" s="1"/>
  <c r="K43" i="106"/>
  <c r="X94" i="106" s="1"/>
  <c r="K40" i="106"/>
  <c r="X91" i="106" s="1"/>
  <c r="K45" i="106"/>
  <c r="X96" i="106" s="1"/>
  <c r="E56" i="107"/>
  <c r="M107" i="107" s="1"/>
  <c r="E59" i="107"/>
  <c r="M110" i="107" s="1"/>
  <c r="D40" i="105"/>
  <c r="L91" i="105" s="1"/>
  <c r="L53" i="105"/>
  <c r="Y104" i="105" s="1"/>
  <c r="L50" i="105"/>
  <c r="Y101" i="105" s="1"/>
  <c r="K46" i="106"/>
  <c r="X97" i="106" s="1"/>
  <c r="E43" i="107"/>
  <c r="M94" i="107" s="1"/>
  <c r="E53" i="107"/>
  <c r="M104" i="107" s="1"/>
  <c r="D119" i="105"/>
  <c r="D121" i="105" s="1"/>
  <c r="D125" i="105" s="1"/>
  <c r="L51" i="105"/>
  <c r="Y102" i="105" s="1"/>
  <c r="E119" i="107"/>
  <c r="E121" i="107" s="1"/>
  <c r="E125" i="107" s="1"/>
  <c r="L56" i="105"/>
  <c r="Y107" i="105" s="1"/>
  <c r="L49" i="105"/>
  <c r="Y100" i="105" s="1"/>
  <c r="K44" i="106"/>
  <c r="X95" i="106" s="1"/>
  <c r="K52" i="106"/>
  <c r="X103" i="106" s="1"/>
  <c r="K58" i="106"/>
  <c r="X109" i="106" s="1"/>
  <c r="E54" i="107"/>
  <c r="M105" i="107" s="1"/>
  <c r="E45" i="107"/>
  <c r="M96" i="107" s="1"/>
  <c r="L46" i="105"/>
  <c r="Y97" i="105" s="1"/>
  <c r="L54" i="105"/>
  <c r="Y105" i="105" s="1"/>
  <c r="K51" i="106"/>
  <c r="X102" i="106" s="1"/>
  <c r="E48" i="107"/>
  <c r="M99" i="107" s="1"/>
  <c r="E47" i="107"/>
  <c r="M98" i="107" s="1"/>
  <c r="L52" i="105"/>
  <c r="Y103" i="105" s="1"/>
  <c r="L41" i="105"/>
  <c r="Y92" i="105" s="1"/>
  <c r="K48" i="106"/>
  <c r="X99" i="106" s="1"/>
  <c r="K42" i="106"/>
  <c r="X93" i="106" s="1"/>
  <c r="E52" i="107"/>
  <c r="M103" i="107" s="1"/>
  <c r="E41" i="107"/>
  <c r="M92" i="107" s="1"/>
  <c r="L57" i="105"/>
  <c r="Y108" i="105" s="1"/>
  <c r="K34" i="106"/>
  <c r="K59" i="106"/>
  <c r="X110" i="106" s="1"/>
  <c r="E57" i="107"/>
  <c r="M108" i="107" s="1"/>
  <c r="E42" i="107"/>
  <c r="M93" i="107" s="1"/>
  <c r="D48" i="105"/>
  <c r="L99" i="105" s="1"/>
  <c r="D45" i="105"/>
  <c r="L96" i="105" s="1"/>
  <c r="D58" i="105"/>
  <c r="L109" i="105" s="1"/>
  <c r="D34" i="105"/>
  <c r="D53" i="105"/>
  <c r="L104" i="105" s="1"/>
  <c r="D49" i="105"/>
  <c r="L100" i="105" s="1"/>
  <c r="D52" i="105"/>
  <c r="L103" i="105" s="1"/>
  <c r="D47" i="105"/>
  <c r="L98" i="105" s="1"/>
  <c r="D42" i="105"/>
  <c r="L93" i="105" s="1"/>
  <c r="D43" i="105"/>
  <c r="L94" i="105" s="1"/>
  <c r="P111" i="104"/>
  <c r="P111" i="105"/>
  <c r="D57" i="105"/>
  <c r="L108" i="105" s="1"/>
  <c r="D51" i="105"/>
  <c r="L102" i="105" s="1"/>
  <c r="D46" i="105"/>
  <c r="L97" i="105" s="1"/>
  <c r="D59" i="105"/>
  <c r="L110" i="105" s="1"/>
  <c r="D56" i="105"/>
  <c r="L107" i="105" s="1"/>
  <c r="D50" i="105"/>
  <c r="L101" i="105" s="1"/>
  <c r="D41" i="105"/>
  <c r="L92" i="105" s="1"/>
  <c r="D54" i="105"/>
  <c r="L105" i="105" s="1"/>
  <c r="D55" i="105"/>
  <c r="L106" i="105" s="1"/>
  <c r="O58" i="108"/>
  <c r="C56" i="107"/>
  <c r="C55" i="107"/>
  <c r="H50" i="105"/>
  <c r="H55" i="105"/>
  <c r="O42" i="104"/>
  <c r="O50" i="104"/>
  <c r="O42" i="108"/>
  <c r="C48" i="107"/>
  <c r="C46" i="107"/>
  <c r="H59" i="105"/>
  <c r="H34" i="105"/>
  <c r="O51" i="104"/>
  <c r="O53" i="104"/>
  <c r="O119" i="108"/>
  <c r="O123" i="108" s="1"/>
  <c r="C59" i="107"/>
  <c r="C52" i="107"/>
  <c r="H42" i="105"/>
  <c r="O48" i="104"/>
  <c r="O111" i="108"/>
  <c r="O56" i="108"/>
  <c r="O40" i="108"/>
  <c r="C58" i="107"/>
  <c r="H51" i="105"/>
  <c r="O57" i="104"/>
  <c r="H41" i="105"/>
  <c r="O45" i="108"/>
  <c r="O34" i="108"/>
  <c r="O57" i="108"/>
  <c r="C44" i="107"/>
  <c r="H58" i="105"/>
  <c r="O34" i="104"/>
  <c r="O59" i="104"/>
  <c r="O44" i="108"/>
  <c r="O47" i="108"/>
  <c r="C119" i="107"/>
  <c r="C123" i="107" s="1"/>
  <c r="C50" i="107"/>
  <c r="O54" i="108"/>
  <c r="H49" i="105"/>
  <c r="O44" i="104"/>
  <c r="O45" i="104"/>
  <c r="C49" i="107"/>
  <c r="C40" i="107"/>
  <c r="H53" i="105"/>
  <c r="O58" i="104"/>
  <c r="O43" i="104"/>
  <c r="O56" i="104"/>
  <c r="O59" i="108"/>
  <c r="O48" i="108"/>
  <c r="C34" i="107"/>
  <c r="C47" i="107"/>
  <c r="H45" i="105"/>
  <c r="H40" i="105"/>
  <c r="O47" i="104"/>
  <c r="O54" i="104"/>
  <c r="O52" i="108"/>
  <c r="O43" i="108"/>
  <c r="O53" i="108"/>
  <c r="C43" i="107"/>
  <c r="C54" i="107"/>
  <c r="H54" i="105"/>
  <c r="H46" i="105"/>
  <c r="O52" i="104"/>
  <c r="O40" i="104"/>
  <c r="O51" i="108"/>
  <c r="O46" i="108"/>
  <c r="O55" i="108"/>
  <c r="C45" i="107"/>
  <c r="H43" i="105"/>
  <c r="H52" i="105"/>
  <c r="O55" i="104"/>
  <c r="O46" i="104"/>
  <c r="H59" i="104"/>
  <c r="K58" i="107"/>
  <c r="X109" i="107" s="1"/>
  <c r="D44" i="107"/>
  <c r="L95" i="107" s="1"/>
  <c r="C44" i="106"/>
  <c r="C41" i="106"/>
  <c r="H43" i="104"/>
  <c r="D41" i="107"/>
  <c r="L92" i="107" s="1"/>
  <c r="C48" i="106"/>
  <c r="H46" i="104"/>
  <c r="D52" i="107"/>
  <c r="L103" i="107" s="1"/>
  <c r="C42" i="106"/>
  <c r="C59" i="106"/>
  <c r="C52" i="106"/>
  <c r="H42" i="104"/>
  <c r="D57" i="107"/>
  <c r="L108" i="107" s="1"/>
  <c r="D58" i="107"/>
  <c r="L109" i="107" s="1"/>
  <c r="C55" i="106"/>
  <c r="C40" i="106"/>
  <c r="C50" i="106"/>
  <c r="H58" i="104"/>
  <c r="D54" i="107"/>
  <c r="L105" i="107" s="1"/>
  <c r="D56" i="107"/>
  <c r="L107" i="107" s="1"/>
  <c r="C57" i="106"/>
  <c r="H51" i="104"/>
  <c r="C53" i="106"/>
  <c r="C119" i="106"/>
  <c r="C123" i="106" s="1"/>
  <c r="H50" i="104"/>
  <c r="C49" i="106"/>
  <c r="C56" i="106"/>
  <c r="C51" i="106"/>
  <c r="H48" i="104"/>
  <c r="H34" i="104"/>
  <c r="D48" i="107"/>
  <c r="L99" i="107" s="1"/>
  <c r="D46" i="107"/>
  <c r="L97" i="107" s="1"/>
  <c r="D59" i="107"/>
  <c r="L110" i="107" s="1"/>
  <c r="C54" i="106"/>
  <c r="H119" i="104"/>
  <c r="H123" i="104" s="1"/>
  <c r="O121" i="104"/>
  <c r="O125" i="104" s="1"/>
  <c r="D43" i="107"/>
  <c r="L94" i="107" s="1"/>
  <c r="D45" i="107"/>
  <c r="L96" i="107" s="1"/>
  <c r="C43" i="106"/>
  <c r="C46" i="106"/>
  <c r="H57" i="104"/>
  <c r="D53" i="107"/>
  <c r="L104" i="107" s="1"/>
  <c r="D34" i="107"/>
  <c r="C34" i="106"/>
  <c r="C58" i="106"/>
  <c r="C45" i="106"/>
  <c r="AB111" i="105"/>
  <c r="H41" i="108"/>
  <c r="H45" i="108"/>
  <c r="H55" i="108"/>
  <c r="J54" i="106"/>
  <c r="J41" i="106"/>
  <c r="J52" i="106"/>
  <c r="H40" i="108"/>
  <c r="H119" i="108"/>
  <c r="H123" i="108" s="1"/>
  <c r="J58" i="106"/>
  <c r="U80" i="105"/>
  <c r="S80" i="105"/>
  <c r="V80" i="108"/>
  <c r="P111" i="108"/>
  <c r="AB111" i="107"/>
  <c r="AB111" i="104"/>
  <c r="S80" i="108"/>
  <c r="P111" i="106"/>
  <c r="J56" i="106"/>
  <c r="H43" i="108"/>
  <c r="J40" i="106"/>
  <c r="J46" i="106"/>
  <c r="J42" i="106"/>
  <c r="H57" i="108"/>
  <c r="J50" i="106"/>
  <c r="J48" i="106"/>
  <c r="H42" i="108"/>
  <c r="H48" i="108"/>
  <c r="J119" i="106"/>
  <c r="J123" i="106" s="1"/>
  <c r="J49" i="106"/>
  <c r="H44" i="108"/>
  <c r="J47" i="106"/>
  <c r="J53" i="106"/>
  <c r="H47" i="108"/>
  <c r="J45" i="106"/>
  <c r="H46" i="108"/>
  <c r="H50" i="108"/>
  <c r="J34" i="106"/>
  <c r="J43" i="106"/>
  <c r="H52" i="108"/>
  <c r="H49" i="108"/>
  <c r="J51" i="106"/>
  <c r="H51" i="108"/>
  <c r="H59" i="108"/>
  <c r="J55" i="106"/>
  <c r="H56" i="108"/>
  <c r="H54" i="108"/>
  <c r="J59" i="106"/>
  <c r="O54" i="105"/>
  <c r="O51" i="105"/>
  <c r="O119" i="105"/>
  <c r="O123" i="105" s="1"/>
  <c r="O56" i="105"/>
  <c r="O48" i="105"/>
  <c r="O53" i="105"/>
  <c r="O45" i="105"/>
  <c r="Q80" i="105"/>
  <c r="V80" i="104"/>
  <c r="O59" i="105"/>
  <c r="O40" i="105"/>
  <c r="O34" i="105"/>
  <c r="O43" i="105"/>
  <c r="O44" i="105"/>
  <c r="R80" i="104"/>
  <c r="Q80" i="108"/>
  <c r="AA111" i="105"/>
  <c r="O111" i="104"/>
  <c r="O111" i="105"/>
  <c r="O49" i="105"/>
  <c r="O47" i="105"/>
  <c r="O57" i="105"/>
  <c r="O50" i="105"/>
  <c r="O46" i="105"/>
  <c r="U80" i="104"/>
  <c r="O111" i="106"/>
  <c r="AA111" i="104"/>
  <c r="Q80" i="107"/>
  <c r="AB111" i="108"/>
  <c r="O52" i="105"/>
  <c r="O41" i="105"/>
  <c r="O42" i="105"/>
  <c r="O55" i="105"/>
  <c r="Q80" i="104"/>
  <c r="K119" i="107"/>
  <c r="K121" i="107" s="1"/>
  <c r="K125" i="107" s="1"/>
  <c r="K57" i="107"/>
  <c r="X108" i="107" s="1"/>
  <c r="G57" i="106"/>
  <c r="G42" i="106"/>
  <c r="G49" i="106"/>
  <c r="G45" i="104"/>
  <c r="K52" i="107"/>
  <c r="X103" i="107" s="1"/>
  <c r="K55" i="107"/>
  <c r="X106" i="107" s="1"/>
  <c r="G121" i="106"/>
  <c r="G125" i="106" s="1"/>
  <c r="G45" i="106"/>
  <c r="G55" i="106"/>
  <c r="G52" i="104"/>
  <c r="G54" i="104"/>
  <c r="G49" i="104"/>
  <c r="K51" i="107"/>
  <c r="X102" i="107" s="1"/>
  <c r="K42" i="107"/>
  <c r="X93" i="107" s="1"/>
  <c r="G34" i="106"/>
  <c r="G41" i="106"/>
  <c r="G56" i="106"/>
  <c r="G47" i="106"/>
  <c r="K40" i="107"/>
  <c r="X91" i="107" s="1"/>
  <c r="K48" i="107"/>
  <c r="X99" i="107" s="1"/>
  <c r="K54" i="107"/>
  <c r="X105" i="107" s="1"/>
  <c r="G40" i="106"/>
  <c r="G44" i="106"/>
  <c r="G58" i="106"/>
  <c r="G51" i="106"/>
  <c r="G51" i="104"/>
  <c r="K43" i="107"/>
  <c r="X94" i="107" s="1"/>
  <c r="K59" i="107"/>
  <c r="X110" i="107" s="1"/>
  <c r="G43" i="104"/>
  <c r="G41" i="104"/>
  <c r="K47" i="107"/>
  <c r="X98" i="107" s="1"/>
  <c r="K41" i="107"/>
  <c r="X92" i="107" s="1"/>
  <c r="G56" i="104"/>
  <c r="G59" i="104"/>
  <c r="K49" i="107"/>
  <c r="X100" i="107" s="1"/>
  <c r="G59" i="106"/>
  <c r="G43" i="106"/>
  <c r="G48" i="106"/>
  <c r="G53" i="104"/>
  <c r="G46" i="104"/>
  <c r="G40" i="104"/>
  <c r="K56" i="107"/>
  <c r="X107" i="107" s="1"/>
  <c r="G53" i="106"/>
  <c r="G46" i="106"/>
  <c r="G50" i="106"/>
  <c r="G34" i="104"/>
  <c r="G119" i="104"/>
  <c r="G123" i="104" s="1"/>
  <c r="G58" i="104"/>
  <c r="K45" i="107"/>
  <c r="X96" i="107" s="1"/>
  <c r="K53" i="107"/>
  <c r="X104" i="107" s="1"/>
  <c r="G57" i="104"/>
  <c r="G47" i="104"/>
  <c r="K50" i="107"/>
  <c r="X101" i="107" s="1"/>
  <c r="H44" i="104"/>
  <c r="H47" i="104"/>
  <c r="H45" i="104"/>
  <c r="O58" i="107"/>
  <c r="O56" i="107"/>
  <c r="O43" i="107"/>
  <c r="O55" i="107"/>
  <c r="O57" i="107"/>
  <c r="O42" i="107"/>
  <c r="O48" i="107"/>
  <c r="O54" i="107"/>
  <c r="O41" i="107"/>
  <c r="O52" i="107"/>
  <c r="O50" i="107"/>
  <c r="O40" i="107"/>
  <c r="O53" i="107"/>
  <c r="O49" i="107"/>
  <c r="O47" i="107"/>
  <c r="O119" i="107"/>
  <c r="O51" i="107"/>
  <c r="O34" i="107"/>
  <c r="O59" i="107"/>
  <c r="O45" i="107"/>
  <c r="O44" i="107"/>
  <c r="O46" i="107"/>
  <c r="H49" i="104"/>
  <c r="H40" i="104"/>
  <c r="H54" i="104"/>
  <c r="H53" i="104"/>
  <c r="K46" i="107"/>
  <c r="X97" i="107" s="1"/>
  <c r="H52" i="104"/>
  <c r="H56" i="104"/>
  <c r="E80" i="106"/>
  <c r="M111" i="106"/>
  <c r="N121" i="106" l="1"/>
  <c r="N125" i="106" s="1"/>
  <c r="N80" i="106"/>
  <c r="C121" i="108"/>
  <c r="C125" i="108" s="1"/>
  <c r="C126" i="108" s="1"/>
  <c r="C127" i="108" s="1"/>
  <c r="C80" i="108"/>
  <c r="M111" i="108"/>
  <c r="J121" i="104"/>
  <c r="J125" i="104" s="1"/>
  <c r="J126" i="104" s="1"/>
  <c r="J127" i="104" s="1"/>
  <c r="E80" i="108"/>
  <c r="X111" i="104"/>
  <c r="K80" i="104"/>
  <c r="J80" i="104"/>
  <c r="S80" i="107"/>
  <c r="X111" i="108"/>
  <c r="K80" i="108"/>
  <c r="G121" i="107"/>
  <c r="G125" i="107" s="1"/>
  <c r="Y111" i="104"/>
  <c r="L80" i="104"/>
  <c r="Y111" i="108"/>
  <c r="L80" i="108"/>
  <c r="O121" i="106"/>
  <c r="O125" i="106" s="1"/>
  <c r="N121" i="105"/>
  <c r="N125" i="105" s="1"/>
  <c r="H121" i="107"/>
  <c r="H125" i="107" s="1"/>
  <c r="H80" i="107"/>
  <c r="O80" i="106"/>
  <c r="C121" i="105"/>
  <c r="C125" i="105" s="1"/>
  <c r="C126" i="105" s="1"/>
  <c r="C127" i="105" s="1"/>
  <c r="G80" i="107"/>
  <c r="J121" i="107"/>
  <c r="J125" i="107" s="1"/>
  <c r="J126" i="107" s="1"/>
  <c r="J127" i="107" s="1"/>
  <c r="C80" i="105"/>
  <c r="N80" i="105"/>
  <c r="J121" i="106"/>
  <c r="J125" i="106" s="1"/>
  <c r="J126" i="106" s="1"/>
  <c r="J127" i="106" s="1"/>
  <c r="N121" i="104"/>
  <c r="N125" i="104" s="1"/>
  <c r="L111" i="104"/>
  <c r="N80" i="104"/>
  <c r="D80" i="108"/>
  <c r="L111" i="108"/>
  <c r="D80" i="104"/>
  <c r="Y111" i="107"/>
  <c r="L80" i="107"/>
  <c r="J121" i="108"/>
  <c r="J125" i="108" s="1"/>
  <c r="J126" i="108" s="1"/>
  <c r="J127" i="108" s="1"/>
  <c r="J121" i="105"/>
  <c r="J125" i="105" s="1"/>
  <c r="J126" i="105" s="1"/>
  <c r="J127" i="105" s="1"/>
  <c r="J80" i="108"/>
  <c r="N80" i="108"/>
  <c r="X111" i="105"/>
  <c r="K80" i="105"/>
  <c r="J80" i="105"/>
  <c r="N121" i="107"/>
  <c r="N125" i="107" s="1"/>
  <c r="G121" i="108"/>
  <c r="G125" i="108" s="1"/>
  <c r="C121" i="107"/>
  <c r="C125" i="107" s="1"/>
  <c r="C126" i="107" s="1"/>
  <c r="C127" i="107" s="1"/>
  <c r="M111" i="105"/>
  <c r="E80" i="105"/>
  <c r="M111" i="104"/>
  <c r="N80" i="107"/>
  <c r="D80" i="106"/>
  <c r="H121" i="106"/>
  <c r="H125" i="106" s="1"/>
  <c r="E80" i="104"/>
  <c r="H121" i="105"/>
  <c r="H125" i="105" s="1"/>
  <c r="L80" i="106"/>
  <c r="O121" i="105"/>
  <c r="O125" i="105" s="1"/>
  <c r="C121" i="106"/>
  <c r="C125" i="106" s="1"/>
  <c r="C126" i="106" s="1"/>
  <c r="C127" i="106" s="1"/>
  <c r="C121" i="104"/>
  <c r="C125" i="104" s="1"/>
  <c r="C126" i="104" s="1"/>
  <c r="C127" i="104" s="1"/>
  <c r="G80" i="105"/>
  <c r="L111" i="106"/>
  <c r="J80" i="107"/>
  <c r="C80" i="104"/>
  <c r="Y111" i="106"/>
  <c r="H80" i="106"/>
  <c r="G80" i="108"/>
  <c r="U80" i="107"/>
  <c r="L111" i="105"/>
  <c r="X111" i="106"/>
  <c r="M111" i="107"/>
  <c r="Y111" i="105"/>
  <c r="K80" i="106"/>
  <c r="E80" i="107"/>
  <c r="L80" i="105"/>
  <c r="D80" i="105"/>
  <c r="H121" i="104"/>
  <c r="H125" i="104" s="1"/>
  <c r="C80" i="106"/>
  <c r="O80" i="104"/>
  <c r="O80" i="108"/>
  <c r="H80" i="105"/>
  <c r="C80" i="107"/>
  <c r="O121" i="108"/>
  <c r="O125" i="108" s="1"/>
  <c r="H80" i="108"/>
  <c r="O80" i="105"/>
  <c r="J80" i="106"/>
  <c r="G80" i="104"/>
  <c r="L111" i="107"/>
  <c r="D80" i="107"/>
  <c r="H121" i="108"/>
  <c r="H125" i="108" s="1"/>
  <c r="H80" i="104"/>
  <c r="G121" i="104"/>
  <c r="G125" i="104" s="1"/>
  <c r="X111" i="107"/>
  <c r="G80" i="106"/>
  <c r="K80" i="107"/>
  <c r="O123" i="107"/>
  <c r="O121" i="107"/>
  <c r="O125" i="107" s="1"/>
  <c r="O80" i="107"/>
  <c r="E4" i="69" l="1"/>
  <c r="B54" i="69" l="1"/>
  <c r="L151" i="69"/>
  <c r="B107" i="69"/>
  <c r="B60" i="69"/>
  <c r="B73" i="69"/>
  <c r="B41" i="69"/>
  <c r="B53" i="69"/>
  <c r="D64" i="69"/>
  <c r="D62" i="69"/>
  <c r="D65" i="69"/>
  <c r="C46" i="69"/>
  <c r="B68" i="69"/>
  <c r="F66" i="69"/>
  <c r="H68" i="69"/>
  <c r="C51" i="69"/>
  <c r="C52" i="69"/>
  <c r="H71" i="69"/>
  <c r="C62" i="69"/>
  <c r="C67" i="69"/>
  <c r="G68" i="69"/>
  <c r="B71" i="69"/>
  <c r="C64" i="69"/>
  <c r="F62" i="69"/>
  <c r="C45" i="69"/>
  <c r="H67" i="69"/>
  <c r="C68" i="69"/>
  <c r="G71" i="69"/>
  <c r="C66" i="69"/>
  <c r="F64" i="69"/>
  <c r="H62" i="69"/>
  <c r="E71" i="69"/>
  <c r="B62" i="69"/>
  <c r="H66" i="69"/>
  <c r="D68" i="69"/>
  <c r="F63" i="69"/>
  <c r="E65" i="69"/>
  <c r="E62" i="69"/>
  <c r="B63" i="69"/>
  <c r="G66" i="69"/>
  <c r="G67" i="69"/>
  <c r="C53" i="69"/>
  <c r="G63" i="69"/>
  <c r="C44" i="69"/>
  <c r="L171" i="69"/>
  <c r="B67" i="69"/>
  <c r="B65" i="69"/>
  <c r="F67" i="69"/>
  <c r="E63" i="69"/>
  <c r="H63" i="69"/>
  <c r="G64" i="69"/>
  <c r="D63" i="69"/>
  <c r="E67" i="69"/>
  <c r="B66" i="69"/>
  <c r="E64" i="69"/>
  <c r="F68" i="69"/>
  <c r="F65" i="69"/>
  <c r="F71" i="69"/>
  <c r="M171" i="69"/>
  <c r="E68" i="69"/>
  <c r="C63" i="69"/>
  <c r="C54" i="69"/>
  <c r="H65" i="69"/>
  <c r="D71" i="69"/>
  <c r="D66" i="69"/>
  <c r="D67" i="69"/>
  <c r="C71" i="69"/>
  <c r="C65" i="69"/>
  <c r="E66" i="69"/>
  <c r="G65" i="69"/>
  <c r="G62" i="69"/>
  <c r="H64" i="69"/>
  <c r="B64" i="69"/>
  <c r="E4" i="70" l="1"/>
  <c r="B172" i="70"/>
  <c r="B8" i="70" l="1"/>
  <c r="B7" i="70"/>
  <c r="B49" i="70"/>
  <c r="A11" i="70"/>
  <c r="B59" i="70"/>
  <c r="A36" i="70"/>
  <c r="R107" i="70"/>
  <c r="B107" i="70"/>
  <c r="J79" i="70"/>
  <c r="B66" i="70"/>
  <c r="J107" i="70"/>
  <c r="B79" i="70"/>
  <c r="R79" i="70"/>
  <c r="F187" i="70"/>
  <c r="Q22" i="83" s="1"/>
  <c r="E188" i="70"/>
  <c r="R23" i="83" s="1"/>
  <c r="F188" i="70"/>
  <c r="Q23" i="83" s="1"/>
  <c r="E189" i="70"/>
  <c r="R24" i="83" s="1"/>
  <c r="F189" i="70"/>
  <c r="Q24" i="83" s="1"/>
  <c r="E190" i="70"/>
  <c r="R25" i="83" s="1"/>
  <c r="F190" i="70"/>
  <c r="Q25" i="83" s="1"/>
  <c r="E185" i="70"/>
  <c r="R20" i="83" s="1"/>
  <c r="E191" i="70"/>
  <c r="R26" i="83" s="1"/>
  <c r="E187" i="70"/>
  <c r="R22" i="83" s="1"/>
  <c r="F185" i="70"/>
  <c r="Q20" i="83" s="1"/>
  <c r="F191" i="70"/>
  <c r="Q26" i="83" s="1"/>
  <c r="E186" i="70"/>
  <c r="R21" i="83" s="1"/>
  <c r="F186" i="70"/>
  <c r="Q21" i="83" s="1"/>
  <c r="B72" i="70"/>
  <c r="G69" i="70"/>
  <c r="H71" i="70"/>
  <c r="H57" i="70"/>
  <c r="H59" i="70"/>
  <c r="B70" i="70"/>
  <c r="C74" i="70"/>
  <c r="C72" i="70"/>
  <c r="C73" i="70"/>
  <c r="H70" i="70"/>
  <c r="F68" i="70"/>
  <c r="H73" i="70"/>
  <c r="H55" i="70"/>
  <c r="H54" i="70"/>
  <c r="H56" i="70"/>
  <c r="D75" i="70"/>
  <c r="C71" i="70"/>
  <c r="D74" i="70"/>
  <c r="B75" i="70"/>
  <c r="G72" i="70"/>
  <c r="D72" i="70"/>
  <c r="H68" i="70"/>
  <c r="F73" i="70"/>
  <c r="E74" i="70"/>
  <c r="G74" i="70"/>
  <c r="E75" i="70"/>
  <c r="C70" i="70"/>
  <c r="D73" i="70"/>
  <c r="C68" i="70"/>
  <c r="C69" i="70"/>
  <c r="C75" i="70"/>
  <c r="F74" i="70"/>
  <c r="H76" i="70"/>
  <c r="D71" i="70"/>
  <c r="H74" i="70"/>
  <c r="F70" i="70"/>
  <c r="E71" i="70"/>
  <c r="F69" i="70"/>
  <c r="G71" i="70"/>
  <c r="G68" i="70"/>
  <c r="H53" i="70"/>
  <c r="E70" i="70"/>
  <c r="F71" i="70"/>
  <c r="E68" i="70"/>
  <c r="D70" i="70"/>
  <c r="E73" i="70"/>
  <c r="G75" i="70"/>
  <c r="B73" i="70"/>
  <c r="B71" i="70"/>
  <c r="E69" i="70"/>
  <c r="B74" i="70"/>
  <c r="H69" i="70"/>
  <c r="F75" i="70"/>
  <c r="H72" i="70"/>
  <c r="F72" i="70"/>
  <c r="C76" i="70"/>
  <c r="B68" i="70"/>
  <c r="D76" i="70"/>
  <c r="E72" i="70"/>
  <c r="D69" i="70"/>
  <c r="G73" i="70"/>
  <c r="H61" i="70"/>
  <c r="G76" i="70"/>
  <c r="E76" i="70"/>
  <c r="H58" i="70"/>
  <c r="D68" i="70"/>
  <c r="B76" i="70"/>
  <c r="G70" i="70"/>
  <c r="B69" i="70"/>
  <c r="F76" i="70"/>
  <c r="H52" i="70"/>
  <c r="H75" i="70"/>
  <c r="H172" i="70" l="1"/>
  <c r="G185" i="70" l="1"/>
  <c r="G191" i="70"/>
  <c r="G187" i="70"/>
  <c r="H185" i="70"/>
  <c r="H190" i="70"/>
  <c r="H191" i="70"/>
  <c r="H187" i="70"/>
  <c r="G186" i="70"/>
  <c r="G188" i="70"/>
  <c r="H186" i="70"/>
  <c r="H188" i="70"/>
  <c r="G189" i="70"/>
  <c r="H189" i="70"/>
  <c r="G190" i="70"/>
  <c r="C33" i="83"/>
  <c r="D33" i="83"/>
  <c r="I36" i="83"/>
  <c r="C35" i="83"/>
  <c r="J36" i="83"/>
  <c r="D35" i="83"/>
  <c r="J172" i="70"/>
  <c r="Q26" i="143" l="1"/>
  <c r="Q26" i="151"/>
  <c r="R24" i="143"/>
  <c r="R24" i="151"/>
  <c r="Q25" i="143"/>
  <c r="Q25" i="151"/>
  <c r="R23" i="143"/>
  <c r="R23" i="151"/>
  <c r="Q20" i="143"/>
  <c r="Q20" i="151"/>
  <c r="R22" i="143"/>
  <c r="R22" i="151"/>
  <c r="Q23" i="143"/>
  <c r="Q23" i="151"/>
  <c r="R21" i="143"/>
  <c r="R21" i="151"/>
  <c r="Q22" i="143"/>
  <c r="Q22" i="151"/>
  <c r="R26" i="143"/>
  <c r="R26" i="151"/>
  <c r="Q21" i="143"/>
  <c r="Q21" i="151"/>
  <c r="R25" i="143"/>
  <c r="R25" i="151"/>
  <c r="Q24" i="143"/>
  <c r="Q24" i="151"/>
  <c r="R20" i="143"/>
  <c r="R20" i="151"/>
  <c r="I187" i="70"/>
  <c r="R22" i="144" s="1"/>
  <c r="J185" i="70"/>
  <c r="Q20" i="144" s="1"/>
  <c r="J191" i="70"/>
  <c r="Q26" i="144" s="1"/>
  <c r="J187" i="70"/>
  <c r="Q22" i="144" s="1"/>
  <c r="I186" i="70"/>
  <c r="R21" i="144" s="1"/>
  <c r="I188" i="70"/>
  <c r="R23" i="144" s="1"/>
  <c r="J186" i="70"/>
  <c r="Q21" i="144" s="1"/>
  <c r="J188" i="70"/>
  <c r="Q23" i="144" s="1"/>
  <c r="I189" i="70"/>
  <c r="R24" i="144" s="1"/>
  <c r="J189" i="70"/>
  <c r="Q24" i="144" s="1"/>
  <c r="I190" i="70"/>
  <c r="R25" i="144" s="1"/>
  <c r="J190" i="70"/>
  <c r="Q25" i="144" s="1"/>
  <c r="I191" i="70"/>
  <c r="R26" i="144" s="1"/>
  <c r="I185" i="70"/>
  <c r="R20" i="144" s="1"/>
  <c r="L172" i="70"/>
  <c r="R22" i="152" l="1"/>
  <c r="Q25" i="152"/>
  <c r="R23" i="152"/>
  <c r="R26" i="152"/>
  <c r="Q20" i="152"/>
  <c r="Q26" i="152"/>
  <c r="Q22" i="152"/>
  <c r="R21" i="152"/>
  <c r="Q21" i="152"/>
  <c r="Q23" i="152"/>
  <c r="R20" i="152"/>
  <c r="R24" i="152"/>
  <c r="Q24" i="152"/>
  <c r="R25" i="152"/>
  <c r="L191" i="70"/>
  <c r="L187" i="70"/>
  <c r="K186" i="70"/>
  <c r="K188" i="70"/>
  <c r="L186" i="70"/>
  <c r="L188" i="70"/>
  <c r="K189" i="70"/>
  <c r="L189" i="70"/>
  <c r="K190" i="70"/>
  <c r="L190" i="70"/>
  <c r="L185" i="70"/>
  <c r="K185" i="70"/>
  <c r="K191" i="70"/>
  <c r="K187" i="70"/>
  <c r="N172" i="70"/>
  <c r="R25" i="84" l="1"/>
  <c r="R25" i="153"/>
  <c r="Q21" i="84"/>
  <c r="Q21" i="153"/>
  <c r="Q20" i="84"/>
  <c r="Q20" i="153"/>
  <c r="R23" i="84"/>
  <c r="R23" i="153"/>
  <c r="R20" i="84"/>
  <c r="R20" i="153"/>
  <c r="R24" i="84"/>
  <c r="R24" i="153"/>
  <c r="R21" i="84"/>
  <c r="R21" i="153"/>
  <c r="Q24" i="84"/>
  <c r="Q24" i="153"/>
  <c r="R22" i="84"/>
  <c r="R22" i="153"/>
  <c r="Q22" i="84"/>
  <c r="Q22" i="153"/>
  <c r="Q25" i="84"/>
  <c r="Q25" i="153"/>
  <c r="Q23" i="84"/>
  <c r="Q23" i="153"/>
  <c r="R26" i="84"/>
  <c r="R26" i="153"/>
  <c r="Q26" i="84"/>
  <c r="Q26" i="153"/>
  <c r="M188" i="70"/>
  <c r="N186" i="70"/>
  <c r="N188" i="70"/>
  <c r="M189" i="70"/>
  <c r="N189" i="70"/>
  <c r="M190" i="70"/>
  <c r="N190" i="70"/>
  <c r="M185" i="70"/>
  <c r="M191" i="70"/>
  <c r="M187" i="70"/>
  <c r="M186" i="70"/>
  <c r="N185" i="70"/>
  <c r="N191" i="70"/>
  <c r="N187" i="70"/>
  <c r="P172" i="70"/>
  <c r="R25" i="145" l="1"/>
  <c r="R25" i="154"/>
  <c r="Q24" i="145"/>
  <c r="Q24" i="154"/>
  <c r="Q22" i="145"/>
  <c r="Q22" i="154"/>
  <c r="Q20" i="145"/>
  <c r="Q20" i="154"/>
  <c r="R21" i="145"/>
  <c r="R21" i="154"/>
  <c r="R22" i="145"/>
  <c r="R22" i="154"/>
  <c r="R26" i="145"/>
  <c r="R26" i="154"/>
  <c r="R20" i="145"/>
  <c r="R20" i="154"/>
  <c r="Q25" i="145"/>
  <c r="Q25" i="154"/>
  <c r="R24" i="145"/>
  <c r="R24" i="154"/>
  <c r="Q23" i="145"/>
  <c r="Q23" i="154"/>
  <c r="Q21" i="145"/>
  <c r="Q21" i="154"/>
  <c r="Q26" i="145"/>
  <c r="Q26" i="154"/>
  <c r="R23" i="145"/>
  <c r="R23" i="154"/>
  <c r="O189" i="70"/>
  <c r="P189" i="70"/>
  <c r="O190" i="70"/>
  <c r="P190" i="70"/>
  <c r="O185" i="70"/>
  <c r="P188" i="70"/>
  <c r="O191" i="70"/>
  <c r="O187" i="70"/>
  <c r="P185" i="70"/>
  <c r="P191" i="70"/>
  <c r="P187" i="70"/>
  <c r="O186" i="70"/>
  <c r="O188" i="70"/>
  <c r="P186" i="70"/>
  <c r="R172" i="70"/>
  <c r="Q26" i="146" l="1"/>
  <c r="Q26" i="155"/>
  <c r="R22" i="146"/>
  <c r="R22" i="155"/>
  <c r="R26" i="146"/>
  <c r="R26" i="155"/>
  <c r="Q22" i="146"/>
  <c r="Q22" i="155"/>
  <c r="R20" i="146"/>
  <c r="R20" i="155"/>
  <c r="Q20" i="146"/>
  <c r="Q20" i="155"/>
  <c r="Q24" i="146"/>
  <c r="Q24" i="155"/>
  <c r="R21" i="146"/>
  <c r="R21" i="155"/>
  <c r="Q23" i="146"/>
  <c r="Q23" i="155"/>
  <c r="Q25" i="146"/>
  <c r="Q25" i="155"/>
  <c r="R25" i="146"/>
  <c r="R25" i="155"/>
  <c r="Q21" i="146"/>
  <c r="Q21" i="155"/>
  <c r="R23" i="146"/>
  <c r="R23" i="155"/>
  <c r="R24" i="146"/>
  <c r="R24" i="155"/>
  <c r="Q190" i="70"/>
  <c r="R189" i="70"/>
  <c r="R190" i="70"/>
  <c r="Q185" i="70"/>
  <c r="Q191" i="70"/>
  <c r="Q187" i="70"/>
  <c r="R185" i="70"/>
  <c r="R191" i="70"/>
  <c r="R187" i="70"/>
  <c r="Q186" i="70"/>
  <c r="Q188" i="70"/>
  <c r="R186" i="70"/>
  <c r="R188" i="70"/>
  <c r="Q189" i="70"/>
  <c r="T172" i="70"/>
  <c r="Q23" i="85" l="1"/>
  <c r="Q23" i="156"/>
  <c r="R22" i="85"/>
  <c r="R22" i="156"/>
  <c r="R24" i="85"/>
  <c r="R24" i="156"/>
  <c r="Q21" i="85"/>
  <c r="Q21" i="156"/>
  <c r="R23" i="85"/>
  <c r="R23" i="156"/>
  <c r="R21" i="85"/>
  <c r="R21" i="156"/>
  <c r="Q22" i="85"/>
  <c r="Q22" i="156"/>
  <c r="Q26" i="85"/>
  <c r="Q26" i="156"/>
  <c r="Q20" i="85"/>
  <c r="Q20" i="156"/>
  <c r="R26" i="85"/>
  <c r="R26" i="156"/>
  <c r="R20" i="85"/>
  <c r="R20" i="156"/>
  <c r="Q25" i="85"/>
  <c r="Q25" i="156"/>
  <c r="Q24" i="85"/>
  <c r="Q24" i="156"/>
  <c r="R25" i="85"/>
  <c r="R25" i="156"/>
  <c r="S185" i="70"/>
  <c r="R20" i="147" s="1"/>
  <c r="S191" i="70"/>
  <c r="R26" i="147" s="1"/>
  <c r="S187" i="70"/>
  <c r="R22" i="147" s="1"/>
  <c r="T185" i="70"/>
  <c r="Q20" i="147" s="1"/>
  <c r="T191" i="70"/>
  <c r="Q26" i="147" s="1"/>
  <c r="T187" i="70"/>
  <c r="Q22" i="147" s="1"/>
  <c r="S186" i="70"/>
  <c r="R21" i="147" s="1"/>
  <c r="S188" i="70"/>
  <c r="R23" i="147" s="1"/>
  <c r="T186" i="70"/>
  <c r="Q21" i="147" s="1"/>
  <c r="T188" i="70"/>
  <c r="Q23" i="147" s="1"/>
  <c r="S189" i="70"/>
  <c r="R24" i="147" s="1"/>
  <c r="T189" i="70"/>
  <c r="Q24" i="147" s="1"/>
  <c r="S190" i="70"/>
  <c r="R25" i="147" s="1"/>
  <c r="T190" i="70"/>
  <c r="Q25" i="147" s="1"/>
  <c r="V172" i="70"/>
  <c r="U187" i="70" l="1"/>
  <c r="R22" i="148" s="1"/>
  <c r="V185" i="70"/>
  <c r="Q20" i="148" s="1"/>
  <c r="V191" i="70"/>
  <c r="Q26" i="148" s="1"/>
  <c r="V187" i="70"/>
  <c r="Q22" i="148" s="1"/>
  <c r="U186" i="70"/>
  <c r="R21" i="148" s="1"/>
  <c r="U188" i="70"/>
  <c r="R23" i="148" s="1"/>
  <c r="V186" i="70"/>
  <c r="Q21" i="148" s="1"/>
  <c r="V188" i="70"/>
  <c r="Q23" i="148" s="1"/>
  <c r="U189" i="70"/>
  <c r="R24" i="148" s="1"/>
  <c r="V189" i="70"/>
  <c r="Q24" i="148" s="1"/>
  <c r="U190" i="70"/>
  <c r="R25" i="148" s="1"/>
  <c r="U191" i="70"/>
  <c r="R26" i="148" s="1"/>
  <c r="V190" i="70"/>
  <c r="Q25" i="148" s="1"/>
  <c r="U185" i="70"/>
  <c r="R20" i="148" s="1"/>
  <c r="X172" i="70"/>
  <c r="X191" i="70" l="1"/>
  <c r="Q26" i="75" s="1"/>
  <c r="X187" i="70"/>
  <c r="Q22" i="75" s="1"/>
  <c r="W186" i="70"/>
  <c r="R21" i="75" s="1"/>
  <c r="W188" i="70"/>
  <c r="R23" i="75" s="1"/>
  <c r="X186" i="70"/>
  <c r="Q21" i="75" s="1"/>
  <c r="X188" i="70"/>
  <c r="W189" i="70"/>
  <c r="R24" i="75" s="1"/>
  <c r="X185" i="70"/>
  <c r="Q20" i="75" s="1"/>
  <c r="X189" i="70"/>
  <c r="Q24" i="75" s="1"/>
  <c r="W190" i="70"/>
  <c r="R25" i="75" s="1"/>
  <c r="X190" i="70"/>
  <c r="Q25" i="75" s="1"/>
  <c r="W185" i="70"/>
  <c r="W191" i="70"/>
  <c r="R26" i="75" s="1"/>
  <c r="W187" i="70"/>
  <c r="R22" i="75" s="1"/>
  <c r="Z172" i="70"/>
  <c r="R20" i="103" l="1"/>
  <c r="R20" i="75"/>
  <c r="Q23" i="103"/>
  <c r="Q23" i="75"/>
  <c r="Y188" i="70"/>
  <c r="Z186" i="70"/>
  <c r="Z188" i="70"/>
  <c r="Y189" i="70"/>
  <c r="Y186" i="70"/>
  <c r="Z189" i="70"/>
  <c r="Z187" i="70"/>
  <c r="Y190" i="70"/>
  <c r="Z190" i="70"/>
  <c r="Y185" i="70"/>
  <c r="Y191" i="70"/>
  <c r="Y187" i="70"/>
  <c r="Z185" i="70"/>
  <c r="Z191" i="70"/>
  <c r="AB172" i="70"/>
  <c r="AA189" i="70" l="1"/>
  <c r="AB188" i="70"/>
  <c r="AB189" i="70"/>
  <c r="AA190" i="70"/>
  <c r="AB190" i="70"/>
  <c r="AA185" i="70"/>
  <c r="AA191" i="70"/>
  <c r="AA187" i="70"/>
  <c r="AB185" i="70"/>
  <c r="AB191" i="70"/>
  <c r="AB187" i="70"/>
  <c r="AA186" i="70"/>
  <c r="AA188" i="70"/>
  <c r="AB186" i="70"/>
  <c r="AD172" i="70"/>
  <c r="R11" i="149" l="1"/>
  <c r="Q9" i="149"/>
  <c r="R14" i="149"/>
  <c r="Q17" i="149"/>
  <c r="R19" i="149"/>
  <c r="Q22" i="149"/>
  <c r="Q21" i="149"/>
  <c r="Q15" i="149"/>
  <c r="Q16" i="149"/>
  <c r="R16" i="149"/>
  <c r="R9" i="149"/>
  <c r="R10" i="149"/>
  <c r="R25" i="149"/>
  <c r="Q19" i="149"/>
  <c r="R17" i="149"/>
  <c r="R23" i="149"/>
  <c r="R15" i="149"/>
  <c r="R12" i="149"/>
  <c r="Q11" i="149"/>
  <c r="R20" i="149"/>
  <c r="Q13" i="149"/>
  <c r="Q25" i="149"/>
  <c r="Q23" i="149"/>
  <c r="R21" i="149"/>
  <c r="R13" i="149"/>
  <c r="Q10" i="149"/>
  <c r="Q14" i="149"/>
  <c r="R26" i="149"/>
  <c r="Q24" i="149"/>
  <c r="Q20" i="149"/>
  <c r="R18" i="149"/>
  <c r="Q18" i="149"/>
  <c r="Q12" i="149"/>
  <c r="R22" i="149"/>
  <c r="R24" i="149"/>
  <c r="Q26" i="149"/>
  <c r="R21" i="103"/>
  <c r="R24" i="103"/>
  <c r="Q24" i="103"/>
  <c r="R23" i="103"/>
  <c r="Q20" i="103"/>
  <c r="R26" i="103"/>
  <c r="Q26" i="103"/>
  <c r="Q21" i="103"/>
  <c r="Q22" i="103"/>
  <c r="R22" i="103"/>
  <c r="R25" i="103"/>
  <c r="Q25" i="103"/>
  <c r="AC190" i="70"/>
  <c r="AD190" i="70"/>
  <c r="AD189" i="70"/>
  <c r="AC185" i="70"/>
  <c r="AC191" i="70"/>
  <c r="AC187" i="70"/>
  <c r="AD185" i="70"/>
  <c r="AD191" i="70"/>
  <c r="AD187" i="70"/>
  <c r="AC186" i="70"/>
  <c r="AC188" i="70"/>
  <c r="AD186" i="70"/>
  <c r="AD188" i="70"/>
  <c r="AC189" i="70"/>
  <c r="W40" i="103"/>
  <c r="W39" i="103"/>
  <c r="T26" i="103"/>
  <c r="S26" i="103"/>
  <c r="T25" i="103"/>
  <c r="S25" i="103"/>
  <c r="T24" i="103"/>
  <c r="S24" i="103"/>
  <c r="T23" i="103"/>
  <c r="S23" i="103"/>
  <c r="T22" i="103"/>
  <c r="S22" i="103"/>
  <c r="X21" i="103"/>
  <c r="W21" i="103"/>
  <c r="T21" i="103"/>
  <c r="S21" i="103"/>
  <c r="X20" i="103"/>
  <c r="W20" i="103"/>
  <c r="T20" i="103"/>
  <c r="S20" i="103"/>
  <c r="X19" i="103"/>
  <c r="W19" i="103"/>
  <c r="T19" i="103"/>
  <c r="S19" i="103"/>
  <c r="X18" i="103"/>
  <c r="W18" i="103"/>
  <c r="T18" i="103"/>
  <c r="S18" i="103"/>
  <c r="X17" i="103"/>
  <c r="W17" i="103"/>
  <c r="T17" i="103"/>
  <c r="S17" i="103"/>
  <c r="X16" i="103"/>
  <c r="W16" i="103"/>
  <c r="T16" i="103"/>
  <c r="S16" i="103"/>
  <c r="X15" i="103"/>
  <c r="W15" i="103"/>
  <c r="X14" i="103"/>
  <c r="W14" i="103"/>
  <c r="T14" i="103"/>
  <c r="S14" i="103"/>
  <c r="X13" i="103"/>
  <c r="W13" i="103"/>
  <c r="T13" i="103"/>
  <c r="S13" i="103"/>
  <c r="X12" i="103"/>
  <c r="W12" i="103"/>
  <c r="X11" i="103"/>
  <c r="W11" i="103"/>
  <c r="T11" i="103"/>
  <c r="S11" i="103"/>
  <c r="X10" i="103"/>
  <c r="W10" i="103"/>
  <c r="T10" i="103"/>
  <c r="S10" i="103"/>
  <c r="X9" i="103"/>
  <c r="W9" i="103"/>
  <c r="T9" i="103"/>
  <c r="S9" i="103"/>
  <c r="R28" i="149" l="1"/>
  <c r="R34" i="149"/>
  <c r="R36" i="149"/>
  <c r="Q36" i="149"/>
  <c r="Q28" i="149"/>
  <c r="Q34" i="149"/>
  <c r="W12" i="143"/>
  <c r="W12" i="148"/>
  <c r="W12" i="147"/>
  <c r="W12" i="146"/>
  <c r="W12" i="145"/>
  <c r="W12" i="144"/>
  <c r="W9" i="143"/>
  <c r="W9" i="148"/>
  <c r="W9" i="147"/>
  <c r="W9" i="146"/>
  <c r="W9" i="145"/>
  <c r="W9" i="144"/>
  <c r="S13" i="143"/>
  <c r="S13" i="148"/>
  <c r="S13" i="147"/>
  <c r="S13" i="146"/>
  <c r="S13" i="145"/>
  <c r="S13" i="144"/>
  <c r="W16" i="143"/>
  <c r="W16" i="148"/>
  <c r="W16" i="147"/>
  <c r="W16" i="146"/>
  <c r="W16" i="145"/>
  <c r="W16" i="144"/>
  <c r="W19" i="143"/>
  <c r="W19" i="148"/>
  <c r="W19" i="147"/>
  <c r="W19" i="146"/>
  <c r="W19" i="145"/>
  <c r="W19" i="144"/>
  <c r="S23" i="143"/>
  <c r="S23" i="148"/>
  <c r="S23" i="147"/>
  <c r="S23" i="146"/>
  <c r="S23" i="145"/>
  <c r="S23" i="144"/>
  <c r="S10" i="143"/>
  <c r="S10" i="148"/>
  <c r="S10" i="147"/>
  <c r="S10" i="146"/>
  <c r="S10" i="145"/>
  <c r="S10" i="144"/>
  <c r="W13" i="143"/>
  <c r="W13" i="148"/>
  <c r="W13" i="147"/>
  <c r="W13" i="146"/>
  <c r="W13" i="145"/>
  <c r="W13" i="144"/>
  <c r="S17" i="143"/>
  <c r="S17" i="148"/>
  <c r="S17" i="147"/>
  <c r="S17" i="146"/>
  <c r="S17" i="145"/>
  <c r="S17" i="144"/>
  <c r="S20" i="143"/>
  <c r="S20" i="148"/>
  <c r="S20" i="147"/>
  <c r="S20" i="146"/>
  <c r="S20" i="145"/>
  <c r="S20" i="144"/>
  <c r="S24" i="143"/>
  <c r="S24" i="148"/>
  <c r="S24" i="147"/>
  <c r="S24" i="146"/>
  <c r="S24" i="145"/>
  <c r="S24" i="144"/>
  <c r="X9" i="143"/>
  <c r="X9" i="148"/>
  <c r="X9" i="147"/>
  <c r="X9" i="146"/>
  <c r="X9" i="145"/>
  <c r="X9" i="144"/>
  <c r="X19" i="143"/>
  <c r="X19" i="148"/>
  <c r="X19" i="147"/>
  <c r="X19" i="146"/>
  <c r="X19" i="145"/>
  <c r="X19" i="144"/>
  <c r="X13" i="143"/>
  <c r="X13" i="148"/>
  <c r="X13" i="147"/>
  <c r="X13" i="146"/>
  <c r="X13" i="145"/>
  <c r="X13" i="144"/>
  <c r="T20" i="143"/>
  <c r="T20" i="148"/>
  <c r="T20" i="147"/>
  <c r="T20" i="146"/>
  <c r="T20" i="145"/>
  <c r="T20" i="144"/>
  <c r="W10" i="143"/>
  <c r="W10" i="148"/>
  <c r="W10" i="147"/>
  <c r="W10" i="146"/>
  <c r="W10" i="145"/>
  <c r="W10" i="144"/>
  <c r="S25" i="143"/>
  <c r="S25" i="148"/>
  <c r="S25" i="147"/>
  <c r="S25" i="146"/>
  <c r="S25" i="145"/>
  <c r="S25" i="144"/>
  <c r="X10" i="143"/>
  <c r="X10" i="148"/>
  <c r="X10" i="147"/>
  <c r="X10" i="146"/>
  <c r="X10" i="145"/>
  <c r="X10" i="144"/>
  <c r="T14" i="143"/>
  <c r="T14" i="148"/>
  <c r="T14" i="147"/>
  <c r="T14" i="146"/>
  <c r="T14" i="145"/>
  <c r="T14" i="144"/>
  <c r="X17" i="143"/>
  <c r="X17" i="148"/>
  <c r="X17" i="147"/>
  <c r="X17" i="146"/>
  <c r="X17" i="145"/>
  <c r="X17" i="144"/>
  <c r="X20" i="143"/>
  <c r="X20" i="148"/>
  <c r="X20" i="147"/>
  <c r="X20" i="146"/>
  <c r="X20" i="145"/>
  <c r="X20" i="144"/>
  <c r="T25" i="143"/>
  <c r="T25" i="148"/>
  <c r="T25" i="147"/>
  <c r="T25" i="146"/>
  <c r="T25" i="145"/>
  <c r="T25" i="144"/>
  <c r="W20" i="143"/>
  <c r="W20" i="148"/>
  <c r="W20" i="147"/>
  <c r="W20" i="146"/>
  <c r="W20" i="145"/>
  <c r="W20" i="144"/>
  <c r="S11" i="143"/>
  <c r="S11" i="148"/>
  <c r="S11" i="147"/>
  <c r="S11" i="146"/>
  <c r="S11" i="145"/>
  <c r="S11" i="144"/>
  <c r="W14" i="143"/>
  <c r="W14" i="148"/>
  <c r="W14" i="147"/>
  <c r="W14" i="146"/>
  <c r="W14" i="145"/>
  <c r="W14" i="144"/>
  <c r="S18" i="143"/>
  <c r="S18" i="148"/>
  <c r="S18" i="147"/>
  <c r="S18" i="146"/>
  <c r="S18" i="145"/>
  <c r="S18" i="144"/>
  <c r="S21" i="143"/>
  <c r="S21" i="148"/>
  <c r="S21" i="147"/>
  <c r="S21" i="146"/>
  <c r="S21" i="145"/>
  <c r="S21" i="144"/>
  <c r="S26" i="143"/>
  <c r="S26" i="148"/>
  <c r="S26" i="147"/>
  <c r="S26" i="146"/>
  <c r="S26" i="145"/>
  <c r="S26" i="144"/>
  <c r="T18" i="148"/>
  <c r="T18" i="147"/>
  <c r="T18" i="146"/>
  <c r="T18" i="145"/>
  <c r="T18" i="144"/>
  <c r="T18" i="143"/>
  <c r="T21" i="143"/>
  <c r="T21" i="148"/>
  <c r="T21" i="147"/>
  <c r="T21" i="146"/>
  <c r="T21" i="145"/>
  <c r="T21" i="144"/>
  <c r="T26" i="143"/>
  <c r="T26" i="148"/>
  <c r="T26" i="147"/>
  <c r="T26" i="146"/>
  <c r="T26" i="145"/>
  <c r="T26" i="144"/>
  <c r="T23" i="148"/>
  <c r="T23" i="147"/>
  <c r="T23" i="146"/>
  <c r="T23" i="145"/>
  <c r="T23" i="144"/>
  <c r="T23" i="143"/>
  <c r="T17" i="143"/>
  <c r="T17" i="148"/>
  <c r="T17" i="147"/>
  <c r="T17" i="146"/>
  <c r="T17" i="145"/>
  <c r="T17" i="144"/>
  <c r="S14" i="143"/>
  <c r="S14" i="148"/>
  <c r="S14" i="147"/>
  <c r="S14" i="146"/>
  <c r="S14" i="145"/>
  <c r="S14" i="144"/>
  <c r="X14" i="148"/>
  <c r="X14" i="147"/>
  <c r="X14" i="146"/>
  <c r="X14" i="145"/>
  <c r="X14" i="144"/>
  <c r="X14" i="143"/>
  <c r="W11" i="143"/>
  <c r="W11" i="148"/>
  <c r="W11" i="147"/>
  <c r="W11" i="146"/>
  <c r="W11" i="145"/>
  <c r="W11" i="144"/>
  <c r="W15" i="143"/>
  <c r="W15" i="148"/>
  <c r="W15" i="147"/>
  <c r="W15" i="146"/>
  <c r="W15" i="145"/>
  <c r="W15" i="144"/>
  <c r="W18" i="143"/>
  <c r="W18" i="148"/>
  <c r="W18" i="147"/>
  <c r="W18" i="146"/>
  <c r="W18" i="145"/>
  <c r="W18" i="144"/>
  <c r="W21" i="143"/>
  <c r="W21" i="148"/>
  <c r="W21" i="147"/>
  <c r="W21" i="146"/>
  <c r="W21" i="145"/>
  <c r="W21" i="144"/>
  <c r="X16" i="143"/>
  <c r="X16" i="148"/>
  <c r="X16" i="147"/>
  <c r="X16" i="146"/>
  <c r="X16" i="145"/>
  <c r="X16" i="144"/>
  <c r="T10" i="143"/>
  <c r="T10" i="148"/>
  <c r="T10" i="147"/>
  <c r="T10" i="146"/>
  <c r="T10" i="145"/>
  <c r="T10" i="144"/>
  <c r="T24" i="143"/>
  <c r="T24" i="148"/>
  <c r="T24" i="147"/>
  <c r="T24" i="146"/>
  <c r="T24" i="145"/>
  <c r="T24" i="144"/>
  <c r="W17" i="143"/>
  <c r="W17" i="148"/>
  <c r="W17" i="147"/>
  <c r="W17" i="146"/>
  <c r="W17" i="145"/>
  <c r="W17" i="144"/>
  <c r="T11" i="148"/>
  <c r="T11" i="147"/>
  <c r="T11" i="146"/>
  <c r="T11" i="145"/>
  <c r="T11" i="144"/>
  <c r="T11" i="143"/>
  <c r="X11" i="143"/>
  <c r="X11" i="148"/>
  <c r="X11" i="147"/>
  <c r="X11" i="146"/>
  <c r="X11" i="145"/>
  <c r="X11" i="144"/>
  <c r="X15" i="143"/>
  <c r="X15" i="148"/>
  <c r="X15" i="147"/>
  <c r="X15" i="146"/>
  <c r="X15" i="145"/>
  <c r="X15" i="144"/>
  <c r="X18" i="143"/>
  <c r="X18" i="148"/>
  <c r="X18" i="147"/>
  <c r="X18" i="146"/>
  <c r="X18" i="145"/>
  <c r="X18" i="144"/>
  <c r="X21" i="143"/>
  <c r="X21" i="148"/>
  <c r="X21" i="147"/>
  <c r="X21" i="146"/>
  <c r="X21" i="145"/>
  <c r="X21" i="144"/>
  <c r="T13" i="143"/>
  <c r="T13" i="148"/>
  <c r="T13" i="147"/>
  <c r="T13" i="146"/>
  <c r="T13" i="145"/>
  <c r="T13" i="144"/>
  <c r="S9" i="143"/>
  <c r="S9" i="148"/>
  <c r="S9" i="147"/>
  <c r="S9" i="146"/>
  <c r="S9" i="145"/>
  <c r="S9" i="144"/>
  <c r="S16" i="143"/>
  <c r="S16" i="148"/>
  <c r="S16" i="147"/>
  <c r="S16" i="146"/>
  <c r="S16" i="145"/>
  <c r="S16" i="144"/>
  <c r="S19" i="143"/>
  <c r="S19" i="148"/>
  <c r="S19" i="147"/>
  <c r="S19" i="146"/>
  <c r="S19" i="145"/>
  <c r="S19" i="144"/>
  <c r="S22" i="143"/>
  <c r="S22" i="148"/>
  <c r="S22" i="147"/>
  <c r="S22" i="146"/>
  <c r="S22" i="145"/>
  <c r="S22" i="144"/>
  <c r="T9" i="143"/>
  <c r="T9" i="148"/>
  <c r="T9" i="147"/>
  <c r="T9" i="146"/>
  <c r="T9" i="145"/>
  <c r="T9" i="144"/>
  <c r="X12" i="143"/>
  <c r="X12" i="148"/>
  <c r="X12" i="147"/>
  <c r="X12" i="146"/>
  <c r="X12" i="145"/>
  <c r="X12" i="144"/>
  <c r="T16" i="143"/>
  <c r="T16" i="148"/>
  <c r="T16" i="147"/>
  <c r="T16" i="146"/>
  <c r="T16" i="145"/>
  <c r="T16" i="144"/>
  <c r="T19" i="143"/>
  <c r="T19" i="148"/>
  <c r="T19" i="147"/>
  <c r="T19" i="146"/>
  <c r="T19" i="145"/>
  <c r="T19" i="144"/>
  <c r="T22" i="143"/>
  <c r="T22" i="148"/>
  <c r="T22" i="147"/>
  <c r="T22" i="146"/>
  <c r="T22" i="145"/>
  <c r="T22" i="144"/>
  <c r="W11" i="85"/>
  <c r="W11" i="75"/>
  <c r="W11" i="84"/>
  <c r="W11" i="83"/>
  <c r="W15" i="75"/>
  <c r="W15" i="84"/>
  <c r="W15" i="85"/>
  <c r="W15" i="83"/>
  <c r="W18" i="75"/>
  <c r="W18" i="85"/>
  <c r="W18" i="84"/>
  <c r="W18" i="83"/>
  <c r="S21" i="75"/>
  <c r="S21" i="84"/>
  <c r="S21" i="85"/>
  <c r="S21" i="83"/>
  <c r="X11" i="85"/>
  <c r="X11" i="75"/>
  <c r="X11" i="84"/>
  <c r="X11" i="83"/>
  <c r="X15" i="84"/>
  <c r="X15" i="85"/>
  <c r="X15" i="75"/>
  <c r="X15" i="83"/>
  <c r="X18" i="75"/>
  <c r="X18" i="85"/>
  <c r="X18" i="84"/>
  <c r="X18" i="83"/>
  <c r="T21" i="84"/>
  <c r="T21" i="85"/>
  <c r="T21" i="75"/>
  <c r="T21" i="83"/>
  <c r="S9" i="75"/>
  <c r="S9" i="85"/>
  <c r="S9" i="84"/>
  <c r="S9" i="83"/>
  <c r="W12" i="75"/>
  <c r="W12" i="84"/>
  <c r="W12" i="85"/>
  <c r="W12" i="83"/>
  <c r="S16" i="75"/>
  <c r="S16" i="85"/>
  <c r="S16" i="84"/>
  <c r="S16" i="83"/>
  <c r="S19" i="85"/>
  <c r="S19" i="84"/>
  <c r="S19" i="75"/>
  <c r="S19" i="83"/>
  <c r="W21" i="75"/>
  <c r="W21" i="84"/>
  <c r="W21" i="85"/>
  <c r="W21" i="83"/>
  <c r="S24" i="75"/>
  <c r="S24" i="85"/>
  <c r="S24" i="84"/>
  <c r="S24" i="83"/>
  <c r="T9" i="75"/>
  <c r="T9" i="85"/>
  <c r="T9" i="84"/>
  <c r="T9" i="83"/>
  <c r="X12" i="75"/>
  <c r="X12" i="85"/>
  <c r="X12" i="84"/>
  <c r="X12" i="83"/>
  <c r="T16" i="75"/>
  <c r="T16" i="85"/>
  <c r="T16" i="84"/>
  <c r="T16" i="83"/>
  <c r="T19" i="85"/>
  <c r="T19" i="84"/>
  <c r="T19" i="75"/>
  <c r="T19" i="83"/>
  <c r="X21" i="75"/>
  <c r="X21" i="84"/>
  <c r="X21" i="85"/>
  <c r="X21" i="83"/>
  <c r="T24" i="75"/>
  <c r="T24" i="84"/>
  <c r="T24" i="85"/>
  <c r="T24" i="83"/>
  <c r="W9" i="75"/>
  <c r="W9" i="85"/>
  <c r="W9" i="84"/>
  <c r="W9" i="83"/>
  <c r="S13" i="85"/>
  <c r="S13" i="84"/>
  <c r="S13" i="75"/>
  <c r="S13" i="83"/>
  <c r="W16" i="85"/>
  <c r="W16" i="84"/>
  <c r="W16" i="75"/>
  <c r="W16" i="83"/>
  <c r="W19" i="84"/>
  <c r="W19" i="85"/>
  <c r="W19" i="75"/>
  <c r="W19" i="83"/>
  <c r="S25" i="85"/>
  <c r="S25" i="84"/>
  <c r="S25" i="75"/>
  <c r="S25" i="83"/>
  <c r="X9" i="75"/>
  <c r="X9" i="85"/>
  <c r="X9" i="84"/>
  <c r="X9" i="83"/>
  <c r="X16" i="85"/>
  <c r="X16" i="84"/>
  <c r="X16" i="75"/>
  <c r="X16" i="83"/>
  <c r="X19" i="84"/>
  <c r="X19" i="75"/>
  <c r="X19" i="85"/>
  <c r="X19" i="83"/>
  <c r="T25" i="85"/>
  <c r="T25" i="84"/>
  <c r="T25" i="75"/>
  <c r="T25" i="83"/>
  <c r="S10" i="75"/>
  <c r="S10" i="85"/>
  <c r="S10" i="84"/>
  <c r="S10" i="83"/>
  <c r="W13" i="84"/>
  <c r="W13" i="85"/>
  <c r="W13" i="75"/>
  <c r="W13" i="83"/>
  <c r="S17" i="75"/>
  <c r="S17" i="85"/>
  <c r="S17" i="84"/>
  <c r="S17" i="83"/>
  <c r="S20" i="85"/>
  <c r="S20" i="84"/>
  <c r="S20" i="75"/>
  <c r="S20" i="83"/>
  <c r="S22" i="85"/>
  <c r="S22" i="84"/>
  <c r="S22" i="75"/>
  <c r="S22" i="83"/>
  <c r="T10" i="75"/>
  <c r="T10" i="85"/>
  <c r="T10" i="84"/>
  <c r="T10" i="83"/>
  <c r="X13" i="84"/>
  <c r="X13" i="85"/>
  <c r="X13" i="75"/>
  <c r="X13" i="83"/>
  <c r="T17" i="75"/>
  <c r="T17" i="85"/>
  <c r="T17" i="84"/>
  <c r="T17" i="83"/>
  <c r="T20" i="85"/>
  <c r="T20" i="84"/>
  <c r="T20" i="75"/>
  <c r="T20" i="83"/>
  <c r="T22" i="85"/>
  <c r="T22" i="84"/>
  <c r="T22" i="75"/>
  <c r="T22" i="83"/>
  <c r="T11" i="85"/>
  <c r="T11" i="84"/>
  <c r="T11" i="75"/>
  <c r="T11" i="83"/>
  <c r="X14" i="84"/>
  <c r="X14" i="85"/>
  <c r="X14" i="75"/>
  <c r="X14" i="83"/>
  <c r="T18" i="75"/>
  <c r="T18" i="84"/>
  <c r="T18" i="85"/>
  <c r="T18" i="83"/>
  <c r="T23" i="75"/>
  <c r="T23" i="85"/>
  <c r="T23" i="84"/>
  <c r="T23" i="83"/>
  <c r="T13" i="85"/>
  <c r="T13" i="84"/>
  <c r="T13" i="75"/>
  <c r="T13" i="83"/>
  <c r="W10" i="85"/>
  <c r="W10" i="75"/>
  <c r="W10" i="84"/>
  <c r="W10" i="83"/>
  <c r="S14" i="75"/>
  <c r="S14" i="85"/>
  <c r="S14" i="84"/>
  <c r="S14" i="83"/>
  <c r="W17" i="85"/>
  <c r="W17" i="75"/>
  <c r="W17" i="84"/>
  <c r="W17" i="83"/>
  <c r="W20" i="84"/>
  <c r="W20" i="85"/>
  <c r="W20" i="75"/>
  <c r="W20" i="83"/>
  <c r="S26" i="85"/>
  <c r="S26" i="84"/>
  <c r="S26" i="75"/>
  <c r="S26" i="83"/>
  <c r="X10" i="85"/>
  <c r="X10" i="75"/>
  <c r="X10" i="84"/>
  <c r="X10" i="83"/>
  <c r="T14" i="84"/>
  <c r="T14" i="75"/>
  <c r="T14" i="85"/>
  <c r="T14" i="83"/>
  <c r="X17" i="85"/>
  <c r="X17" i="75"/>
  <c r="X17" i="84"/>
  <c r="X17" i="83"/>
  <c r="X20" i="84"/>
  <c r="X20" i="75"/>
  <c r="X20" i="85"/>
  <c r="X20" i="83"/>
  <c r="T26" i="85"/>
  <c r="T26" i="84"/>
  <c r="T26" i="75"/>
  <c r="T26" i="83"/>
  <c r="S11" i="85"/>
  <c r="S11" i="84"/>
  <c r="S11" i="75"/>
  <c r="S11" i="83"/>
  <c r="W14" i="84"/>
  <c r="W14" i="85"/>
  <c r="W14" i="75"/>
  <c r="W14" i="83"/>
  <c r="S18" i="75"/>
  <c r="S18" i="84"/>
  <c r="S18" i="85"/>
  <c r="S18" i="83"/>
  <c r="S23" i="75"/>
  <c r="S23" i="85"/>
  <c r="S23" i="84"/>
  <c r="S23" i="83"/>
  <c r="W41" i="103"/>
  <c r="X28" i="103"/>
  <c r="X27" i="103" s="1"/>
  <c r="D33" i="103"/>
  <c r="X34" i="103"/>
  <c r="C33" i="103"/>
  <c r="W34" i="103"/>
  <c r="W28" i="103"/>
  <c r="C35" i="103"/>
  <c r="W36" i="103"/>
  <c r="I36" i="103"/>
  <c r="X36" i="103"/>
  <c r="J36" i="103"/>
  <c r="D35" i="103"/>
  <c r="Q29" i="149" l="1"/>
  <c r="Q27" i="149"/>
  <c r="R29" i="149"/>
  <c r="R27" i="149"/>
  <c r="X34" i="144"/>
  <c r="X28" i="144"/>
  <c r="W28" i="144"/>
  <c r="W34" i="144"/>
  <c r="X34" i="147"/>
  <c r="X28" i="147"/>
  <c r="X34" i="145"/>
  <c r="X28" i="145"/>
  <c r="W28" i="145"/>
  <c r="W34" i="145"/>
  <c r="W34" i="147"/>
  <c r="W28" i="147"/>
  <c r="X34" i="148"/>
  <c r="X28" i="148"/>
  <c r="X28" i="146"/>
  <c r="X34" i="146"/>
  <c r="W28" i="146"/>
  <c r="W34" i="146"/>
  <c r="W34" i="148"/>
  <c r="W28" i="148"/>
  <c r="X34" i="143"/>
  <c r="X28" i="143"/>
  <c r="W28" i="143"/>
  <c r="W34" i="143"/>
  <c r="X36" i="144"/>
  <c r="W36" i="144"/>
  <c r="X36" i="145"/>
  <c r="W36" i="145"/>
  <c r="X36" i="146"/>
  <c r="W36" i="146"/>
  <c r="X36" i="147"/>
  <c r="W36" i="147"/>
  <c r="X36" i="148"/>
  <c r="W36" i="148"/>
  <c r="X36" i="143"/>
  <c r="W36" i="143"/>
  <c r="W36" i="75"/>
  <c r="W36" i="85"/>
  <c r="W36" i="84"/>
  <c r="W36" i="83"/>
  <c r="X34" i="84"/>
  <c r="X28" i="84"/>
  <c r="X36" i="85"/>
  <c r="X28" i="85"/>
  <c r="X34" i="85"/>
  <c r="X36" i="75"/>
  <c r="X28" i="75"/>
  <c r="X34" i="75"/>
  <c r="W34" i="85"/>
  <c r="W28" i="85"/>
  <c r="X36" i="84"/>
  <c r="W34" i="75"/>
  <c r="W28" i="75"/>
  <c r="W28" i="84"/>
  <c r="W34" i="84"/>
  <c r="X34" i="83"/>
  <c r="W34" i="83"/>
  <c r="X36" i="83"/>
  <c r="W29" i="103"/>
  <c r="W27" i="103"/>
  <c r="X29" i="103"/>
  <c r="W27" i="147" l="1"/>
  <c r="W29" i="147"/>
  <c r="W27" i="143"/>
  <c r="W29" i="143"/>
  <c r="X27" i="143"/>
  <c r="X29" i="143"/>
  <c r="W29" i="148"/>
  <c r="W27" i="148"/>
  <c r="X27" i="145"/>
  <c r="X29" i="145"/>
  <c r="X27" i="147"/>
  <c r="X29" i="147"/>
  <c r="W27" i="146"/>
  <c r="W29" i="146"/>
  <c r="W29" i="145"/>
  <c r="W27" i="145"/>
  <c r="X27" i="146"/>
  <c r="X29" i="146"/>
  <c r="W27" i="144"/>
  <c r="W29" i="144"/>
  <c r="X27" i="148"/>
  <c r="X29" i="148"/>
  <c r="X27" i="144"/>
  <c r="X29" i="144"/>
  <c r="W27" i="75"/>
  <c r="W29" i="75"/>
  <c r="X27" i="75"/>
  <c r="X29" i="75"/>
  <c r="X27" i="85"/>
  <c r="X29" i="85"/>
  <c r="W27" i="84"/>
  <c r="W29" i="84"/>
  <c r="W27" i="85"/>
  <c r="W29" i="85"/>
  <c r="X27" i="84"/>
  <c r="X29" i="84"/>
  <c r="W40" i="85" l="1"/>
  <c r="W39" i="85"/>
  <c r="W41" i="85" s="1"/>
  <c r="W40" i="84"/>
  <c r="W39" i="84"/>
  <c r="W41" i="84" s="1"/>
  <c r="W40" i="83"/>
  <c r="W39" i="83"/>
  <c r="W41" i="83" s="1"/>
  <c r="U3" i="83"/>
  <c r="W28" i="83" l="1"/>
  <c r="W27" i="83" s="1"/>
  <c r="X28" i="83"/>
  <c r="X27" i="83" s="1"/>
  <c r="X29" i="83" l="1"/>
  <c r="W29" i="83"/>
  <c r="Q30" i="57" l="1"/>
  <c r="J30" i="57"/>
  <c r="C30" i="57"/>
  <c r="A1" i="57"/>
  <c r="Q4" i="57"/>
  <c r="Q38" i="57" s="1"/>
  <c r="J4" i="57"/>
  <c r="J38" i="57" s="1"/>
  <c r="C4" i="57"/>
  <c r="C38" i="57" s="1"/>
  <c r="G26" i="57" l="1"/>
  <c r="H26" i="57"/>
  <c r="AP299" i="44"/>
  <c r="AO299" i="44"/>
  <c r="AN299" i="44"/>
  <c r="AM299" i="44"/>
  <c r="AL299" i="44"/>
  <c r="AK299" i="44"/>
  <c r="AJ299" i="44"/>
  <c r="AI299" i="44"/>
  <c r="AH299" i="44"/>
  <c r="AG299" i="44"/>
  <c r="AF299" i="44"/>
  <c r="AE299" i="44"/>
  <c r="AD299" i="44"/>
  <c r="AC299" i="44"/>
  <c r="AB299" i="44"/>
  <c r="AP298" i="44"/>
  <c r="AO298" i="44"/>
  <c r="AN298" i="44"/>
  <c r="AM298" i="44"/>
  <c r="AL298" i="44"/>
  <c r="AK298" i="44"/>
  <c r="AJ298" i="44"/>
  <c r="AI298" i="44"/>
  <c r="AH298" i="44"/>
  <c r="AG298" i="44"/>
  <c r="AF298" i="44"/>
  <c r="AE298" i="44"/>
  <c r="AD298" i="44"/>
  <c r="AC298" i="44"/>
  <c r="AB298" i="44"/>
  <c r="AP297" i="44"/>
  <c r="AO297" i="44"/>
  <c r="AN297" i="44"/>
  <c r="AM297" i="44"/>
  <c r="AL297" i="44"/>
  <c r="AK297" i="44"/>
  <c r="AJ297" i="44"/>
  <c r="AI297" i="44"/>
  <c r="AH297" i="44"/>
  <c r="AG297" i="44"/>
  <c r="AF297" i="44"/>
  <c r="AE297" i="44"/>
  <c r="AD297" i="44"/>
  <c r="AC297" i="44"/>
  <c r="AB297" i="44"/>
  <c r="AP296" i="44"/>
  <c r="AO296" i="44"/>
  <c r="AN296" i="44"/>
  <c r="AM296" i="44"/>
  <c r="AL296" i="44"/>
  <c r="AK296" i="44"/>
  <c r="AJ296" i="44"/>
  <c r="AI296" i="44"/>
  <c r="AH296" i="44"/>
  <c r="AG296" i="44"/>
  <c r="AF296" i="44"/>
  <c r="AE296" i="44"/>
  <c r="AD296" i="44"/>
  <c r="AC296" i="44"/>
  <c r="AB296" i="44"/>
  <c r="E24" i="69" l="1"/>
  <c r="E21" i="70"/>
  <c r="G24" i="69"/>
  <c r="G21" i="70"/>
  <c r="AA20" i="26"/>
  <c r="Z20" i="26"/>
  <c r="Y20" i="26"/>
  <c r="X20" i="26"/>
  <c r="W20" i="26"/>
  <c r="V20" i="26"/>
  <c r="U20" i="26"/>
  <c r="T20" i="26"/>
  <c r="S20" i="26"/>
  <c r="CF40" i="26" l="1"/>
  <c r="CE40" i="26"/>
  <c r="CD40" i="26"/>
  <c r="CC40" i="26"/>
  <c r="CA40" i="26" l="1"/>
  <c r="BZ40" i="26"/>
  <c r="BY40" i="26"/>
  <c r="BX40" i="26"/>
  <c r="B6" i="69" l="1"/>
  <c r="G50" i="34"/>
  <c r="I50" i="34" s="1"/>
  <c r="G49" i="34"/>
  <c r="I49" i="34" s="1"/>
  <c r="B36" i="69" s="1"/>
  <c r="H97" i="69" s="1"/>
  <c r="H99" i="69" l="1"/>
  <c r="N107" i="78" l="1"/>
  <c r="N106" i="78"/>
  <c r="N105" i="78"/>
  <c r="N104" i="78"/>
  <c r="N103" i="78"/>
  <c r="N102" i="78"/>
  <c r="N101" i="78"/>
  <c r="N100" i="78"/>
  <c r="N99" i="78"/>
  <c r="N98" i="78"/>
  <c r="N97" i="78"/>
  <c r="N96" i="78"/>
  <c r="N95" i="78"/>
  <c r="N94" i="78"/>
  <c r="N93" i="78"/>
  <c r="N92" i="78"/>
  <c r="N91" i="78"/>
  <c r="N90" i="78"/>
  <c r="P88" i="78"/>
  <c r="A78" i="78"/>
  <c r="A77" i="78"/>
  <c r="A76" i="78"/>
  <c r="A75" i="78"/>
  <c r="A74" i="78"/>
  <c r="A73" i="78"/>
  <c r="A72" i="78"/>
  <c r="A25" i="78"/>
  <c r="B19" i="78"/>
  <c r="F82" i="72"/>
  <c r="B82" i="72"/>
  <c r="I98" i="70"/>
  <c r="I101" i="70" s="1"/>
  <c r="I103" i="70" s="1"/>
  <c r="H98" i="70"/>
  <c r="G98" i="70"/>
  <c r="G101" i="70" s="1"/>
  <c r="G103" i="70" s="1"/>
  <c r="F98" i="70"/>
  <c r="C30" i="78"/>
  <c r="C31" i="78"/>
  <c r="J93" i="78" l="1"/>
  <c r="J96" i="78"/>
  <c r="B20" i="78"/>
  <c r="F90" i="72"/>
  <c r="E90" i="72"/>
  <c r="G90" i="72" s="1"/>
  <c r="H99" i="70"/>
  <c r="M61" i="70"/>
  <c r="O61" i="70" s="1"/>
  <c r="K61" i="70"/>
  <c r="I99" i="70"/>
  <c r="G99" i="70"/>
  <c r="H60" i="70"/>
  <c r="M102" i="78"/>
  <c r="L106" i="78"/>
  <c r="L103" i="78"/>
  <c r="L90" i="78"/>
  <c r="M101" i="78"/>
  <c r="L99" i="78"/>
  <c r="L92" i="78"/>
  <c r="M94" i="78"/>
  <c r="M104" i="78"/>
  <c r="M105" i="78"/>
  <c r="M92" i="78"/>
  <c r="L93" i="78"/>
  <c r="M91" i="78"/>
  <c r="L101" i="78"/>
  <c r="M98" i="78"/>
  <c r="L107" i="78"/>
  <c r="L95" i="78"/>
  <c r="L100" i="78"/>
  <c r="C33" i="78"/>
  <c r="M90" i="78"/>
  <c r="M106" i="78"/>
  <c r="L94" i="78"/>
  <c r="C32" i="78"/>
  <c r="L104" i="78"/>
  <c r="M96" i="78"/>
  <c r="M99" i="78"/>
  <c r="M95" i="78"/>
  <c r="L91" i="78"/>
  <c r="L98" i="78"/>
  <c r="M93" i="78"/>
  <c r="M97" i="78"/>
  <c r="L105" i="78"/>
  <c r="L102" i="78"/>
  <c r="L97" i="78"/>
  <c r="M107" i="78"/>
  <c r="M103" i="78"/>
  <c r="L96" i="78"/>
  <c r="M100" i="78"/>
  <c r="O105" i="78" l="1"/>
  <c r="Q105" i="78" s="1"/>
  <c r="P101" i="78"/>
  <c r="R101" i="78" s="1"/>
  <c r="P102" i="78"/>
  <c r="R102" i="78" s="1"/>
  <c r="P103" i="78"/>
  <c r="R103" i="78" s="1"/>
  <c r="P97" i="78"/>
  <c r="R97" i="78" s="1"/>
  <c r="P106" i="78"/>
  <c r="R106" i="78" s="1"/>
  <c r="P104" i="78"/>
  <c r="R104" i="78" s="1"/>
  <c r="O100" i="78"/>
  <c r="Q100" i="78" s="1"/>
  <c r="P107" i="78"/>
  <c r="R107" i="78" s="1"/>
  <c r="O98" i="78"/>
  <c r="Q98" i="78" s="1"/>
  <c r="O104" i="78"/>
  <c r="Q104" i="78" s="1"/>
  <c r="O103" i="78"/>
  <c r="Q103" i="78" s="1"/>
  <c r="P105" i="78"/>
  <c r="R105" i="78" s="1"/>
  <c r="O97" i="78"/>
  <c r="Q97" i="78" s="1"/>
  <c r="T15" i="103"/>
  <c r="P98" i="78"/>
  <c r="R98" i="78" s="1"/>
  <c r="H90" i="72"/>
  <c r="P100" i="78"/>
  <c r="R100" i="78" s="1"/>
  <c r="O102" i="78"/>
  <c r="Q102" i="78" s="1"/>
  <c r="O101" i="78"/>
  <c r="Q101" i="78" s="1"/>
  <c r="O106" i="78"/>
  <c r="Q106" i="78" s="1"/>
  <c r="O107" i="78"/>
  <c r="Q107" i="78" s="1"/>
  <c r="T15" i="156" l="1"/>
  <c r="T15" i="155"/>
  <c r="T15" i="152"/>
  <c r="T15" i="154"/>
  <c r="T15" i="153"/>
  <c r="T15" i="149"/>
  <c r="T15" i="151"/>
  <c r="T15" i="147"/>
  <c r="T15" i="148"/>
  <c r="T15" i="145"/>
  <c r="T15" i="146"/>
  <c r="T15" i="143"/>
  <c r="T15" i="144"/>
  <c r="T15" i="83"/>
  <c r="T15" i="85"/>
  <c r="T15" i="75"/>
  <c r="T15" i="84"/>
  <c r="V24" i="103"/>
  <c r="U26" i="103"/>
  <c r="V19" i="103"/>
  <c r="U16" i="103"/>
  <c r="U24" i="103"/>
  <c r="U20" i="103"/>
  <c r="U17" i="103"/>
  <c r="V22" i="103"/>
  <c r="V17" i="103"/>
  <c r="V16" i="103"/>
  <c r="U21" i="103"/>
  <c r="U25" i="103"/>
  <c r="U22" i="103"/>
  <c r="V23" i="103"/>
  <c r="S15" i="103"/>
  <c r="U23" i="103"/>
  <c r="I51" i="78"/>
  <c r="I64" i="78" s="1"/>
  <c r="I50" i="78"/>
  <c r="I63" i="78" s="1"/>
  <c r="C34" i="78"/>
  <c r="U20" i="155" l="1"/>
  <c r="U20" i="156"/>
  <c r="V23" i="156"/>
  <c r="V23" i="155"/>
  <c r="V19" i="156"/>
  <c r="V19" i="155"/>
  <c r="U17" i="155"/>
  <c r="U17" i="156"/>
  <c r="U23" i="156"/>
  <c r="U23" i="155"/>
  <c r="S15" i="156"/>
  <c r="S15" i="155"/>
  <c r="U22" i="156"/>
  <c r="U22" i="155"/>
  <c r="U25" i="155"/>
  <c r="U25" i="156"/>
  <c r="U21" i="156"/>
  <c r="U21" i="155"/>
  <c r="U16" i="156"/>
  <c r="U16" i="155"/>
  <c r="U26" i="156"/>
  <c r="U26" i="155"/>
  <c r="V24" i="156"/>
  <c r="V24" i="155"/>
  <c r="V16" i="155"/>
  <c r="V16" i="156"/>
  <c r="V17" i="156"/>
  <c r="V17" i="155"/>
  <c r="U24" i="156"/>
  <c r="U24" i="155"/>
  <c r="V22" i="155"/>
  <c r="V22" i="156"/>
  <c r="V24" i="152"/>
  <c r="V24" i="154"/>
  <c r="V24" i="153"/>
  <c r="U21" i="152"/>
  <c r="U21" i="154"/>
  <c r="U21" i="153"/>
  <c r="V17" i="152"/>
  <c r="V17" i="154"/>
  <c r="V17" i="153"/>
  <c r="V22" i="152"/>
  <c r="V22" i="154"/>
  <c r="V22" i="153"/>
  <c r="U22" i="152"/>
  <c r="U22" i="154"/>
  <c r="U22" i="153"/>
  <c r="U17" i="152"/>
  <c r="U17" i="154"/>
  <c r="U17" i="153"/>
  <c r="U20" i="152"/>
  <c r="U20" i="154"/>
  <c r="U20" i="153"/>
  <c r="U24" i="152"/>
  <c r="U24" i="154"/>
  <c r="U24" i="153"/>
  <c r="U23" i="152"/>
  <c r="U23" i="154"/>
  <c r="U23" i="153"/>
  <c r="U16" i="152"/>
  <c r="U16" i="154"/>
  <c r="U16" i="153"/>
  <c r="S15" i="152"/>
  <c r="S15" i="154"/>
  <c r="S15" i="153"/>
  <c r="V19" i="152"/>
  <c r="V19" i="154"/>
  <c r="V19" i="153"/>
  <c r="V23" i="152"/>
  <c r="V23" i="154"/>
  <c r="V23" i="153"/>
  <c r="U26" i="152"/>
  <c r="U26" i="154"/>
  <c r="U26" i="153"/>
  <c r="U25" i="152"/>
  <c r="U25" i="154"/>
  <c r="U25" i="153"/>
  <c r="V16" i="152"/>
  <c r="V16" i="154"/>
  <c r="V16" i="153"/>
  <c r="U21" i="149"/>
  <c r="U21" i="151"/>
  <c r="V16" i="149"/>
  <c r="V16" i="151"/>
  <c r="V17" i="149"/>
  <c r="V17" i="151"/>
  <c r="V19" i="149"/>
  <c r="V19" i="151"/>
  <c r="U25" i="149"/>
  <c r="U25" i="151"/>
  <c r="V22" i="149"/>
  <c r="V22" i="151"/>
  <c r="U23" i="149"/>
  <c r="U23" i="151"/>
  <c r="S15" i="149"/>
  <c r="S15" i="151"/>
  <c r="U26" i="149"/>
  <c r="U26" i="151"/>
  <c r="U17" i="149"/>
  <c r="U17" i="151"/>
  <c r="U20" i="149"/>
  <c r="U20" i="151"/>
  <c r="U24" i="149"/>
  <c r="U24" i="151"/>
  <c r="U16" i="149"/>
  <c r="U16" i="151"/>
  <c r="V23" i="149"/>
  <c r="V23" i="151"/>
  <c r="U22" i="149"/>
  <c r="U22" i="151"/>
  <c r="V24" i="149"/>
  <c r="V24" i="151"/>
  <c r="U22" i="143"/>
  <c r="U22" i="144"/>
  <c r="U22" i="84"/>
  <c r="U22" i="145"/>
  <c r="U22" i="146"/>
  <c r="U22" i="85"/>
  <c r="U22" i="147"/>
  <c r="U22" i="148"/>
  <c r="U22" i="75"/>
  <c r="V24" i="144"/>
  <c r="V24" i="84"/>
  <c r="V24" i="145"/>
  <c r="V24" i="146"/>
  <c r="V24" i="85"/>
  <c r="V24" i="147"/>
  <c r="V24" i="148"/>
  <c r="V24" i="75"/>
  <c r="V24" i="143"/>
  <c r="U25" i="143"/>
  <c r="U25" i="144"/>
  <c r="U25" i="84"/>
  <c r="U25" i="145"/>
  <c r="U25" i="146"/>
  <c r="U25" i="85"/>
  <c r="U25" i="147"/>
  <c r="U25" i="148"/>
  <c r="U25" i="75"/>
  <c r="V17" i="144"/>
  <c r="V17" i="84"/>
  <c r="V17" i="145"/>
  <c r="V17" i="146"/>
  <c r="V17" i="85"/>
  <c r="V17" i="147"/>
  <c r="V17" i="148"/>
  <c r="V17" i="75"/>
  <c r="V17" i="143"/>
  <c r="V22" i="144"/>
  <c r="V22" i="84"/>
  <c r="V22" i="145"/>
  <c r="V22" i="146"/>
  <c r="V22" i="85"/>
  <c r="V22" i="147"/>
  <c r="V22" i="148"/>
  <c r="V22" i="75"/>
  <c r="V22" i="143"/>
  <c r="U17" i="144"/>
  <c r="U17" i="84"/>
  <c r="U17" i="145"/>
  <c r="U17" i="146"/>
  <c r="U17" i="85"/>
  <c r="U17" i="147"/>
  <c r="U17" i="148"/>
  <c r="U17" i="75"/>
  <c r="U17" i="143"/>
  <c r="U21" i="148"/>
  <c r="U21" i="146"/>
  <c r="U21" i="145"/>
  <c r="U21" i="85"/>
  <c r="U21" i="147"/>
  <c r="U21" i="143"/>
  <c r="U21" i="84"/>
  <c r="U21" i="144"/>
  <c r="U21" i="75"/>
  <c r="V16" i="143"/>
  <c r="V16" i="144"/>
  <c r="V16" i="84"/>
  <c r="V16" i="145"/>
  <c r="V16" i="146"/>
  <c r="V16" i="85"/>
  <c r="V16" i="147"/>
  <c r="V16" i="148"/>
  <c r="V16" i="75"/>
  <c r="U20" i="144"/>
  <c r="U20" i="84"/>
  <c r="U20" i="145"/>
  <c r="U20" i="146"/>
  <c r="U20" i="85"/>
  <c r="U20" i="147"/>
  <c r="U20" i="148"/>
  <c r="U20" i="75"/>
  <c r="U20" i="143"/>
  <c r="U24" i="144"/>
  <c r="U24" i="84"/>
  <c r="U24" i="145"/>
  <c r="U24" i="146"/>
  <c r="U24" i="85"/>
  <c r="U24" i="147"/>
  <c r="U24" i="148"/>
  <c r="U24" i="75"/>
  <c r="U24" i="143"/>
  <c r="V19" i="144"/>
  <c r="V19" i="84"/>
  <c r="V19" i="145"/>
  <c r="V19" i="146"/>
  <c r="V19" i="85"/>
  <c r="V19" i="147"/>
  <c r="V19" i="148"/>
  <c r="V19" i="75"/>
  <c r="V19" i="143"/>
  <c r="U23" i="144"/>
  <c r="U23" i="84"/>
  <c r="U23" i="145"/>
  <c r="U23" i="146"/>
  <c r="U23" i="85"/>
  <c r="U23" i="147"/>
  <c r="U23" i="148"/>
  <c r="U23" i="75"/>
  <c r="U23" i="143"/>
  <c r="U16" i="143"/>
  <c r="U16" i="144"/>
  <c r="U16" i="84"/>
  <c r="U16" i="145"/>
  <c r="U16" i="146"/>
  <c r="U16" i="85"/>
  <c r="U16" i="147"/>
  <c r="U16" i="148"/>
  <c r="U16" i="75"/>
  <c r="V23" i="144"/>
  <c r="V23" i="84"/>
  <c r="V23" i="145"/>
  <c r="V23" i="146"/>
  <c r="V23" i="85"/>
  <c r="V23" i="147"/>
  <c r="V23" i="148"/>
  <c r="V23" i="75"/>
  <c r="V23" i="143"/>
  <c r="U26" i="144"/>
  <c r="U26" i="84"/>
  <c r="U26" i="145"/>
  <c r="U26" i="146"/>
  <c r="U26" i="85"/>
  <c r="U26" i="147"/>
  <c r="U26" i="148"/>
  <c r="U26" i="75"/>
  <c r="U26" i="143"/>
  <c r="V17" i="83"/>
  <c r="V24" i="83"/>
  <c r="V22" i="83"/>
  <c r="U25" i="83"/>
  <c r="U17" i="83"/>
  <c r="U22" i="83"/>
  <c r="V16" i="83"/>
  <c r="U24" i="83"/>
  <c r="U23" i="83"/>
  <c r="U16" i="83"/>
  <c r="V19" i="83"/>
  <c r="U21" i="83"/>
  <c r="U20" i="83"/>
  <c r="V23" i="83"/>
  <c r="U26" i="83"/>
  <c r="S15" i="147"/>
  <c r="S15" i="148"/>
  <c r="S15" i="145"/>
  <c r="S15" i="146"/>
  <c r="S15" i="143"/>
  <c r="S15" i="144"/>
  <c r="S15" i="83"/>
  <c r="S15" i="84"/>
  <c r="S15" i="75"/>
  <c r="S15" i="85"/>
  <c r="V26" i="103"/>
  <c r="V21" i="103"/>
  <c r="V25" i="103"/>
  <c r="U19" i="103"/>
  <c r="V20" i="103"/>
  <c r="O99" i="78"/>
  <c r="Q99" i="78" s="1"/>
  <c r="P99" i="78"/>
  <c r="R99" i="78" s="1"/>
  <c r="V25" i="156" l="1"/>
  <c r="V25" i="155"/>
  <c r="U19" i="156"/>
  <c r="U36" i="156" s="1"/>
  <c r="U19" i="155"/>
  <c r="U36" i="155" s="1"/>
  <c r="V21" i="156"/>
  <c r="V21" i="155"/>
  <c r="V26" i="156"/>
  <c r="V26" i="155"/>
  <c r="V20" i="156"/>
  <c r="V36" i="156" s="1"/>
  <c r="V20" i="155"/>
  <c r="V36" i="155" s="1"/>
  <c r="V20" i="152"/>
  <c r="V36" i="152" s="1"/>
  <c r="V20" i="154"/>
  <c r="V36" i="154" s="1"/>
  <c r="V20" i="153"/>
  <c r="V36" i="153" s="1"/>
  <c r="U19" i="152"/>
  <c r="U36" i="152" s="1"/>
  <c r="U19" i="154"/>
  <c r="U36" i="154" s="1"/>
  <c r="U19" i="153"/>
  <c r="U36" i="153" s="1"/>
  <c r="V25" i="152"/>
  <c r="V25" i="154"/>
  <c r="V25" i="153"/>
  <c r="V21" i="152"/>
  <c r="V21" i="154"/>
  <c r="V21" i="153"/>
  <c r="V26" i="152"/>
  <c r="V26" i="154"/>
  <c r="V26" i="153"/>
  <c r="V20" i="149"/>
  <c r="V36" i="149" s="1"/>
  <c r="V20" i="151"/>
  <c r="V36" i="151" s="1"/>
  <c r="U19" i="149"/>
  <c r="U36" i="149" s="1"/>
  <c r="U19" i="151"/>
  <c r="U36" i="151" s="1"/>
  <c r="V25" i="149"/>
  <c r="V25" i="151"/>
  <c r="V21" i="149"/>
  <c r="V21" i="151"/>
  <c r="V26" i="149"/>
  <c r="V26" i="151"/>
  <c r="V20" i="83"/>
  <c r="V36" i="83" s="1"/>
  <c r="V20" i="144"/>
  <c r="V36" i="144" s="1"/>
  <c r="V20" i="84"/>
  <c r="V36" i="84" s="1"/>
  <c r="V20" i="145"/>
  <c r="V36" i="145" s="1"/>
  <c r="V20" i="146"/>
  <c r="V36" i="146" s="1"/>
  <c r="V20" i="85"/>
  <c r="V36" i="85" s="1"/>
  <c r="V20" i="147"/>
  <c r="V36" i="147" s="1"/>
  <c r="V20" i="148"/>
  <c r="V36" i="148" s="1"/>
  <c r="V20" i="75"/>
  <c r="V36" i="75" s="1"/>
  <c r="V20" i="143"/>
  <c r="V36" i="143" s="1"/>
  <c r="U19" i="83"/>
  <c r="U36" i="83" s="1"/>
  <c r="U19" i="144"/>
  <c r="U36" i="144" s="1"/>
  <c r="U19" i="84"/>
  <c r="U36" i="84" s="1"/>
  <c r="U19" i="145"/>
  <c r="U36" i="145" s="1"/>
  <c r="U19" i="146"/>
  <c r="U36" i="146" s="1"/>
  <c r="U19" i="85"/>
  <c r="U36" i="85" s="1"/>
  <c r="U19" i="147"/>
  <c r="U36" i="147" s="1"/>
  <c r="U19" i="148"/>
  <c r="U36" i="148" s="1"/>
  <c r="U19" i="75"/>
  <c r="U36" i="75" s="1"/>
  <c r="U19" i="143"/>
  <c r="U36" i="143" s="1"/>
  <c r="V25" i="143"/>
  <c r="V25" i="144"/>
  <c r="V25" i="84"/>
  <c r="V25" i="145"/>
  <c r="V25" i="146"/>
  <c r="V25" i="85"/>
  <c r="V25" i="147"/>
  <c r="V25" i="148"/>
  <c r="V25" i="75"/>
  <c r="V21" i="144"/>
  <c r="V21" i="84"/>
  <c r="V21" i="145"/>
  <c r="V21" i="146"/>
  <c r="V21" i="85"/>
  <c r="V21" i="147"/>
  <c r="V21" i="148"/>
  <c r="V21" i="75"/>
  <c r="V21" i="143"/>
  <c r="V26" i="144"/>
  <c r="V26" i="84"/>
  <c r="V26" i="145"/>
  <c r="V26" i="146"/>
  <c r="V26" i="85"/>
  <c r="V26" i="147"/>
  <c r="V26" i="148"/>
  <c r="V26" i="75"/>
  <c r="V26" i="143"/>
  <c r="V25" i="83"/>
  <c r="V21" i="83"/>
  <c r="V26" i="83"/>
  <c r="V36" i="103"/>
  <c r="U36" i="103"/>
  <c r="I21" i="70"/>
  <c r="D34" i="70"/>
  <c r="D33" i="70"/>
  <c r="D32" i="70"/>
  <c r="D31" i="70"/>
  <c r="J27" i="70"/>
  <c r="J24" i="70"/>
  <c r="J23" i="70"/>
  <c r="J22" i="70"/>
  <c r="N90" i="76"/>
  <c r="N89" i="76"/>
  <c r="N88" i="76"/>
  <c r="N87" i="76"/>
  <c r="N86" i="76"/>
  <c r="N85" i="76"/>
  <c r="N84" i="76"/>
  <c r="N83" i="76"/>
  <c r="N82" i="76"/>
  <c r="N81" i="76"/>
  <c r="N80" i="76"/>
  <c r="N79" i="76"/>
  <c r="N78" i="76"/>
  <c r="N77" i="76"/>
  <c r="N76" i="76"/>
  <c r="N75" i="76"/>
  <c r="N74" i="76"/>
  <c r="N73" i="76"/>
  <c r="P71" i="76"/>
  <c r="L71" i="76"/>
  <c r="D46" i="76"/>
  <c r="D45" i="76"/>
  <c r="D44" i="76"/>
  <c r="D43" i="76"/>
  <c r="D42" i="76"/>
  <c r="B21" i="76"/>
  <c r="A66" i="76"/>
  <c r="A65" i="76"/>
  <c r="A64" i="76"/>
  <c r="A63" i="76"/>
  <c r="A62" i="76"/>
  <c r="A61" i="76"/>
  <c r="A60" i="76"/>
  <c r="B48" i="76"/>
  <c r="B32" i="76"/>
  <c r="B27" i="76"/>
  <c r="A15" i="76"/>
  <c r="A8" i="76"/>
  <c r="V18" i="103" l="1"/>
  <c r="U18" i="103"/>
  <c r="D22" i="70"/>
  <c r="E52" i="70" s="1"/>
  <c r="D27" i="70"/>
  <c r="E59" i="70" s="1"/>
  <c r="I51" i="76"/>
  <c r="I50" i="76"/>
  <c r="M75" i="76"/>
  <c r="M89" i="76"/>
  <c r="M85" i="76"/>
  <c r="M86" i="76"/>
  <c r="M76" i="76"/>
  <c r="L74" i="76"/>
  <c r="L82" i="76"/>
  <c r="L75" i="76"/>
  <c r="M74" i="76"/>
  <c r="M84" i="76"/>
  <c r="L80" i="76"/>
  <c r="L81" i="76"/>
  <c r="M82" i="76"/>
  <c r="M80" i="76"/>
  <c r="M73" i="76"/>
  <c r="M83" i="76"/>
  <c r="M79" i="76"/>
  <c r="L90" i="76"/>
  <c r="M81" i="76"/>
  <c r="M90" i="76"/>
  <c r="L84" i="76"/>
  <c r="L77" i="76"/>
  <c r="L76" i="76"/>
  <c r="L88" i="76"/>
  <c r="L85" i="76"/>
  <c r="L89" i="76"/>
  <c r="L79" i="76"/>
  <c r="L73" i="76"/>
  <c r="M78" i="76"/>
  <c r="L83" i="76"/>
  <c r="L86" i="76"/>
  <c r="L78" i="76"/>
  <c r="M87" i="76"/>
  <c r="L87" i="76"/>
  <c r="M88" i="76"/>
  <c r="M77" i="76"/>
  <c r="U18" i="156" l="1"/>
  <c r="U18" i="155"/>
  <c r="V18" i="156"/>
  <c r="V18" i="155"/>
  <c r="V18" i="152"/>
  <c r="V18" i="154"/>
  <c r="V18" i="153"/>
  <c r="U18" i="152"/>
  <c r="U18" i="154"/>
  <c r="U18" i="153"/>
  <c r="U18" i="149"/>
  <c r="U18" i="151"/>
  <c r="V18" i="149"/>
  <c r="V18" i="151"/>
  <c r="P77" i="76"/>
  <c r="R77" i="76" s="1"/>
  <c r="O13" i="103" s="1"/>
  <c r="P90" i="76"/>
  <c r="R90" i="76" s="1"/>
  <c r="O26" i="103" s="1"/>
  <c r="P88" i="76"/>
  <c r="R88" i="76" s="1"/>
  <c r="O24" i="103" s="1"/>
  <c r="P86" i="76"/>
  <c r="R86" i="76" s="1"/>
  <c r="O22" i="103" s="1"/>
  <c r="O74" i="76"/>
  <c r="Q74" i="76" s="1"/>
  <c r="P10" i="103" s="1"/>
  <c r="P80" i="76"/>
  <c r="R80" i="76" s="1"/>
  <c r="O16" i="103" s="1"/>
  <c r="O86" i="76"/>
  <c r="Q86" i="76" s="1"/>
  <c r="P22" i="103" s="1"/>
  <c r="P89" i="76"/>
  <c r="R89" i="76" s="1"/>
  <c r="O25" i="103" s="1"/>
  <c r="P85" i="76"/>
  <c r="R85" i="76" s="1"/>
  <c r="O21" i="103" s="1"/>
  <c r="P81" i="76"/>
  <c r="R81" i="76" s="1"/>
  <c r="O17" i="103" s="1"/>
  <c r="P84" i="76"/>
  <c r="R84" i="76" s="1"/>
  <c r="O20" i="103" s="1"/>
  <c r="P74" i="76"/>
  <c r="R74" i="76" s="1"/>
  <c r="O10" i="103" s="1"/>
  <c r="U18" i="144"/>
  <c r="U18" i="84"/>
  <c r="U18" i="145"/>
  <c r="U18" i="146"/>
  <c r="U18" i="85"/>
  <c r="U18" i="147"/>
  <c r="U18" i="148"/>
  <c r="U18" i="75"/>
  <c r="U18" i="143"/>
  <c r="V18" i="143"/>
  <c r="V18" i="144"/>
  <c r="V18" i="84"/>
  <c r="V18" i="145"/>
  <c r="V18" i="146"/>
  <c r="V18" i="85"/>
  <c r="V18" i="147"/>
  <c r="V18" i="148"/>
  <c r="V18" i="75"/>
  <c r="U18" i="83"/>
  <c r="V18" i="83"/>
  <c r="O88" i="76"/>
  <c r="Q88" i="76" s="1"/>
  <c r="P24" i="103" s="1"/>
  <c r="O81" i="76"/>
  <c r="Q81" i="76" s="1"/>
  <c r="O80" i="76"/>
  <c r="Q80" i="76" s="1"/>
  <c r="P82" i="76"/>
  <c r="R82" i="76" s="1"/>
  <c r="O84" i="76"/>
  <c r="Q84" i="76" s="1"/>
  <c r="O85" i="76"/>
  <c r="Q85" i="76" s="1"/>
  <c r="O77" i="76"/>
  <c r="Q77" i="76" s="1"/>
  <c r="O90" i="76"/>
  <c r="Q90" i="76" s="1"/>
  <c r="O89" i="76"/>
  <c r="Q89" i="76" s="1"/>
  <c r="P78" i="76"/>
  <c r="R78" i="76" s="1"/>
  <c r="O76" i="76"/>
  <c r="Q76" i="76" s="1"/>
  <c r="P73" i="76"/>
  <c r="R73" i="76" s="1"/>
  <c r="O73" i="76"/>
  <c r="Q73" i="76" s="1"/>
  <c r="O21" i="156" l="1"/>
  <c r="O21" i="155"/>
  <c r="P22" i="156"/>
  <c r="P22" i="155"/>
  <c r="O22" i="156"/>
  <c r="O22" i="155"/>
  <c r="O16" i="156"/>
  <c r="O16" i="155"/>
  <c r="O24" i="156"/>
  <c r="O24" i="155"/>
  <c r="P24" i="156"/>
  <c r="P24" i="155"/>
  <c r="O26" i="156"/>
  <c r="O26" i="155"/>
  <c r="O25" i="156"/>
  <c r="O25" i="155"/>
  <c r="O13" i="156"/>
  <c r="O13" i="155"/>
  <c r="P10" i="156"/>
  <c r="P10" i="155"/>
  <c r="O10" i="156"/>
  <c r="O10" i="155"/>
  <c r="O17" i="156"/>
  <c r="O17" i="155"/>
  <c r="O20" i="156"/>
  <c r="O20" i="155"/>
  <c r="O26" i="152"/>
  <c r="O26" i="154"/>
  <c r="O26" i="153"/>
  <c r="O13" i="152"/>
  <c r="O13" i="154"/>
  <c r="O13" i="153"/>
  <c r="O10" i="152"/>
  <c r="O10" i="154"/>
  <c r="O10" i="153"/>
  <c r="O20" i="152"/>
  <c r="O20" i="154"/>
  <c r="O20" i="153"/>
  <c r="O17" i="152"/>
  <c r="O17" i="154"/>
  <c r="O17" i="153"/>
  <c r="P24" i="152"/>
  <c r="P24" i="154"/>
  <c r="P24" i="153"/>
  <c r="O21" i="152"/>
  <c r="O21" i="154"/>
  <c r="O21" i="153"/>
  <c r="O25" i="152"/>
  <c r="O25" i="154"/>
  <c r="O25" i="153"/>
  <c r="P22" i="152"/>
  <c r="P22" i="154"/>
  <c r="P22" i="153"/>
  <c r="O16" i="152"/>
  <c r="O16" i="154"/>
  <c r="O16" i="153"/>
  <c r="P10" i="152"/>
  <c r="P10" i="154"/>
  <c r="P10" i="153"/>
  <c r="O22" i="152"/>
  <c r="O22" i="154"/>
  <c r="O22" i="153"/>
  <c r="O24" i="152"/>
  <c r="O24" i="154"/>
  <c r="O24" i="153"/>
  <c r="O22" i="149"/>
  <c r="O22" i="151"/>
  <c r="O24" i="149"/>
  <c r="O24" i="151"/>
  <c r="O25" i="149"/>
  <c r="O25" i="151"/>
  <c r="O26" i="149"/>
  <c r="O26" i="151"/>
  <c r="O13" i="149"/>
  <c r="O13" i="151"/>
  <c r="O10" i="149"/>
  <c r="O10" i="151"/>
  <c r="O20" i="149"/>
  <c r="O20" i="151"/>
  <c r="O16" i="149"/>
  <c r="O16" i="151"/>
  <c r="O17" i="149"/>
  <c r="O17" i="151"/>
  <c r="P22" i="149"/>
  <c r="P22" i="151"/>
  <c r="P10" i="149"/>
  <c r="P10" i="151"/>
  <c r="P24" i="149"/>
  <c r="P24" i="151"/>
  <c r="O21" i="149"/>
  <c r="O21" i="151"/>
  <c r="O22" i="147"/>
  <c r="O22" i="148"/>
  <c r="O13" i="147"/>
  <c r="O13" i="148"/>
  <c r="P22" i="147"/>
  <c r="P22" i="148"/>
  <c r="O20" i="147"/>
  <c r="O20" i="148"/>
  <c r="O10" i="147"/>
  <c r="O10" i="148"/>
  <c r="O17" i="147"/>
  <c r="O17" i="148"/>
  <c r="O16" i="147"/>
  <c r="O16" i="148"/>
  <c r="O24" i="147"/>
  <c r="O24" i="148"/>
  <c r="O26" i="147"/>
  <c r="O26" i="148"/>
  <c r="P10" i="147"/>
  <c r="P10" i="148"/>
  <c r="O21" i="147"/>
  <c r="O21" i="148"/>
  <c r="O25" i="147"/>
  <c r="O25" i="148"/>
  <c r="P24" i="147"/>
  <c r="P24" i="148"/>
  <c r="O17" i="145"/>
  <c r="O17" i="146"/>
  <c r="P10" i="145"/>
  <c r="P10" i="146"/>
  <c r="P24" i="145"/>
  <c r="P24" i="146"/>
  <c r="O13" i="145"/>
  <c r="O13" i="146"/>
  <c r="O21" i="145"/>
  <c r="O21" i="146"/>
  <c r="O22" i="145"/>
  <c r="O22" i="146"/>
  <c r="O16" i="145"/>
  <c r="O16" i="146"/>
  <c r="O20" i="145"/>
  <c r="O20" i="146"/>
  <c r="O26" i="145"/>
  <c r="O26" i="146"/>
  <c r="O24" i="145"/>
  <c r="O24" i="146"/>
  <c r="O10" i="145"/>
  <c r="O10" i="146"/>
  <c r="O25" i="145"/>
  <c r="O25" i="146"/>
  <c r="P22" i="145"/>
  <c r="P22" i="146"/>
  <c r="O20" i="143"/>
  <c r="O20" i="144"/>
  <c r="O13" i="143"/>
  <c r="O13" i="144"/>
  <c r="P22" i="143"/>
  <c r="P22" i="144"/>
  <c r="O10" i="143"/>
  <c r="O10" i="144"/>
  <c r="O17" i="143"/>
  <c r="O17" i="144"/>
  <c r="P24" i="143"/>
  <c r="P24" i="144"/>
  <c r="O26" i="143"/>
  <c r="O26" i="144"/>
  <c r="P10" i="143"/>
  <c r="P10" i="144"/>
  <c r="O21" i="143"/>
  <c r="O21" i="144"/>
  <c r="O25" i="143"/>
  <c r="O25" i="144"/>
  <c r="O22" i="143"/>
  <c r="O22" i="144"/>
  <c r="O16" i="143"/>
  <c r="O16" i="144"/>
  <c r="O24" i="143"/>
  <c r="O24" i="144"/>
  <c r="O13" i="83"/>
  <c r="O13" i="85"/>
  <c r="O13" i="75"/>
  <c r="O13" i="84"/>
  <c r="O20" i="83"/>
  <c r="O20" i="85"/>
  <c r="O20" i="75"/>
  <c r="O20" i="84"/>
  <c r="P24" i="83"/>
  <c r="P24" i="85"/>
  <c r="P24" i="75"/>
  <c r="P24" i="84"/>
  <c r="O10" i="83"/>
  <c r="O10" i="85"/>
  <c r="O10" i="75"/>
  <c r="O10" i="84"/>
  <c r="P22" i="83"/>
  <c r="P22" i="85"/>
  <c r="P22" i="75"/>
  <c r="P22" i="84"/>
  <c r="O17" i="83"/>
  <c r="O17" i="85"/>
  <c r="O17" i="75"/>
  <c r="O17" i="84"/>
  <c r="O26" i="83"/>
  <c r="O26" i="85"/>
  <c r="O26" i="75"/>
  <c r="O26" i="84"/>
  <c r="P10" i="83"/>
  <c r="P10" i="85"/>
  <c r="P10" i="75"/>
  <c r="P10" i="84"/>
  <c r="O25" i="83"/>
  <c r="O25" i="85"/>
  <c r="O25" i="75"/>
  <c r="O25" i="84"/>
  <c r="O21" i="83"/>
  <c r="O21" i="84"/>
  <c r="O21" i="75"/>
  <c r="O21" i="85"/>
  <c r="O22" i="83"/>
  <c r="O22" i="85"/>
  <c r="O22" i="75"/>
  <c r="O22" i="84"/>
  <c r="O24" i="83"/>
  <c r="O24" i="85"/>
  <c r="O24" i="75"/>
  <c r="O24" i="84"/>
  <c r="O16" i="83"/>
  <c r="O16" i="85"/>
  <c r="O16" i="75"/>
  <c r="O16" i="84"/>
  <c r="P13" i="103"/>
  <c r="P21" i="103"/>
  <c r="P16" i="103"/>
  <c r="O18" i="103"/>
  <c r="P20" i="103"/>
  <c r="P17" i="103"/>
  <c r="O9" i="103"/>
  <c r="P12" i="103"/>
  <c r="P9" i="103"/>
  <c r="O14" i="103"/>
  <c r="P25" i="103"/>
  <c r="P26" i="103"/>
  <c r="P79" i="76"/>
  <c r="R79" i="76" s="1"/>
  <c r="O79" i="76"/>
  <c r="Q79" i="76" s="1"/>
  <c r="O82" i="76"/>
  <c r="Q82" i="76" s="1"/>
  <c r="O78" i="76"/>
  <c r="Q78" i="76" s="1"/>
  <c r="P76" i="76"/>
  <c r="R76" i="76" s="1"/>
  <c r="P17" i="156" l="1"/>
  <c r="P17" i="155"/>
  <c r="O18" i="156"/>
  <c r="O18" i="155"/>
  <c r="O9" i="156"/>
  <c r="O9" i="155"/>
  <c r="P21" i="155"/>
  <c r="P21" i="156"/>
  <c r="P16" i="156"/>
  <c r="P16" i="155"/>
  <c r="P13" i="155"/>
  <c r="P13" i="156"/>
  <c r="P26" i="156"/>
  <c r="P26" i="155"/>
  <c r="P25" i="156"/>
  <c r="P25" i="155"/>
  <c r="O14" i="155"/>
  <c r="O14" i="156"/>
  <c r="P9" i="156"/>
  <c r="P9" i="155"/>
  <c r="P20" i="156"/>
  <c r="P20" i="155"/>
  <c r="P12" i="156"/>
  <c r="P12" i="155"/>
  <c r="P9" i="152"/>
  <c r="P9" i="154"/>
  <c r="P9" i="153"/>
  <c r="P20" i="152"/>
  <c r="P20" i="154"/>
  <c r="P20" i="153"/>
  <c r="O9" i="152"/>
  <c r="O9" i="154"/>
  <c r="O9" i="153"/>
  <c r="O18" i="152"/>
  <c r="O18" i="154"/>
  <c r="O18" i="153"/>
  <c r="P21" i="152"/>
  <c r="P21" i="154"/>
  <c r="P21" i="153"/>
  <c r="P12" i="152"/>
  <c r="P12" i="154"/>
  <c r="P12" i="153"/>
  <c r="P16" i="152"/>
  <c r="P16" i="154"/>
  <c r="P16" i="153"/>
  <c r="P13" i="152"/>
  <c r="P13" i="154"/>
  <c r="P13" i="153"/>
  <c r="P25" i="152"/>
  <c r="P25" i="154"/>
  <c r="P25" i="153"/>
  <c r="P17" i="152"/>
  <c r="P17" i="154"/>
  <c r="P17" i="153"/>
  <c r="P26" i="152"/>
  <c r="P26" i="154"/>
  <c r="P26" i="153"/>
  <c r="O14" i="152"/>
  <c r="O14" i="154"/>
  <c r="O14" i="153"/>
  <c r="P26" i="149"/>
  <c r="P26" i="151"/>
  <c r="O14" i="149"/>
  <c r="O14" i="151"/>
  <c r="P12" i="149"/>
  <c r="P12" i="151"/>
  <c r="P9" i="149"/>
  <c r="P9" i="151"/>
  <c r="O9" i="149"/>
  <c r="O9" i="151"/>
  <c r="P17" i="149"/>
  <c r="P17" i="151"/>
  <c r="P20" i="149"/>
  <c r="P20" i="151"/>
  <c r="O18" i="149"/>
  <c r="O18" i="151"/>
  <c r="P16" i="149"/>
  <c r="P16" i="151"/>
  <c r="P25" i="149"/>
  <c r="P25" i="151"/>
  <c r="P21" i="149"/>
  <c r="P21" i="151"/>
  <c r="P13" i="149"/>
  <c r="P13" i="151"/>
  <c r="P26" i="147"/>
  <c r="P26" i="148"/>
  <c r="P12" i="147"/>
  <c r="P12" i="148"/>
  <c r="P13" i="147"/>
  <c r="P13" i="148"/>
  <c r="P17" i="147"/>
  <c r="P17" i="148"/>
  <c r="P20" i="147"/>
  <c r="P20" i="148"/>
  <c r="P9" i="147"/>
  <c r="P9" i="148"/>
  <c r="O18" i="147"/>
  <c r="O18" i="148"/>
  <c r="P25" i="147"/>
  <c r="P25" i="148"/>
  <c r="O9" i="147"/>
  <c r="O9" i="148"/>
  <c r="P16" i="147"/>
  <c r="P16" i="148"/>
  <c r="O14" i="147"/>
  <c r="O14" i="148"/>
  <c r="P21" i="147"/>
  <c r="P21" i="148"/>
  <c r="P16" i="145"/>
  <c r="P16" i="146"/>
  <c r="P13" i="145"/>
  <c r="P13" i="146"/>
  <c r="P26" i="145"/>
  <c r="P26" i="146"/>
  <c r="P25" i="145"/>
  <c r="P25" i="146"/>
  <c r="P12" i="145"/>
  <c r="P12" i="146"/>
  <c r="O9" i="145"/>
  <c r="O9" i="146"/>
  <c r="P9" i="145"/>
  <c r="P9" i="146"/>
  <c r="P17" i="145"/>
  <c r="P17" i="146"/>
  <c r="P21" i="145"/>
  <c r="P21" i="146"/>
  <c r="P20" i="145"/>
  <c r="P20" i="146"/>
  <c r="O14" i="145"/>
  <c r="O14" i="146"/>
  <c r="O18" i="145"/>
  <c r="O18" i="146"/>
  <c r="P20" i="143"/>
  <c r="P20" i="144"/>
  <c r="O18" i="143"/>
  <c r="O18" i="144"/>
  <c r="P16" i="143"/>
  <c r="P16" i="144"/>
  <c r="P26" i="143"/>
  <c r="P26" i="144"/>
  <c r="O14" i="143"/>
  <c r="O14" i="144"/>
  <c r="P9" i="143"/>
  <c r="P9" i="144"/>
  <c r="P21" i="143"/>
  <c r="P21" i="144"/>
  <c r="P13" i="143"/>
  <c r="P13" i="144"/>
  <c r="P25" i="143"/>
  <c r="P25" i="144"/>
  <c r="O9" i="143"/>
  <c r="O9" i="144"/>
  <c r="P12" i="143"/>
  <c r="P12" i="144"/>
  <c r="P17" i="143"/>
  <c r="P17" i="144"/>
  <c r="O9" i="83"/>
  <c r="O9" i="75"/>
  <c r="O9" i="85"/>
  <c r="O9" i="84"/>
  <c r="P17" i="83"/>
  <c r="P17" i="85"/>
  <c r="P17" i="75"/>
  <c r="P17" i="84"/>
  <c r="P20" i="83"/>
  <c r="P20" i="85"/>
  <c r="P20" i="75"/>
  <c r="P20" i="84"/>
  <c r="P21" i="83"/>
  <c r="P21" i="85"/>
  <c r="P21" i="75"/>
  <c r="P21" i="84"/>
  <c r="P13" i="83"/>
  <c r="P13" i="85"/>
  <c r="P13" i="75"/>
  <c r="P13" i="84"/>
  <c r="P16" i="83"/>
  <c r="P16" i="85"/>
  <c r="P16" i="75"/>
  <c r="P16" i="84"/>
  <c r="P26" i="83"/>
  <c r="P26" i="85"/>
  <c r="P26" i="75"/>
  <c r="P26" i="84"/>
  <c r="O14" i="83"/>
  <c r="O14" i="85"/>
  <c r="O14" i="75"/>
  <c r="O14" i="84"/>
  <c r="P9" i="83"/>
  <c r="P9" i="85"/>
  <c r="P9" i="75"/>
  <c r="P9" i="84"/>
  <c r="O18" i="83"/>
  <c r="O18" i="85"/>
  <c r="O18" i="75"/>
  <c r="O18" i="84"/>
  <c r="P25" i="83"/>
  <c r="P25" i="85"/>
  <c r="P25" i="75"/>
  <c r="P25" i="84"/>
  <c r="P12" i="83"/>
  <c r="P12" i="85"/>
  <c r="P12" i="75"/>
  <c r="P12" i="84"/>
  <c r="O12" i="103"/>
  <c r="P18" i="103"/>
  <c r="P14" i="103"/>
  <c r="P15" i="103"/>
  <c r="O15" i="103"/>
  <c r="P75" i="76"/>
  <c r="R75" i="76" s="1"/>
  <c r="O75" i="76"/>
  <c r="Q75" i="76" s="1"/>
  <c r="O15" i="156" l="1"/>
  <c r="O15" i="155"/>
  <c r="P15" i="156"/>
  <c r="P15" i="155"/>
  <c r="P14" i="155"/>
  <c r="P14" i="156"/>
  <c r="P18" i="156"/>
  <c r="P18" i="155"/>
  <c r="O12" i="156"/>
  <c r="O12" i="155"/>
  <c r="O15" i="152"/>
  <c r="O15" i="154"/>
  <c r="O15" i="153"/>
  <c r="P15" i="152"/>
  <c r="P15" i="154"/>
  <c r="P15" i="153"/>
  <c r="P14" i="152"/>
  <c r="P14" i="154"/>
  <c r="P14" i="153"/>
  <c r="P18" i="152"/>
  <c r="P18" i="154"/>
  <c r="P18" i="153"/>
  <c r="O12" i="152"/>
  <c r="O12" i="154"/>
  <c r="O12" i="153"/>
  <c r="O15" i="149"/>
  <c r="O15" i="151"/>
  <c r="P15" i="149"/>
  <c r="P15" i="151"/>
  <c r="P18" i="149"/>
  <c r="P18" i="151"/>
  <c r="P14" i="149"/>
  <c r="P14" i="151"/>
  <c r="O12" i="149"/>
  <c r="O12" i="151"/>
  <c r="O15" i="147"/>
  <c r="O15" i="148"/>
  <c r="P14" i="147"/>
  <c r="P14" i="148"/>
  <c r="P18" i="147"/>
  <c r="P18" i="148"/>
  <c r="P15" i="147"/>
  <c r="P15" i="148"/>
  <c r="O12" i="147"/>
  <c r="O12" i="148"/>
  <c r="O15" i="145"/>
  <c r="O15" i="146"/>
  <c r="P14" i="145"/>
  <c r="P14" i="146"/>
  <c r="P18" i="145"/>
  <c r="P18" i="146"/>
  <c r="P15" i="145"/>
  <c r="P15" i="146"/>
  <c r="O12" i="145"/>
  <c r="O12" i="146"/>
  <c r="P15" i="143"/>
  <c r="P15" i="144"/>
  <c r="O15" i="143"/>
  <c r="O15" i="144"/>
  <c r="P14" i="143"/>
  <c r="P14" i="144"/>
  <c r="P18" i="143"/>
  <c r="P18" i="144"/>
  <c r="O12" i="143"/>
  <c r="O12" i="144"/>
  <c r="P14" i="83"/>
  <c r="P14" i="85"/>
  <c r="P14" i="75"/>
  <c r="P14" i="84"/>
  <c r="P18" i="83"/>
  <c r="P18" i="85"/>
  <c r="P18" i="75"/>
  <c r="P18" i="84"/>
  <c r="O15" i="83"/>
  <c r="O15" i="84"/>
  <c r="O15" i="75"/>
  <c r="O15" i="85"/>
  <c r="P15" i="83"/>
  <c r="P15" i="85"/>
  <c r="P15" i="75"/>
  <c r="P15" i="84"/>
  <c r="O12" i="83"/>
  <c r="O12" i="85"/>
  <c r="O12" i="75"/>
  <c r="O12" i="84"/>
  <c r="P11" i="103"/>
  <c r="O11" i="103"/>
  <c r="Q203" i="41"/>
  <c r="G26" i="103" s="1"/>
  <c r="P203" i="41"/>
  <c r="H26" i="103" s="1"/>
  <c r="Q201" i="41"/>
  <c r="G24" i="103" s="1"/>
  <c r="P201" i="41"/>
  <c r="H24" i="103" s="1"/>
  <c r="Q200" i="41"/>
  <c r="G23" i="103" s="1"/>
  <c r="P200" i="41"/>
  <c r="H23" i="103" s="1"/>
  <c r="Q199" i="41"/>
  <c r="G22" i="103" s="1"/>
  <c r="P199" i="41"/>
  <c r="H22" i="103" s="1"/>
  <c r="Q198" i="41"/>
  <c r="G21" i="103" s="1"/>
  <c r="P198" i="41"/>
  <c r="H21" i="103" s="1"/>
  <c r="M196" i="41"/>
  <c r="M197" i="41"/>
  <c r="M186" i="41"/>
  <c r="M203" i="41"/>
  <c r="M202" i="41"/>
  <c r="M201" i="41"/>
  <c r="M200" i="41"/>
  <c r="M199" i="41"/>
  <c r="M198" i="41"/>
  <c r="M195" i="41"/>
  <c r="M194" i="41"/>
  <c r="M193" i="41"/>
  <c r="M192" i="41"/>
  <c r="M191" i="41"/>
  <c r="M190" i="41"/>
  <c r="M189" i="41"/>
  <c r="M188" i="41"/>
  <c r="M187" i="41"/>
  <c r="K184" i="41"/>
  <c r="O184" i="41"/>
  <c r="O80" i="49"/>
  <c r="K80" i="49"/>
  <c r="O11" i="155" l="1"/>
  <c r="O11" i="156"/>
  <c r="P11" i="156"/>
  <c r="P11" i="155"/>
  <c r="P11" i="152"/>
  <c r="P34" i="152" s="1"/>
  <c r="P11" i="154"/>
  <c r="P11" i="153"/>
  <c r="O11" i="152"/>
  <c r="O34" i="152" s="1"/>
  <c r="O11" i="154"/>
  <c r="O11" i="153"/>
  <c r="O11" i="149"/>
  <c r="O34" i="149" s="1"/>
  <c r="O11" i="151"/>
  <c r="P11" i="149"/>
  <c r="P34" i="149" s="1"/>
  <c r="P11" i="151"/>
  <c r="G24" i="143"/>
  <c r="G24" i="148"/>
  <c r="G24" i="147"/>
  <c r="G24" i="146"/>
  <c r="G24" i="145"/>
  <c r="G24" i="144"/>
  <c r="H21" i="148"/>
  <c r="H21" i="147"/>
  <c r="H21" i="146"/>
  <c r="H21" i="145"/>
  <c r="H21" i="144"/>
  <c r="H21" i="143"/>
  <c r="G21" i="143"/>
  <c r="G21" i="148"/>
  <c r="G21" i="147"/>
  <c r="G21" i="146"/>
  <c r="G21" i="145"/>
  <c r="G21" i="144"/>
  <c r="G26" i="143"/>
  <c r="G26" i="148"/>
  <c r="G26" i="147"/>
  <c r="G26" i="146"/>
  <c r="G26" i="145"/>
  <c r="G26" i="144"/>
  <c r="G22" i="143"/>
  <c r="G22" i="148"/>
  <c r="G22" i="147"/>
  <c r="G22" i="146"/>
  <c r="G22" i="145"/>
  <c r="G22" i="144"/>
  <c r="H26" i="143"/>
  <c r="H26" i="148"/>
  <c r="H26" i="147"/>
  <c r="H26" i="146"/>
  <c r="H26" i="145"/>
  <c r="H26" i="144"/>
  <c r="H22" i="143"/>
  <c r="H22" i="148"/>
  <c r="H22" i="147"/>
  <c r="H22" i="146"/>
  <c r="H22" i="145"/>
  <c r="H22" i="144"/>
  <c r="H23" i="143"/>
  <c r="H23" i="148"/>
  <c r="H23" i="147"/>
  <c r="H23" i="146"/>
  <c r="H23" i="145"/>
  <c r="H23" i="144"/>
  <c r="G23" i="143"/>
  <c r="G23" i="148"/>
  <c r="G23" i="147"/>
  <c r="G23" i="146"/>
  <c r="G23" i="145"/>
  <c r="G23" i="144"/>
  <c r="H24" i="143"/>
  <c r="H24" i="148"/>
  <c r="H24" i="147"/>
  <c r="H24" i="146"/>
  <c r="H24" i="145"/>
  <c r="H24" i="144"/>
  <c r="P11" i="147"/>
  <c r="P34" i="147" s="1"/>
  <c r="P11" i="148"/>
  <c r="O11" i="147"/>
  <c r="O34" i="147" s="1"/>
  <c r="O11" i="148"/>
  <c r="O11" i="145"/>
  <c r="O34" i="145" s="1"/>
  <c r="O11" i="146"/>
  <c r="P11" i="145"/>
  <c r="P34" i="145" s="1"/>
  <c r="P11" i="146"/>
  <c r="O11" i="143"/>
  <c r="O34" i="143" s="1"/>
  <c r="O11" i="144"/>
  <c r="P11" i="143"/>
  <c r="P34" i="143" s="1"/>
  <c r="P11" i="144"/>
  <c r="G23" i="85"/>
  <c r="G23" i="84"/>
  <c r="G23" i="75"/>
  <c r="G23" i="83"/>
  <c r="G22" i="75"/>
  <c r="G22" i="85"/>
  <c r="G22" i="84"/>
  <c r="G22" i="83"/>
  <c r="H23" i="85"/>
  <c r="H23" i="84"/>
  <c r="H23" i="75"/>
  <c r="H23" i="83"/>
  <c r="H26" i="84"/>
  <c r="H26" i="85"/>
  <c r="H26" i="75"/>
  <c r="H26" i="83"/>
  <c r="G24" i="85"/>
  <c r="G24" i="84"/>
  <c r="G24" i="75"/>
  <c r="G24" i="83"/>
  <c r="G26" i="84"/>
  <c r="G26" i="75"/>
  <c r="G26" i="85"/>
  <c r="G26" i="83"/>
  <c r="G21" i="75"/>
  <c r="G21" i="84"/>
  <c r="G21" i="85"/>
  <c r="G21" i="83"/>
  <c r="H24" i="85"/>
  <c r="H24" i="75"/>
  <c r="H24" i="84"/>
  <c r="H24" i="83"/>
  <c r="H22" i="75"/>
  <c r="H22" i="85"/>
  <c r="H22" i="84"/>
  <c r="H22" i="83"/>
  <c r="H21" i="75"/>
  <c r="H21" i="85"/>
  <c r="H21" i="84"/>
  <c r="H21" i="83"/>
  <c r="O11" i="83"/>
  <c r="O34" i="83" s="1"/>
  <c r="O11" i="85"/>
  <c r="O34" i="85" s="1"/>
  <c r="O11" i="75"/>
  <c r="O34" i="75" s="1"/>
  <c r="O11" i="84"/>
  <c r="O34" i="84" s="1"/>
  <c r="P11" i="83"/>
  <c r="P34" i="83" s="1"/>
  <c r="P11" i="85"/>
  <c r="P34" i="85" s="1"/>
  <c r="P11" i="75"/>
  <c r="P34" i="75" s="1"/>
  <c r="P11" i="84"/>
  <c r="P34" i="84" s="1"/>
  <c r="O34" i="103"/>
  <c r="P34" i="103"/>
  <c r="J159" i="69"/>
  <c r="J156" i="69"/>
  <c r="L197" i="41"/>
  <c r="K196" i="41"/>
  <c r="L203" i="41"/>
  <c r="L192" i="41"/>
  <c r="L193" i="41"/>
  <c r="K201" i="41"/>
  <c r="K194" i="41"/>
  <c r="L198" i="41"/>
  <c r="K203" i="41"/>
  <c r="K186" i="41"/>
  <c r="L190" i="41"/>
  <c r="K195" i="41"/>
  <c r="K197" i="41"/>
  <c r="K200" i="41"/>
  <c r="K187" i="41"/>
  <c r="K189" i="41"/>
  <c r="L201" i="41"/>
  <c r="L187" i="41"/>
  <c r="L199" i="41"/>
  <c r="L186" i="41"/>
  <c r="L194" i="41"/>
  <c r="K199" i="41"/>
  <c r="K192" i="41"/>
  <c r="L200" i="41"/>
  <c r="K191" i="41"/>
  <c r="L195" i="41"/>
  <c r="K193" i="41"/>
  <c r="L188" i="41"/>
  <c r="L202" i="41"/>
  <c r="K202" i="41"/>
  <c r="L191" i="41"/>
  <c r="K190" i="41"/>
  <c r="K198" i="41"/>
  <c r="K188" i="41"/>
  <c r="L189" i="41"/>
  <c r="L196" i="41"/>
  <c r="P34" i="155" l="1"/>
  <c r="P34" i="156"/>
  <c r="O34" i="156"/>
  <c r="O34" i="155"/>
  <c r="O34" i="153"/>
  <c r="O34" i="154"/>
  <c r="P34" i="153"/>
  <c r="P34" i="154"/>
  <c r="P34" i="151"/>
  <c r="O34" i="151"/>
  <c r="O34" i="148"/>
  <c r="P34" i="148"/>
  <c r="P34" i="146"/>
  <c r="O34" i="146"/>
  <c r="P34" i="144"/>
  <c r="O34" i="144"/>
  <c r="N170" i="69"/>
  <c r="N169" i="69"/>
  <c r="N168" i="69"/>
  <c r="N167" i="69"/>
  <c r="N166" i="69"/>
  <c r="N165" i="69"/>
  <c r="N164" i="69"/>
  <c r="N163" i="69"/>
  <c r="N162" i="69"/>
  <c r="N161" i="69"/>
  <c r="N160" i="69"/>
  <c r="N159" i="69"/>
  <c r="N158" i="69"/>
  <c r="N157" i="69"/>
  <c r="N156" i="69"/>
  <c r="N155" i="69"/>
  <c r="N154" i="69"/>
  <c r="N153" i="69"/>
  <c r="N131" i="46" l="1"/>
  <c r="N130" i="46"/>
  <c r="N129" i="46"/>
  <c r="N128" i="46"/>
  <c r="N127" i="46"/>
  <c r="N126" i="46"/>
  <c r="N125" i="46"/>
  <c r="N124" i="46"/>
  <c r="N123" i="46"/>
  <c r="N122" i="46"/>
  <c r="N121" i="46"/>
  <c r="N120" i="46"/>
  <c r="N119" i="46"/>
  <c r="N118" i="46"/>
  <c r="N117" i="46"/>
  <c r="N116" i="46"/>
  <c r="N115" i="46"/>
  <c r="N114" i="46"/>
  <c r="P112" i="46"/>
  <c r="L112" i="46"/>
  <c r="A125" i="69"/>
  <c r="A126" i="69" s="1"/>
  <c r="A123" i="69"/>
  <c r="A124" i="69" s="1"/>
  <c r="A122" i="69"/>
  <c r="A121" i="69"/>
  <c r="A120" i="69"/>
  <c r="A118" i="69"/>
  <c r="A119" i="69" s="1"/>
  <c r="A117" i="69"/>
  <c r="A115" i="69"/>
  <c r="A116" i="69" s="1"/>
  <c r="A113" i="69"/>
  <c r="A114" i="69" s="1"/>
  <c r="A111" i="69"/>
  <c r="A112" i="69" s="1"/>
  <c r="A109" i="69"/>
  <c r="A110" i="69" s="1"/>
  <c r="H104" i="69"/>
  <c r="H37" i="69"/>
  <c r="G103" i="69" s="1"/>
  <c r="H34" i="69"/>
  <c r="G94" i="69" s="1"/>
  <c r="H36" i="69"/>
  <c r="G99" i="69" s="1"/>
  <c r="H35" i="69"/>
  <c r="G95" i="69" s="1"/>
  <c r="L169" i="69"/>
  <c r="L170" i="69"/>
  <c r="M153" i="69"/>
  <c r="M162" i="69"/>
  <c r="L167" i="69"/>
  <c r="L164" i="69"/>
  <c r="L163" i="69"/>
  <c r="M166" i="69"/>
  <c r="M155" i="69"/>
  <c r="M170" i="69"/>
  <c r="M160" i="69"/>
  <c r="M169" i="69"/>
  <c r="L165" i="69"/>
  <c r="L162" i="69"/>
  <c r="L156" i="69"/>
  <c r="L157" i="69"/>
  <c r="L153" i="69"/>
  <c r="M156" i="69"/>
  <c r="M164" i="69"/>
  <c r="M168" i="69"/>
  <c r="L155" i="69"/>
  <c r="L161" i="69"/>
  <c r="M157" i="69"/>
  <c r="M161" i="69"/>
  <c r="M167" i="69"/>
  <c r="L168" i="69"/>
  <c r="M158" i="69"/>
  <c r="M165" i="69"/>
  <c r="M159" i="69"/>
  <c r="L159" i="69"/>
  <c r="M154" i="69"/>
  <c r="L154" i="69"/>
  <c r="L166" i="69"/>
  <c r="M163" i="69"/>
  <c r="L158" i="69"/>
  <c r="L160" i="69"/>
  <c r="O170" i="69" l="1"/>
  <c r="O160" i="69"/>
  <c r="O169" i="69"/>
  <c r="O165" i="69"/>
  <c r="P164" i="69"/>
  <c r="P160" i="69"/>
  <c r="P165" i="69"/>
  <c r="O166" i="69"/>
  <c r="P170" i="69"/>
  <c r="P166" i="69"/>
  <c r="O168" i="69"/>
  <c r="O161" i="69"/>
  <c r="P169" i="69"/>
  <c r="P168" i="69"/>
  <c r="O164" i="69"/>
  <c r="P161" i="69"/>
  <c r="G96" i="69"/>
  <c r="G97" i="69"/>
  <c r="G104" i="69"/>
  <c r="B34" i="69"/>
  <c r="L131" i="46"/>
  <c r="M125" i="46"/>
  <c r="M119" i="46"/>
  <c r="M114" i="46"/>
  <c r="M128" i="46"/>
  <c r="L130" i="46"/>
  <c r="M120" i="46"/>
  <c r="M116" i="46"/>
  <c r="L128" i="46"/>
  <c r="L124" i="46"/>
  <c r="L129" i="46"/>
  <c r="M129" i="46"/>
  <c r="L121" i="46"/>
  <c r="M124" i="46"/>
  <c r="L127" i="46"/>
  <c r="M122" i="46"/>
  <c r="L123" i="46"/>
  <c r="L118" i="46"/>
  <c r="L125" i="46"/>
  <c r="M123" i="46"/>
  <c r="L122" i="46"/>
  <c r="M126" i="46"/>
  <c r="M115" i="46"/>
  <c r="M117" i="46"/>
  <c r="L120" i="46"/>
  <c r="L116" i="46"/>
  <c r="L126" i="46"/>
  <c r="L115" i="46"/>
  <c r="L114" i="46"/>
  <c r="L117" i="46"/>
  <c r="M118" i="46"/>
  <c r="M127" i="46"/>
  <c r="M130" i="46"/>
  <c r="L119" i="46"/>
  <c r="M121" i="46"/>
  <c r="M131" i="46"/>
  <c r="N24" i="156" l="1"/>
  <c r="N24" i="155"/>
  <c r="N22" i="156"/>
  <c r="N22" i="155"/>
  <c r="N21" i="156"/>
  <c r="N21" i="155"/>
  <c r="N17" i="156"/>
  <c r="N17" i="155"/>
  <c r="M22" i="156"/>
  <c r="M22" i="155"/>
  <c r="M21" i="156"/>
  <c r="M21" i="155"/>
  <c r="M20" i="156"/>
  <c r="M20" i="155"/>
  <c r="N25" i="156"/>
  <c r="N25" i="155"/>
  <c r="M26" i="155"/>
  <c r="M26" i="156"/>
  <c r="M16" i="156"/>
  <c r="M16" i="155"/>
  <c r="N16" i="156"/>
  <c r="N16" i="155"/>
  <c r="M17" i="156"/>
  <c r="M17" i="155"/>
  <c r="N20" i="156"/>
  <c r="N20" i="155"/>
  <c r="M24" i="155"/>
  <c r="M24" i="156"/>
  <c r="M25" i="155"/>
  <c r="M25" i="156"/>
  <c r="N26" i="156"/>
  <c r="N26" i="155"/>
  <c r="M26" i="152"/>
  <c r="M26" i="154"/>
  <c r="M26" i="153"/>
  <c r="N17" i="152"/>
  <c r="N17" i="154"/>
  <c r="N17" i="153"/>
  <c r="M22" i="152"/>
  <c r="M22" i="154"/>
  <c r="M22" i="153"/>
  <c r="N20" i="152"/>
  <c r="N20" i="154"/>
  <c r="N20" i="153"/>
  <c r="N25" i="152"/>
  <c r="N25" i="154"/>
  <c r="N25" i="153"/>
  <c r="N24" i="152"/>
  <c r="N24" i="154"/>
  <c r="N24" i="153"/>
  <c r="N22" i="152"/>
  <c r="N22" i="154"/>
  <c r="N22" i="153"/>
  <c r="M21" i="152"/>
  <c r="M21" i="154"/>
  <c r="M21" i="153"/>
  <c r="M16" i="152"/>
  <c r="M16" i="154"/>
  <c r="M16" i="153"/>
  <c r="M20" i="152"/>
  <c r="M20" i="154"/>
  <c r="M20" i="153"/>
  <c r="M17" i="152"/>
  <c r="M17" i="154"/>
  <c r="M17" i="153"/>
  <c r="N21" i="152"/>
  <c r="N21" i="154"/>
  <c r="N21" i="153"/>
  <c r="M24" i="152"/>
  <c r="M24" i="154"/>
  <c r="M24" i="153"/>
  <c r="N16" i="152"/>
  <c r="N16" i="154"/>
  <c r="N16" i="153"/>
  <c r="M25" i="152"/>
  <c r="M25" i="154"/>
  <c r="M25" i="153"/>
  <c r="N26" i="152"/>
  <c r="N26" i="154"/>
  <c r="N26" i="153"/>
  <c r="N17" i="149"/>
  <c r="N17" i="151"/>
  <c r="N24" i="149"/>
  <c r="N24" i="151"/>
  <c r="N21" i="149"/>
  <c r="N21" i="151"/>
  <c r="M26" i="149"/>
  <c r="M26" i="151"/>
  <c r="M21" i="149"/>
  <c r="M21" i="151"/>
  <c r="N25" i="149"/>
  <c r="N25" i="151"/>
  <c r="M22" i="149"/>
  <c r="M22" i="151"/>
  <c r="N22" i="149"/>
  <c r="N22" i="151"/>
  <c r="M20" i="149"/>
  <c r="M20" i="151"/>
  <c r="M24" i="149"/>
  <c r="M24" i="151"/>
  <c r="N16" i="149"/>
  <c r="N16" i="151"/>
  <c r="M16" i="149"/>
  <c r="M16" i="151"/>
  <c r="M17" i="149"/>
  <c r="M17" i="151"/>
  <c r="N20" i="149"/>
  <c r="N20" i="151"/>
  <c r="M25" i="149"/>
  <c r="M25" i="151"/>
  <c r="N26" i="149"/>
  <c r="N26" i="151"/>
  <c r="N24" i="83"/>
  <c r="N24" i="143"/>
  <c r="N24" i="144"/>
  <c r="N24" i="84"/>
  <c r="N24" i="145"/>
  <c r="N24" i="146"/>
  <c r="N24" i="85"/>
  <c r="N24" i="147"/>
  <c r="N24" i="148"/>
  <c r="N24" i="75"/>
  <c r="M24" i="83"/>
  <c r="M24" i="144"/>
  <c r="M24" i="84"/>
  <c r="M24" i="145"/>
  <c r="M24" i="146"/>
  <c r="M24" i="85"/>
  <c r="M24" i="147"/>
  <c r="M24" i="148"/>
  <c r="M24" i="75"/>
  <c r="M24" i="143"/>
  <c r="N17" i="83"/>
  <c r="N17" i="144"/>
  <c r="N17" i="84"/>
  <c r="N17" i="145"/>
  <c r="N17" i="146"/>
  <c r="N17" i="85"/>
  <c r="N17" i="147"/>
  <c r="N17" i="148"/>
  <c r="N17" i="75"/>
  <c r="N17" i="143"/>
  <c r="M20" i="83"/>
  <c r="M20" i="143"/>
  <c r="M20" i="144"/>
  <c r="M20" i="84"/>
  <c r="M20" i="145"/>
  <c r="M20" i="146"/>
  <c r="M20" i="85"/>
  <c r="M20" i="147"/>
  <c r="M20" i="148"/>
  <c r="M20" i="75"/>
  <c r="M25" i="83"/>
  <c r="M25" i="143"/>
  <c r="M25" i="144"/>
  <c r="M25" i="84"/>
  <c r="M25" i="145"/>
  <c r="M25" i="146"/>
  <c r="M25" i="85"/>
  <c r="M25" i="147"/>
  <c r="M25" i="148"/>
  <c r="M25" i="75"/>
  <c r="M26" i="83"/>
  <c r="M26" i="75"/>
  <c r="M26" i="143"/>
  <c r="M26" i="144"/>
  <c r="M26" i="84"/>
  <c r="M26" i="145"/>
  <c r="M26" i="146"/>
  <c r="M26" i="85"/>
  <c r="M26" i="147"/>
  <c r="M26" i="148"/>
  <c r="N21" i="83"/>
  <c r="N21" i="144"/>
  <c r="N21" i="84"/>
  <c r="N21" i="145"/>
  <c r="N21" i="146"/>
  <c r="N21" i="85"/>
  <c r="N21" i="147"/>
  <c r="N21" i="148"/>
  <c r="N21" i="75"/>
  <c r="N21" i="143"/>
  <c r="N26" i="83"/>
  <c r="N26" i="144"/>
  <c r="N26" i="84"/>
  <c r="N26" i="145"/>
  <c r="N26" i="146"/>
  <c r="N26" i="85"/>
  <c r="N26" i="147"/>
  <c r="N26" i="148"/>
  <c r="N26" i="75"/>
  <c r="N26" i="143"/>
  <c r="M22" i="83"/>
  <c r="M22" i="143"/>
  <c r="M22" i="144"/>
  <c r="M22" i="84"/>
  <c r="M22" i="145"/>
  <c r="M22" i="146"/>
  <c r="M22" i="85"/>
  <c r="M22" i="147"/>
  <c r="M22" i="148"/>
  <c r="M22" i="75"/>
  <c r="N22" i="83"/>
  <c r="N22" i="143"/>
  <c r="N22" i="75"/>
  <c r="N22" i="144"/>
  <c r="N22" i="84"/>
  <c r="N22" i="145"/>
  <c r="N22" i="146"/>
  <c r="N22" i="85"/>
  <c r="N22" i="147"/>
  <c r="N22" i="148"/>
  <c r="M21" i="83"/>
  <c r="M21" i="146"/>
  <c r="M21" i="85"/>
  <c r="M21" i="147"/>
  <c r="M21" i="148"/>
  <c r="M21" i="75"/>
  <c r="M21" i="143"/>
  <c r="M21" i="144"/>
  <c r="M21" i="84"/>
  <c r="M21" i="145"/>
  <c r="M16" i="83"/>
  <c r="M16" i="75"/>
  <c r="M16" i="143"/>
  <c r="M16" i="144"/>
  <c r="M16" i="84"/>
  <c r="M16" i="145"/>
  <c r="M16" i="146"/>
  <c r="M16" i="85"/>
  <c r="M16" i="147"/>
  <c r="M16" i="148"/>
  <c r="M17" i="83"/>
  <c r="M17" i="144"/>
  <c r="M17" i="84"/>
  <c r="M17" i="145"/>
  <c r="M17" i="146"/>
  <c r="M17" i="85"/>
  <c r="M17" i="147"/>
  <c r="M17" i="148"/>
  <c r="M17" i="75"/>
  <c r="M17" i="143"/>
  <c r="N20" i="83"/>
  <c r="N20" i="144"/>
  <c r="N20" i="84"/>
  <c r="N20" i="145"/>
  <c r="N20" i="146"/>
  <c r="N20" i="85"/>
  <c r="N20" i="147"/>
  <c r="N20" i="148"/>
  <c r="N20" i="75"/>
  <c r="N20" i="143"/>
  <c r="N25" i="83"/>
  <c r="N25" i="143"/>
  <c r="N25" i="144"/>
  <c r="N25" i="84"/>
  <c r="N25" i="145"/>
  <c r="N25" i="146"/>
  <c r="N25" i="85"/>
  <c r="N25" i="147"/>
  <c r="N25" i="148"/>
  <c r="N25" i="75"/>
  <c r="N16" i="83"/>
  <c r="N16" i="75"/>
  <c r="N16" i="143"/>
  <c r="N16" i="144"/>
  <c r="N16" i="84"/>
  <c r="N16" i="145"/>
  <c r="N16" i="146"/>
  <c r="N16" i="85"/>
  <c r="N16" i="147"/>
  <c r="N16" i="148"/>
  <c r="N17" i="103"/>
  <c r="N24" i="103"/>
  <c r="N22" i="103"/>
  <c r="N21" i="103"/>
  <c r="N20" i="103"/>
  <c r="N25" i="103"/>
  <c r="N16" i="103"/>
  <c r="N26" i="103"/>
  <c r="M22" i="103"/>
  <c r="AD166" i="69"/>
  <c r="X166" i="69"/>
  <c r="AF166" i="69"/>
  <c r="Z166" i="69"/>
  <c r="AB166" i="69"/>
  <c r="T166" i="69"/>
  <c r="V166" i="69"/>
  <c r="AN166" i="69"/>
  <c r="AH166" i="69"/>
  <c r="AL166" i="69"/>
  <c r="R166" i="69"/>
  <c r="AJ166" i="69"/>
  <c r="M26" i="103"/>
  <c r="R170" i="69"/>
  <c r="AB170" i="69"/>
  <c r="T170" i="69"/>
  <c r="AL170" i="69"/>
  <c r="X170" i="69"/>
  <c r="AF170" i="69"/>
  <c r="AH170" i="69"/>
  <c r="AN170" i="69"/>
  <c r="AJ170" i="69"/>
  <c r="V170" i="69"/>
  <c r="AD170" i="69"/>
  <c r="Z170" i="69"/>
  <c r="M16" i="103"/>
  <c r="AN160" i="69"/>
  <c r="AH160" i="69"/>
  <c r="AB160" i="69"/>
  <c r="Z160" i="69"/>
  <c r="AF160" i="69"/>
  <c r="X160" i="69"/>
  <c r="T160" i="69"/>
  <c r="AL160" i="69"/>
  <c r="AD160" i="69"/>
  <c r="V160" i="69"/>
  <c r="AJ160" i="69"/>
  <c r="R160" i="69"/>
  <c r="AG165" i="69"/>
  <c r="AK165" i="69"/>
  <c r="AI165" i="69"/>
  <c r="AA165" i="69"/>
  <c r="AM165" i="69"/>
  <c r="AC165" i="69"/>
  <c r="Q165" i="69"/>
  <c r="S165" i="69"/>
  <c r="AE165" i="69"/>
  <c r="U165" i="69"/>
  <c r="Y165" i="69"/>
  <c r="W165" i="69"/>
  <c r="AC168" i="69"/>
  <c r="AK168" i="69"/>
  <c r="AE168" i="69"/>
  <c r="AI168" i="69"/>
  <c r="Q168" i="69"/>
  <c r="AA168" i="69"/>
  <c r="Y168" i="69"/>
  <c r="S168" i="69"/>
  <c r="W168" i="69"/>
  <c r="AM168" i="69"/>
  <c r="AG168" i="69"/>
  <c r="U168" i="69"/>
  <c r="AK169" i="69"/>
  <c r="AA169" i="69"/>
  <c r="AM169" i="69"/>
  <c r="Q169" i="69"/>
  <c r="AC169" i="69"/>
  <c r="U169" i="69"/>
  <c r="AE169" i="69"/>
  <c r="W169" i="69"/>
  <c r="AG169" i="69"/>
  <c r="AI169" i="69"/>
  <c r="S169" i="69"/>
  <c r="Y169" i="69"/>
  <c r="U161" i="69"/>
  <c r="AI161" i="69"/>
  <c r="AE161" i="69"/>
  <c r="W161" i="69"/>
  <c r="AM161" i="69"/>
  <c r="AA161" i="69"/>
  <c r="AK161" i="69"/>
  <c r="AG161" i="69"/>
  <c r="Q161" i="69"/>
  <c r="S161" i="69"/>
  <c r="AC161" i="69"/>
  <c r="Y161" i="69"/>
  <c r="AC166" i="69"/>
  <c r="U166" i="69"/>
  <c r="Q166" i="69"/>
  <c r="AE166" i="69"/>
  <c r="W166" i="69"/>
  <c r="AI166" i="69"/>
  <c r="AK166" i="69"/>
  <c r="AM166" i="69"/>
  <c r="Y166" i="69"/>
  <c r="AA166" i="69"/>
  <c r="S166" i="69"/>
  <c r="AG166" i="69"/>
  <c r="M24" i="103"/>
  <c r="AL168" i="69"/>
  <c r="AN168" i="69"/>
  <c r="AH168" i="69"/>
  <c r="Z168" i="69"/>
  <c r="T168" i="69"/>
  <c r="V168" i="69"/>
  <c r="AF168" i="69"/>
  <c r="R168" i="69"/>
  <c r="AJ168" i="69"/>
  <c r="AB168" i="69"/>
  <c r="X168" i="69"/>
  <c r="AD168" i="69"/>
  <c r="AE160" i="69"/>
  <c r="S160" i="69"/>
  <c r="AG160" i="69"/>
  <c r="AI160" i="69"/>
  <c r="AK160" i="69"/>
  <c r="AC160" i="69"/>
  <c r="AM160" i="69"/>
  <c r="AA160" i="69"/>
  <c r="U160" i="69"/>
  <c r="Y160" i="69"/>
  <c r="Q160" i="69"/>
  <c r="W160" i="69"/>
  <c r="M21" i="103"/>
  <c r="AL165" i="69"/>
  <c r="AF165" i="69"/>
  <c r="X165" i="69"/>
  <c r="R165" i="69"/>
  <c r="T165" i="69"/>
  <c r="AN165" i="69"/>
  <c r="AH165" i="69"/>
  <c r="AJ165" i="69"/>
  <c r="AD165" i="69"/>
  <c r="Z165" i="69"/>
  <c r="AB165" i="69"/>
  <c r="V165" i="69"/>
  <c r="M20" i="103"/>
  <c r="Z164" i="69"/>
  <c r="AL164" i="69"/>
  <c r="AH164" i="69"/>
  <c r="V164" i="69"/>
  <c r="AD164" i="69"/>
  <c r="AN164" i="69"/>
  <c r="AJ164" i="69"/>
  <c r="X164" i="69"/>
  <c r="R164" i="69"/>
  <c r="T164" i="69"/>
  <c r="AF164" i="69"/>
  <c r="AB164" i="69"/>
  <c r="M17" i="103"/>
  <c r="AH161" i="69"/>
  <c r="AJ161" i="69"/>
  <c r="AF161" i="69"/>
  <c r="R161" i="69"/>
  <c r="AB161" i="69"/>
  <c r="AN161" i="69"/>
  <c r="T161" i="69"/>
  <c r="AL161" i="69"/>
  <c r="AD161" i="69"/>
  <c r="Z161" i="69"/>
  <c r="V161" i="69"/>
  <c r="X161" i="69"/>
  <c r="U164" i="69"/>
  <c r="W164" i="69"/>
  <c r="AC164" i="69"/>
  <c r="Y164" i="69"/>
  <c r="Q164" i="69"/>
  <c r="AI164" i="69"/>
  <c r="AE164" i="69"/>
  <c r="AA164" i="69"/>
  <c r="S164" i="69"/>
  <c r="AG164" i="69"/>
  <c r="AK164" i="69"/>
  <c r="AM164" i="69"/>
  <c r="M25" i="103"/>
  <c r="Z169" i="69"/>
  <c r="AF169" i="69"/>
  <c r="AB169" i="69"/>
  <c r="R169" i="69"/>
  <c r="AL169" i="69"/>
  <c r="V169" i="69"/>
  <c r="AJ169" i="69"/>
  <c r="AD169" i="69"/>
  <c r="AN169" i="69"/>
  <c r="X169" i="69"/>
  <c r="T169" i="69"/>
  <c r="AH169" i="69"/>
  <c r="AK170" i="69"/>
  <c r="Y170" i="69"/>
  <c r="Q170" i="69"/>
  <c r="AM170" i="69"/>
  <c r="AA170" i="69"/>
  <c r="S170" i="69"/>
  <c r="AG170" i="69"/>
  <c r="W170" i="69"/>
  <c r="AC170" i="69"/>
  <c r="U170" i="69"/>
  <c r="AI170" i="69"/>
  <c r="AE170" i="69"/>
  <c r="B35" i="69"/>
  <c r="C47" i="69"/>
  <c r="C49" i="69"/>
  <c r="D54" i="69" l="1"/>
  <c r="D53" i="69"/>
  <c r="C50" i="69"/>
  <c r="C48" i="69"/>
  <c r="C55" i="69" l="1"/>
  <c r="J30" i="69"/>
  <c r="D30" i="69" s="1"/>
  <c r="J27" i="69"/>
  <c r="J26" i="69"/>
  <c r="J25" i="69"/>
  <c r="D25" i="69" s="1"/>
  <c r="G44" i="69" s="1"/>
  <c r="E30" i="69" l="1"/>
  <c r="E25" i="69"/>
  <c r="F25" i="69" s="1"/>
  <c r="F30" i="69" l="1"/>
  <c r="G54" i="69" s="1"/>
  <c r="G53" i="69"/>
  <c r="B9" i="69" l="1"/>
  <c r="B8" i="69"/>
  <c r="B7" i="69"/>
  <c r="E44" i="69"/>
  <c r="E51" i="69" l="1"/>
  <c r="E52" i="69"/>
  <c r="E50" i="69"/>
  <c r="E48" i="69"/>
  <c r="E46" i="69"/>
  <c r="E49" i="69"/>
  <c r="E47" i="69"/>
  <c r="E45" i="69"/>
  <c r="E54" i="69"/>
  <c r="F54" i="69" s="1"/>
  <c r="H54" i="69" s="1"/>
  <c r="B104" i="69" s="1"/>
  <c r="E53" i="69"/>
  <c r="F53" i="69" s="1"/>
  <c r="E87" i="46"/>
  <c r="C87" i="46"/>
  <c r="D87" i="46"/>
  <c r="F87" i="46"/>
  <c r="G87" i="46"/>
  <c r="H87" i="46"/>
  <c r="B87" i="46"/>
  <c r="E85" i="46"/>
  <c r="F85" i="46"/>
  <c r="G85" i="46"/>
  <c r="H85" i="46"/>
  <c r="C85" i="46"/>
  <c r="D85" i="46"/>
  <c r="B85" i="46"/>
  <c r="B73" i="46"/>
  <c r="B43" i="46"/>
  <c r="H53" i="69" l="1"/>
  <c r="H21" i="49"/>
  <c r="B103" i="69" l="1"/>
  <c r="C83" i="46"/>
  <c r="C84" i="46"/>
  <c r="D84" i="46"/>
  <c r="D83" i="46"/>
  <c r="E83" i="46"/>
  <c r="E84" i="46"/>
  <c r="F83" i="46"/>
  <c r="F84" i="46"/>
  <c r="G83" i="46"/>
  <c r="G84" i="46"/>
  <c r="H83" i="46"/>
  <c r="H84" i="46"/>
  <c r="I83" i="46"/>
  <c r="I84" i="46"/>
  <c r="B84" i="46"/>
  <c r="B83" i="46"/>
  <c r="A14" i="72" l="1"/>
  <c r="A10" i="72" l="1"/>
  <c r="A9" i="72"/>
  <c r="I30" i="72"/>
  <c r="H30" i="72"/>
  <c r="I27" i="72"/>
  <c r="H27" i="72"/>
  <c r="G27" i="72"/>
  <c r="I26" i="72"/>
  <c r="H26" i="72"/>
  <c r="G26" i="72"/>
  <c r="A70" i="72"/>
  <c r="A69" i="72"/>
  <c r="A68" i="72"/>
  <c r="A67" i="72"/>
  <c r="A66" i="72"/>
  <c r="A65" i="72"/>
  <c r="A64" i="72"/>
  <c r="B52" i="72"/>
  <c r="B44" i="72"/>
  <c r="B39" i="72"/>
  <c r="A16" i="72"/>
  <c r="C30" i="72" l="1"/>
  <c r="I33" i="72" s="1"/>
  <c r="I34" i="72" s="1"/>
  <c r="I54" i="72"/>
  <c r="G54" i="72"/>
  <c r="G77" i="72" s="1"/>
  <c r="H54" i="72"/>
  <c r="H77" i="72" s="1"/>
  <c r="G55" i="72"/>
  <c r="G78" i="72" s="1"/>
  <c r="H55" i="72"/>
  <c r="H78" i="72" s="1"/>
  <c r="I55" i="72"/>
  <c r="C54" i="72"/>
  <c r="C77" i="72" s="1"/>
  <c r="D54" i="72"/>
  <c r="D77" i="72" s="1"/>
  <c r="E87" i="72" s="1"/>
  <c r="G87" i="72" s="1"/>
  <c r="C55" i="72"/>
  <c r="C78" i="72" s="1"/>
  <c r="D55" i="72"/>
  <c r="D78" i="72" s="1"/>
  <c r="B55" i="72"/>
  <c r="B78" i="72" s="1"/>
  <c r="B54" i="72"/>
  <c r="B77" i="72" s="1"/>
  <c r="Y158" i="70"/>
  <c r="Y155" i="70"/>
  <c r="T12" i="103" l="1"/>
  <c r="H31" i="72"/>
  <c r="I31" i="72"/>
  <c r="H33" i="72"/>
  <c r="H34" i="72" s="1"/>
  <c r="E54" i="72" s="1"/>
  <c r="E77" i="72" s="1"/>
  <c r="F87" i="72" s="1"/>
  <c r="I59" i="70"/>
  <c r="F55" i="72"/>
  <c r="F78" i="72" s="1"/>
  <c r="F54" i="72"/>
  <c r="F77" i="72" s="1"/>
  <c r="E55" i="72"/>
  <c r="E78" i="72" s="1"/>
  <c r="B79" i="72"/>
  <c r="C79" i="72"/>
  <c r="D79" i="72"/>
  <c r="E102" i="72" s="1"/>
  <c r="G102" i="72" s="1"/>
  <c r="G79" i="72"/>
  <c r="H79" i="72"/>
  <c r="E48" i="72"/>
  <c r="B48" i="72"/>
  <c r="I48" i="72"/>
  <c r="D48" i="72"/>
  <c r="F48" i="72"/>
  <c r="C48" i="72"/>
  <c r="G48" i="72"/>
  <c r="H48" i="72"/>
  <c r="C102" i="70"/>
  <c r="C101" i="70"/>
  <c r="C100" i="70"/>
  <c r="C99" i="70"/>
  <c r="C98" i="70"/>
  <c r="C97" i="70"/>
  <c r="C96" i="70"/>
  <c r="C95" i="70"/>
  <c r="B38" i="70"/>
  <c r="T12" i="156" l="1"/>
  <c r="T28" i="156" s="1"/>
  <c r="T12" i="155"/>
  <c r="T28" i="155" s="1"/>
  <c r="T12" i="152"/>
  <c r="T28" i="152" s="1"/>
  <c r="T29" i="152" s="1"/>
  <c r="T12" i="154"/>
  <c r="T28" i="154" s="1"/>
  <c r="T12" i="153"/>
  <c r="T28" i="153" s="1"/>
  <c r="T12" i="149"/>
  <c r="T28" i="149" s="1"/>
  <c r="T27" i="149" s="1"/>
  <c r="T12" i="151"/>
  <c r="T28" i="151" s="1"/>
  <c r="T12" i="147"/>
  <c r="T28" i="147" s="1"/>
  <c r="T29" i="147" s="1"/>
  <c r="T12" i="148"/>
  <c r="T28" i="148" s="1"/>
  <c r="T12" i="145"/>
  <c r="T28" i="145" s="1"/>
  <c r="T29" i="145" s="1"/>
  <c r="T12" i="146"/>
  <c r="T28" i="146" s="1"/>
  <c r="T12" i="143"/>
  <c r="T28" i="143" s="1"/>
  <c r="T29" i="143" s="1"/>
  <c r="T12" i="144"/>
  <c r="T28" i="144" s="1"/>
  <c r="D59" i="70"/>
  <c r="C59" i="70"/>
  <c r="T12" i="85"/>
  <c r="T28" i="85" s="1"/>
  <c r="T12" i="75"/>
  <c r="T28" i="75" s="1"/>
  <c r="T12" i="84"/>
  <c r="T28" i="84" s="1"/>
  <c r="T28" i="103"/>
  <c r="T29" i="103" s="1"/>
  <c r="T12" i="83"/>
  <c r="T28" i="83" s="1"/>
  <c r="T27" i="83" s="1"/>
  <c r="H87" i="72"/>
  <c r="E79" i="72"/>
  <c r="Q59" i="70"/>
  <c r="P59" i="70" s="1"/>
  <c r="Y88" i="70" s="1"/>
  <c r="F79" i="72"/>
  <c r="H56" i="72"/>
  <c r="H58" i="72" s="1"/>
  <c r="D56" i="72"/>
  <c r="D58" i="72" s="1"/>
  <c r="I56" i="72"/>
  <c r="I58" i="72" s="1"/>
  <c r="E56" i="72"/>
  <c r="E58" i="72" s="1"/>
  <c r="G56" i="72"/>
  <c r="G58" i="72" s="1"/>
  <c r="F56" i="72"/>
  <c r="F64" i="72" s="1"/>
  <c r="F65" i="72" s="1"/>
  <c r="F66" i="72" s="1"/>
  <c r="F67" i="72" s="1"/>
  <c r="F68" i="72" s="1"/>
  <c r="F69" i="72" s="1"/>
  <c r="F70" i="72" s="1"/>
  <c r="B56" i="72"/>
  <c r="B58" i="72" s="1"/>
  <c r="C56" i="72"/>
  <c r="C58" i="72" s="1"/>
  <c r="T29" i="155" l="1"/>
  <c r="T27" i="155"/>
  <c r="T29" i="156"/>
  <c r="T27" i="156"/>
  <c r="T27" i="152"/>
  <c r="T29" i="153"/>
  <c r="T27" i="153"/>
  <c r="T29" i="154"/>
  <c r="T27" i="154"/>
  <c r="T29" i="149"/>
  <c r="T29" i="151"/>
  <c r="T27" i="151"/>
  <c r="T27" i="147"/>
  <c r="T29" i="148"/>
  <c r="T27" i="148"/>
  <c r="T27" i="145"/>
  <c r="T29" i="146"/>
  <c r="T27" i="146"/>
  <c r="T27" i="143"/>
  <c r="T29" i="144"/>
  <c r="T27" i="144"/>
  <c r="F59" i="70"/>
  <c r="T29" i="84"/>
  <c r="T27" i="84"/>
  <c r="T29" i="75"/>
  <c r="T27" i="75"/>
  <c r="T29" i="85"/>
  <c r="T27" i="85"/>
  <c r="T27" i="103"/>
  <c r="T29" i="83"/>
  <c r="S12" i="103"/>
  <c r="F102" i="72"/>
  <c r="H102" i="72" s="1"/>
  <c r="Y116" i="70"/>
  <c r="B64" i="72"/>
  <c r="B65" i="72" s="1"/>
  <c r="B66" i="72" s="1"/>
  <c r="B67" i="72" s="1"/>
  <c r="B68" i="72" s="1"/>
  <c r="B69" i="72" s="1"/>
  <c r="B70" i="72" s="1"/>
  <c r="H64" i="72"/>
  <c r="H65" i="72" s="1"/>
  <c r="H66" i="72" s="1"/>
  <c r="H67" i="72" s="1"/>
  <c r="H68" i="72" s="1"/>
  <c r="H69" i="72" s="1"/>
  <c r="H70" i="72" s="1"/>
  <c r="G64" i="72"/>
  <c r="G65" i="72" s="1"/>
  <c r="G66" i="72" s="1"/>
  <c r="G67" i="72" s="1"/>
  <c r="G68" i="72" s="1"/>
  <c r="G69" i="72" s="1"/>
  <c r="G70" i="72" s="1"/>
  <c r="D64" i="72"/>
  <c r="D65" i="72" s="1"/>
  <c r="D66" i="72" s="1"/>
  <c r="D67" i="72" s="1"/>
  <c r="D68" i="72" s="1"/>
  <c r="D69" i="72" s="1"/>
  <c r="D70" i="72" s="1"/>
  <c r="F58" i="72"/>
  <c r="E64" i="72"/>
  <c r="E65" i="72" s="1"/>
  <c r="E66" i="72" s="1"/>
  <c r="E67" i="72" s="1"/>
  <c r="E68" i="72" s="1"/>
  <c r="E69" i="72" s="1"/>
  <c r="E70" i="72" s="1"/>
  <c r="C64" i="72"/>
  <c r="C65" i="72" s="1"/>
  <c r="C66" i="72" s="1"/>
  <c r="C67" i="72" s="1"/>
  <c r="C68" i="72" s="1"/>
  <c r="C69" i="72" s="1"/>
  <c r="C70" i="72" s="1"/>
  <c r="S12" i="156" l="1"/>
  <c r="S28" i="156" s="1"/>
  <c r="S12" i="155"/>
  <c r="S28" i="155" s="1"/>
  <c r="S12" i="152"/>
  <c r="S28" i="152" s="1"/>
  <c r="S29" i="152" s="1"/>
  <c r="S12" i="154"/>
  <c r="S28" i="154" s="1"/>
  <c r="S12" i="153"/>
  <c r="S28" i="153" s="1"/>
  <c r="S12" i="149"/>
  <c r="S28" i="149" s="1"/>
  <c r="S27" i="149" s="1"/>
  <c r="S12" i="151"/>
  <c r="S28" i="151" s="1"/>
  <c r="S12" i="147"/>
  <c r="S28" i="147" s="1"/>
  <c r="S29" i="147" s="1"/>
  <c r="S12" i="148"/>
  <c r="S28" i="148" s="1"/>
  <c r="S12" i="145"/>
  <c r="S28" i="145" s="1"/>
  <c r="S29" i="145" s="1"/>
  <c r="S12" i="146"/>
  <c r="S28" i="146" s="1"/>
  <c r="S12" i="143"/>
  <c r="S28" i="143" s="1"/>
  <c r="S29" i="143" s="1"/>
  <c r="S12" i="144"/>
  <c r="S28" i="144" s="1"/>
  <c r="S12" i="85"/>
  <c r="S28" i="85" s="1"/>
  <c r="S12" i="75"/>
  <c r="S28" i="75" s="1"/>
  <c r="S12" i="84"/>
  <c r="S28" i="84" s="1"/>
  <c r="S28" i="103"/>
  <c r="S27" i="103" s="1"/>
  <c r="S12" i="83"/>
  <c r="S28" i="83" s="1"/>
  <c r="S27" i="83" s="1"/>
  <c r="S29" i="155" l="1"/>
  <c r="S27" i="155"/>
  <c r="S29" i="156"/>
  <c r="S27" i="156"/>
  <c r="S27" i="152"/>
  <c r="S29" i="153"/>
  <c r="S27" i="153"/>
  <c r="S29" i="154"/>
  <c r="S27" i="154"/>
  <c r="S29" i="149"/>
  <c r="S29" i="151"/>
  <c r="S27" i="151"/>
  <c r="S27" i="147"/>
  <c r="S29" i="148"/>
  <c r="S27" i="148"/>
  <c r="S27" i="145"/>
  <c r="S29" i="146"/>
  <c r="S27" i="146"/>
  <c r="S27" i="143"/>
  <c r="S29" i="144"/>
  <c r="S27" i="144"/>
  <c r="S29" i="84"/>
  <c r="S27" i="84"/>
  <c r="S29" i="75"/>
  <c r="S27" i="75"/>
  <c r="S29" i="85"/>
  <c r="S27" i="85"/>
  <c r="S29" i="103"/>
  <c r="S29" i="83"/>
  <c r="D135" i="41"/>
  <c r="V36" i="68" l="1"/>
  <c r="W25" i="68"/>
  <c r="V25" i="68"/>
  <c r="W24" i="68"/>
  <c r="V24" i="68"/>
  <c r="W23" i="68"/>
  <c r="V23" i="68"/>
  <c r="W22" i="68"/>
  <c r="W18" i="68"/>
  <c r="X60" i="68" s="1"/>
  <c r="V18" i="68"/>
  <c r="W17" i="68"/>
  <c r="X57" i="68" s="1"/>
  <c r="V17" i="68"/>
  <c r="W16" i="68"/>
  <c r="V16" i="68"/>
  <c r="W15" i="68"/>
  <c r="W11" i="68"/>
  <c r="V11" i="68"/>
  <c r="Y51" i="68" s="1"/>
  <c r="W10" i="68"/>
  <c r="V10" i="68"/>
  <c r="Y48" i="68" s="1"/>
  <c r="W9" i="68"/>
  <c r="V9" i="68"/>
  <c r="W8" i="68"/>
  <c r="AC7" i="68"/>
  <c r="AB7" i="68"/>
  <c r="AA7" i="68"/>
  <c r="Z7" i="68"/>
  <c r="Y7" i="68"/>
  <c r="Y46" i="68" l="1"/>
  <c r="W45" i="68"/>
  <c r="Y47" i="68"/>
  <c r="V45" i="68"/>
  <c r="AK51" i="68"/>
  <c r="Y57" i="68"/>
  <c r="AK48" i="68"/>
  <c r="X56" i="68"/>
  <c r="X62" i="68" s="1"/>
  <c r="Y62" i="68" s="1"/>
  <c r="X18" i="68"/>
  <c r="AJ18" i="68" s="1"/>
  <c r="Y60" i="68"/>
  <c r="X22" i="68"/>
  <c r="X24" i="68"/>
  <c r="X15" i="68"/>
  <c r="V19" i="68"/>
  <c r="W26" i="68"/>
  <c r="W14" i="68"/>
  <c r="X17" i="68"/>
  <c r="W7" i="68"/>
  <c r="W12" i="68"/>
  <c r="V21" i="68"/>
  <c r="X9" i="68"/>
  <c r="AJ9" i="68" s="1"/>
  <c r="X25" i="68"/>
  <c r="W19" i="68"/>
  <c r="V7" i="68"/>
  <c r="X11" i="68"/>
  <c r="AJ11" i="68" s="1"/>
  <c r="V14" i="68"/>
  <c r="W21" i="68"/>
  <c r="W32" i="68"/>
  <c r="X23" i="68"/>
  <c r="W36" i="68"/>
  <c r="V26" i="68"/>
  <c r="X8" i="68"/>
  <c r="AJ8" i="68" s="1"/>
  <c r="W35" i="68"/>
  <c r="X16" i="68"/>
  <c r="AJ16" i="68" s="1"/>
  <c r="V12" i="68"/>
  <c r="X10" i="68"/>
  <c r="AJ10" i="68" s="1"/>
  <c r="AH62" i="68" l="1"/>
  <c r="AI62" i="68"/>
  <c r="AJ62" i="68"/>
  <c r="AK62" i="68"/>
  <c r="AF62" i="68"/>
  <c r="AG62" i="68"/>
  <c r="AF18" i="68"/>
  <c r="AF60" i="68"/>
  <c r="AK60" i="68"/>
  <c r="AG60" i="68"/>
  <c r="AH60" i="68"/>
  <c r="AI60" i="68"/>
  <c r="AJ60" i="68"/>
  <c r="AM48" i="68"/>
  <c r="AL48" i="68"/>
  <c r="AM51" i="68"/>
  <c r="AL51" i="68"/>
  <c r="W78" i="68"/>
  <c r="X55" i="68"/>
  <c r="X67" i="68"/>
  <c r="Y67" i="68" s="1"/>
  <c r="AL18" i="68"/>
  <c r="AM18" i="68"/>
  <c r="AK18" i="68"/>
  <c r="AK47" i="68"/>
  <c r="AM16" i="68"/>
  <c r="AK16" i="68"/>
  <c r="AL16" i="68"/>
  <c r="AI18" i="68"/>
  <c r="AE79" i="68"/>
  <c r="X65" i="68"/>
  <c r="Y65" i="68" s="1"/>
  <c r="X35" i="68"/>
  <c r="X32" i="68"/>
  <c r="AF57" i="68"/>
  <c r="X66" i="68"/>
  <c r="AJ23" i="68"/>
  <c r="AL11" i="68"/>
  <c r="AM11" i="68"/>
  <c r="AK11" i="68"/>
  <c r="AH18" i="68"/>
  <c r="AL8" i="68"/>
  <c r="AK8" i="68"/>
  <c r="AM8" i="68"/>
  <c r="X70" i="68"/>
  <c r="Y70" i="68" s="1"/>
  <c r="AJ25" i="68"/>
  <c r="Y56" i="68"/>
  <c r="AM10" i="68"/>
  <c r="AL10" i="68"/>
  <c r="AK10" i="68"/>
  <c r="X36" i="68"/>
  <c r="AL9" i="68"/>
  <c r="AM9" i="68"/>
  <c r="AK9" i="68"/>
  <c r="AK46" i="68"/>
  <c r="Y45" i="68"/>
  <c r="W33" i="68"/>
  <c r="W79" i="68"/>
  <c r="V33" i="68"/>
  <c r="W34" i="68"/>
  <c r="W80" i="68"/>
  <c r="W31" i="68"/>
  <c r="W77" i="68"/>
  <c r="AH46" i="68"/>
  <c r="AJ46" i="68"/>
  <c r="AG46" i="68"/>
  <c r="AI46" i="68"/>
  <c r="AF46" i="68"/>
  <c r="V34" i="68"/>
  <c r="V64" i="68"/>
  <c r="V31" i="68"/>
  <c r="V54" i="68"/>
  <c r="AG18" i="68"/>
  <c r="W82" i="68"/>
  <c r="W81" i="68"/>
  <c r="AE18" i="68"/>
  <c r="AJ47" i="68"/>
  <c r="AG47" i="68"/>
  <c r="AF47" i="68"/>
  <c r="AI47" i="68"/>
  <c r="AH47" i="68"/>
  <c r="AI48" i="68"/>
  <c r="AJ48" i="68"/>
  <c r="AH48" i="68"/>
  <c r="AF48" i="68"/>
  <c r="AG48" i="68"/>
  <c r="AJ51" i="68"/>
  <c r="AF51" i="68"/>
  <c r="AI51" i="68"/>
  <c r="AG51" i="68"/>
  <c r="AH51" i="68"/>
  <c r="AE8" i="68"/>
  <c r="AF8" i="68"/>
  <c r="AI8" i="68"/>
  <c r="AH8" i="68"/>
  <c r="AG8" i="68"/>
  <c r="AI25" i="68"/>
  <c r="AE25" i="68"/>
  <c r="AH25" i="68"/>
  <c r="AG25" i="68"/>
  <c r="AF25" i="68"/>
  <c r="AI23" i="68"/>
  <c r="AH23" i="68"/>
  <c r="AG23" i="68"/>
  <c r="AE23" i="68"/>
  <c r="AF23" i="68"/>
  <c r="AE10" i="68"/>
  <c r="AF10" i="68"/>
  <c r="AI10" i="68"/>
  <c r="AH10" i="68"/>
  <c r="AG10" i="68"/>
  <c r="AI9" i="68"/>
  <c r="AH9" i="68"/>
  <c r="AG9" i="68"/>
  <c r="AF9" i="68"/>
  <c r="AE9" i="68"/>
  <c r="AI11" i="68"/>
  <c r="AH11" i="68"/>
  <c r="AF11" i="68"/>
  <c r="AE11" i="68"/>
  <c r="AG11" i="68"/>
  <c r="AI16" i="68"/>
  <c r="AH16" i="68"/>
  <c r="AG16" i="68"/>
  <c r="AF16" i="68"/>
  <c r="AE16" i="68"/>
  <c r="X7" i="68"/>
  <c r="AJ7" i="68" s="1"/>
  <c r="X14" i="68"/>
  <c r="X21" i="68"/>
  <c r="X26" i="68"/>
  <c r="Y24" i="68"/>
  <c r="AA17" i="68"/>
  <c r="Y17" i="68"/>
  <c r="AC17" i="68"/>
  <c r="AB17" i="68"/>
  <c r="Z17" i="68"/>
  <c r="X19" i="68"/>
  <c r="X12" i="68"/>
  <c r="AJ12" i="68" s="1"/>
  <c r="Y15" i="68"/>
  <c r="AB15" i="68"/>
  <c r="Y22" i="68"/>
  <c r="Z15" i="68"/>
  <c r="AC15" i="68"/>
  <c r="AA15" i="68"/>
  <c r="X72" i="68" l="1"/>
  <c r="Y72" i="68" s="1"/>
  <c r="AH72" i="68" s="1"/>
  <c r="AL62" i="68"/>
  <c r="AM62" i="68"/>
  <c r="AJ72" i="68"/>
  <c r="AG72" i="68"/>
  <c r="Y66" i="68"/>
  <c r="AF66" i="68" s="1"/>
  <c r="AG70" i="68"/>
  <c r="AF70" i="68"/>
  <c r="AI70" i="68"/>
  <c r="AJ70" i="68"/>
  <c r="AK70" i="68"/>
  <c r="AH70" i="68"/>
  <c r="AL60" i="68"/>
  <c r="AM60" i="68"/>
  <c r="Y55" i="68"/>
  <c r="AI55" i="68" s="1"/>
  <c r="AI78" i="68" s="1"/>
  <c r="Z54" i="68"/>
  <c r="AJ15" i="68"/>
  <c r="AM15" i="68" s="1"/>
  <c r="AJ17" i="68"/>
  <c r="AM17" i="68" s="1"/>
  <c r="AK57" i="68"/>
  <c r="AL47" i="68"/>
  <c r="AM47" i="68"/>
  <c r="AM46" i="68"/>
  <c r="AL46" i="68"/>
  <c r="X78" i="68"/>
  <c r="Y81" i="68"/>
  <c r="Y82" i="68"/>
  <c r="AF67" i="68"/>
  <c r="X79" i="68"/>
  <c r="AM23" i="68"/>
  <c r="AL23" i="68"/>
  <c r="AK23" i="68"/>
  <c r="AK45" i="68"/>
  <c r="Y79" i="68"/>
  <c r="AH57" i="68"/>
  <c r="AL25" i="68"/>
  <c r="AM25" i="68"/>
  <c r="AK25" i="68"/>
  <c r="AG57" i="68"/>
  <c r="V77" i="68"/>
  <c r="V80" i="68"/>
  <c r="AJ57" i="68"/>
  <c r="AI57" i="68"/>
  <c r="AL7" i="68"/>
  <c r="AM7" i="68"/>
  <c r="AK7" i="68"/>
  <c r="AM12" i="68"/>
  <c r="AL12" i="68"/>
  <c r="AK12" i="68"/>
  <c r="X82" i="68"/>
  <c r="AJ55" i="68"/>
  <c r="AH55" i="68"/>
  <c r="AH78" i="68" s="1"/>
  <c r="AG55" i="68"/>
  <c r="AG78" i="68" s="1"/>
  <c r="Y78" i="68"/>
  <c r="AK56" i="68"/>
  <c r="AJ56" i="68"/>
  <c r="AI56" i="68"/>
  <c r="AH56" i="68"/>
  <c r="AG56" i="68"/>
  <c r="AF56" i="68"/>
  <c r="X81" i="68"/>
  <c r="AE77" i="68"/>
  <c r="AE78" i="68"/>
  <c r="X64" i="68"/>
  <c r="X80" i="68" s="1"/>
  <c r="X54" i="68"/>
  <c r="X77" i="68" s="1"/>
  <c r="V79" i="68"/>
  <c r="AD79" i="68"/>
  <c r="AB79" i="68"/>
  <c r="AC79" i="68"/>
  <c r="Z64" i="68"/>
  <c r="Z78" i="68"/>
  <c r="AD78" i="68"/>
  <c r="AF45" i="68"/>
  <c r="AH45" i="68"/>
  <c r="AI45" i="68"/>
  <c r="AG45" i="68"/>
  <c r="AJ45" i="68"/>
  <c r="AC78" i="68"/>
  <c r="AB78" i="68"/>
  <c r="AA78" i="68"/>
  <c r="AG65" i="68"/>
  <c r="AG17" i="68"/>
  <c r="AH17" i="68"/>
  <c r="AI17" i="68"/>
  <c r="AE17" i="68"/>
  <c r="AD77" i="68"/>
  <c r="AC77" i="68"/>
  <c r="AA77" i="68"/>
  <c r="AB77" i="68"/>
  <c r="AI12" i="68"/>
  <c r="AH12" i="68"/>
  <c r="AG12" i="68"/>
  <c r="AF12" i="68"/>
  <c r="AE12" i="68"/>
  <c r="AE22" i="68"/>
  <c r="AH15" i="68"/>
  <c r="AH32" i="68" s="1"/>
  <c r="AG15" i="68"/>
  <c r="AG32" i="68" s="1"/>
  <c r="AF15" i="68"/>
  <c r="AF32" i="68" s="1"/>
  <c r="AE15" i="68"/>
  <c r="AE32" i="68" s="1"/>
  <c r="AI15" i="68"/>
  <c r="AE24" i="68"/>
  <c r="X34" i="68"/>
  <c r="AI7" i="68"/>
  <c r="AH7" i="68"/>
  <c r="AE7" i="68"/>
  <c r="AG7" i="68"/>
  <c r="AF7" i="68"/>
  <c r="AF17" i="68"/>
  <c r="X31" i="68"/>
  <c r="AC22" i="68"/>
  <c r="AC32" i="68"/>
  <c r="AC14" i="68"/>
  <c r="AC31" i="68" s="1"/>
  <c r="AC24" i="68"/>
  <c r="AC26" i="68" s="1"/>
  <c r="AC19" i="68"/>
  <c r="AC33" i="68" s="1"/>
  <c r="AA22" i="68"/>
  <c r="AA14" i="68"/>
  <c r="AA31" i="68" s="1"/>
  <c r="AA32" i="68"/>
  <c r="Z22" i="68"/>
  <c r="Z32" i="68"/>
  <c r="Z14" i="68"/>
  <c r="Z31" i="68" s="1"/>
  <c r="Y21" i="68"/>
  <c r="Y35" i="68"/>
  <c r="Y36" i="68"/>
  <c r="Y19" i="68"/>
  <c r="Y33" i="68" s="1"/>
  <c r="X33" i="68"/>
  <c r="AB24" i="68"/>
  <c r="AB26" i="68" s="1"/>
  <c r="AB19" i="68"/>
  <c r="AB33" i="68" s="1"/>
  <c r="AA24" i="68"/>
  <c r="AA26" i="68" s="1"/>
  <c r="AA19" i="68"/>
  <c r="AA33" i="68" s="1"/>
  <c r="Y32" i="68"/>
  <c r="Y14" i="68"/>
  <c r="Y26" i="68"/>
  <c r="AE26" i="68" s="1"/>
  <c r="Z24" i="68"/>
  <c r="Z26" i="68" s="1"/>
  <c r="Z19" i="68"/>
  <c r="Z33" i="68" s="1"/>
  <c r="AB22" i="68"/>
  <c r="AB32" i="68"/>
  <c r="AB14" i="68"/>
  <c r="AB31" i="68" s="1"/>
  <c r="AK72" i="68" l="1"/>
  <c r="AI72" i="68"/>
  <c r="AF72" i="68"/>
  <c r="AK55" i="68"/>
  <c r="AM55" i="68" s="1"/>
  <c r="AF55" i="68"/>
  <c r="AF78" i="68" s="1"/>
  <c r="AH66" i="68"/>
  <c r="AG66" i="68"/>
  <c r="AI66" i="68"/>
  <c r="AM72" i="68"/>
  <c r="AL72" i="68"/>
  <c r="AJ66" i="68"/>
  <c r="AK66" i="68"/>
  <c r="AL66" i="68" s="1"/>
  <c r="AJ32" i="68"/>
  <c r="AM32" i="68" s="1"/>
  <c r="AL70" i="68"/>
  <c r="AM70" i="68"/>
  <c r="Y64" i="68"/>
  <c r="Y80" i="68" s="1"/>
  <c r="Y54" i="68"/>
  <c r="AH54" i="68" s="1"/>
  <c r="AH77" i="68" s="1"/>
  <c r="AK17" i="68"/>
  <c r="AL17" i="68"/>
  <c r="AK15" i="68"/>
  <c r="AL15" i="68"/>
  <c r="AJ14" i="68"/>
  <c r="AM14" i="68" s="1"/>
  <c r="AJ67" i="68"/>
  <c r="AL57" i="68"/>
  <c r="AM57" i="68"/>
  <c r="AM56" i="68"/>
  <c r="AL56" i="68"/>
  <c r="AJ65" i="68"/>
  <c r="AK78" i="68"/>
  <c r="AM78" i="68" s="1"/>
  <c r="AL55" i="68"/>
  <c r="AL45" i="68"/>
  <c r="AM45" i="68"/>
  <c r="AF65" i="68"/>
  <c r="AH65" i="68"/>
  <c r="AJ26" i="68"/>
  <c r="AK67" i="68"/>
  <c r="AI65" i="68"/>
  <c r="AI81" i="68" s="1"/>
  <c r="AG67" i="68"/>
  <c r="AH67" i="68"/>
  <c r="AH22" i="68"/>
  <c r="AH35" i="68" s="1"/>
  <c r="AJ22" i="68"/>
  <c r="AJ19" i="68"/>
  <c r="AI67" i="68"/>
  <c r="Z82" i="68"/>
  <c r="Z81" i="68"/>
  <c r="AE80" i="68"/>
  <c r="AE82" i="68"/>
  <c r="AE81" i="68"/>
  <c r="AK65" i="68"/>
  <c r="AJ24" i="68"/>
  <c r="AB81" i="68"/>
  <c r="AB82" i="68"/>
  <c r="AD81" i="68"/>
  <c r="AD82" i="68"/>
  <c r="AC82" i="68"/>
  <c r="AC81" i="68"/>
  <c r="AJ78" i="68"/>
  <c r="AA81" i="68"/>
  <c r="AA82" i="68"/>
  <c r="AF26" i="68"/>
  <c r="Z77" i="68"/>
  <c r="AC80" i="68"/>
  <c r="AF14" i="68"/>
  <c r="AF31" i="68" s="1"/>
  <c r="AA80" i="68"/>
  <c r="AG22" i="68"/>
  <c r="AG36" i="68" s="1"/>
  <c r="AB80" i="68"/>
  <c r="AD80" i="68"/>
  <c r="Z80" i="68"/>
  <c r="Z79" i="68"/>
  <c r="AF79" i="68"/>
  <c r="AG26" i="68"/>
  <c r="AG14" i="68"/>
  <c r="AG31" i="68" s="1"/>
  <c r="AF24" i="68"/>
  <c r="AE14" i="68"/>
  <c r="AE31" i="68" s="1"/>
  <c r="AG24" i="68"/>
  <c r="AH24" i="68"/>
  <c r="AI32" i="68"/>
  <c r="AH14" i="68"/>
  <c r="AH31" i="68" s="1"/>
  <c r="AI24" i="68"/>
  <c r="AI22" i="68"/>
  <c r="AI14" i="68"/>
  <c r="AE19" i="68"/>
  <c r="AE33" i="68" s="1"/>
  <c r="AF22" i="68"/>
  <c r="AE21" i="68"/>
  <c r="AE34" i="68" s="1"/>
  <c r="AG19" i="68"/>
  <c r="AG33" i="68" s="1"/>
  <c r="AH26" i="68"/>
  <c r="AH19" i="68"/>
  <c r="AH33" i="68" s="1"/>
  <c r="AE36" i="68"/>
  <c r="AE35" i="68"/>
  <c r="AI26" i="68"/>
  <c r="AF19" i="68"/>
  <c r="AF33" i="68" s="1"/>
  <c r="AI19" i="68"/>
  <c r="Z21" i="68"/>
  <c r="Z34" i="68" s="1"/>
  <c r="Z35" i="68"/>
  <c r="Z36" i="68"/>
  <c r="AB35" i="68"/>
  <c r="AB36" i="68"/>
  <c r="AB21" i="68"/>
  <c r="AB34" i="68" s="1"/>
  <c r="Y34" i="68"/>
  <c r="Y31" i="68"/>
  <c r="AA35" i="68"/>
  <c r="AA36" i="68"/>
  <c r="AA21" i="68"/>
  <c r="AA34" i="68" s="1"/>
  <c r="AC36" i="68"/>
  <c r="AC21" i="68"/>
  <c r="AC34" i="68" s="1"/>
  <c r="AC35" i="68"/>
  <c r="AJ31" i="68" l="1"/>
  <c r="AK31" i="68" s="1"/>
  <c r="AK14" i="68"/>
  <c r="AL14" i="68"/>
  <c r="AF64" i="68"/>
  <c r="AF80" i="68" s="1"/>
  <c r="AL32" i="68"/>
  <c r="AK32" i="68"/>
  <c r="Y77" i="68"/>
  <c r="AF54" i="68"/>
  <c r="AF77" i="68" s="1"/>
  <c r="AJ54" i="68"/>
  <c r="AJ77" i="68" s="1"/>
  <c r="AK54" i="68"/>
  <c r="AM54" i="68" s="1"/>
  <c r="AI54" i="68"/>
  <c r="AI77" i="68" s="1"/>
  <c r="AG54" i="68"/>
  <c r="AG77" i="68" s="1"/>
  <c r="AM66" i="68"/>
  <c r="AH36" i="68"/>
  <c r="AL78" i="68"/>
  <c r="AL67" i="68"/>
  <c r="AM67" i="68"/>
  <c r="AI64" i="68"/>
  <c r="AI80" i="68" s="1"/>
  <c r="AM65" i="68"/>
  <c r="AL65" i="68"/>
  <c r="AJ64" i="68"/>
  <c r="AM26" i="68"/>
  <c r="AK26" i="68"/>
  <c r="AL26" i="68"/>
  <c r="AM24" i="68"/>
  <c r="AL24" i="68"/>
  <c r="AK24" i="68"/>
  <c r="AK81" i="68"/>
  <c r="AK82" i="68"/>
  <c r="AF82" i="68"/>
  <c r="AF81" i="68"/>
  <c r="AK22" i="68"/>
  <c r="AM22" i="68"/>
  <c r="AL22" i="68"/>
  <c r="AJ35" i="68"/>
  <c r="AJ36" i="68"/>
  <c r="AA79" i="68"/>
  <c r="AG79" i="68"/>
  <c r="AI79" i="68"/>
  <c r="AJ79" i="68"/>
  <c r="AH79" i="68"/>
  <c r="AK64" i="68"/>
  <c r="AM19" i="68"/>
  <c r="AL19" i="68"/>
  <c r="AK19" i="68"/>
  <c r="AJ33" i="68"/>
  <c r="AG64" i="68"/>
  <c r="AG80" i="68" s="1"/>
  <c r="AH64" i="68"/>
  <c r="AH80" i="68" s="1"/>
  <c r="AJ21" i="68"/>
  <c r="AI82" i="68"/>
  <c r="AH82" i="68"/>
  <c r="AH81" i="68"/>
  <c r="AG81" i="68"/>
  <c r="AG82" i="68"/>
  <c r="AJ81" i="68"/>
  <c r="AJ82" i="68"/>
  <c r="AF21" i="68"/>
  <c r="AF34" i="68" s="1"/>
  <c r="AG35" i="68"/>
  <c r="AI21" i="68"/>
  <c r="AI34" i="68" s="1"/>
  <c r="AI31" i="68"/>
  <c r="F36" i="83"/>
  <c r="AI36" i="68"/>
  <c r="AI35" i="68"/>
  <c r="AI33" i="68"/>
  <c r="AG21" i="68"/>
  <c r="AG34" i="68" s="1"/>
  <c r="E36" i="83"/>
  <c r="E36" i="84"/>
  <c r="AF35" i="68"/>
  <c r="AF36" i="68"/>
  <c r="AH21" i="68"/>
  <c r="AH34" i="68" s="1"/>
  <c r="AM31" i="68" l="1"/>
  <c r="AL31" i="68"/>
  <c r="AK77" i="68"/>
  <c r="AL77" i="68" s="1"/>
  <c r="F36" i="84"/>
  <c r="B87" i="68"/>
  <c r="B99" i="68" s="1"/>
  <c r="D99" i="68" s="1"/>
  <c r="AL54" i="68"/>
  <c r="AK79" i="68"/>
  <c r="AM79" i="68" s="1"/>
  <c r="AK80" i="68"/>
  <c r="AL80" i="68" s="1"/>
  <c r="AL64" i="68"/>
  <c r="AM64" i="68"/>
  <c r="AM81" i="68"/>
  <c r="AL81" i="68"/>
  <c r="AM82" i="68"/>
  <c r="AL82" i="68"/>
  <c r="AK21" i="68"/>
  <c r="AL21" i="68"/>
  <c r="AM21" i="68"/>
  <c r="AJ34" i="68"/>
  <c r="AM36" i="68"/>
  <c r="AL36" i="68"/>
  <c r="AK36" i="68"/>
  <c r="AL33" i="68"/>
  <c r="AK33" i="68"/>
  <c r="AM33" i="68"/>
  <c r="AM35" i="68"/>
  <c r="AL35" i="68"/>
  <c r="AK35" i="68"/>
  <c r="AJ80" i="68"/>
  <c r="E28" i="83"/>
  <c r="E29" i="83" s="1"/>
  <c r="F34" i="83"/>
  <c r="E28" i="84"/>
  <c r="E34" i="84"/>
  <c r="E34" i="83"/>
  <c r="F28" i="83"/>
  <c r="AB8" i="57"/>
  <c r="A5" i="58"/>
  <c r="D5" i="58"/>
  <c r="E5" i="58"/>
  <c r="F5" i="58"/>
  <c r="G5" i="58"/>
  <c r="H5" i="58"/>
  <c r="I5" i="58"/>
  <c r="A6" i="58"/>
  <c r="D6" i="58"/>
  <c r="E6" i="58"/>
  <c r="F6" i="58"/>
  <c r="G6" i="58"/>
  <c r="H6" i="58"/>
  <c r="I6" i="58"/>
  <c r="A7" i="58"/>
  <c r="D7" i="58"/>
  <c r="E7" i="58"/>
  <c r="F7" i="58"/>
  <c r="G7" i="58"/>
  <c r="H7" i="58"/>
  <c r="I7" i="58"/>
  <c r="A8" i="58"/>
  <c r="D8" i="58"/>
  <c r="E8" i="58"/>
  <c r="F8" i="58"/>
  <c r="G8" i="58"/>
  <c r="H8" i="58"/>
  <c r="I8" i="58"/>
  <c r="A9" i="58"/>
  <c r="D9" i="58"/>
  <c r="E9" i="58"/>
  <c r="F9" i="58"/>
  <c r="G9" i="58"/>
  <c r="H9" i="58"/>
  <c r="I9" i="58"/>
  <c r="A10" i="58"/>
  <c r="D10" i="58"/>
  <c r="E10" i="58"/>
  <c r="F10" i="58"/>
  <c r="G10" i="58"/>
  <c r="H10" i="58"/>
  <c r="I10" i="58"/>
  <c r="A11" i="58"/>
  <c r="D11" i="58"/>
  <c r="E11" i="58"/>
  <c r="F11" i="58"/>
  <c r="G11" i="58"/>
  <c r="H11" i="58"/>
  <c r="I11" i="58"/>
  <c r="A12" i="58"/>
  <c r="D12" i="58"/>
  <c r="E12" i="58"/>
  <c r="F12" i="58"/>
  <c r="G12" i="58"/>
  <c r="H12" i="58"/>
  <c r="I12" i="58"/>
  <c r="A13" i="58"/>
  <c r="D13" i="58"/>
  <c r="E13" i="58"/>
  <c r="F13" i="58"/>
  <c r="G13" i="58"/>
  <c r="H13" i="58"/>
  <c r="I13" i="58"/>
  <c r="A14" i="58"/>
  <c r="D14" i="58"/>
  <c r="E14" i="58"/>
  <c r="F14" i="58"/>
  <c r="G14" i="58"/>
  <c r="H14" i="58"/>
  <c r="I14" i="58"/>
  <c r="A15" i="58"/>
  <c r="D15" i="58"/>
  <c r="E15" i="58"/>
  <c r="F15" i="58"/>
  <c r="G15" i="58"/>
  <c r="H15" i="58"/>
  <c r="I15" i="58"/>
  <c r="A16" i="58"/>
  <c r="D16" i="58"/>
  <c r="E16" i="58"/>
  <c r="F16" i="58"/>
  <c r="G16" i="58"/>
  <c r="H16" i="58"/>
  <c r="I16" i="58"/>
  <c r="A17" i="58"/>
  <c r="D17" i="58"/>
  <c r="E17" i="58"/>
  <c r="F17" i="58"/>
  <c r="G17" i="58"/>
  <c r="H17" i="58"/>
  <c r="I17" i="58"/>
  <c r="A18" i="58"/>
  <c r="D18" i="58"/>
  <c r="E18" i="58"/>
  <c r="F18" i="58"/>
  <c r="G18" i="58"/>
  <c r="H18" i="58"/>
  <c r="I18" i="58"/>
  <c r="A19" i="58"/>
  <c r="D19" i="58"/>
  <c r="E19" i="58"/>
  <c r="F19" i="58"/>
  <c r="G19" i="58"/>
  <c r="H19" i="58"/>
  <c r="I19" i="58"/>
  <c r="A20" i="58"/>
  <c r="D20" i="58"/>
  <c r="E20" i="58"/>
  <c r="F20" i="58"/>
  <c r="G20" i="58"/>
  <c r="H20" i="58"/>
  <c r="I20" i="58"/>
  <c r="A21" i="58"/>
  <c r="D21" i="58"/>
  <c r="E21" i="58"/>
  <c r="F21" i="58"/>
  <c r="G21" i="58"/>
  <c r="H21" i="58"/>
  <c r="I21" i="58"/>
  <c r="A22" i="58"/>
  <c r="D22" i="58"/>
  <c r="E22" i="58"/>
  <c r="F22" i="58"/>
  <c r="G22" i="58"/>
  <c r="H22" i="58"/>
  <c r="I22" i="58"/>
  <c r="A23" i="58"/>
  <c r="D23" i="58"/>
  <c r="E23" i="58"/>
  <c r="F23" i="58"/>
  <c r="G23" i="58"/>
  <c r="H23" i="58"/>
  <c r="I23" i="58"/>
  <c r="A24" i="58"/>
  <c r="D24" i="58"/>
  <c r="E24" i="58"/>
  <c r="F24" i="58"/>
  <c r="G24" i="58"/>
  <c r="H24" i="58"/>
  <c r="I24" i="58"/>
  <c r="A25" i="58"/>
  <c r="D25" i="58"/>
  <c r="E25" i="58"/>
  <c r="F25" i="58"/>
  <c r="G25" i="58"/>
  <c r="H25" i="58"/>
  <c r="I25" i="58"/>
  <c r="A26" i="58"/>
  <c r="D26" i="58"/>
  <c r="E26" i="58"/>
  <c r="F26" i="58"/>
  <c r="G26" i="58"/>
  <c r="H26" i="58"/>
  <c r="I26" i="58"/>
  <c r="A27" i="58"/>
  <c r="D27" i="58"/>
  <c r="E27" i="58"/>
  <c r="F27" i="58"/>
  <c r="G27" i="58"/>
  <c r="H27" i="58"/>
  <c r="I27" i="58"/>
  <c r="A28" i="58"/>
  <c r="D28" i="58"/>
  <c r="E28" i="58"/>
  <c r="F28" i="58"/>
  <c r="G28" i="58"/>
  <c r="H28" i="58"/>
  <c r="I28" i="58"/>
  <c r="A29" i="58"/>
  <c r="D29" i="58"/>
  <c r="E29" i="58"/>
  <c r="F29" i="58"/>
  <c r="G29" i="58"/>
  <c r="H29" i="58"/>
  <c r="I29" i="58"/>
  <c r="A30" i="58"/>
  <c r="D30" i="58"/>
  <c r="E30" i="58"/>
  <c r="F30" i="58"/>
  <c r="G30" i="58"/>
  <c r="H30" i="58"/>
  <c r="I30" i="58"/>
  <c r="A31" i="58"/>
  <c r="D31" i="58"/>
  <c r="E31" i="58"/>
  <c r="F31" i="58"/>
  <c r="G31" i="58"/>
  <c r="H31" i="58"/>
  <c r="I31" i="58"/>
  <c r="A32" i="58"/>
  <c r="D32" i="58"/>
  <c r="E32" i="58"/>
  <c r="F32" i="58"/>
  <c r="G32" i="58"/>
  <c r="H32" i="58"/>
  <c r="I32" i="58"/>
  <c r="A33" i="58"/>
  <c r="D33" i="58"/>
  <c r="E33" i="58"/>
  <c r="F33" i="58"/>
  <c r="G33" i="58"/>
  <c r="H33" i="58"/>
  <c r="I33" i="58"/>
  <c r="A34" i="58"/>
  <c r="D34" i="58"/>
  <c r="E34" i="58"/>
  <c r="F34" i="58"/>
  <c r="G34" i="58"/>
  <c r="H34" i="58"/>
  <c r="I34" i="58"/>
  <c r="A35" i="58"/>
  <c r="D35" i="58"/>
  <c r="E35" i="58"/>
  <c r="F35" i="58"/>
  <c r="G35" i="58"/>
  <c r="H35" i="58"/>
  <c r="I35" i="58"/>
  <c r="A36" i="58"/>
  <c r="D36" i="58"/>
  <c r="E36" i="58"/>
  <c r="F36" i="58"/>
  <c r="G36" i="58"/>
  <c r="H36" i="58"/>
  <c r="I36" i="58"/>
  <c r="A37" i="58"/>
  <c r="D37" i="58"/>
  <c r="E37" i="58"/>
  <c r="F37" i="58"/>
  <c r="G37" i="58"/>
  <c r="H37" i="58"/>
  <c r="I37" i="58"/>
  <c r="A38" i="58"/>
  <c r="D38" i="58"/>
  <c r="E38" i="58"/>
  <c r="F38" i="58"/>
  <c r="G38" i="58"/>
  <c r="H38" i="58"/>
  <c r="I38" i="58"/>
  <c r="A39" i="58"/>
  <c r="D39" i="58"/>
  <c r="E39" i="58"/>
  <c r="F39" i="58"/>
  <c r="G39" i="58"/>
  <c r="H39" i="58"/>
  <c r="I39" i="58"/>
  <c r="X9" i="57"/>
  <c r="X13" i="57"/>
  <c r="Z13" i="57"/>
  <c r="X16" i="57"/>
  <c r="AB16" i="57"/>
  <c r="AB19" i="57"/>
  <c r="AC19" i="57"/>
  <c r="Z20" i="57"/>
  <c r="Y20" i="57"/>
  <c r="AB20" i="57"/>
  <c r="X21" i="57"/>
  <c r="X25" i="57"/>
  <c r="Z25" i="57"/>
  <c r="A41" i="57"/>
  <c r="A42" i="57" s="1"/>
  <c r="A43" i="57" s="1"/>
  <c r="A44" i="57" s="1"/>
  <c r="A45" i="57" s="1"/>
  <c r="A46" i="57" s="1"/>
  <c r="A47" i="57" s="1"/>
  <c r="A48" i="57" s="1"/>
  <c r="A49" i="57" s="1"/>
  <c r="A50" i="57" s="1"/>
  <c r="A51" i="57" s="1"/>
  <c r="A52" i="57" s="1"/>
  <c r="A53" i="57" s="1"/>
  <c r="A54" i="57" s="1"/>
  <c r="A55" i="57" s="1"/>
  <c r="A56" i="57" s="1"/>
  <c r="A61" i="57"/>
  <c r="A62" i="57" s="1"/>
  <c r="A63" i="57" s="1"/>
  <c r="A64" i="57" s="1"/>
  <c r="A65" i="57" s="1"/>
  <c r="A66" i="57" s="1"/>
  <c r="A67" i="57" s="1"/>
  <c r="A68" i="57" s="1"/>
  <c r="A69" i="57" s="1"/>
  <c r="A70" i="57" s="1"/>
  <c r="A71" i="57" s="1"/>
  <c r="A72" i="57" s="1"/>
  <c r="A73" i="57" s="1"/>
  <c r="A74" i="57" s="1"/>
  <c r="A75" i="57" s="1"/>
  <c r="A76" i="57" s="1"/>
  <c r="S84" i="57"/>
  <c r="D96" i="57"/>
  <c r="P85" i="57"/>
  <c r="A110" i="57" s="1"/>
  <c r="D100" i="57"/>
  <c r="G100" i="57" s="1"/>
  <c r="A91" i="57"/>
  <c r="E91" i="57"/>
  <c r="H91" i="57" s="1"/>
  <c r="G91" i="57"/>
  <c r="A92" i="57"/>
  <c r="D92" i="57"/>
  <c r="G92" i="57" s="1"/>
  <c r="E92" i="57"/>
  <c r="A93" i="57"/>
  <c r="E93" i="57"/>
  <c r="H93" i="57" s="1"/>
  <c r="A94" i="57"/>
  <c r="E94" i="57"/>
  <c r="H94" i="57" s="1"/>
  <c r="A95" i="57"/>
  <c r="D95" i="57"/>
  <c r="G95" i="57" s="1"/>
  <c r="E95" i="57"/>
  <c r="A96" i="57"/>
  <c r="E96" i="57"/>
  <c r="A97" i="57"/>
  <c r="E97" i="57"/>
  <c r="H97" i="57" s="1"/>
  <c r="A98" i="57"/>
  <c r="D98" i="57"/>
  <c r="G98" i="57" s="1"/>
  <c r="E98" i="57"/>
  <c r="A99" i="57"/>
  <c r="D99" i="57"/>
  <c r="E99" i="57"/>
  <c r="H99" i="57" s="1"/>
  <c r="A100" i="57"/>
  <c r="E100" i="57"/>
  <c r="A101" i="57"/>
  <c r="G101" i="57"/>
  <c r="H101" i="57"/>
  <c r="A102" i="57"/>
  <c r="G102" i="57"/>
  <c r="H102" i="57"/>
  <c r="A103" i="57"/>
  <c r="G103" i="57"/>
  <c r="H103" i="57"/>
  <c r="A104" i="57"/>
  <c r="G104" i="57"/>
  <c r="H104" i="57"/>
  <c r="A105" i="57"/>
  <c r="G105" i="57"/>
  <c r="H105" i="57"/>
  <c r="A106" i="57"/>
  <c r="G106" i="57"/>
  <c r="H106" i="57"/>
  <c r="A107" i="57"/>
  <c r="A108" i="57" s="1"/>
  <c r="D107" i="57"/>
  <c r="E107" i="57"/>
  <c r="H107" i="57" s="1"/>
  <c r="D108" i="57"/>
  <c r="E108" i="57"/>
  <c r="H108" i="57" s="1"/>
  <c r="D109" i="57"/>
  <c r="G109" i="57" s="1"/>
  <c r="E109" i="57"/>
  <c r="H109" i="57" s="1"/>
  <c r="D110" i="57"/>
  <c r="E110" i="57"/>
  <c r="H110" i="57" s="1"/>
  <c r="C120" i="57"/>
  <c r="C124" i="57" s="1"/>
  <c r="D120" i="57"/>
  <c r="D124" i="57" s="1"/>
  <c r="E120" i="57"/>
  <c r="E124" i="57" s="1"/>
  <c r="G120" i="57"/>
  <c r="H120" i="57"/>
  <c r="J120" i="57"/>
  <c r="J124" i="57" s="1"/>
  <c r="K120" i="57"/>
  <c r="K124" i="57" s="1"/>
  <c r="L120" i="57"/>
  <c r="L124" i="57" s="1"/>
  <c r="N120" i="57"/>
  <c r="O120" i="57"/>
  <c r="D131" i="57"/>
  <c r="G131" i="57"/>
  <c r="K131" i="57"/>
  <c r="N131" i="57"/>
  <c r="C21" i="49"/>
  <c r="AM77" i="68" l="1"/>
  <c r="E36" i="103"/>
  <c r="F36" i="103"/>
  <c r="F34" i="84"/>
  <c r="F28" i="84"/>
  <c r="F27" i="84" s="1"/>
  <c r="B101" i="68"/>
  <c r="D101" i="68" s="1"/>
  <c r="B89" i="68"/>
  <c r="B90" i="68" s="1"/>
  <c r="AL79" i="68"/>
  <c r="AM80" i="68"/>
  <c r="AK34" i="68"/>
  <c r="AM34" i="68"/>
  <c r="AL34" i="68"/>
  <c r="E27" i="83"/>
  <c r="E36" i="85"/>
  <c r="E36" i="75"/>
  <c r="E29" i="84"/>
  <c r="E27" i="84"/>
  <c r="F36" i="75"/>
  <c r="F36" i="85"/>
  <c r="F29" i="83"/>
  <c r="F27" i="83"/>
  <c r="AC8" i="57"/>
  <c r="Y9" i="57"/>
  <c r="Y13" i="57"/>
  <c r="AC16" i="57"/>
  <c r="Y17" i="57"/>
  <c r="AC20" i="57"/>
  <c r="Y25" i="57"/>
  <c r="G21" i="49"/>
  <c r="J39" i="35" s="1"/>
  <c r="L39" i="35" s="1"/>
  <c r="Y10" i="57"/>
  <c r="AC13" i="57"/>
  <c r="Y14" i="57"/>
  <c r="AC17" i="57"/>
  <c r="Y18" i="57"/>
  <c r="Z19" i="57"/>
  <c r="Y22" i="57"/>
  <c r="X18" i="57"/>
  <c r="X22" i="57"/>
  <c r="AB25" i="57"/>
  <c r="AB14" i="57"/>
  <c r="AC11" i="57"/>
  <c r="Y12" i="57"/>
  <c r="Y16" i="57"/>
  <c r="Z8" i="57"/>
  <c r="Z16" i="57"/>
  <c r="AC7" i="57"/>
  <c r="X15" i="57"/>
  <c r="X19" i="57"/>
  <c r="AB22" i="57"/>
  <c r="AC14" i="57"/>
  <c r="Y15" i="57"/>
  <c r="Y19" i="57"/>
  <c r="AC22" i="57"/>
  <c r="X6" i="57"/>
  <c r="X10" i="57"/>
  <c r="AB13" i="57"/>
  <c r="AB17" i="57"/>
  <c r="AC10" i="57"/>
  <c r="AB7" i="57"/>
  <c r="AB11" i="57"/>
  <c r="X12" i="57"/>
  <c r="L26" i="57"/>
  <c r="L64" i="57" s="1"/>
  <c r="Z7" i="57"/>
  <c r="Z10" i="57"/>
  <c r="Z14" i="57"/>
  <c r="AB10" i="57"/>
  <c r="Y7" i="57"/>
  <c r="R26" i="57"/>
  <c r="R75" i="57" s="1"/>
  <c r="Z22" i="57"/>
  <c r="X7" i="57"/>
  <c r="Y8" i="57"/>
  <c r="Y11" i="57"/>
  <c r="V26" i="57"/>
  <c r="V71" i="57" s="1"/>
  <c r="Z6" i="57"/>
  <c r="E26" i="57"/>
  <c r="Y21" i="57"/>
  <c r="G110" i="57"/>
  <c r="D97" i="57"/>
  <c r="D93" i="57"/>
  <c r="G107" i="57"/>
  <c r="A77" i="57"/>
  <c r="A78" i="57" s="1"/>
  <c r="A79" i="57"/>
  <c r="H96" i="57"/>
  <c r="G108" i="57"/>
  <c r="G96" i="57"/>
  <c r="AB21" i="57"/>
  <c r="AC18" i="57"/>
  <c r="AB6" i="57"/>
  <c r="U26" i="57"/>
  <c r="D94" i="57"/>
  <c r="D26" i="57"/>
  <c r="D62" i="57" s="1"/>
  <c r="Y6" i="57"/>
  <c r="A59" i="57"/>
  <c r="A57" i="57"/>
  <c r="A58" i="57" s="1"/>
  <c r="X11" i="57"/>
  <c r="N26" i="57"/>
  <c r="G99" i="57"/>
  <c r="H92" i="57"/>
  <c r="H98" i="57"/>
  <c r="H100" i="57"/>
  <c r="Z18" i="57"/>
  <c r="AB18" i="57"/>
  <c r="AC15" i="57"/>
  <c r="S26" i="57"/>
  <c r="C26" i="57"/>
  <c r="C71" i="57" s="1"/>
  <c r="X8" i="57"/>
  <c r="AC25" i="57"/>
  <c r="J26" i="57"/>
  <c r="J73" i="57" s="1"/>
  <c r="X20" i="57"/>
  <c r="Z15" i="57"/>
  <c r="Z17" i="57"/>
  <c r="AB15" i="57"/>
  <c r="AC12" i="57"/>
  <c r="O26" i="57"/>
  <c r="X17" i="57"/>
  <c r="Z12" i="57"/>
  <c r="AC9" i="57"/>
  <c r="K26" i="57"/>
  <c r="K74" i="57" s="1"/>
  <c r="AC21" i="57"/>
  <c r="AB12" i="57"/>
  <c r="H95" i="57"/>
  <c r="Z9" i="57"/>
  <c r="AC6" i="57"/>
  <c r="Q26" i="57"/>
  <c r="Z21" i="57"/>
  <c r="X14" i="57"/>
  <c r="Z11" i="57"/>
  <c r="AB9" i="57"/>
  <c r="D63" i="46"/>
  <c r="J81" i="46"/>
  <c r="J78" i="46"/>
  <c r="F29" i="84" l="1"/>
  <c r="F34" i="85"/>
  <c r="F28" i="85"/>
  <c r="F28" i="103"/>
  <c r="F34" i="103"/>
  <c r="E34" i="75"/>
  <c r="E28" i="75"/>
  <c r="E34" i="103"/>
  <c r="E28" i="103"/>
  <c r="F28" i="75"/>
  <c r="F34" i="75"/>
  <c r="E34" i="85"/>
  <c r="E28" i="85"/>
  <c r="K39" i="35"/>
  <c r="R73" i="57"/>
  <c r="K69" i="57"/>
  <c r="I88" i="46"/>
  <c r="I87" i="46"/>
  <c r="L71" i="57"/>
  <c r="L68" i="57"/>
  <c r="L65" i="57"/>
  <c r="D79" i="57"/>
  <c r="L77" i="57"/>
  <c r="L74" i="57"/>
  <c r="L76" i="57"/>
  <c r="L62" i="57"/>
  <c r="L32" i="57"/>
  <c r="L54" i="57" s="1"/>
  <c r="L75" i="57"/>
  <c r="L72" i="57"/>
  <c r="L61" i="57"/>
  <c r="L66" i="57"/>
  <c r="L78" i="57"/>
  <c r="L79" i="57"/>
  <c r="L63" i="57"/>
  <c r="L67" i="57"/>
  <c r="D76" i="57"/>
  <c r="D72" i="57"/>
  <c r="L122" i="57"/>
  <c r="R39" i="35"/>
  <c r="Q39" i="35"/>
  <c r="P39" i="35"/>
  <c r="R76" i="57"/>
  <c r="R61" i="57"/>
  <c r="R65" i="57"/>
  <c r="R63" i="57"/>
  <c r="R72" i="57"/>
  <c r="R68" i="57"/>
  <c r="R67" i="57"/>
  <c r="R70" i="57"/>
  <c r="R69" i="57"/>
  <c r="R71" i="57"/>
  <c r="R64" i="57"/>
  <c r="R60" i="57"/>
  <c r="R74" i="57"/>
  <c r="L69" i="57"/>
  <c r="R32" i="57"/>
  <c r="R77" i="57"/>
  <c r="L70" i="57"/>
  <c r="R79" i="57"/>
  <c r="L73" i="57"/>
  <c r="R78" i="57"/>
  <c r="L60" i="57"/>
  <c r="R66" i="57"/>
  <c r="K68" i="57"/>
  <c r="V68" i="57"/>
  <c r="D68" i="57"/>
  <c r="R62" i="57"/>
  <c r="D64" i="57"/>
  <c r="D65" i="57"/>
  <c r="D73" i="57"/>
  <c r="V72" i="57"/>
  <c r="V75" i="57"/>
  <c r="V63" i="57"/>
  <c r="V74" i="57"/>
  <c r="E76" i="57"/>
  <c r="E32" i="57"/>
  <c r="Q65" i="57"/>
  <c r="Q32" i="57"/>
  <c r="D60" i="57"/>
  <c r="D32" i="57"/>
  <c r="V32" i="57"/>
  <c r="V34" i="57" s="1"/>
  <c r="C77" i="57"/>
  <c r="C32" i="57"/>
  <c r="V79" i="57"/>
  <c r="K75" i="57"/>
  <c r="K32" i="57"/>
  <c r="S79" i="57"/>
  <c r="S32" i="57"/>
  <c r="V67" i="57"/>
  <c r="V69" i="57"/>
  <c r="V78" i="57"/>
  <c r="G79" i="57"/>
  <c r="O110" i="57" s="1"/>
  <c r="G32" i="57"/>
  <c r="O78" i="57"/>
  <c r="AB109" i="57" s="1"/>
  <c r="O32" i="57"/>
  <c r="N76" i="57"/>
  <c r="AA107" i="57" s="1"/>
  <c r="N32" i="57"/>
  <c r="J70" i="57"/>
  <c r="J32" i="57"/>
  <c r="K71" i="57"/>
  <c r="H77" i="57"/>
  <c r="H32" i="57"/>
  <c r="V66" i="57"/>
  <c r="U32" i="57"/>
  <c r="U43" i="57" s="1"/>
  <c r="K72" i="57"/>
  <c r="D61" i="57"/>
  <c r="D71" i="57"/>
  <c r="D78" i="57"/>
  <c r="V77" i="57"/>
  <c r="K77" i="57"/>
  <c r="K60" i="57"/>
  <c r="C68" i="57"/>
  <c r="C62" i="57"/>
  <c r="C74" i="57"/>
  <c r="D67" i="57"/>
  <c r="D77" i="57"/>
  <c r="J76" i="57"/>
  <c r="V64" i="57"/>
  <c r="D70" i="57"/>
  <c r="D74" i="57"/>
  <c r="V61" i="57"/>
  <c r="U70" i="57"/>
  <c r="U67" i="57"/>
  <c r="U64" i="57"/>
  <c r="U61" i="57"/>
  <c r="U78" i="57"/>
  <c r="U72" i="57"/>
  <c r="U62" i="57"/>
  <c r="U75" i="57"/>
  <c r="K65" i="57"/>
  <c r="E63" i="57"/>
  <c r="E66" i="57"/>
  <c r="Q74" i="57"/>
  <c r="E73" i="57"/>
  <c r="E67" i="57"/>
  <c r="E72" i="57"/>
  <c r="E64" i="57"/>
  <c r="Q68" i="57"/>
  <c r="E60" i="57"/>
  <c r="E70" i="57"/>
  <c r="E69" i="57"/>
  <c r="E61" i="57"/>
  <c r="E78" i="57"/>
  <c r="Q71" i="57"/>
  <c r="K63" i="57"/>
  <c r="V65" i="57"/>
  <c r="U69" i="57"/>
  <c r="K66" i="57"/>
  <c r="Q77" i="57"/>
  <c r="U60" i="57"/>
  <c r="V62" i="57"/>
  <c r="U66" i="57"/>
  <c r="U74" i="57"/>
  <c r="V76" i="57"/>
  <c r="U71" i="57"/>
  <c r="E79" i="57"/>
  <c r="D66" i="57"/>
  <c r="V73" i="57"/>
  <c r="U76" i="57"/>
  <c r="U68" i="57"/>
  <c r="E75" i="57"/>
  <c r="D69" i="57"/>
  <c r="V70" i="57"/>
  <c r="U73" i="57"/>
  <c r="U65" i="57"/>
  <c r="S68" i="57"/>
  <c r="S65" i="57"/>
  <c r="H60" i="57"/>
  <c r="H64" i="57"/>
  <c r="G94" i="57"/>
  <c r="S70" i="57"/>
  <c r="H65" i="57"/>
  <c r="P96" i="57" s="1"/>
  <c r="S61" i="57"/>
  <c r="H61" i="57"/>
  <c r="P92" i="57" s="1"/>
  <c r="H72" i="57"/>
  <c r="H67" i="57"/>
  <c r="P98" i="57" s="1"/>
  <c r="S73" i="57"/>
  <c r="H68" i="57"/>
  <c r="H69" i="57"/>
  <c r="P100" i="57" s="1"/>
  <c r="H78" i="57"/>
  <c r="H62" i="57"/>
  <c r="J79" i="57"/>
  <c r="J62" i="57"/>
  <c r="J65" i="57"/>
  <c r="J68" i="57"/>
  <c r="J71" i="57"/>
  <c r="J74" i="57"/>
  <c r="J77" i="57"/>
  <c r="J60" i="57"/>
  <c r="J63" i="57"/>
  <c r="J66" i="57"/>
  <c r="J69" i="57"/>
  <c r="J72" i="57"/>
  <c r="J75" i="57"/>
  <c r="J78" i="57"/>
  <c r="J122" i="57"/>
  <c r="J64" i="57"/>
  <c r="H70" i="57"/>
  <c r="S77" i="57"/>
  <c r="G97" i="57"/>
  <c r="S76" i="57"/>
  <c r="G61" i="57"/>
  <c r="G64" i="57"/>
  <c r="G67" i="57"/>
  <c r="G70" i="57"/>
  <c r="G73" i="57"/>
  <c r="G76" i="57"/>
  <c r="G63" i="57"/>
  <c r="G60" i="57"/>
  <c r="G74" i="57"/>
  <c r="G78" i="57"/>
  <c r="G71" i="57"/>
  <c r="G75" i="57"/>
  <c r="G68" i="57"/>
  <c r="O99" i="57" s="1"/>
  <c r="G72" i="57"/>
  <c r="G65" i="57"/>
  <c r="G69" i="57"/>
  <c r="G62" i="57"/>
  <c r="G77" i="57"/>
  <c r="G66" i="57"/>
  <c r="G122" i="57"/>
  <c r="H74" i="57"/>
  <c r="H75" i="57"/>
  <c r="S71" i="57"/>
  <c r="O60" i="57"/>
  <c r="O63" i="57"/>
  <c r="O66" i="57"/>
  <c r="O69" i="57"/>
  <c r="O72" i="57"/>
  <c r="O75" i="57"/>
  <c r="O62" i="57"/>
  <c r="O65" i="57"/>
  <c r="AB96" i="57" s="1"/>
  <c r="O68" i="57"/>
  <c r="O71" i="57"/>
  <c r="O74" i="57"/>
  <c r="O77" i="57"/>
  <c r="O61" i="57"/>
  <c r="O64" i="57"/>
  <c r="AB95" i="57" s="1"/>
  <c r="O67" i="57"/>
  <c r="O70" i="57"/>
  <c r="O73" i="57"/>
  <c r="O76" i="57"/>
  <c r="O79" i="57"/>
  <c r="O122" i="57"/>
  <c r="S74" i="57"/>
  <c r="J61" i="57"/>
  <c r="E74" i="57"/>
  <c r="E71" i="57"/>
  <c r="E68" i="57"/>
  <c r="E65" i="57"/>
  <c r="E62" i="57"/>
  <c r="E122" i="57"/>
  <c r="E77" i="57"/>
  <c r="S64" i="57"/>
  <c r="H71" i="57"/>
  <c r="Q61" i="57"/>
  <c r="Q64" i="57"/>
  <c r="Q67" i="57"/>
  <c r="Q70" i="57"/>
  <c r="Q73" i="57"/>
  <c r="Q76" i="57"/>
  <c r="Q79" i="57"/>
  <c r="Q63" i="57"/>
  <c r="Q60" i="57"/>
  <c r="Q78" i="57"/>
  <c r="Q75" i="57"/>
  <c r="Q72" i="57"/>
  <c r="Q69" i="57"/>
  <c r="Q66" i="57"/>
  <c r="K61" i="57"/>
  <c r="K67" i="57"/>
  <c r="K70" i="57"/>
  <c r="K73" i="57"/>
  <c r="K76" i="57"/>
  <c r="K79" i="57"/>
  <c r="K122" i="57"/>
  <c r="K78" i="57"/>
  <c r="K62" i="57"/>
  <c r="K64" i="57"/>
  <c r="D122" i="57"/>
  <c r="D75" i="57"/>
  <c r="H122" i="57"/>
  <c r="N62" i="57"/>
  <c r="N65" i="57"/>
  <c r="AA96" i="57" s="1"/>
  <c r="N68" i="57"/>
  <c r="AA99" i="57" s="1"/>
  <c r="N71" i="57"/>
  <c r="N74" i="57"/>
  <c r="N77" i="57"/>
  <c r="N60" i="57"/>
  <c r="N63" i="57"/>
  <c r="N66" i="57"/>
  <c r="N69" i="57"/>
  <c r="N72" i="57"/>
  <c r="N75" i="57"/>
  <c r="N78" i="57"/>
  <c r="N70" i="57"/>
  <c r="N67" i="57"/>
  <c r="N64" i="57"/>
  <c r="N61" i="57"/>
  <c r="N79" i="57"/>
  <c r="N122" i="57"/>
  <c r="N73" i="57"/>
  <c r="H63" i="57"/>
  <c r="Q62" i="57"/>
  <c r="H79" i="57"/>
  <c r="C61" i="57"/>
  <c r="C64" i="57"/>
  <c r="C67" i="57"/>
  <c r="C70" i="57"/>
  <c r="C73" i="57"/>
  <c r="C76" i="57"/>
  <c r="C79" i="57"/>
  <c r="C60" i="57"/>
  <c r="C78" i="57"/>
  <c r="C75" i="57"/>
  <c r="C72" i="57"/>
  <c r="C69" i="57"/>
  <c r="C122" i="57"/>
  <c r="C66" i="57"/>
  <c r="C63" i="57"/>
  <c r="H76" i="57"/>
  <c r="C65" i="57"/>
  <c r="J67" i="57"/>
  <c r="D63" i="57"/>
  <c r="U63" i="57"/>
  <c r="S60" i="57"/>
  <c r="S63" i="57"/>
  <c r="S66" i="57"/>
  <c r="S69" i="57"/>
  <c r="S72" i="57"/>
  <c r="S75" i="57"/>
  <c r="S78" i="57"/>
  <c r="G93" i="57"/>
  <c r="S67" i="57"/>
  <c r="H66" i="57"/>
  <c r="S62" i="57"/>
  <c r="H73" i="57"/>
  <c r="U79" i="57"/>
  <c r="U77" i="57"/>
  <c r="V60" i="57"/>
  <c r="P125" i="46"/>
  <c r="R125" i="46" s="1"/>
  <c r="P121" i="46"/>
  <c r="R121" i="46" s="1"/>
  <c r="O126" i="46"/>
  <c r="Q126" i="46" s="1"/>
  <c r="O121" i="46"/>
  <c r="Q121" i="46" s="1"/>
  <c r="O122" i="46"/>
  <c r="Q122" i="46" s="1"/>
  <c r="P122" i="46"/>
  <c r="R122" i="46" s="1"/>
  <c r="P126" i="46"/>
  <c r="R126" i="46" s="1"/>
  <c r="O127" i="46"/>
  <c r="Q127" i="46" s="1"/>
  <c r="P127" i="46"/>
  <c r="R127" i="46" s="1"/>
  <c r="O125" i="46"/>
  <c r="Q125" i="46" s="1"/>
  <c r="O129" i="46"/>
  <c r="Q129" i="46" s="1"/>
  <c r="P129" i="46"/>
  <c r="R129" i="46" s="1"/>
  <c r="O130" i="46"/>
  <c r="Q130" i="46" s="1"/>
  <c r="P130" i="46"/>
  <c r="R130" i="46" s="1"/>
  <c r="O131" i="46"/>
  <c r="Q131" i="46" s="1"/>
  <c r="P131" i="46"/>
  <c r="R131" i="46" s="1"/>
  <c r="B25" i="46"/>
  <c r="A16" i="46"/>
  <c r="E29" i="75" l="1"/>
  <c r="E27" i="75"/>
  <c r="E29" i="103"/>
  <c r="E27" i="103"/>
  <c r="E29" i="85"/>
  <c r="E27" i="85"/>
  <c r="F27" i="103"/>
  <c r="F29" i="103"/>
  <c r="F29" i="85"/>
  <c r="F27" i="85"/>
  <c r="F29" i="75"/>
  <c r="F27" i="75"/>
  <c r="K26" i="103"/>
  <c r="L16" i="103"/>
  <c r="K25" i="103"/>
  <c r="K16" i="103"/>
  <c r="K17" i="103"/>
  <c r="K24" i="103"/>
  <c r="L17" i="103"/>
  <c r="K21" i="103"/>
  <c r="L21" i="103"/>
  <c r="L26" i="103"/>
  <c r="L25" i="103"/>
  <c r="K22" i="103"/>
  <c r="K20" i="103"/>
  <c r="L24" i="103"/>
  <c r="L20" i="103"/>
  <c r="L22" i="103"/>
  <c r="V58" i="57"/>
  <c r="V42" i="57"/>
  <c r="V41" i="57"/>
  <c r="V44" i="57"/>
  <c r="V50" i="57"/>
  <c r="V56" i="57"/>
  <c r="V59" i="57"/>
  <c r="V57" i="57"/>
  <c r="V54" i="57"/>
  <c r="V53" i="57"/>
  <c r="V48" i="57"/>
  <c r="V51" i="57"/>
  <c r="U53" i="57"/>
  <c r="V45" i="57"/>
  <c r="V47" i="57"/>
  <c r="U42" i="57"/>
  <c r="L119" i="57"/>
  <c r="L121" i="57" s="1"/>
  <c r="L125" i="57" s="1"/>
  <c r="L42" i="57"/>
  <c r="Y93" i="57" s="1"/>
  <c r="L56" i="57"/>
  <c r="Y107" i="57" s="1"/>
  <c r="L51" i="57"/>
  <c r="Y102" i="57" s="1"/>
  <c r="L49" i="57"/>
  <c r="Y100" i="57" s="1"/>
  <c r="L48" i="57"/>
  <c r="Y99" i="57" s="1"/>
  <c r="L52" i="57"/>
  <c r="Y103" i="57" s="1"/>
  <c r="L45" i="57"/>
  <c r="Y96" i="57" s="1"/>
  <c r="L55" i="57"/>
  <c r="Y106" i="57" s="1"/>
  <c r="L59" i="57"/>
  <c r="Y110" i="57" s="1"/>
  <c r="L58" i="57"/>
  <c r="Y109" i="57" s="1"/>
  <c r="L43" i="57"/>
  <c r="Y94" i="57" s="1"/>
  <c r="L53" i="57"/>
  <c r="Y104" i="57" s="1"/>
  <c r="L50" i="57"/>
  <c r="Y101" i="57" s="1"/>
  <c r="L40" i="57"/>
  <c r="Y91" i="57" s="1"/>
  <c r="L46" i="57"/>
  <c r="Y97" i="57" s="1"/>
  <c r="L47" i="57"/>
  <c r="Y98" i="57" s="1"/>
  <c r="L34" i="57"/>
  <c r="L44" i="57"/>
  <c r="Y95" i="57" s="1"/>
  <c r="L57" i="57"/>
  <c r="Y108" i="57" s="1"/>
  <c r="L41" i="57"/>
  <c r="Y92" i="57" s="1"/>
  <c r="U50" i="57"/>
  <c r="U47" i="57"/>
  <c r="U44" i="57"/>
  <c r="U41" i="57"/>
  <c r="U34" i="57"/>
  <c r="U58" i="57"/>
  <c r="U57" i="57"/>
  <c r="U54" i="57"/>
  <c r="U51" i="57"/>
  <c r="U59" i="57"/>
  <c r="U48" i="57"/>
  <c r="U56" i="57"/>
  <c r="U45" i="57"/>
  <c r="P108" i="57"/>
  <c r="P95" i="57"/>
  <c r="R54" i="57"/>
  <c r="R43" i="57"/>
  <c r="R59" i="57"/>
  <c r="R46" i="57"/>
  <c r="R56" i="57"/>
  <c r="R49" i="57"/>
  <c r="R50" i="57"/>
  <c r="R53" i="57"/>
  <c r="R40" i="57"/>
  <c r="R57" i="57"/>
  <c r="R52" i="57"/>
  <c r="R51" i="57"/>
  <c r="R55" i="57"/>
  <c r="R48" i="57"/>
  <c r="R58" i="57"/>
  <c r="R45" i="57"/>
  <c r="R41" i="57"/>
  <c r="R42" i="57"/>
  <c r="R44" i="57"/>
  <c r="R34" i="57"/>
  <c r="R47" i="57"/>
  <c r="V43" i="57"/>
  <c r="V55" i="57"/>
  <c r="V52" i="57"/>
  <c r="V46" i="57"/>
  <c r="V49" i="57"/>
  <c r="U52" i="57"/>
  <c r="V40" i="57"/>
  <c r="U40" i="57"/>
  <c r="U46" i="57"/>
  <c r="U55" i="57"/>
  <c r="U49" i="57"/>
  <c r="O107" i="57"/>
  <c r="AA108" i="57"/>
  <c r="O108" i="57"/>
  <c r="AB92" i="57"/>
  <c r="K42" i="57"/>
  <c r="K45" i="57"/>
  <c r="K48" i="57"/>
  <c r="K51" i="57"/>
  <c r="K54" i="57"/>
  <c r="K57" i="57"/>
  <c r="K34" i="57"/>
  <c r="K47" i="57"/>
  <c r="K53" i="57"/>
  <c r="K56" i="57"/>
  <c r="K59" i="57"/>
  <c r="K40" i="57"/>
  <c r="K46" i="57"/>
  <c r="K43" i="57"/>
  <c r="K58" i="57"/>
  <c r="K55" i="57"/>
  <c r="K119" i="57"/>
  <c r="K121" i="57" s="1"/>
  <c r="K125" i="57" s="1"/>
  <c r="K52" i="57"/>
  <c r="K49" i="57"/>
  <c r="K50" i="57"/>
  <c r="K44" i="57"/>
  <c r="K41" i="57"/>
  <c r="AB97" i="57"/>
  <c r="AA92" i="57"/>
  <c r="E34" i="57"/>
  <c r="E58" i="57"/>
  <c r="E53" i="57"/>
  <c r="E50" i="57"/>
  <c r="E57" i="57"/>
  <c r="E54" i="57"/>
  <c r="E47" i="57"/>
  <c r="E51" i="57"/>
  <c r="E44" i="57"/>
  <c r="E48" i="57"/>
  <c r="E41" i="57"/>
  <c r="E45" i="57"/>
  <c r="E59" i="57"/>
  <c r="E56" i="57"/>
  <c r="E42" i="57"/>
  <c r="E119" i="57"/>
  <c r="E121" i="57" s="1"/>
  <c r="E125" i="57" s="1"/>
  <c r="E49" i="57"/>
  <c r="E46" i="57"/>
  <c r="E52" i="57"/>
  <c r="E55" i="57"/>
  <c r="E40" i="57"/>
  <c r="E43" i="57"/>
  <c r="O98" i="57"/>
  <c r="C34" i="57"/>
  <c r="C41" i="57"/>
  <c r="C44" i="57"/>
  <c r="C47" i="57"/>
  <c r="C50" i="57"/>
  <c r="C53" i="57"/>
  <c r="C56" i="57"/>
  <c r="C59" i="57"/>
  <c r="C40" i="57"/>
  <c r="C43" i="57"/>
  <c r="C46" i="57"/>
  <c r="C49" i="57"/>
  <c r="C52" i="57"/>
  <c r="C55" i="57"/>
  <c r="C58" i="57"/>
  <c r="C48" i="57"/>
  <c r="C54" i="57"/>
  <c r="C57" i="57"/>
  <c r="C119" i="57"/>
  <c r="C123" i="57" s="1"/>
  <c r="C51" i="57"/>
  <c r="C42" i="57"/>
  <c r="C45" i="57"/>
  <c r="AA95" i="57"/>
  <c r="AA102" i="57"/>
  <c r="AB100" i="57"/>
  <c r="AA110" i="57"/>
  <c r="AB91" i="57"/>
  <c r="O95" i="57"/>
  <c r="P109" i="57"/>
  <c r="AB98" i="57"/>
  <c r="J59" i="57"/>
  <c r="J42" i="57"/>
  <c r="J45" i="57"/>
  <c r="J48" i="57"/>
  <c r="J51" i="57"/>
  <c r="J54" i="57"/>
  <c r="J57" i="57"/>
  <c r="J34" i="57"/>
  <c r="J40" i="57"/>
  <c r="J43" i="57"/>
  <c r="J46" i="57"/>
  <c r="J49" i="57"/>
  <c r="J52" i="57"/>
  <c r="J55" i="57"/>
  <c r="J58" i="57"/>
  <c r="J119" i="57"/>
  <c r="J123" i="57" s="1"/>
  <c r="J47" i="57"/>
  <c r="J56" i="57"/>
  <c r="J41" i="57"/>
  <c r="J44" i="57"/>
  <c r="J53" i="57"/>
  <c r="J50" i="57"/>
  <c r="AA98" i="57"/>
  <c r="AB108" i="57"/>
  <c r="O40" i="57"/>
  <c r="O43" i="57"/>
  <c r="O46" i="57"/>
  <c r="O49" i="57"/>
  <c r="O52" i="57"/>
  <c r="O55" i="57"/>
  <c r="O41" i="57"/>
  <c r="O44" i="57"/>
  <c r="O47" i="57"/>
  <c r="O50" i="57"/>
  <c r="O53" i="57"/>
  <c r="O56" i="57"/>
  <c r="O59" i="57"/>
  <c r="O42" i="57"/>
  <c r="O34" i="57"/>
  <c r="O57" i="57"/>
  <c r="O54" i="57"/>
  <c r="O51" i="57"/>
  <c r="O48" i="57"/>
  <c r="O45" i="57"/>
  <c r="O119" i="57"/>
  <c r="O123" i="57" s="1"/>
  <c r="O58" i="57"/>
  <c r="O106" i="57"/>
  <c r="O92" i="57"/>
  <c r="AA91" i="57"/>
  <c r="P94" i="57"/>
  <c r="AA101" i="57"/>
  <c r="P102" i="57"/>
  <c r="AB105" i="57"/>
  <c r="O102" i="57"/>
  <c r="P99" i="57"/>
  <c r="AA94" i="57"/>
  <c r="O94" i="57"/>
  <c r="S34" i="57"/>
  <c r="S41" i="57"/>
  <c r="S44" i="57"/>
  <c r="S47" i="57"/>
  <c r="S50" i="57"/>
  <c r="S53" i="57"/>
  <c r="S56" i="57"/>
  <c r="S59" i="57"/>
  <c r="S42" i="57"/>
  <c r="S48" i="57"/>
  <c r="S51" i="57"/>
  <c r="S54" i="57"/>
  <c r="S57" i="57"/>
  <c r="S43" i="57"/>
  <c r="S46" i="57"/>
  <c r="S49" i="57"/>
  <c r="S52" i="57"/>
  <c r="S55" i="57"/>
  <c r="S58" i="57"/>
  <c r="S40" i="57"/>
  <c r="S45" i="57"/>
  <c r="O100" i="57"/>
  <c r="O101" i="57"/>
  <c r="O93" i="57"/>
  <c r="AA93" i="57"/>
  <c r="AA105" i="57"/>
  <c r="O103" i="57"/>
  <c r="P107" i="57"/>
  <c r="AA109" i="57"/>
  <c r="Y105" i="57"/>
  <c r="AB102" i="57"/>
  <c r="P106" i="57"/>
  <c r="O109" i="57"/>
  <c r="AB101" i="57"/>
  <c r="O104" i="57"/>
  <c r="AB94" i="57"/>
  <c r="AA106" i="57"/>
  <c r="N42" i="57"/>
  <c r="N45" i="57"/>
  <c r="N48" i="57"/>
  <c r="N51" i="57"/>
  <c r="N54" i="57"/>
  <c r="N57" i="57"/>
  <c r="N44" i="57"/>
  <c r="N47" i="57"/>
  <c r="N50" i="57"/>
  <c r="N53" i="57"/>
  <c r="N59" i="57"/>
  <c r="N43" i="57"/>
  <c r="N46" i="57"/>
  <c r="N49" i="57"/>
  <c r="N52" i="57"/>
  <c r="N55" i="57"/>
  <c r="N58" i="57"/>
  <c r="N34" i="57"/>
  <c r="N40" i="57"/>
  <c r="N119" i="57"/>
  <c r="N123" i="57" s="1"/>
  <c r="N41" i="57"/>
  <c r="N56" i="57"/>
  <c r="AB99" i="57"/>
  <c r="P105" i="57"/>
  <c r="O105" i="57"/>
  <c r="P91" i="57"/>
  <c r="O91" i="57"/>
  <c r="P103" i="57"/>
  <c r="P104" i="57"/>
  <c r="AA100" i="57"/>
  <c r="Q41" i="57"/>
  <c r="Q44" i="57"/>
  <c r="Q47" i="57"/>
  <c r="Q50" i="57"/>
  <c r="Q53" i="57"/>
  <c r="Q56" i="57"/>
  <c r="Q59" i="57"/>
  <c r="Q40" i="57"/>
  <c r="Q49" i="57"/>
  <c r="Q42" i="57"/>
  <c r="Q34" i="57"/>
  <c r="Q46" i="57"/>
  <c r="Q43" i="57"/>
  <c r="Q57" i="57"/>
  <c r="Q54" i="57"/>
  <c r="Q51" i="57"/>
  <c r="Q58" i="57"/>
  <c r="Q48" i="57"/>
  <c r="Q55" i="57"/>
  <c r="Q45" i="57"/>
  <c r="Q52" i="57"/>
  <c r="AB110" i="57"/>
  <c r="AB93" i="57"/>
  <c r="AA97" i="57"/>
  <c r="O97" i="57"/>
  <c r="P101" i="57"/>
  <c r="AA103" i="57"/>
  <c r="P97" i="57"/>
  <c r="O96" i="57"/>
  <c r="AB107" i="57"/>
  <c r="AB106" i="57"/>
  <c r="G42" i="57"/>
  <c r="G45" i="57"/>
  <c r="G48" i="57"/>
  <c r="G51" i="57"/>
  <c r="G54" i="57"/>
  <c r="G57" i="57"/>
  <c r="G40" i="57"/>
  <c r="G43" i="57"/>
  <c r="G46" i="57"/>
  <c r="G49" i="57"/>
  <c r="G52" i="57"/>
  <c r="G55" i="57"/>
  <c r="G58" i="57"/>
  <c r="G41" i="57"/>
  <c r="G44" i="57"/>
  <c r="G47" i="57"/>
  <c r="G50" i="57"/>
  <c r="G53" i="57"/>
  <c r="G56" i="57"/>
  <c r="G34" i="57"/>
  <c r="G119" i="57"/>
  <c r="G123" i="57" s="1"/>
  <c r="G59" i="57"/>
  <c r="P93" i="57"/>
  <c r="D42" i="57"/>
  <c r="D45" i="57"/>
  <c r="D48" i="57"/>
  <c r="D51" i="57"/>
  <c r="D54" i="57"/>
  <c r="D57" i="57"/>
  <c r="D58" i="57"/>
  <c r="D34" i="57"/>
  <c r="D50" i="57"/>
  <c r="D47" i="57"/>
  <c r="D44" i="57"/>
  <c r="D41" i="57"/>
  <c r="D59" i="57"/>
  <c r="D119" i="57"/>
  <c r="D121" i="57" s="1"/>
  <c r="D125" i="57" s="1"/>
  <c r="D53" i="57"/>
  <c r="D56" i="57"/>
  <c r="D46" i="57"/>
  <c r="D49" i="57"/>
  <c r="D55" i="57"/>
  <c r="D43" i="57"/>
  <c r="D52" i="57"/>
  <c r="D40" i="57"/>
  <c r="H34" i="57"/>
  <c r="H58" i="57"/>
  <c r="H41" i="57"/>
  <c r="H44" i="57"/>
  <c r="H47" i="57"/>
  <c r="H50" i="57"/>
  <c r="H53" i="57"/>
  <c r="H56" i="57"/>
  <c r="H59" i="57"/>
  <c r="H42" i="57"/>
  <c r="H45" i="57"/>
  <c r="H48" i="57"/>
  <c r="H51" i="57"/>
  <c r="H54" i="57"/>
  <c r="H57" i="57"/>
  <c r="H119" i="57"/>
  <c r="H123" i="57" s="1"/>
  <c r="H40" i="57"/>
  <c r="H43" i="57"/>
  <c r="H46" i="57"/>
  <c r="H52" i="57"/>
  <c r="H49" i="57"/>
  <c r="H55" i="57"/>
  <c r="P110" i="57"/>
  <c r="AA104" i="57"/>
  <c r="AB104" i="57"/>
  <c r="AB103" i="57"/>
  <c r="I62" i="46"/>
  <c r="I63" i="46" s="1"/>
  <c r="H50" i="34"/>
  <c r="H49" i="34"/>
  <c r="B21" i="78" s="1"/>
  <c r="D70" i="46"/>
  <c r="D69" i="46"/>
  <c r="D68" i="46"/>
  <c r="D66" i="46"/>
  <c r="D67" i="46"/>
  <c r="D65" i="46"/>
  <c r="D71" i="46"/>
  <c r="D124" i="41"/>
  <c r="E122" i="41"/>
  <c r="B153" i="41"/>
  <c r="B67" i="41"/>
  <c r="C60" i="41"/>
  <c r="K22" i="155" l="1"/>
  <c r="Y22" i="155" s="1"/>
  <c r="K22" i="156"/>
  <c r="Y22" i="156" s="1"/>
  <c r="L25" i="156"/>
  <c r="L25" i="155"/>
  <c r="L26" i="156"/>
  <c r="Z26" i="156" s="1"/>
  <c r="L26" i="155"/>
  <c r="Z26" i="155" s="1"/>
  <c r="L21" i="156"/>
  <c r="Z21" i="156" s="1"/>
  <c r="L21" i="155"/>
  <c r="Z21" i="155" s="1"/>
  <c r="K21" i="156"/>
  <c r="Y21" i="156" s="1"/>
  <c r="K21" i="155"/>
  <c r="Y21" i="155" s="1"/>
  <c r="L17" i="156"/>
  <c r="L17" i="155"/>
  <c r="K24" i="156"/>
  <c r="Y24" i="156" s="1"/>
  <c r="K24" i="155"/>
  <c r="Y24" i="155" s="1"/>
  <c r="K17" i="156"/>
  <c r="K17" i="155"/>
  <c r="L22" i="156"/>
  <c r="Z22" i="156" s="1"/>
  <c r="L22" i="155"/>
  <c r="Z22" i="155" s="1"/>
  <c r="K16" i="156"/>
  <c r="K16" i="155"/>
  <c r="L20" i="156"/>
  <c r="L20" i="155"/>
  <c r="K25" i="156"/>
  <c r="K25" i="155"/>
  <c r="L24" i="155"/>
  <c r="Z24" i="155" s="1"/>
  <c r="L24" i="156"/>
  <c r="Z24" i="156" s="1"/>
  <c r="L16" i="156"/>
  <c r="L16" i="155"/>
  <c r="K20" i="156"/>
  <c r="K20" i="155"/>
  <c r="K26" i="156"/>
  <c r="Y26" i="156" s="1"/>
  <c r="K26" i="155"/>
  <c r="Y26" i="155" s="1"/>
  <c r="K22" i="152"/>
  <c r="Y22" i="152" s="1"/>
  <c r="AE22" i="152" s="1"/>
  <c r="K22" i="154"/>
  <c r="Y22" i="154" s="1"/>
  <c r="K22" i="153"/>
  <c r="Y22" i="153" s="1"/>
  <c r="L25" i="152"/>
  <c r="L25" i="154"/>
  <c r="L25" i="153"/>
  <c r="L26" i="152"/>
  <c r="Z26" i="152" s="1"/>
  <c r="AG26" i="152" s="1"/>
  <c r="L26" i="154"/>
  <c r="Z26" i="154" s="1"/>
  <c r="L26" i="153"/>
  <c r="Z26" i="153" s="1"/>
  <c r="L21" i="152"/>
  <c r="Z21" i="152" s="1"/>
  <c r="AH21" i="152" s="1"/>
  <c r="L21" i="154"/>
  <c r="Z21" i="154" s="1"/>
  <c r="L21" i="153"/>
  <c r="Z21" i="153" s="1"/>
  <c r="K21" i="152"/>
  <c r="Y21" i="152" s="1"/>
  <c r="AE21" i="152" s="1"/>
  <c r="K21" i="154"/>
  <c r="Y21" i="154" s="1"/>
  <c r="K21" i="153"/>
  <c r="Y21" i="153" s="1"/>
  <c r="L17" i="152"/>
  <c r="L17" i="154"/>
  <c r="L17" i="153"/>
  <c r="K24" i="152"/>
  <c r="Y24" i="152" s="1"/>
  <c r="AF24" i="152" s="1"/>
  <c r="K24" i="154"/>
  <c r="Y24" i="154" s="1"/>
  <c r="K24" i="153"/>
  <c r="Y24" i="153" s="1"/>
  <c r="K17" i="152"/>
  <c r="K17" i="154"/>
  <c r="K17" i="153"/>
  <c r="L22" i="152"/>
  <c r="Z22" i="152" s="1"/>
  <c r="AH22" i="152" s="1"/>
  <c r="L22" i="154"/>
  <c r="Z22" i="154" s="1"/>
  <c r="L22" i="153"/>
  <c r="Z22" i="153" s="1"/>
  <c r="K16" i="152"/>
  <c r="K16" i="154"/>
  <c r="K16" i="153"/>
  <c r="L20" i="152"/>
  <c r="L20" i="154"/>
  <c r="L20" i="153"/>
  <c r="K25" i="152"/>
  <c r="K25" i="154"/>
  <c r="K25" i="153"/>
  <c r="L24" i="152"/>
  <c r="Z24" i="152" s="1"/>
  <c r="AG24" i="152" s="1"/>
  <c r="L24" i="154"/>
  <c r="Z24" i="154" s="1"/>
  <c r="L24" i="153"/>
  <c r="Z24" i="153" s="1"/>
  <c r="L16" i="152"/>
  <c r="L16" i="154"/>
  <c r="L16" i="153"/>
  <c r="K20" i="152"/>
  <c r="K20" i="154"/>
  <c r="K20" i="153"/>
  <c r="K26" i="152"/>
  <c r="Y26" i="152" s="1"/>
  <c r="AE26" i="152" s="1"/>
  <c r="K26" i="154"/>
  <c r="Y26" i="154" s="1"/>
  <c r="K26" i="153"/>
  <c r="Y26" i="153" s="1"/>
  <c r="K22" i="149"/>
  <c r="Y22" i="149" s="1"/>
  <c r="AE22" i="149" s="1"/>
  <c r="K22" i="151"/>
  <c r="Y22" i="151" s="1"/>
  <c r="L25" i="149"/>
  <c r="L25" i="151"/>
  <c r="L26" i="149"/>
  <c r="Z26" i="149" s="1"/>
  <c r="AH26" i="149" s="1"/>
  <c r="L26" i="151"/>
  <c r="Z26" i="151" s="1"/>
  <c r="L21" i="149"/>
  <c r="Z21" i="149" s="1"/>
  <c r="AH21" i="149" s="1"/>
  <c r="L21" i="151"/>
  <c r="Z21" i="151" s="1"/>
  <c r="K21" i="149"/>
  <c r="Y21" i="149" s="1"/>
  <c r="AE21" i="149" s="1"/>
  <c r="K21" i="151"/>
  <c r="Y21" i="151" s="1"/>
  <c r="L17" i="149"/>
  <c r="L17" i="151"/>
  <c r="K24" i="149"/>
  <c r="Y24" i="149" s="1"/>
  <c r="AF24" i="149" s="1"/>
  <c r="K24" i="151"/>
  <c r="Y24" i="151" s="1"/>
  <c r="K17" i="149"/>
  <c r="K17" i="151"/>
  <c r="L22" i="149"/>
  <c r="Z22" i="149" s="1"/>
  <c r="AG22" i="149" s="1"/>
  <c r="L22" i="151"/>
  <c r="Z22" i="151" s="1"/>
  <c r="K16" i="149"/>
  <c r="K16" i="151"/>
  <c r="L20" i="149"/>
  <c r="L20" i="151"/>
  <c r="K25" i="149"/>
  <c r="K25" i="151"/>
  <c r="L24" i="149"/>
  <c r="Z24" i="149" s="1"/>
  <c r="AH24" i="149" s="1"/>
  <c r="L24" i="151"/>
  <c r="Z24" i="151" s="1"/>
  <c r="L16" i="149"/>
  <c r="L16" i="151"/>
  <c r="K20" i="149"/>
  <c r="K20" i="151"/>
  <c r="K26" i="149"/>
  <c r="Y26" i="149" s="1"/>
  <c r="AF26" i="149" s="1"/>
  <c r="K26" i="151"/>
  <c r="Y26" i="151" s="1"/>
  <c r="K21" i="147"/>
  <c r="Y21" i="147" s="1"/>
  <c r="K21" i="148"/>
  <c r="Y21" i="148" s="1"/>
  <c r="L17" i="147"/>
  <c r="L17" i="148"/>
  <c r="K24" i="147"/>
  <c r="Y24" i="147" s="1"/>
  <c r="AF24" i="147" s="1"/>
  <c r="K24" i="148"/>
  <c r="Y24" i="148" s="1"/>
  <c r="K17" i="147"/>
  <c r="K17" i="148"/>
  <c r="L22" i="147"/>
  <c r="Z22" i="147" s="1"/>
  <c r="L22" i="148"/>
  <c r="Z22" i="148" s="1"/>
  <c r="K16" i="147"/>
  <c r="K16" i="148"/>
  <c r="L20" i="147"/>
  <c r="L20" i="148"/>
  <c r="K25" i="147"/>
  <c r="K25" i="148"/>
  <c r="L24" i="147"/>
  <c r="Z24" i="147" s="1"/>
  <c r="AH24" i="147" s="1"/>
  <c r="L24" i="148"/>
  <c r="Z24" i="148" s="1"/>
  <c r="L16" i="147"/>
  <c r="L16" i="148"/>
  <c r="K20" i="147"/>
  <c r="K20" i="148"/>
  <c r="K26" i="147"/>
  <c r="Y26" i="147" s="1"/>
  <c r="AF26" i="147" s="1"/>
  <c r="K26" i="148"/>
  <c r="Y26" i="148" s="1"/>
  <c r="K22" i="147"/>
  <c r="Y22" i="147" s="1"/>
  <c r="K22" i="148"/>
  <c r="Y22" i="148" s="1"/>
  <c r="L25" i="147"/>
  <c r="L25" i="148"/>
  <c r="L26" i="147"/>
  <c r="Z26" i="147" s="1"/>
  <c r="AH26" i="147" s="1"/>
  <c r="L26" i="148"/>
  <c r="Z26" i="148" s="1"/>
  <c r="L21" i="147"/>
  <c r="Z21" i="147" s="1"/>
  <c r="L21" i="148"/>
  <c r="Z21" i="148" s="1"/>
  <c r="L17" i="145"/>
  <c r="L17" i="146"/>
  <c r="K21" i="145"/>
  <c r="Y21" i="145" s="1"/>
  <c r="K21" i="146"/>
  <c r="Y21" i="146" s="1"/>
  <c r="K24" i="145"/>
  <c r="Y24" i="145" s="1"/>
  <c r="AF24" i="145" s="1"/>
  <c r="K24" i="146"/>
  <c r="Y24" i="146" s="1"/>
  <c r="K17" i="145"/>
  <c r="K17" i="146"/>
  <c r="L22" i="145"/>
  <c r="Z22" i="145" s="1"/>
  <c r="L22" i="146"/>
  <c r="Z22" i="146" s="1"/>
  <c r="K16" i="145"/>
  <c r="K16" i="146"/>
  <c r="L20" i="145"/>
  <c r="L20" i="146"/>
  <c r="K25" i="145"/>
  <c r="K25" i="146"/>
  <c r="L24" i="145"/>
  <c r="Z24" i="145" s="1"/>
  <c r="AH24" i="145" s="1"/>
  <c r="L24" i="146"/>
  <c r="Z24" i="146" s="1"/>
  <c r="L16" i="145"/>
  <c r="L16" i="146"/>
  <c r="K20" i="145"/>
  <c r="K20" i="146"/>
  <c r="K26" i="145"/>
  <c r="Y26" i="145" s="1"/>
  <c r="AF26" i="145" s="1"/>
  <c r="K26" i="146"/>
  <c r="Y26" i="146" s="1"/>
  <c r="K22" i="145"/>
  <c r="Y22" i="145" s="1"/>
  <c r="K22" i="146"/>
  <c r="Y22" i="146" s="1"/>
  <c r="L25" i="145"/>
  <c r="L25" i="146"/>
  <c r="L26" i="145"/>
  <c r="Z26" i="145" s="1"/>
  <c r="AH26" i="145" s="1"/>
  <c r="L26" i="146"/>
  <c r="Z26" i="146" s="1"/>
  <c r="L21" i="145"/>
  <c r="Z21" i="145" s="1"/>
  <c r="L21" i="146"/>
  <c r="Z21" i="146" s="1"/>
  <c r="L17" i="143"/>
  <c r="L17" i="144"/>
  <c r="K24" i="143"/>
  <c r="Y24" i="143" s="1"/>
  <c r="AF24" i="143" s="1"/>
  <c r="K24" i="144"/>
  <c r="Y24" i="144" s="1"/>
  <c r="K21" i="143"/>
  <c r="Y21" i="143" s="1"/>
  <c r="K21" i="144"/>
  <c r="Y21" i="144" s="1"/>
  <c r="K17" i="143"/>
  <c r="K17" i="144"/>
  <c r="L22" i="143"/>
  <c r="Z22" i="143" s="1"/>
  <c r="L22" i="144"/>
  <c r="Z22" i="144" s="1"/>
  <c r="K16" i="143"/>
  <c r="K16" i="144"/>
  <c r="L20" i="143"/>
  <c r="L20" i="144"/>
  <c r="K25" i="143"/>
  <c r="K25" i="144"/>
  <c r="L24" i="143"/>
  <c r="Z24" i="143" s="1"/>
  <c r="AH24" i="143" s="1"/>
  <c r="L24" i="144"/>
  <c r="Z24" i="144" s="1"/>
  <c r="L16" i="143"/>
  <c r="L16" i="144"/>
  <c r="K20" i="143"/>
  <c r="K20" i="144"/>
  <c r="K26" i="143"/>
  <c r="Y26" i="143" s="1"/>
  <c r="AF26" i="143" s="1"/>
  <c r="K26" i="144"/>
  <c r="Y26" i="144" s="1"/>
  <c r="K22" i="143"/>
  <c r="Y22" i="143" s="1"/>
  <c r="K22" i="144"/>
  <c r="Y22" i="144" s="1"/>
  <c r="L25" i="143"/>
  <c r="L25" i="144"/>
  <c r="L26" i="143"/>
  <c r="Z26" i="143" s="1"/>
  <c r="AH26" i="143" s="1"/>
  <c r="L26" i="144"/>
  <c r="Z26" i="144" s="1"/>
  <c r="L21" i="143"/>
  <c r="Z21" i="143" s="1"/>
  <c r="L21" i="144"/>
  <c r="Z21" i="144" s="1"/>
  <c r="K22" i="75"/>
  <c r="Y22" i="75" s="1"/>
  <c r="K22" i="85"/>
  <c r="K22" i="84"/>
  <c r="L25" i="83"/>
  <c r="L25" i="75"/>
  <c r="L25" i="85"/>
  <c r="L25" i="84"/>
  <c r="L26" i="85"/>
  <c r="L26" i="84"/>
  <c r="L26" i="75"/>
  <c r="L21" i="75"/>
  <c r="L21" i="85"/>
  <c r="L21" i="84"/>
  <c r="K21" i="75"/>
  <c r="Y21" i="75" s="1"/>
  <c r="K21" i="85"/>
  <c r="K21" i="84"/>
  <c r="L17" i="83"/>
  <c r="L17" i="85"/>
  <c r="L17" i="84"/>
  <c r="L17" i="75"/>
  <c r="K24" i="75"/>
  <c r="Y24" i="75" s="1"/>
  <c r="K24" i="85"/>
  <c r="K24" i="84"/>
  <c r="K17" i="83"/>
  <c r="K17" i="85"/>
  <c r="K17" i="84"/>
  <c r="K17" i="75"/>
  <c r="L22" i="75"/>
  <c r="L22" i="85"/>
  <c r="L22" i="84"/>
  <c r="K16" i="83"/>
  <c r="K16" i="75"/>
  <c r="K16" i="85"/>
  <c r="K16" i="84"/>
  <c r="L20" i="83"/>
  <c r="L20" i="85"/>
  <c r="L20" i="84"/>
  <c r="L20" i="75"/>
  <c r="K25" i="83"/>
  <c r="K25" i="75"/>
  <c r="K25" i="85"/>
  <c r="K25" i="84"/>
  <c r="L24" i="75"/>
  <c r="Z24" i="75" s="1"/>
  <c r="L24" i="85"/>
  <c r="L24" i="84"/>
  <c r="L16" i="83"/>
  <c r="L16" i="75"/>
  <c r="L16" i="85"/>
  <c r="L16" i="84"/>
  <c r="K20" i="83"/>
  <c r="K20" i="85"/>
  <c r="K20" i="84"/>
  <c r="K20" i="75"/>
  <c r="K26" i="85"/>
  <c r="K26" i="84"/>
  <c r="K26" i="75"/>
  <c r="Y26" i="75" s="1"/>
  <c r="K22" i="83"/>
  <c r="Y22" i="83" s="1"/>
  <c r="K24" i="83"/>
  <c r="Y24" i="83" s="1"/>
  <c r="L22" i="83"/>
  <c r="L26" i="83"/>
  <c r="L21" i="83"/>
  <c r="L24" i="83"/>
  <c r="Z24" i="83" s="1"/>
  <c r="K21" i="83"/>
  <c r="Y21" i="83" s="1"/>
  <c r="K26" i="83"/>
  <c r="Y26" i="83" s="1"/>
  <c r="O121" i="57"/>
  <c r="O125" i="57" s="1"/>
  <c r="L80" i="57"/>
  <c r="R80" i="57"/>
  <c r="U80" i="57"/>
  <c r="V80" i="57"/>
  <c r="J121" i="57"/>
  <c r="J125" i="57" s="1"/>
  <c r="J126" i="57" s="1"/>
  <c r="J127" i="57" s="1"/>
  <c r="N121" i="57"/>
  <c r="N125" i="57" s="1"/>
  <c r="C80" i="57"/>
  <c r="M95" i="57"/>
  <c r="M102" i="57"/>
  <c r="X107" i="57"/>
  <c r="L94" i="57"/>
  <c r="H121" i="57"/>
  <c r="H125" i="57" s="1"/>
  <c r="J80" i="57"/>
  <c r="M103" i="57"/>
  <c r="M98" i="57"/>
  <c r="X95" i="57"/>
  <c r="X104" i="57"/>
  <c r="Q80" i="57"/>
  <c r="M99" i="57"/>
  <c r="L98" i="57"/>
  <c r="P111" i="57"/>
  <c r="M106" i="57"/>
  <c r="X92" i="57"/>
  <c r="L106" i="57"/>
  <c r="L109" i="57"/>
  <c r="G80" i="57"/>
  <c r="Y111" i="57"/>
  <c r="AA111" i="57"/>
  <c r="M97" i="57"/>
  <c r="M105" i="57"/>
  <c r="X101" i="57"/>
  <c r="X98" i="57"/>
  <c r="M100" i="57"/>
  <c r="M108" i="57"/>
  <c r="X100" i="57"/>
  <c r="H80" i="57"/>
  <c r="L105" i="57"/>
  <c r="M101" i="57"/>
  <c r="X103" i="57"/>
  <c r="X108" i="57"/>
  <c r="X91" i="57"/>
  <c r="K80" i="57"/>
  <c r="D80" i="57"/>
  <c r="L91" i="57"/>
  <c r="L108" i="57"/>
  <c r="L97" i="57"/>
  <c r="L107" i="57"/>
  <c r="L102" i="57"/>
  <c r="O80" i="57"/>
  <c r="M93" i="57"/>
  <c r="M104" i="57"/>
  <c r="X105" i="57"/>
  <c r="L95" i="57"/>
  <c r="L103" i="57"/>
  <c r="N80" i="57"/>
  <c r="S80" i="57"/>
  <c r="M107" i="57"/>
  <c r="M109" i="57"/>
  <c r="X106" i="57"/>
  <c r="X102" i="57"/>
  <c r="X110" i="57"/>
  <c r="L101" i="57"/>
  <c r="L96" i="57"/>
  <c r="O111" i="57"/>
  <c r="M110" i="57"/>
  <c r="X109" i="57"/>
  <c r="X99" i="57"/>
  <c r="E80" i="57"/>
  <c r="M91" i="57"/>
  <c r="L99" i="57"/>
  <c r="L110" i="57"/>
  <c r="L93" i="57"/>
  <c r="AB111" i="57"/>
  <c r="M96" i="57"/>
  <c r="X94" i="57"/>
  <c r="X96" i="57"/>
  <c r="M94" i="57"/>
  <c r="L100" i="57"/>
  <c r="L104" i="57"/>
  <c r="L92" i="57"/>
  <c r="C121" i="57"/>
  <c r="C125" i="57" s="1"/>
  <c r="C126" i="57" s="1"/>
  <c r="C127" i="57" s="1"/>
  <c r="G121" i="57"/>
  <c r="G125" i="57" s="1"/>
  <c r="M92" i="57"/>
  <c r="X97" i="57"/>
  <c r="X93" i="57"/>
  <c r="AH26" i="152" l="1"/>
  <c r="AJ26" i="152" s="1"/>
  <c r="AE24" i="152"/>
  <c r="AI24" i="152" s="1"/>
  <c r="AF22" i="152"/>
  <c r="AI22" i="152" s="1"/>
  <c r="AF21" i="149"/>
  <c r="AI21" i="149" s="1"/>
  <c r="AF21" i="152"/>
  <c r="AI21" i="152" s="1"/>
  <c r="AE21" i="155"/>
  <c r="AF21" i="155"/>
  <c r="AE26" i="155"/>
  <c r="AF26" i="155"/>
  <c r="AH21" i="155"/>
  <c r="AG21" i="155"/>
  <c r="AF26" i="152"/>
  <c r="AI26" i="152" s="1"/>
  <c r="AF26" i="156"/>
  <c r="AE26" i="156"/>
  <c r="AH24" i="152"/>
  <c r="AJ24" i="152" s="1"/>
  <c r="AH22" i="155"/>
  <c r="AG22" i="155"/>
  <c r="AH26" i="155"/>
  <c r="AG26" i="155"/>
  <c r="AG22" i="152"/>
  <c r="AJ22" i="152" s="1"/>
  <c r="AH26" i="156"/>
  <c r="AG26" i="156"/>
  <c r="AH24" i="156"/>
  <c r="AG24" i="156"/>
  <c r="AE24" i="155"/>
  <c r="AF24" i="155"/>
  <c r="AH24" i="155"/>
  <c r="AG24" i="155"/>
  <c r="AF24" i="156"/>
  <c r="AE24" i="156"/>
  <c r="AF22" i="155"/>
  <c r="AE22" i="155"/>
  <c r="AF26" i="153"/>
  <c r="AE26" i="153"/>
  <c r="AF26" i="154"/>
  <c r="AE26" i="154"/>
  <c r="AH21" i="154"/>
  <c r="AG21" i="154"/>
  <c r="AF24" i="153"/>
  <c r="AE24" i="153"/>
  <c r="AH26" i="153"/>
  <c r="AG26" i="153"/>
  <c r="AF24" i="154"/>
  <c r="AE24" i="154"/>
  <c r="AH26" i="154"/>
  <c r="AG26" i="154"/>
  <c r="AG21" i="152"/>
  <c r="AJ21" i="152" s="1"/>
  <c r="AH24" i="153"/>
  <c r="AG24" i="153"/>
  <c r="AH24" i="154"/>
  <c r="AG24" i="154"/>
  <c r="AH22" i="154"/>
  <c r="AG22" i="154"/>
  <c r="AF21" i="154"/>
  <c r="AE21" i="154"/>
  <c r="AF22" i="154"/>
  <c r="AE22" i="154"/>
  <c r="AE24" i="149"/>
  <c r="AI24" i="149" s="1"/>
  <c r="AF22" i="149"/>
  <c r="AI22" i="149" s="1"/>
  <c r="AH22" i="149"/>
  <c r="AJ22" i="149" s="1"/>
  <c r="AG21" i="149"/>
  <c r="AJ21" i="149" s="1"/>
  <c r="AG26" i="149"/>
  <c r="AJ26" i="149" s="1"/>
  <c r="AE26" i="149"/>
  <c r="AI26" i="149" s="1"/>
  <c r="AF21" i="151"/>
  <c r="AE21" i="151"/>
  <c r="AE26" i="151"/>
  <c r="AF26" i="151"/>
  <c r="AH21" i="151"/>
  <c r="AG21" i="151"/>
  <c r="AH22" i="151"/>
  <c r="AG22" i="151"/>
  <c r="AG26" i="151"/>
  <c r="AH26" i="151"/>
  <c r="AG24" i="149"/>
  <c r="AJ24" i="149" s="1"/>
  <c r="AG24" i="151"/>
  <c r="AH24" i="151"/>
  <c r="AE24" i="151"/>
  <c r="AF24" i="151"/>
  <c r="AF22" i="151"/>
  <c r="AE22" i="151"/>
  <c r="AE24" i="147"/>
  <c r="AI24" i="147" s="1"/>
  <c r="AG24" i="147"/>
  <c r="AJ24" i="147" s="1"/>
  <c r="AE26" i="145"/>
  <c r="AI26" i="145" s="1"/>
  <c r="AF26" i="148"/>
  <c r="AE26" i="148"/>
  <c r="AH26" i="148"/>
  <c r="AG26" i="148"/>
  <c r="AH24" i="148"/>
  <c r="AG24" i="148"/>
  <c r="AF24" i="148"/>
  <c r="AE24" i="148"/>
  <c r="AG26" i="147"/>
  <c r="AJ26" i="147" s="1"/>
  <c r="AG24" i="145"/>
  <c r="AJ24" i="145" s="1"/>
  <c r="AE26" i="147"/>
  <c r="AI26" i="147" s="1"/>
  <c r="AH26" i="146"/>
  <c r="AG26" i="146"/>
  <c r="AH24" i="146"/>
  <c r="AG24" i="146"/>
  <c r="AF24" i="146"/>
  <c r="AE24" i="146"/>
  <c r="AG26" i="145"/>
  <c r="AJ26" i="145" s="1"/>
  <c r="AF26" i="146"/>
  <c r="AE26" i="146"/>
  <c r="AG24" i="143"/>
  <c r="AJ24" i="143" s="1"/>
  <c r="AE24" i="145"/>
  <c r="AI24" i="145" s="1"/>
  <c r="AE24" i="143"/>
  <c r="AI24" i="143" s="1"/>
  <c r="AF26" i="144"/>
  <c r="AE26" i="144"/>
  <c r="AH26" i="144"/>
  <c r="AG26" i="144"/>
  <c r="AH24" i="144"/>
  <c r="AG24" i="144"/>
  <c r="AG26" i="143"/>
  <c r="AJ26" i="143" s="1"/>
  <c r="AF24" i="144"/>
  <c r="AE24" i="144"/>
  <c r="AE26" i="143"/>
  <c r="AI26" i="143" s="1"/>
  <c r="AF26" i="75"/>
  <c r="AE26" i="75"/>
  <c r="AG24" i="75"/>
  <c r="AH24" i="75"/>
  <c r="AF24" i="75"/>
  <c r="AE24" i="75"/>
  <c r="M111" i="57"/>
  <c r="L111" i="57"/>
  <c r="X111" i="57"/>
  <c r="AJ26" i="156" l="1"/>
  <c r="AI24" i="155"/>
  <c r="AJ22" i="155"/>
  <c r="AJ21" i="155"/>
  <c r="AI21" i="155"/>
  <c r="AI24" i="153"/>
  <c r="AJ26" i="155"/>
  <c r="AJ24" i="153"/>
  <c r="AJ24" i="155"/>
  <c r="AI21" i="154"/>
  <c r="AJ26" i="153"/>
  <c r="AJ24" i="156"/>
  <c r="AI22" i="154"/>
  <c r="AI26" i="156"/>
  <c r="AI22" i="155"/>
  <c r="AI24" i="156"/>
  <c r="AI26" i="155"/>
  <c r="AJ24" i="154"/>
  <c r="AI24" i="154"/>
  <c r="AJ26" i="154"/>
  <c r="AI26" i="153"/>
  <c r="AJ22" i="154"/>
  <c r="AJ21" i="154"/>
  <c r="AI26" i="154"/>
  <c r="AJ21" i="151"/>
  <c r="AJ24" i="151"/>
  <c r="AI22" i="151"/>
  <c r="AJ22" i="151"/>
  <c r="AI26" i="151"/>
  <c r="AI24" i="151"/>
  <c r="AI21" i="151"/>
  <c r="AJ26" i="151"/>
  <c r="AJ26" i="144"/>
  <c r="AJ26" i="148"/>
  <c r="AI24" i="148"/>
  <c r="AJ24" i="148"/>
  <c r="AI26" i="148"/>
  <c r="AJ26" i="146"/>
  <c r="AJ24" i="146"/>
  <c r="AI24" i="146"/>
  <c r="AI26" i="146"/>
  <c r="AJ24" i="144"/>
  <c r="AI24" i="144"/>
  <c r="AI26" i="144"/>
  <c r="AI26" i="75"/>
  <c r="AI24" i="75"/>
  <c r="AJ24" i="75"/>
  <c r="AA34" i="43" l="1"/>
  <c r="Y34" i="43"/>
  <c r="X34" i="43"/>
  <c r="V34" i="43"/>
  <c r="U34" i="43"/>
  <c r="Y33" i="43"/>
  <c r="V33" i="43"/>
  <c r="U33" i="43"/>
  <c r="X33" i="43"/>
  <c r="E21" i="49" l="1"/>
  <c r="A75" i="49"/>
  <c r="A74" i="49"/>
  <c r="A73" i="49"/>
  <c r="A72" i="49"/>
  <c r="A71" i="49"/>
  <c r="A70" i="49"/>
  <c r="A69" i="49"/>
  <c r="B50" i="49"/>
  <c r="B31" i="49"/>
  <c r="A10" i="49"/>
  <c r="L90" i="49" l="1"/>
  <c r="K90" i="49"/>
  <c r="L83" i="49"/>
  <c r="L86" i="49"/>
  <c r="K89" i="49"/>
  <c r="L89" i="49"/>
  <c r="K83" i="49"/>
  <c r="L91" i="49"/>
  <c r="K87" i="49"/>
  <c r="L85" i="49"/>
  <c r="L88" i="49"/>
  <c r="L84" i="49"/>
  <c r="K85" i="49"/>
  <c r="K86" i="49"/>
  <c r="K88" i="49"/>
  <c r="K84" i="49"/>
  <c r="K91" i="49"/>
  <c r="L87" i="49"/>
  <c r="L82" i="49"/>
  <c r="K82" i="49"/>
  <c r="E43" i="49"/>
  <c r="G43" i="49"/>
  <c r="H43" i="49"/>
  <c r="I43" i="49"/>
  <c r="E45" i="49" s="1"/>
  <c r="B43" i="49"/>
  <c r="F43" i="49"/>
  <c r="L92" i="49" s="1"/>
  <c r="C43" i="49"/>
  <c r="D43" i="49"/>
  <c r="K92" i="49" s="1"/>
  <c r="D70" i="35"/>
  <c r="D74" i="35" s="1"/>
  <c r="C70" i="35"/>
  <c r="C74" i="35" s="1"/>
  <c r="B70" i="35"/>
  <c r="B74" i="35" s="1"/>
  <c r="G70" i="35"/>
  <c r="G74" i="35" s="1"/>
  <c r="F70" i="35"/>
  <c r="F74" i="35" s="1"/>
  <c r="E70" i="35"/>
  <c r="E74" i="35" s="1"/>
  <c r="I70" i="35"/>
  <c r="I74" i="35" s="1"/>
  <c r="H70" i="35"/>
  <c r="H74" i="35" s="1"/>
  <c r="C26" i="49" s="1"/>
  <c r="A8" i="46"/>
  <c r="D64" i="46"/>
  <c r="D62" i="46"/>
  <c r="D61" i="46"/>
  <c r="D60" i="46"/>
  <c r="B73" i="35" l="1"/>
  <c r="D73" i="35"/>
  <c r="C73" i="35"/>
  <c r="E73" i="35"/>
  <c r="F73" i="35"/>
  <c r="G73" i="35"/>
  <c r="H73" i="35"/>
  <c r="D26" i="49" s="1"/>
  <c r="F21" i="49" s="1"/>
  <c r="I73" i="35"/>
  <c r="I86" i="46" l="1"/>
  <c r="I85" i="46"/>
  <c r="I123" i="46" s="1"/>
  <c r="J34" i="49"/>
  <c r="J37" i="49"/>
  <c r="J40" i="49"/>
  <c r="J36" i="49"/>
  <c r="J35" i="49"/>
  <c r="J33" i="49"/>
  <c r="J42" i="49"/>
  <c r="J41" i="49"/>
  <c r="J39" i="49"/>
  <c r="J38" i="49"/>
  <c r="B21" i="41"/>
  <c r="B31" i="46"/>
  <c r="I89" i="46" l="1"/>
  <c r="I128" i="46" s="1"/>
  <c r="I90" i="46"/>
  <c r="I82" i="46"/>
  <c r="I81" i="46"/>
  <c r="I78" i="46"/>
  <c r="I118" i="46" s="1"/>
  <c r="I77" i="46"/>
  <c r="I115" i="46" s="1"/>
  <c r="I79" i="46"/>
  <c r="I80" i="46"/>
  <c r="I75" i="46"/>
  <c r="I114" i="46" s="1"/>
  <c r="I76" i="46"/>
  <c r="J43" i="49"/>
  <c r="J45" i="49" s="1"/>
  <c r="K40" i="49"/>
  <c r="K37" i="49"/>
  <c r="K34" i="49"/>
  <c r="K33" i="49"/>
  <c r="K36" i="49"/>
  <c r="K35" i="49"/>
  <c r="K39" i="49"/>
  <c r="K42" i="49"/>
  <c r="K41" i="49"/>
  <c r="K38" i="49"/>
  <c r="B24" i="46"/>
  <c r="AA299" i="44"/>
  <c r="Z299" i="44"/>
  <c r="Y299" i="44"/>
  <c r="X299" i="44"/>
  <c r="AA298" i="44"/>
  <c r="Z298" i="44"/>
  <c r="Y298" i="44"/>
  <c r="X298" i="44"/>
  <c r="AA297" i="44"/>
  <c r="Z297" i="44"/>
  <c r="Y297" i="44"/>
  <c r="X297" i="44"/>
  <c r="W297" i="44"/>
  <c r="W299" i="44"/>
  <c r="W298" i="44"/>
  <c r="AA296" i="44"/>
  <c r="Z296" i="44"/>
  <c r="Y296" i="44"/>
  <c r="X296" i="44"/>
  <c r="W296" i="44"/>
  <c r="B82" i="26"/>
  <c r="Q39" i="26"/>
  <c r="P39" i="26"/>
  <c r="O39" i="26"/>
  <c r="N39" i="26"/>
  <c r="M39" i="26"/>
  <c r="L39" i="26"/>
  <c r="K39" i="26"/>
  <c r="J39" i="26"/>
  <c r="I39" i="26"/>
  <c r="H39" i="26"/>
  <c r="G39" i="26"/>
  <c r="F39" i="26"/>
  <c r="E39" i="26"/>
  <c r="D39" i="26"/>
  <c r="C39" i="26"/>
  <c r="I120" i="46" l="1"/>
  <c r="I119" i="46"/>
  <c r="I117" i="46"/>
  <c r="I116" i="46"/>
  <c r="G40" i="26"/>
  <c r="AB39" i="26"/>
  <c r="I40" i="26"/>
  <c r="H40" i="26"/>
  <c r="D40" i="26"/>
  <c r="P40" i="26"/>
  <c r="J40" i="26"/>
  <c r="L40" i="26"/>
  <c r="M40" i="26"/>
  <c r="N40" i="26"/>
  <c r="E40" i="26"/>
  <c r="Q40" i="26"/>
  <c r="F40" i="26"/>
  <c r="R39" i="26"/>
  <c r="O40" i="26"/>
  <c r="K40" i="26"/>
  <c r="K43" i="49"/>
  <c r="K45" i="49" s="1"/>
  <c r="O20" i="26"/>
  <c r="N20" i="26"/>
  <c r="L20" i="26"/>
  <c r="K20" i="26"/>
  <c r="J20" i="26"/>
  <c r="R20" i="26"/>
  <c r="Q20" i="26"/>
  <c r="P20" i="26"/>
  <c r="M20" i="26"/>
  <c r="I20" i="26"/>
  <c r="H20" i="26"/>
  <c r="G36" i="26"/>
  <c r="G80" i="26" s="1"/>
  <c r="F36" i="26"/>
  <c r="F80" i="26" s="1"/>
  <c r="E36" i="26"/>
  <c r="E80" i="26" s="1"/>
  <c r="D36" i="26"/>
  <c r="D80" i="26" s="1"/>
  <c r="C36" i="26"/>
  <c r="C80" i="26" s="1"/>
  <c r="G35" i="26"/>
  <c r="F35" i="26"/>
  <c r="E35" i="26"/>
  <c r="D35" i="26"/>
  <c r="C35" i="26"/>
  <c r="G34" i="26"/>
  <c r="F34" i="26"/>
  <c r="E34" i="26"/>
  <c r="D34" i="26"/>
  <c r="C34" i="26"/>
  <c r="G33" i="26"/>
  <c r="F33" i="26"/>
  <c r="E33" i="26"/>
  <c r="D33" i="26"/>
  <c r="C33" i="26"/>
  <c r="G32" i="26"/>
  <c r="F32" i="26"/>
  <c r="E32" i="26"/>
  <c r="D32" i="26"/>
  <c r="C32" i="26"/>
  <c r="G31" i="26"/>
  <c r="F31" i="26"/>
  <c r="E31" i="26"/>
  <c r="D31" i="26"/>
  <c r="C31" i="26"/>
  <c r="G30" i="26"/>
  <c r="F30" i="26"/>
  <c r="E30" i="26"/>
  <c r="D30" i="26"/>
  <c r="C30" i="26"/>
  <c r="G29" i="26"/>
  <c r="F29" i="26"/>
  <c r="E29" i="26"/>
  <c r="D29" i="26"/>
  <c r="C29" i="26"/>
  <c r="G28" i="26"/>
  <c r="F28" i="26"/>
  <c r="E28" i="26"/>
  <c r="D28" i="26"/>
  <c r="C28" i="26"/>
  <c r="G27" i="26"/>
  <c r="F27" i="26"/>
  <c r="E27" i="26"/>
  <c r="D27" i="26"/>
  <c r="C27" i="26"/>
  <c r="G26" i="26"/>
  <c r="F26" i="26"/>
  <c r="E26" i="26"/>
  <c r="D26" i="26"/>
  <c r="C26" i="26"/>
  <c r="G25" i="26"/>
  <c r="F25" i="26"/>
  <c r="E25" i="26"/>
  <c r="D25" i="26"/>
  <c r="C25" i="26"/>
  <c r="G24" i="26"/>
  <c r="F24" i="26"/>
  <c r="E24" i="26"/>
  <c r="D24" i="26"/>
  <c r="C24" i="26"/>
  <c r="G23" i="26"/>
  <c r="F23" i="26"/>
  <c r="E23" i="26"/>
  <c r="D23" i="26"/>
  <c r="C23" i="26"/>
  <c r="G22" i="26"/>
  <c r="F22" i="26"/>
  <c r="E22" i="26"/>
  <c r="D22" i="26"/>
  <c r="C22"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5" i="26"/>
  <c r="F15" i="26"/>
  <c r="E15" i="26"/>
  <c r="D15" i="26"/>
  <c r="C15" i="26"/>
  <c r="G14" i="26"/>
  <c r="F14" i="26"/>
  <c r="E14" i="26"/>
  <c r="D14" i="26"/>
  <c r="C14" i="26"/>
  <c r="G13" i="26"/>
  <c r="F13" i="26"/>
  <c r="E13" i="26"/>
  <c r="D13" i="26"/>
  <c r="C13" i="26"/>
  <c r="G12" i="26"/>
  <c r="F12" i="26"/>
  <c r="E12" i="26"/>
  <c r="D12" i="26"/>
  <c r="C12" i="26"/>
  <c r="G11" i="26"/>
  <c r="F11" i="26"/>
  <c r="E11" i="26"/>
  <c r="D11" i="26"/>
  <c r="C11" i="26"/>
  <c r="G10" i="26"/>
  <c r="F10" i="26"/>
  <c r="E10" i="26"/>
  <c r="D10" i="26"/>
  <c r="C10" i="26"/>
  <c r="G9" i="26"/>
  <c r="F9" i="26"/>
  <c r="E9" i="26"/>
  <c r="D9" i="26"/>
  <c r="C9" i="26"/>
  <c r="G8" i="26"/>
  <c r="F8" i="26"/>
  <c r="E8" i="26"/>
  <c r="D8" i="26"/>
  <c r="C8" i="26"/>
  <c r="G7" i="26"/>
  <c r="F7" i="26"/>
  <c r="E7" i="26"/>
  <c r="D7" i="26"/>
  <c r="C7" i="26"/>
  <c r="G6" i="26"/>
  <c r="F6" i="26"/>
  <c r="E6" i="26"/>
  <c r="D6" i="26"/>
  <c r="C6" i="26"/>
  <c r="B36" i="26"/>
  <c r="B80" i="26" s="1"/>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H40" i="26"/>
  <c r="BW34" i="26" l="1"/>
  <c r="Q34" i="26" s="1"/>
  <c r="CB33" i="26"/>
  <c r="V33" i="26" s="1"/>
  <c r="CB29" i="26"/>
  <c r="V29" i="26" s="1"/>
  <c r="CB25" i="26"/>
  <c r="V25" i="26" s="1"/>
  <c r="CB21" i="26"/>
  <c r="V21" i="26" s="1"/>
  <c r="CG35" i="26"/>
  <c r="AA35" i="26" s="1"/>
  <c r="CG31" i="26"/>
  <c r="AA31" i="26" s="1"/>
  <c r="CG27" i="26"/>
  <c r="AA27" i="26" s="1"/>
  <c r="CG23" i="26"/>
  <c r="AA23" i="26" s="1"/>
  <c r="CG18" i="26"/>
  <c r="AA18" i="26" s="1"/>
  <c r="CB34" i="26"/>
  <c r="V34" i="26" s="1"/>
  <c r="CB30" i="26"/>
  <c r="V30" i="26" s="1"/>
  <c r="CB26" i="26"/>
  <c r="V26" i="26" s="1"/>
  <c r="CB22" i="26"/>
  <c r="V22" i="26" s="1"/>
  <c r="CB35" i="26"/>
  <c r="V35" i="26" s="1"/>
  <c r="CB31" i="26"/>
  <c r="V31" i="26" s="1"/>
  <c r="CB27" i="26"/>
  <c r="V27" i="26" s="1"/>
  <c r="CB23" i="26"/>
  <c r="V23" i="26" s="1"/>
  <c r="CB18" i="26"/>
  <c r="V18" i="26" s="1"/>
  <c r="CG30" i="26"/>
  <c r="AA30" i="26" s="1"/>
  <c r="CG22" i="26"/>
  <c r="AA22" i="26" s="1"/>
  <c r="CB16" i="26"/>
  <c r="V16" i="26" s="1"/>
  <c r="AW16" i="26" s="1"/>
  <c r="CG10" i="26"/>
  <c r="AA10" i="26" s="1"/>
  <c r="CG17" i="26"/>
  <c r="AA17" i="26" s="1"/>
  <c r="CB36" i="26"/>
  <c r="V36" i="26" s="1"/>
  <c r="CB19" i="26"/>
  <c r="V19" i="26" s="1"/>
  <c r="CG8" i="26"/>
  <c r="AA8" i="26" s="1"/>
  <c r="CG32" i="26"/>
  <c r="AA32" i="26" s="1"/>
  <c r="CG24" i="26"/>
  <c r="AA24" i="26" s="1"/>
  <c r="CB15" i="26"/>
  <c r="V15" i="26" s="1"/>
  <c r="CB11" i="26"/>
  <c r="V11" i="26" s="1"/>
  <c r="AW11" i="26" s="1"/>
  <c r="CB7" i="26"/>
  <c r="V7" i="26" s="1"/>
  <c r="CG21" i="26"/>
  <c r="AA21" i="26" s="1"/>
  <c r="CB12" i="26"/>
  <c r="V12" i="26" s="1"/>
  <c r="CB32" i="26"/>
  <c r="V32" i="26" s="1"/>
  <c r="CG25" i="26"/>
  <c r="AA25" i="26" s="1"/>
  <c r="CG13" i="26"/>
  <c r="AA13" i="26" s="1"/>
  <c r="CG9" i="26"/>
  <c r="AA9" i="26" s="1"/>
  <c r="CB24" i="26"/>
  <c r="V24" i="26" s="1"/>
  <c r="CG34" i="26"/>
  <c r="AA34" i="26" s="1"/>
  <c r="CB14" i="26"/>
  <c r="V14" i="26" s="1"/>
  <c r="CB6" i="26"/>
  <c r="V6" i="26" s="1"/>
  <c r="CB28" i="26"/>
  <c r="V28" i="26" s="1"/>
  <c r="CG16" i="26"/>
  <c r="AA16" i="26" s="1"/>
  <c r="CG29" i="26"/>
  <c r="AA29" i="26" s="1"/>
  <c r="CB8" i="26"/>
  <c r="V8" i="26" s="1"/>
  <c r="AW8" i="26" s="1"/>
  <c r="CG6" i="26"/>
  <c r="AA6" i="26" s="1"/>
  <c r="CG14" i="26"/>
  <c r="AA14" i="26" s="1"/>
  <c r="CG26" i="26"/>
  <c r="AA26" i="26" s="1"/>
  <c r="CG33" i="26"/>
  <c r="AA33" i="26" s="1"/>
  <c r="CB10" i="26"/>
  <c r="V10" i="26" s="1"/>
  <c r="CG36" i="26"/>
  <c r="AA36" i="26" s="1"/>
  <c r="CG28" i="26"/>
  <c r="AA28" i="26" s="1"/>
  <c r="CG19" i="26"/>
  <c r="AA19" i="26" s="1"/>
  <c r="CB17" i="26"/>
  <c r="V17" i="26" s="1"/>
  <c r="AW17" i="26" s="1"/>
  <c r="CB13" i="26"/>
  <c r="V13" i="26" s="1"/>
  <c r="CB9" i="26"/>
  <c r="V9" i="26" s="1"/>
  <c r="CG15" i="26"/>
  <c r="AA15" i="26" s="1"/>
  <c r="CG11" i="26"/>
  <c r="AA11" i="26" s="1"/>
  <c r="BB11" i="26" s="1"/>
  <c r="CG7" i="26"/>
  <c r="AA7" i="26" s="1"/>
  <c r="CG12" i="26"/>
  <c r="AA12" i="26" s="1"/>
  <c r="CC33" i="26"/>
  <c r="W33" i="26" s="1"/>
  <c r="CC13" i="26"/>
  <c r="W13" i="26" s="1"/>
  <c r="CC12" i="26"/>
  <c r="W12" i="26" s="1"/>
  <c r="CD25" i="26"/>
  <c r="X25" i="26" s="1"/>
  <c r="CD7" i="26"/>
  <c r="X7" i="26" s="1"/>
  <c r="CE34" i="26"/>
  <c r="Y34" i="26" s="1"/>
  <c r="CE28" i="26"/>
  <c r="Y28" i="26" s="1"/>
  <c r="CE33" i="26"/>
  <c r="Y33" i="26" s="1"/>
  <c r="CF31" i="26"/>
  <c r="Z31" i="26" s="1"/>
  <c r="CF21" i="26"/>
  <c r="Z21" i="26" s="1"/>
  <c r="BA21" i="26" s="1"/>
  <c r="CF12" i="26"/>
  <c r="Z12" i="26" s="1"/>
  <c r="CC26" i="26"/>
  <c r="W26" i="26" s="1"/>
  <c r="CD31" i="26"/>
  <c r="X31" i="26" s="1"/>
  <c r="CF10" i="26"/>
  <c r="Z10" i="26" s="1"/>
  <c r="CD16" i="26"/>
  <c r="X16" i="26" s="1"/>
  <c r="CF36" i="26"/>
  <c r="Z36" i="26" s="1"/>
  <c r="CC9" i="26"/>
  <c r="W9" i="26" s="1"/>
  <c r="CD10" i="26"/>
  <c r="X10" i="26" s="1"/>
  <c r="CF29" i="26"/>
  <c r="Z29" i="26" s="1"/>
  <c r="CC7" i="26"/>
  <c r="W7" i="26" s="1"/>
  <c r="CD28" i="26"/>
  <c r="X28" i="26" s="1"/>
  <c r="CF7" i="26"/>
  <c r="Z7" i="26" s="1"/>
  <c r="CC29" i="26"/>
  <c r="W29" i="26" s="1"/>
  <c r="CC16" i="26"/>
  <c r="W16" i="26" s="1"/>
  <c r="CC32" i="26"/>
  <c r="W32" i="26" s="1"/>
  <c r="CD36" i="26"/>
  <c r="X36" i="26" s="1"/>
  <c r="CD32" i="26"/>
  <c r="X32" i="26" s="1"/>
  <c r="CE30" i="26"/>
  <c r="Y30" i="26" s="1"/>
  <c r="CE24" i="26"/>
  <c r="Y24" i="26" s="1"/>
  <c r="CE14" i="26"/>
  <c r="Y14" i="26" s="1"/>
  <c r="CF27" i="26"/>
  <c r="Z27" i="26" s="1"/>
  <c r="CF33" i="26"/>
  <c r="Z33" i="26" s="1"/>
  <c r="CD15" i="26"/>
  <c r="X15" i="26" s="1"/>
  <c r="CC18" i="26"/>
  <c r="W18" i="26" s="1"/>
  <c r="CD9" i="26"/>
  <c r="X9" i="26" s="1"/>
  <c r="CF34" i="26"/>
  <c r="Z34" i="26" s="1"/>
  <c r="CD26" i="26"/>
  <c r="X26" i="26" s="1"/>
  <c r="CE23" i="26"/>
  <c r="Y23" i="26" s="1"/>
  <c r="CC10" i="26"/>
  <c r="W10" i="26" s="1"/>
  <c r="CE29" i="26"/>
  <c r="Y29" i="26" s="1"/>
  <c r="CC25" i="26"/>
  <c r="W25" i="26" s="1"/>
  <c r="CC14" i="26"/>
  <c r="W14" i="26" s="1"/>
  <c r="AX14" i="26" s="1"/>
  <c r="CC36" i="26"/>
  <c r="W36" i="26" s="1"/>
  <c r="CD35" i="26"/>
  <c r="X35" i="26" s="1"/>
  <c r="CD24" i="26"/>
  <c r="X24" i="26" s="1"/>
  <c r="CE26" i="26"/>
  <c r="Y26" i="26" s="1"/>
  <c r="AZ26" i="26" s="1"/>
  <c r="CE19" i="26"/>
  <c r="Y19" i="26" s="1"/>
  <c r="CE10" i="26"/>
  <c r="Y10" i="26" s="1"/>
  <c r="CF23" i="26"/>
  <c r="Z23" i="26" s="1"/>
  <c r="CF32" i="26"/>
  <c r="Z32" i="26" s="1"/>
  <c r="CE8" i="26"/>
  <c r="Y8" i="26" s="1"/>
  <c r="CD34" i="26"/>
  <c r="X34" i="26" s="1"/>
  <c r="CE7" i="26"/>
  <c r="Y7" i="26" s="1"/>
  <c r="CC15" i="26"/>
  <c r="W15" i="26" s="1"/>
  <c r="CF22" i="26"/>
  <c r="Z22" i="26" s="1"/>
  <c r="CD17" i="26"/>
  <c r="X17" i="26" s="1"/>
  <c r="CE36" i="26"/>
  <c r="Y36" i="26" s="1"/>
  <c r="CF17" i="26"/>
  <c r="Z17" i="26" s="1"/>
  <c r="BA17" i="26" s="1"/>
  <c r="CC21" i="26"/>
  <c r="W21" i="26" s="1"/>
  <c r="AX21" i="26" s="1"/>
  <c r="CC19" i="26"/>
  <c r="W19" i="26" s="1"/>
  <c r="CC6" i="26"/>
  <c r="W6" i="26" s="1"/>
  <c r="CD27" i="26"/>
  <c r="X27" i="26" s="1"/>
  <c r="CD11" i="26"/>
  <c r="X11" i="26" s="1"/>
  <c r="CE22" i="26"/>
  <c r="Y22" i="26" s="1"/>
  <c r="CE16" i="26"/>
  <c r="Y16" i="26" s="1"/>
  <c r="CE6" i="26"/>
  <c r="Y6" i="26" s="1"/>
  <c r="CF18" i="26"/>
  <c r="Z18" i="26" s="1"/>
  <c r="CF24" i="26"/>
  <c r="Z24" i="26" s="1"/>
  <c r="CE31" i="26"/>
  <c r="Y31" i="26" s="1"/>
  <c r="CD14" i="26"/>
  <c r="X14" i="26" s="1"/>
  <c r="AY14" i="26" s="1"/>
  <c r="CF9" i="26"/>
  <c r="Z9" i="26" s="1"/>
  <c r="CD8" i="26"/>
  <c r="X8" i="26" s="1"/>
  <c r="CF19" i="26"/>
  <c r="Z19" i="26" s="1"/>
  <c r="CD33" i="26"/>
  <c r="X33" i="26" s="1"/>
  <c r="CE32" i="26"/>
  <c r="Y32" i="26" s="1"/>
  <c r="CF35" i="26"/>
  <c r="Z35" i="26" s="1"/>
  <c r="CC34" i="26"/>
  <c r="W34" i="26" s="1"/>
  <c r="CC35" i="26"/>
  <c r="W35" i="26" s="1"/>
  <c r="CC31" i="26"/>
  <c r="W31" i="26" s="1"/>
  <c r="CD18" i="26"/>
  <c r="X18" i="26" s="1"/>
  <c r="CD19" i="26"/>
  <c r="X19" i="26" s="1"/>
  <c r="AY19" i="26" s="1"/>
  <c r="CE17" i="26"/>
  <c r="Y17" i="26" s="1"/>
  <c r="AZ17" i="26" s="1"/>
  <c r="CE12" i="26"/>
  <c r="Y12" i="26" s="1"/>
  <c r="CE15" i="26"/>
  <c r="Y15" i="26" s="1"/>
  <c r="CF16" i="26"/>
  <c r="Z16" i="26" s="1"/>
  <c r="CF14" i="26"/>
  <c r="Z14" i="26" s="1"/>
  <c r="CC30" i="26"/>
  <c r="W30" i="26" s="1"/>
  <c r="CC27" i="26"/>
  <c r="W27" i="26" s="1"/>
  <c r="AX27" i="26" s="1"/>
  <c r="CC23" i="26"/>
  <c r="W23" i="26" s="1"/>
  <c r="CD13" i="26"/>
  <c r="X13" i="26" s="1"/>
  <c r="CE35" i="26"/>
  <c r="Y35" i="26" s="1"/>
  <c r="CE25" i="26"/>
  <c r="Y25" i="26" s="1"/>
  <c r="CF15" i="26"/>
  <c r="Z15" i="26" s="1"/>
  <c r="CF8" i="26"/>
  <c r="Z8" i="26" s="1"/>
  <c r="BA8" i="26" s="1"/>
  <c r="CC24" i="26"/>
  <c r="W24" i="26" s="1"/>
  <c r="CE13" i="26"/>
  <c r="Y13" i="26" s="1"/>
  <c r="CD22" i="26"/>
  <c r="X22" i="26" s="1"/>
  <c r="CE18" i="26"/>
  <c r="Y18" i="26" s="1"/>
  <c r="CF28" i="26"/>
  <c r="Z28" i="26" s="1"/>
  <c r="CC11" i="26"/>
  <c r="W11" i="26" s="1"/>
  <c r="AX11" i="26" s="1"/>
  <c r="CD6" i="26"/>
  <c r="X6" i="26" s="1"/>
  <c r="CF6" i="26"/>
  <c r="Z6" i="26" s="1"/>
  <c r="CC28" i="26"/>
  <c r="W28" i="26" s="1"/>
  <c r="CD21" i="26"/>
  <c r="X21" i="26" s="1"/>
  <c r="AY21" i="26" s="1"/>
  <c r="CE21" i="26"/>
  <c r="Y21" i="26" s="1"/>
  <c r="AZ21" i="26" s="1"/>
  <c r="CF25" i="26"/>
  <c r="Z25" i="26" s="1"/>
  <c r="BA25" i="26" s="1"/>
  <c r="CC22" i="26"/>
  <c r="W22" i="26" s="1"/>
  <c r="AX22" i="26" s="1"/>
  <c r="CC8" i="26"/>
  <c r="W8" i="26" s="1"/>
  <c r="AX8" i="26" s="1"/>
  <c r="CD30" i="26"/>
  <c r="X30" i="26" s="1"/>
  <c r="CD29" i="26"/>
  <c r="X29" i="26" s="1"/>
  <c r="CD23" i="26"/>
  <c r="X23" i="26" s="1"/>
  <c r="CE27" i="26"/>
  <c r="Y27" i="26" s="1"/>
  <c r="CE9" i="26"/>
  <c r="Y9" i="26" s="1"/>
  <c r="CF30" i="26"/>
  <c r="Z30" i="26" s="1"/>
  <c r="CF13" i="26"/>
  <c r="Z13" i="26" s="1"/>
  <c r="CF11" i="26"/>
  <c r="Z11" i="26" s="1"/>
  <c r="CC17" i="26"/>
  <c r="W17" i="26" s="1"/>
  <c r="AX17" i="26" s="1"/>
  <c r="CF26" i="26"/>
  <c r="Z26" i="26" s="1"/>
  <c r="BA26" i="26" s="1"/>
  <c r="CD12" i="26"/>
  <c r="X12" i="26" s="1"/>
  <c r="CE11" i="26"/>
  <c r="Y11" i="26" s="1"/>
  <c r="CA33" i="26"/>
  <c r="U33" i="26" s="1"/>
  <c r="CA14" i="26"/>
  <c r="U14" i="26" s="1"/>
  <c r="CA6" i="26"/>
  <c r="U6" i="26" s="1"/>
  <c r="BZ29" i="26"/>
  <c r="T29" i="26" s="1"/>
  <c r="BZ22" i="26"/>
  <c r="T22" i="26" s="1"/>
  <c r="BY36" i="26"/>
  <c r="S36" i="26" s="1"/>
  <c r="BY22" i="26"/>
  <c r="S22" i="26" s="1"/>
  <c r="BY11" i="26"/>
  <c r="S11" i="26" s="1"/>
  <c r="AT11" i="26" s="1"/>
  <c r="CA9" i="26"/>
  <c r="U9" i="26" s="1"/>
  <c r="BZ17" i="26"/>
  <c r="T17" i="26" s="1"/>
  <c r="AU17" i="26" s="1"/>
  <c r="BZ23" i="26"/>
  <c r="T23" i="26" s="1"/>
  <c r="BY18" i="26"/>
  <c r="S18" i="26" s="1"/>
  <c r="BZ7" i="26"/>
  <c r="T7" i="26" s="1"/>
  <c r="BY34" i="26"/>
  <c r="S34" i="26" s="1"/>
  <c r="BZ19" i="26"/>
  <c r="T19" i="26" s="1"/>
  <c r="BZ33" i="26"/>
  <c r="T33" i="26" s="1"/>
  <c r="CA29" i="26"/>
  <c r="U29" i="26" s="1"/>
  <c r="CA15" i="26"/>
  <c r="U15" i="26" s="1"/>
  <c r="CA34" i="26"/>
  <c r="U34" i="26" s="1"/>
  <c r="BZ25" i="26"/>
  <c r="T25" i="26" s="1"/>
  <c r="AU25" i="26" s="1"/>
  <c r="BZ15" i="26"/>
  <c r="T15" i="26" s="1"/>
  <c r="BY32" i="26"/>
  <c r="S32" i="26" s="1"/>
  <c r="BY7" i="26"/>
  <c r="S7" i="26" s="1"/>
  <c r="BY23" i="26"/>
  <c r="S23" i="26" s="1"/>
  <c r="CA28" i="26"/>
  <c r="U28" i="26" s="1"/>
  <c r="BY10" i="26"/>
  <c r="S10" i="26" s="1"/>
  <c r="BZ13" i="26"/>
  <c r="T13" i="26" s="1"/>
  <c r="BY6" i="26"/>
  <c r="S6" i="26" s="1"/>
  <c r="BY25" i="26"/>
  <c r="S25" i="26" s="1"/>
  <c r="AT25" i="26" s="1"/>
  <c r="BZ12" i="26"/>
  <c r="T12" i="26" s="1"/>
  <c r="BY21" i="26"/>
  <c r="S21" i="26" s="1"/>
  <c r="AT21" i="26" s="1"/>
  <c r="CA23" i="26"/>
  <c r="U23" i="26" s="1"/>
  <c r="BY31" i="26"/>
  <c r="S31" i="26" s="1"/>
  <c r="BZ34" i="26"/>
  <c r="T34" i="26" s="1"/>
  <c r="CA22" i="26"/>
  <c r="U22" i="26" s="1"/>
  <c r="AV22" i="26" s="1"/>
  <c r="BY27" i="26"/>
  <c r="S27" i="26" s="1"/>
  <c r="CA25" i="26"/>
  <c r="U25" i="26" s="1"/>
  <c r="AV25" i="26" s="1"/>
  <c r="CA11" i="26"/>
  <c r="U11" i="26" s="1"/>
  <c r="AV11" i="26" s="1"/>
  <c r="CA26" i="26"/>
  <c r="U26" i="26" s="1"/>
  <c r="AV26" i="26" s="1"/>
  <c r="BZ21" i="26"/>
  <c r="T21" i="26" s="1"/>
  <c r="BZ35" i="26"/>
  <c r="T35" i="26" s="1"/>
  <c r="BY28" i="26"/>
  <c r="S28" i="26" s="1"/>
  <c r="BY35" i="26"/>
  <c r="S35" i="26" s="1"/>
  <c r="BY16" i="26"/>
  <c r="S16" i="26" s="1"/>
  <c r="AT16" i="26" s="1"/>
  <c r="CA31" i="26"/>
  <c r="U31" i="26" s="1"/>
  <c r="BY33" i="26"/>
  <c r="S33" i="26" s="1"/>
  <c r="S77" i="26" s="1"/>
  <c r="CA35" i="26"/>
  <c r="U35" i="26" s="1"/>
  <c r="BY29" i="26"/>
  <c r="S29" i="26" s="1"/>
  <c r="BZ28" i="26"/>
  <c r="T28" i="26" s="1"/>
  <c r="BY13" i="26"/>
  <c r="S13" i="26" s="1"/>
  <c r="AT13" i="26" s="1"/>
  <c r="BZ24" i="26"/>
  <c r="T24" i="26" s="1"/>
  <c r="CA30" i="26"/>
  <c r="U30" i="26" s="1"/>
  <c r="CA10" i="26"/>
  <c r="U10" i="26" s="1"/>
  <c r="AV10" i="26" s="1"/>
  <c r="CA21" i="26"/>
  <c r="U21" i="26" s="1"/>
  <c r="AV21" i="26" s="1"/>
  <c r="CA7" i="26"/>
  <c r="U7" i="26" s="1"/>
  <c r="CA17" i="26"/>
  <c r="U17" i="26" s="1"/>
  <c r="AV17" i="26" s="1"/>
  <c r="BZ14" i="26"/>
  <c r="T14" i="26" s="1"/>
  <c r="AU14" i="26" s="1"/>
  <c r="BZ18" i="26"/>
  <c r="T18" i="26" s="1"/>
  <c r="BY24" i="26"/>
  <c r="S24" i="26" s="1"/>
  <c r="BY17" i="26"/>
  <c r="S17" i="26" s="1"/>
  <c r="AT17" i="26" s="1"/>
  <c r="BY12" i="26"/>
  <c r="S12" i="26" s="1"/>
  <c r="BZ6" i="26"/>
  <c r="T6" i="26" s="1"/>
  <c r="BZ36" i="26"/>
  <c r="T36" i="26" s="1"/>
  <c r="CA24" i="26"/>
  <c r="U24" i="26" s="1"/>
  <c r="BZ8" i="26"/>
  <c r="T8" i="26" s="1"/>
  <c r="AU8" i="26" s="1"/>
  <c r="BY30" i="26"/>
  <c r="S30" i="26" s="1"/>
  <c r="BZ30" i="26"/>
  <c r="T30" i="26" s="1"/>
  <c r="CA36" i="26"/>
  <c r="U36" i="26" s="1"/>
  <c r="CA27" i="26"/>
  <c r="U27" i="26" s="1"/>
  <c r="AV27" i="26" s="1"/>
  <c r="CA13" i="26"/>
  <c r="U13" i="26" s="1"/>
  <c r="AV13" i="26" s="1"/>
  <c r="BZ10" i="26"/>
  <c r="T10" i="26" s="1"/>
  <c r="AU10" i="26" s="1"/>
  <c r="BZ16" i="26"/>
  <c r="T16" i="26" s="1"/>
  <c r="AU16" i="26" s="1"/>
  <c r="BY19" i="26"/>
  <c r="S19" i="26" s="1"/>
  <c r="AT19" i="26" s="1"/>
  <c r="BY14" i="26"/>
  <c r="S14" i="26" s="1"/>
  <c r="AT14" i="26" s="1"/>
  <c r="BY8" i="26"/>
  <c r="S8" i="26" s="1"/>
  <c r="AT8" i="26" s="1"/>
  <c r="BY9" i="26"/>
  <c r="S9" i="26" s="1"/>
  <c r="CA19" i="26"/>
  <c r="U19" i="26" s="1"/>
  <c r="AV19" i="26" s="1"/>
  <c r="CA32" i="26"/>
  <c r="U32" i="26" s="1"/>
  <c r="BZ31" i="26"/>
  <c r="T31" i="26" s="1"/>
  <c r="CA8" i="26"/>
  <c r="U8" i="26" s="1"/>
  <c r="AV8" i="26" s="1"/>
  <c r="BY15" i="26"/>
  <c r="S15" i="26" s="1"/>
  <c r="BZ26" i="26"/>
  <c r="T26" i="26" s="1"/>
  <c r="AU26" i="26" s="1"/>
  <c r="CA16" i="26"/>
  <c r="U16" i="26" s="1"/>
  <c r="AV16" i="26" s="1"/>
  <c r="CA18" i="26"/>
  <c r="U18" i="26" s="1"/>
  <c r="BZ32" i="26"/>
  <c r="T32" i="26" s="1"/>
  <c r="BZ11" i="26"/>
  <c r="T11" i="26" s="1"/>
  <c r="AU11" i="26" s="1"/>
  <c r="BZ27" i="26"/>
  <c r="T27" i="26" s="1"/>
  <c r="AU27" i="26" s="1"/>
  <c r="CA12" i="26"/>
  <c r="U12" i="26" s="1"/>
  <c r="BZ9" i="26"/>
  <c r="T9" i="26" s="1"/>
  <c r="BY26" i="26"/>
  <c r="S26" i="26" s="1"/>
  <c r="AT26" i="26" s="1"/>
  <c r="R40" i="26"/>
  <c r="S39" i="26"/>
  <c r="BX10" i="26"/>
  <c r="R10" i="26" s="1"/>
  <c r="F24" i="69"/>
  <c r="F21" i="70"/>
  <c r="H24" i="69"/>
  <c r="D27" i="69"/>
  <c r="D26" i="69"/>
  <c r="H21" i="70"/>
  <c r="D24" i="70"/>
  <c r="E24" i="70" s="1"/>
  <c r="E54" i="70" s="1"/>
  <c r="D23" i="70"/>
  <c r="E23" i="70" s="1"/>
  <c r="E53" i="70" s="1"/>
  <c r="D38" i="26"/>
  <c r="D82" i="26" s="1"/>
  <c r="D81" i="26"/>
  <c r="BS17" i="26"/>
  <c r="M17" i="26" s="1"/>
  <c r="BX22" i="26"/>
  <c r="R22" i="26" s="1"/>
  <c r="BN24" i="26"/>
  <c r="H24" i="26" s="1"/>
  <c r="H68" i="26" s="1"/>
  <c r="BS10" i="26"/>
  <c r="M10" i="26" s="1"/>
  <c r="BN36" i="26"/>
  <c r="H36" i="26" s="1"/>
  <c r="H80" i="26" s="1"/>
  <c r="H81" i="26" s="1"/>
  <c r="BN17" i="26"/>
  <c r="H17" i="26" s="1"/>
  <c r="BT11" i="26"/>
  <c r="N11" i="26" s="1"/>
  <c r="BO18" i="26"/>
  <c r="I18" i="26" s="1"/>
  <c r="BO25" i="26"/>
  <c r="I25" i="26" s="1"/>
  <c r="G81" i="26"/>
  <c r="BN12" i="26"/>
  <c r="H12" i="26" s="1"/>
  <c r="BT18" i="26"/>
  <c r="N18" i="26" s="1"/>
  <c r="BP26" i="26"/>
  <c r="J26" i="26" s="1"/>
  <c r="BO6" i="26"/>
  <c r="I6" i="26" s="1"/>
  <c r="I50" i="26" s="1"/>
  <c r="BU12" i="26"/>
  <c r="O12" i="26" s="1"/>
  <c r="BP19" i="26"/>
  <c r="J19" i="26" s="1"/>
  <c r="BQ27" i="26"/>
  <c r="K27" i="26" s="1"/>
  <c r="BT6" i="26"/>
  <c r="N6" i="26" s="1"/>
  <c r="BO13" i="26"/>
  <c r="I13" i="26" s="1"/>
  <c r="BR28" i="26"/>
  <c r="L28" i="26" s="1"/>
  <c r="L72" i="26" s="1"/>
  <c r="BV13" i="26"/>
  <c r="P13" i="26" s="1"/>
  <c r="BP7" i="26"/>
  <c r="J7" i="26" s="1"/>
  <c r="J51" i="26" s="1"/>
  <c r="P43" i="26"/>
  <c r="BS29" i="26"/>
  <c r="M29" i="26" s="1"/>
  <c r="M73" i="26" s="1"/>
  <c r="E38" i="26"/>
  <c r="E82" i="26" s="1"/>
  <c r="BU7" i="26"/>
  <c r="O7" i="26" s="1"/>
  <c r="O51" i="26" s="1"/>
  <c r="BP14" i="26"/>
  <c r="J14" i="26" s="1"/>
  <c r="BT30" i="26"/>
  <c r="N30" i="26" s="1"/>
  <c r="N74" i="26" s="1"/>
  <c r="BQ8" i="26"/>
  <c r="K8" i="26" s="1"/>
  <c r="BW14" i="26"/>
  <c r="Q14" i="26" s="1"/>
  <c r="BU31" i="26"/>
  <c r="O31" i="26" s="1"/>
  <c r="O75" i="26" s="1"/>
  <c r="BX35" i="26"/>
  <c r="R35" i="26" s="1"/>
  <c r="R79" i="26" s="1"/>
  <c r="G38" i="26"/>
  <c r="G82" i="26" s="1"/>
  <c r="BV8" i="26"/>
  <c r="P8" i="26" s="1"/>
  <c r="BQ15" i="26"/>
  <c r="K15" i="26" s="1"/>
  <c r="BV32" i="26"/>
  <c r="P32" i="26" s="1"/>
  <c r="BR9" i="26"/>
  <c r="L9" i="26" s="1"/>
  <c r="BX15" i="26"/>
  <c r="R15" i="26" s="1"/>
  <c r="BW33" i="26"/>
  <c r="Q33" i="26" s="1"/>
  <c r="Q77" i="26" s="1"/>
  <c r="F38" i="26"/>
  <c r="F82" i="26" s="1"/>
  <c r="BW9" i="26"/>
  <c r="Q9" i="26" s="1"/>
  <c r="BR16" i="26"/>
  <c r="L16" i="26" s="1"/>
  <c r="BW21" i="26"/>
  <c r="Q21" i="26" s="1"/>
  <c r="BX34" i="26"/>
  <c r="R34" i="26" s="1"/>
  <c r="R78" i="26" s="1"/>
  <c r="P76" i="26"/>
  <c r="B22" i="76" s="1"/>
  <c r="Q78" i="26"/>
  <c r="B69" i="26"/>
  <c r="AC25" i="26"/>
  <c r="B70" i="26"/>
  <c r="AC26" i="26"/>
  <c r="G59" i="26"/>
  <c r="AH15" i="26"/>
  <c r="AD23" i="26"/>
  <c r="C67" i="26"/>
  <c r="G71" i="26"/>
  <c r="AH27" i="26"/>
  <c r="D74" i="26"/>
  <c r="AE74" i="26" s="1"/>
  <c r="AE30" i="26"/>
  <c r="AG32" i="26"/>
  <c r="F76" i="26"/>
  <c r="AG76" i="26" s="1"/>
  <c r="AD35" i="26"/>
  <c r="C79" i="26"/>
  <c r="AD79" i="26" s="1"/>
  <c r="BP6" i="26"/>
  <c r="J6" i="26" s="1"/>
  <c r="BQ7" i="26"/>
  <c r="K7" i="26" s="1"/>
  <c r="BR8" i="26"/>
  <c r="L8" i="26" s="1"/>
  <c r="BS9" i="26"/>
  <c r="M9" i="26" s="1"/>
  <c r="BT10" i="26"/>
  <c r="N10" i="26" s="1"/>
  <c r="BU11" i="26"/>
  <c r="O11" i="26" s="1"/>
  <c r="BV12" i="26"/>
  <c r="P12" i="26" s="1"/>
  <c r="BW13" i="26"/>
  <c r="Q13" i="26" s="1"/>
  <c r="BX14" i="26"/>
  <c r="R14" i="26" s="1"/>
  <c r="BN16" i="26"/>
  <c r="H16" i="26" s="1"/>
  <c r="BO17" i="26"/>
  <c r="I17" i="26" s="1"/>
  <c r="AJ17" i="26" s="1"/>
  <c r="BP18" i="26"/>
  <c r="J18" i="26" s="1"/>
  <c r="BQ19" i="26"/>
  <c r="K19" i="26" s="1"/>
  <c r="BX21" i="26"/>
  <c r="R21" i="26" s="1"/>
  <c r="BN23" i="26"/>
  <c r="H23" i="26" s="1"/>
  <c r="BO24" i="26"/>
  <c r="I24" i="26" s="1"/>
  <c r="BP25" i="26"/>
  <c r="J25" i="26" s="1"/>
  <c r="BQ26" i="26"/>
  <c r="K26" i="26" s="1"/>
  <c r="BR27" i="26"/>
  <c r="L27" i="26" s="1"/>
  <c r="BS28" i="26"/>
  <c r="M28" i="26" s="1"/>
  <c r="BT29" i="26"/>
  <c r="N29" i="26" s="1"/>
  <c r="BU30" i="26"/>
  <c r="O30" i="26" s="1"/>
  <c r="BV31" i="26"/>
  <c r="P31" i="26" s="1"/>
  <c r="BW32" i="26"/>
  <c r="Q32" i="26" s="1"/>
  <c r="BX33" i="26"/>
  <c r="R33" i="26" s="1"/>
  <c r="BN35" i="26"/>
  <c r="H35" i="26" s="1"/>
  <c r="BO36" i="26"/>
  <c r="G54" i="26"/>
  <c r="AH10" i="26"/>
  <c r="B58" i="26"/>
  <c r="AC14" i="26"/>
  <c r="C55" i="26"/>
  <c r="AD11" i="26"/>
  <c r="B59" i="26"/>
  <c r="AC15" i="26"/>
  <c r="B71" i="26"/>
  <c r="AC27" i="26"/>
  <c r="E50" i="26"/>
  <c r="AF50" i="26" s="1"/>
  <c r="AF6" i="26"/>
  <c r="G52" i="26"/>
  <c r="AH8" i="26"/>
  <c r="D55" i="26"/>
  <c r="AE11" i="26"/>
  <c r="F57" i="26"/>
  <c r="AG13" i="26"/>
  <c r="C60" i="26"/>
  <c r="AD16" i="26"/>
  <c r="AF18" i="26"/>
  <c r="E62" i="26"/>
  <c r="AE23" i="26"/>
  <c r="D67" i="26"/>
  <c r="AG25" i="26"/>
  <c r="F69" i="26"/>
  <c r="C72" i="26"/>
  <c r="AD72" i="26" s="1"/>
  <c r="AD28" i="26"/>
  <c r="E74" i="26"/>
  <c r="AF74" i="26" s="1"/>
  <c r="AF30" i="26"/>
  <c r="AH32" i="26"/>
  <c r="G76" i="26"/>
  <c r="AH76" i="26" s="1"/>
  <c r="AE35" i="26"/>
  <c r="D79" i="26"/>
  <c r="AE79" i="26" s="1"/>
  <c r="BQ6" i="26"/>
  <c r="K6" i="26" s="1"/>
  <c r="BR7" i="26"/>
  <c r="L7" i="26" s="1"/>
  <c r="BS8" i="26"/>
  <c r="M8" i="26" s="1"/>
  <c r="BT9" i="26"/>
  <c r="N9" i="26" s="1"/>
  <c r="BU10" i="26"/>
  <c r="O10" i="26" s="1"/>
  <c r="BV11" i="26"/>
  <c r="P11" i="26" s="1"/>
  <c r="BW12" i="26"/>
  <c r="Q12" i="26" s="1"/>
  <c r="BX13" i="26"/>
  <c r="R13" i="26" s="1"/>
  <c r="BN15" i="26"/>
  <c r="H15" i="26" s="1"/>
  <c r="BO16" i="26"/>
  <c r="I16" i="26" s="1"/>
  <c r="AJ16" i="26" s="1"/>
  <c r="BP17" i="26"/>
  <c r="J17" i="26" s="1"/>
  <c r="BQ18" i="26"/>
  <c r="K18" i="26" s="1"/>
  <c r="BR19" i="26"/>
  <c r="L19" i="26" s="1"/>
  <c r="BN22" i="26"/>
  <c r="H22" i="26" s="1"/>
  <c r="BO23" i="26"/>
  <c r="I23" i="26" s="1"/>
  <c r="BP24" i="26"/>
  <c r="J24" i="26" s="1"/>
  <c r="BQ25" i="26"/>
  <c r="K25" i="26" s="1"/>
  <c r="BR26" i="26"/>
  <c r="L26" i="26" s="1"/>
  <c r="BS27" i="26"/>
  <c r="M27" i="26" s="1"/>
  <c r="BT28" i="26"/>
  <c r="N28" i="26" s="1"/>
  <c r="BU29" i="26"/>
  <c r="O29" i="26" s="1"/>
  <c r="BV30" i="26"/>
  <c r="P30" i="26" s="1"/>
  <c r="BW31" i="26"/>
  <c r="Q31" i="26" s="1"/>
  <c r="BX32" i="26"/>
  <c r="R32" i="26" s="1"/>
  <c r="BN34" i="26"/>
  <c r="H34" i="26" s="1"/>
  <c r="BO35" i="26"/>
  <c r="I35" i="26" s="1"/>
  <c r="BP36" i="26"/>
  <c r="J36" i="26" s="1"/>
  <c r="AE25" i="26"/>
  <c r="D69" i="26"/>
  <c r="D50" i="26"/>
  <c r="AE50" i="26" s="1"/>
  <c r="AE6" i="26"/>
  <c r="E57" i="26"/>
  <c r="AF13" i="26"/>
  <c r="AE18" i="26"/>
  <c r="D62" i="26"/>
  <c r="B60" i="26"/>
  <c r="AC16" i="26"/>
  <c r="B72" i="26"/>
  <c r="AC72" i="26" s="1"/>
  <c r="AC28" i="26"/>
  <c r="F50" i="26"/>
  <c r="AG50" i="26" s="1"/>
  <c r="AG6" i="26"/>
  <c r="C53" i="26"/>
  <c r="AD9" i="26"/>
  <c r="E55" i="26"/>
  <c r="AF11" i="26"/>
  <c r="G57" i="26"/>
  <c r="AH13" i="26"/>
  <c r="D60" i="26"/>
  <c r="AE16" i="26"/>
  <c r="F62" i="26"/>
  <c r="AG18" i="26"/>
  <c r="AD21" i="26"/>
  <c r="C65" i="26"/>
  <c r="AF23" i="26"/>
  <c r="E67" i="26"/>
  <c r="AH25" i="26"/>
  <c r="G69" i="26"/>
  <c r="AE28" i="26"/>
  <c r="D72" i="26"/>
  <c r="AE72" i="26" s="1"/>
  <c r="F74" i="26"/>
  <c r="AG74" i="26" s="1"/>
  <c r="AG30" i="26"/>
  <c r="AD33" i="26"/>
  <c r="C77" i="26"/>
  <c r="AD77" i="26" s="1"/>
  <c r="AF35" i="26"/>
  <c r="E79" i="26"/>
  <c r="AF79" i="26" s="1"/>
  <c r="BR6" i="26"/>
  <c r="L6" i="26" s="1"/>
  <c r="AM20" i="26" s="1"/>
  <c r="BS7" i="26"/>
  <c r="M7" i="26" s="1"/>
  <c r="BT8" i="26"/>
  <c r="N8" i="26" s="1"/>
  <c r="BU9" i="26"/>
  <c r="O9" i="26" s="1"/>
  <c r="BV10" i="26"/>
  <c r="P10" i="26" s="1"/>
  <c r="BW11" i="26"/>
  <c r="Q11" i="26" s="1"/>
  <c r="BX12" i="26"/>
  <c r="R12" i="26" s="1"/>
  <c r="BN14" i="26"/>
  <c r="H14" i="26" s="1"/>
  <c r="BO15" i="26"/>
  <c r="I15" i="26" s="1"/>
  <c r="BP16" i="26"/>
  <c r="J16" i="26" s="1"/>
  <c r="BQ17" i="26"/>
  <c r="K17" i="26" s="1"/>
  <c r="BR18" i="26"/>
  <c r="L18" i="26" s="1"/>
  <c r="BS19" i="26"/>
  <c r="M19" i="26" s="1"/>
  <c r="BN21" i="26"/>
  <c r="H21" i="26" s="1"/>
  <c r="BO22" i="26"/>
  <c r="I22" i="26" s="1"/>
  <c r="BP23" i="26"/>
  <c r="J23" i="26" s="1"/>
  <c r="BQ24" i="26"/>
  <c r="K24" i="26" s="1"/>
  <c r="BR25" i="26"/>
  <c r="L25" i="26" s="1"/>
  <c r="BS26" i="26"/>
  <c r="M26" i="26" s="1"/>
  <c r="BT27" i="26"/>
  <c r="N27" i="26" s="1"/>
  <c r="BU28" i="26"/>
  <c r="O28" i="26" s="1"/>
  <c r="BV29" i="26"/>
  <c r="P29" i="26" s="1"/>
  <c r="BW30" i="26"/>
  <c r="Q30" i="26" s="1"/>
  <c r="BX31" i="26"/>
  <c r="R31" i="26" s="1"/>
  <c r="BN33" i="26"/>
  <c r="H33" i="26" s="1"/>
  <c r="BO34" i="26"/>
  <c r="I34" i="26" s="1"/>
  <c r="BP35" i="26"/>
  <c r="J35" i="26" s="1"/>
  <c r="BQ36" i="26"/>
  <c r="K36" i="26" s="1"/>
  <c r="E37" i="26"/>
  <c r="F52" i="26"/>
  <c r="AG8" i="26"/>
  <c r="AF25" i="26"/>
  <c r="E69" i="26"/>
  <c r="B61" i="26"/>
  <c r="AC17" i="26"/>
  <c r="B73" i="26"/>
  <c r="AC73" i="26" s="1"/>
  <c r="AC29" i="26"/>
  <c r="G50" i="26"/>
  <c r="AH50" i="26" s="1"/>
  <c r="AH6" i="26"/>
  <c r="D53" i="26"/>
  <c r="AE9" i="26"/>
  <c r="F55" i="26"/>
  <c r="AG11" i="26"/>
  <c r="C58" i="26"/>
  <c r="AD14" i="26"/>
  <c r="E60" i="26"/>
  <c r="AF16" i="26"/>
  <c r="AH18" i="26"/>
  <c r="G62" i="26"/>
  <c r="D65" i="26"/>
  <c r="AE21" i="26"/>
  <c r="AG23" i="26"/>
  <c r="F67" i="26"/>
  <c r="AD26" i="26"/>
  <c r="C70" i="26"/>
  <c r="AF28" i="26"/>
  <c r="E72" i="26"/>
  <c r="AF72" i="26" s="1"/>
  <c r="G74" i="26"/>
  <c r="AH74" i="26" s="1"/>
  <c r="AH30" i="26"/>
  <c r="D77" i="26"/>
  <c r="AE77" i="26" s="1"/>
  <c r="AE33" i="26"/>
  <c r="AG35" i="26"/>
  <c r="F79" i="26"/>
  <c r="AG79" i="26" s="1"/>
  <c r="BS6" i="26"/>
  <c r="M6" i="26" s="1"/>
  <c r="BT7" i="26"/>
  <c r="N7" i="26" s="1"/>
  <c r="BU8" i="26"/>
  <c r="O8" i="26" s="1"/>
  <c r="BV9" i="26"/>
  <c r="P9" i="26" s="1"/>
  <c r="BW10" i="26"/>
  <c r="Q10" i="26" s="1"/>
  <c r="BX11" i="26"/>
  <c r="R11" i="26" s="1"/>
  <c r="BN13" i="26"/>
  <c r="H13" i="26" s="1"/>
  <c r="BO14" i="26"/>
  <c r="I14" i="26" s="1"/>
  <c r="BP15" i="26"/>
  <c r="J15" i="26" s="1"/>
  <c r="BQ16" i="26"/>
  <c r="K16" i="26" s="1"/>
  <c r="BR17" i="26"/>
  <c r="L17" i="26" s="1"/>
  <c r="BS18" i="26"/>
  <c r="M18" i="26" s="1"/>
  <c r="BT19" i="26"/>
  <c r="N19" i="26" s="1"/>
  <c r="BO21" i="26"/>
  <c r="I21" i="26" s="1"/>
  <c r="AJ21" i="26" s="1"/>
  <c r="BP22" i="26"/>
  <c r="J22" i="26" s="1"/>
  <c r="BQ23" i="26"/>
  <c r="K23" i="26" s="1"/>
  <c r="BR24" i="26"/>
  <c r="L24" i="26" s="1"/>
  <c r="BS25" i="26"/>
  <c r="M25" i="26" s="1"/>
  <c r="BT26" i="26"/>
  <c r="N26" i="26" s="1"/>
  <c r="BU27" i="26"/>
  <c r="O27" i="26" s="1"/>
  <c r="BV28" i="26"/>
  <c r="P28" i="26" s="1"/>
  <c r="BW29" i="26"/>
  <c r="Q29" i="26" s="1"/>
  <c r="BX30" i="26"/>
  <c r="R30" i="26" s="1"/>
  <c r="BN32" i="26"/>
  <c r="H32" i="26" s="1"/>
  <c r="BO33" i="26"/>
  <c r="I33" i="26" s="1"/>
  <c r="BP34" i="26"/>
  <c r="J34" i="26" s="1"/>
  <c r="BQ35" i="26"/>
  <c r="K35" i="26" s="1"/>
  <c r="BR36" i="26"/>
  <c r="L36" i="26" s="1"/>
  <c r="F37" i="26"/>
  <c r="C62" i="26"/>
  <c r="AD18" i="26"/>
  <c r="AD30" i="26"/>
  <c r="C74" i="26"/>
  <c r="AD74" i="26" s="1"/>
  <c r="B74" i="26"/>
  <c r="AC74" i="26" s="1"/>
  <c r="AC30" i="26"/>
  <c r="AD19" i="26"/>
  <c r="C63" i="26"/>
  <c r="AE26" i="26"/>
  <c r="D70" i="26"/>
  <c r="E77" i="26"/>
  <c r="AF77" i="26" s="1"/>
  <c r="AF33" i="26"/>
  <c r="BU19" i="26"/>
  <c r="O19" i="26" s="1"/>
  <c r="BP21" i="26"/>
  <c r="J21" i="26" s="1"/>
  <c r="BQ22" i="26"/>
  <c r="K22" i="26" s="1"/>
  <c r="BR23" i="26"/>
  <c r="L23" i="26" s="1"/>
  <c r="BS24" i="26"/>
  <c r="M24" i="26" s="1"/>
  <c r="BT25" i="26"/>
  <c r="N25" i="26" s="1"/>
  <c r="BU26" i="26"/>
  <c r="O26" i="26" s="1"/>
  <c r="BV27" i="26"/>
  <c r="P27" i="26" s="1"/>
  <c r="BW28" i="26"/>
  <c r="Q28" i="26" s="1"/>
  <c r="BX29" i="26"/>
  <c r="R29" i="26" s="1"/>
  <c r="BN31" i="26"/>
  <c r="H31" i="26" s="1"/>
  <c r="BO32" i="26"/>
  <c r="I32" i="26" s="1"/>
  <c r="BP33" i="26"/>
  <c r="J33" i="26" s="1"/>
  <c r="BQ34" i="26"/>
  <c r="K34" i="26" s="1"/>
  <c r="BR35" i="26"/>
  <c r="L35" i="26" s="1"/>
  <c r="BS36" i="26"/>
  <c r="M36" i="26" s="1"/>
  <c r="G37" i="26"/>
  <c r="B57" i="26"/>
  <c r="AC13" i="26"/>
  <c r="AD7" i="26"/>
  <c r="C51" i="26"/>
  <c r="E65" i="26"/>
  <c r="AF21" i="26"/>
  <c r="B51" i="26"/>
  <c r="AC7" i="26"/>
  <c r="B63" i="26"/>
  <c r="AC19" i="26"/>
  <c r="B75" i="26"/>
  <c r="AC75" i="26" s="1"/>
  <c r="AC31" i="26"/>
  <c r="D51" i="26"/>
  <c r="AE7" i="26"/>
  <c r="F53" i="26"/>
  <c r="AG9" i="26"/>
  <c r="C56" i="26"/>
  <c r="AD12" i="26"/>
  <c r="E58" i="26"/>
  <c r="AF14" i="26"/>
  <c r="G60" i="26"/>
  <c r="AH16" i="26"/>
  <c r="AE19" i="26"/>
  <c r="D63" i="26"/>
  <c r="AE63" i="26" s="1"/>
  <c r="F65" i="26"/>
  <c r="AG21" i="26"/>
  <c r="AD24" i="26"/>
  <c r="C68" i="26"/>
  <c r="AF26" i="26"/>
  <c r="E70" i="26"/>
  <c r="AF70" i="26" s="1"/>
  <c r="AH28" i="26"/>
  <c r="G72" i="26"/>
  <c r="AH72" i="26" s="1"/>
  <c r="AE31" i="26"/>
  <c r="D75" i="26"/>
  <c r="AE75" i="26" s="1"/>
  <c r="F77" i="26"/>
  <c r="AG77" i="26" s="1"/>
  <c r="AG33" i="26"/>
  <c r="BU6" i="26"/>
  <c r="O6" i="26" s="1"/>
  <c r="BV7" i="26"/>
  <c r="P7" i="26" s="1"/>
  <c r="BW8" i="26"/>
  <c r="Q8" i="26" s="1"/>
  <c r="BX9" i="26"/>
  <c r="R9" i="26" s="1"/>
  <c r="BN11" i="26"/>
  <c r="H11" i="26" s="1"/>
  <c r="BO12" i="26"/>
  <c r="I12" i="26" s="1"/>
  <c r="BP13" i="26"/>
  <c r="J13" i="26" s="1"/>
  <c r="BQ14" i="26"/>
  <c r="K14" i="26" s="1"/>
  <c r="BR15" i="26"/>
  <c r="L15" i="26" s="1"/>
  <c r="BS16" i="26"/>
  <c r="M16" i="26" s="1"/>
  <c r="BT17" i="26"/>
  <c r="N17" i="26" s="1"/>
  <c r="BU18" i="26"/>
  <c r="O18" i="26" s="1"/>
  <c r="BV19" i="26"/>
  <c r="P19" i="26" s="1"/>
  <c r="BQ21" i="26"/>
  <c r="K21" i="26" s="1"/>
  <c r="BR22" i="26"/>
  <c r="L22" i="26" s="1"/>
  <c r="BS23" i="26"/>
  <c r="M23" i="26" s="1"/>
  <c r="BT24" i="26"/>
  <c r="N24" i="26" s="1"/>
  <c r="BU25" i="26"/>
  <c r="O25" i="26" s="1"/>
  <c r="BV26" i="26"/>
  <c r="P26" i="26" s="1"/>
  <c r="BW27" i="26"/>
  <c r="Q27" i="26" s="1"/>
  <c r="BX28" i="26"/>
  <c r="R28" i="26" s="1"/>
  <c r="BN30" i="26"/>
  <c r="H30" i="26" s="1"/>
  <c r="BO31" i="26"/>
  <c r="I31" i="26" s="1"/>
  <c r="BP32" i="26"/>
  <c r="J32" i="26" s="1"/>
  <c r="BQ33" i="26"/>
  <c r="K33" i="26" s="1"/>
  <c r="BR34" i="26"/>
  <c r="L34" i="26" s="1"/>
  <c r="BS35" i="26"/>
  <c r="M35" i="26" s="1"/>
  <c r="BT36" i="26"/>
  <c r="N36" i="26" s="1"/>
  <c r="F59" i="26"/>
  <c r="AG15" i="26"/>
  <c r="E53" i="26"/>
  <c r="AF9" i="26"/>
  <c r="AH23" i="26"/>
  <c r="G67" i="26"/>
  <c r="AH35" i="26"/>
  <c r="G79" i="26"/>
  <c r="AH79" i="26" s="1"/>
  <c r="B52" i="26"/>
  <c r="AC8" i="26"/>
  <c r="B76" i="26"/>
  <c r="AC76" i="26" s="1"/>
  <c r="AC32" i="26"/>
  <c r="E51" i="26"/>
  <c r="AF7" i="26"/>
  <c r="G53" i="26"/>
  <c r="AH9" i="26"/>
  <c r="D56" i="26"/>
  <c r="AE12" i="26"/>
  <c r="F58" i="26"/>
  <c r="AG14" i="26"/>
  <c r="C61" i="26"/>
  <c r="AD17" i="26"/>
  <c r="AF19" i="26"/>
  <c r="E63" i="26"/>
  <c r="G65" i="26"/>
  <c r="AH21" i="26"/>
  <c r="D68" i="26"/>
  <c r="AE24" i="26"/>
  <c r="AG26" i="26"/>
  <c r="F70" i="26"/>
  <c r="AG70" i="26" s="1"/>
  <c r="C73" i="26"/>
  <c r="AD73" i="26" s="1"/>
  <c r="AD29" i="26"/>
  <c r="AF31" i="26"/>
  <c r="E75" i="26"/>
  <c r="AF75" i="26" s="1"/>
  <c r="G77" i="26"/>
  <c r="AH77" i="26" s="1"/>
  <c r="AH33" i="26"/>
  <c r="BV6" i="26"/>
  <c r="P6" i="26" s="1"/>
  <c r="BW7" i="26"/>
  <c r="Q7" i="26" s="1"/>
  <c r="BX8" i="26"/>
  <c r="R8" i="26" s="1"/>
  <c r="BN10" i="26"/>
  <c r="H10" i="26" s="1"/>
  <c r="BO11" i="26"/>
  <c r="I11" i="26" s="1"/>
  <c r="BP12" i="26"/>
  <c r="J12" i="26" s="1"/>
  <c r="BQ13" i="26"/>
  <c r="K13" i="26" s="1"/>
  <c r="BR14" i="26"/>
  <c r="L14" i="26" s="1"/>
  <c r="AM14" i="26" s="1"/>
  <c r="BS15" i="26"/>
  <c r="M15" i="26" s="1"/>
  <c r="BT16" i="26"/>
  <c r="N16" i="26" s="1"/>
  <c r="BU17" i="26"/>
  <c r="O17" i="26" s="1"/>
  <c r="BV18" i="26"/>
  <c r="P18" i="26" s="1"/>
  <c r="BW19" i="26"/>
  <c r="Q19" i="26" s="1"/>
  <c r="BR21" i="26"/>
  <c r="L21" i="26" s="1"/>
  <c r="BS22" i="26"/>
  <c r="M22" i="26" s="1"/>
  <c r="BT23" i="26"/>
  <c r="N23" i="26" s="1"/>
  <c r="BU24" i="26"/>
  <c r="O24" i="26" s="1"/>
  <c r="BV25" i="26"/>
  <c r="P25" i="26" s="1"/>
  <c r="BW26" i="26"/>
  <c r="Q26" i="26" s="1"/>
  <c r="BX27" i="26"/>
  <c r="R27" i="26" s="1"/>
  <c r="BN29" i="26"/>
  <c r="H29" i="26" s="1"/>
  <c r="BO30" i="26"/>
  <c r="I30" i="26" s="1"/>
  <c r="BP31" i="26"/>
  <c r="J31" i="26" s="1"/>
  <c r="BQ32" i="26"/>
  <c r="K32" i="26" s="1"/>
  <c r="BR33" i="26"/>
  <c r="L33" i="26" s="1"/>
  <c r="BS34" i="26"/>
  <c r="M34" i="26" s="1"/>
  <c r="BT35" i="26"/>
  <c r="N35" i="26" s="1"/>
  <c r="BU36" i="26"/>
  <c r="O36" i="26" s="1"/>
  <c r="C50" i="26"/>
  <c r="AD50" i="26" s="1"/>
  <c r="AD6" i="26"/>
  <c r="AH22" i="26"/>
  <c r="G66" i="26"/>
  <c r="AH34" i="26"/>
  <c r="G78" i="26"/>
  <c r="AH78" i="26" s="1"/>
  <c r="B62" i="26"/>
  <c r="AC18" i="26"/>
  <c r="AG28" i="26"/>
  <c r="F72" i="26"/>
  <c r="AG72" i="26" s="1"/>
  <c r="B53" i="26"/>
  <c r="AC9" i="26"/>
  <c r="B65" i="26"/>
  <c r="AC21" i="26"/>
  <c r="B77" i="26"/>
  <c r="AC77" i="26" s="1"/>
  <c r="AC33" i="26"/>
  <c r="F51" i="26"/>
  <c r="AG7" i="26"/>
  <c r="C54" i="26"/>
  <c r="AD10" i="26"/>
  <c r="E56" i="26"/>
  <c r="AF12" i="26"/>
  <c r="G58" i="26"/>
  <c r="AH14" i="26"/>
  <c r="D61" i="26"/>
  <c r="AE17" i="26"/>
  <c r="AG19" i="26"/>
  <c r="F63" i="26"/>
  <c r="AD22" i="26"/>
  <c r="C66" i="26"/>
  <c r="E68" i="26"/>
  <c r="AF24" i="26"/>
  <c r="AH26" i="26"/>
  <c r="G70" i="26"/>
  <c r="AE29" i="26"/>
  <c r="D73" i="26"/>
  <c r="AE73" i="26" s="1"/>
  <c r="AG31" i="26"/>
  <c r="F75" i="26"/>
  <c r="AG75" i="26" s="1"/>
  <c r="AD34" i="26"/>
  <c r="C78" i="26"/>
  <c r="AD78" i="26" s="1"/>
  <c r="E81" i="26"/>
  <c r="BW6" i="26"/>
  <c r="Q6" i="26" s="1"/>
  <c r="AR20" i="26" s="1"/>
  <c r="BX7" i="26"/>
  <c r="R7" i="26" s="1"/>
  <c r="BN9" i="26"/>
  <c r="H9" i="26" s="1"/>
  <c r="BO10" i="26"/>
  <c r="I10" i="26" s="1"/>
  <c r="AJ10" i="26" s="1"/>
  <c r="BP11" i="26"/>
  <c r="J11" i="26" s="1"/>
  <c r="AK11" i="26" s="1"/>
  <c r="BQ12" i="26"/>
  <c r="K12" i="26" s="1"/>
  <c r="BR13" i="26"/>
  <c r="L13" i="26" s="1"/>
  <c r="BS14" i="26"/>
  <c r="M14" i="26" s="1"/>
  <c r="BT15" i="26"/>
  <c r="N15" i="26" s="1"/>
  <c r="BU16" i="26"/>
  <c r="O16" i="26" s="1"/>
  <c r="BV17" i="26"/>
  <c r="P17" i="26" s="1"/>
  <c r="BW18" i="26"/>
  <c r="Q18" i="26" s="1"/>
  <c r="BX19" i="26"/>
  <c r="R19" i="26" s="1"/>
  <c r="BS21" i="26"/>
  <c r="M21" i="26" s="1"/>
  <c r="AN21" i="26" s="1"/>
  <c r="BT22" i="26"/>
  <c r="N22" i="26" s="1"/>
  <c r="BU23" i="26"/>
  <c r="O23" i="26" s="1"/>
  <c r="BV24" i="26"/>
  <c r="P24" i="26" s="1"/>
  <c r="BW25" i="26"/>
  <c r="Q25" i="26" s="1"/>
  <c r="BX26" i="26"/>
  <c r="R26" i="26" s="1"/>
  <c r="BN28" i="26"/>
  <c r="H28" i="26" s="1"/>
  <c r="BO29" i="26"/>
  <c r="I29" i="26" s="1"/>
  <c r="BP30" i="26"/>
  <c r="J30" i="26" s="1"/>
  <c r="BQ31" i="26"/>
  <c r="K31" i="26" s="1"/>
  <c r="BR32" i="26"/>
  <c r="L32" i="26" s="1"/>
  <c r="BS33" i="26"/>
  <c r="M33" i="26" s="1"/>
  <c r="BT34" i="26"/>
  <c r="N34" i="26" s="1"/>
  <c r="BU35" i="26"/>
  <c r="O35" i="26" s="1"/>
  <c r="BV36" i="26"/>
  <c r="P36" i="26" s="1"/>
  <c r="D57" i="26"/>
  <c r="AE13" i="26"/>
  <c r="D58" i="26"/>
  <c r="AE14" i="26"/>
  <c r="B54" i="26"/>
  <c r="AC10" i="26"/>
  <c r="B66" i="26"/>
  <c r="AC22" i="26"/>
  <c r="B78" i="26"/>
  <c r="AC78" i="26" s="1"/>
  <c r="AC34" i="26"/>
  <c r="G51" i="26"/>
  <c r="AH7" i="26"/>
  <c r="D54" i="26"/>
  <c r="AE10" i="26"/>
  <c r="F56" i="26"/>
  <c r="AG12" i="26"/>
  <c r="C59" i="26"/>
  <c r="AD15" i="26"/>
  <c r="E61" i="26"/>
  <c r="AF61" i="26" s="1"/>
  <c r="AF17" i="26"/>
  <c r="AH19" i="26"/>
  <c r="G63" i="26"/>
  <c r="AE22" i="26"/>
  <c r="D66" i="26"/>
  <c r="F68" i="26"/>
  <c r="AG24" i="26"/>
  <c r="AD27" i="26"/>
  <c r="C71" i="26"/>
  <c r="AF29" i="26"/>
  <c r="E73" i="26"/>
  <c r="AF73" i="26" s="1"/>
  <c r="AH31" i="26"/>
  <c r="G75" i="26"/>
  <c r="AH75" i="26" s="1"/>
  <c r="AE34" i="26"/>
  <c r="D78" i="26"/>
  <c r="AE78" i="26" s="1"/>
  <c r="F81" i="26"/>
  <c r="BX6" i="26"/>
  <c r="R6" i="26" s="1"/>
  <c r="AS22" i="26" s="1"/>
  <c r="BN8" i="26"/>
  <c r="H8" i="26" s="1"/>
  <c r="BO9" i="26"/>
  <c r="I9" i="26" s="1"/>
  <c r="BP10" i="26"/>
  <c r="J10" i="26" s="1"/>
  <c r="BQ11" i="26"/>
  <c r="K11" i="26" s="1"/>
  <c r="BR12" i="26"/>
  <c r="L12" i="26" s="1"/>
  <c r="BS13" i="26"/>
  <c r="M13" i="26" s="1"/>
  <c r="BT14" i="26"/>
  <c r="N14" i="26" s="1"/>
  <c r="BU15" i="26"/>
  <c r="O15" i="26" s="1"/>
  <c r="BV16" i="26"/>
  <c r="P16" i="26" s="1"/>
  <c r="BW17" i="26"/>
  <c r="Q17" i="26" s="1"/>
  <c r="BX18" i="26"/>
  <c r="R18" i="26" s="1"/>
  <c r="BT21" i="26"/>
  <c r="N21" i="26" s="1"/>
  <c r="BU22" i="26"/>
  <c r="O22" i="26" s="1"/>
  <c r="BV23" i="26"/>
  <c r="P23" i="26" s="1"/>
  <c r="BW24" i="26"/>
  <c r="Q24" i="26" s="1"/>
  <c r="BX25" i="26"/>
  <c r="R25" i="26" s="1"/>
  <c r="BN27" i="26"/>
  <c r="H27" i="26" s="1"/>
  <c r="BO28" i="26"/>
  <c r="I28" i="26" s="1"/>
  <c r="BP29" i="26"/>
  <c r="J29" i="26" s="1"/>
  <c r="BQ30" i="26"/>
  <c r="K30" i="26" s="1"/>
  <c r="BR31" i="26"/>
  <c r="L31" i="26" s="1"/>
  <c r="BS32" i="26"/>
  <c r="M32" i="26" s="1"/>
  <c r="BT33" i="26"/>
  <c r="N33" i="26" s="1"/>
  <c r="BU34" i="26"/>
  <c r="O34" i="26" s="1"/>
  <c r="BV35" i="26"/>
  <c r="P35" i="26" s="1"/>
  <c r="BW36" i="26"/>
  <c r="Q36" i="26" s="1"/>
  <c r="F71" i="26"/>
  <c r="AG27" i="26"/>
  <c r="B50" i="26"/>
  <c r="AC50" i="26" s="1"/>
  <c r="AC6" i="26"/>
  <c r="G55" i="26"/>
  <c r="AH11" i="26"/>
  <c r="C75" i="26"/>
  <c r="AD75" i="26" s="1"/>
  <c r="AD31" i="26"/>
  <c r="B55" i="26"/>
  <c r="AC11" i="26"/>
  <c r="B67" i="26"/>
  <c r="AC23" i="26"/>
  <c r="B79" i="26"/>
  <c r="AC79" i="26" s="1"/>
  <c r="AC35" i="26"/>
  <c r="C52" i="26"/>
  <c r="AD8" i="26"/>
  <c r="E54" i="26"/>
  <c r="AF10" i="26"/>
  <c r="G56" i="26"/>
  <c r="AH12" i="26"/>
  <c r="D59" i="26"/>
  <c r="AE15" i="26"/>
  <c r="F61" i="26"/>
  <c r="AG17" i="26"/>
  <c r="AF22" i="26"/>
  <c r="E66" i="26"/>
  <c r="AF66" i="26" s="1"/>
  <c r="G68" i="26"/>
  <c r="AH24" i="26"/>
  <c r="D71" i="26"/>
  <c r="AE71" i="26" s="1"/>
  <c r="AE27" i="26"/>
  <c r="AG29" i="26"/>
  <c r="F73" i="26"/>
  <c r="AG73" i="26" s="1"/>
  <c r="AD32" i="26"/>
  <c r="C76" i="26"/>
  <c r="AD76" i="26" s="1"/>
  <c r="AF34" i="26"/>
  <c r="E78" i="26"/>
  <c r="AF78" i="26" s="1"/>
  <c r="BN7" i="26"/>
  <c r="H7" i="26" s="1"/>
  <c r="BO8" i="26"/>
  <c r="I8" i="26" s="1"/>
  <c r="BP9" i="26"/>
  <c r="J9" i="26" s="1"/>
  <c r="BQ10" i="26"/>
  <c r="K10" i="26" s="1"/>
  <c r="BR11" i="26"/>
  <c r="L11" i="26" s="1"/>
  <c r="AM11" i="26" s="1"/>
  <c r="BS12" i="26"/>
  <c r="M12" i="26" s="1"/>
  <c r="BT13" i="26"/>
  <c r="N13" i="26" s="1"/>
  <c r="BU14" i="26"/>
  <c r="O14" i="26" s="1"/>
  <c r="BV15" i="26"/>
  <c r="P15" i="26" s="1"/>
  <c r="BW16" i="26"/>
  <c r="Q16" i="26" s="1"/>
  <c r="BX17" i="26"/>
  <c r="R17" i="26" s="1"/>
  <c r="BN19" i="26"/>
  <c r="H19" i="26" s="1"/>
  <c r="BU21" i="26"/>
  <c r="O21" i="26" s="1"/>
  <c r="BV22" i="26"/>
  <c r="P22" i="26" s="1"/>
  <c r="BW23" i="26"/>
  <c r="Q23" i="26" s="1"/>
  <c r="BX24" i="26"/>
  <c r="R24" i="26" s="1"/>
  <c r="BN26" i="26"/>
  <c r="H26" i="26" s="1"/>
  <c r="BO27" i="26"/>
  <c r="I27" i="26" s="1"/>
  <c r="BP28" i="26"/>
  <c r="J28" i="26" s="1"/>
  <c r="BQ29" i="26"/>
  <c r="K29" i="26" s="1"/>
  <c r="BR30" i="26"/>
  <c r="L30" i="26" s="1"/>
  <c r="BS31" i="26"/>
  <c r="M31" i="26" s="1"/>
  <c r="BT32" i="26"/>
  <c r="N32" i="26" s="1"/>
  <c r="BU33" i="26"/>
  <c r="O33" i="26" s="1"/>
  <c r="BV34" i="26"/>
  <c r="P34" i="26" s="1"/>
  <c r="BW35" i="26"/>
  <c r="Q35" i="26" s="1"/>
  <c r="BX36" i="26"/>
  <c r="R36" i="26" s="1"/>
  <c r="D37" i="26"/>
  <c r="E52" i="26"/>
  <c r="AF52" i="26" s="1"/>
  <c r="AF8" i="26"/>
  <c r="AF32" i="26"/>
  <c r="E76" i="26"/>
  <c r="AF76" i="26" s="1"/>
  <c r="F60" i="26"/>
  <c r="AG16" i="26"/>
  <c r="B56" i="26"/>
  <c r="AC12" i="26"/>
  <c r="B68" i="26"/>
  <c r="AC24" i="26"/>
  <c r="D52" i="26"/>
  <c r="AE8" i="26"/>
  <c r="F54" i="26"/>
  <c r="AG10" i="26"/>
  <c r="C57" i="26"/>
  <c r="AD13" i="26"/>
  <c r="E59" i="26"/>
  <c r="AF15" i="26"/>
  <c r="G61" i="26"/>
  <c r="AH17" i="26"/>
  <c r="AG22" i="26"/>
  <c r="F66" i="26"/>
  <c r="AG66" i="26" s="1"/>
  <c r="C69" i="26"/>
  <c r="AD25" i="26"/>
  <c r="E71" i="26"/>
  <c r="AF71" i="26" s="1"/>
  <c r="AF27" i="26"/>
  <c r="AH29" i="26"/>
  <c r="G73" i="26"/>
  <c r="AH73" i="26" s="1"/>
  <c r="AE32" i="26"/>
  <c r="D76" i="26"/>
  <c r="AE76" i="26" s="1"/>
  <c r="AG34" i="26"/>
  <c r="F78" i="26"/>
  <c r="AG78" i="26" s="1"/>
  <c r="BN6" i="26"/>
  <c r="H6" i="26" s="1"/>
  <c r="AI20" i="26" s="1"/>
  <c r="BO7" i="26"/>
  <c r="I7" i="26" s="1"/>
  <c r="BP8" i="26"/>
  <c r="J8" i="26" s="1"/>
  <c r="BQ9" i="26"/>
  <c r="K9" i="26" s="1"/>
  <c r="BR10" i="26"/>
  <c r="L10" i="26" s="1"/>
  <c r="BS11" i="26"/>
  <c r="M11" i="26" s="1"/>
  <c r="BT12" i="26"/>
  <c r="N12" i="26" s="1"/>
  <c r="BU13" i="26"/>
  <c r="O13" i="26" s="1"/>
  <c r="BV14" i="26"/>
  <c r="P14" i="26" s="1"/>
  <c r="AQ14" i="26" s="1"/>
  <c r="BW15" i="26"/>
  <c r="Q15" i="26" s="1"/>
  <c r="BX16" i="26"/>
  <c r="R16" i="26" s="1"/>
  <c r="BN18" i="26"/>
  <c r="H18" i="26" s="1"/>
  <c r="BO19" i="26"/>
  <c r="I19" i="26" s="1"/>
  <c r="BV21" i="26"/>
  <c r="P21" i="26" s="1"/>
  <c r="BW22" i="26"/>
  <c r="Q22" i="26" s="1"/>
  <c r="BX23" i="26"/>
  <c r="R23" i="26" s="1"/>
  <c r="BN25" i="26"/>
  <c r="H25" i="26" s="1"/>
  <c r="BO26" i="26"/>
  <c r="I26" i="26" s="1"/>
  <c r="AJ26" i="26" s="1"/>
  <c r="BP27" i="26"/>
  <c r="J27" i="26" s="1"/>
  <c r="BQ28" i="26"/>
  <c r="K28" i="26" s="1"/>
  <c r="BR29" i="26"/>
  <c r="L29" i="26" s="1"/>
  <c r="BS30" i="26"/>
  <c r="M30" i="26" s="1"/>
  <c r="BT31" i="26"/>
  <c r="N31" i="26" s="1"/>
  <c r="BU32" i="26"/>
  <c r="O32" i="26" s="1"/>
  <c r="BV33" i="26"/>
  <c r="P33" i="26" s="1"/>
  <c r="C38" i="26"/>
  <c r="C82" i="26" s="1"/>
  <c r="C64" i="26"/>
  <c r="AD20" i="26"/>
  <c r="D64" i="26"/>
  <c r="AE20" i="26"/>
  <c r="E64" i="26"/>
  <c r="AF20" i="26"/>
  <c r="AG20" i="26"/>
  <c r="F64" i="26"/>
  <c r="AH20" i="26"/>
  <c r="G64" i="26"/>
  <c r="AC20" i="26"/>
  <c r="B64" i="26"/>
  <c r="AZ19" i="26" l="1"/>
  <c r="BB14" i="26"/>
  <c r="BB25" i="26"/>
  <c r="BB17" i="26"/>
  <c r="BB10" i="26"/>
  <c r="AY17" i="26"/>
  <c r="AT22" i="26"/>
  <c r="AY10" i="26"/>
  <c r="AU22" i="26"/>
  <c r="X53" i="26"/>
  <c r="X54" i="26"/>
  <c r="X55" i="26"/>
  <c r="AY9" i="26"/>
  <c r="Z57" i="26"/>
  <c r="Z56" i="26"/>
  <c r="BA12" i="26"/>
  <c r="T78" i="26"/>
  <c r="AU34" i="26"/>
  <c r="BA7" i="26"/>
  <c r="Z51" i="26"/>
  <c r="AA38" i="26"/>
  <c r="AA82" i="26" s="1"/>
  <c r="AA50" i="26"/>
  <c r="BB20" i="26"/>
  <c r="BB6" i="26"/>
  <c r="H60" i="26"/>
  <c r="H59" i="26"/>
  <c r="H61" i="26"/>
  <c r="BA31" i="26"/>
  <c r="Z75" i="26"/>
  <c r="M62" i="26"/>
  <c r="M63" i="26"/>
  <c r="AJ22" i="26"/>
  <c r="L54" i="26"/>
  <c r="L53" i="26"/>
  <c r="L55" i="26"/>
  <c r="T39" i="26"/>
  <c r="S40" i="26"/>
  <c r="U80" i="26"/>
  <c r="U37" i="26"/>
  <c r="AV23" i="26"/>
  <c r="U67" i="26"/>
  <c r="BA11" i="26"/>
  <c r="AZ25" i="26"/>
  <c r="AY18" i="26"/>
  <c r="X62" i="26"/>
  <c r="X63" i="26"/>
  <c r="BA24" i="26"/>
  <c r="Z68" i="26"/>
  <c r="X79" i="26"/>
  <c r="AY35" i="26"/>
  <c r="Z77" i="26"/>
  <c r="BA33" i="26"/>
  <c r="W51" i="26"/>
  <c r="AX7" i="26"/>
  <c r="Y77" i="26"/>
  <c r="AZ33" i="26"/>
  <c r="AW9" i="26"/>
  <c r="V53" i="26"/>
  <c r="V54" i="26"/>
  <c r="V55" i="26"/>
  <c r="BB29" i="26"/>
  <c r="AA73" i="26"/>
  <c r="BB21" i="26"/>
  <c r="BB22" i="26"/>
  <c r="BB23" i="26"/>
  <c r="AA67" i="26"/>
  <c r="BB67" i="26" s="1"/>
  <c r="M56" i="26"/>
  <c r="M57" i="26"/>
  <c r="O61" i="26"/>
  <c r="O59" i="26"/>
  <c r="O60" i="26"/>
  <c r="Q63" i="26"/>
  <c r="Q62" i="26"/>
  <c r="M59" i="26"/>
  <c r="M61" i="26"/>
  <c r="M60" i="26"/>
  <c r="AP7" i="26"/>
  <c r="Q56" i="26"/>
  <c r="Q57" i="26"/>
  <c r="N63" i="26"/>
  <c r="N62" i="26"/>
  <c r="AU31" i="26"/>
  <c r="T75" i="26"/>
  <c r="T74" i="26"/>
  <c r="AU30" i="26"/>
  <c r="U51" i="26"/>
  <c r="AV7" i="26"/>
  <c r="S79" i="26"/>
  <c r="AT35" i="26"/>
  <c r="AV34" i="26"/>
  <c r="U78" i="26"/>
  <c r="AV78" i="26" s="1"/>
  <c r="BA13" i="26"/>
  <c r="W72" i="26"/>
  <c r="AX72" i="26" s="1"/>
  <c r="AX28" i="26"/>
  <c r="AZ35" i="26"/>
  <c r="Y79" i="26"/>
  <c r="W75" i="26"/>
  <c r="AX31" i="26"/>
  <c r="Z62" i="26"/>
  <c r="Z63" i="26"/>
  <c r="BA18" i="26"/>
  <c r="BA22" i="26"/>
  <c r="W37" i="26"/>
  <c r="W80" i="26"/>
  <c r="BA27" i="26"/>
  <c r="BA29" i="26"/>
  <c r="Z73" i="26"/>
  <c r="AZ28" i="26"/>
  <c r="Y72" i="26"/>
  <c r="AW13" i="26"/>
  <c r="BB16" i="26"/>
  <c r="AW7" i="26"/>
  <c r="V51" i="26"/>
  <c r="AA74" i="26"/>
  <c r="BB30" i="26"/>
  <c r="BB27" i="26"/>
  <c r="AV35" i="26"/>
  <c r="U79" i="26"/>
  <c r="AV79" i="26" s="1"/>
  <c r="AX18" i="26"/>
  <c r="W63" i="26"/>
  <c r="W62" i="26"/>
  <c r="V76" i="26"/>
  <c r="AW32" i="26"/>
  <c r="AN10" i="26"/>
  <c r="AV31" i="26"/>
  <c r="U75" i="26"/>
  <c r="AV75" i="26" s="1"/>
  <c r="BA15" i="26"/>
  <c r="Z61" i="26"/>
  <c r="Z59" i="26"/>
  <c r="Z60" i="26"/>
  <c r="X60" i="26"/>
  <c r="X61" i="26"/>
  <c r="X59" i="26"/>
  <c r="AY15" i="26"/>
  <c r="AA62" i="26"/>
  <c r="BB62" i="26" s="1"/>
  <c r="AA63" i="26"/>
  <c r="BB63" i="26" s="1"/>
  <c r="BB18" i="26"/>
  <c r="K53" i="26"/>
  <c r="K54" i="26"/>
  <c r="K55" i="26"/>
  <c r="P57" i="26"/>
  <c r="P56" i="26"/>
  <c r="T56" i="26"/>
  <c r="T57" i="26"/>
  <c r="AU12" i="26"/>
  <c r="BB31" i="26"/>
  <c r="AA75" i="26"/>
  <c r="W67" i="26"/>
  <c r="AX23" i="26"/>
  <c r="AZ24" i="26"/>
  <c r="Y68" i="26"/>
  <c r="W53" i="26"/>
  <c r="W54" i="26"/>
  <c r="W55" i="26"/>
  <c r="AX9" i="26"/>
  <c r="X51" i="26"/>
  <c r="AY7" i="26"/>
  <c r="V38" i="26"/>
  <c r="V82" i="26" s="1"/>
  <c r="AW6" i="26"/>
  <c r="V50" i="26"/>
  <c r="AW20" i="26"/>
  <c r="AN20" i="26"/>
  <c r="J55" i="26"/>
  <c r="J53" i="26"/>
  <c r="J54" i="26"/>
  <c r="L56" i="26"/>
  <c r="L57" i="26"/>
  <c r="N61" i="26"/>
  <c r="N59" i="26"/>
  <c r="N60" i="26"/>
  <c r="J56" i="26"/>
  <c r="J57" i="26"/>
  <c r="AJ14" i="26"/>
  <c r="N55" i="26"/>
  <c r="N54" i="26"/>
  <c r="N53" i="26"/>
  <c r="U56" i="26"/>
  <c r="U57" i="26"/>
  <c r="AV12" i="26"/>
  <c r="S55" i="26"/>
  <c r="S53" i="26"/>
  <c r="S54" i="26"/>
  <c r="AT9" i="26"/>
  <c r="U68" i="26"/>
  <c r="AV24" i="26"/>
  <c r="AV30" i="26"/>
  <c r="U74" i="26"/>
  <c r="AV74" i="26" s="1"/>
  <c r="AU21" i="26"/>
  <c r="S38" i="26"/>
  <c r="S82" i="26" s="1"/>
  <c r="AT6" i="26"/>
  <c r="S50" i="26"/>
  <c r="AT20" i="26"/>
  <c r="AU33" i="26"/>
  <c r="T77" i="26"/>
  <c r="AU29" i="26"/>
  <c r="T73" i="26"/>
  <c r="AZ27" i="26"/>
  <c r="BA35" i="26"/>
  <c r="Z79" i="26"/>
  <c r="BA79" i="26" s="1"/>
  <c r="AZ22" i="26"/>
  <c r="AY34" i="26"/>
  <c r="X78" i="26"/>
  <c r="Y73" i="26"/>
  <c r="AZ29" i="26"/>
  <c r="AZ30" i="26"/>
  <c r="Y74" i="26"/>
  <c r="Z37" i="26"/>
  <c r="Z80" i="26"/>
  <c r="AY25" i="26"/>
  <c r="BB28" i="26"/>
  <c r="AA72" i="26"/>
  <c r="AW14" i="26"/>
  <c r="AA68" i="26"/>
  <c r="BB68" i="26" s="1"/>
  <c r="BB24" i="26"/>
  <c r="AW27" i="26"/>
  <c r="AW21" i="26"/>
  <c r="Z54" i="26"/>
  <c r="Z55" i="26"/>
  <c r="Z53" i="26"/>
  <c r="BA9" i="26"/>
  <c r="AW30" i="26"/>
  <c r="V74" i="26"/>
  <c r="O54" i="26"/>
  <c r="O55" i="26"/>
  <c r="O53" i="26"/>
  <c r="R60" i="26"/>
  <c r="R59" i="26"/>
  <c r="R61" i="26"/>
  <c r="AV9" i="26"/>
  <c r="U53" i="26"/>
  <c r="U55" i="26"/>
  <c r="AV55" i="26" s="1"/>
  <c r="U54" i="26"/>
  <c r="Y37" i="26"/>
  <c r="Y80" i="26"/>
  <c r="BB15" i="26"/>
  <c r="AA61" i="26"/>
  <c r="BB61" i="26" s="1"/>
  <c r="AA59" i="26"/>
  <c r="AA60" i="26"/>
  <c r="BB60" i="26" s="1"/>
  <c r="K60" i="26"/>
  <c r="K61" i="26"/>
  <c r="K59" i="26"/>
  <c r="U76" i="26"/>
  <c r="AV76" i="26" s="1"/>
  <c r="AV32" i="26"/>
  <c r="U59" i="26"/>
  <c r="U60" i="26"/>
  <c r="U61" i="26"/>
  <c r="AV61" i="26" s="1"/>
  <c r="AV15" i="26"/>
  <c r="AZ6" i="26"/>
  <c r="Y50" i="26"/>
  <c r="AZ20" i="26"/>
  <c r="Y38" i="26"/>
  <c r="Y82" i="26" s="1"/>
  <c r="L63" i="26"/>
  <c r="L62" i="26"/>
  <c r="AY13" i="26"/>
  <c r="X50" i="26"/>
  <c r="AY20" i="26"/>
  <c r="X38" i="26"/>
  <c r="X82" i="26" s="1"/>
  <c r="AY6" i="26"/>
  <c r="BB35" i="26"/>
  <c r="AA79" i="26"/>
  <c r="BB79" i="26" s="1"/>
  <c r="AJ19" i="26"/>
  <c r="AJ8" i="26"/>
  <c r="AJ11" i="26"/>
  <c r="L60" i="26"/>
  <c r="L61" i="26"/>
  <c r="L59" i="26"/>
  <c r="M55" i="26"/>
  <c r="M53" i="26"/>
  <c r="M54" i="26"/>
  <c r="AJ18" i="26"/>
  <c r="I62" i="26"/>
  <c r="AJ62" i="26" s="1"/>
  <c r="I63" i="26"/>
  <c r="AJ63" i="26" s="1"/>
  <c r="T80" i="26"/>
  <c r="T37" i="26"/>
  <c r="T68" i="26"/>
  <c r="AU24" i="26"/>
  <c r="AU13" i="26"/>
  <c r="AU19" i="26"/>
  <c r="U38" i="26"/>
  <c r="U82" i="26" s="1"/>
  <c r="AV6" i="26"/>
  <c r="U50" i="26"/>
  <c r="AV20" i="26"/>
  <c r="X67" i="26"/>
  <c r="AY23" i="26"/>
  <c r="BA28" i="26"/>
  <c r="Z72" i="26"/>
  <c r="BA72" i="26" s="1"/>
  <c r="AX30" i="26"/>
  <c r="W74" i="26"/>
  <c r="AZ32" i="26"/>
  <c r="Y76" i="26"/>
  <c r="AY11" i="26"/>
  <c r="AZ8" i="26"/>
  <c r="AX10" i="26"/>
  <c r="AY32" i="26"/>
  <c r="X76" i="26"/>
  <c r="AY16" i="26"/>
  <c r="W56" i="26"/>
  <c r="W57" i="26"/>
  <c r="AX12" i="26"/>
  <c r="AA37" i="26"/>
  <c r="AA80" i="26"/>
  <c r="AA81" i="26" s="1"/>
  <c r="AA78" i="26"/>
  <c r="BB78" i="26" s="1"/>
  <c r="BB34" i="26"/>
  <c r="BB32" i="26"/>
  <c r="AA76" i="26"/>
  <c r="BB76" i="26" s="1"/>
  <c r="V75" i="26"/>
  <c r="AW31" i="26"/>
  <c r="AW25" i="26"/>
  <c r="S51" i="26"/>
  <c r="AT7" i="26"/>
  <c r="Y57" i="26"/>
  <c r="AZ57" i="26" s="1"/>
  <c r="Y56" i="26"/>
  <c r="AZ56" i="26" s="1"/>
  <c r="AZ12" i="26"/>
  <c r="P61" i="26"/>
  <c r="P59" i="26"/>
  <c r="P60" i="26"/>
  <c r="O57" i="26"/>
  <c r="O56" i="26"/>
  <c r="T63" i="26"/>
  <c r="T62" i="26"/>
  <c r="AU62" i="26" s="1"/>
  <c r="AU18" i="26"/>
  <c r="S59" i="26"/>
  <c r="S60" i="26"/>
  <c r="AT60" i="26" s="1"/>
  <c r="S61" i="26"/>
  <c r="AT15" i="26"/>
  <c r="AY24" i="26"/>
  <c r="X68" i="26"/>
  <c r="AY68" i="26" s="1"/>
  <c r="O62" i="26"/>
  <c r="O63" i="26"/>
  <c r="AT33" i="26"/>
  <c r="S80" i="26"/>
  <c r="S37" i="26"/>
  <c r="W79" i="26"/>
  <c r="AX35" i="26"/>
  <c r="AZ14" i="26"/>
  <c r="AE64" i="26"/>
  <c r="AZ16" i="26"/>
  <c r="V60" i="26"/>
  <c r="AW60" i="26" s="1"/>
  <c r="V61" i="26"/>
  <c r="AW61" i="26" s="1"/>
  <c r="V59" i="26"/>
  <c r="AW15" i="26"/>
  <c r="H62" i="26"/>
  <c r="H63" i="26"/>
  <c r="AJ20" i="26"/>
  <c r="I61" i="26"/>
  <c r="AJ61" i="26" s="1"/>
  <c r="I60" i="26"/>
  <c r="AJ60" i="26" s="1"/>
  <c r="I59" i="26"/>
  <c r="T38" i="26"/>
  <c r="T82" i="26" s="1"/>
  <c r="AU6" i="26"/>
  <c r="T50" i="26"/>
  <c r="AU20" i="26"/>
  <c r="AT10" i="26"/>
  <c r="S78" i="26"/>
  <c r="AT34" i="26"/>
  <c r="AV14" i="26"/>
  <c r="X73" i="26"/>
  <c r="AY29" i="26"/>
  <c r="AZ18" i="26"/>
  <c r="Y62" i="26"/>
  <c r="AZ62" i="26" s="1"/>
  <c r="Y63" i="26"/>
  <c r="AZ63" i="26" s="1"/>
  <c r="BA14" i="26"/>
  <c r="X77" i="26"/>
  <c r="AY33" i="26"/>
  <c r="AY27" i="26"/>
  <c r="BA32" i="26"/>
  <c r="Z76" i="26"/>
  <c r="BA76" i="26" s="1"/>
  <c r="Y67" i="26"/>
  <c r="AZ23" i="26"/>
  <c r="X80" i="26"/>
  <c r="X37" i="26"/>
  <c r="BA10" i="26"/>
  <c r="AX13" i="26"/>
  <c r="AW10" i="26"/>
  <c r="AW24" i="26"/>
  <c r="V68" i="26"/>
  <c r="AW68" i="26" s="1"/>
  <c r="BB8" i="26"/>
  <c r="V79" i="26"/>
  <c r="AW35" i="26"/>
  <c r="AW29" i="26"/>
  <c r="V73" i="26"/>
  <c r="J63" i="26"/>
  <c r="J62" i="26"/>
  <c r="T67" i="26"/>
  <c r="AU23" i="26"/>
  <c r="P62" i="26"/>
  <c r="P63" i="26"/>
  <c r="R55" i="26"/>
  <c r="R53" i="26"/>
  <c r="R54" i="26"/>
  <c r="AT32" i="26"/>
  <c r="S76" i="26"/>
  <c r="AT76" i="26" s="1"/>
  <c r="N57" i="26"/>
  <c r="N56" i="26"/>
  <c r="T60" i="26"/>
  <c r="T59" i="26"/>
  <c r="T61" i="26"/>
  <c r="AU15" i="26"/>
  <c r="AZ31" i="26"/>
  <c r="Y75" i="26"/>
  <c r="H56" i="26"/>
  <c r="H57" i="26"/>
  <c r="S74" i="26"/>
  <c r="AT30" i="26"/>
  <c r="Z74" i="26"/>
  <c r="BA74" i="26" s="1"/>
  <c r="BA30" i="26"/>
  <c r="AW28" i="26"/>
  <c r="V72" i="26"/>
  <c r="J59" i="26"/>
  <c r="J60" i="26"/>
  <c r="J61" i="26"/>
  <c r="AU9" i="26"/>
  <c r="T55" i="26"/>
  <c r="T53" i="26"/>
  <c r="T54" i="26"/>
  <c r="AU35" i="26"/>
  <c r="T79" i="26"/>
  <c r="AU79" i="26" s="1"/>
  <c r="Y53" i="26"/>
  <c r="Y54" i="26"/>
  <c r="Y55" i="26"/>
  <c r="AZ55" i="26" s="1"/>
  <c r="AZ9" i="26"/>
  <c r="Y51" i="26"/>
  <c r="AZ51" i="26" s="1"/>
  <c r="AZ7" i="26"/>
  <c r="AW23" i="26"/>
  <c r="V67" i="26"/>
  <c r="AW67" i="26" s="1"/>
  <c r="AR33" i="26"/>
  <c r="I53" i="26"/>
  <c r="I54" i="26"/>
  <c r="I55" i="26"/>
  <c r="AJ55" i="26" s="1"/>
  <c r="K56" i="26"/>
  <c r="K57" i="26"/>
  <c r="T76" i="26"/>
  <c r="AU76" i="26" s="1"/>
  <c r="AU32" i="26"/>
  <c r="AT12" i="26"/>
  <c r="S56" i="26"/>
  <c r="S57" i="26"/>
  <c r="T72" i="26"/>
  <c r="AU72" i="26" s="1"/>
  <c r="AU28" i="26"/>
  <c r="U72" i="26"/>
  <c r="AV28" i="26"/>
  <c r="T51" i="26"/>
  <c r="AU51" i="26" s="1"/>
  <c r="AU7" i="26"/>
  <c r="AV33" i="26"/>
  <c r="U77" i="26"/>
  <c r="AV77" i="26" s="1"/>
  <c r="AY30" i="26"/>
  <c r="X74" i="26"/>
  <c r="AY22" i="26"/>
  <c r="BA16" i="26"/>
  <c r="BA19" i="26"/>
  <c r="AX25" i="26"/>
  <c r="W50" i="26"/>
  <c r="W38" i="26"/>
  <c r="W82" i="26" s="1"/>
  <c r="AX20" i="26"/>
  <c r="AX6" i="26"/>
  <c r="BA23" i="26"/>
  <c r="Z67" i="26"/>
  <c r="AY26" i="26"/>
  <c r="AX32" i="26"/>
  <c r="W76" i="26"/>
  <c r="AY31" i="26"/>
  <c r="X75" i="26"/>
  <c r="AY75" i="26" s="1"/>
  <c r="W77" i="26"/>
  <c r="AX33" i="26"/>
  <c r="BB33" i="26"/>
  <c r="AA77" i="26"/>
  <c r="BB77" i="26" s="1"/>
  <c r="AA54" i="26"/>
  <c r="AA55" i="26"/>
  <c r="BB55" i="26" s="1"/>
  <c r="AA53" i="26"/>
  <c r="BB9" i="26"/>
  <c r="AW19" i="26"/>
  <c r="AW22" i="26"/>
  <c r="AW33" i="26"/>
  <c r="V77" i="26"/>
  <c r="AT24" i="26"/>
  <c r="S68" i="26"/>
  <c r="X57" i="26"/>
  <c r="AY57" i="26" s="1"/>
  <c r="X56" i="26"/>
  <c r="AY56" i="26" s="1"/>
  <c r="AY12" i="26"/>
  <c r="AX24" i="26"/>
  <c r="W68" i="26"/>
  <c r="W73" i="26"/>
  <c r="AX29" i="26"/>
  <c r="BB7" i="26"/>
  <c r="AA51" i="26"/>
  <c r="BB51" i="26" s="1"/>
  <c r="R63" i="26"/>
  <c r="R62" i="26"/>
  <c r="H55" i="26"/>
  <c r="H53" i="26"/>
  <c r="H54" i="26"/>
  <c r="AO30" i="26"/>
  <c r="AW34" i="26"/>
  <c r="V78" i="26"/>
  <c r="AT31" i="26"/>
  <c r="S75" i="26"/>
  <c r="X72" i="26"/>
  <c r="AY72" i="26" s="1"/>
  <c r="AY28" i="26"/>
  <c r="V57" i="26"/>
  <c r="AW57" i="26" s="1"/>
  <c r="V56" i="26"/>
  <c r="AW56" i="26" s="1"/>
  <c r="AW12" i="26"/>
  <c r="AJ27" i="26"/>
  <c r="AT28" i="26"/>
  <c r="S72" i="26"/>
  <c r="Z38" i="26"/>
  <c r="Z82" i="26" s="1"/>
  <c r="BA6" i="26"/>
  <c r="Z50" i="26"/>
  <c r="BA20" i="26"/>
  <c r="W60" i="26"/>
  <c r="W61" i="26"/>
  <c r="W59" i="26"/>
  <c r="AX15" i="26"/>
  <c r="AZ34" i="26"/>
  <c r="Y78" i="26"/>
  <c r="AZ78" i="26" s="1"/>
  <c r="V62" i="26"/>
  <c r="AW62" i="26" s="1"/>
  <c r="V63" i="26"/>
  <c r="AW63" i="26" s="1"/>
  <c r="AW18" i="26"/>
  <c r="AV29" i="26"/>
  <c r="U73" i="26"/>
  <c r="AV73" i="26" s="1"/>
  <c r="AX34" i="26"/>
  <c r="W78" i="26"/>
  <c r="BB19" i="26"/>
  <c r="Q59" i="26"/>
  <c r="Q60" i="26"/>
  <c r="Q61" i="26"/>
  <c r="I56" i="26"/>
  <c r="AJ56" i="26" s="1"/>
  <c r="I57" i="26"/>
  <c r="AJ57" i="26" s="1"/>
  <c r="P55" i="26"/>
  <c r="P54" i="26"/>
  <c r="P53" i="26"/>
  <c r="R57" i="26"/>
  <c r="R56" i="26"/>
  <c r="K63" i="26"/>
  <c r="K62" i="26"/>
  <c r="Q55" i="26"/>
  <c r="Q53" i="26"/>
  <c r="Q54" i="26"/>
  <c r="U63" i="26"/>
  <c r="AV63" i="26" s="1"/>
  <c r="U62" i="26"/>
  <c r="AV62" i="26" s="1"/>
  <c r="AV18" i="26"/>
  <c r="S73" i="26"/>
  <c r="AT29" i="26"/>
  <c r="AT27" i="26"/>
  <c r="S67" i="26"/>
  <c r="AT23" i="26"/>
  <c r="S62" i="26"/>
  <c r="S63" i="26"/>
  <c r="AT18" i="26"/>
  <c r="AZ11" i="26"/>
  <c r="AZ13" i="26"/>
  <c r="Y61" i="26"/>
  <c r="AZ61" i="26" s="1"/>
  <c r="Y59" i="26"/>
  <c r="Y60" i="26"/>
  <c r="AZ60" i="26" s="1"/>
  <c r="AZ15" i="26"/>
  <c r="AY8" i="26"/>
  <c r="AX19" i="26"/>
  <c r="AZ10" i="26"/>
  <c r="Z78" i="26"/>
  <c r="BA78" i="26" s="1"/>
  <c r="BA34" i="26"/>
  <c r="AX16" i="26"/>
  <c r="AX26" i="26"/>
  <c r="AA57" i="26"/>
  <c r="BB57" i="26" s="1"/>
  <c r="AA56" i="26"/>
  <c r="BB56" i="26" s="1"/>
  <c r="BB12" i="26"/>
  <c r="BB26" i="26"/>
  <c r="BB13" i="26"/>
  <c r="V37" i="26"/>
  <c r="V80" i="26"/>
  <c r="V81" i="26" s="1"/>
  <c r="AW26" i="26"/>
  <c r="AM10" i="26"/>
  <c r="AE51" i="26"/>
  <c r="AM17" i="26"/>
  <c r="AE65" i="26"/>
  <c r="AE58" i="26"/>
  <c r="AM13" i="26"/>
  <c r="AR22" i="26"/>
  <c r="AE68" i="26"/>
  <c r="AE54" i="26"/>
  <c r="AE57" i="26"/>
  <c r="AM21" i="26"/>
  <c r="AE56" i="26"/>
  <c r="AE66" i="26"/>
  <c r="AE70" i="26"/>
  <c r="AE59" i="26"/>
  <c r="AE52" i="26"/>
  <c r="AE61" i="26"/>
  <c r="AR17" i="26"/>
  <c r="AM22" i="26"/>
  <c r="AE53" i="26"/>
  <c r="D25" i="70"/>
  <c r="E57" i="70" s="1"/>
  <c r="D26" i="70"/>
  <c r="E58" i="70" s="1"/>
  <c r="AO11" i="26"/>
  <c r="E26" i="69"/>
  <c r="G45" i="69" s="1"/>
  <c r="AK14" i="26"/>
  <c r="D28" i="69"/>
  <c r="D29" i="69"/>
  <c r="AN11" i="26"/>
  <c r="E27" i="69"/>
  <c r="G46" i="69" s="1"/>
  <c r="AG71" i="26"/>
  <c r="AG56" i="26"/>
  <c r="AG61" i="26"/>
  <c r="AG68" i="26"/>
  <c r="AG59" i="26"/>
  <c r="AG55" i="26"/>
  <c r="AG52" i="26"/>
  <c r="AG67" i="26"/>
  <c r="AG53" i="26"/>
  <c r="AG54" i="26"/>
  <c r="AG51" i="26"/>
  <c r="AG65" i="26"/>
  <c r="AG64" i="26"/>
  <c r="AG63" i="26"/>
  <c r="AG60" i="26"/>
  <c r="AG58" i="26"/>
  <c r="AP31" i="26"/>
  <c r="AG62" i="26"/>
  <c r="AE60" i="26"/>
  <c r="AQ16" i="26"/>
  <c r="AE69" i="26"/>
  <c r="H37" i="26"/>
  <c r="AO26" i="26"/>
  <c r="AK27" i="26"/>
  <c r="AK22" i="26"/>
  <c r="AK8" i="26"/>
  <c r="AK21" i="26"/>
  <c r="AK16" i="26"/>
  <c r="AK20" i="26"/>
  <c r="AK10" i="26"/>
  <c r="AM25" i="26"/>
  <c r="AE62" i="26"/>
  <c r="AH70" i="26"/>
  <c r="AH56" i="26"/>
  <c r="AO18" i="26"/>
  <c r="AC68" i="26"/>
  <c r="AP21" i="26"/>
  <c r="AN14" i="26"/>
  <c r="AR16" i="26"/>
  <c r="AM19" i="26"/>
  <c r="AP25" i="26"/>
  <c r="AN26" i="26"/>
  <c r="AC60" i="26"/>
  <c r="I36" i="26"/>
  <c r="AJ34" i="26" s="1"/>
  <c r="BO37" i="26"/>
  <c r="AO21" i="26"/>
  <c r="AK13" i="26"/>
  <c r="AO27" i="26"/>
  <c r="N50" i="26"/>
  <c r="AO71" i="26" s="1"/>
  <c r="AD70" i="26"/>
  <c r="AK17" i="26"/>
  <c r="AD67" i="26"/>
  <c r="AC70" i="26"/>
  <c r="AO19" i="26"/>
  <c r="AO20" i="26"/>
  <c r="AD64" i="26"/>
  <c r="AQ21" i="26"/>
  <c r="AD69" i="26"/>
  <c r="AD66" i="26"/>
  <c r="AO16" i="26"/>
  <c r="AO8" i="26"/>
  <c r="N38" i="26"/>
  <c r="N82" i="26" s="1"/>
  <c r="AD54" i="26"/>
  <c r="AQ22" i="26"/>
  <c r="AD52" i="26"/>
  <c r="I38" i="26"/>
  <c r="I82" i="26" s="1"/>
  <c r="AO14" i="26"/>
  <c r="AC66" i="26"/>
  <c r="AD61" i="26"/>
  <c r="AC52" i="26"/>
  <c r="AQ19" i="26"/>
  <c r="AC57" i="26"/>
  <c r="AO25" i="26"/>
  <c r="AH80" i="26"/>
  <c r="AI21" i="26"/>
  <c r="AE36" i="26"/>
  <c r="AN27" i="26"/>
  <c r="AG57" i="26"/>
  <c r="AD57" i="26"/>
  <c r="AO13" i="26"/>
  <c r="AO22" i="26"/>
  <c r="AN13" i="26"/>
  <c r="AQ17" i="26"/>
  <c r="AJ25" i="26"/>
  <c r="AD59" i="26"/>
  <c r="AO17" i="26"/>
  <c r="AG69" i="26"/>
  <c r="AO10" i="26"/>
  <c r="AJ13" i="26"/>
  <c r="Q51" i="26"/>
  <c r="AR7" i="26"/>
  <c r="AJ12" i="26"/>
  <c r="AL23" i="26"/>
  <c r="K67" i="26"/>
  <c r="AS12" i="26"/>
  <c r="AF80" i="26"/>
  <c r="H67" i="26"/>
  <c r="AI23" i="26"/>
  <c r="AL9" i="26"/>
  <c r="AI26" i="26"/>
  <c r="AN12" i="26"/>
  <c r="M76" i="26"/>
  <c r="AN32" i="26"/>
  <c r="AS18" i="26"/>
  <c r="AH51" i="26"/>
  <c r="P80" i="26"/>
  <c r="P37" i="26"/>
  <c r="AP23" i="26"/>
  <c r="O67" i="26"/>
  <c r="AF56" i="26"/>
  <c r="L77" i="26"/>
  <c r="AM33" i="26"/>
  <c r="AR19" i="26"/>
  <c r="P50" i="26"/>
  <c r="AQ6" i="26"/>
  <c r="P38" i="26"/>
  <c r="P82" i="26" s="1"/>
  <c r="AH65" i="26"/>
  <c r="AF51" i="26"/>
  <c r="AO24" i="26"/>
  <c r="N68" i="26"/>
  <c r="AI11" i="26"/>
  <c r="AD56" i="26"/>
  <c r="AF65" i="26"/>
  <c r="R73" i="26"/>
  <c r="AS29" i="26"/>
  <c r="K79" i="26"/>
  <c r="AL35" i="26"/>
  <c r="AP8" i="26"/>
  <c r="AR11" i="26"/>
  <c r="Q75" i="26"/>
  <c r="AR31" i="26"/>
  <c r="AL18" i="26"/>
  <c r="AF62" i="26"/>
  <c r="H79" i="26"/>
  <c r="AI79" i="26" s="1"/>
  <c r="AI35" i="26"/>
  <c r="AS21" i="26"/>
  <c r="AM8" i="26"/>
  <c r="AK26" i="26"/>
  <c r="N77" i="26"/>
  <c r="AO33" i="26"/>
  <c r="H75" i="26"/>
  <c r="AI75" i="26" s="1"/>
  <c r="AI31" i="26"/>
  <c r="L80" i="26"/>
  <c r="AM72" i="26" s="1"/>
  <c r="L37" i="26"/>
  <c r="AQ9" i="26"/>
  <c r="R76" i="26"/>
  <c r="AS32" i="26"/>
  <c r="K50" i="26"/>
  <c r="AL6" i="26"/>
  <c r="K38" i="26"/>
  <c r="K82" i="26" s="1"/>
  <c r="AS10" i="26"/>
  <c r="AL20" i="26"/>
  <c r="R68" i="26"/>
  <c r="AS24" i="26"/>
  <c r="AF54" i="26"/>
  <c r="AH55" i="26"/>
  <c r="L75" i="26"/>
  <c r="AM31" i="26"/>
  <c r="AH63" i="26"/>
  <c r="O79" i="26"/>
  <c r="AP35" i="26"/>
  <c r="AI9" i="26"/>
  <c r="K76" i="26"/>
  <c r="AL32" i="26"/>
  <c r="AQ18" i="26"/>
  <c r="AF63" i="26"/>
  <c r="N80" i="26"/>
  <c r="N37" i="26"/>
  <c r="AN23" i="26"/>
  <c r="M67" i="26"/>
  <c r="AS9" i="26"/>
  <c r="AD68" i="26"/>
  <c r="AD51" i="26"/>
  <c r="Q72" i="26"/>
  <c r="AR28" i="26"/>
  <c r="J78" i="26"/>
  <c r="AK34" i="26"/>
  <c r="N51" i="26"/>
  <c r="AO7" i="26"/>
  <c r="K68" i="26"/>
  <c r="AL24" i="26"/>
  <c r="AQ10" i="26"/>
  <c r="AH57" i="26"/>
  <c r="P74" i="26"/>
  <c r="AQ30" i="26"/>
  <c r="AC71" i="26"/>
  <c r="R77" i="26"/>
  <c r="AS33" i="26"/>
  <c r="K51" i="26"/>
  <c r="AL7" i="26"/>
  <c r="AR34" i="26"/>
  <c r="AQ32" i="26"/>
  <c r="P77" i="26"/>
  <c r="AQ33" i="26"/>
  <c r="I51" i="26"/>
  <c r="AJ51" i="26" s="1"/>
  <c r="AJ7" i="26"/>
  <c r="R80" i="26"/>
  <c r="AS79" i="26" s="1"/>
  <c r="R37" i="26"/>
  <c r="AR23" i="26"/>
  <c r="Q67" i="26"/>
  <c r="AL10" i="26"/>
  <c r="AC36" i="26"/>
  <c r="K74" i="26"/>
  <c r="AL30" i="26"/>
  <c r="N78" i="26"/>
  <c r="AO34" i="26"/>
  <c r="R51" i="26"/>
  <c r="AS7" i="26"/>
  <c r="AF68" i="26"/>
  <c r="AC62" i="26"/>
  <c r="J75" i="26"/>
  <c r="AK31" i="26"/>
  <c r="AP17" i="26"/>
  <c r="M79" i="26"/>
  <c r="AN35" i="26"/>
  <c r="AR8" i="26"/>
  <c r="AQ27" i="26"/>
  <c r="AD63" i="26"/>
  <c r="I77" i="26"/>
  <c r="M50" i="26"/>
  <c r="AN6" i="26"/>
  <c r="M38" i="26"/>
  <c r="M82" i="26" s="1"/>
  <c r="K80" i="26"/>
  <c r="K37" i="26"/>
  <c r="J67" i="26"/>
  <c r="AK23" i="26"/>
  <c r="AP9" i="26"/>
  <c r="AH69" i="26"/>
  <c r="O73" i="26"/>
  <c r="AP29" i="26"/>
  <c r="Q76" i="26"/>
  <c r="AR32" i="26"/>
  <c r="AL19" i="26"/>
  <c r="J50" i="26"/>
  <c r="AK51" i="26" s="1"/>
  <c r="AK6" i="26"/>
  <c r="J38" i="26"/>
  <c r="J82" i="26" s="1"/>
  <c r="AH59" i="26"/>
  <c r="AJ69" i="26"/>
  <c r="AJ71" i="26"/>
  <c r="AJ70" i="26"/>
  <c r="AO6" i="26"/>
  <c r="R50" i="26"/>
  <c r="AS6" i="26"/>
  <c r="R38" i="26"/>
  <c r="R82" i="26" s="1"/>
  <c r="AN9" i="26"/>
  <c r="AF64" i="26"/>
  <c r="O76" i="26"/>
  <c r="AP32" i="26"/>
  <c r="H50" i="26"/>
  <c r="AI68" i="26" s="1"/>
  <c r="AI6" i="26"/>
  <c r="H38" i="26"/>
  <c r="H82" i="26" s="1"/>
  <c r="Q79" i="26"/>
  <c r="AR35" i="26"/>
  <c r="AK9" i="26"/>
  <c r="AH68" i="26"/>
  <c r="AC80" i="26"/>
  <c r="J73" i="26"/>
  <c r="AK29" i="26"/>
  <c r="AP15" i="26"/>
  <c r="M77" i="26"/>
  <c r="AN33" i="26"/>
  <c r="AS19" i="26"/>
  <c r="Q50" i="26"/>
  <c r="AR6" i="26"/>
  <c r="Q38" i="26"/>
  <c r="Q82" i="26" s="1"/>
  <c r="I74" i="26"/>
  <c r="L78" i="26"/>
  <c r="AM34" i="26"/>
  <c r="AL21" i="26"/>
  <c r="P51" i="26"/>
  <c r="B18" i="76" s="1"/>
  <c r="AQ7" i="26"/>
  <c r="AP26" i="26"/>
  <c r="H76" i="26"/>
  <c r="AI76" i="26" s="1"/>
  <c r="AI32" i="26"/>
  <c r="AN18" i="26"/>
  <c r="AH36" i="26"/>
  <c r="J79" i="26"/>
  <c r="AK35" i="26"/>
  <c r="AF55" i="26"/>
  <c r="AF57" i="26"/>
  <c r="N72" i="26"/>
  <c r="AO28" i="26"/>
  <c r="AI15" i="26"/>
  <c r="AD60" i="26"/>
  <c r="AC59" i="26"/>
  <c r="P75" i="26"/>
  <c r="AQ31" i="26"/>
  <c r="AK18" i="26"/>
  <c r="AI17" i="26"/>
  <c r="AL15" i="26"/>
  <c r="AI18" i="26"/>
  <c r="L76" i="26"/>
  <c r="AM32" i="26"/>
  <c r="O50" i="26"/>
  <c r="AP6" i="26"/>
  <c r="O38" i="26"/>
  <c r="O82" i="26" s="1"/>
  <c r="R74" i="26"/>
  <c r="AS30" i="26"/>
  <c r="M74" i="26"/>
  <c r="AN30" i="26"/>
  <c r="AS16" i="26"/>
  <c r="AH61" i="26"/>
  <c r="AC56" i="26"/>
  <c r="O77" i="26"/>
  <c r="AP33" i="26"/>
  <c r="H51" i="26"/>
  <c r="AI7" i="26"/>
  <c r="AI27" i="26"/>
  <c r="K75" i="26"/>
  <c r="AL31" i="26"/>
  <c r="AH66" i="26"/>
  <c r="AS27" i="26"/>
  <c r="J76" i="26"/>
  <c r="AK32" i="26"/>
  <c r="AP18" i="26"/>
  <c r="AN24" i="26"/>
  <c r="M68" i="26"/>
  <c r="Q73" i="26"/>
  <c r="AR29" i="26"/>
  <c r="AL16" i="26"/>
  <c r="AH62" i="26"/>
  <c r="H77" i="26"/>
  <c r="AI77" i="26" s="1"/>
  <c r="AI33" i="26"/>
  <c r="AN19" i="26"/>
  <c r="L50" i="26"/>
  <c r="AM6" i="26"/>
  <c r="L38" i="26"/>
  <c r="L82" i="26" s="1"/>
  <c r="AD53" i="26"/>
  <c r="AE80" i="26"/>
  <c r="AM26" i="26"/>
  <c r="AR12" i="26"/>
  <c r="AD55" i="26"/>
  <c r="N73" i="26"/>
  <c r="AO29" i="26"/>
  <c r="AI16" i="26"/>
  <c r="AS34" i="26"/>
  <c r="AS15" i="26"/>
  <c r="I72" i="26"/>
  <c r="AR18" i="26"/>
  <c r="H73" i="26"/>
  <c r="AI73" i="26" s="1"/>
  <c r="AI29" i="26"/>
  <c r="L73" i="26"/>
  <c r="AM29" i="26"/>
  <c r="AI19" i="26"/>
  <c r="AP20" i="26"/>
  <c r="AS25" i="26"/>
  <c r="AM12" i="26"/>
  <c r="AC54" i="26"/>
  <c r="J74" i="26"/>
  <c r="AK30" i="26"/>
  <c r="AP16" i="26"/>
  <c r="AR26" i="26"/>
  <c r="AL13" i="26"/>
  <c r="I75" i="26"/>
  <c r="M80" i="26"/>
  <c r="AN73" i="26" s="1"/>
  <c r="M37" i="26"/>
  <c r="AM23" i="26"/>
  <c r="L67" i="26"/>
  <c r="P72" i="26"/>
  <c r="AQ28" i="26"/>
  <c r="AK15" i="26"/>
  <c r="R75" i="26"/>
  <c r="AS31" i="26"/>
  <c r="AM18" i="26"/>
  <c r="AD65" i="26"/>
  <c r="AG36" i="26"/>
  <c r="AL25" i="26"/>
  <c r="AQ11" i="26"/>
  <c r="M72" i="26"/>
  <c r="AN28" i="26"/>
  <c r="AS14" i="26"/>
  <c r="AC69" i="26"/>
  <c r="AI12" i="26"/>
  <c r="AN29" i="26"/>
  <c r="AS23" i="26"/>
  <c r="R67" i="26"/>
  <c r="N75" i="26"/>
  <c r="AO75" i="26" s="1"/>
  <c r="AO31" i="26"/>
  <c r="AN15" i="26"/>
  <c r="K77" i="26"/>
  <c r="AL33" i="26"/>
  <c r="M51" i="26"/>
  <c r="AN7" i="26"/>
  <c r="AS13" i="26"/>
  <c r="AM28" i="26"/>
  <c r="AR15" i="26"/>
  <c r="N76" i="26"/>
  <c r="AO32" i="26"/>
  <c r="AC64" i="26"/>
  <c r="K72" i="26"/>
  <c r="AL28" i="26"/>
  <c r="AF59" i="26"/>
  <c r="M75" i="26"/>
  <c r="AN31" i="26"/>
  <c r="AS17" i="26"/>
  <c r="AC67" i="26"/>
  <c r="Q68" i="26"/>
  <c r="AR24" i="26"/>
  <c r="AL11" i="26"/>
  <c r="AD71" i="26"/>
  <c r="I73" i="26"/>
  <c r="AO15" i="26"/>
  <c r="AD36" i="26"/>
  <c r="AQ25" i="26"/>
  <c r="AK12" i="26"/>
  <c r="AH67" i="26"/>
  <c r="H74" i="26"/>
  <c r="AI74" i="26" s="1"/>
  <c r="AI30" i="26"/>
  <c r="AN16" i="26"/>
  <c r="L79" i="26"/>
  <c r="AM35" i="26"/>
  <c r="AL22" i="26"/>
  <c r="AP27" i="26"/>
  <c r="Q74" i="26"/>
  <c r="AR30" i="26"/>
  <c r="AL17" i="26"/>
  <c r="AG80" i="26"/>
  <c r="J68" i="26"/>
  <c r="AK24" i="26"/>
  <c r="AP10" i="26"/>
  <c r="AE55" i="26"/>
  <c r="AC58" i="26"/>
  <c r="AM27" i="26"/>
  <c r="AR13" i="26"/>
  <c r="AL27" i="26"/>
  <c r="AL8" i="26"/>
  <c r="AR21" i="26"/>
  <c r="AQ8" i="26"/>
  <c r="M78" i="26"/>
  <c r="AN34" i="26"/>
  <c r="I78" i="26"/>
  <c r="AF67" i="26"/>
  <c r="O74" i="26"/>
  <c r="AP30" i="26"/>
  <c r="AP13" i="26"/>
  <c r="L74" i="26"/>
  <c r="AM30" i="26"/>
  <c r="Q80" i="26"/>
  <c r="Q37" i="26"/>
  <c r="AQ23" i="26"/>
  <c r="P67" i="26"/>
  <c r="H72" i="26"/>
  <c r="AI72" i="26" s="1"/>
  <c r="AI28" i="26"/>
  <c r="AC65" i="26"/>
  <c r="AD80" i="26"/>
  <c r="AP24" i="26"/>
  <c r="O68" i="26"/>
  <c r="R72" i="26"/>
  <c r="AS28" i="26"/>
  <c r="AM15" i="26"/>
  <c r="AH60" i="26"/>
  <c r="AC63" i="26"/>
  <c r="K78" i="26"/>
  <c r="AL34" i="26"/>
  <c r="AI13" i="26"/>
  <c r="AF60" i="26"/>
  <c r="AC61" i="26"/>
  <c r="P73" i="26"/>
  <c r="AQ29" i="26"/>
  <c r="J80" i="26"/>
  <c r="I67" i="26"/>
  <c r="AJ67" i="26" s="1"/>
  <c r="AJ23" i="26"/>
  <c r="AO9" i="26"/>
  <c r="AQ20" i="26"/>
  <c r="AL26" i="26"/>
  <c r="AQ12" i="26"/>
  <c r="AK19" i="26"/>
  <c r="AI24" i="26"/>
  <c r="AM16" i="26"/>
  <c r="AQ13" i="26"/>
  <c r="P68" i="26"/>
  <c r="AQ24" i="26"/>
  <c r="P78" i="26"/>
  <c r="AQ34" i="26"/>
  <c r="K73" i="26"/>
  <c r="AL73" i="26" s="1"/>
  <c r="AL29" i="26"/>
  <c r="AQ15" i="26"/>
  <c r="AC55" i="26"/>
  <c r="P79" i="26"/>
  <c r="AQ35" i="26"/>
  <c r="AP22" i="26"/>
  <c r="AJ9" i="26"/>
  <c r="AS26" i="26"/>
  <c r="O80" i="26"/>
  <c r="AP75" i="26" s="1"/>
  <c r="O37" i="26"/>
  <c r="AO23" i="26"/>
  <c r="N67" i="26"/>
  <c r="AI10" i="26"/>
  <c r="AR27" i="26"/>
  <c r="AL14" i="26"/>
  <c r="J77" i="26"/>
  <c r="AK33" i="26"/>
  <c r="AP19" i="26"/>
  <c r="AD62" i="26"/>
  <c r="AN25" i="26"/>
  <c r="AS11" i="26"/>
  <c r="AF69" i="26"/>
  <c r="O72" i="26"/>
  <c r="AP28" i="26"/>
  <c r="AJ15" i="26"/>
  <c r="I79" i="26"/>
  <c r="AI22" i="26"/>
  <c r="AN8" i="26"/>
  <c r="AH52" i="26"/>
  <c r="AK25" i="26"/>
  <c r="AP11" i="26"/>
  <c r="AP12" i="26"/>
  <c r="AR9" i="26"/>
  <c r="AH64" i="26"/>
  <c r="AO12" i="26"/>
  <c r="AI25" i="26"/>
  <c r="J72" i="26"/>
  <c r="AK28" i="26"/>
  <c r="AP14" i="26"/>
  <c r="O78" i="26"/>
  <c r="AP34" i="26"/>
  <c r="AI8" i="26"/>
  <c r="AR25" i="26"/>
  <c r="AL12" i="26"/>
  <c r="AH58" i="26"/>
  <c r="AC53" i="26"/>
  <c r="N79" i="26"/>
  <c r="AO35" i="26"/>
  <c r="AN22" i="26"/>
  <c r="AS8" i="26"/>
  <c r="AH53" i="26"/>
  <c r="G45" i="26"/>
  <c r="AF53" i="26"/>
  <c r="AQ26" i="26"/>
  <c r="AF58" i="26"/>
  <c r="AC51" i="26"/>
  <c r="I76" i="26"/>
  <c r="L68" i="26"/>
  <c r="AM24" i="26"/>
  <c r="AR10" i="26"/>
  <c r="AD58" i="26"/>
  <c r="AI14" i="26"/>
  <c r="H78" i="26"/>
  <c r="AI78" i="26" s="1"/>
  <c r="AI34" i="26"/>
  <c r="AS20" i="26"/>
  <c r="L51" i="26"/>
  <c r="AM7" i="26"/>
  <c r="AE67" i="26"/>
  <c r="AF36" i="26"/>
  <c r="AH54" i="26"/>
  <c r="I68" i="26"/>
  <c r="AJ68" i="26" s="1"/>
  <c r="AJ24" i="26"/>
  <c r="AH71" i="26"/>
  <c r="AS35" i="26"/>
  <c r="AN17" i="26"/>
  <c r="AM9" i="26"/>
  <c r="AR14" i="26"/>
  <c r="AK7" i="26"/>
  <c r="A107" i="46"/>
  <c r="A106" i="46"/>
  <c r="A105" i="46"/>
  <c r="A104" i="46"/>
  <c r="A103" i="46"/>
  <c r="A102" i="46"/>
  <c r="A101" i="46"/>
  <c r="AT61" i="26" l="1"/>
  <c r="AT55" i="26"/>
  <c r="AT51" i="26"/>
  <c r="AY62" i="26"/>
  <c r="AW73" i="26"/>
  <c r="AY73" i="26"/>
  <c r="AZ36" i="26"/>
  <c r="BA61" i="26"/>
  <c r="W81" i="26"/>
  <c r="BA51" i="26"/>
  <c r="AZ67" i="26"/>
  <c r="S81" i="26"/>
  <c r="AU63" i="26"/>
  <c r="AY76" i="26"/>
  <c r="AY67" i="26"/>
  <c r="BB72" i="26"/>
  <c r="AZ68" i="26"/>
  <c r="AT68" i="26"/>
  <c r="AW75" i="26"/>
  <c r="Y81" i="26"/>
  <c r="AW74" i="26"/>
  <c r="BB74" i="26"/>
  <c r="AW79" i="26"/>
  <c r="AT63" i="26"/>
  <c r="BA63" i="26"/>
  <c r="AT62" i="26"/>
  <c r="AT57" i="26"/>
  <c r="BB75" i="26"/>
  <c r="BA62" i="26"/>
  <c r="BA77" i="26"/>
  <c r="BA56" i="26"/>
  <c r="AT56" i="26"/>
  <c r="AY77" i="26"/>
  <c r="BA55" i="26"/>
  <c r="AU77" i="26"/>
  <c r="AW76" i="26"/>
  <c r="AT67" i="26"/>
  <c r="AY74" i="26"/>
  <c r="AM55" i="26"/>
  <c r="AX77" i="26"/>
  <c r="T65" i="26"/>
  <c r="AU65" i="26" s="1"/>
  <c r="AU53" i="26"/>
  <c r="T52" i="26"/>
  <c r="AT78" i="26"/>
  <c r="AV69" i="26"/>
  <c r="AV50" i="26"/>
  <c r="AV80" i="26" s="1"/>
  <c r="AV70" i="26"/>
  <c r="AV71" i="26"/>
  <c r="B56" i="70"/>
  <c r="AV60" i="26"/>
  <c r="B31" i="78"/>
  <c r="E31" i="78" s="1"/>
  <c r="B33" i="78"/>
  <c r="B49" i="69"/>
  <c r="B50" i="69"/>
  <c r="W58" i="26"/>
  <c r="AX58" i="26" s="1"/>
  <c r="AX59" i="26"/>
  <c r="AW77" i="26"/>
  <c r="AU55" i="26"/>
  <c r="V58" i="26"/>
  <c r="AW58" i="26" s="1"/>
  <c r="AW59" i="26"/>
  <c r="AV36" i="26"/>
  <c r="AV59" i="26"/>
  <c r="B54" i="70"/>
  <c r="B46" i="69"/>
  <c r="F46" i="69" s="1"/>
  <c r="H46" i="69" s="1"/>
  <c r="B96" i="69" s="1"/>
  <c r="U58" i="26"/>
  <c r="AV58" i="26" s="1"/>
  <c r="U66" i="26"/>
  <c r="AV66" i="26" s="1"/>
  <c r="B55" i="70"/>
  <c r="AV54" i="26"/>
  <c r="B30" i="78"/>
  <c r="B32" i="78"/>
  <c r="B47" i="69"/>
  <c r="B48" i="69"/>
  <c r="Z81" i="26"/>
  <c r="AU73" i="26"/>
  <c r="AV68" i="26"/>
  <c r="AW70" i="26"/>
  <c r="AW50" i="26"/>
  <c r="AW69" i="26"/>
  <c r="AW71" i="26"/>
  <c r="AX67" i="26"/>
  <c r="AW51" i="26"/>
  <c r="AX51" i="26"/>
  <c r="AV67" i="26"/>
  <c r="BA75" i="26"/>
  <c r="AU78" i="26"/>
  <c r="Z65" i="26"/>
  <c r="BA65" i="26" s="1"/>
  <c r="BA53" i="26"/>
  <c r="Z52" i="26"/>
  <c r="AZ76" i="26"/>
  <c r="S66" i="26"/>
  <c r="AT66" i="26" s="1"/>
  <c r="AT54" i="26"/>
  <c r="AT75" i="26"/>
  <c r="AU36" i="26"/>
  <c r="Z66" i="26"/>
  <c r="BA66" i="26" s="1"/>
  <c r="BA54" i="26"/>
  <c r="S65" i="26"/>
  <c r="AT65" i="26" s="1"/>
  <c r="AT53" i="26"/>
  <c r="S52" i="26"/>
  <c r="X58" i="26"/>
  <c r="AY58" i="26" s="1"/>
  <c r="AY59" i="26"/>
  <c r="AX62" i="26"/>
  <c r="B44" i="69"/>
  <c r="F44" i="69" s="1"/>
  <c r="H44" i="69" s="1"/>
  <c r="B52" i="70"/>
  <c r="AV51" i="26"/>
  <c r="BB73" i="26"/>
  <c r="U81" i="26"/>
  <c r="BA57" i="26"/>
  <c r="AX70" i="26"/>
  <c r="AX71" i="26"/>
  <c r="AX50" i="26"/>
  <c r="AX69" i="26"/>
  <c r="AW36" i="26"/>
  <c r="AX78" i="26"/>
  <c r="U65" i="26"/>
  <c r="AV65" i="26" s="1"/>
  <c r="B45" i="69"/>
  <c r="F45" i="69" s="1"/>
  <c r="B53" i="70"/>
  <c r="AV53" i="26"/>
  <c r="U52" i="26"/>
  <c r="AZ74" i="26"/>
  <c r="BA71" i="26"/>
  <c r="BA69" i="26"/>
  <c r="BA50" i="26"/>
  <c r="BA70" i="26"/>
  <c r="AX73" i="26"/>
  <c r="AU61" i="26"/>
  <c r="AX74" i="26"/>
  <c r="AY51" i="26"/>
  <c r="AU57" i="26"/>
  <c r="AY61" i="26"/>
  <c r="AX63" i="26"/>
  <c r="AZ72" i="26"/>
  <c r="AX75" i="26"/>
  <c r="AY79" i="26"/>
  <c r="W52" i="26"/>
  <c r="W65" i="26"/>
  <c r="AX65" i="26" s="1"/>
  <c r="AX53" i="26"/>
  <c r="AX61" i="26"/>
  <c r="AX60" i="26"/>
  <c r="AX76" i="26"/>
  <c r="AU69" i="26"/>
  <c r="AU50" i="26"/>
  <c r="AU70" i="26"/>
  <c r="AU71" i="26"/>
  <c r="I37" i="26"/>
  <c r="AT36" i="26"/>
  <c r="BA36" i="26"/>
  <c r="AW78" i="26"/>
  <c r="AX68" i="26"/>
  <c r="AA65" i="26"/>
  <c r="BB65" i="26" s="1"/>
  <c r="AA52" i="26"/>
  <c r="BB53" i="26"/>
  <c r="BA67" i="26"/>
  <c r="AW72" i="26"/>
  <c r="AU59" i="26"/>
  <c r="T58" i="26"/>
  <c r="AU58" i="26" s="1"/>
  <c r="AU67" i="26"/>
  <c r="AU68" i="26"/>
  <c r="AZ73" i="26"/>
  <c r="AT69" i="26"/>
  <c r="AT50" i="26"/>
  <c r="AT71" i="26"/>
  <c r="AT70" i="26"/>
  <c r="AU56" i="26"/>
  <c r="AY60" i="26"/>
  <c r="AZ79" i="26"/>
  <c r="AU74" i="26"/>
  <c r="AW55" i="26"/>
  <c r="BA68" i="26"/>
  <c r="U39" i="26"/>
  <c r="T40" i="26"/>
  <c r="BB36" i="26"/>
  <c r="AY55" i="26"/>
  <c r="B61" i="70"/>
  <c r="AV72" i="26"/>
  <c r="AT74" i="26"/>
  <c r="AZ77" i="26"/>
  <c r="AZ75" i="26"/>
  <c r="AY70" i="26"/>
  <c r="AY71" i="26"/>
  <c r="AY50" i="26"/>
  <c r="AY69" i="26"/>
  <c r="AT79" i="26"/>
  <c r="AT73" i="26"/>
  <c r="Y66" i="26"/>
  <c r="AZ66" i="26" s="1"/>
  <c r="AZ54" i="26"/>
  <c r="AU60" i="26"/>
  <c r="AT59" i="26"/>
  <c r="S58" i="26"/>
  <c r="AT58" i="26" s="1"/>
  <c r="AX57" i="26"/>
  <c r="AY78" i="26"/>
  <c r="AV57" i="26"/>
  <c r="B52" i="69"/>
  <c r="F52" i="69" s="1"/>
  <c r="B58" i="70"/>
  <c r="AX55" i="26"/>
  <c r="BA60" i="26"/>
  <c r="AT77" i="26"/>
  <c r="BA73" i="26"/>
  <c r="AU75" i="26"/>
  <c r="V66" i="26"/>
  <c r="AW66" i="26" s="1"/>
  <c r="AW54" i="26"/>
  <c r="X66" i="26"/>
  <c r="AY66" i="26" s="1"/>
  <c r="AY54" i="26"/>
  <c r="T66" i="26"/>
  <c r="AU66" i="26" s="1"/>
  <c r="AU54" i="26"/>
  <c r="AY36" i="26"/>
  <c r="AK57" i="26"/>
  <c r="Y58" i="26"/>
  <c r="AZ58" i="26" s="1"/>
  <c r="AZ59" i="26"/>
  <c r="AT72" i="26"/>
  <c r="AA66" i="26"/>
  <c r="BB66" i="26" s="1"/>
  <c r="BB54" i="26"/>
  <c r="AX36" i="26"/>
  <c r="Y65" i="26"/>
  <c r="AZ65" i="26" s="1"/>
  <c r="Y52" i="26"/>
  <c r="AZ53" i="26"/>
  <c r="X81" i="26"/>
  <c r="AX79" i="26"/>
  <c r="AX56" i="26"/>
  <c r="T81" i="26"/>
  <c r="AZ71" i="26"/>
  <c r="AZ50" i="26"/>
  <c r="AZ70" i="26"/>
  <c r="AZ69" i="26"/>
  <c r="AA58" i="26"/>
  <c r="BB58" i="26" s="1"/>
  <c r="BB59" i="26"/>
  <c r="B51" i="69"/>
  <c r="B57" i="70"/>
  <c r="AV56" i="26"/>
  <c r="W66" i="26"/>
  <c r="AX66" i="26" s="1"/>
  <c r="AX54" i="26"/>
  <c r="Z58" i="26"/>
  <c r="BA58" i="26" s="1"/>
  <c r="BA59" i="26"/>
  <c r="V65" i="26"/>
  <c r="AW65" i="26" s="1"/>
  <c r="V52" i="26"/>
  <c r="AW53" i="26"/>
  <c r="AY63" i="26"/>
  <c r="BB71" i="26"/>
  <c r="BB70" i="26"/>
  <c r="BB50" i="26"/>
  <c r="BB69" i="26"/>
  <c r="X65" i="26"/>
  <c r="AY65" i="26" s="1"/>
  <c r="AY53" i="26"/>
  <c r="X52" i="26"/>
  <c r="AO72" i="26"/>
  <c r="AL78" i="26"/>
  <c r="AO79" i="26"/>
  <c r="F26" i="69"/>
  <c r="G48" i="69" s="1"/>
  <c r="F27" i="69"/>
  <c r="G49" i="69" s="1"/>
  <c r="F29" i="69"/>
  <c r="G52" i="69"/>
  <c r="G51" i="69"/>
  <c r="E28" i="69"/>
  <c r="D31" i="69"/>
  <c r="AL75" i="26"/>
  <c r="AR55" i="26"/>
  <c r="AL72" i="26"/>
  <c r="AQ75" i="26"/>
  <c r="B19" i="76"/>
  <c r="B20" i="76"/>
  <c r="B23" i="46"/>
  <c r="B22" i="46"/>
  <c r="AL61" i="26"/>
  <c r="AP56" i="26"/>
  <c r="AP78" i="26"/>
  <c r="AQ67" i="26"/>
  <c r="AK55" i="26"/>
  <c r="AK63" i="26"/>
  <c r="AQ68" i="26"/>
  <c r="AQ62" i="26"/>
  <c r="AS60" i="26"/>
  <c r="AM74" i="26"/>
  <c r="AQ61" i="26"/>
  <c r="B20" i="72"/>
  <c r="AQ55" i="26"/>
  <c r="B19" i="72"/>
  <c r="AL74" i="26"/>
  <c r="AJ28" i="26"/>
  <c r="AJ6" i="26"/>
  <c r="AQ51" i="26"/>
  <c r="I80" i="26"/>
  <c r="AJ76" i="26" s="1"/>
  <c r="AJ29" i="26"/>
  <c r="AL77" i="26"/>
  <c r="AJ31" i="26"/>
  <c r="J37" i="26"/>
  <c r="AN78" i="26"/>
  <c r="AJ32" i="26"/>
  <c r="AJ30" i="26"/>
  <c r="AJ35" i="26"/>
  <c r="AJ33" i="26"/>
  <c r="AR68" i="26"/>
  <c r="AN72" i="26"/>
  <c r="AK77" i="26"/>
  <c r="AR60" i="26"/>
  <c r="AI62" i="26"/>
  <c r="AQ57" i="26"/>
  <c r="AQ56" i="26"/>
  <c r="AI63" i="26"/>
  <c r="AS78" i="26"/>
  <c r="AL56" i="26"/>
  <c r="Q81" i="26"/>
  <c r="AQ73" i="26"/>
  <c r="AR61" i="26"/>
  <c r="AN61" i="26"/>
  <c r="AO68" i="26"/>
  <c r="AQ78" i="26"/>
  <c r="AS72" i="26"/>
  <c r="AN60" i="26"/>
  <c r="AO62" i="26"/>
  <c r="AO50" i="26"/>
  <c r="AQ79" i="26"/>
  <c r="AS76" i="26"/>
  <c r="AO67" i="26"/>
  <c r="AN75" i="26"/>
  <c r="AQ72" i="26"/>
  <c r="AK72" i="26"/>
  <c r="AP72" i="26"/>
  <c r="AO61" i="26"/>
  <c r="AO55" i="26"/>
  <c r="AO60" i="26"/>
  <c r="AN51" i="26"/>
  <c r="AO69" i="26"/>
  <c r="AO56" i="26"/>
  <c r="AI56" i="26"/>
  <c r="AO70" i="26"/>
  <c r="AI61" i="26"/>
  <c r="AN55" i="26"/>
  <c r="AL68" i="26"/>
  <c r="AO63" i="26"/>
  <c r="AL57" i="26"/>
  <c r="AO57" i="26"/>
  <c r="AN68" i="26"/>
  <c r="AN77" i="26"/>
  <c r="AN67" i="26"/>
  <c r="AL63" i="26"/>
  <c r="AS75" i="26"/>
  <c r="AI51" i="26"/>
  <c r="AQ60" i="26"/>
  <c r="AL60" i="26"/>
  <c r="AK56" i="26"/>
  <c r="AK61" i="26"/>
  <c r="AM73" i="26"/>
  <c r="AK62" i="26"/>
  <c r="AR77" i="26"/>
  <c r="AR74" i="26"/>
  <c r="AK60" i="26"/>
  <c r="AP63" i="26"/>
  <c r="AM76" i="26"/>
  <c r="AL62" i="26"/>
  <c r="AS67" i="26"/>
  <c r="AM78" i="26"/>
  <c r="AS77" i="26"/>
  <c r="AL67" i="26"/>
  <c r="AO73" i="26"/>
  <c r="AO74" i="26"/>
  <c r="AM75" i="26"/>
  <c r="AM79" i="26"/>
  <c r="O81" i="26"/>
  <c r="AN63" i="26"/>
  <c r="AS51" i="26"/>
  <c r="AQ74" i="26"/>
  <c r="AL55" i="26"/>
  <c r="AM51" i="26"/>
  <c r="AM61" i="26"/>
  <c r="AS61" i="26"/>
  <c r="AM63" i="26"/>
  <c r="AM56" i="26"/>
  <c r="AN62" i="26"/>
  <c r="AP68" i="26"/>
  <c r="AM68" i="26"/>
  <c r="AM60" i="26"/>
  <c r="AM62" i="26"/>
  <c r="M81" i="26"/>
  <c r="AS74" i="26"/>
  <c r="AI60" i="26"/>
  <c r="AO78" i="26"/>
  <c r="AQ77" i="26"/>
  <c r="AS55" i="26"/>
  <c r="AL79" i="26"/>
  <c r="AK68" i="26"/>
  <c r="AS68" i="26"/>
  <c r="Q65" i="26"/>
  <c r="AR65" i="26" s="1"/>
  <c r="AJ53" i="26"/>
  <c r="I65" i="26"/>
  <c r="AJ65" i="26" s="1"/>
  <c r="I45" i="26"/>
  <c r="I52" i="26"/>
  <c r="AM59" i="26"/>
  <c r="L58" i="26"/>
  <c r="AM58" i="26" s="1"/>
  <c r="AR73" i="26"/>
  <c r="AR70" i="26"/>
  <c r="AR69" i="26"/>
  <c r="AR50" i="26"/>
  <c r="AR71" i="26"/>
  <c r="AK54" i="26"/>
  <c r="J66" i="26"/>
  <c r="AK66" i="26" s="1"/>
  <c r="AR75" i="26"/>
  <c r="P81" i="26"/>
  <c r="AL54" i="26"/>
  <c r="K66" i="26"/>
  <c r="AL66" i="26" s="1"/>
  <c r="AS56" i="26"/>
  <c r="B26" i="46"/>
  <c r="AO76" i="26"/>
  <c r="AN59" i="26"/>
  <c r="M58" i="26"/>
  <c r="AN58" i="26" s="1"/>
  <c r="AP36" i="26"/>
  <c r="AP55" i="26"/>
  <c r="AM53" i="26"/>
  <c r="L52" i="26"/>
  <c r="L65" i="26"/>
  <c r="AM65" i="26" s="1"/>
  <c r="K65" i="26"/>
  <c r="AL65" i="26" s="1"/>
  <c r="AL53" i="26"/>
  <c r="K52" i="26"/>
  <c r="AJ54" i="26"/>
  <c r="I66" i="26"/>
  <c r="AJ66" i="26" s="1"/>
  <c r="AP71" i="26"/>
  <c r="AP70" i="26"/>
  <c r="AP69" i="26"/>
  <c r="AP50" i="26"/>
  <c r="AK53" i="26"/>
  <c r="J52" i="26"/>
  <c r="J65" i="26"/>
  <c r="AK65" i="26" s="1"/>
  <c r="AN54" i="26"/>
  <c r="M66" i="26"/>
  <c r="AN66" i="26" s="1"/>
  <c r="AP54" i="26"/>
  <c r="O66" i="26"/>
  <c r="AP66" i="26" s="1"/>
  <c r="AL76" i="26"/>
  <c r="AN53" i="26"/>
  <c r="M65" i="26"/>
  <c r="AN65" i="26" s="1"/>
  <c r="M52" i="26"/>
  <c r="AP53" i="26"/>
  <c r="O52" i="26"/>
  <c r="O65" i="26"/>
  <c r="AP65" i="26" s="1"/>
  <c r="AS54" i="26"/>
  <c r="R66" i="26"/>
  <c r="AS66" i="26" s="1"/>
  <c r="AQ36" i="26"/>
  <c r="AS63" i="26"/>
  <c r="Q66" i="26"/>
  <c r="AR66" i="26" s="1"/>
  <c r="AM36" i="26"/>
  <c r="AP77" i="26"/>
  <c r="AK36" i="26"/>
  <c r="AS53" i="26"/>
  <c r="R65" i="26"/>
  <c r="AS65" i="26" s="1"/>
  <c r="R52" i="26"/>
  <c r="AI53" i="26"/>
  <c r="H45" i="26"/>
  <c r="H65" i="26"/>
  <c r="AI65" i="26" s="1"/>
  <c r="H52" i="26"/>
  <c r="AQ54" i="26"/>
  <c r="P66" i="26"/>
  <c r="AQ66" i="26" s="1"/>
  <c r="AQ71" i="26"/>
  <c r="AQ70" i="26"/>
  <c r="AQ69" i="26"/>
  <c r="AQ50" i="26"/>
  <c r="AS62" i="26"/>
  <c r="AR54" i="26"/>
  <c r="AJ59" i="26"/>
  <c r="I58" i="26"/>
  <c r="AJ58" i="26" s="1"/>
  <c r="AR59" i="26"/>
  <c r="Q58" i="26"/>
  <c r="AR58" i="26" s="1"/>
  <c r="AK59" i="26"/>
  <c r="J58" i="26"/>
  <c r="AK58" i="26" s="1"/>
  <c r="AM71" i="26"/>
  <c r="AM70" i="26"/>
  <c r="AM69" i="26"/>
  <c r="AM50" i="26"/>
  <c r="AP62" i="26"/>
  <c r="AP60" i="26"/>
  <c r="AR79" i="26"/>
  <c r="AS36" i="26"/>
  <c r="AK69" i="26"/>
  <c r="AK50" i="26"/>
  <c r="AK71" i="26"/>
  <c r="AK70" i="26"/>
  <c r="AK67" i="26"/>
  <c r="AN79" i="26"/>
  <c r="AI54" i="26"/>
  <c r="H66" i="26"/>
  <c r="AI66" i="26" s="1"/>
  <c r="AM54" i="26"/>
  <c r="L66" i="26"/>
  <c r="AM66" i="26" s="1"/>
  <c r="AQ53" i="26"/>
  <c r="P52" i="26"/>
  <c r="P65" i="26"/>
  <c r="AQ65" i="26" s="1"/>
  <c r="AS59" i="26"/>
  <c r="R58" i="26"/>
  <c r="AS58" i="26" s="1"/>
  <c r="AO54" i="26"/>
  <c r="N66" i="26"/>
  <c r="AO66" i="26" s="1"/>
  <c r="AP74" i="26"/>
  <c r="AK74" i="26"/>
  <c r="AP59" i="26"/>
  <c r="O58" i="26"/>
  <c r="AP58" i="26" s="1"/>
  <c r="AS70" i="26"/>
  <c r="AS69" i="26"/>
  <c r="AS50" i="26"/>
  <c r="AS71" i="26"/>
  <c r="AO51" i="26"/>
  <c r="B19" i="46"/>
  <c r="AI55" i="26"/>
  <c r="AS73" i="26"/>
  <c r="AN76" i="26"/>
  <c r="AI67" i="26"/>
  <c r="N65" i="26"/>
  <c r="AO65" i="26" s="1"/>
  <c r="N52" i="26"/>
  <c r="AO53" i="26"/>
  <c r="B20" i="46"/>
  <c r="N58" i="26"/>
  <c r="AO58" i="26" s="1"/>
  <c r="B21" i="46"/>
  <c r="AO59" i="26"/>
  <c r="AR63" i="26"/>
  <c r="AK76" i="26"/>
  <c r="AK79" i="26"/>
  <c r="AP61" i="26"/>
  <c r="AI36" i="26"/>
  <c r="AQ76" i="26"/>
  <c r="K81" i="26"/>
  <c r="AR67" i="26"/>
  <c r="AL51" i="26"/>
  <c r="L81" i="26"/>
  <c r="AM77" i="26"/>
  <c r="AR51" i="26"/>
  <c r="AM67" i="26"/>
  <c r="AR62" i="26"/>
  <c r="AP51" i="26"/>
  <c r="AI69" i="26"/>
  <c r="AI50" i="26"/>
  <c r="AI80" i="26" s="1"/>
  <c r="AI71" i="26"/>
  <c r="AI70" i="26"/>
  <c r="AR78" i="26"/>
  <c r="AR76" i="26"/>
  <c r="AK75" i="26"/>
  <c r="AK78" i="26"/>
  <c r="N81" i="26"/>
  <c r="AP79" i="26"/>
  <c r="AP57" i="26"/>
  <c r="AN57" i="26"/>
  <c r="AQ59" i="26"/>
  <c r="P58" i="26"/>
  <c r="AQ58" i="26" s="1"/>
  <c r="AL59" i="26"/>
  <c r="K58" i="26"/>
  <c r="AL58" i="26" s="1"/>
  <c r="AM57" i="26"/>
  <c r="AN74" i="26"/>
  <c r="AK73" i="26"/>
  <c r="AO36" i="26"/>
  <c r="AN36" i="26"/>
  <c r="AP67" i="26"/>
  <c r="AN56" i="26"/>
  <c r="Q52" i="26"/>
  <c r="AR57" i="26"/>
  <c r="AP76" i="26"/>
  <c r="AP73" i="26"/>
  <c r="AN71" i="26"/>
  <c r="AN70" i="26"/>
  <c r="AN69" i="26"/>
  <c r="AN50" i="26"/>
  <c r="R81" i="26"/>
  <c r="AR72" i="26"/>
  <c r="AL36" i="26"/>
  <c r="AR53" i="26"/>
  <c r="AR56" i="26"/>
  <c r="AI59" i="26"/>
  <c r="H58" i="26"/>
  <c r="AI58" i="26" s="1"/>
  <c r="AR36" i="26"/>
  <c r="AQ63" i="26"/>
  <c r="AL71" i="26"/>
  <c r="AL70" i="26"/>
  <c r="AL69" i="26"/>
  <c r="AL50" i="26"/>
  <c r="AO77" i="26"/>
  <c r="AS57" i="26"/>
  <c r="AI57" i="26"/>
  <c r="A171" i="41"/>
  <c r="A170" i="41"/>
  <c r="A169" i="41"/>
  <c r="A168" i="41"/>
  <c r="A167" i="41"/>
  <c r="A166" i="41"/>
  <c r="A165" i="41"/>
  <c r="B137" i="41"/>
  <c r="E126" i="41"/>
  <c r="B97" i="41"/>
  <c r="B82" i="41"/>
  <c r="E30" i="78" l="1"/>
  <c r="E35" i="78" s="1"/>
  <c r="L39" i="78" s="1"/>
  <c r="M39" i="78" s="1"/>
  <c r="B35" i="78"/>
  <c r="BA80" i="26"/>
  <c r="AX80" i="26"/>
  <c r="D44" i="69"/>
  <c r="C54" i="70"/>
  <c r="D54" i="70"/>
  <c r="AX52" i="26"/>
  <c r="W64" i="26"/>
  <c r="AX64" i="26" s="1"/>
  <c r="U40" i="26"/>
  <c r="V39" i="26"/>
  <c r="AY80" i="26"/>
  <c r="BB80" i="26"/>
  <c r="D57" i="70"/>
  <c r="C57" i="70"/>
  <c r="D53" i="70"/>
  <c r="C53" i="70"/>
  <c r="X64" i="26"/>
  <c r="AY64" i="26" s="1"/>
  <c r="AY52" i="26"/>
  <c r="AU80" i="26"/>
  <c r="D52" i="70"/>
  <c r="C52" i="70"/>
  <c r="D55" i="70"/>
  <c r="C55" i="70"/>
  <c r="T64" i="26"/>
  <c r="AU64" i="26" s="1"/>
  <c r="AU52" i="26"/>
  <c r="V64" i="26"/>
  <c r="AW64" i="26" s="1"/>
  <c r="AW52" i="26"/>
  <c r="BB52" i="26"/>
  <c r="AA64" i="26"/>
  <c r="BB64" i="26" s="1"/>
  <c r="AT52" i="26"/>
  <c r="S64" i="26"/>
  <c r="AT64" i="26" s="1"/>
  <c r="D56" i="70"/>
  <c r="C56" i="70"/>
  <c r="Y64" i="26"/>
  <c r="AZ64" i="26" s="1"/>
  <c r="AZ52" i="26"/>
  <c r="U64" i="26"/>
  <c r="AV64" i="26" s="1"/>
  <c r="AV52" i="26"/>
  <c r="AZ80" i="26"/>
  <c r="AW80" i="26"/>
  <c r="C58" i="70"/>
  <c r="D58" i="70"/>
  <c r="AT80" i="26"/>
  <c r="Z64" i="26"/>
  <c r="BA64" i="26" s="1"/>
  <c r="BA52" i="26"/>
  <c r="AJ78" i="26"/>
  <c r="H52" i="69"/>
  <c r="B102" i="69" s="1"/>
  <c r="G47" i="69"/>
  <c r="G50" i="69"/>
  <c r="AJ73" i="26"/>
  <c r="AJ79" i="26"/>
  <c r="AJ74" i="26"/>
  <c r="B94" i="69"/>
  <c r="B34" i="78"/>
  <c r="D34" i="78" s="1"/>
  <c r="D33" i="78"/>
  <c r="D31" i="78"/>
  <c r="G31" i="78" s="1"/>
  <c r="F31" i="78" s="1"/>
  <c r="D32" i="78"/>
  <c r="D30" i="78"/>
  <c r="G30" i="78" s="1"/>
  <c r="I58" i="70"/>
  <c r="I54" i="70"/>
  <c r="I53" i="70"/>
  <c r="I56" i="70"/>
  <c r="I57" i="70"/>
  <c r="I55" i="70"/>
  <c r="I52" i="70"/>
  <c r="B23" i="76"/>
  <c r="D45" i="69"/>
  <c r="F50" i="69"/>
  <c r="D50" i="69"/>
  <c r="F48" i="69"/>
  <c r="D48" i="69"/>
  <c r="D46" i="69"/>
  <c r="D52" i="69"/>
  <c r="F51" i="69"/>
  <c r="H51" i="69" s="1"/>
  <c r="B101" i="69" s="1"/>
  <c r="D51" i="69"/>
  <c r="B55" i="69"/>
  <c r="D55" i="69" s="1"/>
  <c r="H45" i="69"/>
  <c r="B95" i="69" s="1"/>
  <c r="F49" i="69"/>
  <c r="D49" i="69"/>
  <c r="F47" i="69"/>
  <c r="D47" i="69"/>
  <c r="AL80" i="26"/>
  <c r="AJ36" i="26"/>
  <c r="AO80" i="26"/>
  <c r="B21" i="72"/>
  <c r="I81" i="26"/>
  <c r="AJ50" i="26"/>
  <c r="J81" i="26"/>
  <c r="AJ72" i="26"/>
  <c r="AJ77" i="26"/>
  <c r="AJ75" i="26"/>
  <c r="B60" i="70"/>
  <c r="AN80" i="26"/>
  <c r="B27" i="46"/>
  <c r="AR80" i="26"/>
  <c r="AK80" i="26"/>
  <c r="H64" i="26"/>
  <c r="AI64" i="26" s="1"/>
  <c r="AI52" i="26"/>
  <c r="K64" i="26"/>
  <c r="AL64" i="26" s="1"/>
  <c r="AL52" i="26"/>
  <c r="AS80" i="26"/>
  <c r="AQ52" i="26"/>
  <c r="P64" i="26"/>
  <c r="AQ64" i="26" s="1"/>
  <c r="N64" i="26"/>
  <c r="AO64" i="26" s="1"/>
  <c r="AO52" i="26"/>
  <c r="R64" i="26"/>
  <c r="AS64" i="26" s="1"/>
  <c r="AS52" i="26"/>
  <c r="AP52" i="26"/>
  <c r="O64" i="26"/>
  <c r="AP64" i="26" s="1"/>
  <c r="AK52" i="26"/>
  <c r="J64" i="26"/>
  <c r="AK64" i="26" s="1"/>
  <c r="AJ52" i="26"/>
  <c r="I64" i="26"/>
  <c r="AJ64" i="26" s="1"/>
  <c r="AR52" i="26"/>
  <c r="Q64" i="26"/>
  <c r="AR64" i="26" s="1"/>
  <c r="AM52" i="26"/>
  <c r="L64" i="26"/>
  <c r="AM64" i="26" s="1"/>
  <c r="AM80" i="26"/>
  <c r="AQ80" i="26"/>
  <c r="AN52" i="26"/>
  <c r="M64" i="26"/>
  <c r="AN64" i="26" s="1"/>
  <c r="AP80" i="26"/>
  <c r="F30" i="78" l="1"/>
  <c r="I46" i="78" s="1"/>
  <c r="I59" i="78" s="1"/>
  <c r="E34" i="78"/>
  <c r="F52" i="70"/>
  <c r="W39" i="26"/>
  <c r="V40" i="26"/>
  <c r="H47" i="69"/>
  <c r="B97" i="69" s="1"/>
  <c r="G55" i="69"/>
  <c r="H50" i="69"/>
  <c r="B100" i="69" s="1"/>
  <c r="I47" i="78"/>
  <c r="I60" i="78" s="1"/>
  <c r="I49" i="78"/>
  <c r="I62" i="78" s="1"/>
  <c r="O94" i="78"/>
  <c r="Q94" i="78" s="1"/>
  <c r="P94" i="78"/>
  <c r="R94" i="78" s="1"/>
  <c r="F57" i="70"/>
  <c r="F53" i="70"/>
  <c r="Q52" i="70"/>
  <c r="Q55" i="70"/>
  <c r="Q57" i="70"/>
  <c r="P57" i="70" s="1"/>
  <c r="Y86" i="70" s="1"/>
  <c r="Q56" i="70"/>
  <c r="Q53" i="70"/>
  <c r="P53" i="70" s="1"/>
  <c r="Y82" i="70" s="1"/>
  <c r="Q54" i="70"/>
  <c r="P54" i="70" s="1"/>
  <c r="Y83" i="70" s="1"/>
  <c r="Q58" i="70"/>
  <c r="P58" i="70" s="1"/>
  <c r="Y87" i="70" s="1"/>
  <c r="F54" i="70"/>
  <c r="F58" i="70"/>
  <c r="I60" i="70"/>
  <c r="C60" i="70"/>
  <c r="D60" i="70"/>
  <c r="H48" i="69"/>
  <c r="H49" i="69"/>
  <c r="F55" i="69"/>
  <c r="AJ80" i="26"/>
  <c r="F34" i="78" l="1"/>
  <c r="G34" i="78" s="1"/>
  <c r="I48" i="78"/>
  <c r="I61" i="78" s="1"/>
  <c r="I65" i="78" s="1"/>
  <c r="X39" i="26"/>
  <c r="W40" i="26"/>
  <c r="Q89" i="70"/>
  <c r="Y115" i="70"/>
  <c r="Y110" i="70"/>
  <c r="Y114" i="70"/>
  <c r="Y111" i="70"/>
  <c r="Q60" i="70"/>
  <c r="H55" i="69"/>
  <c r="P167" i="69"/>
  <c r="B99" i="69"/>
  <c r="O167" i="69"/>
  <c r="B98" i="69"/>
  <c r="I52" i="78" l="1"/>
  <c r="N23" i="156"/>
  <c r="N23" i="155"/>
  <c r="M23" i="156"/>
  <c r="M23" i="155"/>
  <c r="N23" i="152"/>
  <c r="N23" i="154"/>
  <c r="N23" i="153"/>
  <c r="M23" i="152"/>
  <c r="M23" i="154"/>
  <c r="M23" i="153"/>
  <c r="N23" i="149"/>
  <c r="N23" i="151"/>
  <c r="M23" i="149"/>
  <c r="M23" i="151"/>
  <c r="N23" i="83"/>
  <c r="N23" i="144"/>
  <c r="N23" i="84"/>
  <c r="N23" i="145"/>
  <c r="N23" i="146"/>
  <c r="N23" i="85"/>
  <c r="N23" i="147"/>
  <c r="N23" i="148"/>
  <c r="N23" i="75"/>
  <c r="N23" i="143"/>
  <c r="M23" i="144"/>
  <c r="M23" i="84"/>
  <c r="M23" i="145"/>
  <c r="M23" i="146"/>
  <c r="M23" i="85"/>
  <c r="M23" i="147"/>
  <c r="M23" i="148"/>
  <c r="M23" i="75"/>
  <c r="M23" i="143"/>
  <c r="M23" i="83"/>
  <c r="M23" i="103"/>
  <c r="N23" i="103"/>
  <c r="Z26" i="83"/>
  <c r="Z26" i="75"/>
  <c r="X40" i="26"/>
  <c r="Y39" i="26"/>
  <c r="AL167" i="69"/>
  <c r="AN167" i="69"/>
  <c r="AK167" i="69"/>
  <c r="AM167" i="69"/>
  <c r="AH167" i="69"/>
  <c r="AJ167" i="69"/>
  <c r="AG167" i="69"/>
  <c r="AI167" i="69"/>
  <c r="AD167" i="69"/>
  <c r="AF167" i="69"/>
  <c r="AC167" i="69"/>
  <c r="AE167" i="69"/>
  <c r="Z167" i="69"/>
  <c r="AB167" i="69"/>
  <c r="Y167" i="69"/>
  <c r="AA167" i="69"/>
  <c r="V167" i="69"/>
  <c r="X167" i="69"/>
  <c r="U167" i="69"/>
  <c r="W167" i="69"/>
  <c r="R167" i="69"/>
  <c r="T167" i="69"/>
  <c r="Q167" i="69"/>
  <c r="S167" i="69"/>
  <c r="U13" i="103"/>
  <c r="V13" i="103"/>
  <c r="O91" i="78"/>
  <c r="Q91" i="78" s="1"/>
  <c r="B105" i="69"/>
  <c r="K9" i="43"/>
  <c r="K10" i="43"/>
  <c r="Z17" i="43"/>
  <c r="T18" i="43"/>
  <c r="Z18" i="43"/>
  <c r="W19" i="43"/>
  <c r="Z19" i="43"/>
  <c r="X20" i="43"/>
  <c r="Z20" i="43"/>
  <c r="Z21" i="43"/>
  <c r="X22" i="43"/>
  <c r="Y22" i="43" s="1"/>
  <c r="Z22" i="43"/>
  <c r="W23" i="43"/>
  <c r="Z23" i="43"/>
  <c r="V24" i="43"/>
  <c r="W24" i="43"/>
  <c r="Z24" i="43"/>
  <c r="Z25" i="43"/>
  <c r="Z26" i="43"/>
  <c r="Z27" i="43"/>
  <c r="Z28" i="43"/>
  <c r="Z29" i="43"/>
  <c r="Z30" i="43"/>
  <c r="W31" i="43"/>
  <c r="Z31" i="43"/>
  <c r="J38" i="43"/>
  <c r="K41" i="43"/>
  <c r="L42" i="43"/>
  <c r="I44" i="43"/>
  <c r="J44" i="43"/>
  <c r="K44" i="43"/>
  <c r="L44" i="43"/>
  <c r="J51" i="43"/>
  <c r="J52" i="43" s="1"/>
  <c r="I53" i="43"/>
  <c r="J53" i="43"/>
  <c r="K58" i="43"/>
  <c r="J59" i="43"/>
  <c r="K59" i="43"/>
  <c r="J62" i="43"/>
  <c r="K62" i="43"/>
  <c r="L62" i="43"/>
  <c r="J71" i="43"/>
  <c r="L71" i="43"/>
  <c r="J80" i="43"/>
  <c r="K80" i="43"/>
  <c r="L80" i="43"/>
  <c r="L86" i="43"/>
  <c r="L89" i="43"/>
  <c r="D116" i="41"/>
  <c r="D127" i="41"/>
  <c r="D125" i="41"/>
  <c r="D118" i="41"/>
  <c r="D88" i="41"/>
  <c r="D86" i="41"/>
  <c r="D18" i="41"/>
  <c r="D17" i="41"/>
  <c r="C59" i="41" s="1"/>
  <c r="V13" i="156" l="1"/>
  <c r="V13" i="155"/>
  <c r="U13" i="156"/>
  <c r="U13" i="155"/>
  <c r="U13" i="152"/>
  <c r="U13" i="154"/>
  <c r="U13" i="153"/>
  <c r="V13" i="152"/>
  <c r="V13" i="154"/>
  <c r="V13" i="153"/>
  <c r="V13" i="149"/>
  <c r="V13" i="151"/>
  <c r="U13" i="149"/>
  <c r="U13" i="151"/>
  <c r="V13" i="143"/>
  <c r="V13" i="144"/>
  <c r="V13" i="84"/>
  <c r="V13" i="145"/>
  <c r="V13" i="146"/>
  <c r="V13" i="85"/>
  <c r="V13" i="147"/>
  <c r="V13" i="148"/>
  <c r="V13" i="75"/>
  <c r="U13" i="143"/>
  <c r="U13" i="144"/>
  <c r="U13" i="84"/>
  <c r="U13" i="145"/>
  <c r="U13" i="146"/>
  <c r="U13" i="85"/>
  <c r="U13" i="147"/>
  <c r="U13" i="148"/>
  <c r="U13" i="75"/>
  <c r="V13" i="83"/>
  <c r="U13" i="83"/>
  <c r="AH26" i="75"/>
  <c r="AG26" i="75"/>
  <c r="Y40" i="26"/>
  <c r="Z39" i="26"/>
  <c r="F51" i="76"/>
  <c r="F87" i="76" s="1"/>
  <c r="P87" i="76" s="1"/>
  <c r="R87" i="76" s="1"/>
  <c r="F75" i="69"/>
  <c r="B77" i="69"/>
  <c r="E82" i="69"/>
  <c r="E121" i="69" s="1"/>
  <c r="C52" i="76"/>
  <c r="C36" i="76"/>
  <c r="G51" i="76"/>
  <c r="G87" i="76" s="1"/>
  <c r="G75" i="69"/>
  <c r="C77" i="69"/>
  <c r="F82" i="69"/>
  <c r="F121" i="69" s="1"/>
  <c r="D36" i="76"/>
  <c r="D52" i="76"/>
  <c r="H51" i="76"/>
  <c r="H87" i="76" s="1"/>
  <c r="H75" i="69"/>
  <c r="D77" i="69"/>
  <c r="G82" i="69"/>
  <c r="G121" i="69" s="1"/>
  <c r="E52" i="76"/>
  <c r="E36" i="76"/>
  <c r="I61" i="70"/>
  <c r="Q61" i="70" s="1"/>
  <c r="H82" i="69"/>
  <c r="H121" i="69" s="1"/>
  <c r="C76" i="69"/>
  <c r="F77" i="69"/>
  <c r="B83" i="69"/>
  <c r="B122" i="69" s="1"/>
  <c r="G36" i="76"/>
  <c r="G52" i="76"/>
  <c r="E77" i="69"/>
  <c r="D76" i="69"/>
  <c r="G77" i="69"/>
  <c r="C83" i="69"/>
  <c r="C122" i="69" s="1"/>
  <c r="H52" i="76"/>
  <c r="H36" i="76"/>
  <c r="B76" i="69"/>
  <c r="F52" i="76"/>
  <c r="F36" i="76"/>
  <c r="E76" i="69"/>
  <c r="H77" i="69"/>
  <c r="D83" i="69"/>
  <c r="D122" i="69" s="1"/>
  <c r="I52" i="76"/>
  <c r="I53" i="76" s="1"/>
  <c r="I36" i="76"/>
  <c r="E83" i="69"/>
  <c r="E122" i="69" s="1"/>
  <c r="B51" i="76"/>
  <c r="B87" i="76" s="1"/>
  <c r="B75" i="69"/>
  <c r="G76" i="69"/>
  <c r="F83" i="69"/>
  <c r="F122" i="69" s="1"/>
  <c r="F76" i="69"/>
  <c r="C51" i="76"/>
  <c r="C87" i="76" s="1"/>
  <c r="C75" i="69"/>
  <c r="H76" i="69"/>
  <c r="B82" i="69"/>
  <c r="B121" i="69" s="1"/>
  <c r="G83" i="69"/>
  <c r="G122" i="69" s="1"/>
  <c r="D51" i="76"/>
  <c r="D87" i="76" s="1"/>
  <c r="O87" i="76" s="1"/>
  <c r="Q87" i="76" s="1"/>
  <c r="D75" i="69"/>
  <c r="C82" i="69"/>
  <c r="C121" i="69" s="1"/>
  <c r="H83" i="69"/>
  <c r="H122" i="69" s="1"/>
  <c r="E51" i="76"/>
  <c r="E87" i="76" s="1"/>
  <c r="E75" i="69"/>
  <c r="D82" i="69"/>
  <c r="D121" i="69" s="1"/>
  <c r="B52" i="76"/>
  <c r="B36" i="76"/>
  <c r="P163" i="69"/>
  <c r="O163" i="69"/>
  <c r="P91" i="78"/>
  <c r="R91" i="78" s="1"/>
  <c r="U82" i="70"/>
  <c r="T82" i="70"/>
  <c r="X86" i="70"/>
  <c r="U83" i="70"/>
  <c r="T88" i="70"/>
  <c r="R86" i="70"/>
  <c r="T86" i="70"/>
  <c r="V87" i="70"/>
  <c r="T83" i="70"/>
  <c r="S83" i="70"/>
  <c r="U88" i="70"/>
  <c r="V88" i="70"/>
  <c r="U86" i="70"/>
  <c r="W83" i="70"/>
  <c r="W87" i="70"/>
  <c r="R87" i="70"/>
  <c r="W86" i="70"/>
  <c r="S82" i="70"/>
  <c r="W88" i="70"/>
  <c r="R82" i="70"/>
  <c r="S87" i="70"/>
  <c r="V82" i="70"/>
  <c r="V86" i="70"/>
  <c r="X88" i="70"/>
  <c r="S88" i="70"/>
  <c r="S86" i="70"/>
  <c r="X87" i="70"/>
  <c r="X82" i="70"/>
  <c r="U87" i="70"/>
  <c r="R83" i="70"/>
  <c r="W82" i="70"/>
  <c r="X83" i="70"/>
  <c r="R88" i="70"/>
  <c r="T87" i="70"/>
  <c r="V83" i="70"/>
  <c r="U110" i="70"/>
  <c r="T110" i="70"/>
  <c r="X114" i="70"/>
  <c r="U111" i="70"/>
  <c r="T116" i="70"/>
  <c r="R114" i="70"/>
  <c r="T114" i="70"/>
  <c r="V115" i="70"/>
  <c r="T111" i="70"/>
  <c r="S111" i="70"/>
  <c r="U116" i="70"/>
  <c r="V116" i="70"/>
  <c r="U114" i="70"/>
  <c r="W111" i="70"/>
  <c r="W115" i="70"/>
  <c r="R115" i="70"/>
  <c r="W114" i="70"/>
  <c r="S110" i="70"/>
  <c r="W116" i="70"/>
  <c r="R110" i="70"/>
  <c r="S115" i="70"/>
  <c r="V110" i="70"/>
  <c r="V114" i="70"/>
  <c r="X116" i="70"/>
  <c r="S116" i="70"/>
  <c r="S114" i="70"/>
  <c r="X115" i="70"/>
  <c r="X110" i="70"/>
  <c r="U115" i="70"/>
  <c r="R111" i="70"/>
  <c r="W110" i="70"/>
  <c r="X111" i="70"/>
  <c r="R116" i="70"/>
  <c r="T115" i="70"/>
  <c r="V111" i="70"/>
  <c r="AA56" i="43" a="1"/>
  <c r="AF56" i="43" s="1"/>
  <c r="B144" i="41"/>
  <c r="E88" i="41"/>
  <c r="E89" i="46"/>
  <c r="E128" i="46" s="1"/>
  <c r="G89" i="46"/>
  <c r="G128" i="46" s="1"/>
  <c r="H89" i="46"/>
  <c r="H128" i="46" s="1"/>
  <c r="F89" i="46"/>
  <c r="F128" i="46" s="1"/>
  <c r="C89" i="46"/>
  <c r="C128" i="46" s="1"/>
  <c r="D89" i="46"/>
  <c r="D128" i="46" s="1"/>
  <c r="O128" i="46" s="1"/>
  <c r="Q128" i="46" s="1"/>
  <c r="B89" i="46"/>
  <c r="B128" i="46" s="1"/>
  <c r="G77" i="46"/>
  <c r="G115" i="46" s="1"/>
  <c r="G78" i="46"/>
  <c r="G118" i="46" s="1"/>
  <c r="E77" i="46"/>
  <c r="E115" i="46" s="1"/>
  <c r="C78" i="46"/>
  <c r="C118" i="46" s="1"/>
  <c r="E78" i="46"/>
  <c r="E118" i="46" s="1"/>
  <c r="F77" i="46"/>
  <c r="F115" i="46" s="1"/>
  <c r="F78" i="46"/>
  <c r="F118" i="46" s="1"/>
  <c r="H78" i="46"/>
  <c r="H118" i="46" s="1"/>
  <c r="D77" i="46"/>
  <c r="D115" i="46" s="1"/>
  <c r="O115" i="46" s="1"/>
  <c r="Q115" i="46" s="1"/>
  <c r="H77" i="46"/>
  <c r="H115" i="46" s="1"/>
  <c r="C77" i="46"/>
  <c r="C115" i="46" s="1"/>
  <c r="D78" i="46"/>
  <c r="D118" i="46" s="1"/>
  <c r="O118" i="46" s="1"/>
  <c r="Q118" i="46" s="1"/>
  <c r="B78" i="46"/>
  <c r="B118" i="46" s="1"/>
  <c r="B77" i="46"/>
  <c r="B115" i="46" s="1"/>
  <c r="G75" i="46"/>
  <c r="G114" i="46" s="1"/>
  <c r="E75" i="46"/>
  <c r="E114" i="46" s="1"/>
  <c r="C75" i="46"/>
  <c r="C114" i="46" s="1"/>
  <c r="D75" i="46"/>
  <c r="D114" i="46" s="1"/>
  <c r="H75" i="46"/>
  <c r="H114" i="46" s="1"/>
  <c r="F75" i="46"/>
  <c r="F114" i="46" s="1"/>
  <c r="B75" i="46"/>
  <c r="B114" i="46" s="1"/>
  <c r="N56" i="43" a="1"/>
  <c r="N56" i="43" s="1"/>
  <c r="D91" i="46"/>
  <c r="E91" i="46"/>
  <c r="F91" i="46"/>
  <c r="B142" i="41"/>
  <c r="G142" i="41" s="1"/>
  <c r="C89" i="41"/>
  <c r="E86" i="41"/>
  <c r="G91" i="46"/>
  <c r="H91" i="46"/>
  <c r="I91" i="46"/>
  <c r="I92" i="46" s="1"/>
  <c r="I54" i="46"/>
  <c r="B143" i="41"/>
  <c r="D143" i="41" s="1"/>
  <c r="E87" i="41"/>
  <c r="B91" i="46"/>
  <c r="C91" i="46"/>
  <c r="F135" i="41"/>
  <c r="N19" i="156" l="1"/>
  <c r="N36" i="156" s="1"/>
  <c r="N19" i="155"/>
  <c r="N36" i="155" s="1"/>
  <c r="M19" i="156"/>
  <c r="M36" i="156" s="1"/>
  <c r="M19" i="155"/>
  <c r="M36" i="155" s="1"/>
  <c r="N19" i="152"/>
  <c r="N36" i="152" s="1"/>
  <c r="N19" i="154"/>
  <c r="N36" i="154" s="1"/>
  <c r="N19" i="153"/>
  <c r="N36" i="153" s="1"/>
  <c r="M19" i="152"/>
  <c r="M36" i="152" s="1"/>
  <c r="M19" i="154"/>
  <c r="M36" i="154" s="1"/>
  <c r="M19" i="153"/>
  <c r="M36" i="153" s="1"/>
  <c r="N19" i="149"/>
  <c r="N36" i="149" s="1"/>
  <c r="N19" i="151"/>
  <c r="N36" i="151" s="1"/>
  <c r="M19" i="149"/>
  <c r="M36" i="149" s="1"/>
  <c r="M19" i="151"/>
  <c r="M36" i="151" s="1"/>
  <c r="M19" i="75"/>
  <c r="M36" i="75" s="1"/>
  <c r="M19" i="144"/>
  <c r="M36" i="144" s="1"/>
  <c r="M19" i="84"/>
  <c r="M36" i="84" s="1"/>
  <c r="M19" i="145"/>
  <c r="M36" i="145" s="1"/>
  <c r="M19" i="146"/>
  <c r="M36" i="146" s="1"/>
  <c r="M19" i="85"/>
  <c r="M36" i="85" s="1"/>
  <c r="M19" i="147"/>
  <c r="M36" i="147" s="1"/>
  <c r="M19" i="148"/>
  <c r="M36" i="148" s="1"/>
  <c r="M19" i="143"/>
  <c r="M36" i="143" s="1"/>
  <c r="N19" i="83"/>
  <c r="N36" i="83" s="1"/>
  <c r="N19" i="143"/>
  <c r="N36" i="143" s="1"/>
  <c r="N19" i="144"/>
  <c r="N36" i="144" s="1"/>
  <c r="N19" i="84"/>
  <c r="N36" i="84" s="1"/>
  <c r="N19" i="145"/>
  <c r="N36" i="145" s="1"/>
  <c r="N19" i="146"/>
  <c r="N36" i="146" s="1"/>
  <c r="N19" i="85"/>
  <c r="N36" i="85" s="1"/>
  <c r="N19" i="147"/>
  <c r="N36" i="147" s="1"/>
  <c r="N19" i="148"/>
  <c r="N36" i="148" s="1"/>
  <c r="N19" i="75"/>
  <c r="N36" i="75" s="1"/>
  <c r="M19" i="83"/>
  <c r="M36" i="83" s="1"/>
  <c r="M19" i="103"/>
  <c r="N19" i="103"/>
  <c r="AJ26" i="75"/>
  <c r="Z22" i="83"/>
  <c r="Z22" i="75"/>
  <c r="Z40" i="26"/>
  <c r="AA39" i="26"/>
  <c r="AA40" i="26" s="1"/>
  <c r="AK163" i="69"/>
  <c r="AM163" i="69"/>
  <c r="AL163" i="69"/>
  <c r="AN163" i="69"/>
  <c r="AG163" i="69"/>
  <c r="AI163" i="69"/>
  <c r="AH163" i="69"/>
  <c r="AJ163" i="69"/>
  <c r="AC163" i="69"/>
  <c r="AE163" i="69"/>
  <c r="AD163" i="69"/>
  <c r="AF163" i="69"/>
  <c r="Y163" i="69"/>
  <c r="AA163" i="69"/>
  <c r="Z163" i="69"/>
  <c r="AB163" i="69"/>
  <c r="U163" i="69"/>
  <c r="W163" i="69"/>
  <c r="V163" i="69"/>
  <c r="X163" i="69"/>
  <c r="Q163" i="69"/>
  <c r="S163" i="69"/>
  <c r="R163" i="69"/>
  <c r="T163" i="69"/>
  <c r="L23" i="103"/>
  <c r="L10" i="103"/>
  <c r="P23" i="103"/>
  <c r="O23" i="103"/>
  <c r="V10" i="103"/>
  <c r="L13" i="103"/>
  <c r="C95" i="41"/>
  <c r="C101" i="41" s="1"/>
  <c r="C151" i="41"/>
  <c r="C50" i="76"/>
  <c r="G50" i="76"/>
  <c r="E50" i="76"/>
  <c r="H50" i="76"/>
  <c r="F50" i="76"/>
  <c r="B50" i="76"/>
  <c r="D50" i="76"/>
  <c r="B109" i="69"/>
  <c r="B110" i="69"/>
  <c r="B153" i="69" s="1"/>
  <c r="C111" i="69"/>
  <c r="C112" i="69"/>
  <c r="C154" i="69" s="1"/>
  <c r="D109" i="69"/>
  <c r="D110" i="69"/>
  <c r="D153" i="69" s="1"/>
  <c r="O153" i="69" s="1"/>
  <c r="C113" i="69"/>
  <c r="C114" i="69"/>
  <c r="C157" i="69" s="1"/>
  <c r="G109" i="69"/>
  <c r="G110" i="69"/>
  <c r="G153" i="69" s="1"/>
  <c r="G113" i="69"/>
  <c r="G114" i="69"/>
  <c r="G157" i="69" s="1"/>
  <c r="D112" i="69"/>
  <c r="D154" i="69" s="1"/>
  <c r="O154" i="69" s="1"/>
  <c r="D111" i="69"/>
  <c r="H111" i="69"/>
  <c r="H112" i="69"/>
  <c r="H154" i="69" s="1"/>
  <c r="H113" i="69"/>
  <c r="H114" i="69"/>
  <c r="H157" i="69" s="1"/>
  <c r="E114" i="69"/>
  <c r="E157" i="69" s="1"/>
  <c r="C109" i="69"/>
  <c r="C110" i="69"/>
  <c r="C153" i="69" s="1"/>
  <c r="E112" i="69"/>
  <c r="E154" i="69" s="1"/>
  <c r="D113" i="69"/>
  <c r="D114" i="69"/>
  <c r="D157" i="69" s="1"/>
  <c r="O157" i="69" s="1"/>
  <c r="H109" i="69"/>
  <c r="H110" i="69"/>
  <c r="H153" i="69" s="1"/>
  <c r="F112" i="69"/>
  <c r="F154" i="69" s="1"/>
  <c r="P154" i="69" s="1"/>
  <c r="B113" i="69"/>
  <c r="B114" i="69"/>
  <c r="B157" i="69" s="1"/>
  <c r="E110" i="69"/>
  <c r="E153" i="69" s="1"/>
  <c r="F110" i="69"/>
  <c r="F153" i="69" s="1"/>
  <c r="P153" i="69" s="1"/>
  <c r="G111" i="69"/>
  <c r="G112" i="69"/>
  <c r="G154" i="69" s="1"/>
  <c r="B111" i="69"/>
  <c r="B112" i="69"/>
  <c r="B154" i="69" s="1"/>
  <c r="F114" i="69"/>
  <c r="F157" i="69" s="1"/>
  <c r="P157" i="69" s="1"/>
  <c r="R161" i="70"/>
  <c r="S153" i="70"/>
  <c r="R159" i="70"/>
  <c r="S160" i="70"/>
  <c r="T160" i="70"/>
  <c r="X161" i="70"/>
  <c r="V161" i="70"/>
  <c r="V155" i="70"/>
  <c r="V154" i="70"/>
  <c r="V159" i="70"/>
  <c r="U161" i="70"/>
  <c r="V153" i="70"/>
  <c r="S154" i="70"/>
  <c r="S155" i="70"/>
  <c r="T154" i="70"/>
  <c r="T155" i="70"/>
  <c r="X155" i="70"/>
  <c r="X154" i="70"/>
  <c r="R153" i="70"/>
  <c r="V160" i="70"/>
  <c r="W153" i="70"/>
  <c r="W161" i="70"/>
  <c r="T159" i="70"/>
  <c r="R154" i="70"/>
  <c r="R155" i="70"/>
  <c r="U160" i="70"/>
  <c r="W159" i="70"/>
  <c r="T161" i="70"/>
  <c r="X153" i="70"/>
  <c r="R160" i="70"/>
  <c r="U155" i="70"/>
  <c r="U154" i="70"/>
  <c r="X160" i="70"/>
  <c r="W160" i="70"/>
  <c r="X159" i="70"/>
  <c r="S159" i="70"/>
  <c r="W155" i="70"/>
  <c r="W154" i="70"/>
  <c r="T153" i="70"/>
  <c r="S161" i="70"/>
  <c r="U159" i="70"/>
  <c r="U153" i="70"/>
  <c r="P128" i="46"/>
  <c r="R128" i="46" s="1"/>
  <c r="P118" i="46"/>
  <c r="R118" i="46" s="1"/>
  <c r="P115" i="46"/>
  <c r="R115" i="46" s="1"/>
  <c r="P114" i="46"/>
  <c r="R114" i="46" s="1"/>
  <c r="O114" i="46"/>
  <c r="Q114" i="46" s="1"/>
  <c r="I124" i="46"/>
  <c r="I132" i="46" s="1"/>
  <c r="H86" i="46"/>
  <c r="E86" i="46"/>
  <c r="G86" i="46"/>
  <c r="D86" i="46"/>
  <c r="C86" i="46"/>
  <c r="F86" i="46"/>
  <c r="H88" i="46"/>
  <c r="E88" i="46"/>
  <c r="G88" i="46"/>
  <c r="D88" i="46"/>
  <c r="C88" i="46"/>
  <c r="F88" i="46"/>
  <c r="B88" i="46"/>
  <c r="B86" i="46"/>
  <c r="AF57" i="43"/>
  <c r="AB58" i="43"/>
  <c r="AF60" i="43"/>
  <c r="AC57" i="43"/>
  <c r="AE58" i="43"/>
  <c r="AC59" i="43"/>
  <c r="AC60" i="43"/>
  <c r="AC58" i="43"/>
  <c r="AB57" i="43"/>
  <c r="AB59" i="43"/>
  <c r="AD57" i="43"/>
  <c r="AE59" i="43"/>
  <c r="AA59" i="43"/>
  <c r="AA58" i="43"/>
  <c r="AA57" i="43"/>
  <c r="AB60" i="43"/>
  <c r="AD56" i="43"/>
  <c r="AB56" i="43"/>
  <c r="AE60" i="43"/>
  <c r="AA60" i="43"/>
  <c r="AF58" i="43"/>
  <c r="AE56" i="43"/>
  <c r="AC56" i="43"/>
  <c r="AF59" i="43"/>
  <c r="AD59" i="43"/>
  <c r="AE57" i="43"/>
  <c r="AA56" i="43"/>
  <c r="AD60" i="43"/>
  <c r="AD58" i="43"/>
  <c r="G95" i="41"/>
  <c r="G101" i="41" s="1"/>
  <c r="G151" i="41"/>
  <c r="Q57" i="43"/>
  <c r="P58" i="43"/>
  <c r="R56" i="43"/>
  <c r="N59" i="43"/>
  <c r="O56" i="43"/>
  <c r="Q63" i="43" s="1"/>
  <c r="N60" i="43"/>
  <c r="S58" i="43"/>
  <c r="S56" i="43"/>
  <c r="S57" i="43"/>
  <c r="R58" i="43"/>
  <c r="R59" i="43"/>
  <c r="O57" i="43"/>
  <c r="R60" i="43"/>
  <c r="P56" i="43"/>
  <c r="P60" i="43"/>
  <c r="N58" i="43"/>
  <c r="Q59" i="43"/>
  <c r="O63" i="43"/>
  <c r="N57" i="43"/>
  <c r="O58" i="43"/>
  <c r="Q60" i="43"/>
  <c r="S59" i="43"/>
  <c r="Q58" i="43"/>
  <c r="O59" i="43"/>
  <c r="P57" i="43"/>
  <c r="P59" i="43"/>
  <c r="D144" i="41"/>
  <c r="E144" i="41" s="1"/>
  <c r="F144" i="41" s="1"/>
  <c r="F145" i="41" s="1"/>
  <c r="B151" i="41"/>
  <c r="B95" i="41"/>
  <c r="B101" i="41" s="1"/>
  <c r="E95" i="41"/>
  <c r="E101" i="41" s="1"/>
  <c r="E151" i="41"/>
  <c r="C93" i="41"/>
  <c r="C99" i="41" s="1"/>
  <c r="C81" i="46"/>
  <c r="C82" i="46"/>
  <c r="C90" i="46"/>
  <c r="C76" i="46"/>
  <c r="E93" i="41"/>
  <c r="E99" i="41" s="1"/>
  <c r="D93" i="41"/>
  <c r="D99" i="41" s="1"/>
  <c r="D71" i="41"/>
  <c r="D150" i="41" s="1"/>
  <c r="F95" i="41"/>
  <c r="F101" i="41" s="1"/>
  <c r="F151" i="41"/>
  <c r="D95" i="41"/>
  <c r="D101" i="41" s="1"/>
  <c r="D151" i="41"/>
  <c r="B71" i="41"/>
  <c r="B149" i="41" s="1"/>
  <c r="B93" i="41"/>
  <c r="B99" i="41" s="1"/>
  <c r="H95" i="41"/>
  <c r="H101" i="41" s="1"/>
  <c r="H151" i="41"/>
  <c r="I94" i="46"/>
  <c r="F90" i="46"/>
  <c r="H90" i="46"/>
  <c r="E90" i="46"/>
  <c r="G90" i="46"/>
  <c r="D90" i="46"/>
  <c r="B90" i="46"/>
  <c r="F81" i="46"/>
  <c r="F82" i="46"/>
  <c r="H81" i="46"/>
  <c r="H82" i="46"/>
  <c r="E81" i="46"/>
  <c r="E82" i="46"/>
  <c r="G81" i="46"/>
  <c r="G82" i="46"/>
  <c r="D81" i="46"/>
  <c r="D82" i="46"/>
  <c r="B82" i="46"/>
  <c r="B81" i="46"/>
  <c r="F76" i="46"/>
  <c r="H76" i="46"/>
  <c r="E76" i="46"/>
  <c r="G76" i="46"/>
  <c r="D76" i="46"/>
  <c r="B76" i="46"/>
  <c r="F94" i="41"/>
  <c r="F100" i="41" s="1"/>
  <c r="G94" i="41"/>
  <c r="G100" i="41" s="1"/>
  <c r="B94" i="41"/>
  <c r="B100" i="41" s="1"/>
  <c r="E94" i="41"/>
  <c r="E100" i="41" s="1"/>
  <c r="D94" i="41"/>
  <c r="D100" i="41" s="1"/>
  <c r="H94" i="41"/>
  <c r="H100" i="41" s="1"/>
  <c r="R57" i="43"/>
  <c r="Q56" i="43"/>
  <c r="O60" i="43"/>
  <c r="S60" i="43"/>
  <c r="E89" i="41"/>
  <c r="G71" i="41"/>
  <c r="G93" i="41"/>
  <c r="G99" i="41" s="1"/>
  <c r="H93" i="41"/>
  <c r="H99" i="41" s="1"/>
  <c r="H71" i="41"/>
  <c r="H150" i="41" s="1"/>
  <c r="F93" i="41"/>
  <c r="F99" i="41" s="1"/>
  <c r="C94" i="41"/>
  <c r="C100" i="41" s="1"/>
  <c r="C71" i="41"/>
  <c r="C149" i="41" s="1"/>
  <c r="E143" i="41"/>
  <c r="H143" i="41" s="1"/>
  <c r="B145" i="41"/>
  <c r="C145" i="41"/>
  <c r="M10" i="156" l="1"/>
  <c r="M10" i="155"/>
  <c r="L13" i="156"/>
  <c r="L13" i="155"/>
  <c r="V10" i="156"/>
  <c r="V10" i="155"/>
  <c r="N10" i="156"/>
  <c r="N10" i="155"/>
  <c r="O23" i="156"/>
  <c r="O23" i="155"/>
  <c r="M13" i="155"/>
  <c r="M13" i="156"/>
  <c r="N13" i="155"/>
  <c r="N13" i="156"/>
  <c r="P23" i="156"/>
  <c r="P23" i="155"/>
  <c r="L10" i="156"/>
  <c r="L10" i="155"/>
  <c r="L23" i="156"/>
  <c r="L23" i="155"/>
  <c r="M9" i="156"/>
  <c r="M9" i="155"/>
  <c r="N9" i="156"/>
  <c r="N9" i="155"/>
  <c r="N9" i="152"/>
  <c r="N9" i="154"/>
  <c r="N9" i="153"/>
  <c r="M9" i="152"/>
  <c r="M9" i="154"/>
  <c r="M9" i="153"/>
  <c r="M10" i="152"/>
  <c r="M10" i="154"/>
  <c r="M10" i="153"/>
  <c r="L13" i="152"/>
  <c r="L13" i="154"/>
  <c r="L13" i="153"/>
  <c r="V10" i="152"/>
  <c r="V10" i="154"/>
  <c r="V10" i="153"/>
  <c r="N10" i="152"/>
  <c r="N10" i="154"/>
  <c r="N10" i="153"/>
  <c r="O23" i="152"/>
  <c r="O23" i="154"/>
  <c r="O23" i="153"/>
  <c r="M13" i="152"/>
  <c r="M13" i="154"/>
  <c r="M13" i="153"/>
  <c r="N13" i="152"/>
  <c r="N13" i="154"/>
  <c r="N13" i="153"/>
  <c r="P23" i="152"/>
  <c r="P23" i="154"/>
  <c r="P23" i="153"/>
  <c r="L10" i="152"/>
  <c r="L10" i="154"/>
  <c r="L10" i="153"/>
  <c r="L23" i="152"/>
  <c r="L23" i="154"/>
  <c r="L23" i="153"/>
  <c r="V10" i="149"/>
  <c r="V10" i="151"/>
  <c r="N10" i="149"/>
  <c r="N10" i="151"/>
  <c r="O23" i="149"/>
  <c r="O23" i="151"/>
  <c r="M13" i="149"/>
  <c r="M13" i="151"/>
  <c r="N13" i="149"/>
  <c r="N13" i="151"/>
  <c r="P23" i="149"/>
  <c r="P23" i="151"/>
  <c r="L10" i="149"/>
  <c r="L10" i="151"/>
  <c r="L23" i="149"/>
  <c r="L23" i="151"/>
  <c r="M9" i="149"/>
  <c r="M9" i="151"/>
  <c r="N9" i="149"/>
  <c r="N9" i="151"/>
  <c r="M10" i="149"/>
  <c r="M10" i="151"/>
  <c r="L13" i="149"/>
  <c r="L13" i="151"/>
  <c r="V10" i="143"/>
  <c r="V10" i="144"/>
  <c r="V10" i="84"/>
  <c r="V10" i="145"/>
  <c r="V10" i="146"/>
  <c r="V10" i="85"/>
  <c r="V10" i="147"/>
  <c r="V10" i="148"/>
  <c r="V10" i="75"/>
  <c r="V10" i="83"/>
  <c r="N9" i="83"/>
  <c r="N9" i="144"/>
  <c r="N9" i="84"/>
  <c r="N9" i="145"/>
  <c r="N9" i="146"/>
  <c r="N9" i="85"/>
  <c r="N9" i="147"/>
  <c r="N9" i="148"/>
  <c r="N9" i="75"/>
  <c r="N9" i="143"/>
  <c r="N10" i="83"/>
  <c r="N10" i="144"/>
  <c r="N10" i="84"/>
  <c r="N10" i="145"/>
  <c r="N10" i="146"/>
  <c r="N10" i="85"/>
  <c r="N10" i="147"/>
  <c r="N10" i="148"/>
  <c r="N10" i="75"/>
  <c r="N10" i="143"/>
  <c r="M10" i="143"/>
  <c r="M10" i="144"/>
  <c r="M10" i="84"/>
  <c r="M10" i="145"/>
  <c r="M10" i="146"/>
  <c r="M10" i="85"/>
  <c r="M10" i="147"/>
  <c r="M10" i="148"/>
  <c r="M10" i="75"/>
  <c r="M13" i="143"/>
  <c r="M13" i="144"/>
  <c r="M13" i="84"/>
  <c r="M13" i="145"/>
  <c r="M13" i="146"/>
  <c r="M13" i="85"/>
  <c r="M13" i="147"/>
  <c r="M13" i="148"/>
  <c r="M13" i="75"/>
  <c r="N13" i="83"/>
  <c r="N13" i="144"/>
  <c r="N13" i="84"/>
  <c r="N13" i="145"/>
  <c r="N13" i="146"/>
  <c r="N13" i="85"/>
  <c r="N13" i="147"/>
  <c r="N13" i="148"/>
  <c r="N13" i="75"/>
  <c r="N13" i="143"/>
  <c r="M9" i="85"/>
  <c r="M9" i="144"/>
  <c r="M9" i="145"/>
  <c r="M9" i="84"/>
  <c r="M9" i="146"/>
  <c r="M9" i="147"/>
  <c r="M9" i="148"/>
  <c r="M9" i="75"/>
  <c r="M9" i="143"/>
  <c r="M13" i="83"/>
  <c r="M10" i="83"/>
  <c r="M9" i="83"/>
  <c r="N36" i="103"/>
  <c r="L13" i="147"/>
  <c r="L13" i="148"/>
  <c r="O23" i="147"/>
  <c r="O23" i="148"/>
  <c r="P23" i="147"/>
  <c r="P23" i="148"/>
  <c r="L10" i="147"/>
  <c r="L10" i="148"/>
  <c r="L23" i="147"/>
  <c r="L23" i="148"/>
  <c r="L13" i="145"/>
  <c r="L13" i="146"/>
  <c r="O23" i="145"/>
  <c r="O23" i="146"/>
  <c r="P23" i="145"/>
  <c r="P23" i="146"/>
  <c r="L10" i="145"/>
  <c r="L10" i="146"/>
  <c r="L23" i="145"/>
  <c r="L23" i="146"/>
  <c r="O23" i="143"/>
  <c r="O23" i="144"/>
  <c r="P23" i="143"/>
  <c r="P23" i="144"/>
  <c r="L10" i="143"/>
  <c r="L10" i="144"/>
  <c r="L23" i="143"/>
  <c r="L23" i="144"/>
  <c r="L13" i="143"/>
  <c r="L13" i="144"/>
  <c r="M13" i="103"/>
  <c r="M9" i="103"/>
  <c r="M10" i="103"/>
  <c r="N10" i="103"/>
  <c r="N13" i="103"/>
  <c r="N9" i="103"/>
  <c r="AL154" i="69"/>
  <c r="AN154" i="69"/>
  <c r="AL153" i="69"/>
  <c r="AN153" i="69"/>
  <c r="AK153" i="69"/>
  <c r="AM153" i="69"/>
  <c r="AK154" i="69"/>
  <c r="AM154" i="69"/>
  <c r="AL157" i="69"/>
  <c r="AN157" i="69"/>
  <c r="AK157" i="69"/>
  <c r="AM157" i="69"/>
  <c r="AG157" i="69"/>
  <c r="AI157" i="69"/>
  <c r="AH153" i="69"/>
  <c r="AJ153" i="69"/>
  <c r="AG153" i="69"/>
  <c r="AI153" i="69"/>
  <c r="AH154" i="69"/>
  <c r="AJ154" i="69"/>
  <c r="AG154" i="69"/>
  <c r="AI154" i="69"/>
  <c r="AH157" i="69"/>
  <c r="AJ157" i="69"/>
  <c r="AD157" i="69"/>
  <c r="AF157" i="69"/>
  <c r="AD153" i="69"/>
  <c r="AF153" i="69"/>
  <c r="AC153" i="69"/>
  <c r="AE153" i="69"/>
  <c r="AD154" i="69"/>
  <c r="AF154" i="69"/>
  <c r="AC154" i="69"/>
  <c r="AE154" i="69"/>
  <c r="AC157" i="69"/>
  <c r="AE157" i="69"/>
  <c r="Z153" i="69"/>
  <c r="AB153" i="69"/>
  <c r="Y153" i="69"/>
  <c r="AA153" i="69"/>
  <c r="Z154" i="69"/>
  <c r="AB154" i="69"/>
  <c r="Y154" i="69"/>
  <c r="AA154" i="69"/>
  <c r="Z157" i="69"/>
  <c r="AB157" i="69"/>
  <c r="Y157" i="69"/>
  <c r="AA157" i="69"/>
  <c r="V153" i="69"/>
  <c r="X153" i="69"/>
  <c r="U153" i="69"/>
  <c r="W153" i="69"/>
  <c r="V154" i="69"/>
  <c r="X154" i="69"/>
  <c r="U154" i="69"/>
  <c r="W154" i="69"/>
  <c r="V157" i="69"/>
  <c r="X157" i="69"/>
  <c r="U157" i="69"/>
  <c r="W157" i="69"/>
  <c r="R153" i="69"/>
  <c r="T153" i="69"/>
  <c r="Q153" i="69"/>
  <c r="S153" i="69"/>
  <c r="R154" i="69"/>
  <c r="T154" i="69"/>
  <c r="Q154" i="69"/>
  <c r="S154" i="69"/>
  <c r="R157" i="69"/>
  <c r="T157" i="69"/>
  <c r="Q157" i="69"/>
  <c r="S157" i="69"/>
  <c r="O23" i="83"/>
  <c r="O23" i="85"/>
  <c r="O23" i="75"/>
  <c r="O23" i="84"/>
  <c r="P23" i="83"/>
  <c r="P23" i="85"/>
  <c r="P23" i="75"/>
  <c r="P23" i="84"/>
  <c r="L13" i="83"/>
  <c r="L13" i="85"/>
  <c r="L13" i="84"/>
  <c r="L13" i="75"/>
  <c r="L10" i="83"/>
  <c r="L10" i="75"/>
  <c r="L10" i="85"/>
  <c r="L10" i="84"/>
  <c r="L23" i="85"/>
  <c r="L23" i="84"/>
  <c r="L23" i="75"/>
  <c r="L23" i="83"/>
  <c r="M36" i="103"/>
  <c r="K9" i="103"/>
  <c r="K10" i="103"/>
  <c r="K13" i="103"/>
  <c r="L9" i="103"/>
  <c r="K23" i="103"/>
  <c r="U10" i="103"/>
  <c r="B53" i="76"/>
  <c r="B60" i="76" s="1"/>
  <c r="B61" i="76" s="1"/>
  <c r="B62" i="76" s="1"/>
  <c r="B63" i="76" s="1"/>
  <c r="B64" i="76" s="1"/>
  <c r="B65" i="76" s="1"/>
  <c r="B66" i="76" s="1"/>
  <c r="B83" i="76"/>
  <c r="B91" i="76" s="1"/>
  <c r="F53" i="76"/>
  <c r="F60" i="76" s="1"/>
  <c r="F61" i="76" s="1"/>
  <c r="F62" i="76" s="1"/>
  <c r="F63" i="76" s="1"/>
  <c r="F64" i="76" s="1"/>
  <c r="F65" i="76" s="1"/>
  <c r="F66" i="76" s="1"/>
  <c r="F83" i="76"/>
  <c r="D53" i="76"/>
  <c r="D60" i="76" s="1"/>
  <c r="D61" i="76" s="1"/>
  <c r="D62" i="76" s="1"/>
  <c r="D63" i="76" s="1"/>
  <c r="D64" i="76" s="1"/>
  <c r="D65" i="76" s="1"/>
  <c r="D66" i="76" s="1"/>
  <c r="D83" i="76"/>
  <c r="H53" i="76"/>
  <c r="H60" i="76" s="1"/>
  <c r="H61" i="76" s="1"/>
  <c r="H62" i="76" s="1"/>
  <c r="H63" i="76" s="1"/>
  <c r="H64" i="76" s="1"/>
  <c r="H65" i="76" s="1"/>
  <c r="H66" i="76" s="1"/>
  <c r="H83" i="76"/>
  <c r="H91" i="76" s="1"/>
  <c r="E53" i="76"/>
  <c r="E60" i="76" s="1"/>
  <c r="E61" i="76" s="1"/>
  <c r="E62" i="76" s="1"/>
  <c r="E63" i="76" s="1"/>
  <c r="E64" i="76" s="1"/>
  <c r="E65" i="76" s="1"/>
  <c r="E66" i="76" s="1"/>
  <c r="E83" i="76"/>
  <c r="E91" i="76" s="1"/>
  <c r="G53" i="76"/>
  <c r="G60" i="76" s="1"/>
  <c r="G61" i="76" s="1"/>
  <c r="G62" i="76" s="1"/>
  <c r="G63" i="76" s="1"/>
  <c r="G64" i="76" s="1"/>
  <c r="G65" i="76" s="1"/>
  <c r="G66" i="76" s="1"/>
  <c r="G83" i="76"/>
  <c r="G91" i="76" s="1"/>
  <c r="C53" i="76"/>
  <c r="C60" i="76" s="1"/>
  <c r="C61" i="76" s="1"/>
  <c r="C62" i="76" s="1"/>
  <c r="C63" i="76" s="1"/>
  <c r="C64" i="76" s="1"/>
  <c r="C65" i="76" s="1"/>
  <c r="C66" i="76" s="1"/>
  <c r="C83" i="76"/>
  <c r="C91" i="76" s="1"/>
  <c r="B124" i="46"/>
  <c r="D124" i="46"/>
  <c r="O124" i="46" s="1"/>
  <c r="Q124" i="46" s="1"/>
  <c r="H124" i="46"/>
  <c r="F124" i="46"/>
  <c r="C124" i="46"/>
  <c r="G124" i="46"/>
  <c r="E124" i="46"/>
  <c r="E59" i="41"/>
  <c r="D149" i="41"/>
  <c r="B150" i="41"/>
  <c r="C102" i="41"/>
  <c r="D102" i="41"/>
  <c r="E102" i="41"/>
  <c r="B102" i="41"/>
  <c r="G102" i="41"/>
  <c r="F102" i="41"/>
  <c r="H102" i="41"/>
  <c r="H149" i="41"/>
  <c r="G150" i="41"/>
  <c r="G149" i="41"/>
  <c r="C150" i="41"/>
  <c r="D156" i="41"/>
  <c r="D179" i="41" s="1"/>
  <c r="N179" i="41" s="1"/>
  <c r="H156" i="41"/>
  <c r="H179" i="41" s="1"/>
  <c r="H144" i="41"/>
  <c r="D142" i="41"/>
  <c r="Z23" i="154" l="1"/>
  <c r="AH23" i="154" s="1"/>
  <c r="Z23" i="153"/>
  <c r="Z23" i="156"/>
  <c r="Z23" i="152"/>
  <c r="AG23" i="152" s="1"/>
  <c r="Z23" i="155"/>
  <c r="AH23" i="155" s="1"/>
  <c r="K10" i="156"/>
  <c r="K10" i="155"/>
  <c r="L9" i="156"/>
  <c r="L9" i="155"/>
  <c r="K13" i="156"/>
  <c r="K13" i="155"/>
  <c r="K9" i="156"/>
  <c r="K9" i="155"/>
  <c r="U10" i="156"/>
  <c r="U10" i="155"/>
  <c r="K23" i="156"/>
  <c r="Y23" i="156" s="1"/>
  <c r="K23" i="155"/>
  <c r="Y23" i="155" s="1"/>
  <c r="K9" i="152"/>
  <c r="K9" i="154"/>
  <c r="K9" i="153"/>
  <c r="K13" i="152"/>
  <c r="K13" i="154"/>
  <c r="K13" i="153"/>
  <c r="K10" i="152"/>
  <c r="K10" i="154"/>
  <c r="K10" i="153"/>
  <c r="U10" i="152"/>
  <c r="U10" i="154"/>
  <c r="U10" i="153"/>
  <c r="K23" i="152"/>
  <c r="Y23" i="152" s="1"/>
  <c r="AF23" i="152" s="1"/>
  <c r="K23" i="154"/>
  <c r="Y23" i="154" s="1"/>
  <c r="K23" i="153"/>
  <c r="Y23" i="153" s="1"/>
  <c r="L9" i="152"/>
  <c r="L9" i="154"/>
  <c r="L9" i="153"/>
  <c r="Z23" i="149"/>
  <c r="AH23" i="149" s="1"/>
  <c r="K13" i="149"/>
  <c r="K13" i="151"/>
  <c r="K10" i="149"/>
  <c r="K10" i="151"/>
  <c r="K9" i="149"/>
  <c r="K9" i="151"/>
  <c r="Z23" i="151"/>
  <c r="U10" i="149"/>
  <c r="U10" i="151"/>
  <c r="K23" i="149"/>
  <c r="Y23" i="149" s="1"/>
  <c r="AF23" i="149" s="1"/>
  <c r="K23" i="151"/>
  <c r="Y23" i="151" s="1"/>
  <c r="L9" i="149"/>
  <c r="L9" i="151"/>
  <c r="U10" i="144"/>
  <c r="U10" i="84"/>
  <c r="U10" i="145"/>
  <c r="U10" i="146"/>
  <c r="U10" i="85"/>
  <c r="U10" i="147"/>
  <c r="U10" i="148"/>
  <c r="U10" i="75"/>
  <c r="U10" i="143"/>
  <c r="U10" i="83"/>
  <c r="Z23" i="147"/>
  <c r="K23" i="147"/>
  <c r="Y23" i="147" s="1"/>
  <c r="K23" i="148"/>
  <c r="Y23" i="148" s="1"/>
  <c r="L9" i="147"/>
  <c r="L9" i="148"/>
  <c r="K13" i="147"/>
  <c r="K13" i="148"/>
  <c r="K10" i="147"/>
  <c r="K10" i="148"/>
  <c r="K9" i="147"/>
  <c r="K9" i="148"/>
  <c r="Z23" i="148"/>
  <c r="Z23" i="144"/>
  <c r="Z23" i="143"/>
  <c r="Z23" i="146"/>
  <c r="K23" i="145"/>
  <c r="Y23" i="145" s="1"/>
  <c r="K23" i="146"/>
  <c r="Y23" i="146" s="1"/>
  <c r="L9" i="145"/>
  <c r="L9" i="146"/>
  <c r="K10" i="145"/>
  <c r="K10" i="146"/>
  <c r="K9" i="145"/>
  <c r="K9" i="146"/>
  <c r="Z23" i="145"/>
  <c r="K13" i="145"/>
  <c r="K13" i="146"/>
  <c r="K13" i="143"/>
  <c r="K13" i="144"/>
  <c r="K10" i="143"/>
  <c r="K10" i="144"/>
  <c r="L9" i="143"/>
  <c r="L9" i="144"/>
  <c r="K9" i="143"/>
  <c r="K9" i="144"/>
  <c r="K23" i="143"/>
  <c r="Y23" i="143" s="1"/>
  <c r="K23" i="144"/>
  <c r="Y23" i="144" s="1"/>
  <c r="Z23" i="75"/>
  <c r="Z23" i="83"/>
  <c r="K9" i="83"/>
  <c r="K9" i="85"/>
  <c r="K9" i="84"/>
  <c r="K9" i="75"/>
  <c r="L9" i="83"/>
  <c r="L9" i="85"/>
  <c r="L9" i="84"/>
  <c r="L9" i="75"/>
  <c r="K23" i="85"/>
  <c r="K23" i="84"/>
  <c r="K23" i="75"/>
  <c r="Y23" i="75" s="1"/>
  <c r="K13" i="83"/>
  <c r="K13" i="85"/>
  <c r="K13" i="84"/>
  <c r="K13" i="75"/>
  <c r="K10" i="83"/>
  <c r="K10" i="75"/>
  <c r="K10" i="85"/>
  <c r="K10" i="84"/>
  <c r="K23" i="83"/>
  <c r="Y23" i="83" s="1"/>
  <c r="L19" i="103"/>
  <c r="E60" i="41"/>
  <c r="E61" i="41" s="1"/>
  <c r="F71" i="41" s="1"/>
  <c r="F150" i="41" s="1"/>
  <c r="F156" i="41" s="1"/>
  <c r="F179" i="41" s="1"/>
  <c r="O179" i="41" s="1"/>
  <c r="P83" i="76"/>
  <c r="R83" i="76" s="1"/>
  <c r="F91" i="76"/>
  <c r="P91" i="76" s="1"/>
  <c r="R91" i="76" s="1"/>
  <c r="O83" i="76"/>
  <c r="Q83" i="76" s="1"/>
  <c r="D91" i="76"/>
  <c r="O91" i="76" s="1"/>
  <c r="Q91" i="76" s="1"/>
  <c r="N197" i="41"/>
  <c r="P197" i="41" s="1"/>
  <c r="C156" i="41"/>
  <c r="C179" i="41" s="1"/>
  <c r="G156" i="41"/>
  <c r="G179" i="41" s="1"/>
  <c r="B156" i="41"/>
  <c r="B179" i="41" s="1"/>
  <c r="P124" i="46"/>
  <c r="R124" i="46" s="1"/>
  <c r="H157" i="41"/>
  <c r="D157" i="41"/>
  <c r="F157" i="41"/>
  <c r="C157" i="41"/>
  <c r="E157" i="41"/>
  <c r="G157" i="41"/>
  <c r="B157" i="41"/>
  <c r="D145" i="41"/>
  <c r="E142" i="41"/>
  <c r="E145" i="41" s="1"/>
  <c r="AG23" i="154" l="1"/>
  <c r="AJ23" i="154" s="1"/>
  <c r="AH23" i="152"/>
  <c r="AJ23" i="152" s="1"/>
  <c r="AG23" i="155"/>
  <c r="AJ23" i="155" s="1"/>
  <c r="AE23" i="152"/>
  <c r="AI23" i="152" s="1"/>
  <c r="AE23" i="155"/>
  <c r="AF23" i="155"/>
  <c r="L19" i="156"/>
  <c r="L36" i="156" s="1"/>
  <c r="L19" i="155"/>
  <c r="L36" i="155" s="1"/>
  <c r="L19" i="152"/>
  <c r="L36" i="152" s="1"/>
  <c r="L19" i="154"/>
  <c r="L36" i="154" s="1"/>
  <c r="L19" i="153"/>
  <c r="L36" i="153" s="1"/>
  <c r="AF23" i="154"/>
  <c r="AE23" i="154"/>
  <c r="AG23" i="149"/>
  <c r="AJ23" i="149" s="1"/>
  <c r="AE23" i="149"/>
  <c r="AI23" i="149" s="1"/>
  <c r="AG23" i="151"/>
  <c r="AH23" i="151"/>
  <c r="L19" i="149"/>
  <c r="L36" i="149" s="1"/>
  <c r="L19" i="151"/>
  <c r="L36" i="151" s="1"/>
  <c r="AE23" i="151"/>
  <c r="AF23" i="151"/>
  <c r="L19" i="147"/>
  <c r="L36" i="147" s="1"/>
  <c r="L19" i="148"/>
  <c r="L36" i="148" s="1"/>
  <c r="L19" i="145"/>
  <c r="L36" i="145" s="1"/>
  <c r="L19" i="146"/>
  <c r="L36" i="146" s="1"/>
  <c r="L19" i="143"/>
  <c r="L36" i="143" s="1"/>
  <c r="L19" i="144"/>
  <c r="L36" i="144" s="1"/>
  <c r="L19" i="75"/>
  <c r="L36" i="75" s="1"/>
  <c r="L19" i="85"/>
  <c r="L36" i="85" s="1"/>
  <c r="L19" i="84"/>
  <c r="L36" i="84" s="1"/>
  <c r="L36" i="103"/>
  <c r="L19" i="83"/>
  <c r="L36" i="83" s="1"/>
  <c r="P19" i="103"/>
  <c r="O19" i="103"/>
  <c r="K19" i="103"/>
  <c r="H20" i="103"/>
  <c r="F149" i="41"/>
  <c r="E71" i="41"/>
  <c r="E149" i="41" s="1"/>
  <c r="O197" i="41"/>
  <c r="Q197" i="41" s="1"/>
  <c r="G180" i="41"/>
  <c r="B180" i="41"/>
  <c r="F180" i="41"/>
  <c r="O180" i="41" s="1"/>
  <c r="D180" i="41"/>
  <c r="N180" i="41" s="1"/>
  <c r="E180" i="41"/>
  <c r="C180" i="41"/>
  <c r="H180" i="41"/>
  <c r="H142" i="41"/>
  <c r="AI23" i="155" l="1"/>
  <c r="AI23" i="154"/>
  <c r="O19" i="155"/>
  <c r="O19" i="156"/>
  <c r="P19" i="156"/>
  <c r="P19" i="155"/>
  <c r="H20" i="156"/>
  <c r="Z20" i="156" s="1"/>
  <c r="H20" i="155"/>
  <c r="Z20" i="155" s="1"/>
  <c r="K19" i="156"/>
  <c r="K36" i="156" s="1"/>
  <c r="K19" i="155"/>
  <c r="K36" i="155" s="1"/>
  <c r="H20" i="152"/>
  <c r="Z20" i="152" s="1"/>
  <c r="AH20" i="152" s="1"/>
  <c r="H20" i="154"/>
  <c r="Z20" i="154" s="1"/>
  <c r="H20" i="153"/>
  <c r="Z20" i="153" s="1"/>
  <c r="K19" i="152"/>
  <c r="K36" i="152" s="1"/>
  <c r="K19" i="154"/>
  <c r="K36" i="154" s="1"/>
  <c r="K19" i="153"/>
  <c r="K36" i="153" s="1"/>
  <c r="O19" i="152"/>
  <c r="O36" i="152" s="1"/>
  <c r="O19" i="154"/>
  <c r="O19" i="153"/>
  <c r="P19" i="152"/>
  <c r="P36" i="152" s="1"/>
  <c r="P19" i="154"/>
  <c r="P19" i="153"/>
  <c r="AI23" i="151"/>
  <c r="AJ23" i="151"/>
  <c r="H20" i="149"/>
  <c r="Z20" i="149" s="1"/>
  <c r="AG20" i="149" s="1"/>
  <c r="H20" i="151"/>
  <c r="Z20" i="151" s="1"/>
  <c r="K19" i="149"/>
  <c r="K36" i="149" s="1"/>
  <c r="K19" i="151"/>
  <c r="K36" i="151" s="1"/>
  <c r="O19" i="149"/>
  <c r="O36" i="149" s="1"/>
  <c r="O19" i="151"/>
  <c r="P19" i="149"/>
  <c r="P28" i="149" s="1"/>
  <c r="P19" i="151"/>
  <c r="O19" i="147"/>
  <c r="O36" i="147" s="1"/>
  <c r="O19" i="148"/>
  <c r="H20" i="147"/>
  <c r="Z20" i="147" s="1"/>
  <c r="H20" i="148"/>
  <c r="Z20" i="148" s="1"/>
  <c r="P19" i="147"/>
  <c r="P36" i="147" s="1"/>
  <c r="P19" i="148"/>
  <c r="K19" i="147"/>
  <c r="K36" i="147" s="1"/>
  <c r="K19" i="148"/>
  <c r="K36" i="148" s="1"/>
  <c r="H20" i="145"/>
  <c r="Z20" i="145" s="1"/>
  <c r="H20" i="146"/>
  <c r="Z20" i="146" s="1"/>
  <c r="K19" i="145"/>
  <c r="K36" i="145" s="1"/>
  <c r="K19" i="146"/>
  <c r="K36" i="146" s="1"/>
  <c r="O19" i="145"/>
  <c r="O36" i="145" s="1"/>
  <c r="O19" i="146"/>
  <c r="P19" i="145"/>
  <c r="P36" i="145" s="1"/>
  <c r="P19" i="146"/>
  <c r="H20" i="143"/>
  <c r="Z20" i="143" s="1"/>
  <c r="H20" i="144"/>
  <c r="Z20" i="144" s="1"/>
  <c r="K19" i="143"/>
  <c r="K36" i="143" s="1"/>
  <c r="K19" i="144"/>
  <c r="K36" i="144" s="1"/>
  <c r="O19" i="143"/>
  <c r="O36" i="143" s="1"/>
  <c r="O19" i="144"/>
  <c r="P19" i="143"/>
  <c r="P36" i="143" s="1"/>
  <c r="P19" i="144"/>
  <c r="P19" i="83"/>
  <c r="P19" i="85"/>
  <c r="P19" i="75"/>
  <c r="P19" i="84"/>
  <c r="P36" i="84" s="1"/>
  <c r="O19" i="83"/>
  <c r="O36" i="83" s="1"/>
  <c r="O19" i="85"/>
  <c r="O19" i="75"/>
  <c r="O19" i="84"/>
  <c r="K19" i="75"/>
  <c r="K36" i="75" s="1"/>
  <c r="K19" i="85"/>
  <c r="K36" i="85" s="1"/>
  <c r="K19" i="84"/>
  <c r="K36" i="84" s="1"/>
  <c r="H20" i="85"/>
  <c r="H20" i="84"/>
  <c r="H20" i="75"/>
  <c r="Z20" i="75" s="1"/>
  <c r="K36" i="103"/>
  <c r="K19" i="83"/>
  <c r="K36" i="83" s="1"/>
  <c r="H20" i="83"/>
  <c r="Z20" i="83" s="1"/>
  <c r="O36" i="103"/>
  <c r="O28" i="103"/>
  <c r="G20" i="103"/>
  <c r="P36" i="103"/>
  <c r="P28" i="103"/>
  <c r="E150" i="41"/>
  <c r="E156" i="41" s="1"/>
  <c r="E179" i="41" s="1"/>
  <c r="N202" i="41"/>
  <c r="P202" i="41" s="1"/>
  <c r="O202" i="41"/>
  <c r="Q202" i="41" s="1"/>
  <c r="N195" i="41"/>
  <c r="P195" i="41" s="1"/>
  <c r="N189" i="41"/>
  <c r="P189" i="41" s="1"/>
  <c r="N192" i="41"/>
  <c r="P192" i="41" s="1"/>
  <c r="N191" i="41"/>
  <c r="P191" i="41" s="1"/>
  <c r="N194" i="41"/>
  <c r="P194" i="41" s="1"/>
  <c r="N188" i="41"/>
  <c r="P188" i="41" s="1"/>
  <c r="N190" i="41"/>
  <c r="P190" i="41" s="1"/>
  <c r="N193" i="41"/>
  <c r="P193" i="41" s="1"/>
  <c r="N187" i="41"/>
  <c r="P187" i="41" s="1"/>
  <c r="O195" i="41"/>
  <c r="Q195" i="41" s="1"/>
  <c r="O189" i="41"/>
  <c r="Q189" i="41" s="1"/>
  <c r="O190" i="41"/>
  <c r="Q190" i="41" s="1"/>
  <c r="O191" i="41"/>
  <c r="Q191" i="41" s="1"/>
  <c r="O194" i="41"/>
  <c r="Q194" i="41" s="1"/>
  <c r="O188" i="41"/>
  <c r="Q188" i="41" s="1"/>
  <c r="O187" i="41"/>
  <c r="Q187" i="41" s="1"/>
  <c r="O192" i="41"/>
  <c r="Q192" i="41" s="1"/>
  <c r="O193" i="41"/>
  <c r="Q193" i="41" s="1"/>
  <c r="O186" i="41"/>
  <c r="Q186" i="41" s="1"/>
  <c r="N186" i="41"/>
  <c r="P186" i="41" s="1"/>
  <c r="G155" i="41"/>
  <c r="C155" i="41"/>
  <c r="H155" i="41"/>
  <c r="D155" i="41"/>
  <c r="E155" i="41"/>
  <c r="F155" i="41"/>
  <c r="B155" i="41"/>
  <c r="B178" i="41" s="1"/>
  <c r="H145" i="41"/>
  <c r="AG20" i="152" l="1"/>
  <c r="AJ20" i="152" s="1"/>
  <c r="AH20" i="155"/>
  <c r="AG20" i="155"/>
  <c r="G20" i="156"/>
  <c r="Y20" i="156" s="1"/>
  <c r="G20" i="155"/>
  <c r="Y20" i="155" s="1"/>
  <c r="P36" i="155"/>
  <c r="P28" i="155"/>
  <c r="P36" i="156"/>
  <c r="P28" i="156"/>
  <c r="O36" i="156"/>
  <c r="O28" i="156"/>
  <c r="O36" i="155"/>
  <c r="O28" i="155"/>
  <c r="O36" i="153"/>
  <c r="O28" i="153"/>
  <c r="O36" i="154"/>
  <c r="O28" i="154"/>
  <c r="P28" i="152"/>
  <c r="P29" i="152" s="1"/>
  <c r="G20" i="152"/>
  <c r="Y20" i="152" s="1"/>
  <c r="AF20" i="152" s="1"/>
  <c r="G20" i="154"/>
  <c r="Y20" i="154" s="1"/>
  <c r="G20" i="153"/>
  <c r="Y20" i="153" s="1"/>
  <c r="P36" i="153"/>
  <c r="P28" i="153"/>
  <c r="O28" i="152"/>
  <c r="O27" i="152" s="1"/>
  <c r="P36" i="154"/>
  <c r="P28" i="154"/>
  <c r="AH20" i="154"/>
  <c r="AG20" i="154"/>
  <c r="AH20" i="149"/>
  <c r="AJ20" i="149" s="1"/>
  <c r="P36" i="149"/>
  <c r="O28" i="149"/>
  <c r="O29" i="149" s="1"/>
  <c r="P36" i="151"/>
  <c r="P28" i="151"/>
  <c r="O36" i="151"/>
  <c r="O28" i="151"/>
  <c r="G20" i="149"/>
  <c r="Y20" i="149" s="1"/>
  <c r="AE20" i="149" s="1"/>
  <c r="G20" i="151"/>
  <c r="Y20" i="151" s="1"/>
  <c r="AH20" i="151"/>
  <c r="AG20" i="151"/>
  <c r="O28" i="147"/>
  <c r="O29" i="147" s="1"/>
  <c r="P29" i="149"/>
  <c r="P27" i="149"/>
  <c r="P28" i="147"/>
  <c r="P29" i="147" s="1"/>
  <c r="P36" i="148"/>
  <c r="P28" i="148"/>
  <c r="G20" i="147"/>
  <c r="Y20" i="147" s="1"/>
  <c r="G20" i="148"/>
  <c r="Y20" i="148" s="1"/>
  <c r="O36" i="148"/>
  <c r="O28" i="148"/>
  <c r="P28" i="145"/>
  <c r="P27" i="145" s="1"/>
  <c r="O28" i="145"/>
  <c r="O29" i="145" s="1"/>
  <c r="G20" i="145"/>
  <c r="Y20" i="145" s="1"/>
  <c r="G20" i="146"/>
  <c r="Y20" i="146" s="1"/>
  <c r="P36" i="146"/>
  <c r="P28" i="146"/>
  <c r="O36" i="146"/>
  <c r="O28" i="146"/>
  <c r="P28" i="143"/>
  <c r="P27" i="143" s="1"/>
  <c r="O28" i="143"/>
  <c r="O29" i="143" s="1"/>
  <c r="P36" i="144"/>
  <c r="P28" i="144"/>
  <c r="G20" i="143"/>
  <c r="Y20" i="143" s="1"/>
  <c r="G20" i="144"/>
  <c r="Y20" i="144" s="1"/>
  <c r="O36" i="144"/>
  <c r="O28" i="144"/>
  <c r="P28" i="83"/>
  <c r="P29" i="83" s="1"/>
  <c r="P36" i="83"/>
  <c r="O28" i="84"/>
  <c r="O29" i="84" s="1"/>
  <c r="O36" i="84"/>
  <c r="O28" i="75"/>
  <c r="O29" i="75" s="1"/>
  <c r="O36" i="75"/>
  <c r="O28" i="85"/>
  <c r="O27" i="85" s="1"/>
  <c r="O36" i="85"/>
  <c r="P28" i="75"/>
  <c r="P27" i="75" s="1"/>
  <c r="P36" i="75"/>
  <c r="P28" i="85"/>
  <c r="P29" i="85" s="1"/>
  <c r="P36" i="85"/>
  <c r="P28" i="84"/>
  <c r="O28" i="83"/>
  <c r="O29" i="83" s="1"/>
  <c r="G20" i="85"/>
  <c r="G20" i="84"/>
  <c r="G20" i="75"/>
  <c r="Y20" i="75" s="1"/>
  <c r="G20" i="83"/>
  <c r="Y20" i="83" s="1"/>
  <c r="G13" i="103"/>
  <c r="G12" i="103"/>
  <c r="H25" i="103"/>
  <c r="G18" i="103"/>
  <c r="P29" i="103"/>
  <c r="P27" i="103"/>
  <c r="H18" i="103"/>
  <c r="G14" i="103"/>
  <c r="G25" i="103"/>
  <c r="H10" i="103"/>
  <c r="H9" i="103"/>
  <c r="G16" i="103"/>
  <c r="H11" i="103"/>
  <c r="H16" i="103"/>
  <c r="H17" i="103"/>
  <c r="H13" i="103"/>
  <c r="G10" i="103"/>
  <c r="H14" i="103"/>
  <c r="G11" i="103"/>
  <c r="H15" i="103"/>
  <c r="O29" i="103"/>
  <c r="O27" i="103"/>
  <c r="G9" i="103"/>
  <c r="G15" i="103"/>
  <c r="G17" i="103"/>
  <c r="H12" i="103"/>
  <c r="F158" i="41"/>
  <c r="F165" i="41" s="1"/>
  <c r="F166" i="41" s="1"/>
  <c r="F167" i="41" s="1"/>
  <c r="F168" i="41" s="1"/>
  <c r="F169" i="41" s="1"/>
  <c r="F170" i="41" s="1"/>
  <c r="F171" i="41" s="1"/>
  <c r="F178" i="41"/>
  <c r="C158" i="41"/>
  <c r="C165" i="41" s="1"/>
  <c r="C166" i="41" s="1"/>
  <c r="C167" i="41" s="1"/>
  <c r="C168" i="41" s="1"/>
  <c r="C169" i="41" s="1"/>
  <c r="C170" i="41" s="1"/>
  <c r="C171" i="41" s="1"/>
  <c r="C178" i="41"/>
  <c r="E158" i="41"/>
  <c r="E165" i="41" s="1"/>
  <c r="E166" i="41" s="1"/>
  <c r="E167" i="41" s="1"/>
  <c r="E168" i="41" s="1"/>
  <c r="E169" i="41" s="1"/>
  <c r="E170" i="41" s="1"/>
  <c r="E171" i="41" s="1"/>
  <c r="E178" i="41"/>
  <c r="D158" i="41"/>
  <c r="D165" i="41" s="1"/>
  <c r="D166" i="41" s="1"/>
  <c r="D167" i="41" s="1"/>
  <c r="D168" i="41" s="1"/>
  <c r="D169" i="41" s="1"/>
  <c r="D170" i="41" s="1"/>
  <c r="D171" i="41" s="1"/>
  <c r="D178" i="41"/>
  <c r="H158" i="41"/>
  <c r="H165" i="41" s="1"/>
  <c r="H166" i="41" s="1"/>
  <c r="H167" i="41" s="1"/>
  <c r="H168" i="41" s="1"/>
  <c r="H169" i="41" s="1"/>
  <c r="H170" i="41" s="1"/>
  <c r="H171" i="41" s="1"/>
  <c r="H178" i="41"/>
  <c r="G158" i="41"/>
  <c r="G165" i="41" s="1"/>
  <c r="G166" i="41" s="1"/>
  <c r="G167" i="41" s="1"/>
  <c r="G168" i="41" s="1"/>
  <c r="G169" i="41" s="1"/>
  <c r="G170" i="41" s="1"/>
  <c r="G171" i="41" s="1"/>
  <c r="G178" i="41"/>
  <c r="B158" i="41"/>
  <c r="B165" i="41" s="1"/>
  <c r="B166" i="41" s="1"/>
  <c r="B167" i="41" s="1"/>
  <c r="B168" i="41" s="1"/>
  <c r="B169" i="41" s="1"/>
  <c r="B170" i="41" s="1"/>
  <c r="B171" i="41" s="1"/>
  <c r="D72" i="34"/>
  <c r="D71" i="34"/>
  <c r="D70" i="34"/>
  <c r="E69" i="34"/>
  <c r="F69" i="34" s="1"/>
  <c r="E68" i="34"/>
  <c r="F68" i="34" s="1"/>
  <c r="D67" i="34"/>
  <c r="E66" i="34"/>
  <c r="D66" i="34"/>
  <c r="E65" i="34"/>
  <c r="D65" i="34"/>
  <c r="E64" i="34"/>
  <c r="E72" i="34" s="1"/>
  <c r="E63" i="34"/>
  <c r="E71" i="34" s="1"/>
  <c r="K62" i="34"/>
  <c r="F59" i="34"/>
  <c r="F58" i="34"/>
  <c r="F57" i="34"/>
  <c r="B53" i="35"/>
  <c r="L55" i="35"/>
  <c r="R51" i="35"/>
  <c r="P51" i="35"/>
  <c r="L51" i="35"/>
  <c r="R50" i="35"/>
  <c r="Q50" i="35"/>
  <c r="P50" i="35"/>
  <c r="J40" i="35"/>
  <c r="L40" i="35" s="1"/>
  <c r="R40" i="35" s="1"/>
  <c r="R33" i="35"/>
  <c r="Q33" i="35"/>
  <c r="P33" i="35"/>
  <c r="J33" i="35"/>
  <c r="K33" i="35" s="1"/>
  <c r="R32" i="35"/>
  <c r="Q32" i="35"/>
  <c r="P32" i="35"/>
  <c r="J32" i="35"/>
  <c r="K32" i="35" s="1"/>
  <c r="R31" i="35"/>
  <c r="Q31" i="35"/>
  <c r="P31" i="35"/>
  <c r="J31" i="35"/>
  <c r="K31" i="35" s="1"/>
  <c r="R30" i="35"/>
  <c r="Q30" i="35"/>
  <c r="P30" i="35"/>
  <c r="J30" i="35"/>
  <c r="K30" i="35" s="1"/>
  <c r="R29" i="35"/>
  <c r="Q29" i="35"/>
  <c r="P29" i="35"/>
  <c r="J29" i="35"/>
  <c r="K29" i="35" s="1"/>
  <c r="R28" i="35"/>
  <c r="Q28" i="35"/>
  <c r="P28" i="35"/>
  <c r="J28" i="35"/>
  <c r="K28" i="35" s="1"/>
  <c r="R27" i="35"/>
  <c r="Q27" i="35"/>
  <c r="P27" i="35"/>
  <c r="J27" i="35"/>
  <c r="K27" i="35" s="1"/>
  <c r="R26" i="35"/>
  <c r="Q26" i="35"/>
  <c r="P26" i="35"/>
  <c r="J26" i="35"/>
  <c r="K26" i="35" s="1"/>
  <c r="R25" i="35"/>
  <c r="Q25" i="35"/>
  <c r="P25" i="35"/>
  <c r="J25" i="35"/>
  <c r="K25" i="35" s="1"/>
  <c r="R24" i="35"/>
  <c r="Q24" i="35"/>
  <c r="P24" i="35"/>
  <c r="J24" i="35"/>
  <c r="K24" i="35" s="1"/>
  <c r="R23" i="35"/>
  <c r="Q23" i="35"/>
  <c r="P23" i="35"/>
  <c r="J23" i="35"/>
  <c r="K23" i="35" s="1"/>
  <c r="R22" i="35"/>
  <c r="Q22" i="35"/>
  <c r="P22" i="35"/>
  <c r="J22" i="35"/>
  <c r="K22" i="35" s="1"/>
  <c r="K40" i="34"/>
  <c r="J40" i="34"/>
  <c r="E27" i="34"/>
  <c r="M25" i="34"/>
  <c r="M26" i="34" s="1"/>
  <c r="L25" i="34"/>
  <c r="L26" i="34" s="1"/>
  <c r="K25" i="34"/>
  <c r="K26" i="34" s="1"/>
  <c r="J25" i="34"/>
  <c r="J26" i="34" s="1"/>
  <c r="I25" i="34"/>
  <c r="I26" i="34" s="1"/>
  <c r="H25" i="34"/>
  <c r="H26" i="34" s="1"/>
  <c r="G25" i="34"/>
  <c r="G26" i="34" s="1"/>
  <c r="F25" i="34"/>
  <c r="F26" i="34" s="1"/>
  <c r="B25" i="34"/>
  <c r="Q25" i="34" s="1"/>
  <c r="R25" i="34" s="1"/>
  <c r="E24" i="34"/>
  <c r="B24" i="34"/>
  <c r="Q24" i="34" s="1"/>
  <c r="R24" i="34" s="1"/>
  <c r="E23" i="34"/>
  <c r="B23" i="34"/>
  <c r="Q23" i="34" s="1"/>
  <c r="R23" i="34" s="1"/>
  <c r="E22" i="34"/>
  <c r="E21" i="34"/>
  <c r="E20" i="34"/>
  <c r="E19" i="34"/>
  <c r="E18" i="34"/>
  <c r="E17" i="34"/>
  <c r="E16" i="34"/>
  <c r="O29" i="152" l="1"/>
  <c r="AJ20" i="155"/>
  <c r="H13" i="156"/>
  <c r="H13" i="155"/>
  <c r="G18" i="156"/>
  <c r="G18" i="155"/>
  <c r="P29" i="156"/>
  <c r="P27" i="156"/>
  <c r="H17" i="156"/>
  <c r="H17" i="155"/>
  <c r="H25" i="156"/>
  <c r="Z25" i="156" s="1"/>
  <c r="H25" i="155"/>
  <c r="Z25" i="155" s="1"/>
  <c r="G12" i="156"/>
  <c r="G12" i="155"/>
  <c r="P29" i="155"/>
  <c r="P27" i="155"/>
  <c r="H16" i="156"/>
  <c r="H16" i="155"/>
  <c r="G17" i="156"/>
  <c r="G17" i="155"/>
  <c r="H11" i="156"/>
  <c r="H11" i="155"/>
  <c r="G13" i="156"/>
  <c r="G13" i="155"/>
  <c r="AJ20" i="154"/>
  <c r="G15" i="156"/>
  <c r="G15" i="155"/>
  <c r="AF20" i="155"/>
  <c r="AE20" i="155"/>
  <c r="G9" i="156"/>
  <c r="G9" i="155"/>
  <c r="H9" i="155"/>
  <c r="H9" i="156"/>
  <c r="H10" i="155"/>
  <c r="H10" i="156"/>
  <c r="G16" i="156"/>
  <c r="G16" i="155"/>
  <c r="G25" i="156"/>
  <c r="Y25" i="156" s="1"/>
  <c r="G25" i="155"/>
  <c r="Y25" i="155" s="1"/>
  <c r="O29" i="155"/>
  <c r="O27" i="155"/>
  <c r="H15" i="155"/>
  <c r="H15" i="156"/>
  <c r="G14" i="156"/>
  <c r="G14" i="155"/>
  <c r="G11" i="156"/>
  <c r="G11" i="155"/>
  <c r="H18" i="156"/>
  <c r="H18" i="155"/>
  <c r="H12" i="156"/>
  <c r="H12" i="155"/>
  <c r="H14" i="156"/>
  <c r="H14" i="155"/>
  <c r="O29" i="156"/>
  <c r="O27" i="156"/>
  <c r="G10" i="155"/>
  <c r="G10" i="156"/>
  <c r="AE20" i="152"/>
  <c r="AI20" i="152" s="1"/>
  <c r="G15" i="152"/>
  <c r="G15" i="154"/>
  <c r="G15" i="153"/>
  <c r="G16" i="152"/>
  <c r="G16" i="154"/>
  <c r="G16" i="153"/>
  <c r="P27" i="152"/>
  <c r="P29" i="153"/>
  <c r="P27" i="153"/>
  <c r="H16" i="152"/>
  <c r="H16" i="154"/>
  <c r="H16" i="153"/>
  <c r="G17" i="152"/>
  <c r="G17" i="154"/>
  <c r="G17" i="153"/>
  <c r="H11" i="152"/>
  <c r="H11" i="154"/>
  <c r="H11" i="153"/>
  <c r="G13" i="152"/>
  <c r="G13" i="154"/>
  <c r="G13" i="153"/>
  <c r="G9" i="152"/>
  <c r="G9" i="154"/>
  <c r="G9" i="153"/>
  <c r="H9" i="152"/>
  <c r="H9" i="154"/>
  <c r="H9" i="153"/>
  <c r="H10" i="152"/>
  <c r="H10" i="153"/>
  <c r="H10" i="154"/>
  <c r="G25" i="152"/>
  <c r="Y25" i="152" s="1"/>
  <c r="AF25" i="152" s="1"/>
  <c r="G25" i="154"/>
  <c r="Y25" i="154" s="1"/>
  <c r="G25" i="153"/>
  <c r="Y25" i="153" s="1"/>
  <c r="AF20" i="154"/>
  <c r="AE20" i="154"/>
  <c r="H12" i="152"/>
  <c r="H12" i="154"/>
  <c r="H12" i="153"/>
  <c r="G12" i="152"/>
  <c r="G12" i="154"/>
  <c r="G12" i="153"/>
  <c r="H15" i="152"/>
  <c r="H15" i="154"/>
  <c r="H15" i="153"/>
  <c r="G14" i="152"/>
  <c r="G14" i="154"/>
  <c r="G14" i="153"/>
  <c r="G11" i="152"/>
  <c r="G11" i="154"/>
  <c r="G11" i="153"/>
  <c r="H18" i="152"/>
  <c r="H18" i="154"/>
  <c r="H18" i="153"/>
  <c r="H14" i="152"/>
  <c r="H14" i="154"/>
  <c r="H14" i="153"/>
  <c r="P29" i="154"/>
  <c r="P27" i="154"/>
  <c r="O29" i="154"/>
  <c r="O27" i="154"/>
  <c r="G10" i="152"/>
  <c r="G10" i="153"/>
  <c r="G10" i="154"/>
  <c r="G18" i="152"/>
  <c r="G18" i="154"/>
  <c r="G18" i="153"/>
  <c r="O29" i="153"/>
  <c r="O27" i="153"/>
  <c r="H13" i="152"/>
  <c r="H13" i="154"/>
  <c r="H13" i="153"/>
  <c r="H17" i="152"/>
  <c r="H17" i="154"/>
  <c r="H17" i="153"/>
  <c r="H25" i="152"/>
  <c r="Z25" i="152" s="1"/>
  <c r="AH25" i="152" s="1"/>
  <c r="H25" i="154"/>
  <c r="Z25" i="154" s="1"/>
  <c r="H25" i="153"/>
  <c r="Z25" i="153" s="1"/>
  <c r="AF20" i="149"/>
  <c r="AI20" i="149" s="1"/>
  <c r="AJ20" i="151"/>
  <c r="O27" i="149"/>
  <c r="H12" i="149"/>
  <c r="H12" i="151"/>
  <c r="H16" i="149"/>
  <c r="H16" i="151"/>
  <c r="G12" i="149"/>
  <c r="G12" i="151"/>
  <c r="G17" i="149"/>
  <c r="G17" i="151"/>
  <c r="H11" i="149"/>
  <c r="H11" i="151"/>
  <c r="G13" i="149"/>
  <c r="G13" i="151"/>
  <c r="G15" i="149"/>
  <c r="G15" i="151"/>
  <c r="G16" i="149"/>
  <c r="G16" i="151"/>
  <c r="G9" i="149"/>
  <c r="G9" i="151"/>
  <c r="H9" i="149"/>
  <c r="H9" i="151"/>
  <c r="H10" i="149"/>
  <c r="H10" i="151"/>
  <c r="G25" i="149"/>
  <c r="Y25" i="149" s="1"/>
  <c r="AF25" i="149" s="1"/>
  <c r="G25" i="151"/>
  <c r="Y25" i="151" s="1"/>
  <c r="H15" i="149"/>
  <c r="H15" i="151"/>
  <c r="G14" i="149"/>
  <c r="G14" i="151"/>
  <c r="AF20" i="151"/>
  <c r="AE20" i="151"/>
  <c r="G11" i="149"/>
  <c r="G11" i="151"/>
  <c r="H18" i="149"/>
  <c r="H18" i="151"/>
  <c r="H14" i="149"/>
  <c r="H14" i="151"/>
  <c r="O29" i="151"/>
  <c r="O27" i="151"/>
  <c r="G10" i="149"/>
  <c r="G10" i="151"/>
  <c r="H13" i="149"/>
  <c r="H13" i="151"/>
  <c r="G18" i="149"/>
  <c r="G18" i="151"/>
  <c r="P29" i="151"/>
  <c r="P27" i="151"/>
  <c r="H17" i="149"/>
  <c r="H17" i="151"/>
  <c r="H25" i="149"/>
  <c r="Z25" i="149" s="1"/>
  <c r="AG25" i="149" s="1"/>
  <c r="H25" i="151"/>
  <c r="Z25" i="151" s="1"/>
  <c r="O27" i="147"/>
  <c r="E51" i="35"/>
  <c r="I51" i="35"/>
  <c r="P27" i="147"/>
  <c r="P29" i="143"/>
  <c r="H17" i="147"/>
  <c r="H17" i="148"/>
  <c r="H25" i="147"/>
  <c r="Z25" i="147" s="1"/>
  <c r="AG25" i="147" s="1"/>
  <c r="H25" i="148"/>
  <c r="Z25" i="148" s="1"/>
  <c r="P29" i="145"/>
  <c r="G17" i="147"/>
  <c r="G17" i="148"/>
  <c r="H11" i="147"/>
  <c r="H11" i="148"/>
  <c r="G13" i="147"/>
  <c r="G13" i="148"/>
  <c r="O29" i="148"/>
  <c r="O27" i="148"/>
  <c r="G9" i="147"/>
  <c r="G9" i="148"/>
  <c r="H9" i="147"/>
  <c r="H9" i="148"/>
  <c r="H12" i="147"/>
  <c r="H12" i="148"/>
  <c r="G16" i="147"/>
  <c r="G16" i="148"/>
  <c r="H10" i="147"/>
  <c r="H10" i="148"/>
  <c r="G25" i="147"/>
  <c r="Y25" i="147" s="1"/>
  <c r="AE25" i="147" s="1"/>
  <c r="G25" i="148"/>
  <c r="Y25" i="148" s="1"/>
  <c r="H15" i="147"/>
  <c r="H15" i="148"/>
  <c r="G14" i="147"/>
  <c r="G14" i="148"/>
  <c r="G11" i="147"/>
  <c r="G11" i="148"/>
  <c r="H18" i="147"/>
  <c r="H18" i="148"/>
  <c r="H14" i="147"/>
  <c r="H14" i="148"/>
  <c r="O27" i="145"/>
  <c r="G12" i="147"/>
  <c r="G12" i="148"/>
  <c r="G10" i="147"/>
  <c r="G10" i="148"/>
  <c r="P29" i="148"/>
  <c r="P27" i="148"/>
  <c r="H16" i="147"/>
  <c r="H16" i="148"/>
  <c r="G15" i="147"/>
  <c r="G15" i="148"/>
  <c r="H13" i="147"/>
  <c r="H13" i="148"/>
  <c r="G18" i="147"/>
  <c r="G18" i="148"/>
  <c r="O27" i="143"/>
  <c r="G15" i="145"/>
  <c r="G15" i="146"/>
  <c r="G16" i="145"/>
  <c r="G16" i="146"/>
  <c r="G9" i="145"/>
  <c r="G9" i="146"/>
  <c r="H9" i="145"/>
  <c r="H9" i="146"/>
  <c r="H11" i="145"/>
  <c r="H11" i="146"/>
  <c r="G25" i="145"/>
  <c r="Y25" i="145" s="1"/>
  <c r="AE25" i="145" s="1"/>
  <c r="G25" i="146"/>
  <c r="Y25" i="146" s="1"/>
  <c r="G17" i="145"/>
  <c r="G17" i="146"/>
  <c r="H10" i="145"/>
  <c r="H10" i="146"/>
  <c r="H15" i="145"/>
  <c r="H15" i="146"/>
  <c r="G14" i="145"/>
  <c r="G14" i="146"/>
  <c r="G11" i="145"/>
  <c r="G11" i="146"/>
  <c r="H18" i="145"/>
  <c r="H18" i="146"/>
  <c r="O29" i="146"/>
  <c r="O27" i="146"/>
  <c r="H14" i="145"/>
  <c r="H14" i="146"/>
  <c r="G10" i="145"/>
  <c r="G10" i="146"/>
  <c r="P29" i="146"/>
  <c r="P27" i="146"/>
  <c r="H13" i="145"/>
  <c r="H13" i="146"/>
  <c r="G18" i="145"/>
  <c r="G18" i="146"/>
  <c r="H17" i="145"/>
  <c r="H17" i="146"/>
  <c r="H25" i="145"/>
  <c r="Z25" i="145" s="1"/>
  <c r="AH25" i="145" s="1"/>
  <c r="H25" i="146"/>
  <c r="Z25" i="146" s="1"/>
  <c r="G13" i="145"/>
  <c r="G13" i="146"/>
  <c r="H12" i="145"/>
  <c r="H12" i="146"/>
  <c r="H16" i="145"/>
  <c r="H16" i="146"/>
  <c r="G12" i="145"/>
  <c r="G12" i="146"/>
  <c r="G9" i="143"/>
  <c r="G9" i="144"/>
  <c r="H9" i="143"/>
  <c r="H9" i="144"/>
  <c r="H10" i="143"/>
  <c r="H10" i="144"/>
  <c r="G25" i="143"/>
  <c r="Y25" i="143" s="1"/>
  <c r="AF25" i="143" s="1"/>
  <c r="G25" i="144"/>
  <c r="Y25" i="144" s="1"/>
  <c r="H15" i="143"/>
  <c r="H15" i="144"/>
  <c r="G14" i="143"/>
  <c r="G14" i="144"/>
  <c r="G11" i="143"/>
  <c r="G11" i="144"/>
  <c r="H18" i="143"/>
  <c r="H18" i="144"/>
  <c r="G15" i="143"/>
  <c r="G15" i="144"/>
  <c r="H14" i="143"/>
  <c r="H14" i="144"/>
  <c r="O29" i="144"/>
  <c r="O27" i="144"/>
  <c r="G10" i="143"/>
  <c r="G10" i="144"/>
  <c r="H13" i="143"/>
  <c r="H13" i="144"/>
  <c r="G18" i="143"/>
  <c r="G18" i="144"/>
  <c r="G16" i="143"/>
  <c r="G16" i="144"/>
  <c r="H17" i="143"/>
  <c r="H17" i="144"/>
  <c r="H25" i="143"/>
  <c r="Z25" i="143" s="1"/>
  <c r="AH25" i="143" s="1"/>
  <c r="H25" i="144"/>
  <c r="Z25" i="144" s="1"/>
  <c r="H12" i="143"/>
  <c r="H12" i="144"/>
  <c r="H16" i="143"/>
  <c r="H16" i="144"/>
  <c r="G12" i="143"/>
  <c r="G12" i="144"/>
  <c r="P29" i="144"/>
  <c r="P27" i="144"/>
  <c r="G17" i="143"/>
  <c r="G17" i="144"/>
  <c r="H11" i="143"/>
  <c r="H11" i="144"/>
  <c r="G13" i="143"/>
  <c r="G13" i="144"/>
  <c r="P27" i="83"/>
  <c r="P29" i="75"/>
  <c r="O29" i="85"/>
  <c r="O27" i="84"/>
  <c r="O27" i="75"/>
  <c r="P27" i="85"/>
  <c r="P29" i="84"/>
  <c r="P27" i="84"/>
  <c r="O27" i="83"/>
  <c r="G15" i="75"/>
  <c r="G15" i="85"/>
  <c r="G15" i="84"/>
  <c r="G11" i="75"/>
  <c r="G11" i="85"/>
  <c r="G11" i="84"/>
  <c r="H18" i="85"/>
  <c r="H18" i="84"/>
  <c r="H18" i="75"/>
  <c r="H14" i="85"/>
  <c r="H14" i="84"/>
  <c r="H14" i="75"/>
  <c r="G10" i="85"/>
  <c r="G10" i="84"/>
  <c r="G10" i="75"/>
  <c r="H13" i="75"/>
  <c r="H13" i="85"/>
  <c r="H13" i="84"/>
  <c r="G18" i="85"/>
  <c r="G18" i="84"/>
  <c r="G18" i="75"/>
  <c r="H17" i="75"/>
  <c r="H17" i="85"/>
  <c r="H17" i="84"/>
  <c r="H25" i="75"/>
  <c r="Z25" i="75" s="1"/>
  <c r="H25" i="85"/>
  <c r="H25" i="84"/>
  <c r="H12" i="85"/>
  <c r="H12" i="84"/>
  <c r="H12" i="75"/>
  <c r="H16" i="85"/>
  <c r="H16" i="84"/>
  <c r="H16" i="75"/>
  <c r="G12" i="85"/>
  <c r="G12" i="84"/>
  <c r="G12" i="75"/>
  <c r="G17" i="75"/>
  <c r="G17" i="85"/>
  <c r="G17" i="84"/>
  <c r="H11" i="75"/>
  <c r="H11" i="85"/>
  <c r="H11" i="84"/>
  <c r="G13" i="75"/>
  <c r="G13" i="85"/>
  <c r="G13" i="84"/>
  <c r="G25" i="75"/>
  <c r="Y25" i="75" s="1"/>
  <c r="G25" i="85"/>
  <c r="G25" i="84"/>
  <c r="G16" i="85"/>
  <c r="G16" i="84"/>
  <c r="G16" i="75"/>
  <c r="G9" i="75"/>
  <c r="G9" i="85"/>
  <c r="G9" i="84"/>
  <c r="H9" i="75"/>
  <c r="H9" i="85"/>
  <c r="H9" i="84"/>
  <c r="H10" i="85"/>
  <c r="H10" i="84"/>
  <c r="H10" i="75"/>
  <c r="H15" i="75"/>
  <c r="H15" i="85"/>
  <c r="H15" i="84"/>
  <c r="G14" i="85"/>
  <c r="G14" i="84"/>
  <c r="G14" i="75"/>
  <c r="G17" i="83"/>
  <c r="H14" i="83"/>
  <c r="G16" i="83"/>
  <c r="G15" i="83"/>
  <c r="G10" i="83"/>
  <c r="G18" i="83"/>
  <c r="H13" i="83"/>
  <c r="H10" i="83"/>
  <c r="H17" i="83"/>
  <c r="G12" i="83"/>
  <c r="H15" i="83"/>
  <c r="H16" i="83"/>
  <c r="G14" i="83"/>
  <c r="G13" i="83"/>
  <c r="H12" i="83"/>
  <c r="G11" i="83"/>
  <c r="H11" i="83"/>
  <c r="H18" i="83"/>
  <c r="H9" i="83"/>
  <c r="G9" i="83"/>
  <c r="H25" i="83"/>
  <c r="Z25" i="83" s="1"/>
  <c r="G25" i="83"/>
  <c r="Y25" i="83" s="1"/>
  <c r="G34" i="103"/>
  <c r="H34" i="103"/>
  <c r="E25" i="34"/>
  <c r="O178" i="41"/>
  <c r="N178" i="41"/>
  <c r="G51" i="35"/>
  <c r="F61" i="34"/>
  <c r="T24" i="34"/>
  <c r="F65" i="34"/>
  <c r="B26" i="34"/>
  <c r="T23" i="34"/>
  <c r="F66" i="34"/>
  <c r="F60" i="34"/>
  <c r="K40" i="35"/>
  <c r="B58" i="35"/>
  <c r="F71" i="34"/>
  <c r="F72" i="34"/>
  <c r="F63" i="34"/>
  <c r="F64" i="34"/>
  <c r="B57" i="35"/>
  <c r="E26" i="34"/>
  <c r="T25" i="34"/>
  <c r="S51" i="35"/>
  <c r="U51" i="35" s="1"/>
  <c r="P40" i="35"/>
  <c r="Q40" i="35"/>
  <c r="S52" i="35"/>
  <c r="D51" i="35"/>
  <c r="F51" i="35"/>
  <c r="H51" i="35"/>
  <c r="F87" i="26"/>
  <c r="L90" i="26"/>
  <c r="K90" i="26"/>
  <c r="J90" i="26"/>
  <c r="I90" i="26"/>
  <c r="H90" i="26"/>
  <c r="G90" i="26"/>
  <c r="F90" i="26"/>
  <c r="E90" i="26"/>
  <c r="D90" i="26"/>
  <c r="C90" i="26"/>
  <c r="L89" i="26"/>
  <c r="K89" i="26"/>
  <c r="J89" i="26"/>
  <c r="I89" i="26"/>
  <c r="H89" i="26"/>
  <c r="G89" i="26"/>
  <c r="F89" i="26"/>
  <c r="E89" i="26"/>
  <c r="D89" i="26"/>
  <c r="C89" i="26"/>
  <c r="L88" i="26"/>
  <c r="K88" i="26"/>
  <c r="J88" i="26"/>
  <c r="I88" i="26"/>
  <c r="H88" i="26"/>
  <c r="G88" i="26"/>
  <c r="F88" i="26"/>
  <c r="E88" i="26"/>
  <c r="D88" i="26"/>
  <c r="C88" i="26"/>
  <c r="L86" i="26"/>
  <c r="K86" i="26"/>
  <c r="J86" i="26"/>
  <c r="I86" i="26"/>
  <c r="H86" i="26"/>
  <c r="G86" i="26"/>
  <c r="F86" i="26"/>
  <c r="E86" i="26"/>
  <c r="D86" i="26"/>
  <c r="C86" i="26"/>
  <c r="AI20" i="155" l="1"/>
  <c r="H34" i="152"/>
  <c r="AH25" i="155"/>
  <c r="AG25" i="155"/>
  <c r="H34" i="156"/>
  <c r="AH25" i="156"/>
  <c r="AG25" i="156"/>
  <c r="H34" i="155"/>
  <c r="G34" i="155"/>
  <c r="AE25" i="155"/>
  <c r="AF25" i="155"/>
  <c r="G34" i="156"/>
  <c r="AF25" i="156"/>
  <c r="AE25" i="156"/>
  <c r="AI20" i="154"/>
  <c r="G34" i="152"/>
  <c r="G34" i="154"/>
  <c r="AE25" i="152"/>
  <c r="AI25" i="152" s="1"/>
  <c r="AF25" i="154"/>
  <c r="AE25" i="154"/>
  <c r="AG25" i="152"/>
  <c r="AJ25" i="152" s="1"/>
  <c r="H34" i="153"/>
  <c r="H34" i="154"/>
  <c r="AH25" i="153"/>
  <c r="AG25" i="153"/>
  <c r="AH25" i="154"/>
  <c r="AG25" i="154"/>
  <c r="AF25" i="153"/>
  <c r="AE25" i="153"/>
  <c r="G34" i="153"/>
  <c r="AH25" i="149"/>
  <c r="AJ25" i="149" s="1"/>
  <c r="AE25" i="149"/>
  <c r="AI25" i="149" s="1"/>
  <c r="H34" i="149"/>
  <c r="G34" i="149"/>
  <c r="AI20" i="151"/>
  <c r="AE25" i="151"/>
  <c r="AF25" i="151"/>
  <c r="H34" i="151"/>
  <c r="G34" i="151"/>
  <c r="AG25" i="151"/>
  <c r="AH25" i="151"/>
  <c r="AH25" i="147"/>
  <c r="AJ25" i="147" s="1"/>
  <c r="B38" i="34"/>
  <c r="B39" i="34" s="1"/>
  <c r="Q26" i="34"/>
  <c r="R26" i="34" s="1"/>
  <c r="AF25" i="147"/>
  <c r="AI25" i="147" s="1"/>
  <c r="G34" i="147"/>
  <c r="H34" i="147"/>
  <c r="H34" i="148"/>
  <c r="G34" i="148"/>
  <c r="AH25" i="148"/>
  <c r="AG25" i="148"/>
  <c r="AF25" i="148"/>
  <c r="AE25" i="148"/>
  <c r="G34" i="145"/>
  <c r="H34" i="145"/>
  <c r="AF25" i="145"/>
  <c r="AI25" i="145" s="1"/>
  <c r="AG25" i="145"/>
  <c r="AJ25" i="145" s="1"/>
  <c r="AF25" i="146"/>
  <c r="AE25" i="146"/>
  <c r="H34" i="146"/>
  <c r="AH25" i="146"/>
  <c r="AG25" i="146"/>
  <c r="G34" i="146"/>
  <c r="H34" i="143"/>
  <c r="G34" i="143"/>
  <c r="AE25" i="143"/>
  <c r="AI25" i="143" s="1"/>
  <c r="AG25" i="143"/>
  <c r="AJ25" i="143" s="1"/>
  <c r="AF25" i="144"/>
  <c r="AE25" i="144"/>
  <c r="H34" i="144"/>
  <c r="AH25" i="144"/>
  <c r="AG25" i="144"/>
  <c r="G34" i="144"/>
  <c r="AG25" i="75"/>
  <c r="AH25" i="75"/>
  <c r="AF25" i="75"/>
  <c r="AE25" i="75"/>
  <c r="H34" i="75"/>
  <c r="H34" i="85"/>
  <c r="H34" i="84"/>
  <c r="G34" i="84"/>
  <c r="G34" i="85"/>
  <c r="G34" i="83"/>
  <c r="H34" i="83"/>
  <c r="G34" i="75"/>
  <c r="O196" i="41"/>
  <c r="Q196" i="41" s="1"/>
  <c r="N196" i="41"/>
  <c r="P196" i="41" s="1"/>
  <c r="T26" i="34"/>
  <c r="C53" i="35"/>
  <c r="C56" i="35" s="1"/>
  <c r="C54" i="35"/>
  <c r="C58" i="35" s="1"/>
  <c r="J36" i="35" s="1"/>
  <c r="L36" i="35" s="1"/>
  <c r="G87" i="26"/>
  <c r="H87" i="26"/>
  <c r="J87" i="26"/>
  <c r="I87" i="26"/>
  <c r="U52" i="35"/>
  <c r="M22" i="35"/>
  <c r="K87" i="26"/>
  <c r="L87" i="26"/>
  <c r="AJ25" i="155" l="1"/>
  <c r="AI25" i="155"/>
  <c r="AI25" i="154"/>
  <c r="AJ25" i="156"/>
  <c r="AJ25" i="154"/>
  <c r="AI25" i="156"/>
  <c r="AJ25" i="153"/>
  <c r="AI25" i="153"/>
  <c r="AI25" i="151"/>
  <c r="AJ25" i="151"/>
  <c r="AI25" i="148"/>
  <c r="AJ25" i="148"/>
  <c r="AI25" i="144"/>
  <c r="AI25" i="146"/>
  <c r="AJ25" i="146"/>
  <c r="AJ25" i="144"/>
  <c r="AI25" i="75"/>
  <c r="AJ25" i="75"/>
  <c r="H19" i="103"/>
  <c r="G19" i="103"/>
  <c r="M39" i="35"/>
  <c r="O39" i="35" s="1"/>
  <c r="C57" i="35"/>
  <c r="J35" i="35" s="1"/>
  <c r="L35" i="35" s="1"/>
  <c r="M35" i="35" s="1"/>
  <c r="O35" i="35" s="1"/>
  <c r="C61" i="35"/>
  <c r="D21" i="49" s="1"/>
  <c r="K36" i="35"/>
  <c r="M24" i="35"/>
  <c r="O24" i="35" s="1"/>
  <c r="M25" i="35"/>
  <c r="M26" i="35"/>
  <c r="M27" i="35"/>
  <c r="M28" i="35"/>
  <c r="O28" i="35" s="1"/>
  <c r="S22" i="35"/>
  <c r="T22" i="35" s="1"/>
  <c r="U22" i="35" s="1"/>
  <c r="M30" i="35"/>
  <c r="O30" i="35" s="1"/>
  <c r="M29" i="35"/>
  <c r="O29" i="35" s="1"/>
  <c r="M31" i="35"/>
  <c r="O31" i="35" s="1"/>
  <c r="M32" i="35"/>
  <c r="O32" i="35" s="1"/>
  <c r="M40" i="35"/>
  <c r="M23" i="35"/>
  <c r="O23" i="35" s="1"/>
  <c r="M36" i="35"/>
  <c r="O36" i="35" s="1"/>
  <c r="M33" i="35"/>
  <c r="O33" i="35" s="1"/>
  <c r="R36" i="35"/>
  <c r="Q36" i="35"/>
  <c r="P36" i="35"/>
  <c r="G19" i="156" l="1"/>
  <c r="G19" i="155"/>
  <c r="H19" i="156"/>
  <c r="H19" i="155"/>
  <c r="G19" i="152"/>
  <c r="G28" i="152" s="1"/>
  <c r="G19" i="154"/>
  <c r="G19" i="153"/>
  <c r="H19" i="152"/>
  <c r="H36" i="152" s="1"/>
  <c r="H19" i="154"/>
  <c r="H19" i="153"/>
  <c r="G19" i="149"/>
  <c r="Y19" i="149" s="1"/>
  <c r="G19" i="151"/>
  <c r="H19" i="149"/>
  <c r="Z19" i="149" s="1"/>
  <c r="H19" i="151"/>
  <c r="G19" i="147"/>
  <c r="G36" i="147" s="1"/>
  <c r="G19" i="148"/>
  <c r="H19" i="147"/>
  <c r="H36" i="147" s="1"/>
  <c r="H19" i="148"/>
  <c r="H19" i="145"/>
  <c r="H36" i="145" s="1"/>
  <c r="H19" i="146"/>
  <c r="G19" i="145"/>
  <c r="G36" i="145" s="1"/>
  <c r="G19" i="146"/>
  <c r="H19" i="143"/>
  <c r="H36" i="143" s="1"/>
  <c r="H19" i="144"/>
  <c r="G19" i="143"/>
  <c r="G36" i="143" s="1"/>
  <c r="G19" i="144"/>
  <c r="G19" i="75"/>
  <c r="G36" i="75" s="1"/>
  <c r="G19" i="85"/>
  <c r="G19" i="84"/>
  <c r="H19" i="75"/>
  <c r="H36" i="75" s="1"/>
  <c r="H19" i="85"/>
  <c r="H36" i="85" s="1"/>
  <c r="H19" i="84"/>
  <c r="G19" i="83"/>
  <c r="G36" i="83" s="1"/>
  <c r="H19" i="83"/>
  <c r="H36" i="83" s="1"/>
  <c r="G36" i="103"/>
  <c r="G28" i="103"/>
  <c r="H36" i="103"/>
  <c r="H28" i="103"/>
  <c r="G22" i="49"/>
  <c r="N39" i="35"/>
  <c r="S39" i="35"/>
  <c r="T39" i="35" s="1"/>
  <c r="U39" i="35" s="1"/>
  <c r="J38" i="35"/>
  <c r="J37" i="35"/>
  <c r="O40" i="35"/>
  <c r="C22" i="49"/>
  <c r="C59" i="35"/>
  <c r="J34" i="35" s="1"/>
  <c r="K35" i="35"/>
  <c r="J41" i="35"/>
  <c r="N27" i="35"/>
  <c r="S27" i="35"/>
  <c r="T27" i="35" s="1"/>
  <c r="U27" i="35" s="1"/>
  <c r="N26" i="35"/>
  <c r="S26" i="35"/>
  <c r="T26" i="35" s="1"/>
  <c r="U26" i="35" s="1"/>
  <c r="S36" i="35"/>
  <c r="T36" i="35" s="1"/>
  <c r="U36" i="35" s="1"/>
  <c r="N36" i="35"/>
  <c r="O44" i="35"/>
  <c r="N25" i="35"/>
  <c r="S25" i="35"/>
  <c r="T25" i="35" s="1"/>
  <c r="U25" i="35" s="1"/>
  <c r="R35" i="35"/>
  <c r="Q35" i="35"/>
  <c r="P35" i="35"/>
  <c r="S23" i="35"/>
  <c r="T23" i="35" s="1"/>
  <c r="U23" i="35" s="1"/>
  <c r="N23" i="35"/>
  <c r="N29" i="35"/>
  <c r="S29" i="35"/>
  <c r="T29" i="35" s="1"/>
  <c r="U29" i="35" s="1"/>
  <c r="O27" i="35"/>
  <c r="O43" i="35"/>
  <c r="S35" i="35"/>
  <c r="N35" i="35"/>
  <c r="S24" i="35"/>
  <c r="T24" i="35" s="1"/>
  <c r="U24" i="35" s="1"/>
  <c r="N24" i="35"/>
  <c r="M43" i="35"/>
  <c r="S40" i="35"/>
  <c r="T40" i="35" s="1"/>
  <c r="U40" i="35" s="1"/>
  <c r="N40" i="35"/>
  <c r="S30" i="35"/>
  <c r="T30" i="35" s="1"/>
  <c r="U30" i="35" s="1"/>
  <c r="N30" i="35"/>
  <c r="O26" i="35"/>
  <c r="S33" i="35"/>
  <c r="T33" i="35" s="1"/>
  <c r="U33" i="35" s="1"/>
  <c r="N33" i="35"/>
  <c r="S31" i="35"/>
  <c r="T31" i="35" s="1"/>
  <c r="U31" i="35" s="1"/>
  <c r="N31" i="35"/>
  <c r="S32" i="35"/>
  <c r="T32" i="35" s="1"/>
  <c r="U32" i="35" s="1"/>
  <c r="N32" i="35"/>
  <c r="O25" i="35"/>
  <c r="N28" i="35"/>
  <c r="S28" i="35"/>
  <c r="T28" i="35" s="1"/>
  <c r="U28" i="35" s="1"/>
  <c r="K91" i="14"/>
  <c r="K90" i="14"/>
  <c r="I89" i="14"/>
  <c r="I143" i="14" s="1"/>
  <c r="J87" i="14"/>
  <c r="D118" i="14"/>
  <c r="D145" i="14" s="1"/>
  <c r="D117" i="14"/>
  <c r="D144" i="14" s="1"/>
  <c r="D116" i="14"/>
  <c r="D143" i="14" s="1"/>
  <c r="D115" i="14"/>
  <c r="D142" i="14" s="1"/>
  <c r="D114" i="14"/>
  <c r="D141" i="14" s="1"/>
  <c r="D113" i="14"/>
  <c r="D140" i="14" s="1"/>
  <c r="D112" i="14"/>
  <c r="D139" i="14" s="1"/>
  <c r="D111" i="14"/>
  <c r="D138" i="14" s="1"/>
  <c r="D110" i="14"/>
  <c r="D137" i="14" s="1"/>
  <c r="D109" i="14"/>
  <c r="D136" i="14" s="1"/>
  <c r="D108" i="14"/>
  <c r="D135" i="14" s="1"/>
  <c r="D107" i="14"/>
  <c r="D134" i="14" s="1"/>
  <c r="D106" i="14"/>
  <c r="D133" i="14" s="1"/>
  <c r="D105" i="14"/>
  <c r="D132" i="14" s="1"/>
  <c r="D104" i="14"/>
  <c r="D131" i="14" s="1"/>
  <c r="D103" i="14"/>
  <c r="D130" i="14" s="1"/>
  <c r="D102" i="14"/>
  <c r="D129" i="14" s="1"/>
  <c r="D101" i="14"/>
  <c r="D128" i="14" s="1"/>
  <c r="D100" i="14"/>
  <c r="D127" i="14" s="1"/>
  <c r="D99" i="14"/>
  <c r="D126" i="14" s="1"/>
  <c r="D98" i="14"/>
  <c r="D125" i="14" s="1"/>
  <c r="F91" i="14"/>
  <c r="F118" i="14" s="1"/>
  <c r="F145" i="14" s="1"/>
  <c r="E91" i="14"/>
  <c r="E118" i="14" s="1"/>
  <c r="E145" i="14" s="1"/>
  <c r="F90" i="14"/>
  <c r="F117" i="14" s="1"/>
  <c r="F144" i="14" s="1"/>
  <c r="E90" i="14"/>
  <c r="E117" i="14" s="1"/>
  <c r="E144" i="14" s="1"/>
  <c r="F89" i="14"/>
  <c r="F116" i="14" s="1"/>
  <c r="F143" i="14" s="1"/>
  <c r="E89" i="14"/>
  <c r="E116" i="14" s="1"/>
  <c r="E143" i="14" s="1"/>
  <c r="F88" i="14"/>
  <c r="F115" i="14" s="1"/>
  <c r="F142" i="14" s="1"/>
  <c r="E88" i="14"/>
  <c r="E115" i="14" s="1"/>
  <c r="E142" i="14" s="1"/>
  <c r="F87" i="14"/>
  <c r="F114" i="14" s="1"/>
  <c r="F141" i="14" s="1"/>
  <c r="E87" i="14"/>
  <c r="E114" i="14" s="1"/>
  <c r="E141" i="14" s="1"/>
  <c r="F86" i="14"/>
  <c r="F113" i="14" s="1"/>
  <c r="F140" i="14" s="1"/>
  <c r="E86" i="14"/>
  <c r="E113" i="14" s="1"/>
  <c r="E140" i="14" s="1"/>
  <c r="F85" i="14"/>
  <c r="F112" i="14" s="1"/>
  <c r="F139" i="14" s="1"/>
  <c r="E85" i="14"/>
  <c r="E112" i="14" s="1"/>
  <c r="E139" i="14" s="1"/>
  <c r="F84" i="14"/>
  <c r="F111" i="14" s="1"/>
  <c r="F138" i="14" s="1"/>
  <c r="E84" i="14"/>
  <c r="E111" i="14" s="1"/>
  <c r="E138" i="14" s="1"/>
  <c r="F83" i="14"/>
  <c r="F110" i="14" s="1"/>
  <c r="F137" i="14" s="1"/>
  <c r="E83" i="14"/>
  <c r="E110" i="14" s="1"/>
  <c r="E137" i="14" s="1"/>
  <c r="F82" i="14"/>
  <c r="F109" i="14" s="1"/>
  <c r="F136" i="14" s="1"/>
  <c r="E82" i="14"/>
  <c r="E109" i="14" s="1"/>
  <c r="E136" i="14" s="1"/>
  <c r="F81" i="14"/>
  <c r="F108" i="14" s="1"/>
  <c r="F135" i="14" s="1"/>
  <c r="E81" i="14"/>
  <c r="E108" i="14" s="1"/>
  <c r="E135" i="14" s="1"/>
  <c r="F80" i="14"/>
  <c r="F107" i="14" s="1"/>
  <c r="F134" i="14" s="1"/>
  <c r="E80" i="14"/>
  <c r="E107" i="14" s="1"/>
  <c r="E134" i="14" s="1"/>
  <c r="F79" i="14"/>
  <c r="F106" i="14" s="1"/>
  <c r="F133" i="14" s="1"/>
  <c r="E79" i="14"/>
  <c r="E106" i="14" s="1"/>
  <c r="E133" i="14" s="1"/>
  <c r="F78" i="14"/>
  <c r="F105" i="14" s="1"/>
  <c r="F132" i="14" s="1"/>
  <c r="E78" i="14"/>
  <c r="E105" i="14" s="1"/>
  <c r="E132" i="14" s="1"/>
  <c r="F77" i="14"/>
  <c r="F104" i="14" s="1"/>
  <c r="F131" i="14" s="1"/>
  <c r="E77" i="14"/>
  <c r="E104" i="14" s="1"/>
  <c r="E131" i="14" s="1"/>
  <c r="F76" i="14"/>
  <c r="F103" i="14" s="1"/>
  <c r="F130" i="14" s="1"/>
  <c r="E76" i="14"/>
  <c r="E103" i="14" s="1"/>
  <c r="E130" i="14" s="1"/>
  <c r="F75" i="14"/>
  <c r="F102" i="14" s="1"/>
  <c r="F129" i="14" s="1"/>
  <c r="E75" i="14"/>
  <c r="E102" i="14" s="1"/>
  <c r="E129" i="14" s="1"/>
  <c r="F74" i="14"/>
  <c r="F101" i="14" s="1"/>
  <c r="F128" i="14" s="1"/>
  <c r="E74" i="14"/>
  <c r="E101" i="14" s="1"/>
  <c r="E128" i="14" s="1"/>
  <c r="F73" i="14"/>
  <c r="F100" i="14" s="1"/>
  <c r="F127" i="14" s="1"/>
  <c r="E73" i="14"/>
  <c r="E100" i="14" s="1"/>
  <c r="E127" i="14" s="1"/>
  <c r="F72" i="14"/>
  <c r="F99" i="14" s="1"/>
  <c r="F126" i="14" s="1"/>
  <c r="E72" i="14"/>
  <c r="E99" i="14" s="1"/>
  <c r="E126" i="14" s="1"/>
  <c r="F71" i="14"/>
  <c r="F98" i="14" s="1"/>
  <c r="F125" i="14" s="1"/>
  <c r="E71" i="14"/>
  <c r="E98" i="14" s="1"/>
  <c r="E125" i="14" s="1"/>
  <c r="N84" i="14"/>
  <c r="M84" i="14"/>
  <c r="M138" i="14" s="1"/>
  <c r="K84" i="14"/>
  <c r="I84" i="14"/>
  <c r="I111" i="14" s="1"/>
  <c r="H84" i="14"/>
  <c r="N91" i="14"/>
  <c r="M91" i="14"/>
  <c r="M145" i="14" s="1"/>
  <c r="I91" i="14"/>
  <c r="H91" i="14"/>
  <c r="N90" i="14"/>
  <c r="M90" i="14"/>
  <c r="M144" i="14" s="1"/>
  <c r="I90" i="14"/>
  <c r="H90" i="14"/>
  <c r="K89" i="14"/>
  <c r="H89" i="14"/>
  <c r="M88" i="14"/>
  <c r="K88" i="14"/>
  <c r="I88" i="14"/>
  <c r="H88" i="14"/>
  <c r="N87" i="14"/>
  <c r="M87" i="14"/>
  <c r="L87" i="14"/>
  <c r="L114" i="14" s="1"/>
  <c r="K87" i="14"/>
  <c r="I87" i="14"/>
  <c r="H87" i="14"/>
  <c r="N86" i="14"/>
  <c r="M86" i="14"/>
  <c r="M113" i="14" s="1"/>
  <c r="L86" i="14"/>
  <c r="L113" i="14" s="1"/>
  <c r="K86" i="14"/>
  <c r="J86" i="14"/>
  <c r="J113" i="14" s="1"/>
  <c r="I86" i="14"/>
  <c r="H86" i="14"/>
  <c r="N85" i="14"/>
  <c r="M85" i="14"/>
  <c r="K85" i="14"/>
  <c r="I85" i="14"/>
  <c r="I112" i="14" s="1"/>
  <c r="H85" i="14"/>
  <c r="H70" i="69"/>
  <c r="H85" i="69" s="1"/>
  <c r="G70" i="69"/>
  <c r="G85" i="69" s="1"/>
  <c r="F70" i="69"/>
  <c r="E70" i="69"/>
  <c r="E85" i="69" s="1"/>
  <c r="D70" i="69"/>
  <c r="D85" i="69" s="1"/>
  <c r="C70" i="69"/>
  <c r="C85" i="69" s="1"/>
  <c r="B70" i="69"/>
  <c r="B85" i="69" s="1"/>
  <c r="N82" i="14"/>
  <c r="M82" i="14"/>
  <c r="F48" i="14"/>
  <c r="K82" i="14"/>
  <c r="J82" i="14"/>
  <c r="J136" i="14" s="1"/>
  <c r="I82" i="14"/>
  <c r="H82" i="14"/>
  <c r="H69" i="69"/>
  <c r="H84" i="69" s="1"/>
  <c r="G69" i="69"/>
  <c r="G84" i="69" s="1"/>
  <c r="F69" i="69"/>
  <c r="F84" i="69" s="1"/>
  <c r="E69" i="69"/>
  <c r="E84" i="69" s="1"/>
  <c r="D69" i="69"/>
  <c r="D84" i="69" s="1"/>
  <c r="C69" i="69"/>
  <c r="C84" i="69" s="1"/>
  <c r="B69" i="69"/>
  <c r="B84" i="69" s="1"/>
  <c r="N80" i="14"/>
  <c r="M80" i="14"/>
  <c r="I80" i="14"/>
  <c r="H80" i="14"/>
  <c r="N79" i="14"/>
  <c r="M79" i="14"/>
  <c r="M133" i="14" s="1"/>
  <c r="K79" i="14"/>
  <c r="I79" i="14"/>
  <c r="H79" i="14"/>
  <c r="N78" i="14"/>
  <c r="M78" i="14"/>
  <c r="M132" i="14" s="1"/>
  <c r="K78" i="14"/>
  <c r="I78" i="14"/>
  <c r="H78" i="14"/>
  <c r="N77" i="14"/>
  <c r="M77" i="14"/>
  <c r="L77" i="14"/>
  <c r="L131" i="14" s="1"/>
  <c r="K77" i="14"/>
  <c r="I77" i="14"/>
  <c r="I131" i="14" s="1"/>
  <c r="H77" i="14"/>
  <c r="N76" i="14"/>
  <c r="M76" i="14"/>
  <c r="K76" i="14"/>
  <c r="I76" i="14"/>
  <c r="H76" i="14"/>
  <c r="N75" i="14"/>
  <c r="M75" i="14"/>
  <c r="M102" i="14" s="1"/>
  <c r="K75" i="14"/>
  <c r="I75" i="14"/>
  <c r="H75" i="14"/>
  <c r="N74" i="14"/>
  <c r="M74" i="14"/>
  <c r="K74" i="14"/>
  <c r="I74" i="14"/>
  <c r="I101" i="14" s="1"/>
  <c r="H74" i="14"/>
  <c r="N73" i="14"/>
  <c r="M73" i="14"/>
  <c r="K73" i="14"/>
  <c r="I73" i="14"/>
  <c r="I100" i="14" s="1"/>
  <c r="H73" i="14"/>
  <c r="N72" i="14"/>
  <c r="M72" i="14"/>
  <c r="M126" i="14" s="1"/>
  <c r="K72" i="14"/>
  <c r="I72" i="14"/>
  <c r="H72" i="14"/>
  <c r="N71" i="14"/>
  <c r="M71" i="14"/>
  <c r="M125" i="14" s="1"/>
  <c r="K71" i="14"/>
  <c r="I71" i="14"/>
  <c r="H71" i="14"/>
  <c r="A30" i="14"/>
  <c r="A29" i="14"/>
  <c r="A28" i="14"/>
  <c r="A27" i="14"/>
  <c r="C26" i="14"/>
  <c r="A26" i="14"/>
  <c r="J25" i="14"/>
  <c r="A25" i="14"/>
  <c r="A24" i="14"/>
  <c r="I4" i="14"/>
  <c r="G36" i="152" l="1"/>
  <c r="H36" i="155"/>
  <c r="H28" i="155"/>
  <c r="H36" i="156"/>
  <c r="H28" i="156"/>
  <c r="H28" i="152"/>
  <c r="H29" i="152" s="1"/>
  <c r="G36" i="155"/>
  <c r="G28" i="155"/>
  <c r="G36" i="156"/>
  <c r="G28" i="156"/>
  <c r="H36" i="153"/>
  <c r="H28" i="153"/>
  <c r="H36" i="154"/>
  <c r="H28" i="154"/>
  <c r="G36" i="153"/>
  <c r="G28" i="153"/>
  <c r="G36" i="154"/>
  <c r="G28" i="154"/>
  <c r="G29" i="152"/>
  <c r="G27" i="152"/>
  <c r="G28" i="149"/>
  <c r="G27" i="149" s="1"/>
  <c r="G36" i="149"/>
  <c r="H28" i="149"/>
  <c r="H29" i="149" s="1"/>
  <c r="H36" i="149"/>
  <c r="H36" i="151"/>
  <c r="H28" i="151"/>
  <c r="G36" i="151"/>
  <c r="G28" i="151"/>
  <c r="AF19" i="149"/>
  <c r="AF36" i="149" s="1"/>
  <c r="AF37" i="149" s="1"/>
  <c r="AE19" i="149"/>
  <c r="AE36" i="149" s="1"/>
  <c r="AE37" i="149" s="1"/>
  <c r="Y36" i="149"/>
  <c r="AG19" i="149"/>
  <c r="AG36" i="149" s="1"/>
  <c r="AG37" i="149" s="1"/>
  <c r="AH19" i="149"/>
  <c r="AH36" i="149" s="1"/>
  <c r="AH37" i="149" s="1"/>
  <c r="Z36" i="149"/>
  <c r="H28" i="147"/>
  <c r="H29" i="147" s="1"/>
  <c r="G28" i="147"/>
  <c r="G29" i="147" s="1"/>
  <c r="H36" i="148"/>
  <c r="H28" i="148"/>
  <c r="H28" i="145"/>
  <c r="H29" i="145" s="1"/>
  <c r="G36" i="148"/>
  <c r="G28" i="148"/>
  <c r="G28" i="145"/>
  <c r="G29" i="145" s="1"/>
  <c r="G36" i="146"/>
  <c r="G28" i="146"/>
  <c r="H28" i="143"/>
  <c r="H27" i="143" s="1"/>
  <c r="H36" i="146"/>
  <c r="H28" i="146"/>
  <c r="G28" i="143"/>
  <c r="G29" i="143" s="1"/>
  <c r="G36" i="144"/>
  <c r="G28" i="144"/>
  <c r="H36" i="144"/>
  <c r="H28" i="144"/>
  <c r="K100" i="106"/>
  <c r="K100" i="105"/>
  <c r="K100" i="108"/>
  <c r="K100" i="104"/>
  <c r="K100" i="107"/>
  <c r="J100" i="108"/>
  <c r="J100" i="105"/>
  <c r="J100" i="104"/>
  <c r="J100" i="106"/>
  <c r="J100" i="107"/>
  <c r="J105" i="104"/>
  <c r="J105" i="108"/>
  <c r="J105" i="105"/>
  <c r="J105" i="106"/>
  <c r="J105" i="107"/>
  <c r="J95" i="105"/>
  <c r="J95" i="107"/>
  <c r="J95" i="106"/>
  <c r="J95" i="104"/>
  <c r="J95" i="108"/>
  <c r="K97" i="105"/>
  <c r="K97" i="108"/>
  <c r="K97" i="107"/>
  <c r="K97" i="104"/>
  <c r="K97" i="106"/>
  <c r="J106" i="105"/>
  <c r="J106" i="108"/>
  <c r="J106" i="104"/>
  <c r="J106" i="106"/>
  <c r="J106" i="107"/>
  <c r="J98" i="104"/>
  <c r="J98" i="105"/>
  <c r="J98" i="108"/>
  <c r="J98" i="107"/>
  <c r="J98" i="106"/>
  <c r="J93" i="106"/>
  <c r="J93" i="107"/>
  <c r="J93" i="104"/>
  <c r="J93" i="108"/>
  <c r="J93" i="105"/>
  <c r="K95" i="108"/>
  <c r="K95" i="104"/>
  <c r="K95" i="106"/>
  <c r="K95" i="105"/>
  <c r="K95" i="107"/>
  <c r="J107" i="108"/>
  <c r="J107" i="106"/>
  <c r="J107" i="107"/>
  <c r="J107" i="104"/>
  <c r="J107" i="105"/>
  <c r="K107" i="106"/>
  <c r="K107" i="104"/>
  <c r="K107" i="108"/>
  <c r="K107" i="107"/>
  <c r="K107" i="105"/>
  <c r="J101" i="105"/>
  <c r="J101" i="107"/>
  <c r="J101" i="104"/>
  <c r="J101" i="106"/>
  <c r="J101" i="108"/>
  <c r="J97" i="108"/>
  <c r="J97" i="106"/>
  <c r="J97" i="107"/>
  <c r="J97" i="105"/>
  <c r="J97" i="104"/>
  <c r="J92" i="104"/>
  <c r="J92" i="106"/>
  <c r="J92" i="107"/>
  <c r="J92" i="105"/>
  <c r="J92" i="108"/>
  <c r="K94" i="105"/>
  <c r="K94" i="107"/>
  <c r="K94" i="104"/>
  <c r="K94" i="106"/>
  <c r="K94" i="108"/>
  <c r="J103" i="104"/>
  <c r="J103" i="106"/>
  <c r="J103" i="108"/>
  <c r="J103" i="107"/>
  <c r="J103" i="105"/>
  <c r="K110" i="105"/>
  <c r="K110" i="106"/>
  <c r="K110" i="104"/>
  <c r="K110" i="107"/>
  <c r="K110" i="108"/>
  <c r="J99" i="105"/>
  <c r="J99" i="107"/>
  <c r="J99" i="106"/>
  <c r="J99" i="108"/>
  <c r="J99" i="104"/>
  <c r="K106" i="105"/>
  <c r="K106" i="106"/>
  <c r="K106" i="104"/>
  <c r="K106" i="108"/>
  <c r="K106" i="107"/>
  <c r="K101" i="106"/>
  <c r="K101" i="104"/>
  <c r="K101" i="108"/>
  <c r="K101" i="105"/>
  <c r="K101" i="107"/>
  <c r="J91" i="106"/>
  <c r="J91" i="107"/>
  <c r="J91" i="108"/>
  <c r="J91" i="104"/>
  <c r="J91" i="105"/>
  <c r="J102" i="106"/>
  <c r="J102" i="105"/>
  <c r="J102" i="104"/>
  <c r="J102" i="107"/>
  <c r="J102" i="108"/>
  <c r="K105" i="108"/>
  <c r="K105" i="104"/>
  <c r="K105" i="107"/>
  <c r="K105" i="106"/>
  <c r="K105" i="105"/>
  <c r="J94" i="108"/>
  <c r="J94" i="105"/>
  <c r="J94" i="104"/>
  <c r="J94" i="106"/>
  <c r="J94" i="107"/>
  <c r="K96" i="106"/>
  <c r="K96" i="105"/>
  <c r="K96" i="108"/>
  <c r="K96" i="107"/>
  <c r="K96" i="104"/>
  <c r="J110" i="105"/>
  <c r="J110" i="106"/>
  <c r="J110" i="107"/>
  <c r="J110" i="108"/>
  <c r="J110" i="104"/>
  <c r="J104" i="108"/>
  <c r="J104" i="107"/>
  <c r="J104" i="106"/>
  <c r="J104" i="105"/>
  <c r="J104" i="104"/>
  <c r="K99" i="105"/>
  <c r="K99" i="106"/>
  <c r="K99" i="108"/>
  <c r="K99" i="104"/>
  <c r="K99" i="107"/>
  <c r="K91" i="106"/>
  <c r="K91" i="105"/>
  <c r="K91" i="107"/>
  <c r="K91" i="108"/>
  <c r="K91" i="104"/>
  <c r="K104" i="108"/>
  <c r="K104" i="104"/>
  <c r="K104" i="105"/>
  <c r="K104" i="106"/>
  <c r="K104" i="107"/>
  <c r="K102" i="106"/>
  <c r="K102" i="104"/>
  <c r="K102" i="105"/>
  <c r="K102" i="107"/>
  <c r="K102" i="108"/>
  <c r="K93" i="107"/>
  <c r="K93" i="106"/>
  <c r="K93" i="104"/>
  <c r="K93" i="108"/>
  <c r="K93" i="105"/>
  <c r="K92" i="107"/>
  <c r="K92" i="105"/>
  <c r="K92" i="104"/>
  <c r="K92" i="108"/>
  <c r="K92" i="106"/>
  <c r="J96" i="108"/>
  <c r="J96" i="105"/>
  <c r="J96" i="107"/>
  <c r="J96" i="104"/>
  <c r="J96" i="106"/>
  <c r="K98" i="108"/>
  <c r="K98" i="107"/>
  <c r="K98" i="106"/>
  <c r="K98" i="105"/>
  <c r="K98" i="104"/>
  <c r="K103" i="105"/>
  <c r="K103" i="107"/>
  <c r="K103" i="108"/>
  <c r="K103" i="104"/>
  <c r="K103" i="106"/>
  <c r="H28" i="84"/>
  <c r="H27" i="84" s="1"/>
  <c r="H36" i="84"/>
  <c r="G28" i="84"/>
  <c r="G29" i="84" s="1"/>
  <c r="G36" i="84"/>
  <c r="G28" i="85"/>
  <c r="G29" i="85" s="1"/>
  <c r="G36" i="85"/>
  <c r="H28" i="85"/>
  <c r="H28" i="75"/>
  <c r="G28" i="75"/>
  <c r="H28" i="83"/>
  <c r="H29" i="83" s="1"/>
  <c r="G28" i="83"/>
  <c r="G29" i="83" s="1"/>
  <c r="H29" i="103"/>
  <c r="H27" i="103"/>
  <c r="G29" i="103"/>
  <c r="G27" i="103"/>
  <c r="G125" i="69"/>
  <c r="G126" i="69"/>
  <c r="H126" i="69"/>
  <c r="H125" i="69"/>
  <c r="B123" i="69"/>
  <c r="B124" i="69"/>
  <c r="C123" i="69"/>
  <c r="C124" i="69"/>
  <c r="D123" i="69"/>
  <c r="D124" i="69"/>
  <c r="B126" i="69"/>
  <c r="B125" i="69"/>
  <c r="E124" i="69"/>
  <c r="C126" i="69"/>
  <c r="C125" i="69"/>
  <c r="D125" i="69"/>
  <c r="D126" i="69"/>
  <c r="G124" i="69"/>
  <c r="G123" i="69"/>
  <c r="E125" i="69"/>
  <c r="E126" i="69"/>
  <c r="F124" i="69"/>
  <c r="H123" i="69"/>
  <c r="H124" i="69"/>
  <c r="H103" i="69"/>
  <c r="E123" i="69" s="1"/>
  <c r="F85" i="69"/>
  <c r="J95" i="57"/>
  <c r="S95" i="57" s="1"/>
  <c r="AK95" i="57" s="1"/>
  <c r="AU95" i="57" s="1"/>
  <c r="BC95" i="57" s="1"/>
  <c r="K110" i="57"/>
  <c r="AD110" i="57" s="1"/>
  <c r="AN110" i="57" s="1"/>
  <c r="AX109" i="57" s="1"/>
  <c r="BD109" i="57" s="1"/>
  <c r="K102" i="57"/>
  <c r="AG102" i="57" s="1"/>
  <c r="AP102" i="57" s="1"/>
  <c r="AZ102" i="57" s="1"/>
  <c r="E39" i="46"/>
  <c r="G39" i="46"/>
  <c r="F39" i="46"/>
  <c r="D39" i="46"/>
  <c r="B39" i="46"/>
  <c r="H39" i="46"/>
  <c r="C39" i="46"/>
  <c r="J104" i="57"/>
  <c r="U104" i="57" s="1"/>
  <c r="AL104" i="57" s="1"/>
  <c r="AV103" i="57" s="1"/>
  <c r="J92" i="57"/>
  <c r="V92" i="57" s="1"/>
  <c r="AM92" i="57" s="1"/>
  <c r="AW92" i="57" s="1"/>
  <c r="K37" i="35"/>
  <c r="C60" i="35" s="1"/>
  <c r="L37" i="35"/>
  <c r="G23" i="49"/>
  <c r="L38" i="35"/>
  <c r="K38" i="35"/>
  <c r="J74" i="14"/>
  <c r="J101" i="14" s="1"/>
  <c r="K94" i="57"/>
  <c r="J78" i="14"/>
  <c r="J105" i="14" s="1"/>
  <c r="K98" i="57"/>
  <c r="J98" i="57"/>
  <c r="J80" i="14"/>
  <c r="J107" i="14" s="1"/>
  <c r="K100" i="57"/>
  <c r="F39" i="14"/>
  <c r="J93" i="57"/>
  <c r="J75" i="14"/>
  <c r="J129" i="14" s="1"/>
  <c r="K95" i="57"/>
  <c r="J90" i="14"/>
  <c r="J117" i="14" s="1"/>
  <c r="K105" i="57"/>
  <c r="L84" i="14"/>
  <c r="L138" i="14" s="1"/>
  <c r="J107" i="57"/>
  <c r="N89" i="14"/>
  <c r="L80" i="14"/>
  <c r="L107" i="14" s="1"/>
  <c r="J100" i="57"/>
  <c r="L90" i="14"/>
  <c r="L144" i="14" s="1"/>
  <c r="J105" i="57"/>
  <c r="J77" i="14"/>
  <c r="J131" i="14" s="1"/>
  <c r="K97" i="57"/>
  <c r="J72" i="14"/>
  <c r="J126" i="14" s="1"/>
  <c r="K92" i="57"/>
  <c r="L91" i="14"/>
  <c r="L118" i="14" s="1"/>
  <c r="J106" i="57"/>
  <c r="L85" i="14"/>
  <c r="L139" i="14" s="1"/>
  <c r="J101" i="57"/>
  <c r="J97" i="57"/>
  <c r="L88" i="14"/>
  <c r="L115" i="14" s="1"/>
  <c r="J103" i="57"/>
  <c r="F45" i="14"/>
  <c r="J99" i="57"/>
  <c r="J91" i="14"/>
  <c r="J118" i="14" s="1"/>
  <c r="K106" i="57"/>
  <c r="J85" i="14"/>
  <c r="J139" i="14" s="1"/>
  <c r="K101" i="57"/>
  <c r="J84" i="14"/>
  <c r="J111" i="14" s="1"/>
  <c r="K107" i="57"/>
  <c r="J110" i="57"/>
  <c r="L74" i="14"/>
  <c r="L101" i="14" s="1"/>
  <c r="J94" i="57"/>
  <c r="J76" i="14"/>
  <c r="J130" i="14" s="1"/>
  <c r="K96" i="57"/>
  <c r="J71" i="14"/>
  <c r="J125" i="14" s="1"/>
  <c r="K91" i="57"/>
  <c r="J89" i="14"/>
  <c r="J143" i="14" s="1"/>
  <c r="K104" i="57"/>
  <c r="L76" i="14"/>
  <c r="L130" i="14" s="1"/>
  <c r="J96" i="57"/>
  <c r="F37" i="14"/>
  <c r="J91" i="57"/>
  <c r="J73" i="14"/>
  <c r="J100" i="14" s="1"/>
  <c r="K93" i="57"/>
  <c r="J88" i="14"/>
  <c r="J142" i="14" s="1"/>
  <c r="K103" i="57"/>
  <c r="J79" i="14"/>
  <c r="J106" i="14" s="1"/>
  <c r="K99" i="57"/>
  <c r="J102" i="57"/>
  <c r="M89" i="14"/>
  <c r="L34" i="35"/>
  <c r="K34" i="35"/>
  <c r="B7" i="49"/>
  <c r="B21" i="49" s="1"/>
  <c r="L41" i="35"/>
  <c r="K41" i="35"/>
  <c r="C62" i="35" s="1"/>
  <c r="I81" i="14"/>
  <c r="I135" i="14" s="1"/>
  <c r="C38" i="46"/>
  <c r="J81" i="14"/>
  <c r="J135" i="14" s="1"/>
  <c r="D38" i="46"/>
  <c r="H83" i="14"/>
  <c r="H137" i="14" s="1"/>
  <c r="K81" i="14"/>
  <c r="K135" i="14" s="1"/>
  <c r="K51" i="14"/>
  <c r="E38" i="46"/>
  <c r="I83" i="14"/>
  <c r="I137" i="14" s="1"/>
  <c r="F38" i="46"/>
  <c r="J83" i="14"/>
  <c r="J137" i="14" s="1"/>
  <c r="M81" i="14"/>
  <c r="M135" i="14" s="1"/>
  <c r="G38" i="46"/>
  <c r="K83" i="14"/>
  <c r="K110" i="14" s="1"/>
  <c r="N81" i="14"/>
  <c r="N108" i="14" s="1"/>
  <c r="H38" i="46"/>
  <c r="F49" i="14"/>
  <c r="M83" i="14"/>
  <c r="M137" i="14" s="1"/>
  <c r="K80" i="14"/>
  <c r="K107" i="14" s="1"/>
  <c r="N83" i="14"/>
  <c r="N137" i="14" s="1"/>
  <c r="H81" i="14"/>
  <c r="H108" i="14" s="1"/>
  <c r="B38" i="46"/>
  <c r="T35" i="35"/>
  <c r="U35" i="35" s="1"/>
  <c r="F46" i="14"/>
  <c r="L79" i="14"/>
  <c r="L106" i="14" s="1"/>
  <c r="F40" i="14"/>
  <c r="L82" i="14"/>
  <c r="L136" i="14" s="1"/>
  <c r="L73" i="14"/>
  <c r="L100" i="14" s="1"/>
  <c r="L83" i="14"/>
  <c r="L137" i="14" s="1"/>
  <c r="I134" i="14"/>
  <c r="I107" i="14"/>
  <c r="M142" i="14"/>
  <c r="M115" i="14"/>
  <c r="L89" i="14"/>
  <c r="L143" i="14" s="1"/>
  <c r="L75" i="14"/>
  <c r="L102" i="14" s="1"/>
  <c r="F43" i="14"/>
  <c r="F44" i="14"/>
  <c r="L81" i="14"/>
  <c r="L135" i="14" s="1"/>
  <c r="F42" i="14"/>
  <c r="N88" i="14"/>
  <c r="N142" i="14" s="1"/>
  <c r="L71" i="14"/>
  <c r="L125" i="14" s="1"/>
  <c r="H140" i="14"/>
  <c r="H113" i="14"/>
  <c r="N102" i="14"/>
  <c r="N129" i="14"/>
  <c r="K125" i="14"/>
  <c r="K98" i="14"/>
  <c r="K100" i="14"/>
  <c r="K127" i="14"/>
  <c r="N109" i="14"/>
  <c r="N136" i="14"/>
  <c r="I129" i="14"/>
  <c r="I102" i="14"/>
  <c r="H142" i="14"/>
  <c r="H115" i="14"/>
  <c r="K126" i="14"/>
  <c r="K99" i="14"/>
  <c r="M131" i="14"/>
  <c r="M104" i="14"/>
  <c r="H129" i="14"/>
  <c r="H102" i="14"/>
  <c r="I105" i="14"/>
  <c r="I132" i="14"/>
  <c r="I141" i="14"/>
  <c r="I114" i="14"/>
  <c r="H99" i="14"/>
  <c r="H126" i="14"/>
  <c r="M103" i="14"/>
  <c r="M130" i="14"/>
  <c r="N133" i="14"/>
  <c r="N106" i="14"/>
  <c r="J141" i="14"/>
  <c r="J114" i="14"/>
  <c r="H117" i="14"/>
  <c r="H144" i="14"/>
  <c r="I99" i="14"/>
  <c r="I126" i="14"/>
  <c r="M127" i="14"/>
  <c r="M100" i="14"/>
  <c r="N103" i="14"/>
  <c r="N130" i="14"/>
  <c r="K132" i="14"/>
  <c r="K105" i="14"/>
  <c r="M139" i="14"/>
  <c r="M112" i="14"/>
  <c r="K114" i="14"/>
  <c r="K141" i="14"/>
  <c r="I142" i="14"/>
  <c r="I115" i="14"/>
  <c r="I117" i="14"/>
  <c r="I144" i="14"/>
  <c r="N145" i="14"/>
  <c r="N118" i="14"/>
  <c r="I125" i="14"/>
  <c r="I98" i="14"/>
  <c r="H100" i="14"/>
  <c r="H127" i="14"/>
  <c r="N125" i="14"/>
  <c r="N98" i="14"/>
  <c r="N127" i="14"/>
  <c r="N100" i="14"/>
  <c r="K102" i="14"/>
  <c r="K129" i="14"/>
  <c r="H134" i="14"/>
  <c r="H107" i="14"/>
  <c r="N139" i="14"/>
  <c r="N112" i="14"/>
  <c r="H111" i="14"/>
  <c r="H138" i="14"/>
  <c r="H128" i="14"/>
  <c r="H101" i="14"/>
  <c r="N132" i="14"/>
  <c r="N105" i="14"/>
  <c r="I113" i="14"/>
  <c r="I140" i="14"/>
  <c r="N114" i="14"/>
  <c r="N141" i="14"/>
  <c r="H136" i="14"/>
  <c r="H109" i="14"/>
  <c r="K138" i="14"/>
  <c r="K111" i="14"/>
  <c r="H104" i="14"/>
  <c r="H131" i="14"/>
  <c r="M114" i="14"/>
  <c r="M141" i="14"/>
  <c r="H98" i="14"/>
  <c r="H125" i="14"/>
  <c r="K131" i="14"/>
  <c r="K104" i="14"/>
  <c r="H106" i="14"/>
  <c r="H133" i="14"/>
  <c r="I136" i="14"/>
  <c r="I109" i="14"/>
  <c r="K113" i="14"/>
  <c r="K140" i="14"/>
  <c r="N144" i="14"/>
  <c r="N117" i="14"/>
  <c r="K101" i="14"/>
  <c r="K128" i="14"/>
  <c r="H130" i="14"/>
  <c r="H103" i="14"/>
  <c r="I106" i="14"/>
  <c r="I133" i="14"/>
  <c r="M107" i="14"/>
  <c r="M134" i="14"/>
  <c r="H116" i="14"/>
  <c r="H143" i="14"/>
  <c r="H118" i="14"/>
  <c r="H145" i="14"/>
  <c r="H112" i="14"/>
  <c r="H139" i="14"/>
  <c r="N138" i="14"/>
  <c r="N111" i="14"/>
  <c r="N107" i="14"/>
  <c r="N134" i="14"/>
  <c r="K106" i="14"/>
  <c r="K133" i="14"/>
  <c r="K142" i="14"/>
  <c r="K115" i="14"/>
  <c r="N126" i="14"/>
  <c r="N99" i="14"/>
  <c r="I130" i="14"/>
  <c r="I103" i="14"/>
  <c r="K136" i="14"/>
  <c r="K109" i="14"/>
  <c r="I118" i="14"/>
  <c r="I145" i="14"/>
  <c r="M101" i="14"/>
  <c r="M128" i="14"/>
  <c r="N131" i="14"/>
  <c r="N104" i="14"/>
  <c r="N113" i="14"/>
  <c r="N140" i="14"/>
  <c r="N101" i="14"/>
  <c r="N128" i="14"/>
  <c r="K130" i="14"/>
  <c r="K103" i="14"/>
  <c r="H105" i="14"/>
  <c r="H132" i="14"/>
  <c r="M109" i="14"/>
  <c r="M136" i="14"/>
  <c r="H141" i="14"/>
  <c r="H114" i="14"/>
  <c r="K143" i="14"/>
  <c r="K116" i="14"/>
  <c r="K118" i="14"/>
  <c r="K145" i="14"/>
  <c r="K144" i="14"/>
  <c r="K117" i="14"/>
  <c r="K112" i="14"/>
  <c r="K139" i="14"/>
  <c r="L78" i="14"/>
  <c r="I104" i="14"/>
  <c r="M106" i="14"/>
  <c r="I116" i="14"/>
  <c r="M118" i="14"/>
  <c r="I128" i="14"/>
  <c r="F38" i="14"/>
  <c r="F41" i="14"/>
  <c r="F47" i="14"/>
  <c r="J140" i="14"/>
  <c r="L141" i="14"/>
  <c r="L72" i="14"/>
  <c r="M99" i="14"/>
  <c r="M105" i="14"/>
  <c r="M111" i="14"/>
  <c r="M117" i="14"/>
  <c r="I127" i="14"/>
  <c r="M129" i="14"/>
  <c r="I139" i="14"/>
  <c r="J109" i="14"/>
  <c r="L140" i="14"/>
  <c r="L104" i="14"/>
  <c r="M98" i="14"/>
  <c r="I138" i="14"/>
  <c r="M140" i="14"/>
  <c r="J144" i="14"/>
  <c r="H27" i="152" l="1"/>
  <c r="G29" i="155"/>
  <c r="G27" i="155"/>
  <c r="H29" i="156"/>
  <c r="H27" i="156"/>
  <c r="H29" i="155"/>
  <c r="H27" i="155"/>
  <c r="G29" i="156"/>
  <c r="G27" i="156"/>
  <c r="G29" i="154"/>
  <c r="G27" i="154"/>
  <c r="G29" i="153"/>
  <c r="G27" i="153"/>
  <c r="H29" i="154"/>
  <c r="H27" i="154"/>
  <c r="H29" i="153"/>
  <c r="H27" i="153"/>
  <c r="G29" i="149"/>
  <c r="H27" i="149"/>
  <c r="G29" i="151"/>
  <c r="G27" i="151"/>
  <c r="H29" i="151"/>
  <c r="H27" i="151"/>
  <c r="AJ19" i="149"/>
  <c r="AI19" i="149"/>
  <c r="H27" i="147"/>
  <c r="G27" i="147"/>
  <c r="H29" i="143"/>
  <c r="H27" i="145"/>
  <c r="G27" i="145"/>
  <c r="G29" i="148"/>
  <c r="G27" i="148"/>
  <c r="H29" i="148"/>
  <c r="H27" i="148"/>
  <c r="H29" i="146"/>
  <c r="H27" i="146"/>
  <c r="G27" i="143"/>
  <c r="G29" i="146"/>
  <c r="G27" i="146"/>
  <c r="H29" i="144"/>
  <c r="H27" i="144"/>
  <c r="G29" i="144"/>
  <c r="G27" i="144"/>
  <c r="J104" i="14"/>
  <c r="U102" i="104"/>
  <c r="AL102" i="104" s="1"/>
  <c r="AV102" i="104" s="1"/>
  <c r="V102" i="104"/>
  <c r="AM102" i="104" s="1"/>
  <c r="AW102" i="104" s="1"/>
  <c r="R102" i="104"/>
  <c r="AJ102" i="104" s="1"/>
  <c r="AT102" i="104" s="1"/>
  <c r="BB102" i="104" s="1"/>
  <c r="S102" i="104"/>
  <c r="AK102" i="104" s="1"/>
  <c r="AU102" i="104" s="1"/>
  <c r="BC102" i="104" s="1"/>
  <c r="AG97" i="104"/>
  <c r="AP97" i="104" s="1"/>
  <c r="AZ97" i="104" s="1"/>
  <c r="AH97" i="104"/>
  <c r="AQ97" i="104" s="1"/>
  <c r="BA97" i="104" s="1"/>
  <c r="AE97" i="104"/>
  <c r="AO97" i="104" s="1"/>
  <c r="AY97" i="104" s="1"/>
  <c r="BE97" i="104" s="1"/>
  <c r="AD97" i="104"/>
  <c r="AN97" i="104" s="1"/>
  <c r="AX97" i="104" s="1"/>
  <c r="BD97" i="104" s="1"/>
  <c r="V104" i="108"/>
  <c r="AM104" i="108" s="1"/>
  <c r="AW103" i="108" s="1"/>
  <c r="U104" i="108"/>
  <c r="AL104" i="108" s="1"/>
  <c r="AV103" i="108" s="1"/>
  <c r="R104" i="108"/>
  <c r="AJ104" i="108" s="1"/>
  <c r="AT103" i="108" s="1"/>
  <c r="BB103" i="108" s="1"/>
  <c r="S104" i="108"/>
  <c r="AK104" i="108" s="1"/>
  <c r="AU103" i="108" s="1"/>
  <c r="BC103" i="108" s="1"/>
  <c r="J108" i="106"/>
  <c r="V107" i="106"/>
  <c r="AM107" i="106" s="1"/>
  <c r="AW106" i="106" s="1"/>
  <c r="U107" i="106"/>
  <c r="AL107" i="106" s="1"/>
  <c r="AV106" i="106" s="1"/>
  <c r="S107" i="106"/>
  <c r="AK107" i="106" s="1"/>
  <c r="AU106" i="106" s="1"/>
  <c r="BC106" i="106" s="1"/>
  <c r="R107" i="106"/>
  <c r="AJ107" i="106" s="1"/>
  <c r="AT106" i="106" s="1"/>
  <c r="BB106" i="106" s="1"/>
  <c r="AG102" i="107"/>
  <c r="AP102" i="107" s="1"/>
  <c r="AZ102" i="107" s="1"/>
  <c r="AH102" i="107"/>
  <c r="AQ102" i="107" s="1"/>
  <c r="BA102" i="107" s="1"/>
  <c r="AD102" i="107"/>
  <c r="AN102" i="107" s="1"/>
  <c r="AX102" i="107" s="1"/>
  <c r="BD102" i="107" s="1"/>
  <c r="AE102" i="107"/>
  <c r="AO102" i="107" s="1"/>
  <c r="AY102" i="107" s="1"/>
  <c r="BE102" i="107" s="1"/>
  <c r="U102" i="106"/>
  <c r="AL102" i="106" s="1"/>
  <c r="AV102" i="106" s="1"/>
  <c r="V102" i="106"/>
  <c r="AM102" i="106" s="1"/>
  <c r="AW102" i="106" s="1"/>
  <c r="S102" i="106"/>
  <c r="AK102" i="106" s="1"/>
  <c r="AU102" i="106" s="1"/>
  <c r="BC102" i="106" s="1"/>
  <c r="R102" i="106"/>
  <c r="AJ102" i="106" s="1"/>
  <c r="AT102" i="106" s="1"/>
  <c r="BB102" i="106" s="1"/>
  <c r="U92" i="108"/>
  <c r="AL92" i="108" s="1"/>
  <c r="AV92" i="108" s="1"/>
  <c r="V92" i="108"/>
  <c r="AM92" i="108" s="1"/>
  <c r="AW92" i="108" s="1"/>
  <c r="R92" i="108"/>
  <c r="AJ92" i="108" s="1"/>
  <c r="AT92" i="108" s="1"/>
  <c r="BB92" i="108" s="1"/>
  <c r="S92" i="108"/>
  <c r="AK92" i="108" s="1"/>
  <c r="AU92" i="108" s="1"/>
  <c r="BC92" i="108" s="1"/>
  <c r="AG103" i="107"/>
  <c r="AP103" i="107" s="1"/>
  <c r="AH103" i="107"/>
  <c r="AQ103" i="107" s="1"/>
  <c r="AE103" i="107"/>
  <c r="AO103" i="107" s="1"/>
  <c r="AD103" i="107"/>
  <c r="AN103" i="107" s="1"/>
  <c r="AH92" i="106"/>
  <c r="AQ92" i="106" s="1"/>
  <c r="BA92" i="106" s="1"/>
  <c r="AG92" i="106"/>
  <c r="AP92" i="106" s="1"/>
  <c r="AZ92" i="106" s="1"/>
  <c r="AE92" i="106"/>
  <c r="AO92" i="106" s="1"/>
  <c r="AY92" i="106" s="1"/>
  <c r="BE92" i="106" s="1"/>
  <c r="AD92" i="106"/>
  <c r="AN92" i="106" s="1"/>
  <c r="AX92" i="106" s="1"/>
  <c r="BD92" i="106" s="1"/>
  <c r="AG102" i="105"/>
  <c r="AP102" i="105" s="1"/>
  <c r="AZ102" i="105" s="1"/>
  <c r="AH102" i="105"/>
  <c r="AQ102" i="105" s="1"/>
  <c r="BA102" i="105" s="1"/>
  <c r="AE102" i="105"/>
  <c r="AO102" i="105" s="1"/>
  <c r="AY102" i="105" s="1"/>
  <c r="BE102" i="105" s="1"/>
  <c r="AD102" i="105"/>
  <c r="AN102" i="105" s="1"/>
  <c r="AX102" i="105" s="1"/>
  <c r="BD102" i="105" s="1"/>
  <c r="AH91" i="106"/>
  <c r="AG91" i="106"/>
  <c r="AD91" i="106"/>
  <c r="AE91" i="106"/>
  <c r="U110" i="108"/>
  <c r="AL110" i="108" s="1"/>
  <c r="AV109" i="108" s="1"/>
  <c r="V110" i="108"/>
  <c r="AM110" i="108" s="1"/>
  <c r="AW109" i="108" s="1"/>
  <c r="S110" i="108"/>
  <c r="AK110" i="108" s="1"/>
  <c r="AU109" i="108" s="1"/>
  <c r="BC109" i="108" s="1"/>
  <c r="R110" i="108"/>
  <c r="AJ110" i="108" s="1"/>
  <c r="AT109" i="108" s="1"/>
  <c r="BB109" i="108" s="1"/>
  <c r="V94" i="105"/>
  <c r="AM94" i="105" s="1"/>
  <c r="AW94" i="105" s="1"/>
  <c r="U94" i="105"/>
  <c r="AL94" i="105" s="1"/>
  <c r="AV94" i="105" s="1"/>
  <c r="S94" i="105"/>
  <c r="AK94" i="105" s="1"/>
  <c r="AU94" i="105" s="1"/>
  <c r="BC94" i="105" s="1"/>
  <c r="R94" i="105"/>
  <c r="AJ94" i="105" s="1"/>
  <c r="AT94" i="105" s="1"/>
  <c r="BB94" i="105" s="1"/>
  <c r="U91" i="105"/>
  <c r="V91" i="105"/>
  <c r="S91" i="105"/>
  <c r="R91" i="105"/>
  <c r="AG106" i="104"/>
  <c r="AP106" i="104" s="1"/>
  <c r="AZ105" i="104" s="1"/>
  <c r="AH106" i="104"/>
  <c r="AQ106" i="104" s="1"/>
  <c r="BA105" i="104" s="1"/>
  <c r="AD106" i="104"/>
  <c r="AN106" i="104" s="1"/>
  <c r="AX105" i="104" s="1"/>
  <c r="BD105" i="104" s="1"/>
  <c r="AE106" i="104"/>
  <c r="AO106" i="104" s="1"/>
  <c r="AY105" i="104" s="1"/>
  <c r="BE105" i="104" s="1"/>
  <c r="AG110" i="105"/>
  <c r="AP110" i="105" s="1"/>
  <c r="AZ109" i="105" s="1"/>
  <c r="AH110" i="105"/>
  <c r="AQ110" i="105" s="1"/>
  <c r="BA109" i="105" s="1"/>
  <c r="AE110" i="105"/>
  <c r="AO110" i="105" s="1"/>
  <c r="AY109" i="105" s="1"/>
  <c r="BE109" i="105" s="1"/>
  <c r="AD110" i="105"/>
  <c r="AN110" i="105" s="1"/>
  <c r="AX109" i="105" s="1"/>
  <c r="BD109" i="105" s="1"/>
  <c r="V92" i="105"/>
  <c r="AM92" i="105" s="1"/>
  <c r="AW92" i="105" s="1"/>
  <c r="U92" i="105"/>
  <c r="AL92" i="105" s="1"/>
  <c r="AV92" i="105" s="1"/>
  <c r="S92" i="105"/>
  <c r="AK92" i="105" s="1"/>
  <c r="AU92" i="105" s="1"/>
  <c r="BC92" i="105" s="1"/>
  <c r="R92" i="105"/>
  <c r="AJ92" i="105" s="1"/>
  <c r="AT92" i="105" s="1"/>
  <c r="BB92" i="105" s="1"/>
  <c r="V101" i="107"/>
  <c r="AM101" i="107" s="1"/>
  <c r="U101" i="107"/>
  <c r="AL101" i="107" s="1"/>
  <c r="R101" i="107"/>
  <c r="AJ101" i="107" s="1"/>
  <c r="S101" i="107"/>
  <c r="AK101" i="107" s="1"/>
  <c r="AH95" i="107"/>
  <c r="AQ95" i="107" s="1"/>
  <c r="BA95" i="107" s="1"/>
  <c r="AG95" i="107"/>
  <c r="AP95" i="107" s="1"/>
  <c r="AZ95" i="107" s="1"/>
  <c r="AD95" i="107"/>
  <c r="AN95" i="107" s="1"/>
  <c r="AX95" i="107" s="1"/>
  <c r="BD95" i="107" s="1"/>
  <c r="AE95" i="107"/>
  <c r="AO95" i="107" s="1"/>
  <c r="AY95" i="107" s="1"/>
  <c r="BE95" i="107" s="1"/>
  <c r="U98" i="108"/>
  <c r="AL98" i="108" s="1"/>
  <c r="AV98" i="108" s="1"/>
  <c r="V98" i="108"/>
  <c r="AM98" i="108" s="1"/>
  <c r="AW98" i="108" s="1"/>
  <c r="S98" i="108"/>
  <c r="AK98" i="108" s="1"/>
  <c r="AU98" i="108" s="1"/>
  <c r="BC98" i="108" s="1"/>
  <c r="R98" i="108"/>
  <c r="AJ98" i="108" s="1"/>
  <c r="AT98" i="108" s="1"/>
  <c r="BB98" i="108" s="1"/>
  <c r="AG97" i="105"/>
  <c r="AP97" i="105" s="1"/>
  <c r="AZ97" i="105" s="1"/>
  <c r="AH97" i="105"/>
  <c r="AQ97" i="105" s="1"/>
  <c r="BA97" i="105" s="1"/>
  <c r="AD97" i="105"/>
  <c r="AN97" i="105" s="1"/>
  <c r="AX97" i="105" s="1"/>
  <c r="BD97" i="105" s="1"/>
  <c r="AE97" i="105"/>
  <c r="AO97" i="105" s="1"/>
  <c r="AY97" i="105" s="1"/>
  <c r="BE97" i="105" s="1"/>
  <c r="U100" i="106"/>
  <c r="AL100" i="106" s="1"/>
  <c r="AV100" i="106" s="1"/>
  <c r="V100" i="106"/>
  <c r="AM100" i="106" s="1"/>
  <c r="AW100" i="106" s="1"/>
  <c r="R100" i="106"/>
  <c r="AJ100" i="106" s="1"/>
  <c r="AT100" i="106" s="1"/>
  <c r="BB100" i="106" s="1"/>
  <c r="S100" i="106"/>
  <c r="AK100" i="106" s="1"/>
  <c r="AU100" i="106" s="1"/>
  <c r="BC100" i="106" s="1"/>
  <c r="AG103" i="105"/>
  <c r="AP103" i="105" s="1"/>
  <c r="AH103" i="105"/>
  <c r="AQ103" i="105" s="1"/>
  <c r="AD103" i="105"/>
  <c r="AN103" i="105" s="1"/>
  <c r="AE103" i="105"/>
  <c r="AO103" i="105" s="1"/>
  <c r="AG92" i="108"/>
  <c r="AP92" i="108" s="1"/>
  <c r="AZ92" i="108" s="1"/>
  <c r="AH92" i="108"/>
  <c r="AQ92" i="108" s="1"/>
  <c r="BA92" i="108" s="1"/>
  <c r="AE92" i="108"/>
  <c r="AO92" i="108" s="1"/>
  <c r="AY92" i="108" s="1"/>
  <c r="BE92" i="108" s="1"/>
  <c r="AD92" i="108"/>
  <c r="AN92" i="108" s="1"/>
  <c r="AX92" i="108" s="1"/>
  <c r="BD92" i="108" s="1"/>
  <c r="AG102" i="104"/>
  <c r="AP102" i="104" s="1"/>
  <c r="AZ102" i="104" s="1"/>
  <c r="AH102" i="104"/>
  <c r="AQ102" i="104" s="1"/>
  <c r="BA102" i="104" s="1"/>
  <c r="AE102" i="104"/>
  <c r="AO102" i="104" s="1"/>
  <c r="AY102" i="104" s="1"/>
  <c r="BE102" i="104" s="1"/>
  <c r="AD102" i="104"/>
  <c r="AN102" i="104" s="1"/>
  <c r="AX102" i="104" s="1"/>
  <c r="BD102" i="104" s="1"/>
  <c r="AG99" i="107"/>
  <c r="AP99" i="107" s="1"/>
  <c r="AZ99" i="107" s="1"/>
  <c r="AH99" i="107"/>
  <c r="AQ99" i="107" s="1"/>
  <c r="BA99" i="107" s="1"/>
  <c r="AD99" i="107"/>
  <c r="AN99" i="107" s="1"/>
  <c r="AX99" i="107" s="1"/>
  <c r="BD99" i="107" s="1"/>
  <c r="AE99" i="107"/>
  <c r="AO99" i="107" s="1"/>
  <c r="AY99" i="107" s="1"/>
  <c r="BE99" i="107" s="1"/>
  <c r="U110" i="107"/>
  <c r="AL110" i="107" s="1"/>
  <c r="AV109" i="107" s="1"/>
  <c r="V110" i="107"/>
  <c r="AM110" i="107" s="1"/>
  <c r="AW109" i="107" s="1"/>
  <c r="R110" i="107"/>
  <c r="AJ110" i="107" s="1"/>
  <c r="AT109" i="107" s="1"/>
  <c r="BB109" i="107" s="1"/>
  <c r="S110" i="107"/>
  <c r="AK110" i="107" s="1"/>
  <c r="AU109" i="107" s="1"/>
  <c r="BC109" i="107" s="1"/>
  <c r="V94" i="108"/>
  <c r="AM94" i="108" s="1"/>
  <c r="AW94" i="108" s="1"/>
  <c r="U94" i="108"/>
  <c r="AL94" i="108" s="1"/>
  <c r="AV94" i="108" s="1"/>
  <c r="R94" i="108"/>
  <c r="AJ94" i="108" s="1"/>
  <c r="AT94" i="108" s="1"/>
  <c r="BB94" i="108" s="1"/>
  <c r="S94" i="108"/>
  <c r="AK94" i="108" s="1"/>
  <c r="AU94" i="108" s="1"/>
  <c r="BC94" i="108" s="1"/>
  <c r="U91" i="104"/>
  <c r="V91" i="104"/>
  <c r="S91" i="104"/>
  <c r="R91" i="104"/>
  <c r="AH106" i="106"/>
  <c r="AQ106" i="106" s="1"/>
  <c r="BA105" i="106" s="1"/>
  <c r="AG106" i="106"/>
  <c r="AP106" i="106" s="1"/>
  <c r="AZ105" i="106" s="1"/>
  <c r="AE106" i="106"/>
  <c r="AO106" i="106" s="1"/>
  <c r="AY105" i="106" s="1"/>
  <c r="BE105" i="106" s="1"/>
  <c r="AD106" i="106"/>
  <c r="AN106" i="106" s="1"/>
  <c r="AX105" i="106" s="1"/>
  <c r="BD105" i="106" s="1"/>
  <c r="U103" i="105"/>
  <c r="AL103" i="105" s="1"/>
  <c r="V103" i="105"/>
  <c r="AM103" i="105" s="1"/>
  <c r="R103" i="105"/>
  <c r="AJ103" i="105" s="1"/>
  <c r="S103" i="105"/>
  <c r="AK103" i="105" s="1"/>
  <c r="U92" i="107"/>
  <c r="AL92" i="107" s="1"/>
  <c r="AV92" i="107" s="1"/>
  <c r="V92" i="107"/>
  <c r="AM92" i="107" s="1"/>
  <c r="AW92" i="107" s="1"/>
  <c r="R92" i="107"/>
  <c r="AJ92" i="107" s="1"/>
  <c r="AT92" i="107" s="1"/>
  <c r="BB92" i="107" s="1"/>
  <c r="S92" i="107"/>
  <c r="AK92" i="107" s="1"/>
  <c r="AU92" i="107" s="1"/>
  <c r="BC92" i="107" s="1"/>
  <c r="V101" i="105"/>
  <c r="AM101" i="105" s="1"/>
  <c r="U101" i="105"/>
  <c r="AL101" i="105" s="1"/>
  <c r="S101" i="105"/>
  <c r="AK101" i="105" s="1"/>
  <c r="R101" i="105"/>
  <c r="AJ101" i="105" s="1"/>
  <c r="AG95" i="105"/>
  <c r="AP95" i="105" s="1"/>
  <c r="AZ95" i="105" s="1"/>
  <c r="AH95" i="105"/>
  <c r="AQ95" i="105" s="1"/>
  <c r="BA95" i="105" s="1"/>
  <c r="AE95" i="105"/>
  <c r="AO95" i="105" s="1"/>
  <c r="AY95" i="105" s="1"/>
  <c r="BE95" i="105" s="1"/>
  <c r="AD95" i="105"/>
  <c r="AN95" i="105" s="1"/>
  <c r="AX95" i="105" s="1"/>
  <c r="BD95" i="105" s="1"/>
  <c r="U98" i="105"/>
  <c r="AL98" i="105" s="1"/>
  <c r="AV98" i="105" s="1"/>
  <c r="V98" i="105"/>
  <c r="AM98" i="105" s="1"/>
  <c r="AW98" i="105" s="1"/>
  <c r="R98" i="105"/>
  <c r="AJ98" i="105" s="1"/>
  <c r="AT98" i="105" s="1"/>
  <c r="BB98" i="105" s="1"/>
  <c r="S98" i="105"/>
  <c r="AK98" i="105" s="1"/>
  <c r="AU98" i="105" s="1"/>
  <c r="BC98" i="105" s="1"/>
  <c r="U95" i="108"/>
  <c r="AL95" i="108" s="1"/>
  <c r="AV95" i="108" s="1"/>
  <c r="V95" i="108"/>
  <c r="AM95" i="108" s="1"/>
  <c r="AW95" i="108" s="1"/>
  <c r="S95" i="108"/>
  <c r="AK95" i="108" s="1"/>
  <c r="AU95" i="108" s="1"/>
  <c r="BC95" i="108" s="1"/>
  <c r="R95" i="108"/>
  <c r="AJ95" i="108" s="1"/>
  <c r="AT95" i="108" s="1"/>
  <c r="BB95" i="108" s="1"/>
  <c r="U100" i="104"/>
  <c r="AL100" i="104" s="1"/>
  <c r="AV100" i="104" s="1"/>
  <c r="V100" i="104"/>
  <c r="AM100" i="104" s="1"/>
  <c r="AW100" i="104" s="1"/>
  <c r="R100" i="104"/>
  <c r="AJ100" i="104" s="1"/>
  <c r="AT100" i="104" s="1"/>
  <c r="BB100" i="104" s="1"/>
  <c r="S100" i="104"/>
  <c r="AK100" i="104" s="1"/>
  <c r="AU100" i="104" s="1"/>
  <c r="BC100" i="104" s="1"/>
  <c r="J109" i="107"/>
  <c r="V96" i="107"/>
  <c r="AM96" i="107" s="1"/>
  <c r="AW96" i="107" s="1"/>
  <c r="U96" i="107"/>
  <c r="AL96" i="107" s="1"/>
  <c r="AV96" i="107" s="1"/>
  <c r="R96" i="107"/>
  <c r="AJ96" i="107" s="1"/>
  <c r="AT96" i="107" s="1"/>
  <c r="BB96" i="107" s="1"/>
  <c r="S96" i="107"/>
  <c r="AK96" i="107" s="1"/>
  <c r="AU96" i="107" s="1"/>
  <c r="BC96" i="107" s="1"/>
  <c r="U94" i="107"/>
  <c r="AL94" i="107" s="1"/>
  <c r="AV94" i="107" s="1"/>
  <c r="V94" i="107"/>
  <c r="AM94" i="107" s="1"/>
  <c r="AW94" i="107" s="1"/>
  <c r="R94" i="107"/>
  <c r="AJ94" i="107" s="1"/>
  <c r="AT94" i="107" s="1"/>
  <c r="BB94" i="107" s="1"/>
  <c r="S94" i="107"/>
  <c r="AK94" i="107" s="1"/>
  <c r="AU94" i="107" s="1"/>
  <c r="BC94" i="107" s="1"/>
  <c r="U101" i="108"/>
  <c r="AL101" i="108" s="1"/>
  <c r="V101" i="108"/>
  <c r="AM101" i="108" s="1"/>
  <c r="S101" i="108"/>
  <c r="AK101" i="108" s="1"/>
  <c r="R101" i="108"/>
  <c r="AJ101" i="108" s="1"/>
  <c r="U102" i="105"/>
  <c r="AL102" i="105" s="1"/>
  <c r="AV102" i="105" s="1"/>
  <c r="V102" i="105"/>
  <c r="AM102" i="105" s="1"/>
  <c r="AW102" i="105" s="1"/>
  <c r="R102" i="105"/>
  <c r="AJ102" i="105" s="1"/>
  <c r="AT102" i="105" s="1"/>
  <c r="BB102" i="105" s="1"/>
  <c r="S102" i="105"/>
  <c r="AK102" i="105" s="1"/>
  <c r="AU102" i="105" s="1"/>
  <c r="BC102" i="105" s="1"/>
  <c r="AH97" i="107"/>
  <c r="AQ97" i="107" s="1"/>
  <c r="BA97" i="107" s="1"/>
  <c r="AG97" i="107"/>
  <c r="AP97" i="107" s="1"/>
  <c r="AZ97" i="107" s="1"/>
  <c r="AD97" i="107"/>
  <c r="AN97" i="107" s="1"/>
  <c r="AX97" i="107" s="1"/>
  <c r="BD97" i="107" s="1"/>
  <c r="AE97" i="107"/>
  <c r="AO97" i="107" s="1"/>
  <c r="AY97" i="107" s="1"/>
  <c r="BE97" i="107" s="1"/>
  <c r="J109" i="108"/>
  <c r="V96" i="108"/>
  <c r="AM96" i="108" s="1"/>
  <c r="AW96" i="108" s="1"/>
  <c r="U96" i="108"/>
  <c r="AL96" i="108" s="1"/>
  <c r="AV96" i="108" s="1"/>
  <c r="R96" i="108"/>
  <c r="AJ96" i="108" s="1"/>
  <c r="AT96" i="108" s="1"/>
  <c r="BB96" i="108" s="1"/>
  <c r="S96" i="108"/>
  <c r="AK96" i="108" s="1"/>
  <c r="AU96" i="108" s="1"/>
  <c r="BC96" i="108" s="1"/>
  <c r="AG106" i="108"/>
  <c r="AP106" i="108" s="1"/>
  <c r="AZ105" i="108" s="1"/>
  <c r="AH106" i="108"/>
  <c r="AQ106" i="108" s="1"/>
  <c r="BA105" i="108" s="1"/>
  <c r="AD106" i="108"/>
  <c r="AN106" i="108" s="1"/>
  <c r="AX105" i="108" s="1"/>
  <c r="BD105" i="108" s="1"/>
  <c r="AE106" i="108"/>
  <c r="AO106" i="108" s="1"/>
  <c r="AY105" i="108" s="1"/>
  <c r="BE105" i="108" s="1"/>
  <c r="AG97" i="108"/>
  <c r="AP97" i="108" s="1"/>
  <c r="AZ97" i="108" s="1"/>
  <c r="AH97" i="108"/>
  <c r="AQ97" i="108" s="1"/>
  <c r="BA97" i="108" s="1"/>
  <c r="AE97" i="108"/>
  <c r="AO97" i="108" s="1"/>
  <c r="AY97" i="108" s="1"/>
  <c r="BE97" i="108" s="1"/>
  <c r="AD97" i="108"/>
  <c r="AN97" i="108" s="1"/>
  <c r="AX97" i="108" s="1"/>
  <c r="BD97" i="108" s="1"/>
  <c r="AG102" i="106"/>
  <c r="AP102" i="106" s="1"/>
  <c r="AZ102" i="106" s="1"/>
  <c r="AH102" i="106"/>
  <c r="AQ102" i="106" s="1"/>
  <c r="BA102" i="106" s="1"/>
  <c r="AE102" i="106"/>
  <c r="AO102" i="106" s="1"/>
  <c r="AY102" i="106" s="1"/>
  <c r="BE102" i="106" s="1"/>
  <c r="AD102" i="106"/>
  <c r="AN102" i="106" s="1"/>
  <c r="AX102" i="106" s="1"/>
  <c r="BD102" i="106" s="1"/>
  <c r="V103" i="107"/>
  <c r="AM103" i="107" s="1"/>
  <c r="U103" i="107"/>
  <c r="AL103" i="107" s="1"/>
  <c r="S103" i="107"/>
  <c r="AK103" i="107" s="1"/>
  <c r="R103" i="107"/>
  <c r="AJ103" i="107" s="1"/>
  <c r="U98" i="104"/>
  <c r="AL98" i="104" s="1"/>
  <c r="AV98" i="104" s="1"/>
  <c r="V98" i="104"/>
  <c r="AM98" i="104" s="1"/>
  <c r="AW98" i="104" s="1"/>
  <c r="R98" i="104"/>
  <c r="AJ98" i="104" s="1"/>
  <c r="AT98" i="104" s="1"/>
  <c r="BB98" i="104" s="1"/>
  <c r="S98" i="104"/>
  <c r="AK98" i="104" s="1"/>
  <c r="AU98" i="104" s="1"/>
  <c r="BC98" i="104" s="1"/>
  <c r="AH99" i="108"/>
  <c r="AQ99" i="108" s="1"/>
  <c r="BA99" i="108" s="1"/>
  <c r="AG99" i="108"/>
  <c r="AP99" i="108" s="1"/>
  <c r="AZ99" i="108" s="1"/>
  <c r="AD99" i="108"/>
  <c r="AN99" i="108" s="1"/>
  <c r="AX99" i="108" s="1"/>
  <c r="BD99" i="108" s="1"/>
  <c r="AE99" i="108"/>
  <c r="AO99" i="108" s="1"/>
  <c r="AY99" i="108" s="1"/>
  <c r="BE99" i="108" s="1"/>
  <c r="V103" i="108"/>
  <c r="AM103" i="108" s="1"/>
  <c r="U103" i="108"/>
  <c r="AL103" i="108" s="1"/>
  <c r="R103" i="108"/>
  <c r="AJ103" i="108" s="1"/>
  <c r="S103" i="108"/>
  <c r="AK103" i="108" s="1"/>
  <c r="U100" i="108"/>
  <c r="AL100" i="108" s="1"/>
  <c r="AV100" i="108" s="1"/>
  <c r="V100" i="108"/>
  <c r="AM100" i="108" s="1"/>
  <c r="AW100" i="108" s="1"/>
  <c r="R100" i="108"/>
  <c r="AJ100" i="108" s="1"/>
  <c r="AT100" i="108" s="1"/>
  <c r="BB100" i="108" s="1"/>
  <c r="S100" i="108"/>
  <c r="AK100" i="108" s="1"/>
  <c r="AU100" i="108" s="1"/>
  <c r="BC100" i="108" s="1"/>
  <c r="AH98" i="106"/>
  <c r="AQ98" i="106" s="1"/>
  <c r="BA98" i="106" s="1"/>
  <c r="AG98" i="106"/>
  <c r="AP98" i="106" s="1"/>
  <c r="AZ98" i="106" s="1"/>
  <c r="AE98" i="106"/>
  <c r="AO98" i="106" s="1"/>
  <c r="AY98" i="106" s="1"/>
  <c r="BE98" i="106" s="1"/>
  <c r="AD98" i="106"/>
  <c r="AN98" i="106" s="1"/>
  <c r="AX98" i="106" s="1"/>
  <c r="BD98" i="106" s="1"/>
  <c r="AG92" i="107"/>
  <c r="AP92" i="107" s="1"/>
  <c r="AZ92" i="107" s="1"/>
  <c r="AH92" i="107"/>
  <c r="AQ92" i="107" s="1"/>
  <c r="BA92" i="107" s="1"/>
  <c r="AE92" i="107"/>
  <c r="AO92" i="107" s="1"/>
  <c r="AY92" i="107" s="1"/>
  <c r="BE92" i="107" s="1"/>
  <c r="AD92" i="107"/>
  <c r="AN92" i="107" s="1"/>
  <c r="AX92" i="107" s="1"/>
  <c r="BD92" i="107" s="1"/>
  <c r="AH104" i="106"/>
  <c r="AQ104" i="106" s="1"/>
  <c r="BA103" i="106" s="1"/>
  <c r="AG104" i="106"/>
  <c r="AP104" i="106" s="1"/>
  <c r="AZ103" i="106" s="1"/>
  <c r="AD104" i="106"/>
  <c r="AN104" i="106" s="1"/>
  <c r="AX103" i="106" s="1"/>
  <c r="BD103" i="106" s="1"/>
  <c r="AE104" i="106"/>
  <c r="AO104" i="106" s="1"/>
  <c r="AY103" i="106" s="1"/>
  <c r="BE103" i="106" s="1"/>
  <c r="AG99" i="106"/>
  <c r="AP99" i="106" s="1"/>
  <c r="AZ99" i="106" s="1"/>
  <c r="AH99" i="106"/>
  <c r="AQ99" i="106" s="1"/>
  <c r="BA99" i="106" s="1"/>
  <c r="AD99" i="106"/>
  <c r="AN99" i="106" s="1"/>
  <c r="AX99" i="106" s="1"/>
  <c r="BD99" i="106" s="1"/>
  <c r="AE99" i="106"/>
  <c r="AO99" i="106" s="1"/>
  <c r="AY99" i="106" s="1"/>
  <c r="BE99" i="106" s="1"/>
  <c r="K109" i="104"/>
  <c r="AG96" i="104"/>
  <c r="AP96" i="104" s="1"/>
  <c r="AZ96" i="104" s="1"/>
  <c r="AH96" i="104"/>
  <c r="AQ96" i="104" s="1"/>
  <c r="BA96" i="104" s="1"/>
  <c r="AE96" i="104"/>
  <c r="AO96" i="104" s="1"/>
  <c r="AY96" i="104" s="1"/>
  <c r="BE96" i="104" s="1"/>
  <c r="AD96" i="104"/>
  <c r="AN96" i="104" s="1"/>
  <c r="AX96" i="104" s="1"/>
  <c r="BD96" i="104" s="1"/>
  <c r="AH105" i="107"/>
  <c r="AQ105" i="107" s="1"/>
  <c r="BA104" i="107" s="1"/>
  <c r="AG105" i="107"/>
  <c r="AP105" i="107" s="1"/>
  <c r="AZ104" i="107" s="1"/>
  <c r="AD105" i="107"/>
  <c r="AN105" i="107" s="1"/>
  <c r="AX104" i="107" s="1"/>
  <c r="BD104" i="107" s="1"/>
  <c r="AE105" i="107"/>
  <c r="AO105" i="107" s="1"/>
  <c r="AY104" i="107" s="1"/>
  <c r="BE104" i="107" s="1"/>
  <c r="V91" i="106"/>
  <c r="U91" i="106"/>
  <c r="S91" i="106"/>
  <c r="R91" i="106"/>
  <c r="V99" i="108"/>
  <c r="AM99" i="108" s="1"/>
  <c r="AW99" i="108" s="1"/>
  <c r="U99" i="108"/>
  <c r="AL99" i="108" s="1"/>
  <c r="AV99" i="108" s="1"/>
  <c r="S99" i="108"/>
  <c r="AK99" i="108" s="1"/>
  <c r="AU99" i="108" s="1"/>
  <c r="BC99" i="108" s="1"/>
  <c r="R99" i="108"/>
  <c r="AJ99" i="108" s="1"/>
  <c r="AT99" i="108" s="1"/>
  <c r="BB99" i="108" s="1"/>
  <c r="U103" i="106"/>
  <c r="AL103" i="106" s="1"/>
  <c r="V103" i="106"/>
  <c r="AM103" i="106" s="1"/>
  <c r="S103" i="106"/>
  <c r="AK103" i="106" s="1"/>
  <c r="R103" i="106"/>
  <c r="AJ103" i="106" s="1"/>
  <c r="V97" i="104"/>
  <c r="AM97" i="104" s="1"/>
  <c r="AW97" i="104" s="1"/>
  <c r="U97" i="104"/>
  <c r="AL97" i="104" s="1"/>
  <c r="AV97" i="104" s="1"/>
  <c r="S97" i="104"/>
  <c r="AK97" i="104" s="1"/>
  <c r="AU97" i="104" s="1"/>
  <c r="BC97" i="104" s="1"/>
  <c r="R97" i="104"/>
  <c r="AJ97" i="104" s="1"/>
  <c r="AT97" i="104" s="1"/>
  <c r="BB97" i="104" s="1"/>
  <c r="K108" i="108"/>
  <c r="AH107" i="108"/>
  <c r="AQ107" i="108" s="1"/>
  <c r="BA106" i="108" s="1"/>
  <c r="AG107" i="108"/>
  <c r="AP107" i="108" s="1"/>
  <c r="AZ106" i="108" s="1"/>
  <c r="AE107" i="108"/>
  <c r="AO107" i="108" s="1"/>
  <c r="AY106" i="108" s="1"/>
  <c r="BE106" i="108" s="1"/>
  <c r="AD107" i="108"/>
  <c r="AN107" i="108" s="1"/>
  <c r="AX106" i="108" s="1"/>
  <c r="BD106" i="108" s="1"/>
  <c r="AH95" i="108"/>
  <c r="AQ95" i="108" s="1"/>
  <c r="BA95" i="108" s="1"/>
  <c r="AG95" i="108"/>
  <c r="AP95" i="108" s="1"/>
  <c r="AZ95" i="108" s="1"/>
  <c r="AE95" i="108"/>
  <c r="AO95" i="108" s="1"/>
  <c r="AY95" i="108" s="1"/>
  <c r="BE95" i="108" s="1"/>
  <c r="AD95" i="108"/>
  <c r="AN95" i="108" s="1"/>
  <c r="AX95" i="108" s="1"/>
  <c r="BD95" i="108" s="1"/>
  <c r="U106" i="106"/>
  <c r="AL106" i="106" s="1"/>
  <c r="AV105" i="106" s="1"/>
  <c r="V106" i="106"/>
  <c r="AM106" i="106" s="1"/>
  <c r="AW105" i="106" s="1"/>
  <c r="S106" i="106"/>
  <c r="AK106" i="106" s="1"/>
  <c r="AU105" i="106" s="1"/>
  <c r="BC105" i="106" s="1"/>
  <c r="R106" i="106"/>
  <c r="AJ106" i="106" s="1"/>
  <c r="AT105" i="106" s="1"/>
  <c r="BB105" i="106" s="1"/>
  <c r="V95" i="107"/>
  <c r="AM95" i="107" s="1"/>
  <c r="AW95" i="107" s="1"/>
  <c r="U95" i="107"/>
  <c r="AL95" i="107" s="1"/>
  <c r="AV95" i="107" s="1"/>
  <c r="S95" i="107"/>
  <c r="AK95" i="107" s="1"/>
  <c r="AU95" i="107" s="1"/>
  <c r="BC95" i="107" s="1"/>
  <c r="R95" i="107"/>
  <c r="AJ95" i="107" s="1"/>
  <c r="AT95" i="107" s="1"/>
  <c r="BB95" i="107" s="1"/>
  <c r="AG100" i="107"/>
  <c r="AP100" i="107" s="1"/>
  <c r="AZ100" i="107" s="1"/>
  <c r="AH100" i="107"/>
  <c r="AQ100" i="107" s="1"/>
  <c r="BA100" i="107" s="1"/>
  <c r="AD100" i="107"/>
  <c r="AN100" i="107" s="1"/>
  <c r="AX100" i="107" s="1"/>
  <c r="BD100" i="107" s="1"/>
  <c r="AE100" i="107"/>
  <c r="AO100" i="107" s="1"/>
  <c r="AY100" i="107" s="1"/>
  <c r="BE100" i="107" s="1"/>
  <c r="U104" i="107"/>
  <c r="AL104" i="107" s="1"/>
  <c r="AV103" i="107" s="1"/>
  <c r="V104" i="107"/>
  <c r="AM104" i="107" s="1"/>
  <c r="AW103" i="107" s="1"/>
  <c r="R104" i="107"/>
  <c r="AJ104" i="107" s="1"/>
  <c r="AT103" i="107" s="1"/>
  <c r="BB103" i="107" s="1"/>
  <c r="S104" i="107"/>
  <c r="AK104" i="107" s="1"/>
  <c r="AU103" i="107" s="1"/>
  <c r="BC103" i="107" s="1"/>
  <c r="U105" i="108"/>
  <c r="AL105" i="108" s="1"/>
  <c r="AV104" i="108" s="1"/>
  <c r="V105" i="108"/>
  <c r="AM105" i="108" s="1"/>
  <c r="AW104" i="108" s="1"/>
  <c r="R105" i="108"/>
  <c r="AJ105" i="108" s="1"/>
  <c r="AT104" i="108" s="1"/>
  <c r="BB104" i="108" s="1"/>
  <c r="S105" i="108"/>
  <c r="AK105" i="108" s="1"/>
  <c r="AU104" i="108" s="1"/>
  <c r="BC104" i="108" s="1"/>
  <c r="AH103" i="104"/>
  <c r="AQ103" i="104" s="1"/>
  <c r="AG103" i="104"/>
  <c r="AP103" i="104" s="1"/>
  <c r="AE103" i="104"/>
  <c r="AO103" i="104" s="1"/>
  <c r="AD103" i="104"/>
  <c r="AN103" i="104" s="1"/>
  <c r="AG110" i="104"/>
  <c r="AP110" i="104" s="1"/>
  <c r="AZ109" i="104" s="1"/>
  <c r="AH110" i="104"/>
  <c r="AQ110" i="104" s="1"/>
  <c r="BA109" i="104" s="1"/>
  <c r="AE110" i="104"/>
  <c r="AO110" i="104" s="1"/>
  <c r="AY109" i="104" s="1"/>
  <c r="BE109" i="104" s="1"/>
  <c r="AD110" i="104"/>
  <c r="AN110" i="104" s="1"/>
  <c r="AX109" i="104" s="1"/>
  <c r="BD109" i="104" s="1"/>
  <c r="U98" i="106"/>
  <c r="AL98" i="106" s="1"/>
  <c r="AV98" i="106" s="1"/>
  <c r="V98" i="106"/>
  <c r="AM98" i="106" s="1"/>
  <c r="AW98" i="106" s="1"/>
  <c r="R98" i="106"/>
  <c r="AJ98" i="106" s="1"/>
  <c r="AT98" i="106" s="1"/>
  <c r="BB98" i="106" s="1"/>
  <c r="S98" i="106"/>
  <c r="AK98" i="106" s="1"/>
  <c r="AU98" i="106" s="1"/>
  <c r="BC98" i="106" s="1"/>
  <c r="AH103" i="108"/>
  <c r="AQ103" i="108" s="1"/>
  <c r="AG103" i="108"/>
  <c r="AP103" i="108" s="1"/>
  <c r="AD103" i="108"/>
  <c r="AN103" i="108" s="1"/>
  <c r="AE103" i="108"/>
  <c r="AO103" i="108" s="1"/>
  <c r="AH110" i="106"/>
  <c r="AQ110" i="106" s="1"/>
  <c r="BA109" i="106" s="1"/>
  <c r="AG110" i="106"/>
  <c r="AP110" i="106" s="1"/>
  <c r="AZ109" i="106" s="1"/>
  <c r="AD110" i="106"/>
  <c r="AN110" i="106" s="1"/>
  <c r="AX109" i="106" s="1"/>
  <c r="BD109" i="106" s="1"/>
  <c r="AE110" i="106"/>
  <c r="AO110" i="106" s="1"/>
  <c r="AY109" i="106" s="1"/>
  <c r="BE109" i="106" s="1"/>
  <c r="V98" i="107"/>
  <c r="AM98" i="107" s="1"/>
  <c r="AW98" i="107" s="1"/>
  <c r="U98" i="107"/>
  <c r="AL98" i="107" s="1"/>
  <c r="AV98" i="107" s="1"/>
  <c r="S98" i="107"/>
  <c r="AK98" i="107" s="1"/>
  <c r="AU98" i="107" s="1"/>
  <c r="BC98" i="107" s="1"/>
  <c r="R98" i="107"/>
  <c r="AJ98" i="107" s="1"/>
  <c r="AT98" i="107" s="1"/>
  <c r="BB98" i="107" s="1"/>
  <c r="AG92" i="104"/>
  <c r="AP92" i="104" s="1"/>
  <c r="AZ92" i="104" s="1"/>
  <c r="AH92" i="104"/>
  <c r="AQ92" i="104" s="1"/>
  <c r="BA92" i="104" s="1"/>
  <c r="AD92" i="104"/>
  <c r="AN92" i="104" s="1"/>
  <c r="AX92" i="104" s="1"/>
  <c r="BD92" i="104" s="1"/>
  <c r="AE92" i="104"/>
  <c r="AO92" i="104" s="1"/>
  <c r="AY92" i="104" s="1"/>
  <c r="BE92" i="104" s="1"/>
  <c r="AH106" i="105"/>
  <c r="AQ106" i="105" s="1"/>
  <c r="BA105" i="105" s="1"/>
  <c r="AG106" i="105"/>
  <c r="AP106" i="105" s="1"/>
  <c r="AZ105" i="105" s="1"/>
  <c r="AD106" i="105"/>
  <c r="AN106" i="105" s="1"/>
  <c r="AX105" i="105" s="1"/>
  <c r="BD105" i="105" s="1"/>
  <c r="AE106" i="105"/>
  <c r="AO106" i="105" s="1"/>
  <c r="AY105" i="105" s="1"/>
  <c r="BE105" i="105" s="1"/>
  <c r="U95" i="104"/>
  <c r="AL95" i="104" s="1"/>
  <c r="AV95" i="104" s="1"/>
  <c r="V95" i="104"/>
  <c r="AM95" i="104" s="1"/>
  <c r="AW95" i="104" s="1"/>
  <c r="S95" i="104"/>
  <c r="AK95" i="104" s="1"/>
  <c r="AU95" i="104" s="1"/>
  <c r="BC95" i="104" s="1"/>
  <c r="R95" i="104"/>
  <c r="AJ95" i="104" s="1"/>
  <c r="AT95" i="104" s="1"/>
  <c r="BB95" i="104" s="1"/>
  <c r="AH98" i="105"/>
  <c r="AQ98" i="105" s="1"/>
  <c r="BA98" i="105" s="1"/>
  <c r="AG98" i="105"/>
  <c r="AP98" i="105" s="1"/>
  <c r="AZ98" i="105" s="1"/>
  <c r="AD98" i="105"/>
  <c r="AN98" i="105" s="1"/>
  <c r="AX98" i="105" s="1"/>
  <c r="BD98" i="105" s="1"/>
  <c r="AE98" i="105"/>
  <c r="AO98" i="105" s="1"/>
  <c r="AY98" i="105" s="1"/>
  <c r="BE98" i="105" s="1"/>
  <c r="AH105" i="106"/>
  <c r="AQ105" i="106" s="1"/>
  <c r="BA104" i="106" s="1"/>
  <c r="AG105" i="106"/>
  <c r="AP105" i="106" s="1"/>
  <c r="AZ104" i="106" s="1"/>
  <c r="AE105" i="106"/>
  <c r="AO105" i="106" s="1"/>
  <c r="AY104" i="106" s="1"/>
  <c r="BE104" i="106" s="1"/>
  <c r="AD105" i="106"/>
  <c r="AN105" i="106" s="1"/>
  <c r="AX104" i="106" s="1"/>
  <c r="BD104" i="106" s="1"/>
  <c r="V92" i="104"/>
  <c r="AM92" i="104" s="1"/>
  <c r="AW92" i="104" s="1"/>
  <c r="U92" i="104"/>
  <c r="AL92" i="104" s="1"/>
  <c r="AV92" i="104" s="1"/>
  <c r="R92" i="104"/>
  <c r="AJ92" i="104" s="1"/>
  <c r="AT92" i="104" s="1"/>
  <c r="BB92" i="104" s="1"/>
  <c r="S92" i="104"/>
  <c r="AK92" i="104" s="1"/>
  <c r="AU92" i="104" s="1"/>
  <c r="BC92" i="104" s="1"/>
  <c r="V95" i="106"/>
  <c r="AM95" i="106" s="1"/>
  <c r="AW95" i="106" s="1"/>
  <c r="U95" i="106"/>
  <c r="AL95" i="106" s="1"/>
  <c r="AV95" i="106" s="1"/>
  <c r="R95" i="106"/>
  <c r="AJ95" i="106" s="1"/>
  <c r="AT95" i="106" s="1"/>
  <c r="BB95" i="106" s="1"/>
  <c r="S95" i="106"/>
  <c r="AK95" i="106" s="1"/>
  <c r="AU95" i="106" s="1"/>
  <c r="BC95" i="106" s="1"/>
  <c r="J128" i="14"/>
  <c r="AH98" i="107"/>
  <c r="AQ98" i="107" s="1"/>
  <c r="BA98" i="107" s="1"/>
  <c r="AG98" i="107"/>
  <c r="AP98" i="107" s="1"/>
  <c r="AZ98" i="107" s="1"/>
  <c r="AE98" i="107"/>
  <c r="AO98" i="107" s="1"/>
  <c r="AY98" i="107" s="1"/>
  <c r="BE98" i="107" s="1"/>
  <c r="AD98" i="107"/>
  <c r="AN98" i="107" s="1"/>
  <c r="AX98" i="107" s="1"/>
  <c r="BD98" i="107" s="1"/>
  <c r="AH93" i="105"/>
  <c r="AQ93" i="105" s="1"/>
  <c r="BA93" i="105" s="1"/>
  <c r="AG93" i="105"/>
  <c r="AP93" i="105" s="1"/>
  <c r="AZ93" i="105" s="1"/>
  <c r="AD93" i="105"/>
  <c r="AN93" i="105" s="1"/>
  <c r="AX93" i="105" s="1"/>
  <c r="BD93" i="105" s="1"/>
  <c r="AE93" i="105"/>
  <c r="AO93" i="105" s="1"/>
  <c r="AY93" i="105" s="1"/>
  <c r="BE93" i="105" s="1"/>
  <c r="AH104" i="105"/>
  <c r="AQ104" i="105" s="1"/>
  <c r="BA103" i="105" s="1"/>
  <c r="AG104" i="105"/>
  <c r="AP104" i="105" s="1"/>
  <c r="AZ103" i="105" s="1"/>
  <c r="AD104" i="105"/>
  <c r="AN104" i="105" s="1"/>
  <c r="AX103" i="105" s="1"/>
  <c r="BD103" i="105" s="1"/>
  <c r="AE104" i="105"/>
  <c r="AO104" i="105" s="1"/>
  <c r="AY103" i="105" s="1"/>
  <c r="BE103" i="105" s="1"/>
  <c r="AH99" i="105"/>
  <c r="AQ99" i="105" s="1"/>
  <c r="BA99" i="105" s="1"/>
  <c r="AG99" i="105"/>
  <c r="AP99" i="105" s="1"/>
  <c r="AZ99" i="105" s="1"/>
  <c r="AD99" i="105"/>
  <c r="AN99" i="105" s="1"/>
  <c r="AX99" i="105" s="1"/>
  <c r="BD99" i="105" s="1"/>
  <c r="AE99" i="105"/>
  <c r="AO99" i="105" s="1"/>
  <c r="AY99" i="105" s="1"/>
  <c r="BE99" i="105" s="1"/>
  <c r="K109" i="107"/>
  <c r="AH96" i="107"/>
  <c r="AQ96" i="107" s="1"/>
  <c r="BA96" i="107" s="1"/>
  <c r="AG96" i="107"/>
  <c r="AP96" i="107" s="1"/>
  <c r="AZ96" i="107" s="1"/>
  <c r="AD96" i="107"/>
  <c r="AN96" i="107" s="1"/>
  <c r="AX96" i="107" s="1"/>
  <c r="BD96" i="107" s="1"/>
  <c r="AE96" i="107"/>
  <c r="AO96" i="107" s="1"/>
  <c r="AY96" i="107" s="1"/>
  <c r="BE96" i="107" s="1"/>
  <c r="AG105" i="104"/>
  <c r="AP105" i="104" s="1"/>
  <c r="AZ104" i="104" s="1"/>
  <c r="AH105" i="104"/>
  <c r="AQ105" i="104" s="1"/>
  <c r="BA104" i="104" s="1"/>
  <c r="AE105" i="104"/>
  <c r="AO105" i="104" s="1"/>
  <c r="AY104" i="104" s="1"/>
  <c r="BE104" i="104" s="1"/>
  <c r="AD105" i="104"/>
  <c r="AN105" i="104" s="1"/>
  <c r="AX104" i="104" s="1"/>
  <c r="BD104" i="104" s="1"/>
  <c r="AG101" i="107"/>
  <c r="AP101" i="107" s="1"/>
  <c r="AH101" i="107"/>
  <c r="AQ101" i="107" s="1"/>
  <c r="AD101" i="107"/>
  <c r="AN101" i="107" s="1"/>
  <c r="AE101" i="107"/>
  <c r="AO101" i="107" s="1"/>
  <c r="V99" i="106"/>
  <c r="AM99" i="106" s="1"/>
  <c r="AW99" i="106" s="1"/>
  <c r="U99" i="106"/>
  <c r="AL99" i="106" s="1"/>
  <c r="AV99" i="106" s="1"/>
  <c r="S99" i="106"/>
  <c r="AK99" i="106" s="1"/>
  <c r="AU99" i="106" s="1"/>
  <c r="BC99" i="106" s="1"/>
  <c r="R99" i="106"/>
  <c r="AJ99" i="106" s="1"/>
  <c r="AT99" i="106" s="1"/>
  <c r="BB99" i="106" s="1"/>
  <c r="U103" i="104"/>
  <c r="AL103" i="104" s="1"/>
  <c r="V103" i="104"/>
  <c r="AM103" i="104" s="1"/>
  <c r="S103" i="104"/>
  <c r="AK103" i="104" s="1"/>
  <c r="R103" i="104"/>
  <c r="AJ103" i="104" s="1"/>
  <c r="U97" i="105"/>
  <c r="AL97" i="105" s="1"/>
  <c r="AV97" i="105" s="1"/>
  <c r="V97" i="105"/>
  <c r="AM97" i="105" s="1"/>
  <c r="AW97" i="105" s="1"/>
  <c r="R97" i="105"/>
  <c r="AJ97" i="105" s="1"/>
  <c r="AT97" i="105" s="1"/>
  <c r="BB97" i="105" s="1"/>
  <c r="S97" i="105"/>
  <c r="AK97" i="105" s="1"/>
  <c r="AU97" i="105" s="1"/>
  <c r="BC97" i="105" s="1"/>
  <c r="K108" i="104"/>
  <c r="AH107" i="104"/>
  <c r="AQ107" i="104" s="1"/>
  <c r="BA106" i="104" s="1"/>
  <c r="AG107" i="104"/>
  <c r="AP107" i="104" s="1"/>
  <c r="AZ106" i="104" s="1"/>
  <c r="AD107" i="104"/>
  <c r="AN107" i="104" s="1"/>
  <c r="AX106" i="104" s="1"/>
  <c r="BD106" i="104" s="1"/>
  <c r="AE107" i="104"/>
  <c r="AO107" i="104" s="1"/>
  <c r="AY106" i="104" s="1"/>
  <c r="BE106" i="104" s="1"/>
  <c r="U93" i="105"/>
  <c r="AL93" i="105" s="1"/>
  <c r="AV93" i="105" s="1"/>
  <c r="V93" i="105"/>
  <c r="AM93" i="105" s="1"/>
  <c r="AW93" i="105" s="1"/>
  <c r="R93" i="105"/>
  <c r="AJ93" i="105" s="1"/>
  <c r="AT93" i="105" s="1"/>
  <c r="BB93" i="105" s="1"/>
  <c r="S93" i="105"/>
  <c r="AK93" i="105" s="1"/>
  <c r="AU93" i="105" s="1"/>
  <c r="BC93" i="105" s="1"/>
  <c r="V106" i="104"/>
  <c r="AM106" i="104" s="1"/>
  <c r="AW105" i="104" s="1"/>
  <c r="U106" i="104"/>
  <c r="AL106" i="104" s="1"/>
  <c r="AV105" i="104" s="1"/>
  <c r="S106" i="104"/>
  <c r="AK106" i="104" s="1"/>
  <c r="AU105" i="104" s="1"/>
  <c r="BC105" i="104" s="1"/>
  <c r="R106" i="104"/>
  <c r="AJ106" i="104" s="1"/>
  <c r="AT105" i="104" s="1"/>
  <c r="BB105" i="104" s="1"/>
  <c r="U95" i="105"/>
  <c r="AL95" i="105" s="1"/>
  <c r="AV95" i="105" s="1"/>
  <c r="V95" i="105"/>
  <c r="AM95" i="105" s="1"/>
  <c r="AW95" i="105" s="1"/>
  <c r="S95" i="105"/>
  <c r="AK95" i="105" s="1"/>
  <c r="AU95" i="105" s="1"/>
  <c r="BC95" i="105" s="1"/>
  <c r="R95" i="105"/>
  <c r="AJ95" i="105" s="1"/>
  <c r="AT95" i="105" s="1"/>
  <c r="BB95" i="105" s="1"/>
  <c r="AH100" i="104"/>
  <c r="AQ100" i="104" s="1"/>
  <c r="BA100" i="104" s="1"/>
  <c r="AG100" i="104"/>
  <c r="AP100" i="104" s="1"/>
  <c r="AZ100" i="104" s="1"/>
  <c r="AE100" i="104"/>
  <c r="AO100" i="104" s="1"/>
  <c r="AY100" i="104" s="1"/>
  <c r="BE100" i="104" s="1"/>
  <c r="AD100" i="104"/>
  <c r="AN100" i="104" s="1"/>
  <c r="AX100" i="104" s="1"/>
  <c r="BD100" i="104" s="1"/>
  <c r="AG91" i="108"/>
  <c r="AH91" i="108"/>
  <c r="AE91" i="108"/>
  <c r="AD91" i="108"/>
  <c r="J108" i="107"/>
  <c r="U107" i="107"/>
  <c r="AL107" i="107" s="1"/>
  <c r="AV106" i="107" s="1"/>
  <c r="V107" i="107"/>
  <c r="AM107" i="107" s="1"/>
  <c r="AW106" i="107" s="1"/>
  <c r="S107" i="107"/>
  <c r="AK107" i="107" s="1"/>
  <c r="AU106" i="107" s="1"/>
  <c r="BC106" i="107" s="1"/>
  <c r="R107" i="107"/>
  <c r="AJ107" i="107" s="1"/>
  <c r="AT106" i="107" s="1"/>
  <c r="BB106" i="107" s="1"/>
  <c r="AG102" i="108"/>
  <c r="AP102" i="108" s="1"/>
  <c r="AZ102" i="108" s="1"/>
  <c r="AH102" i="108"/>
  <c r="AQ102" i="108" s="1"/>
  <c r="BA102" i="108" s="1"/>
  <c r="AE102" i="108"/>
  <c r="AO102" i="108" s="1"/>
  <c r="AY102" i="108" s="1"/>
  <c r="BE102" i="108" s="1"/>
  <c r="AD102" i="108"/>
  <c r="AN102" i="108" s="1"/>
  <c r="AX102" i="108" s="1"/>
  <c r="BD102" i="108" s="1"/>
  <c r="V94" i="106"/>
  <c r="AM94" i="106" s="1"/>
  <c r="AW94" i="106" s="1"/>
  <c r="U94" i="106"/>
  <c r="AL94" i="106" s="1"/>
  <c r="AV94" i="106" s="1"/>
  <c r="S94" i="106"/>
  <c r="AK94" i="106" s="1"/>
  <c r="AU94" i="106" s="1"/>
  <c r="BC94" i="106" s="1"/>
  <c r="R94" i="106"/>
  <c r="AJ94" i="106" s="1"/>
  <c r="AT94" i="106" s="1"/>
  <c r="BB94" i="106" s="1"/>
  <c r="U101" i="106"/>
  <c r="AL101" i="106" s="1"/>
  <c r="V101" i="106"/>
  <c r="AM101" i="106" s="1"/>
  <c r="S101" i="106"/>
  <c r="AK101" i="106" s="1"/>
  <c r="R101" i="106"/>
  <c r="AJ101" i="106" s="1"/>
  <c r="AG91" i="105"/>
  <c r="AH91" i="105"/>
  <c r="AE91" i="105"/>
  <c r="AD91" i="105"/>
  <c r="V101" i="104"/>
  <c r="AM101" i="104" s="1"/>
  <c r="U101" i="104"/>
  <c r="AL101" i="104" s="1"/>
  <c r="S101" i="104"/>
  <c r="AK101" i="104" s="1"/>
  <c r="R101" i="104"/>
  <c r="AJ101" i="104" s="1"/>
  <c r="V110" i="106"/>
  <c r="AM110" i="106" s="1"/>
  <c r="AW109" i="106" s="1"/>
  <c r="U110" i="106"/>
  <c r="AL110" i="106" s="1"/>
  <c r="AV109" i="106" s="1"/>
  <c r="S110" i="106"/>
  <c r="AK110" i="106" s="1"/>
  <c r="AU109" i="106" s="1"/>
  <c r="BC109" i="106" s="1"/>
  <c r="R110" i="106"/>
  <c r="AJ110" i="106" s="1"/>
  <c r="AT109" i="106" s="1"/>
  <c r="BB109" i="106" s="1"/>
  <c r="V92" i="106"/>
  <c r="AM92" i="106" s="1"/>
  <c r="AW92" i="106" s="1"/>
  <c r="U92" i="106"/>
  <c r="AL92" i="106" s="1"/>
  <c r="AV92" i="106" s="1"/>
  <c r="R92" i="106"/>
  <c r="AJ92" i="106" s="1"/>
  <c r="AT92" i="106" s="1"/>
  <c r="BB92" i="106" s="1"/>
  <c r="S92" i="106"/>
  <c r="AK92" i="106" s="1"/>
  <c r="AU92" i="106" s="1"/>
  <c r="BC92" i="106" s="1"/>
  <c r="AG95" i="106"/>
  <c r="AP95" i="106" s="1"/>
  <c r="AZ95" i="106" s="1"/>
  <c r="AH95" i="106"/>
  <c r="AQ95" i="106" s="1"/>
  <c r="BA95" i="106" s="1"/>
  <c r="AD95" i="106"/>
  <c r="AN95" i="106" s="1"/>
  <c r="AX95" i="106" s="1"/>
  <c r="BD95" i="106" s="1"/>
  <c r="AE95" i="106"/>
  <c r="AO95" i="106" s="1"/>
  <c r="AY95" i="106" s="1"/>
  <c r="BE95" i="106" s="1"/>
  <c r="F123" i="69"/>
  <c r="AG104" i="107"/>
  <c r="AP104" i="107" s="1"/>
  <c r="AZ103" i="107" s="1"/>
  <c r="AH104" i="107"/>
  <c r="AQ104" i="107" s="1"/>
  <c r="BA103" i="107" s="1"/>
  <c r="AE104" i="107"/>
  <c r="AO104" i="107" s="1"/>
  <c r="AY103" i="107" s="1"/>
  <c r="BE103" i="107" s="1"/>
  <c r="AD104" i="107"/>
  <c r="AN104" i="107" s="1"/>
  <c r="AX103" i="107" s="1"/>
  <c r="BD103" i="107" s="1"/>
  <c r="V91" i="107"/>
  <c r="U91" i="107"/>
  <c r="S91" i="107"/>
  <c r="R91" i="107"/>
  <c r="U106" i="107"/>
  <c r="AL106" i="107" s="1"/>
  <c r="AV105" i="107" s="1"/>
  <c r="V106" i="107"/>
  <c r="AM106" i="107" s="1"/>
  <c r="AW105" i="107" s="1"/>
  <c r="S106" i="107"/>
  <c r="AK106" i="107" s="1"/>
  <c r="AU105" i="107" s="1"/>
  <c r="BC105" i="107" s="1"/>
  <c r="R106" i="107"/>
  <c r="AJ106" i="107" s="1"/>
  <c r="AT105" i="107" s="1"/>
  <c r="BB105" i="107" s="1"/>
  <c r="AG98" i="108"/>
  <c r="AP98" i="108" s="1"/>
  <c r="AZ98" i="108" s="1"/>
  <c r="AH98" i="108"/>
  <c r="AQ98" i="108" s="1"/>
  <c r="BA98" i="108" s="1"/>
  <c r="AD98" i="108"/>
  <c r="AN98" i="108" s="1"/>
  <c r="AX98" i="108" s="1"/>
  <c r="BD98" i="108" s="1"/>
  <c r="AE98" i="108"/>
  <c r="AO98" i="108" s="1"/>
  <c r="AY98" i="108" s="1"/>
  <c r="BE98" i="108" s="1"/>
  <c r="AH93" i="108"/>
  <c r="AQ93" i="108" s="1"/>
  <c r="BA93" i="108" s="1"/>
  <c r="AG93" i="108"/>
  <c r="AP93" i="108" s="1"/>
  <c r="AZ93" i="108" s="1"/>
  <c r="AD93" i="108"/>
  <c r="AN93" i="108" s="1"/>
  <c r="AX93" i="108" s="1"/>
  <c r="BD93" i="108" s="1"/>
  <c r="AE93" i="108"/>
  <c r="AO93" i="108" s="1"/>
  <c r="AY93" i="108" s="1"/>
  <c r="BE93" i="108" s="1"/>
  <c r="AG104" i="104"/>
  <c r="AP104" i="104" s="1"/>
  <c r="AZ103" i="104" s="1"/>
  <c r="AH104" i="104"/>
  <c r="AQ104" i="104" s="1"/>
  <c r="BA103" i="104" s="1"/>
  <c r="AE104" i="104"/>
  <c r="AO104" i="104" s="1"/>
  <c r="AY103" i="104" s="1"/>
  <c r="BE103" i="104" s="1"/>
  <c r="AD104" i="104"/>
  <c r="AN104" i="104" s="1"/>
  <c r="AX103" i="104" s="1"/>
  <c r="BD103" i="104" s="1"/>
  <c r="V104" i="104"/>
  <c r="AM104" i="104" s="1"/>
  <c r="AW103" i="104" s="1"/>
  <c r="U104" i="104"/>
  <c r="AL104" i="104" s="1"/>
  <c r="AV103" i="104" s="1"/>
  <c r="S104" i="104"/>
  <c r="AK104" i="104" s="1"/>
  <c r="AU103" i="104" s="1"/>
  <c r="BC103" i="104" s="1"/>
  <c r="R104" i="104"/>
  <c r="AJ104" i="104" s="1"/>
  <c r="AT103" i="104" s="1"/>
  <c r="BB103" i="104" s="1"/>
  <c r="K109" i="108"/>
  <c r="AG96" i="108"/>
  <c r="AP96" i="108" s="1"/>
  <c r="AZ96" i="108" s="1"/>
  <c r="AH96" i="108"/>
  <c r="AQ96" i="108" s="1"/>
  <c r="BA96" i="108" s="1"/>
  <c r="AE96" i="108"/>
  <c r="AO96" i="108" s="1"/>
  <c r="AY96" i="108" s="1"/>
  <c r="BE96" i="108" s="1"/>
  <c r="AD96" i="108"/>
  <c r="AN96" i="108" s="1"/>
  <c r="AX96" i="108" s="1"/>
  <c r="BD96" i="108" s="1"/>
  <c r="AH105" i="108"/>
  <c r="AQ105" i="108" s="1"/>
  <c r="BA104" i="108" s="1"/>
  <c r="AG105" i="108"/>
  <c r="AP105" i="108" s="1"/>
  <c r="AZ104" i="108" s="1"/>
  <c r="AE105" i="108"/>
  <c r="AO105" i="108" s="1"/>
  <c r="AY104" i="108" s="1"/>
  <c r="BE104" i="108" s="1"/>
  <c r="AD105" i="108"/>
  <c r="AN105" i="108" s="1"/>
  <c r="AX104" i="108" s="1"/>
  <c r="BD104" i="108" s="1"/>
  <c r="AH101" i="105"/>
  <c r="AQ101" i="105" s="1"/>
  <c r="AG101" i="105"/>
  <c r="AP101" i="105" s="1"/>
  <c r="AD101" i="105"/>
  <c r="AN101" i="105" s="1"/>
  <c r="AE101" i="105"/>
  <c r="AO101" i="105" s="1"/>
  <c r="V99" i="107"/>
  <c r="AM99" i="107" s="1"/>
  <c r="AW99" i="107" s="1"/>
  <c r="U99" i="107"/>
  <c r="AL99" i="107" s="1"/>
  <c r="AV99" i="107" s="1"/>
  <c r="R99" i="107"/>
  <c r="AJ99" i="107" s="1"/>
  <c r="AT99" i="107" s="1"/>
  <c r="BB99" i="107" s="1"/>
  <c r="S99" i="107"/>
  <c r="AK99" i="107" s="1"/>
  <c r="AU99" i="107" s="1"/>
  <c r="BC99" i="107" s="1"/>
  <c r="AH94" i="108"/>
  <c r="AQ94" i="108" s="1"/>
  <c r="BA94" i="108" s="1"/>
  <c r="AG94" i="108"/>
  <c r="AP94" i="108" s="1"/>
  <c r="AZ94" i="108" s="1"/>
  <c r="AE94" i="108"/>
  <c r="AO94" i="108" s="1"/>
  <c r="AY94" i="108" s="1"/>
  <c r="BE94" i="108" s="1"/>
  <c r="AD94" i="108"/>
  <c r="AN94" i="108" s="1"/>
  <c r="AX94" i="108" s="1"/>
  <c r="BD94" i="108" s="1"/>
  <c r="U97" i="107"/>
  <c r="AL97" i="107" s="1"/>
  <c r="AV97" i="107" s="1"/>
  <c r="V97" i="107"/>
  <c r="AM97" i="107" s="1"/>
  <c r="AW97" i="107" s="1"/>
  <c r="S97" i="107"/>
  <c r="AK97" i="107" s="1"/>
  <c r="AU97" i="107" s="1"/>
  <c r="BC97" i="107" s="1"/>
  <c r="R97" i="107"/>
  <c r="AJ97" i="107" s="1"/>
  <c r="AT97" i="107" s="1"/>
  <c r="BB97" i="107" s="1"/>
  <c r="K108" i="106"/>
  <c r="AG107" i="106"/>
  <c r="AP107" i="106" s="1"/>
  <c r="AZ106" i="106" s="1"/>
  <c r="AH107" i="106"/>
  <c r="AQ107" i="106" s="1"/>
  <c r="BA106" i="106" s="1"/>
  <c r="AD107" i="106"/>
  <c r="AN107" i="106" s="1"/>
  <c r="AX106" i="106" s="1"/>
  <c r="BD106" i="106" s="1"/>
  <c r="AE107" i="106"/>
  <c r="AO107" i="106" s="1"/>
  <c r="AY106" i="106" s="1"/>
  <c r="BE106" i="106" s="1"/>
  <c r="V93" i="108"/>
  <c r="AM93" i="108" s="1"/>
  <c r="AW93" i="108" s="1"/>
  <c r="U93" i="108"/>
  <c r="AL93" i="108" s="1"/>
  <c r="AV93" i="108" s="1"/>
  <c r="R93" i="108"/>
  <c r="AJ93" i="108" s="1"/>
  <c r="AT93" i="108" s="1"/>
  <c r="BB93" i="108" s="1"/>
  <c r="S93" i="108"/>
  <c r="AK93" i="108" s="1"/>
  <c r="AU93" i="108" s="1"/>
  <c r="BC93" i="108" s="1"/>
  <c r="V106" i="108"/>
  <c r="AM106" i="108" s="1"/>
  <c r="AW105" i="108" s="1"/>
  <c r="U106" i="108"/>
  <c r="AL106" i="108" s="1"/>
  <c r="AV105" i="108" s="1"/>
  <c r="R106" i="108"/>
  <c r="AJ106" i="108" s="1"/>
  <c r="AT105" i="108" s="1"/>
  <c r="BB105" i="108" s="1"/>
  <c r="S106" i="108"/>
  <c r="AK106" i="108" s="1"/>
  <c r="AU105" i="108" s="1"/>
  <c r="BC105" i="108" s="1"/>
  <c r="V105" i="107"/>
  <c r="AM105" i="107" s="1"/>
  <c r="AW104" i="107" s="1"/>
  <c r="U105" i="107"/>
  <c r="AL105" i="107" s="1"/>
  <c r="AV104" i="107" s="1"/>
  <c r="S105" i="107"/>
  <c r="AK105" i="107" s="1"/>
  <c r="AU104" i="107" s="1"/>
  <c r="BC104" i="107" s="1"/>
  <c r="R105" i="107"/>
  <c r="AJ105" i="107" s="1"/>
  <c r="AT104" i="107" s="1"/>
  <c r="BB104" i="107" s="1"/>
  <c r="AG100" i="108"/>
  <c r="AP100" i="108" s="1"/>
  <c r="AZ100" i="108" s="1"/>
  <c r="AH100" i="108"/>
  <c r="AQ100" i="108" s="1"/>
  <c r="BA100" i="108" s="1"/>
  <c r="AE100" i="108"/>
  <c r="AO100" i="108" s="1"/>
  <c r="AY100" i="108" s="1"/>
  <c r="BE100" i="108" s="1"/>
  <c r="AD100" i="108"/>
  <c r="AN100" i="108" s="1"/>
  <c r="AX100" i="108" s="1"/>
  <c r="BD100" i="108" s="1"/>
  <c r="AG93" i="107"/>
  <c r="AP93" i="107" s="1"/>
  <c r="AZ93" i="107" s="1"/>
  <c r="AH93" i="107"/>
  <c r="AQ93" i="107" s="1"/>
  <c r="BA93" i="107" s="1"/>
  <c r="AD93" i="107"/>
  <c r="AN93" i="107" s="1"/>
  <c r="AX93" i="107" s="1"/>
  <c r="BD93" i="107" s="1"/>
  <c r="AE93" i="107"/>
  <c r="AO93" i="107" s="1"/>
  <c r="AY93" i="107" s="1"/>
  <c r="BE93" i="107" s="1"/>
  <c r="AG101" i="106"/>
  <c r="AP101" i="106" s="1"/>
  <c r="AH101" i="106"/>
  <c r="AQ101" i="106" s="1"/>
  <c r="AD101" i="106"/>
  <c r="AN101" i="106" s="1"/>
  <c r="AE101" i="106"/>
  <c r="AO101" i="106" s="1"/>
  <c r="AH94" i="107"/>
  <c r="AQ94" i="107" s="1"/>
  <c r="BA94" i="107" s="1"/>
  <c r="AG94" i="107"/>
  <c r="AP94" i="107" s="1"/>
  <c r="AZ94" i="107" s="1"/>
  <c r="AE94" i="107"/>
  <c r="AO94" i="107" s="1"/>
  <c r="AY94" i="107" s="1"/>
  <c r="BE94" i="107" s="1"/>
  <c r="AD94" i="107"/>
  <c r="AN94" i="107" s="1"/>
  <c r="AX94" i="107" s="1"/>
  <c r="BD94" i="107" s="1"/>
  <c r="AG91" i="107"/>
  <c r="AH91" i="107"/>
  <c r="AD91" i="107"/>
  <c r="AE91" i="107"/>
  <c r="V105" i="104"/>
  <c r="AM105" i="104" s="1"/>
  <c r="AW104" i="104" s="1"/>
  <c r="U105" i="104"/>
  <c r="AL105" i="104" s="1"/>
  <c r="AV104" i="104" s="1"/>
  <c r="S105" i="104"/>
  <c r="AK105" i="104" s="1"/>
  <c r="AU104" i="104" s="1"/>
  <c r="BC104" i="104" s="1"/>
  <c r="R105" i="104"/>
  <c r="AJ105" i="104" s="1"/>
  <c r="AT104" i="104" s="1"/>
  <c r="BB104" i="104" s="1"/>
  <c r="U94" i="104"/>
  <c r="AL94" i="104" s="1"/>
  <c r="AV94" i="104" s="1"/>
  <c r="V94" i="104"/>
  <c r="AM94" i="104" s="1"/>
  <c r="AW94" i="104" s="1"/>
  <c r="S94" i="104"/>
  <c r="AK94" i="104" s="1"/>
  <c r="AU94" i="104" s="1"/>
  <c r="BC94" i="104" s="1"/>
  <c r="R94" i="104"/>
  <c r="AJ94" i="104" s="1"/>
  <c r="AT94" i="104" s="1"/>
  <c r="BB94" i="104" s="1"/>
  <c r="V100" i="107"/>
  <c r="AM100" i="107" s="1"/>
  <c r="AW100" i="107" s="1"/>
  <c r="U100" i="107"/>
  <c r="AL100" i="107" s="1"/>
  <c r="AV100" i="107" s="1"/>
  <c r="S100" i="107"/>
  <c r="AK100" i="107" s="1"/>
  <c r="AU100" i="107" s="1"/>
  <c r="BC100" i="107" s="1"/>
  <c r="R100" i="107"/>
  <c r="AJ100" i="107" s="1"/>
  <c r="AT100" i="107" s="1"/>
  <c r="BB100" i="107" s="1"/>
  <c r="AH98" i="104"/>
  <c r="AQ98" i="104" s="1"/>
  <c r="BA98" i="104" s="1"/>
  <c r="AG98" i="104"/>
  <c r="AP98" i="104" s="1"/>
  <c r="AZ98" i="104" s="1"/>
  <c r="AD98" i="104"/>
  <c r="AN98" i="104" s="1"/>
  <c r="AX98" i="104" s="1"/>
  <c r="BD98" i="104" s="1"/>
  <c r="AE98" i="104"/>
  <c r="AO98" i="104" s="1"/>
  <c r="AY98" i="104" s="1"/>
  <c r="BE98" i="104" s="1"/>
  <c r="AG105" i="105"/>
  <c r="AP105" i="105" s="1"/>
  <c r="AZ104" i="105" s="1"/>
  <c r="AH105" i="105"/>
  <c r="AQ105" i="105" s="1"/>
  <c r="BA104" i="105" s="1"/>
  <c r="AE105" i="105"/>
  <c r="AO105" i="105" s="1"/>
  <c r="AY104" i="105" s="1"/>
  <c r="BE104" i="105" s="1"/>
  <c r="AD105" i="105"/>
  <c r="AN105" i="105" s="1"/>
  <c r="AX104" i="105" s="1"/>
  <c r="BD104" i="105" s="1"/>
  <c r="V100" i="105"/>
  <c r="AM100" i="105" s="1"/>
  <c r="AW100" i="105" s="1"/>
  <c r="U100" i="105"/>
  <c r="AL100" i="105" s="1"/>
  <c r="AV100" i="105" s="1"/>
  <c r="S100" i="105"/>
  <c r="AK100" i="105" s="1"/>
  <c r="AU100" i="105" s="1"/>
  <c r="BC100" i="105" s="1"/>
  <c r="R100" i="105"/>
  <c r="AJ100" i="105" s="1"/>
  <c r="AT100" i="105" s="1"/>
  <c r="BB100" i="105" s="1"/>
  <c r="V110" i="105"/>
  <c r="AM110" i="105" s="1"/>
  <c r="AW109" i="105" s="1"/>
  <c r="U110" i="105"/>
  <c r="AL110" i="105" s="1"/>
  <c r="AV109" i="105" s="1"/>
  <c r="S110" i="105"/>
  <c r="AK110" i="105" s="1"/>
  <c r="AU109" i="105" s="1"/>
  <c r="BC109" i="105" s="1"/>
  <c r="R110" i="105"/>
  <c r="AJ110" i="105" s="1"/>
  <c r="AT109" i="105" s="1"/>
  <c r="BB109" i="105" s="1"/>
  <c r="V99" i="104"/>
  <c r="AM99" i="104" s="1"/>
  <c r="AW99" i="104" s="1"/>
  <c r="U99" i="104"/>
  <c r="AL99" i="104" s="1"/>
  <c r="AV99" i="104" s="1"/>
  <c r="S99" i="104"/>
  <c r="AK99" i="104" s="1"/>
  <c r="AU99" i="104" s="1"/>
  <c r="BC99" i="104" s="1"/>
  <c r="R99" i="104"/>
  <c r="AJ99" i="104" s="1"/>
  <c r="AT99" i="104" s="1"/>
  <c r="BB99" i="104" s="1"/>
  <c r="AH95" i="104"/>
  <c r="AQ95" i="104" s="1"/>
  <c r="BA95" i="104" s="1"/>
  <c r="AG95" i="104"/>
  <c r="AP95" i="104" s="1"/>
  <c r="AZ95" i="104" s="1"/>
  <c r="AE95" i="104"/>
  <c r="AO95" i="104" s="1"/>
  <c r="AY95" i="104" s="1"/>
  <c r="BE95" i="104" s="1"/>
  <c r="AD95" i="104"/>
  <c r="AN95" i="104" s="1"/>
  <c r="AX95" i="104" s="1"/>
  <c r="BD95" i="104" s="1"/>
  <c r="J138" i="14"/>
  <c r="J109" i="106"/>
  <c r="V96" i="106"/>
  <c r="AM96" i="106" s="1"/>
  <c r="AW96" i="106" s="1"/>
  <c r="U96" i="106"/>
  <c r="AL96" i="106" s="1"/>
  <c r="AV96" i="106" s="1"/>
  <c r="S96" i="106"/>
  <c r="AK96" i="106" s="1"/>
  <c r="AU96" i="106" s="1"/>
  <c r="BC96" i="106" s="1"/>
  <c r="R96" i="106"/>
  <c r="AJ96" i="106" s="1"/>
  <c r="AT96" i="106" s="1"/>
  <c r="BB96" i="106" s="1"/>
  <c r="AG93" i="104"/>
  <c r="AP93" i="104" s="1"/>
  <c r="AZ93" i="104" s="1"/>
  <c r="AH93" i="104"/>
  <c r="AQ93" i="104" s="1"/>
  <c r="BA93" i="104" s="1"/>
  <c r="AD93" i="104"/>
  <c r="AN93" i="104" s="1"/>
  <c r="AX93" i="104" s="1"/>
  <c r="BD93" i="104" s="1"/>
  <c r="AE93" i="104"/>
  <c r="AO93" i="104" s="1"/>
  <c r="AY93" i="104" s="1"/>
  <c r="BE93" i="104" s="1"/>
  <c r="AG104" i="108"/>
  <c r="AP104" i="108" s="1"/>
  <c r="AZ103" i="108" s="1"/>
  <c r="AH104" i="108"/>
  <c r="AQ104" i="108" s="1"/>
  <c r="BA103" i="108" s="1"/>
  <c r="AE104" i="108"/>
  <c r="AO104" i="108" s="1"/>
  <c r="AY103" i="108" s="1"/>
  <c r="BE103" i="108" s="1"/>
  <c r="AD104" i="108"/>
  <c r="AN104" i="108" s="1"/>
  <c r="AX103" i="108" s="1"/>
  <c r="BD103" i="108" s="1"/>
  <c r="V104" i="105"/>
  <c r="AM104" i="105" s="1"/>
  <c r="AW103" i="105" s="1"/>
  <c r="U104" i="105"/>
  <c r="AL104" i="105" s="1"/>
  <c r="AV103" i="105" s="1"/>
  <c r="S104" i="105"/>
  <c r="AK104" i="105" s="1"/>
  <c r="AU103" i="105" s="1"/>
  <c r="BC103" i="105" s="1"/>
  <c r="R104" i="105"/>
  <c r="AJ104" i="105" s="1"/>
  <c r="AT103" i="105" s="1"/>
  <c r="BB103" i="105" s="1"/>
  <c r="K109" i="105"/>
  <c r="AG96" i="105"/>
  <c r="AP96" i="105" s="1"/>
  <c r="AZ96" i="105" s="1"/>
  <c r="AH96" i="105"/>
  <c r="AQ96" i="105" s="1"/>
  <c r="BA96" i="105" s="1"/>
  <c r="AD96" i="105"/>
  <c r="AN96" i="105" s="1"/>
  <c r="AX96" i="105" s="1"/>
  <c r="BD96" i="105" s="1"/>
  <c r="AE96" i="105"/>
  <c r="AO96" i="105" s="1"/>
  <c r="AY96" i="105" s="1"/>
  <c r="BE96" i="105" s="1"/>
  <c r="U102" i="108"/>
  <c r="AL102" i="108" s="1"/>
  <c r="AV102" i="108" s="1"/>
  <c r="V102" i="108"/>
  <c r="AM102" i="108" s="1"/>
  <c r="AW102" i="108" s="1"/>
  <c r="S102" i="108"/>
  <c r="AK102" i="108" s="1"/>
  <c r="AU102" i="108" s="1"/>
  <c r="BC102" i="108" s="1"/>
  <c r="R102" i="108"/>
  <c r="AJ102" i="108" s="1"/>
  <c r="AT102" i="108" s="1"/>
  <c r="BB102" i="108" s="1"/>
  <c r="AH101" i="108"/>
  <c r="AQ101" i="108" s="1"/>
  <c r="AG101" i="108"/>
  <c r="AP101" i="108" s="1"/>
  <c r="AD101" i="108"/>
  <c r="AN101" i="108" s="1"/>
  <c r="AE101" i="108"/>
  <c r="AO101" i="108" s="1"/>
  <c r="V99" i="105"/>
  <c r="AM99" i="105" s="1"/>
  <c r="AW99" i="105" s="1"/>
  <c r="U99" i="105"/>
  <c r="AL99" i="105" s="1"/>
  <c r="AV99" i="105" s="1"/>
  <c r="R99" i="105"/>
  <c r="AJ99" i="105" s="1"/>
  <c r="AT99" i="105" s="1"/>
  <c r="BB99" i="105" s="1"/>
  <c r="S99" i="105"/>
  <c r="AK99" i="105" s="1"/>
  <c r="AU99" i="105" s="1"/>
  <c r="BC99" i="105" s="1"/>
  <c r="AH94" i="106"/>
  <c r="AQ94" i="106" s="1"/>
  <c r="BA94" i="106" s="1"/>
  <c r="AG94" i="106"/>
  <c r="AP94" i="106" s="1"/>
  <c r="AZ94" i="106" s="1"/>
  <c r="AE94" i="106"/>
  <c r="AO94" i="106" s="1"/>
  <c r="AY94" i="106" s="1"/>
  <c r="BE94" i="106" s="1"/>
  <c r="AD94" i="106"/>
  <c r="AN94" i="106" s="1"/>
  <c r="AX94" i="106" s="1"/>
  <c r="BD94" i="106" s="1"/>
  <c r="V97" i="106"/>
  <c r="AM97" i="106" s="1"/>
  <c r="AW97" i="106" s="1"/>
  <c r="U97" i="106"/>
  <c r="AL97" i="106" s="1"/>
  <c r="AV97" i="106" s="1"/>
  <c r="R97" i="106"/>
  <c r="AJ97" i="106" s="1"/>
  <c r="AT97" i="106" s="1"/>
  <c r="BB97" i="106" s="1"/>
  <c r="S97" i="106"/>
  <c r="AK97" i="106" s="1"/>
  <c r="AU97" i="106" s="1"/>
  <c r="BC97" i="106" s="1"/>
  <c r="J108" i="105"/>
  <c r="V107" i="105"/>
  <c r="AM107" i="105" s="1"/>
  <c r="AW106" i="105" s="1"/>
  <c r="U107" i="105"/>
  <c r="AL107" i="105" s="1"/>
  <c r="AV106" i="105" s="1"/>
  <c r="R107" i="105"/>
  <c r="AJ107" i="105" s="1"/>
  <c r="AT106" i="105" s="1"/>
  <c r="BB106" i="105" s="1"/>
  <c r="S107" i="105"/>
  <c r="AK107" i="105" s="1"/>
  <c r="AU106" i="105" s="1"/>
  <c r="BC106" i="105" s="1"/>
  <c r="U93" i="104"/>
  <c r="AL93" i="104" s="1"/>
  <c r="AV93" i="104" s="1"/>
  <c r="V93" i="104"/>
  <c r="AM93" i="104" s="1"/>
  <c r="AW93" i="104" s="1"/>
  <c r="S93" i="104"/>
  <c r="AK93" i="104" s="1"/>
  <c r="AU93" i="104" s="1"/>
  <c r="BC93" i="104" s="1"/>
  <c r="R93" i="104"/>
  <c r="AJ93" i="104" s="1"/>
  <c r="AT93" i="104" s="1"/>
  <c r="BB93" i="104" s="1"/>
  <c r="V106" i="105"/>
  <c r="AM106" i="105" s="1"/>
  <c r="AW105" i="105" s="1"/>
  <c r="U106" i="105"/>
  <c r="AL106" i="105" s="1"/>
  <c r="AV105" i="105" s="1"/>
  <c r="R106" i="105"/>
  <c r="AJ106" i="105" s="1"/>
  <c r="AT105" i="105" s="1"/>
  <c r="BB105" i="105" s="1"/>
  <c r="S106" i="105"/>
  <c r="AK106" i="105" s="1"/>
  <c r="AU105" i="105" s="1"/>
  <c r="BC105" i="105" s="1"/>
  <c r="U105" i="106"/>
  <c r="AL105" i="106" s="1"/>
  <c r="AV104" i="106" s="1"/>
  <c r="V105" i="106"/>
  <c r="AM105" i="106" s="1"/>
  <c r="AW104" i="106" s="1"/>
  <c r="R105" i="106"/>
  <c r="AJ105" i="106" s="1"/>
  <c r="AT104" i="106" s="1"/>
  <c r="BB104" i="106" s="1"/>
  <c r="S105" i="106"/>
  <c r="AK105" i="106" s="1"/>
  <c r="AU104" i="106" s="1"/>
  <c r="BC104" i="106" s="1"/>
  <c r="AG100" i="105"/>
  <c r="AP100" i="105" s="1"/>
  <c r="AZ100" i="105" s="1"/>
  <c r="AH100" i="105"/>
  <c r="AQ100" i="105" s="1"/>
  <c r="BA100" i="105" s="1"/>
  <c r="AE100" i="105"/>
  <c r="AO100" i="105" s="1"/>
  <c r="AY100" i="105" s="1"/>
  <c r="BE100" i="105" s="1"/>
  <c r="AD100" i="105"/>
  <c r="AN100" i="105" s="1"/>
  <c r="AX100" i="105" s="1"/>
  <c r="BD100" i="105" s="1"/>
  <c r="AG103" i="106"/>
  <c r="AP103" i="106" s="1"/>
  <c r="AH103" i="106"/>
  <c r="AQ103" i="106" s="1"/>
  <c r="AE103" i="106"/>
  <c r="AO103" i="106" s="1"/>
  <c r="AD103" i="106"/>
  <c r="AN103" i="106" s="1"/>
  <c r="AG110" i="107"/>
  <c r="AP110" i="107" s="1"/>
  <c r="AZ109" i="107" s="1"/>
  <c r="AH110" i="107"/>
  <c r="AQ110" i="107" s="1"/>
  <c r="BA109" i="107" s="1"/>
  <c r="AD110" i="107"/>
  <c r="AN110" i="107" s="1"/>
  <c r="AX109" i="107" s="1"/>
  <c r="BD109" i="107" s="1"/>
  <c r="AE110" i="107"/>
  <c r="AO110" i="107" s="1"/>
  <c r="AY109" i="107" s="1"/>
  <c r="BE109" i="107" s="1"/>
  <c r="V93" i="106"/>
  <c r="AM93" i="106" s="1"/>
  <c r="AW93" i="106" s="1"/>
  <c r="U93" i="106"/>
  <c r="AL93" i="106" s="1"/>
  <c r="AV93" i="106" s="1"/>
  <c r="R93" i="106"/>
  <c r="AJ93" i="106" s="1"/>
  <c r="AT93" i="106" s="1"/>
  <c r="BB93" i="106" s="1"/>
  <c r="S93" i="106"/>
  <c r="AK93" i="106" s="1"/>
  <c r="AU93" i="106" s="1"/>
  <c r="BC93" i="106" s="1"/>
  <c r="J109" i="105"/>
  <c r="V96" i="105"/>
  <c r="AM96" i="105" s="1"/>
  <c r="AW96" i="105" s="1"/>
  <c r="U96" i="105"/>
  <c r="AL96" i="105" s="1"/>
  <c r="AV96" i="105" s="1"/>
  <c r="S96" i="105"/>
  <c r="AK96" i="105" s="1"/>
  <c r="AU96" i="105" s="1"/>
  <c r="BC96" i="105" s="1"/>
  <c r="R96" i="105"/>
  <c r="AJ96" i="105" s="1"/>
  <c r="AT96" i="105" s="1"/>
  <c r="BB96" i="105" s="1"/>
  <c r="AH106" i="107"/>
  <c r="AQ106" i="107" s="1"/>
  <c r="BA105" i="107" s="1"/>
  <c r="AG106" i="107"/>
  <c r="AP106" i="107" s="1"/>
  <c r="AZ105" i="107" s="1"/>
  <c r="AE106" i="107"/>
  <c r="AO106" i="107" s="1"/>
  <c r="AY105" i="107" s="1"/>
  <c r="BE105" i="107" s="1"/>
  <c r="AD106" i="107"/>
  <c r="AN106" i="107" s="1"/>
  <c r="AX105" i="107" s="1"/>
  <c r="BD105" i="107" s="1"/>
  <c r="AG94" i="105"/>
  <c r="AP94" i="105" s="1"/>
  <c r="AZ94" i="105" s="1"/>
  <c r="AH94" i="105"/>
  <c r="AQ94" i="105" s="1"/>
  <c r="BA94" i="105" s="1"/>
  <c r="AE94" i="105"/>
  <c r="AO94" i="105" s="1"/>
  <c r="AY94" i="105" s="1"/>
  <c r="BE94" i="105" s="1"/>
  <c r="AD94" i="105"/>
  <c r="AN94" i="105" s="1"/>
  <c r="AX94" i="105" s="1"/>
  <c r="BD94" i="105" s="1"/>
  <c r="V110" i="104"/>
  <c r="AM110" i="104" s="1"/>
  <c r="AW109" i="104" s="1"/>
  <c r="U110" i="104"/>
  <c r="AL110" i="104" s="1"/>
  <c r="AV109" i="104" s="1"/>
  <c r="R110" i="104"/>
  <c r="AJ110" i="104" s="1"/>
  <c r="AT109" i="104" s="1"/>
  <c r="BB109" i="104" s="1"/>
  <c r="S110" i="104"/>
  <c r="AK110" i="104" s="1"/>
  <c r="AU109" i="104" s="1"/>
  <c r="BC109" i="104" s="1"/>
  <c r="J108" i="108"/>
  <c r="U107" i="108"/>
  <c r="AL107" i="108" s="1"/>
  <c r="AV106" i="108" s="1"/>
  <c r="V107" i="108"/>
  <c r="AM107" i="108" s="1"/>
  <c r="AW106" i="108" s="1"/>
  <c r="S107" i="108"/>
  <c r="AK107" i="108" s="1"/>
  <c r="AU106" i="108" s="1"/>
  <c r="BC106" i="108" s="1"/>
  <c r="R107" i="108"/>
  <c r="AJ107" i="108" s="1"/>
  <c r="AT106" i="108" s="1"/>
  <c r="BB106" i="108" s="1"/>
  <c r="AH99" i="104"/>
  <c r="AQ99" i="104" s="1"/>
  <c r="BA99" i="104" s="1"/>
  <c r="AG99" i="104"/>
  <c r="AP99" i="104" s="1"/>
  <c r="AZ99" i="104" s="1"/>
  <c r="AD99" i="104"/>
  <c r="AN99" i="104" s="1"/>
  <c r="AX99" i="104" s="1"/>
  <c r="BD99" i="104" s="1"/>
  <c r="AE99" i="104"/>
  <c r="AO99" i="104" s="1"/>
  <c r="AY99" i="104" s="1"/>
  <c r="BE99" i="104" s="1"/>
  <c r="V91" i="108"/>
  <c r="U91" i="108"/>
  <c r="S91" i="108"/>
  <c r="R91" i="108"/>
  <c r="K108" i="105"/>
  <c r="AH107" i="105"/>
  <c r="AQ107" i="105" s="1"/>
  <c r="BA106" i="105" s="1"/>
  <c r="AG107" i="105"/>
  <c r="AP107" i="105" s="1"/>
  <c r="AZ106" i="105" s="1"/>
  <c r="AD107" i="105"/>
  <c r="AN107" i="105" s="1"/>
  <c r="AX106" i="105" s="1"/>
  <c r="BD106" i="105" s="1"/>
  <c r="AE107" i="105"/>
  <c r="AO107" i="105" s="1"/>
  <c r="AY106" i="105" s="1"/>
  <c r="BE106" i="105" s="1"/>
  <c r="AH92" i="105"/>
  <c r="AQ92" i="105" s="1"/>
  <c r="BA92" i="105" s="1"/>
  <c r="AG92" i="105"/>
  <c r="AP92" i="105" s="1"/>
  <c r="AZ92" i="105" s="1"/>
  <c r="AD92" i="105"/>
  <c r="AN92" i="105" s="1"/>
  <c r="AX92" i="105" s="1"/>
  <c r="BD92" i="105" s="1"/>
  <c r="AE92" i="105"/>
  <c r="AO92" i="105" s="1"/>
  <c r="AY92" i="105" s="1"/>
  <c r="BE92" i="105" s="1"/>
  <c r="K108" i="107"/>
  <c r="AG107" i="107"/>
  <c r="AP107" i="107" s="1"/>
  <c r="AZ106" i="107" s="1"/>
  <c r="AH107" i="107"/>
  <c r="AQ107" i="107" s="1"/>
  <c r="BA106" i="107" s="1"/>
  <c r="AE107" i="107"/>
  <c r="AO107" i="107" s="1"/>
  <c r="AY106" i="107" s="1"/>
  <c r="BE106" i="107" s="1"/>
  <c r="AD107" i="107"/>
  <c r="AN107" i="107" s="1"/>
  <c r="AX106" i="107" s="1"/>
  <c r="BD106" i="107" s="1"/>
  <c r="J109" i="104"/>
  <c r="U96" i="104"/>
  <c r="AL96" i="104" s="1"/>
  <c r="AV96" i="104" s="1"/>
  <c r="V96" i="104"/>
  <c r="AM96" i="104" s="1"/>
  <c r="AW96" i="104" s="1"/>
  <c r="S96" i="104"/>
  <c r="AK96" i="104" s="1"/>
  <c r="AU96" i="104" s="1"/>
  <c r="BC96" i="104" s="1"/>
  <c r="R96" i="104"/>
  <c r="AJ96" i="104" s="1"/>
  <c r="AT96" i="104" s="1"/>
  <c r="BB96" i="104" s="1"/>
  <c r="AH93" i="106"/>
  <c r="AQ93" i="106" s="1"/>
  <c r="BA93" i="106" s="1"/>
  <c r="AG93" i="106"/>
  <c r="AP93" i="106" s="1"/>
  <c r="AZ93" i="106" s="1"/>
  <c r="AD93" i="106"/>
  <c r="AN93" i="106" s="1"/>
  <c r="AX93" i="106" s="1"/>
  <c r="BD93" i="106" s="1"/>
  <c r="AE93" i="106"/>
  <c r="AO93" i="106" s="1"/>
  <c r="AY93" i="106" s="1"/>
  <c r="BE93" i="106" s="1"/>
  <c r="AG91" i="104"/>
  <c r="AH91" i="104"/>
  <c r="AD91" i="104"/>
  <c r="AE91" i="104"/>
  <c r="U104" i="106"/>
  <c r="AL104" i="106" s="1"/>
  <c r="AV103" i="106" s="1"/>
  <c r="V104" i="106"/>
  <c r="AM104" i="106" s="1"/>
  <c r="AW103" i="106" s="1"/>
  <c r="S104" i="106"/>
  <c r="AK104" i="106" s="1"/>
  <c r="AU103" i="106" s="1"/>
  <c r="BC103" i="106" s="1"/>
  <c r="R104" i="106"/>
  <c r="AJ104" i="106" s="1"/>
  <c r="AT103" i="106" s="1"/>
  <c r="BB103" i="106" s="1"/>
  <c r="K109" i="106"/>
  <c r="AH96" i="106"/>
  <c r="AQ96" i="106" s="1"/>
  <c r="BA96" i="106" s="1"/>
  <c r="AG96" i="106"/>
  <c r="AP96" i="106" s="1"/>
  <c r="AZ96" i="106" s="1"/>
  <c r="AD96" i="106"/>
  <c r="AN96" i="106" s="1"/>
  <c r="AX96" i="106" s="1"/>
  <c r="BD96" i="106" s="1"/>
  <c r="AE96" i="106"/>
  <c r="AO96" i="106" s="1"/>
  <c r="AY96" i="106" s="1"/>
  <c r="BE96" i="106" s="1"/>
  <c r="V102" i="107"/>
  <c r="AM102" i="107" s="1"/>
  <c r="AW102" i="107" s="1"/>
  <c r="U102" i="107"/>
  <c r="AL102" i="107" s="1"/>
  <c r="AV102" i="107" s="1"/>
  <c r="S102" i="107"/>
  <c r="AK102" i="107" s="1"/>
  <c r="AU102" i="107" s="1"/>
  <c r="BC102" i="107" s="1"/>
  <c r="R102" i="107"/>
  <c r="AJ102" i="107" s="1"/>
  <c r="AT102" i="107" s="1"/>
  <c r="BB102" i="107" s="1"/>
  <c r="AG101" i="104"/>
  <c r="AP101" i="104" s="1"/>
  <c r="AH101" i="104"/>
  <c r="AQ101" i="104" s="1"/>
  <c r="AD101" i="104"/>
  <c r="AN101" i="104" s="1"/>
  <c r="AE101" i="104"/>
  <c r="AO101" i="104" s="1"/>
  <c r="AH110" i="108"/>
  <c r="AQ110" i="108" s="1"/>
  <c r="BA109" i="108" s="1"/>
  <c r="AG110" i="108"/>
  <c r="AP110" i="108" s="1"/>
  <c r="AZ109" i="108" s="1"/>
  <c r="AD110" i="108"/>
  <c r="AN110" i="108" s="1"/>
  <c r="AX109" i="108" s="1"/>
  <c r="BD109" i="108" s="1"/>
  <c r="AE110" i="108"/>
  <c r="AO110" i="108" s="1"/>
  <c r="AY109" i="108" s="1"/>
  <c r="BE109" i="108" s="1"/>
  <c r="AG94" i="104"/>
  <c r="AP94" i="104" s="1"/>
  <c r="AZ94" i="104" s="1"/>
  <c r="AH94" i="104"/>
  <c r="AQ94" i="104" s="1"/>
  <c r="BA94" i="104" s="1"/>
  <c r="AD94" i="104"/>
  <c r="AN94" i="104" s="1"/>
  <c r="AX94" i="104" s="1"/>
  <c r="BD94" i="104" s="1"/>
  <c r="AE94" i="104"/>
  <c r="AO94" i="104" s="1"/>
  <c r="AY94" i="104" s="1"/>
  <c r="BE94" i="104" s="1"/>
  <c r="U97" i="108"/>
  <c r="AL97" i="108" s="1"/>
  <c r="AV97" i="108" s="1"/>
  <c r="V97" i="108"/>
  <c r="AM97" i="108" s="1"/>
  <c r="AW97" i="108" s="1"/>
  <c r="S97" i="108"/>
  <c r="AK97" i="108" s="1"/>
  <c r="AU97" i="108" s="1"/>
  <c r="BC97" i="108" s="1"/>
  <c r="R97" i="108"/>
  <c r="AJ97" i="108" s="1"/>
  <c r="AT97" i="108" s="1"/>
  <c r="BB97" i="108" s="1"/>
  <c r="J108" i="104"/>
  <c r="U107" i="104"/>
  <c r="AL107" i="104" s="1"/>
  <c r="AV106" i="104" s="1"/>
  <c r="V107" i="104"/>
  <c r="AM107" i="104" s="1"/>
  <c r="AW106" i="104" s="1"/>
  <c r="R107" i="104"/>
  <c r="AJ107" i="104" s="1"/>
  <c r="AT106" i="104" s="1"/>
  <c r="BB106" i="104" s="1"/>
  <c r="S107" i="104"/>
  <c r="AK107" i="104" s="1"/>
  <c r="AU106" i="104" s="1"/>
  <c r="BC106" i="104" s="1"/>
  <c r="V93" i="107"/>
  <c r="AM93" i="107" s="1"/>
  <c r="AW93" i="107" s="1"/>
  <c r="U93" i="107"/>
  <c r="AL93" i="107" s="1"/>
  <c r="AV93" i="107" s="1"/>
  <c r="R93" i="107"/>
  <c r="AJ93" i="107" s="1"/>
  <c r="AT93" i="107" s="1"/>
  <c r="BB93" i="107" s="1"/>
  <c r="S93" i="107"/>
  <c r="AK93" i="107" s="1"/>
  <c r="AU93" i="107" s="1"/>
  <c r="BC93" i="107" s="1"/>
  <c r="AH97" i="106"/>
  <c r="AQ97" i="106" s="1"/>
  <c r="BA97" i="106" s="1"/>
  <c r="AG97" i="106"/>
  <c r="AP97" i="106" s="1"/>
  <c r="AZ97" i="106" s="1"/>
  <c r="AD97" i="106"/>
  <c r="AN97" i="106" s="1"/>
  <c r="AX97" i="106" s="1"/>
  <c r="BD97" i="106" s="1"/>
  <c r="AE97" i="106"/>
  <c r="AO97" i="106" s="1"/>
  <c r="AY97" i="106" s="1"/>
  <c r="BE97" i="106" s="1"/>
  <c r="V105" i="105"/>
  <c r="AM105" i="105" s="1"/>
  <c r="AW104" i="105" s="1"/>
  <c r="U105" i="105"/>
  <c r="AL105" i="105" s="1"/>
  <c r="AV104" i="105" s="1"/>
  <c r="S105" i="105"/>
  <c r="AK105" i="105" s="1"/>
  <c r="AU104" i="105" s="1"/>
  <c r="BC104" i="105" s="1"/>
  <c r="R105" i="105"/>
  <c r="AJ105" i="105" s="1"/>
  <c r="AT104" i="105" s="1"/>
  <c r="BB104" i="105" s="1"/>
  <c r="AG100" i="106"/>
  <c r="AP100" i="106" s="1"/>
  <c r="AZ100" i="106" s="1"/>
  <c r="AH100" i="106"/>
  <c r="AQ100" i="106" s="1"/>
  <c r="BA100" i="106" s="1"/>
  <c r="AE100" i="106"/>
  <c r="AO100" i="106" s="1"/>
  <c r="AY100" i="106" s="1"/>
  <c r="BE100" i="106" s="1"/>
  <c r="AD100" i="106"/>
  <c r="AN100" i="106" s="1"/>
  <c r="AX100" i="106" s="1"/>
  <c r="BD100" i="106" s="1"/>
  <c r="H29" i="84"/>
  <c r="G27" i="85"/>
  <c r="G27" i="84"/>
  <c r="G29" i="75"/>
  <c r="G27" i="75"/>
  <c r="H29" i="85"/>
  <c r="H27" i="85"/>
  <c r="H29" i="75"/>
  <c r="H27" i="75"/>
  <c r="H27" i="83"/>
  <c r="R95" i="57"/>
  <c r="AJ95" i="57" s="1"/>
  <c r="AT95" i="57" s="1"/>
  <c r="BB95" i="57" s="1"/>
  <c r="AH102" i="57"/>
  <c r="AQ102" i="57" s="1"/>
  <c r="BA102" i="57" s="1"/>
  <c r="AE102" i="57"/>
  <c r="AO102" i="57" s="1"/>
  <c r="AY102" i="57" s="1"/>
  <c r="BE102" i="57" s="1"/>
  <c r="AD20" i="103" s="1"/>
  <c r="AD102" i="57"/>
  <c r="AN102" i="57" s="1"/>
  <c r="AX102" i="57" s="1"/>
  <c r="BD102" i="57" s="1"/>
  <c r="G27" i="83"/>
  <c r="AB13" i="103"/>
  <c r="U95" i="57"/>
  <c r="AL95" i="57" s="1"/>
  <c r="AV95" i="57" s="1"/>
  <c r="V95" i="57"/>
  <c r="AM95" i="57" s="1"/>
  <c r="AW95" i="57" s="1"/>
  <c r="AH110" i="57"/>
  <c r="AQ110" i="57" s="1"/>
  <c r="BA109" i="57" s="1"/>
  <c r="AE110" i="57"/>
  <c r="AO110" i="57" s="1"/>
  <c r="AY109" i="57" s="1"/>
  <c r="BE109" i="57" s="1"/>
  <c r="L111" i="14"/>
  <c r="H162" i="69"/>
  <c r="G162" i="69"/>
  <c r="D162" i="69"/>
  <c r="O162" i="69" s="1"/>
  <c r="C162" i="69"/>
  <c r="B162" i="69"/>
  <c r="E162" i="69"/>
  <c r="F125" i="69"/>
  <c r="F126" i="69"/>
  <c r="J115" i="14"/>
  <c r="J99" i="14"/>
  <c r="AG110" i="57"/>
  <c r="AP110" i="57" s="1"/>
  <c r="AZ109" i="57" s="1"/>
  <c r="J134" i="14"/>
  <c r="J98" i="14"/>
  <c r="J108" i="14"/>
  <c r="L133" i="14"/>
  <c r="L142" i="14"/>
  <c r="J145" i="14"/>
  <c r="L134" i="14"/>
  <c r="L145" i="14"/>
  <c r="S92" i="57"/>
  <c r="AK92" i="57" s="1"/>
  <c r="AU92" i="57" s="1"/>
  <c r="BC92" i="57" s="1"/>
  <c r="R104" i="57"/>
  <c r="AJ104" i="57" s="1"/>
  <c r="AT103" i="57" s="1"/>
  <c r="BB103" i="57" s="1"/>
  <c r="V104" i="57"/>
  <c r="AM104" i="57" s="1"/>
  <c r="AW103" i="57" s="1"/>
  <c r="J102" i="14"/>
  <c r="S104" i="57"/>
  <c r="AK104" i="57" s="1"/>
  <c r="AU103" i="57" s="1"/>
  <c r="BC103" i="57" s="1"/>
  <c r="L103" i="14"/>
  <c r="L128" i="14"/>
  <c r="L112" i="14"/>
  <c r="J103" i="14"/>
  <c r="I110" i="14"/>
  <c r="R92" i="57"/>
  <c r="AJ92" i="57" s="1"/>
  <c r="AT92" i="57" s="1"/>
  <c r="BB92" i="57" s="1"/>
  <c r="U92" i="57"/>
  <c r="AL92" i="57" s="1"/>
  <c r="AV92" i="57" s="1"/>
  <c r="L117" i="14"/>
  <c r="N110" i="14"/>
  <c r="M108" i="14"/>
  <c r="J132" i="14"/>
  <c r="J59" i="49"/>
  <c r="J58" i="49"/>
  <c r="J61" i="49"/>
  <c r="J52" i="49"/>
  <c r="J54" i="49"/>
  <c r="J57" i="49"/>
  <c r="J53" i="49"/>
  <c r="J55" i="49"/>
  <c r="J56" i="49"/>
  <c r="J60" i="49"/>
  <c r="P37" i="35"/>
  <c r="R37" i="35"/>
  <c r="Q37" i="35"/>
  <c r="M37" i="35"/>
  <c r="Q38" i="35"/>
  <c r="R38" i="35"/>
  <c r="P38" i="35"/>
  <c r="M38" i="35"/>
  <c r="K134" i="14"/>
  <c r="J133" i="14"/>
  <c r="H135" i="14"/>
  <c r="J127" i="14"/>
  <c r="J112" i="14"/>
  <c r="J116" i="14"/>
  <c r="K108" i="14"/>
  <c r="I108" i="14"/>
  <c r="M143" i="14"/>
  <c r="M116" i="14"/>
  <c r="N143" i="14"/>
  <c r="N116" i="14"/>
  <c r="N135" i="14"/>
  <c r="K108" i="57"/>
  <c r="AG107" i="57"/>
  <c r="AP107" i="57" s="1"/>
  <c r="AZ106" i="57" s="1"/>
  <c r="AE107" i="57"/>
  <c r="AO107" i="57" s="1"/>
  <c r="AY106" i="57" s="1"/>
  <c r="BE106" i="57" s="1"/>
  <c r="AH107" i="57"/>
  <c r="AQ107" i="57" s="1"/>
  <c r="BA106" i="57" s="1"/>
  <c r="AD107" i="57"/>
  <c r="AN107" i="57" s="1"/>
  <c r="AX106" i="57" s="1"/>
  <c r="BD106" i="57" s="1"/>
  <c r="U97" i="57"/>
  <c r="AL97" i="57" s="1"/>
  <c r="AV97" i="57" s="1"/>
  <c r="V97" i="57"/>
  <c r="AM97" i="57" s="1"/>
  <c r="AW97" i="57" s="1"/>
  <c r="R97" i="57"/>
  <c r="AJ97" i="57" s="1"/>
  <c r="AT97" i="57" s="1"/>
  <c r="BB97" i="57" s="1"/>
  <c r="S97" i="57"/>
  <c r="AK97" i="57" s="1"/>
  <c r="AU97" i="57" s="1"/>
  <c r="BC97" i="57" s="1"/>
  <c r="U91" i="57"/>
  <c r="V91" i="57"/>
  <c r="R91" i="57"/>
  <c r="S91" i="57"/>
  <c r="U101" i="57"/>
  <c r="AL101" i="57" s="1"/>
  <c r="V101" i="57"/>
  <c r="AM101" i="57" s="1"/>
  <c r="S101" i="57"/>
  <c r="AK101" i="57" s="1"/>
  <c r="R101" i="57"/>
  <c r="AJ101" i="57" s="1"/>
  <c r="AE95" i="57"/>
  <c r="AO95" i="57" s="1"/>
  <c r="AY95" i="57" s="1"/>
  <c r="BE95" i="57" s="1"/>
  <c r="AH95" i="57"/>
  <c r="AQ95" i="57" s="1"/>
  <c r="BA95" i="57" s="1"/>
  <c r="AG95" i="57"/>
  <c r="AP95" i="57" s="1"/>
  <c r="AZ95" i="57" s="1"/>
  <c r="AD95" i="57"/>
  <c r="AN95" i="57" s="1"/>
  <c r="AX95" i="57" s="1"/>
  <c r="BD95" i="57" s="1"/>
  <c r="V102" i="57"/>
  <c r="AM102" i="57" s="1"/>
  <c r="AW102" i="57" s="1"/>
  <c r="U102" i="57"/>
  <c r="AL102" i="57" s="1"/>
  <c r="AV102" i="57" s="1"/>
  <c r="S102" i="57"/>
  <c r="AK102" i="57" s="1"/>
  <c r="AU102" i="57" s="1"/>
  <c r="BC102" i="57" s="1"/>
  <c r="R102" i="57"/>
  <c r="AJ102" i="57" s="1"/>
  <c r="AT102" i="57" s="1"/>
  <c r="BB102" i="57" s="1"/>
  <c r="AG101" i="57"/>
  <c r="AP101" i="57" s="1"/>
  <c r="AH101" i="57"/>
  <c r="AQ101" i="57" s="1"/>
  <c r="AE101" i="57"/>
  <c r="AO101" i="57" s="1"/>
  <c r="AD101" i="57"/>
  <c r="AN101" i="57" s="1"/>
  <c r="AH91" i="57"/>
  <c r="AE91" i="57"/>
  <c r="AG91" i="57"/>
  <c r="AD91" i="57"/>
  <c r="U106" i="57"/>
  <c r="AL106" i="57" s="1"/>
  <c r="AV105" i="57" s="1"/>
  <c r="V106" i="57"/>
  <c r="AM106" i="57" s="1"/>
  <c r="AW105" i="57" s="1"/>
  <c r="S106" i="57"/>
  <c r="AK106" i="57" s="1"/>
  <c r="AU105" i="57" s="1"/>
  <c r="BC105" i="57" s="1"/>
  <c r="R106" i="57"/>
  <c r="AJ106" i="57" s="1"/>
  <c r="AT105" i="57" s="1"/>
  <c r="BB105" i="57" s="1"/>
  <c r="AH97" i="57"/>
  <c r="AQ97" i="57" s="1"/>
  <c r="BA97" i="57" s="1"/>
  <c r="AG97" i="57"/>
  <c r="AP97" i="57" s="1"/>
  <c r="AZ97" i="57" s="1"/>
  <c r="AE97" i="57"/>
  <c r="AO97" i="57" s="1"/>
  <c r="AY97" i="57" s="1"/>
  <c r="BE97" i="57" s="1"/>
  <c r="AD97" i="57"/>
  <c r="AN97" i="57" s="1"/>
  <c r="AX97" i="57" s="1"/>
  <c r="BD97" i="57" s="1"/>
  <c r="V93" i="57"/>
  <c r="AM93" i="57" s="1"/>
  <c r="AW93" i="57" s="1"/>
  <c r="U93" i="57"/>
  <c r="AL93" i="57" s="1"/>
  <c r="AV93" i="57" s="1"/>
  <c r="R93" i="57"/>
  <c r="AJ93" i="57" s="1"/>
  <c r="AT93" i="57" s="1"/>
  <c r="BB93" i="57" s="1"/>
  <c r="S93" i="57"/>
  <c r="AK93" i="57" s="1"/>
  <c r="AU93" i="57" s="1"/>
  <c r="BC93" i="57" s="1"/>
  <c r="AE106" i="57"/>
  <c r="AO106" i="57" s="1"/>
  <c r="AY105" i="57" s="1"/>
  <c r="BE105" i="57" s="1"/>
  <c r="AG106" i="57"/>
  <c r="AP106" i="57" s="1"/>
  <c r="AZ105" i="57" s="1"/>
  <c r="AH106" i="57"/>
  <c r="AQ106" i="57" s="1"/>
  <c r="BA105" i="57" s="1"/>
  <c r="AD106" i="57"/>
  <c r="AN106" i="57" s="1"/>
  <c r="AX105" i="57" s="1"/>
  <c r="BD105" i="57" s="1"/>
  <c r="AH99" i="57"/>
  <c r="AQ99" i="57" s="1"/>
  <c r="BA99" i="57" s="1"/>
  <c r="AE99" i="57"/>
  <c r="AO99" i="57" s="1"/>
  <c r="AY99" i="57" s="1"/>
  <c r="BE99" i="57" s="1"/>
  <c r="AG99" i="57"/>
  <c r="AP99" i="57" s="1"/>
  <c r="AZ99" i="57" s="1"/>
  <c r="AD99" i="57"/>
  <c r="AN99" i="57" s="1"/>
  <c r="AX99" i="57" s="1"/>
  <c r="BD99" i="57" s="1"/>
  <c r="V105" i="57"/>
  <c r="AM105" i="57" s="1"/>
  <c r="AW104" i="57" s="1"/>
  <c r="U105" i="57"/>
  <c r="AL105" i="57" s="1"/>
  <c r="AV104" i="57" s="1"/>
  <c r="R105" i="57"/>
  <c r="AJ105" i="57" s="1"/>
  <c r="AT104" i="57" s="1"/>
  <c r="BB104" i="57" s="1"/>
  <c r="S105" i="57"/>
  <c r="AK105" i="57" s="1"/>
  <c r="AU104" i="57" s="1"/>
  <c r="BC104" i="57" s="1"/>
  <c r="AE100" i="57"/>
  <c r="AO100" i="57" s="1"/>
  <c r="AY100" i="57" s="1"/>
  <c r="BE100" i="57" s="1"/>
  <c r="AH100" i="57"/>
  <c r="AQ100" i="57" s="1"/>
  <c r="BA100" i="57" s="1"/>
  <c r="AG100" i="57"/>
  <c r="AP100" i="57" s="1"/>
  <c r="AZ100" i="57" s="1"/>
  <c r="AD100" i="57"/>
  <c r="AN100" i="57" s="1"/>
  <c r="AX100" i="57" s="1"/>
  <c r="BD100" i="57" s="1"/>
  <c r="L109" i="14"/>
  <c r="AE103" i="57"/>
  <c r="AO103" i="57" s="1"/>
  <c r="AG103" i="57"/>
  <c r="AP103" i="57" s="1"/>
  <c r="AH103" i="57"/>
  <c r="AQ103" i="57" s="1"/>
  <c r="AD103" i="57"/>
  <c r="AN103" i="57" s="1"/>
  <c r="K109" i="57"/>
  <c r="AH96" i="57"/>
  <c r="AQ96" i="57" s="1"/>
  <c r="BA96" i="57" s="1"/>
  <c r="AG96" i="57"/>
  <c r="AP96" i="57" s="1"/>
  <c r="AZ96" i="57" s="1"/>
  <c r="AE96" i="57"/>
  <c r="AO96" i="57" s="1"/>
  <c r="AY96" i="57" s="1"/>
  <c r="BE96" i="57" s="1"/>
  <c r="AD96" i="57"/>
  <c r="AN96" i="57" s="1"/>
  <c r="AX96" i="57" s="1"/>
  <c r="BD96" i="57" s="1"/>
  <c r="V100" i="57"/>
  <c r="AM100" i="57" s="1"/>
  <c r="AW100" i="57" s="1"/>
  <c r="U100" i="57"/>
  <c r="AL100" i="57" s="1"/>
  <c r="AV100" i="57" s="1"/>
  <c r="S100" i="57"/>
  <c r="AK100" i="57" s="1"/>
  <c r="AU100" i="57" s="1"/>
  <c r="BC100" i="57" s="1"/>
  <c r="R100" i="57"/>
  <c r="AJ100" i="57" s="1"/>
  <c r="AT100" i="57" s="1"/>
  <c r="BB100" i="57" s="1"/>
  <c r="J108" i="57"/>
  <c r="U107" i="57"/>
  <c r="AL107" i="57" s="1"/>
  <c r="AV106" i="57" s="1"/>
  <c r="V107" i="57"/>
  <c r="AM107" i="57" s="1"/>
  <c r="AW106" i="57" s="1"/>
  <c r="S107" i="57"/>
  <c r="AK107" i="57" s="1"/>
  <c r="AU106" i="57" s="1"/>
  <c r="BC106" i="57" s="1"/>
  <c r="R107" i="57"/>
  <c r="AJ107" i="57" s="1"/>
  <c r="AT106" i="57" s="1"/>
  <c r="BB106" i="57" s="1"/>
  <c r="V98" i="57"/>
  <c r="AM98" i="57" s="1"/>
  <c r="AW98" i="57" s="1"/>
  <c r="U98" i="57"/>
  <c r="AL98" i="57" s="1"/>
  <c r="AV98" i="57" s="1"/>
  <c r="R98" i="57"/>
  <c r="AJ98" i="57" s="1"/>
  <c r="AT98" i="57" s="1"/>
  <c r="BB98" i="57" s="1"/>
  <c r="S98" i="57"/>
  <c r="AK98" i="57" s="1"/>
  <c r="AU98" i="57" s="1"/>
  <c r="BC98" i="57" s="1"/>
  <c r="V99" i="57"/>
  <c r="AM99" i="57" s="1"/>
  <c r="AW99" i="57" s="1"/>
  <c r="U99" i="57"/>
  <c r="AL99" i="57" s="1"/>
  <c r="AV99" i="57" s="1"/>
  <c r="R99" i="57"/>
  <c r="AJ99" i="57" s="1"/>
  <c r="AT99" i="57" s="1"/>
  <c r="BB99" i="57" s="1"/>
  <c r="S99" i="57"/>
  <c r="AK99" i="57" s="1"/>
  <c r="AU99" i="57" s="1"/>
  <c r="BC99" i="57" s="1"/>
  <c r="AE98" i="57"/>
  <c r="AO98" i="57" s="1"/>
  <c r="AY98" i="57" s="1"/>
  <c r="BE98" i="57" s="1"/>
  <c r="AH98" i="57"/>
  <c r="AQ98" i="57" s="1"/>
  <c r="BA98" i="57" s="1"/>
  <c r="AG98" i="57"/>
  <c r="AP98" i="57" s="1"/>
  <c r="AZ98" i="57" s="1"/>
  <c r="AD98" i="57"/>
  <c r="AN98" i="57" s="1"/>
  <c r="AX98" i="57" s="1"/>
  <c r="BD98" i="57" s="1"/>
  <c r="J109" i="57"/>
  <c r="U96" i="57"/>
  <c r="AL96" i="57" s="1"/>
  <c r="AV96" i="57" s="1"/>
  <c r="V96" i="57"/>
  <c r="AM96" i="57" s="1"/>
  <c r="AW96" i="57" s="1"/>
  <c r="S96" i="57"/>
  <c r="AK96" i="57" s="1"/>
  <c r="AU96" i="57" s="1"/>
  <c r="BC96" i="57" s="1"/>
  <c r="R96" i="57"/>
  <c r="AJ96" i="57" s="1"/>
  <c r="AT96" i="57" s="1"/>
  <c r="BB96" i="57" s="1"/>
  <c r="AG92" i="57"/>
  <c r="AP92" i="57" s="1"/>
  <c r="AZ92" i="57" s="1"/>
  <c r="AE92" i="57"/>
  <c r="AO92" i="57" s="1"/>
  <c r="AY92" i="57" s="1"/>
  <c r="BE92" i="57" s="1"/>
  <c r="AH92" i="57"/>
  <c r="AQ92" i="57" s="1"/>
  <c r="BA92" i="57" s="1"/>
  <c r="AD92" i="57"/>
  <c r="AN92" i="57" s="1"/>
  <c r="AX92" i="57" s="1"/>
  <c r="BD92" i="57" s="1"/>
  <c r="AE105" i="57"/>
  <c r="AO105" i="57" s="1"/>
  <c r="AY104" i="57" s="1"/>
  <c r="BE104" i="57" s="1"/>
  <c r="AG105" i="57"/>
  <c r="AP105" i="57" s="1"/>
  <c r="AZ104" i="57" s="1"/>
  <c r="AH105" i="57"/>
  <c r="AQ105" i="57" s="1"/>
  <c r="BA104" i="57" s="1"/>
  <c r="AD105" i="57"/>
  <c r="AN105" i="57" s="1"/>
  <c r="AX104" i="57" s="1"/>
  <c r="BD104" i="57" s="1"/>
  <c r="U94" i="57"/>
  <c r="AL94" i="57" s="1"/>
  <c r="AV94" i="57" s="1"/>
  <c r="V94" i="57"/>
  <c r="AM94" i="57" s="1"/>
  <c r="AW94" i="57" s="1"/>
  <c r="R94" i="57"/>
  <c r="AJ94" i="57" s="1"/>
  <c r="AT94" i="57" s="1"/>
  <c r="BB94" i="57" s="1"/>
  <c r="S94" i="57"/>
  <c r="AK94" i="57" s="1"/>
  <c r="AU94" i="57" s="1"/>
  <c r="BC94" i="57" s="1"/>
  <c r="V103" i="57"/>
  <c r="AM103" i="57" s="1"/>
  <c r="U103" i="57"/>
  <c r="AL103" i="57" s="1"/>
  <c r="R103" i="57"/>
  <c r="AJ103" i="57" s="1"/>
  <c r="S103" i="57"/>
  <c r="AK103" i="57" s="1"/>
  <c r="AG94" i="57"/>
  <c r="AP94" i="57" s="1"/>
  <c r="AZ94" i="57" s="1"/>
  <c r="AH94" i="57"/>
  <c r="AQ94" i="57" s="1"/>
  <c r="BA94" i="57" s="1"/>
  <c r="AE94" i="57"/>
  <c r="AO94" i="57" s="1"/>
  <c r="AY94" i="57" s="1"/>
  <c r="BE94" i="57" s="1"/>
  <c r="AD94" i="57"/>
  <c r="AN94" i="57" s="1"/>
  <c r="AX94" i="57" s="1"/>
  <c r="BD94" i="57" s="1"/>
  <c r="AE93" i="57"/>
  <c r="AO93" i="57" s="1"/>
  <c r="AY93" i="57" s="1"/>
  <c r="BE93" i="57" s="1"/>
  <c r="AH93" i="57"/>
  <c r="AQ93" i="57" s="1"/>
  <c r="BA93" i="57" s="1"/>
  <c r="AG93" i="57"/>
  <c r="AP93" i="57" s="1"/>
  <c r="AZ93" i="57" s="1"/>
  <c r="AD93" i="57"/>
  <c r="AN93" i="57" s="1"/>
  <c r="AX93" i="57" s="1"/>
  <c r="BD93" i="57" s="1"/>
  <c r="AG104" i="57"/>
  <c r="AP104" i="57" s="1"/>
  <c r="AZ103" i="57" s="1"/>
  <c r="AE104" i="57"/>
  <c r="AO104" i="57" s="1"/>
  <c r="AY103" i="57" s="1"/>
  <c r="BE103" i="57" s="1"/>
  <c r="AH104" i="57"/>
  <c r="AQ104" i="57" s="1"/>
  <c r="BA103" i="57" s="1"/>
  <c r="AD104" i="57"/>
  <c r="AN104" i="57" s="1"/>
  <c r="AX103" i="57" s="1"/>
  <c r="BD103" i="57" s="1"/>
  <c r="U110" i="57"/>
  <c r="AL110" i="57" s="1"/>
  <c r="AV109" i="57" s="1"/>
  <c r="V110" i="57"/>
  <c r="AM110" i="57" s="1"/>
  <c r="AW109" i="57" s="1"/>
  <c r="S110" i="57"/>
  <c r="AK110" i="57" s="1"/>
  <c r="AU109" i="57" s="1"/>
  <c r="BC109" i="57" s="1"/>
  <c r="R110" i="57"/>
  <c r="AJ110" i="57" s="1"/>
  <c r="AT109" i="57" s="1"/>
  <c r="BB109" i="57" s="1"/>
  <c r="N115" i="14"/>
  <c r="L116" i="14"/>
  <c r="F123" i="46"/>
  <c r="L108" i="14"/>
  <c r="G123" i="46"/>
  <c r="D123" i="46"/>
  <c r="J110" i="14"/>
  <c r="E123" i="46"/>
  <c r="H123" i="46"/>
  <c r="C123" i="46"/>
  <c r="M34" i="35"/>
  <c r="Q34" i="35"/>
  <c r="P34" i="35"/>
  <c r="R34" i="35"/>
  <c r="R41" i="35"/>
  <c r="Q41" i="35"/>
  <c r="P41" i="35"/>
  <c r="M41" i="35"/>
  <c r="D22" i="49" s="1"/>
  <c r="H110" i="14"/>
  <c r="K137" i="14"/>
  <c r="M110" i="14"/>
  <c r="L110" i="14"/>
  <c r="L129" i="14"/>
  <c r="L98" i="14"/>
  <c r="L127" i="14"/>
  <c r="L126" i="14"/>
  <c r="L99" i="14"/>
  <c r="L132" i="14"/>
  <c r="L105" i="14"/>
  <c r="N18" i="155" l="1"/>
  <c r="N18" i="156"/>
  <c r="N18" i="152"/>
  <c r="N18" i="154"/>
  <c r="N18" i="153"/>
  <c r="N18" i="149"/>
  <c r="N18" i="151"/>
  <c r="O45" i="35"/>
  <c r="M45" i="35"/>
  <c r="N18" i="83"/>
  <c r="N18" i="144"/>
  <c r="N18" i="84"/>
  <c r="N18" i="145"/>
  <c r="N18" i="146"/>
  <c r="N18" i="85"/>
  <c r="N18" i="147"/>
  <c r="N18" i="148"/>
  <c r="N18" i="75"/>
  <c r="N18" i="143"/>
  <c r="N18" i="103"/>
  <c r="Z21" i="83"/>
  <c r="Z21" i="75"/>
  <c r="AZ101" i="104"/>
  <c r="AZ101" i="108"/>
  <c r="AX101" i="107"/>
  <c r="BD101" i="107" s="1"/>
  <c r="AU101" i="104"/>
  <c r="BC101" i="104" s="1"/>
  <c r="AY101" i="107"/>
  <c r="BE101" i="107" s="1"/>
  <c r="BA101" i="104"/>
  <c r="AW101" i="105"/>
  <c r="AY101" i="104"/>
  <c r="BE101" i="104" s="1"/>
  <c r="AX101" i="108"/>
  <c r="BD101" i="108" s="1"/>
  <c r="AW101" i="106"/>
  <c r="AV101" i="104"/>
  <c r="AV101" i="105"/>
  <c r="AT101" i="106"/>
  <c r="BB101" i="106" s="1"/>
  <c r="BA101" i="108"/>
  <c r="AU101" i="105"/>
  <c r="BC101" i="105" s="1"/>
  <c r="AY101" i="106"/>
  <c r="BE101" i="106" s="1"/>
  <c r="AT101" i="107"/>
  <c r="BB101" i="107" s="1"/>
  <c r="AX101" i="106"/>
  <c r="BD101" i="106" s="1"/>
  <c r="AV101" i="107"/>
  <c r="BA101" i="106"/>
  <c r="AW101" i="104"/>
  <c r="AW101" i="107"/>
  <c r="AZ101" i="106"/>
  <c r="BA101" i="107"/>
  <c r="AU101" i="106"/>
  <c r="BC101" i="106" s="1"/>
  <c r="AY101" i="108"/>
  <c r="BE101" i="108" s="1"/>
  <c r="AX101" i="104"/>
  <c r="BD101" i="104" s="1"/>
  <c r="AX101" i="105"/>
  <c r="BD101" i="105" s="1"/>
  <c r="AY101" i="105"/>
  <c r="BE101" i="105" s="1"/>
  <c r="AN91" i="108"/>
  <c r="AH109" i="107"/>
  <c r="AQ109" i="107" s="1"/>
  <c r="BA108" i="107" s="1"/>
  <c r="AG109" i="107"/>
  <c r="AP109" i="107" s="1"/>
  <c r="AZ108" i="107" s="1"/>
  <c r="AE109" i="107"/>
  <c r="AO109" i="107" s="1"/>
  <c r="AY108" i="107" s="1"/>
  <c r="BE108" i="107" s="1"/>
  <c r="AD109" i="107"/>
  <c r="AN109" i="107" s="1"/>
  <c r="AX108" i="107" s="1"/>
  <c r="BD108" i="107" s="1"/>
  <c r="AK91" i="107"/>
  <c r="AN91" i="105"/>
  <c r="AP91" i="108"/>
  <c r="AG108" i="108"/>
  <c r="AP108" i="108" s="1"/>
  <c r="AZ107" i="108" s="1"/>
  <c r="AH108" i="108"/>
  <c r="AQ108" i="108" s="1"/>
  <c r="BA107" i="108" s="1"/>
  <c r="AE108" i="108"/>
  <c r="AO108" i="108" s="1"/>
  <c r="AY107" i="108" s="1"/>
  <c r="BE107" i="108" s="1"/>
  <c r="AD108" i="108"/>
  <c r="AN108" i="108" s="1"/>
  <c r="AX107" i="108" s="1"/>
  <c r="BD107" i="108" s="1"/>
  <c r="AJ91" i="104"/>
  <c r="AJ91" i="105"/>
  <c r="AO91" i="106"/>
  <c r="AN91" i="104"/>
  <c r="AO91" i="107"/>
  <c r="AH108" i="106"/>
  <c r="AQ108" i="106" s="1"/>
  <c r="BA107" i="106" s="1"/>
  <c r="AG108" i="106"/>
  <c r="AP108" i="106" s="1"/>
  <c r="AZ107" i="106" s="1"/>
  <c r="AD108" i="106"/>
  <c r="AN108" i="106" s="1"/>
  <c r="AX107" i="106" s="1"/>
  <c r="BD107" i="106" s="1"/>
  <c r="AE108" i="106"/>
  <c r="AO108" i="106" s="1"/>
  <c r="AY107" i="106" s="1"/>
  <c r="BE107" i="106" s="1"/>
  <c r="AL91" i="107"/>
  <c r="AO91" i="105"/>
  <c r="AZ101" i="107"/>
  <c r="AJ91" i="106"/>
  <c r="AG109" i="104"/>
  <c r="AP109" i="104" s="1"/>
  <c r="AZ108" i="104" s="1"/>
  <c r="AH109" i="104"/>
  <c r="AQ109" i="104" s="1"/>
  <c r="BA108" i="104" s="1"/>
  <c r="AE109" i="104"/>
  <c r="AO109" i="104" s="1"/>
  <c r="AY108" i="104" s="1"/>
  <c r="BE108" i="104" s="1"/>
  <c r="AD109" i="104"/>
  <c r="AN109" i="104" s="1"/>
  <c r="AX108" i="104" s="1"/>
  <c r="BD108" i="104" s="1"/>
  <c r="AK91" i="104"/>
  <c r="AK91" i="105"/>
  <c r="AN91" i="106"/>
  <c r="AO91" i="108"/>
  <c r="AJ91" i="107"/>
  <c r="AO91" i="104"/>
  <c r="AM91" i="107"/>
  <c r="AK91" i="106"/>
  <c r="AJ91" i="108"/>
  <c r="AK91" i="108"/>
  <c r="AP91" i="107"/>
  <c r="AZ101" i="105"/>
  <c r="AM91" i="106"/>
  <c r="AU101" i="108"/>
  <c r="BC101" i="108" s="1"/>
  <c r="AQ91" i="108"/>
  <c r="AG108" i="105"/>
  <c r="AP108" i="105" s="1"/>
  <c r="AZ107" i="105" s="1"/>
  <c r="AH108" i="105"/>
  <c r="AQ108" i="105" s="1"/>
  <c r="BA107" i="105" s="1"/>
  <c r="AD108" i="105"/>
  <c r="AN108" i="105" s="1"/>
  <c r="AX107" i="105" s="1"/>
  <c r="BD107" i="105" s="1"/>
  <c r="AE108" i="105"/>
  <c r="AO108" i="105" s="1"/>
  <c r="AY107" i="105" s="1"/>
  <c r="BE107" i="105" s="1"/>
  <c r="AH109" i="108"/>
  <c r="AQ109" i="108" s="1"/>
  <c r="BA108" i="108" s="1"/>
  <c r="AG109" i="108"/>
  <c r="AP109" i="108" s="1"/>
  <c r="AZ108" i="108" s="1"/>
  <c r="AE109" i="108"/>
  <c r="AO109" i="108" s="1"/>
  <c r="AY108" i="108" s="1"/>
  <c r="BE108" i="108" s="1"/>
  <c r="AD109" i="108"/>
  <c r="AN109" i="108" s="1"/>
  <c r="AX108" i="108" s="1"/>
  <c r="BD108" i="108" s="1"/>
  <c r="AM91" i="104"/>
  <c r="AM91" i="105"/>
  <c r="AP91" i="104"/>
  <c r="V108" i="108"/>
  <c r="AM108" i="108" s="1"/>
  <c r="AW107" i="108" s="1"/>
  <c r="U108" i="108"/>
  <c r="AL108" i="108" s="1"/>
  <c r="AV107" i="108" s="1"/>
  <c r="S108" i="108"/>
  <c r="AK108" i="108" s="1"/>
  <c r="AU107" i="108" s="1"/>
  <c r="BC107" i="108" s="1"/>
  <c r="R108" i="108"/>
  <c r="AJ108" i="108" s="1"/>
  <c r="AT107" i="108" s="1"/>
  <c r="BB107" i="108" s="1"/>
  <c r="AP91" i="105"/>
  <c r="AH108" i="107"/>
  <c r="AQ108" i="107" s="1"/>
  <c r="BA107" i="107" s="1"/>
  <c r="AG108" i="107"/>
  <c r="AP108" i="107" s="1"/>
  <c r="AZ107" i="107" s="1"/>
  <c r="AD108" i="107"/>
  <c r="AN108" i="107" s="1"/>
  <c r="AX107" i="107" s="1"/>
  <c r="BD107" i="107" s="1"/>
  <c r="AE108" i="107"/>
  <c r="AO108" i="107" s="1"/>
  <c r="AY107" i="107" s="1"/>
  <c r="BE107" i="107" s="1"/>
  <c r="AL91" i="108"/>
  <c r="U108" i="105"/>
  <c r="AL108" i="105" s="1"/>
  <c r="AV107" i="105" s="1"/>
  <c r="V108" i="105"/>
  <c r="AM108" i="105" s="1"/>
  <c r="AW107" i="105" s="1"/>
  <c r="S108" i="105"/>
  <c r="AK108" i="105" s="1"/>
  <c r="AU107" i="105" s="1"/>
  <c r="BC107" i="105" s="1"/>
  <c r="R108" i="105"/>
  <c r="AJ108" i="105" s="1"/>
  <c r="AT107" i="105" s="1"/>
  <c r="BB107" i="105" s="1"/>
  <c r="BA101" i="105"/>
  <c r="AW101" i="108"/>
  <c r="V109" i="106"/>
  <c r="AM109" i="106" s="1"/>
  <c r="AW108" i="106" s="1"/>
  <c r="U109" i="106"/>
  <c r="AL109" i="106" s="1"/>
  <c r="AV108" i="106" s="1"/>
  <c r="R109" i="106"/>
  <c r="AJ109" i="106" s="1"/>
  <c r="AT108" i="106" s="1"/>
  <c r="BB108" i="106" s="1"/>
  <c r="S109" i="106"/>
  <c r="AK109" i="106" s="1"/>
  <c r="AU108" i="106" s="1"/>
  <c r="BC108" i="106" s="1"/>
  <c r="AQ91" i="104"/>
  <c r="AN91" i="107"/>
  <c r="AL91" i="106"/>
  <c r="V109" i="107"/>
  <c r="AM109" i="107" s="1"/>
  <c r="AW108" i="107" s="1"/>
  <c r="U109" i="107"/>
  <c r="AL109" i="107" s="1"/>
  <c r="AV108" i="107" s="1"/>
  <c r="S109" i="107"/>
  <c r="AK109" i="107" s="1"/>
  <c r="AU108" i="107" s="1"/>
  <c r="BC108" i="107" s="1"/>
  <c r="R109" i="107"/>
  <c r="AJ109" i="107" s="1"/>
  <c r="AT108" i="107" s="1"/>
  <c r="BB108" i="107" s="1"/>
  <c r="V108" i="104"/>
  <c r="AM108" i="104" s="1"/>
  <c r="AW107" i="104" s="1"/>
  <c r="U108" i="104"/>
  <c r="AL108" i="104" s="1"/>
  <c r="AV107" i="104" s="1"/>
  <c r="S108" i="104"/>
  <c r="AK108" i="104" s="1"/>
  <c r="AU107" i="104" s="1"/>
  <c r="BC107" i="104" s="1"/>
  <c r="R108" i="104"/>
  <c r="AJ108" i="104" s="1"/>
  <c r="AT107" i="104" s="1"/>
  <c r="BB107" i="104" s="1"/>
  <c r="AM91" i="108"/>
  <c r="AG109" i="105"/>
  <c r="AP109" i="105" s="1"/>
  <c r="AZ108" i="105" s="1"/>
  <c r="AH109" i="105"/>
  <c r="AQ109" i="105" s="1"/>
  <c r="BA108" i="105" s="1"/>
  <c r="AE109" i="105"/>
  <c r="AO109" i="105" s="1"/>
  <c r="AY108" i="105" s="1"/>
  <c r="BE108" i="105" s="1"/>
  <c r="AD109" i="105"/>
  <c r="AN109" i="105" s="1"/>
  <c r="AX108" i="105" s="1"/>
  <c r="BD108" i="105" s="1"/>
  <c r="V109" i="108"/>
  <c r="AM109" i="108" s="1"/>
  <c r="AW108" i="108" s="1"/>
  <c r="U109" i="108"/>
  <c r="AL109" i="108" s="1"/>
  <c r="AV108" i="108" s="1"/>
  <c r="S109" i="108"/>
  <c r="AK109" i="108" s="1"/>
  <c r="AU108" i="108" s="1"/>
  <c r="BC108" i="108" s="1"/>
  <c r="R109" i="108"/>
  <c r="AJ109" i="108" s="1"/>
  <c r="AT108" i="108" s="1"/>
  <c r="BB108" i="108" s="1"/>
  <c r="AV101" i="108"/>
  <c r="AQ91" i="105"/>
  <c r="AP91" i="106"/>
  <c r="AL91" i="105"/>
  <c r="AH109" i="106"/>
  <c r="AQ109" i="106" s="1"/>
  <c r="BA108" i="106" s="1"/>
  <c r="AG109" i="106"/>
  <c r="AP109" i="106" s="1"/>
  <c r="AZ108" i="106" s="1"/>
  <c r="AD109" i="106"/>
  <c r="AN109" i="106" s="1"/>
  <c r="AX108" i="106" s="1"/>
  <c r="BD108" i="106" s="1"/>
  <c r="AE109" i="106"/>
  <c r="AO109" i="106" s="1"/>
  <c r="AY108" i="106" s="1"/>
  <c r="BE108" i="106" s="1"/>
  <c r="AH108" i="104"/>
  <c r="AQ108" i="104" s="1"/>
  <c r="BA107" i="104" s="1"/>
  <c r="AG108" i="104"/>
  <c r="AP108" i="104" s="1"/>
  <c r="AZ107" i="104" s="1"/>
  <c r="AD108" i="104"/>
  <c r="AN108" i="104" s="1"/>
  <c r="AX107" i="104" s="1"/>
  <c r="BD107" i="104" s="1"/>
  <c r="AE108" i="104"/>
  <c r="AO108" i="104" s="1"/>
  <c r="AY107" i="104" s="1"/>
  <c r="BE107" i="104" s="1"/>
  <c r="U109" i="104"/>
  <c r="AL109" i="104" s="1"/>
  <c r="AV108" i="104" s="1"/>
  <c r="V109" i="104"/>
  <c r="AM109" i="104" s="1"/>
  <c r="AW108" i="104" s="1"/>
  <c r="R109" i="104"/>
  <c r="AJ109" i="104" s="1"/>
  <c r="AT108" i="104" s="1"/>
  <c r="BB108" i="104" s="1"/>
  <c r="S109" i="104"/>
  <c r="AK109" i="104" s="1"/>
  <c r="AU108" i="104" s="1"/>
  <c r="BC108" i="104" s="1"/>
  <c r="AQ91" i="107"/>
  <c r="AT101" i="108"/>
  <c r="BB101" i="108" s="1"/>
  <c r="AL91" i="104"/>
  <c r="AQ91" i="106"/>
  <c r="V109" i="105"/>
  <c r="AM109" i="105" s="1"/>
  <c r="AW108" i="105" s="1"/>
  <c r="U109" i="105"/>
  <c r="AL109" i="105" s="1"/>
  <c r="AV108" i="105" s="1"/>
  <c r="S109" i="105"/>
  <c r="AK109" i="105" s="1"/>
  <c r="AU108" i="105" s="1"/>
  <c r="BC108" i="105" s="1"/>
  <c r="R109" i="105"/>
  <c r="AJ109" i="105" s="1"/>
  <c r="AT108" i="105" s="1"/>
  <c r="BB108" i="105" s="1"/>
  <c r="AT101" i="104"/>
  <c r="BB101" i="104" s="1"/>
  <c r="V108" i="107"/>
  <c r="AM108" i="107" s="1"/>
  <c r="AW107" i="107" s="1"/>
  <c r="U108" i="107"/>
  <c r="AL108" i="107" s="1"/>
  <c r="AV107" i="107" s="1"/>
  <c r="S108" i="107"/>
  <c r="AK108" i="107" s="1"/>
  <c r="AU107" i="107" s="1"/>
  <c r="BC107" i="107" s="1"/>
  <c r="R108" i="107"/>
  <c r="AJ108" i="107" s="1"/>
  <c r="AT107" i="107" s="1"/>
  <c r="BB107" i="107" s="1"/>
  <c r="AV101" i="106"/>
  <c r="AT101" i="105"/>
  <c r="BB101" i="105" s="1"/>
  <c r="AU101" i="107"/>
  <c r="BC101" i="107" s="1"/>
  <c r="U108" i="106"/>
  <c r="AL108" i="106" s="1"/>
  <c r="AV107" i="106" s="1"/>
  <c r="V108" i="106"/>
  <c r="AM108" i="106" s="1"/>
  <c r="AW107" i="106" s="1"/>
  <c r="S108" i="106"/>
  <c r="AK108" i="106" s="1"/>
  <c r="AU107" i="106" s="1"/>
  <c r="BC107" i="106" s="1"/>
  <c r="R108" i="106"/>
  <c r="AJ108" i="106" s="1"/>
  <c r="AT107" i="106" s="1"/>
  <c r="BB107" i="106" s="1"/>
  <c r="AK162" i="69"/>
  <c r="AM162" i="69"/>
  <c r="AG162" i="69"/>
  <c r="AI162" i="69"/>
  <c r="AC162" i="69"/>
  <c r="AE162" i="69"/>
  <c r="Y162" i="69"/>
  <c r="AA162" i="69"/>
  <c r="U162" i="69"/>
  <c r="W162" i="69"/>
  <c r="Q162" i="69"/>
  <c r="S162" i="69"/>
  <c r="AA13" i="103"/>
  <c r="AC20" i="103"/>
  <c r="AC14" i="103"/>
  <c r="AD11" i="103"/>
  <c r="AD14" i="103"/>
  <c r="AD18" i="103"/>
  <c r="AD22" i="103"/>
  <c r="AB21" i="103"/>
  <c r="AB11" i="103"/>
  <c r="AC13" i="103"/>
  <c r="AB15" i="103"/>
  <c r="AB22" i="103"/>
  <c r="AA16" i="103"/>
  <c r="AC21" i="103"/>
  <c r="AD12" i="103"/>
  <c r="AC16" i="103"/>
  <c r="AA23" i="103"/>
  <c r="AA21" i="103"/>
  <c r="AA11" i="103"/>
  <c r="AA15" i="103"/>
  <c r="AB20" i="103"/>
  <c r="AB23" i="103"/>
  <c r="AA12" i="103"/>
  <c r="AD21" i="103"/>
  <c r="AD13" i="103"/>
  <c r="AB16" i="103"/>
  <c r="AC10" i="103"/>
  <c r="AD16" i="103"/>
  <c r="AC17" i="103"/>
  <c r="AC15" i="103"/>
  <c r="AC23" i="103"/>
  <c r="AB14" i="103"/>
  <c r="AC12" i="103"/>
  <c r="AB17" i="103"/>
  <c r="AD15" i="103"/>
  <c r="AD10" i="103"/>
  <c r="AA17" i="103"/>
  <c r="AA18" i="103"/>
  <c r="AD17" i="103"/>
  <c r="AD23" i="103"/>
  <c r="AB18" i="103"/>
  <c r="AA10" i="103"/>
  <c r="AC11" i="103"/>
  <c r="AB12" i="103"/>
  <c r="AA14" i="103"/>
  <c r="AC18" i="103"/>
  <c r="AC22" i="103"/>
  <c r="AA22" i="103"/>
  <c r="AA20" i="103"/>
  <c r="AB10" i="103"/>
  <c r="F162" i="69"/>
  <c r="P162" i="69" s="1"/>
  <c r="B123" i="46"/>
  <c r="AX101" i="57"/>
  <c r="BD101" i="57" s="1"/>
  <c r="O37" i="35"/>
  <c r="H22" i="49"/>
  <c r="E22" i="49"/>
  <c r="N37" i="35"/>
  <c r="S37" i="35"/>
  <c r="T37" i="35" s="1"/>
  <c r="U37" i="35" s="1"/>
  <c r="S38" i="35"/>
  <c r="T38" i="35" s="1"/>
  <c r="U38" i="35" s="1"/>
  <c r="O38" i="35"/>
  <c r="N38" i="35"/>
  <c r="BA101" i="57"/>
  <c r="AQ91" i="57"/>
  <c r="V108" i="57"/>
  <c r="AM108" i="57" s="1"/>
  <c r="AW107" i="57" s="1"/>
  <c r="U108" i="57"/>
  <c r="AL108" i="57" s="1"/>
  <c r="AV107" i="57" s="1"/>
  <c r="R108" i="57"/>
  <c r="AJ108" i="57" s="1"/>
  <c r="AT107" i="57" s="1"/>
  <c r="BB107" i="57" s="1"/>
  <c r="S108" i="57"/>
  <c r="AK108" i="57" s="1"/>
  <c r="AU107" i="57" s="1"/>
  <c r="BC107" i="57" s="1"/>
  <c r="AT101" i="57"/>
  <c r="BB101" i="57" s="1"/>
  <c r="AY101" i="57"/>
  <c r="BE101" i="57" s="1"/>
  <c r="AU101" i="57"/>
  <c r="BC101" i="57" s="1"/>
  <c r="AW101" i="57"/>
  <c r="AZ101" i="57"/>
  <c r="AV101" i="57"/>
  <c r="AK91" i="57"/>
  <c r="AG108" i="57"/>
  <c r="AP108" i="57" s="1"/>
  <c r="AZ107" i="57" s="1"/>
  <c r="AH108" i="57"/>
  <c r="AQ108" i="57" s="1"/>
  <c r="BA107" i="57" s="1"/>
  <c r="AE108" i="57"/>
  <c r="AO108" i="57" s="1"/>
  <c r="AY107" i="57" s="1"/>
  <c r="BE107" i="57" s="1"/>
  <c r="AD108" i="57"/>
  <c r="AN108" i="57" s="1"/>
  <c r="AX107" i="57" s="1"/>
  <c r="BD107" i="57" s="1"/>
  <c r="AJ91" i="57"/>
  <c r="AM91" i="57"/>
  <c r="V109" i="57"/>
  <c r="AM109" i="57" s="1"/>
  <c r="AW108" i="57" s="1"/>
  <c r="U109" i="57"/>
  <c r="AL109" i="57" s="1"/>
  <c r="AV108" i="57" s="1"/>
  <c r="S109" i="57"/>
  <c r="AK109" i="57" s="1"/>
  <c r="AU108" i="57" s="1"/>
  <c r="BC108" i="57" s="1"/>
  <c r="R109" i="57"/>
  <c r="AJ109" i="57" s="1"/>
  <c r="AT108" i="57" s="1"/>
  <c r="BB108" i="57" s="1"/>
  <c r="AL91" i="57"/>
  <c r="AN91" i="57"/>
  <c r="AH109" i="57"/>
  <c r="AQ109" i="57" s="1"/>
  <c r="BA108" i="57" s="1"/>
  <c r="AE109" i="57"/>
  <c r="AO109" i="57" s="1"/>
  <c r="AY108" i="57" s="1"/>
  <c r="BE108" i="57" s="1"/>
  <c r="AG109" i="57"/>
  <c r="AP109" i="57" s="1"/>
  <c r="AZ108" i="57" s="1"/>
  <c r="AD109" i="57"/>
  <c r="AN109" i="57" s="1"/>
  <c r="AX108" i="57" s="1"/>
  <c r="BD108" i="57" s="1"/>
  <c r="AP91" i="57"/>
  <c r="AO91" i="57"/>
  <c r="F54" i="46"/>
  <c r="G54" i="46"/>
  <c r="C54" i="46"/>
  <c r="H54" i="46"/>
  <c r="E54" i="46"/>
  <c r="D54" i="46"/>
  <c r="B54" i="46"/>
  <c r="N34" i="35"/>
  <c r="S34" i="35"/>
  <c r="T34" i="35" s="1"/>
  <c r="U34" i="35" s="1"/>
  <c r="O34" i="35"/>
  <c r="B22" i="49"/>
  <c r="S41" i="35"/>
  <c r="T41" i="35" s="1"/>
  <c r="U41" i="35" s="1"/>
  <c r="O41" i="35"/>
  <c r="N41" i="35"/>
  <c r="AB16" i="84"/>
  <c r="AC22" i="85"/>
  <c r="AC17" i="153"/>
  <c r="AD16" i="147"/>
  <c r="AD20" i="148"/>
  <c r="AA23" i="153"/>
  <c r="AB18" i="143"/>
  <c r="AB20" i="147"/>
  <c r="AC23" i="85"/>
  <c r="AB16" i="83"/>
  <c r="AC13" i="147"/>
  <c r="AB21" i="143"/>
  <c r="AB22" i="144"/>
  <c r="AB20" i="84"/>
  <c r="AA23" i="83"/>
  <c r="AB16" i="143"/>
  <c r="AB23" i="144"/>
  <c r="AB12" i="145"/>
  <c r="AD23" i="147"/>
  <c r="AC20" i="83"/>
  <c r="AC15" i="143"/>
  <c r="AA21" i="144"/>
  <c r="AA16" i="153"/>
  <c r="AB22" i="147"/>
  <c r="AC10" i="84"/>
  <c r="AB13" i="153"/>
  <c r="AD10" i="144"/>
  <c r="AA11" i="153"/>
  <c r="AC14" i="146"/>
  <c r="AD21" i="145"/>
  <c r="AB10" i="153"/>
  <c r="AD15" i="153"/>
  <c r="AB21" i="85"/>
  <c r="AC21" i="153"/>
  <c r="AD17" i="146"/>
  <c r="AD21" i="85"/>
  <c r="AD11" i="146"/>
  <c r="AB16" i="146"/>
  <c r="AB18" i="85"/>
  <c r="AA22" i="156"/>
  <c r="AC18" i="75"/>
  <c r="AA21" i="148"/>
  <c r="AC21" i="85"/>
  <c r="AC16" i="143"/>
  <c r="AA15" i="83"/>
  <c r="AD11" i="143"/>
  <c r="AA13" i="83"/>
  <c r="AD12" i="145"/>
  <c r="AC15" i="153"/>
  <c r="AC13" i="143"/>
  <c r="AB20" i="148"/>
  <c r="AA12" i="147"/>
  <c r="AD17" i="144"/>
  <c r="AB10" i="143"/>
  <c r="AC21" i="148"/>
  <c r="AB13" i="85"/>
  <c r="AC22" i="145"/>
  <c r="AD11" i="83"/>
  <c r="AB16" i="85"/>
  <c r="AB21" i="144"/>
  <c r="AA17" i="84"/>
  <c r="AB13" i="143"/>
  <c r="AD18" i="146"/>
  <c r="AC14" i="147"/>
  <c r="AC23" i="148"/>
  <c r="AA23" i="143"/>
  <c r="AB22" i="148"/>
  <c r="AC14" i="143"/>
  <c r="AB17" i="145"/>
  <c r="AC15" i="156"/>
  <c r="AC14" i="145"/>
  <c r="AB12" i="156"/>
  <c r="AB13" i="84"/>
  <c r="AD23" i="146"/>
  <c r="AC18" i="83"/>
  <c r="AA23" i="147"/>
  <c r="AB14" i="148"/>
  <c r="AC13" i="85"/>
  <c r="AC19" i="156"/>
  <c r="AC19" i="84"/>
  <c r="AB19" i="144"/>
  <c r="AB19" i="84"/>
  <c r="AC19" i="75"/>
  <c r="AA19" i="144"/>
  <c r="AC13" i="84"/>
  <c r="AC10" i="148"/>
  <c r="AD19" i="75"/>
  <c r="AB19" i="143"/>
  <c r="AC12" i="143"/>
  <c r="AC16" i="145"/>
  <c r="AD13" i="75"/>
  <c r="AC19" i="146"/>
  <c r="AB22" i="75"/>
  <c r="AA20" i="145"/>
  <c r="AD10" i="147"/>
  <c r="AB18" i="153"/>
  <c r="AD18" i="144"/>
  <c r="AA15" i="146"/>
  <c r="AC21" i="145"/>
  <c r="AB14" i="147"/>
  <c r="AA22" i="143"/>
  <c r="AB22" i="156"/>
  <c r="AA12" i="85"/>
  <c r="AD19" i="148"/>
  <c r="AA21" i="153"/>
  <c r="AC21" i="83"/>
  <c r="AA12" i="145"/>
  <c r="AB16" i="156"/>
  <c r="AA14" i="85"/>
  <c r="AC21" i="144"/>
  <c r="AD13" i="156"/>
  <c r="AC22" i="153"/>
  <c r="AC11" i="75"/>
  <c r="AD18" i="85"/>
  <c r="AB12" i="153"/>
  <c r="AA21" i="146"/>
  <c r="AB13" i="148"/>
  <c r="AB15" i="143"/>
  <c r="AA14" i="153"/>
  <c r="AD18" i="145"/>
  <c r="AA20" i="83"/>
  <c r="AA16" i="83"/>
  <c r="AB15" i="153"/>
  <c r="AD12" i="156"/>
  <c r="AD23" i="145"/>
  <c r="AA21" i="143"/>
  <c r="AB20" i="144"/>
  <c r="AD16" i="145"/>
  <c r="AD23" i="144"/>
  <c r="AD23" i="148"/>
  <c r="AD18" i="143"/>
  <c r="AA18" i="144"/>
  <c r="AB13" i="147"/>
  <c r="AC23" i="156"/>
  <c r="AD20" i="143"/>
  <c r="AB12" i="83"/>
  <c r="AB21" i="148"/>
  <c r="AA23" i="84"/>
  <c r="AD12" i="85"/>
  <c r="AA14" i="75"/>
  <c r="AC15" i="145"/>
  <c r="AA17" i="85"/>
  <c r="AB15" i="148"/>
  <c r="AC12" i="146"/>
  <c r="AC21" i="156"/>
  <c r="AD22" i="85"/>
  <c r="AC18" i="146"/>
  <c r="AC22" i="146"/>
  <c r="AB18" i="145"/>
  <c r="AC17" i="146"/>
  <c r="AA14" i="143"/>
  <c r="AD16" i="153"/>
  <c r="AB16" i="153"/>
  <c r="AA23" i="148"/>
  <c r="AC13" i="145"/>
  <c r="AC12" i="147"/>
  <c r="AA14" i="144"/>
  <c r="AD23" i="143"/>
  <c r="AD17" i="83"/>
  <c r="AA13" i="156"/>
  <c r="AC16" i="85"/>
  <c r="AD21" i="147"/>
  <c r="AB17" i="146"/>
  <c r="AA14" i="84"/>
  <c r="AA22" i="148"/>
  <c r="AA15" i="143"/>
  <c r="AC11" i="143"/>
  <c r="AD20" i="75"/>
  <c r="AB18" i="146"/>
  <c r="AC10" i="83"/>
  <c r="AA10" i="143"/>
  <c r="AC13" i="83"/>
  <c r="AD21" i="143"/>
  <c r="AB14" i="84"/>
  <c r="AC13" i="144"/>
  <c r="AD14" i="85"/>
  <c r="AA16" i="156"/>
  <c r="AC11" i="84"/>
  <c r="AA12" i="143"/>
  <c r="AD23" i="85"/>
  <c r="AA18" i="146"/>
  <c r="AB17" i="153"/>
  <c r="AB19" i="148"/>
  <c r="AC19" i="153"/>
  <c r="AB19" i="83"/>
  <c r="AD19" i="84"/>
  <c r="AA19" i="148"/>
  <c r="AA19" i="85"/>
  <c r="AC19" i="147"/>
  <c r="AD21" i="146"/>
  <c r="AC17" i="83"/>
  <c r="AB19" i="145"/>
  <c r="AB23" i="147"/>
  <c r="AC21" i="147"/>
  <c r="AA11" i="85"/>
  <c r="AA19" i="147"/>
  <c r="AC15" i="147"/>
  <c r="AD11" i="148"/>
  <c r="AC11" i="85"/>
  <c r="AB21" i="84"/>
  <c r="AA17" i="83"/>
  <c r="AA15" i="84"/>
  <c r="AD10" i="84"/>
  <c r="AB21" i="83"/>
  <c r="AA16" i="146"/>
  <c r="AD15" i="146"/>
  <c r="AD20" i="146"/>
  <c r="AD18" i="156"/>
  <c r="AB19" i="147"/>
  <c r="AB23" i="83"/>
  <c r="AB20" i="153"/>
  <c r="AC11" i="145"/>
  <c r="AD22" i="146"/>
  <c r="AD16" i="146"/>
  <c r="AD15" i="145"/>
  <c r="AC13" i="153"/>
  <c r="AD10" i="156"/>
  <c r="AA20" i="147"/>
  <c r="AA23" i="75"/>
  <c r="AB20" i="85"/>
  <c r="AD22" i="83"/>
  <c r="AD20" i="147"/>
  <c r="AB16" i="75"/>
  <c r="AB13" i="156"/>
  <c r="AD11" i="147"/>
  <c r="AC14" i="153"/>
  <c r="AA14" i="147"/>
  <c r="AD14" i="143"/>
  <c r="AA21" i="85"/>
  <c r="AC20" i="84"/>
  <c r="AA11" i="148"/>
  <c r="AD16" i="144"/>
  <c r="AC13" i="148"/>
  <c r="AB18" i="148"/>
  <c r="AC12" i="148"/>
  <c r="AD23" i="75"/>
  <c r="AB21" i="146"/>
  <c r="AC12" i="84"/>
  <c r="AB16" i="145"/>
  <c r="AC20" i="146"/>
  <c r="AB11" i="145"/>
  <c r="AD12" i="147"/>
  <c r="AC20" i="85"/>
  <c r="AB17" i="156"/>
  <c r="AD14" i="144"/>
  <c r="AA15" i="85"/>
  <c r="AC10" i="75"/>
  <c r="AC14" i="84"/>
  <c r="AD14" i="156"/>
  <c r="AA18" i="84"/>
  <c r="AC13" i="156"/>
  <c r="AA14" i="145"/>
  <c r="AA13" i="75"/>
  <c r="AA10" i="147"/>
  <c r="AA22" i="146"/>
  <c r="AD10" i="148"/>
  <c r="AC17" i="144"/>
  <c r="AA15" i="147"/>
  <c r="AC10" i="144"/>
  <c r="AA18" i="83"/>
  <c r="AA11" i="75"/>
  <c r="AB16" i="147"/>
  <c r="AC12" i="144"/>
  <c r="AA18" i="85"/>
  <c r="AC11" i="83"/>
  <c r="AD14" i="148"/>
  <c r="AA16" i="147"/>
  <c r="AA23" i="145"/>
  <c r="AC12" i="85"/>
  <c r="AA22" i="85"/>
  <c r="AB23" i="146"/>
  <c r="AD11" i="145"/>
  <c r="AC20" i="148"/>
  <c r="AC15" i="146"/>
  <c r="AC14" i="83"/>
  <c r="AA14" i="148"/>
  <c r="AB17" i="148"/>
  <c r="AD14" i="84"/>
  <c r="AC10" i="153"/>
  <c r="AB23" i="145"/>
  <c r="AA11" i="83"/>
  <c r="AB21" i="75"/>
  <c r="AA13" i="85"/>
  <c r="AA15" i="156"/>
  <c r="AA22" i="145"/>
  <c r="AC23" i="83"/>
  <c r="AC22" i="147"/>
  <c r="AD19" i="153"/>
  <c r="AA19" i="153"/>
  <c r="AA19" i="143"/>
  <c r="AC19" i="85"/>
  <c r="AB19" i="75"/>
  <c r="AA19" i="146"/>
  <c r="AA13" i="144"/>
  <c r="AB10" i="148"/>
  <c r="AD13" i="144"/>
  <c r="AD15" i="144"/>
  <c r="AA10" i="83"/>
  <c r="AB18" i="147"/>
  <c r="AA19" i="156"/>
  <c r="AA13" i="145"/>
  <c r="AD15" i="84"/>
  <c r="AA14" i="83"/>
  <c r="AD22" i="145"/>
  <c r="AD20" i="145"/>
  <c r="AC23" i="153"/>
  <c r="AA10" i="146"/>
  <c r="AD16" i="83"/>
  <c r="AA18" i="143"/>
  <c r="AA16" i="75"/>
  <c r="AC15" i="144"/>
  <c r="AC23" i="75"/>
  <c r="AB10" i="146"/>
  <c r="AB18" i="84"/>
  <c r="AB22" i="84"/>
  <c r="AB15" i="75"/>
  <c r="AB20" i="145"/>
  <c r="AA21" i="156"/>
  <c r="AB15" i="85"/>
  <c r="AB11" i="153"/>
  <c r="AB14" i="83"/>
  <c r="AD15" i="83"/>
  <c r="AD13" i="143"/>
  <c r="AB22" i="85"/>
  <c r="AA12" i="75"/>
  <c r="AB10" i="84"/>
  <c r="AD12" i="153"/>
  <c r="AD17" i="147"/>
  <c r="AB11" i="85"/>
  <c r="AA17" i="144"/>
  <c r="AD20" i="156"/>
  <c r="AC15" i="75"/>
  <c r="AB12" i="75"/>
  <c r="AD22" i="147"/>
  <c r="AC22" i="75"/>
  <c r="AD22" i="156"/>
  <c r="AC17" i="145"/>
  <c r="AB14" i="143"/>
  <c r="AA10" i="153"/>
  <c r="AB15" i="156"/>
  <c r="AB11" i="146"/>
  <c r="AA16" i="145"/>
  <c r="AA23" i="85"/>
  <c r="AD12" i="144"/>
  <c r="AC23" i="143"/>
  <c r="AB14" i="156"/>
  <c r="AC17" i="156"/>
  <c r="AD12" i="146"/>
  <c r="AC16" i="75"/>
  <c r="AC15" i="85"/>
  <c r="AA14" i="146"/>
  <c r="AD16" i="75"/>
  <c r="AB17" i="147"/>
  <c r="AD13" i="145"/>
  <c r="AB17" i="144"/>
  <c r="AA10" i="75"/>
  <c r="AA16" i="85"/>
  <c r="AD22" i="148"/>
  <c r="AD17" i="156"/>
  <c r="AC16" i="153"/>
  <c r="AD13" i="147"/>
  <c r="AC16" i="146"/>
  <c r="AC17" i="85"/>
  <c r="AB11" i="75"/>
  <c r="AD11" i="84"/>
  <c r="AB17" i="83"/>
  <c r="AC18" i="153"/>
  <c r="AB13" i="145"/>
  <c r="AC20" i="147"/>
  <c r="AD15" i="148"/>
  <c r="AC22" i="84"/>
  <c r="AB21" i="145"/>
  <c r="AD12" i="83"/>
  <c r="AA17" i="153"/>
  <c r="AA16" i="143"/>
  <c r="AD12" i="148"/>
  <c r="AC18" i="143"/>
  <c r="AA12" i="156"/>
  <c r="AD21" i="84"/>
  <c r="AB20" i="156"/>
  <c r="AD21" i="148"/>
  <c r="AA21" i="83"/>
  <c r="AD12" i="143"/>
  <c r="AC12" i="75"/>
  <c r="AC18" i="147"/>
  <c r="AC12" i="83"/>
  <c r="AB15" i="83"/>
  <c r="AD21" i="83"/>
  <c r="AD22" i="75"/>
  <c r="AA22" i="144"/>
  <c r="AB20" i="75"/>
  <c r="AA19" i="83"/>
  <c r="AD19" i="145"/>
  <c r="AC19" i="144"/>
  <c r="AB19" i="156"/>
  <c r="AB19" i="153"/>
  <c r="AA19" i="84"/>
  <c r="AB19" i="85"/>
  <c r="AB14" i="144"/>
  <c r="AC20" i="145"/>
  <c r="AD19" i="144"/>
  <c r="AD10" i="146"/>
  <c r="AC23" i="147"/>
  <c r="AB12" i="84"/>
  <c r="AA13" i="146"/>
  <c r="AA22" i="147"/>
  <c r="AA17" i="146"/>
  <c r="AD18" i="84"/>
  <c r="AA11" i="144"/>
  <c r="AD11" i="153"/>
  <c r="AC22" i="143"/>
  <c r="AC17" i="143"/>
  <c r="AA21" i="84"/>
  <c r="AD10" i="83"/>
  <c r="AB15" i="146"/>
  <c r="AC19" i="148"/>
  <c r="AC20" i="153"/>
  <c r="AB17" i="143"/>
  <c r="AD13" i="153"/>
  <c r="AD23" i="83"/>
  <c r="AA20" i="146"/>
  <c r="AD10" i="85"/>
  <c r="AC21" i="146"/>
  <c r="AA15" i="75"/>
  <c r="AB23" i="75"/>
  <c r="AA18" i="145"/>
  <c r="AA23" i="156"/>
  <c r="AD11" i="156"/>
  <c r="AD17" i="143"/>
  <c r="AA17" i="145"/>
  <c r="AB12" i="143"/>
  <c r="AA13" i="148"/>
  <c r="AB11" i="83"/>
  <c r="AC18" i="148"/>
  <c r="AB11" i="144"/>
  <c r="AB22" i="153"/>
  <c r="AD18" i="75"/>
  <c r="AA10" i="84"/>
  <c r="AC14" i="156"/>
  <c r="AD22" i="144"/>
  <c r="AB23" i="85"/>
  <c r="AD11" i="144"/>
  <c r="AA21" i="75"/>
  <c r="AD22" i="153"/>
  <c r="AD17" i="75"/>
  <c r="AA16" i="144"/>
  <c r="AA11" i="84"/>
  <c r="AD13" i="146"/>
  <c r="AC17" i="147"/>
  <c r="AA20" i="84"/>
  <c r="AC16" i="144"/>
  <c r="AB23" i="143"/>
  <c r="AD20" i="85"/>
  <c r="AB11" i="84"/>
  <c r="AB10" i="147"/>
  <c r="AD16" i="148"/>
  <c r="AA17" i="147"/>
  <c r="AC18" i="85"/>
  <c r="AD16" i="84"/>
  <c r="AC20" i="144"/>
  <c r="AA13" i="84"/>
  <c r="AC14" i="75"/>
  <c r="AA12" i="148"/>
  <c r="AC17" i="84"/>
  <c r="AB18" i="156"/>
  <c r="AB12" i="85"/>
  <c r="AA10" i="148"/>
  <c r="AB21" i="147"/>
  <c r="AC23" i="144"/>
  <c r="AA17" i="143"/>
  <c r="AB15" i="144"/>
  <c r="AA17" i="156"/>
  <c r="AD21" i="144"/>
  <c r="AD14" i="147"/>
  <c r="AD13" i="83"/>
  <c r="AD20" i="84"/>
  <c r="AA12" i="144"/>
  <c r="AC21" i="143"/>
  <c r="AB20" i="146"/>
  <c r="AB12" i="146"/>
  <c r="AA18" i="153"/>
  <c r="AC10" i="146"/>
  <c r="AB14" i="146"/>
  <c r="AD18" i="153"/>
  <c r="AB12" i="147"/>
  <c r="AB18" i="83"/>
  <c r="AB15" i="147"/>
  <c r="AD17" i="145"/>
  <c r="AC20" i="156"/>
  <c r="AC18" i="144"/>
  <c r="AA11" i="145"/>
  <c r="AD14" i="83"/>
  <c r="AD10" i="143"/>
  <c r="AB17" i="75"/>
  <c r="AD19" i="146"/>
  <c r="AD19" i="83"/>
  <c r="AD19" i="147"/>
  <c r="AB19" i="146"/>
  <c r="AA23" i="144"/>
  <c r="AC11" i="148"/>
  <c r="AB14" i="145"/>
  <c r="AD19" i="85"/>
  <c r="AA11" i="143"/>
  <c r="AD16" i="85"/>
  <c r="AD19" i="143"/>
  <c r="AC10" i="85"/>
  <c r="AA21" i="147"/>
  <c r="AC22" i="156"/>
  <c r="AB13" i="83"/>
  <c r="AA20" i="75"/>
  <c r="AD15" i="85"/>
  <c r="AB14" i="85"/>
  <c r="AA18" i="75"/>
  <c r="AC17" i="148"/>
  <c r="AB16" i="148"/>
  <c r="AA20" i="156"/>
  <c r="AC19" i="145"/>
  <c r="AB22" i="145"/>
  <c r="AA17" i="148"/>
  <c r="AC20" i="143"/>
  <c r="AA12" i="84"/>
  <c r="AC20" i="75"/>
  <c r="AD10" i="145"/>
  <c r="AA12" i="83"/>
  <c r="AC16" i="84"/>
  <c r="AD14" i="145"/>
  <c r="AA21" i="145"/>
  <c r="AA15" i="148"/>
  <c r="AB23" i="153"/>
  <c r="AB15" i="145"/>
  <c r="AD21" i="156"/>
  <c r="AB10" i="145"/>
  <c r="AB10" i="75"/>
  <c r="AB22" i="83"/>
  <c r="AA12" i="146"/>
  <c r="AA12" i="153"/>
  <c r="AB12" i="144"/>
  <c r="AB23" i="84"/>
  <c r="AB15" i="84"/>
  <c r="AB13" i="75"/>
  <c r="AD15" i="147"/>
  <c r="AB18" i="75"/>
  <c r="AB20" i="83"/>
  <c r="AC12" i="153"/>
  <c r="AD23" i="156"/>
  <c r="AA23" i="146"/>
  <c r="AB13" i="146"/>
  <c r="AB11" i="147"/>
  <c r="AA20" i="148"/>
  <c r="AA18" i="148"/>
  <c r="AA22" i="83"/>
  <c r="AD20" i="144"/>
  <c r="AC18" i="145"/>
  <c r="AA13" i="147"/>
  <c r="AD10" i="75"/>
  <c r="AD14" i="146"/>
  <c r="AB22" i="143"/>
  <c r="AC10" i="147"/>
  <c r="AA15" i="153"/>
  <c r="AC16" i="156"/>
  <c r="AC11" i="147"/>
  <c r="AC15" i="148"/>
  <c r="AC18" i="156"/>
  <c r="AD20" i="153"/>
  <c r="AD17" i="84"/>
  <c r="AD15" i="156"/>
  <c r="AC12" i="156"/>
  <c r="AC22" i="83"/>
  <c r="AA16" i="148"/>
  <c r="AA11" i="146"/>
  <c r="AD18" i="147"/>
  <c r="AA18" i="156"/>
  <c r="AA20" i="153"/>
  <c r="AB10" i="85"/>
  <c r="AB22" i="146"/>
  <c r="AA10" i="145"/>
  <c r="AA13" i="143"/>
  <c r="AB18" i="144"/>
  <c r="AD23" i="153"/>
  <c r="AB14" i="153"/>
  <c r="AA10" i="85"/>
  <c r="AC23" i="146"/>
  <c r="AC23" i="84"/>
  <c r="AA19" i="145"/>
  <c r="AC23" i="145"/>
  <c r="AD16" i="156"/>
  <c r="AA10" i="156"/>
  <c r="AC19" i="143"/>
  <c r="AB21" i="153"/>
  <c r="AB11" i="148"/>
  <c r="AB20" i="143"/>
  <c r="AC11" i="156"/>
  <c r="AB10" i="156"/>
  <c r="AB12" i="148"/>
  <c r="AB11" i="143"/>
  <c r="AD12" i="75"/>
  <c r="AC15" i="84"/>
  <c r="AD23" i="84"/>
  <c r="AC22" i="144"/>
  <c r="AC19" i="83"/>
  <c r="AC10" i="143"/>
  <c r="AC18" i="84"/>
  <c r="AB16" i="144"/>
  <c r="AA22" i="153"/>
  <c r="AC10" i="156"/>
  <c r="AA11" i="156"/>
  <c r="AC11" i="146"/>
  <c r="AC13" i="75"/>
  <c r="AC14" i="144"/>
  <c r="AA17" i="75"/>
  <c r="AA10" i="144"/>
  <c r="AA14" i="156"/>
  <c r="AB21" i="156"/>
  <c r="AC15" i="83"/>
  <c r="AD13" i="85"/>
  <c r="AC16" i="83"/>
  <c r="AD22" i="84"/>
  <c r="AC11" i="153"/>
  <c r="AC21" i="75"/>
  <c r="AB13" i="144"/>
  <c r="AD21" i="75"/>
  <c r="AB23" i="156"/>
  <c r="AD14" i="75"/>
  <c r="AA20" i="144"/>
  <c r="AA16" i="84"/>
  <c r="AD13" i="148"/>
  <c r="AB17" i="85"/>
  <c r="AA15" i="144"/>
  <c r="AD12" i="84"/>
  <c r="AA13" i="153"/>
  <c r="AC13" i="146"/>
  <c r="AC12" i="145"/>
  <c r="AC10" i="145"/>
  <c r="AD15" i="75"/>
  <c r="AA18" i="147"/>
  <c r="AB17" i="84"/>
  <c r="AD20" i="83"/>
  <c r="AC11" i="144"/>
  <c r="AC14" i="85"/>
  <c r="AD10" i="153"/>
  <c r="AA22" i="84"/>
  <c r="AB23" i="148"/>
  <c r="AA20" i="85"/>
  <c r="AA11" i="147"/>
  <c r="AA20" i="143"/>
  <c r="AC16" i="148"/>
  <c r="AD21" i="153"/>
  <c r="AD11" i="75"/>
  <c r="AD17" i="148"/>
  <c r="AC16" i="147"/>
  <c r="AA15" i="145"/>
  <c r="AD17" i="153"/>
  <c r="AD15" i="143"/>
  <c r="AD13" i="84"/>
  <c r="AC22" i="148"/>
  <c r="AD18" i="148"/>
  <c r="AB11" i="156"/>
  <c r="AD18" i="83"/>
  <c r="AD16" i="143"/>
  <c r="AC17" i="75"/>
  <c r="AD11" i="85"/>
  <c r="AD19" i="156"/>
  <c r="AC21" i="84"/>
  <c r="AD17" i="85"/>
  <c r="AA22" i="75"/>
  <c r="AB10" i="144"/>
  <c r="AB14" i="75"/>
  <c r="AC14" i="148"/>
  <c r="AD14" i="153"/>
  <c r="AD22" i="143"/>
  <c r="AB10" i="83"/>
  <c r="AA19" i="75"/>
  <c r="AF20" i="75" l="1"/>
  <c r="AG22" i="147"/>
  <c r="AE22" i="144"/>
  <c r="AE20" i="156"/>
  <c r="AH22" i="75"/>
  <c r="AE22" i="145"/>
  <c r="AE23" i="147"/>
  <c r="AG20" i="145"/>
  <c r="AH23" i="146"/>
  <c r="AF21" i="75"/>
  <c r="AG22" i="144"/>
  <c r="AG20" i="156"/>
  <c r="AG23" i="75"/>
  <c r="AF23" i="145"/>
  <c r="AG23" i="147"/>
  <c r="AG21" i="147"/>
  <c r="AG23" i="146"/>
  <c r="AH21" i="143"/>
  <c r="AH20" i="146"/>
  <c r="AH21" i="146"/>
  <c r="AH21" i="148"/>
  <c r="AF20" i="156"/>
  <c r="AF22" i="148"/>
  <c r="AF22" i="156"/>
  <c r="AE23" i="144"/>
  <c r="AE23" i="143"/>
  <c r="AG23" i="148"/>
  <c r="AH22" i="143"/>
  <c r="AG20" i="148"/>
  <c r="AH20" i="75"/>
  <c r="AF20" i="146"/>
  <c r="AF23" i="146"/>
  <c r="AH23" i="153"/>
  <c r="AG21" i="143"/>
  <c r="AE22" i="148"/>
  <c r="AF23" i="147"/>
  <c r="AF21" i="144"/>
  <c r="AF21" i="145"/>
  <c r="AE23" i="145"/>
  <c r="AE22" i="143"/>
  <c r="AG23" i="145"/>
  <c r="AJ23" i="145" s="1"/>
  <c r="AH21" i="147"/>
  <c r="AF22" i="146"/>
  <c r="AG22" i="145"/>
  <c r="AH21" i="144"/>
  <c r="AG20" i="147"/>
  <c r="AE20" i="153"/>
  <c r="AG21" i="148"/>
  <c r="AJ21" i="148" s="1"/>
  <c r="AG22" i="148"/>
  <c r="AJ22" i="148" s="1"/>
  <c r="AH23" i="143"/>
  <c r="AG23" i="144"/>
  <c r="AF21" i="147"/>
  <c r="AF20" i="148"/>
  <c r="AE23" i="148"/>
  <c r="AH21" i="153"/>
  <c r="AH20" i="153"/>
  <c r="AE22" i="146"/>
  <c r="AG21" i="145"/>
  <c r="AH22" i="148"/>
  <c r="AE20" i="143"/>
  <c r="AG22" i="146"/>
  <c r="AG20" i="144"/>
  <c r="AE21" i="148"/>
  <c r="AG22" i="143"/>
  <c r="AJ22" i="143" s="1"/>
  <c r="AF23" i="148"/>
  <c r="AI23" i="148" s="1"/>
  <c r="AG21" i="156"/>
  <c r="AE22" i="156"/>
  <c r="AF22" i="143"/>
  <c r="AE20" i="75"/>
  <c r="AF23" i="143"/>
  <c r="AH20" i="144"/>
  <c r="AG21" i="153"/>
  <c r="AG23" i="153"/>
  <c r="AF21" i="148"/>
  <c r="AG23" i="143"/>
  <c r="AE20" i="148"/>
  <c r="AG20" i="146"/>
  <c r="AH20" i="143"/>
  <c r="AG23" i="156"/>
  <c r="AH21" i="145"/>
  <c r="AJ21" i="145" s="1"/>
  <c r="AE23" i="146"/>
  <c r="AI23" i="146" s="1"/>
  <c r="AF21" i="146"/>
  <c r="AH23" i="156"/>
  <c r="AJ23" i="156" s="1"/>
  <c r="AH22" i="153"/>
  <c r="AH23" i="75"/>
  <c r="AJ23" i="75" s="1"/>
  <c r="AH20" i="145"/>
  <c r="AE21" i="75"/>
  <c r="AH23" i="148"/>
  <c r="AJ23" i="148" s="1"/>
  <c r="AH23" i="144"/>
  <c r="AJ23" i="144" s="1"/>
  <c r="AF22" i="147"/>
  <c r="AE22" i="75"/>
  <c r="AE20" i="144"/>
  <c r="AH22" i="144"/>
  <c r="AJ22" i="144" s="1"/>
  <c r="AH22" i="156"/>
  <c r="AF20" i="144"/>
  <c r="AG22" i="156"/>
  <c r="AJ22" i="156" s="1"/>
  <c r="AG22" i="75"/>
  <c r="AJ22" i="75" s="1"/>
  <c r="AE21" i="143"/>
  <c r="AE21" i="144"/>
  <c r="AF23" i="156"/>
  <c r="AH22" i="147"/>
  <c r="AJ22" i="147" s="1"/>
  <c r="AH23" i="145"/>
  <c r="AH22" i="145"/>
  <c r="AF22" i="153"/>
  <c r="AH23" i="147"/>
  <c r="AJ23" i="147" s="1"/>
  <c r="AH20" i="156"/>
  <c r="AF20" i="143"/>
  <c r="AI20" i="143" s="1"/>
  <c r="AF23" i="144"/>
  <c r="AE21" i="147"/>
  <c r="AI21" i="147" s="1"/>
  <c r="AH21" i="156"/>
  <c r="AH20" i="147"/>
  <c r="AF22" i="144"/>
  <c r="AF21" i="156"/>
  <c r="AE21" i="146"/>
  <c r="AI21" i="146" s="1"/>
  <c r="AF21" i="143"/>
  <c r="AI21" i="143" s="1"/>
  <c r="AF23" i="153"/>
  <c r="AE20" i="145"/>
  <c r="AE23" i="156"/>
  <c r="AI23" i="156" s="1"/>
  <c r="AE23" i="75"/>
  <c r="AE22" i="147"/>
  <c r="AI22" i="147" s="1"/>
  <c r="AE21" i="145"/>
  <c r="AI21" i="145" s="1"/>
  <c r="AE20" i="147"/>
  <c r="AF23" i="75"/>
  <c r="AG22" i="153"/>
  <c r="AF20" i="147"/>
  <c r="AI20" i="147" s="1"/>
  <c r="AG21" i="146"/>
  <c r="AJ21" i="146" s="1"/>
  <c r="AG21" i="144"/>
  <c r="AE23" i="153"/>
  <c r="AI23" i="153" s="1"/>
  <c r="AE21" i="156"/>
  <c r="AI21" i="156" s="1"/>
  <c r="AH20" i="148"/>
  <c r="AG20" i="75"/>
  <c r="AE20" i="146"/>
  <c r="AF20" i="145"/>
  <c r="AH22" i="146"/>
  <c r="AF21" i="153"/>
  <c r="AE22" i="153"/>
  <c r="AI22" i="153" s="1"/>
  <c r="AG20" i="143"/>
  <c r="AJ20" i="143" s="1"/>
  <c r="AF20" i="153"/>
  <c r="AF22" i="75"/>
  <c r="AE21" i="153"/>
  <c r="AF22" i="145"/>
  <c r="AI22" i="145" s="1"/>
  <c r="AG20" i="153"/>
  <c r="AH21" i="75"/>
  <c r="AJ23" i="153"/>
  <c r="AJ22" i="153"/>
  <c r="AI20" i="156"/>
  <c r="AJ20" i="156"/>
  <c r="M18" i="156"/>
  <c r="M18" i="155"/>
  <c r="M18" i="152"/>
  <c r="M18" i="154"/>
  <c r="M18" i="153"/>
  <c r="M18" i="149"/>
  <c r="M18" i="151"/>
  <c r="M18" i="144"/>
  <c r="M18" i="84"/>
  <c r="M18" i="145"/>
  <c r="M18" i="146"/>
  <c r="M18" i="85"/>
  <c r="M18" i="147"/>
  <c r="M18" i="148"/>
  <c r="M18" i="75"/>
  <c r="M18" i="143"/>
  <c r="M18" i="83"/>
  <c r="AJ20" i="148"/>
  <c r="AI20" i="146"/>
  <c r="AI21" i="148"/>
  <c r="AI20" i="148"/>
  <c r="AJ20" i="147"/>
  <c r="AI22" i="146"/>
  <c r="AJ21" i="147"/>
  <c r="AI23" i="147"/>
  <c r="AJ22" i="145"/>
  <c r="AI23" i="143"/>
  <c r="AJ23" i="146"/>
  <c r="AI23" i="145"/>
  <c r="AI23" i="144"/>
  <c r="AJ22" i="146"/>
  <c r="AJ20" i="146"/>
  <c r="AJ23" i="143"/>
  <c r="AJ20" i="145"/>
  <c r="AI22" i="143"/>
  <c r="AJ20" i="144"/>
  <c r="AJ21" i="144"/>
  <c r="AI21" i="144"/>
  <c r="M18" i="103"/>
  <c r="AJ21" i="143"/>
  <c r="AG21" i="75"/>
  <c r="AJ21" i="75" s="1"/>
  <c r="AJ20" i="75"/>
  <c r="R111" i="105"/>
  <c r="D123" i="105" s="1"/>
  <c r="D126" i="105" s="1"/>
  <c r="D127" i="105" s="1"/>
  <c r="AG111" i="105"/>
  <c r="N124" i="105" s="1"/>
  <c r="N126" i="105" s="1"/>
  <c r="N127" i="105" s="1"/>
  <c r="R111" i="104"/>
  <c r="D123" i="104" s="1"/>
  <c r="D126" i="104" s="1"/>
  <c r="D127" i="104" s="1"/>
  <c r="U111" i="104"/>
  <c r="G124" i="104" s="1"/>
  <c r="G126" i="104" s="1"/>
  <c r="G127" i="104" s="1"/>
  <c r="AE111" i="104"/>
  <c r="L123" i="104" s="1"/>
  <c r="L126" i="104" s="1"/>
  <c r="L127" i="104" s="1"/>
  <c r="AH111" i="107"/>
  <c r="O124" i="107" s="1"/>
  <c r="O126" i="107" s="1"/>
  <c r="O127" i="107" s="1"/>
  <c r="U111" i="106"/>
  <c r="G124" i="106" s="1"/>
  <c r="G126" i="106" s="1"/>
  <c r="G127" i="106" s="1"/>
  <c r="U111" i="105"/>
  <c r="G124" i="105" s="1"/>
  <c r="G126" i="105" s="1"/>
  <c r="G127" i="105" s="1"/>
  <c r="AI22" i="75"/>
  <c r="S111" i="104"/>
  <c r="E123" i="104" s="1"/>
  <c r="E126" i="104" s="1"/>
  <c r="E127" i="104" s="1"/>
  <c r="AV91" i="104"/>
  <c r="AL111" i="104"/>
  <c r="AV110" i="104" s="1"/>
  <c r="AM111" i="105"/>
  <c r="AW110" i="105" s="1"/>
  <c r="AW91" i="105"/>
  <c r="BA91" i="108"/>
  <c r="AQ111" i="108"/>
  <c r="BA110" i="108" s="1"/>
  <c r="S111" i="106"/>
  <c r="E123" i="106" s="1"/>
  <c r="E126" i="106" s="1"/>
  <c r="E127" i="106" s="1"/>
  <c r="AU91" i="105"/>
  <c r="BC91" i="105" s="1"/>
  <c r="AK111" i="105"/>
  <c r="U111" i="107"/>
  <c r="G124" i="107" s="1"/>
  <c r="G126" i="107" s="1"/>
  <c r="G127" i="107" s="1"/>
  <c r="AJ111" i="105"/>
  <c r="AT91" i="105"/>
  <c r="BB91" i="105" s="1"/>
  <c r="S111" i="107"/>
  <c r="E123" i="107" s="1"/>
  <c r="E126" i="107" s="1"/>
  <c r="E127" i="107" s="1"/>
  <c r="V111" i="104"/>
  <c r="H124" i="104" s="1"/>
  <c r="H126" i="104" s="1"/>
  <c r="H127" i="104" s="1"/>
  <c r="V111" i="107"/>
  <c r="H124" i="107" s="1"/>
  <c r="H126" i="107" s="1"/>
  <c r="H127" i="107" s="1"/>
  <c r="AK111" i="104"/>
  <c r="AU91" i="104"/>
  <c r="BC91" i="104" s="1"/>
  <c r="AL111" i="107"/>
  <c r="AV110" i="107" s="1"/>
  <c r="AV91" i="107"/>
  <c r="AK111" i="107"/>
  <c r="AU91" i="107"/>
  <c r="BC91" i="107" s="1"/>
  <c r="AW91" i="104"/>
  <c r="AM111" i="104"/>
  <c r="AW110" i="104" s="1"/>
  <c r="AW91" i="106"/>
  <c r="AM111" i="106"/>
  <c r="AW110" i="106" s="1"/>
  <c r="AM111" i="107"/>
  <c r="AW110" i="107" s="1"/>
  <c r="AW91" i="107"/>
  <c r="AJ111" i="104"/>
  <c r="AT91" i="104"/>
  <c r="BB91" i="104" s="1"/>
  <c r="BA91" i="107"/>
  <c r="AQ111" i="107"/>
  <c r="BA110" i="107" s="1"/>
  <c r="AP111" i="105"/>
  <c r="AZ110" i="105" s="1"/>
  <c r="AZ91" i="105"/>
  <c r="V111" i="106"/>
  <c r="H124" i="106" s="1"/>
  <c r="H126" i="106" s="1"/>
  <c r="H127" i="106" s="1"/>
  <c r="AY91" i="104"/>
  <c r="BE91" i="104" s="1"/>
  <c r="AO111" i="104"/>
  <c r="AY110" i="104" s="1"/>
  <c r="AV91" i="105"/>
  <c r="AL111" i="105"/>
  <c r="AV110" i="105" s="1"/>
  <c r="AV91" i="106"/>
  <c r="AL111" i="106"/>
  <c r="AV110" i="106" s="1"/>
  <c r="AG111" i="107"/>
  <c r="N124" i="107" s="1"/>
  <c r="N126" i="107" s="1"/>
  <c r="N127" i="107" s="1"/>
  <c r="R111" i="107"/>
  <c r="D123" i="107" s="1"/>
  <c r="D126" i="107" s="1"/>
  <c r="D127" i="107" s="1"/>
  <c r="AI23" i="75"/>
  <c r="AP111" i="106"/>
  <c r="AZ110" i="106" s="1"/>
  <c r="AZ91" i="106"/>
  <c r="AZ91" i="107"/>
  <c r="AP111" i="107"/>
  <c r="AZ110" i="107" s="1"/>
  <c r="AJ111" i="107"/>
  <c r="AT91" i="107"/>
  <c r="BB91" i="107" s="1"/>
  <c r="AE111" i="107"/>
  <c r="L123" i="107" s="1"/>
  <c r="L126" i="107" s="1"/>
  <c r="L127" i="107" s="1"/>
  <c r="AD111" i="108"/>
  <c r="K123" i="108" s="1"/>
  <c r="K126" i="108" s="1"/>
  <c r="K127" i="108" s="1"/>
  <c r="AG111" i="106"/>
  <c r="N124" i="106" s="1"/>
  <c r="N126" i="106" s="1"/>
  <c r="N127" i="106" s="1"/>
  <c r="V111" i="108"/>
  <c r="H124" i="108" s="1"/>
  <c r="H126" i="108" s="1"/>
  <c r="H127" i="108" s="1"/>
  <c r="AD111" i="107"/>
  <c r="K123" i="107" s="1"/>
  <c r="K126" i="107" s="1"/>
  <c r="K127" i="107" s="1"/>
  <c r="AU91" i="108"/>
  <c r="BC91" i="108" s="1"/>
  <c r="AK111" i="108"/>
  <c r="AO111" i="108"/>
  <c r="AY110" i="108" s="1"/>
  <c r="AY91" i="108"/>
  <c r="BE91" i="108" s="1"/>
  <c r="AT91" i="106"/>
  <c r="BB91" i="106" s="1"/>
  <c r="AJ111" i="106"/>
  <c r="AY91" i="107"/>
  <c r="BE91" i="107" s="1"/>
  <c r="AO111" i="107"/>
  <c r="AY110" i="107" s="1"/>
  <c r="AN111" i="108"/>
  <c r="AX110" i="108" s="1"/>
  <c r="AX91" i="108"/>
  <c r="BD91" i="108" s="1"/>
  <c r="AH111" i="105"/>
  <c r="O124" i="105" s="1"/>
  <c r="O126" i="105" s="1"/>
  <c r="O127" i="105" s="1"/>
  <c r="AW91" i="108"/>
  <c r="AM111" i="108"/>
  <c r="AW110" i="108" s="1"/>
  <c r="AX91" i="107"/>
  <c r="BD91" i="107" s="1"/>
  <c r="AN111" i="107"/>
  <c r="AX110" i="107" s="1"/>
  <c r="S111" i="108"/>
  <c r="E123" i="108" s="1"/>
  <c r="E126" i="108" s="1"/>
  <c r="E127" i="108" s="1"/>
  <c r="AE111" i="108"/>
  <c r="L123" i="108" s="1"/>
  <c r="L126" i="108" s="1"/>
  <c r="L127" i="108" s="1"/>
  <c r="R111" i="106"/>
  <c r="D123" i="106" s="1"/>
  <c r="D126" i="106" s="1"/>
  <c r="D127" i="106" s="1"/>
  <c r="AN111" i="104"/>
  <c r="AX110" i="104" s="1"/>
  <c r="AX91" i="104"/>
  <c r="BD91" i="104" s="1"/>
  <c r="AZ91" i="108"/>
  <c r="AP111" i="108"/>
  <c r="AZ110" i="108" s="1"/>
  <c r="BA91" i="106"/>
  <c r="AQ111" i="106"/>
  <c r="BA110" i="106" s="1"/>
  <c r="AQ111" i="105"/>
  <c r="BA110" i="105" s="1"/>
  <c r="BA91" i="105"/>
  <c r="AH111" i="104"/>
  <c r="O124" i="104" s="1"/>
  <c r="O126" i="104" s="1"/>
  <c r="O127" i="104" s="1"/>
  <c r="AL111" i="108"/>
  <c r="AV110" i="108" s="1"/>
  <c r="AV91" i="108"/>
  <c r="AG111" i="104"/>
  <c r="N124" i="104" s="1"/>
  <c r="N126" i="104" s="1"/>
  <c r="N127" i="104" s="1"/>
  <c r="R111" i="108"/>
  <c r="D123" i="108" s="1"/>
  <c r="D126" i="108" s="1"/>
  <c r="D127" i="108" s="1"/>
  <c r="AD111" i="106"/>
  <c r="K123" i="106" s="1"/>
  <c r="K126" i="106" s="1"/>
  <c r="K127" i="106" s="1"/>
  <c r="AD111" i="104"/>
  <c r="K123" i="104" s="1"/>
  <c r="K126" i="104" s="1"/>
  <c r="K127" i="104" s="1"/>
  <c r="AG111" i="108"/>
  <c r="N124" i="108" s="1"/>
  <c r="N126" i="108" s="1"/>
  <c r="N127" i="108" s="1"/>
  <c r="AI20" i="75"/>
  <c r="AH111" i="106"/>
  <c r="O124" i="106" s="1"/>
  <c r="O126" i="106" s="1"/>
  <c r="O127" i="106" s="1"/>
  <c r="BA91" i="104"/>
  <c r="AQ111" i="104"/>
  <c r="BA110" i="104" s="1"/>
  <c r="U111" i="108"/>
  <c r="G124" i="108" s="1"/>
  <c r="G126" i="108" s="1"/>
  <c r="G127" i="108" s="1"/>
  <c r="AZ91" i="104"/>
  <c r="AP111" i="104"/>
  <c r="AZ110" i="104" s="1"/>
  <c r="AT91" i="108"/>
  <c r="BB91" i="108" s="1"/>
  <c r="AJ111" i="108"/>
  <c r="AN111" i="106"/>
  <c r="AX110" i="106" s="1"/>
  <c r="AX91" i="106"/>
  <c r="BD91" i="106" s="1"/>
  <c r="AE111" i="105"/>
  <c r="L123" i="105" s="1"/>
  <c r="L126" i="105" s="1"/>
  <c r="L127" i="105" s="1"/>
  <c r="AE111" i="106"/>
  <c r="L123" i="106" s="1"/>
  <c r="L126" i="106" s="1"/>
  <c r="L127" i="106" s="1"/>
  <c r="AX91" i="105"/>
  <c r="BD91" i="105" s="1"/>
  <c r="AN111" i="105"/>
  <c r="AX110" i="105" s="1"/>
  <c r="AI21" i="75"/>
  <c r="V111" i="105"/>
  <c r="H124" i="105" s="1"/>
  <c r="H126" i="105" s="1"/>
  <c r="H127" i="105" s="1"/>
  <c r="AH111" i="108"/>
  <c r="O124" i="108" s="1"/>
  <c r="O126" i="108" s="1"/>
  <c r="O127" i="108" s="1"/>
  <c r="AK111" i="106"/>
  <c r="AU91" i="106"/>
  <c r="BC91" i="106" s="1"/>
  <c r="S111" i="105"/>
  <c r="E123" i="105" s="1"/>
  <c r="E126" i="105" s="1"/>
  <c r="E127" i="105" s="1"/>
  <c r="AO111" i="105"/>
  <c r="AY110" i="105" s="1"/>
  <c r="AY91" i="105"/>
  <c r="BE91" i="105" s="1"/>
  <c r="AO111" i="106"/>
  <c r="AY110" i="106" s="1"/>
  <c r="AY91" i="106"/>
  <c r="BE91" i="106" s="1"/>
  <c r="AD111" i="105"/>
  <c r="K123" i="105" s="1"/>
  <c r="K126" i="105" s="1"/>
  <c r="K127" i="105" s="1"/>
  <c r="AL162" i="69"/>
  <c r="AN162" i="69"/>
  <c r="AH162" i="69"/>
  <c r="AJ162" i="69"/>
  <c r="AD162" i="69"/>
  <c r="AF162" i="69"/>
  <c r="Z162" i="69"/>
  <c r="AB162" i="69"/>
  <c r="V162" i="69"/>
  <c r="X162" i="69"/>
  <c r="R162" i="69"/>
  <c r="T162" i="69"/>
  <c r="AA19" i="103"/>
  <c r="AC19" i="103"/>
  <c r="AB19" i="103"/>
  <c r="AD19" i="103"/>
  <c r="H23" i="49"/>
  <c r="F22" i="49"/>
  <c r="F23" i="49" s="1"/>
  <c r="AG111" i="57"/>
  <c r="N124" i="57" s="1"/>
  <c r="N126" i="57" s="1"/>
  <c r="N127" i="57" s="1"/>
  <c r="R111" i="57"/>
  <c r="D123" i="57" s="1"/>
  <c r="D126" i="57" s="1"/>
  <c r="D127" i="57" s="1"/>
  <c r="AE111" i="57"/>
  <c r="L123" i="57" s="1"/>
  <c r="L126" i="57" s="1"/>
  <c r="L127" i="57" s="1"/>
  <c r="AD111" i="57"/>
  <c r="K123" i="57" s="1"/>
  <c r="K126" i="57" s="1"/>
  <c r="K127" i="57" s="1"/>
  <c r="S111" i="57"/>
  <c r="E123" i="57" s="1"/>
  <c r="E126" i="57" s="1"/>
  <c r="E127" i="57" s="1"/>
  <c r="AH111" i="57"/>
  <c r="O124" i="57" s="1"/>
  <c r="O126" i="57" s="1"/>
  <c r="O127" i="57" s="1"/>
  <c r="U111" i="57"/>
  <c r="G124" i="57" s="1"/>
  <c r="G126" i="57" s="1"/>
  <c r="G127" i="57" s="1"/>
  <c r="V111" i="57"/>
  <c r="H124" i="57" s="1"/>
  <c r="H126" i="57" s="1"/>
  <c r="H127" i="57" s="1"/>
  <c r="AW91" i="57"/>
  <c r="AM111" i="57"/>
  <c r="AW110" i="57" s="1"/>
  <c r="AT91" i="57"/>
  <c r="BB91" i="57" s="1"/>
  <c r="AJ111" i="57"/>
  <c r="AX91" i="57"/>
  <c r="BD91" i="57" s="1"/>
  <c r="AN111" i="57"/>
  <c r="AX110" i="57" s="1"/>
  <c r="AL111" i="57"/>
  <c r="AV110" i="57" s="1"/>
  <c r="AV91" i="57"/>
  <c r="AY91" i="57"/>
  <c r="BE91" i="57" s="1"/>
  <c r="AO111" i="57"/>
  <c r="AY110" i="57" s="1"/>
  <c r="AU91" i="57"/>
  <c r="BC91" i="57" s="1"/>
  <c r="AK111" i="57"/>
  <c r="BA91" i="57"/>
  <c r="AQ111" i="57"/>
  <c r="BA110" i="57" s="1"/>
  <c r="AP111" i="57"/>
  <c r="AZ110" i="57" s="1"/>
  <c r="AZ91" i="57"/>
  <c r="O123" i="46"/>
  <c r="Q123" i="46" s="1"/>
  <c r="P123" i="46"/>
  <c r="R123" i="46" s="1"/>
  <c r="AA9" i="83"/>
  <c r="AC9" i="148"/>
  <c r="AB9" i="153"/>
  <c r="AC9" i="75"/>
  <c r="AA9" i="75"/>
  <c r="AD9" i="83"/>
  <c r="AB9" i="156"/>
  <c r="AC9" i="156"/>
  <c r="AD9" i="148"/>
  <c r="AD9" i="85"/>
  <c r="AC9" i="85"/>
  <c r="AC9" i="144"/>
  <c r="AC9" i="145"/>
  <c r="AB9" i="84"/>
  <c r="AB9" i="75"/>
  <c r="AA9" i="85"/>
  <c r="AB9" i="146"/>
  <c r="AD9" i="84"/>
  <c r="AA9" i="143"/>
  <c r="AA9" i="147"/>
  <c r="AD9" i="153"/>
  <c r="AD9" i="147"/>
  <c r="AD9" i="144"/>
  <c r="AB9" i="148"/>
  <c r="AC9" i="146"/>
  <c r="AD9" i="143"/>
  <c r="AA9" i="145"/>
  <c r="AC9" i="147"/>
  <c r="AA9" i="144"/>
  <c r="AA9" i="153"/>
  <c r="AD9" i="156"/>
  <c r="AA9" i="156"/>
  <c r="AB9" i="145"/>
  <c r="AD9" i="146"/>
  <c r="AC9" i="153"/>
  <c r="AB9" i="83"/>
  <c r="AA9" i="148"/>
  <c r="AC9" i="84"/>
  <c r="AB9" i="144"/>
  <c r="AA9" i="146"/>
  <c r="AB9" i="143"/>
  <c r="AD9" i="145"/>
  <c r="AC9" i="143"/>
  <c r="AB9" i="85"/>
  <c r="AA9" i="84"/>
  <c r="AC9" i="83"/>
  <c r="AB9" i="147"/>
  <c r="AD9" i="75"/>
  <c r="AJ20" i="153" l="1"/>
  <c r="AI22" i="156"/>
  <c r="AI22" i="148"/>
  <c r="AI22" i="144"/>
  <c r="AJ21" i="153"/>
  <c r="AI21" i="153"/>
  <c r="AI20" i="145"/>
  <c r="AI20" i="144"/>
  <c r="AJ21" i="156"/>
  <c r="AI20" i="153"/>
  <c r="AB28" i="153"/>
  <c r="AB27" i="153" s="1"/>
  <c r="AC28" i="153"/>
  <c r="AD28" i="153"/>
  <c r="AD27" i="153" s="1"/>
  <c r="AA28" i="153"/>
  <c r="AC28" i="156"/>
  <c r="AD28" i="156"/>
  <c r="AD27" i="156" s="1"/>
  <c r="AB28" i="156"/>
  <c r="AB27" i="156" s="1"/>
  <c r="AA28" i="156"/>
  <c r="AC28" i="148"/>
  <c r="AB28" i="148"/>
  <c r="AB27" i="148" s="1"/>
  <c r="AA28" i="148"/>
  <c r="AD28" i="148"/>
  <c r="AD27" i="148" s="1"/>
  <c r="AD28" i="147"/>
  <c r="AD27" i="147" s="1"/>
  <c r="AC28" i="147"/>
  <c r="AA28" i="147"/>
  <c r="AB28" i="147"/>
  <c r="AB27" i="147" s="1"/>
  <c r="AB28" i="146"/>
  <c r="AB27" i="146" s="1"/>
  <c r="AC28" i="146"/>
  <c r="AD28" i="146"/>
  <c r="AD27" i="146" s="1"/>
  <c r="AA28" i="146"/>
  <c r="AB28" i="145"/>
  <c r="AB27" i="145" s="1"/>
  <c r="AC28" i="145"/>
  <c r="AA28" i="145"/>
  <c r="AD28" i="145"/>
  <c r="AD27" i="145" s="1"/>
  <c r="AC28" i="144"/>
  <c r="AB28" i="144"/>
  <c r="AB27" i="144" s="1"/>
  <c r="AD28" i="144"/>
  <c r="AD27" i="144" s="1"/>
  <c r="AA28" i="144"/>
  <c r="AA28" i="143"/>
  <c r="AB28" i="143"/>
  <c r="AB27" i="143" s="1"/>
  <c r="AC28" i="143"/>
  <c r="AD28" i="143"/>
  <c r="AD27" i="143" s="1"/>
  <c r="AB28" i="84"/>
  <c r="AB27" i="84" s="1"/>
  <c r="AA28" i="84"/>
  <c r="AD28" i="85"/>
  <c r="AD27" i="85" s="1"/>
  <c r="AD28" i="84"/>
  <c r="AD27" i="84" s="1"/>
  <c r="AA28" i="75"/>
  <c r="AA28" i="85"/>
  <c r="AD28" i="75"/>
  <c r="AD27" i="75" s="1"/>
  <c r="AC28" i="84"/>
  <c r="AC28" i="85"/>
  <c r="AB28" i="75"/>
  <c r="AB27" i="75" s="1"/>
  <c r="AB28" i="85"/>
  <c r="AB27" i="85" s="1"/>
  <c r="AC28" i="75"/>
  <c r="AJ113" i="106"/>
  <c r="AT110" i="106"/>
  <c r="AU110" i="105"/>
  <c r="AK113" i="105"/>
  <c r="AT110" i="107"/>
  <c r="AJ113" i="107"/>
  <c r="AK113" i="104"/>
  <c r="AU110" i="104"/>
  <c r="AT110" i="105"/>
  <c r="AJ113" i="105"/>
  <c r="AK113" i="108"/>
  <c r="AU110" i="108"/>
  <c r="AU110" i="107"/>
  <c r="AK113" i="107"/>
  <c r="AJ113" i="104"/>
  <c r="AT110" i="104"/>
  <c r="AK113" i="106"/>
  <c r="AU110" i="106"/>
  <c r="AJ113" i="108"/>
  <c r="AT110" i="108"/>
  <c r="AD9" i="103"/>
  <c r="AD28" i="103" s="1"/>
  <c r="AD27" i="103" s="1"/>
  <c r="K18" i="103"/>
  <c r="L18" i="103"/>
  <c r="AC9" i="103"/>
  <c r="AC28" i="103" s="1"/>
  <c r="AA9" i="103"/>
  <c r="AA28" i="103" s="1"/>
  <c r="AB9" i="103"/>
  <c r="AB28" i="103" s="1"/>
  <c r="AB27" i="103" s="1"/>
  <c r="AD28" i="83"/>
  <c r="AD27" i="83" s="1"/>
  <c r="AC28" i="83"/>
  <c r="AA28" i="83"/>
  <c r="AB28" i="83"/>
  <c r="AB27" i="83" s="1"/>
  <c r="K61" i="49"/>
  <c r="K60" i="49"/>
  <c r="K58" i="49"/>
  <c r="K52" i="49"/>
  <c r="K53" i="49"/>
  <c r="K57" i="49"/>
  <c r="K55" i="49"/>
  <c r="K56" i="49"/>
  <c r="K54" i="49"/>
  <c r="K59" i="49"/>
  <c r="AU110" i="57"/>
  <c r="AK113" i="57"/>
  <c r="AT110" i="57"/>
  <c r="AJ113" i="57"/>
  <c r="AA27" i="153" l="1"/>
  <c r="AA29" i="153"/>
  <c r="AC29" i="153"/>
  <c r="AC27" i="153"/>
  <c r="AA29" i="156"/>
  <c r="AA27" i="156"/>
  <c r="AC29" i="156"/>
  <c r="AC27" i="156"/>
  <c r="K18" i="156"/>
  <c r="K18" i="155"/>
  <c r="L18" i="156"/>
  <c r="L18" i="155"/>
  <c r="K18" i="152"/>
  <c r="K18" i="154"/>
  <c r="K18" i="153"/>
  <c r="L18" i="152"/>
  <c r="L18" i="154"/>
  <c r="L18" i="153"/>
  <c r="L18" i="149"/>
  <c r="L18" i="151"/>
  <c r="K18" i="149"/>
  <c r="K18" i="151"/>
  <c r="AC27" i="103"/>
  <c r="AC29" i="103"/>
  <c r="AA27" i="103"/>
  <c r="AA29" i="103"/>
  <c r="AA27" i="146"/>
  <c r="AA29" i="146"/>
  <c r="AC27" i="146"/>
  <c r="AC29" i="146"/>
  <c r="AC27" i="75"/>
  <c r="AC29" i="75"/>
  <c r="AC27" i="85"/>
  <c r="AC29" i="85"/>
  <c r="AA27" i="143"/>
  <c r="AA29" i="143"/>
  <c r="AC27" i="84"/>
  <c r="AC29" i="84"/>
  <c r="AA27" i="144"/>
  <c r="AA29" i="144"/>
  <c r="AC27" i="143"/>
  <c r="AC29" i="143"/>
  <c r="AA27" i="147"/>
  <c r="AA29" i="147"/>
  <c r="AA27" i="85"/>
  <c r="AA29" i="85"/>
  <c r="AC27" i="147"/>
  <c r="AC29" i="147"/>
  <c r="AC27" i="144"/>
  <c r="AC29" i="144"/>
  <c r="AA27" i="75"/>
  <c r="AA29" i="75"/>
  <c r="AA27" i="148"/>
  <c r="AA29" i="148"/>
  <c r="AC27" i="83"/>
  <c r="AC29" i="83"/>
  <c r="AA27" i="84"/>
  <c r="AA29" i="84"/>
  <c r="AC27" i="145"/>
  <c r="AC29" i="145"/>
  <c r="AA27" i="83"/>
  <c r="AA29" i="83"/>
  <c r="AA27" i="145"/>
  <c r="AA29" i="145"/>
  <c r="AC27" i="148"/>
  <c r="AC29" i="148"/>
  <c r="L18" i="147"/>
  <c r="L18" i="148"/>
  <c r="K18" i="147"/>
  <c r="K18" i="148"/>
  <c r="L18" i="145"/>
  <c r="L18" i="146"/>
  <c r="K18" i="145"/>
  <c r="K18" i="146"/>
  <c r="L18" i="143"/>
  <c r="L18" i="144"/>
  <c r="K18" i="143"/>
  <c r="K18" i="144"/>
  <c r="L18" i="83"/>
  <c r="L18" i="75"/>
  <c r="L18" i="85"/>
  <c r="L18" i="84"/>
  <c r="K18" i="83"/>
  <c r="K18" i="75"/>
  <c r="K18" i="85"/>
  <c r="K18" i="84"/>
  <c r="I57" i="49"/>
  <c r="D57" i="49" s="1"/>
  <c r="D87" i="49" s="1"/>
  <c r="N87" i="49" s="1"/>
  <c r="P87" i="49" s="1"/>
  <c r="I53" i="49"/>
  <c r="G53" i="49" s="1"/>
  <c r="G83" i="49" s="1"/>
  <c r="I61" i="49"/>
  <c r="D61" i="49" s="1"/>
  <c r="D91" i="49" s="1"/>
  <c r="N91" i="49" s="1"/>
  <c r="P91" i="49" s="1"/>
  <c r="K62" i="49"/>
  <c r="K63" i="49" s="1"/>
  <c r="I52" i="49"/>
  <c r="J62" i="49"/>
  <c r="J63" i="49" s="1"/>
  <c r="I58" i="49"/>
  <c r="I56" i="49"/>
  <c r="I55" i="49"/>
  <c r="I60" i="49"/>
  <c r="I59" i="49"/>
  <c r="I54" i="49"/>
  <c r="AC41" i="153" a="1"/>
  <c r="AC41" i="155" a="1"/>
  <c r="AC41" i="156" a="1"/>
  <c r="AD41" i="154" a="1"/>
  <c r="AD41" i="155" a="1"/>
  <c r="AD41" i="151" a="1"/>
  <c r="AC41" i="152" a="1"/>
  <c r="AD41" i="156" a="1"/>
  <c r="AC41" i="151" a="1"/>
  <c r="AD41" i="153" a="1"/>
  <c r="AD41" i="152" a="1"/>
  <c r="AC41" i="154" a="1"/>
  <c r="AD41" i="156" l="1"/>
  <c r="AD41" i="155"/>
  <c r="AC41" i="155"/>
  <c r="AC41" i="156"/>
  <c r="AC41" i="153"/>
  <c r="AC41" i="154"/>
  <c r="AD41" i="154"/>
  <c r="AD41" i="153"/>
  <c r="AD41" i="152"/>
  <c r="AC41" i="152"/>
  <c r="AD41" i="151"/>
  <c r="AC41" i="151"/>
  <c r="J18" i="103"/>
  <c r="J14" i="103"/>
  <c r="H57" i="49"/>
  <c r="H87" i="49" s="1"/>
  <c r="D53" i="49"/>
  <c r="D83" i="49" s="1"/>
  <c r="N83" i="49" s="1"/>
  <c r="P83" i="49" s="1"/>
  <c r="F61" i="49"/>
  <c r="F91" i="49" s="1"/>
  <c r="O91" i="49" s="1"/>
  <c r="Q91" i="49" s="1"/>
  <c r="E57" i="49"/>
  <c r="E87" i="49" s="1"/>
  <c r="G57" i="49"/>
  <c r="G87" i="49" s="1"/>
  <c r="F57" i="49"/>
  <c r="F87" i="49" s="1"/>
  <c r="O87" i="49" s="1"/>
  <c r="Q87" i="49" s="1"/>
  <c r="B57" i="49"/>
  <c r="B87" i="49" s="1"/>
  <c r="C57" i="49"/>
  <c r="C87" i="49" s="1"/>
  <c r="B61" i="49"/>
  <c r="B91" i="49" s="1"/>
  <c r="C61" i="49"/>
  <c r="C91" i="49" s="1"/>
  <c r="F53" i="49"/>
  <c r="F83" i="49" s="1"/>
  <c r="O83" i="49" s="1"/>
  <c r="Q83" i="49" s="1"/>
  <c r="H53" i="49"/>
  <c r="H83" i="49" s="1"/>
  <c r="B53" i="49"/>
  <c r="B83" i="49" s="1"/>
  <c r="C53" i="49"/>
  <c r="C83" i="49" s="1"/>
  <c r="E53" i="49"/>
  <c r="E83" i="49" s="1"/>
  <c r="E61" i="49"/>
  <c r="E91" i="49" s="1"/>
  <c r="H61" i="49"/>
  <c r="H91" i="49" s="1"/>
  <c r="G61" i="49"/>
  <c r="G91" i="49" s="1"/>
  <c r="C60" i="49"/>
  <c r="C90" i="49" s="1"/>
  <c r="E60" i="49"/>
  <c r="E90" i="49" s="1"/>
  <c r="D60" i="49"/>
  <c r="D90" i="49" s="1"/>
  <c r="N90" i="49" s="1"/>
  <c r="P90" i="49" s="1"/>
  <c r="F60" i="49"/>
  <c r="F90" i="49" s="1"/>
  <c r="O90" i="49" s="1"/>
  <c r="Q90" i="49" s="1"/>
  <c r="H60" i="49"/>
  <c r="H90" i="49" s="1"/>
  <c r="B60" i="49"/>
  <c r="B90" i="49" s="1"/>
  <c r="G60" i="49"/>
  <c r="G90" i="49" s="1"/>
  <c r="E55" i="49"/>
  <c r="E85" i="49" s="1"/>
  <c r="B55" i="49"/>
  <c r="B85" i="49" s="1"/>
  <c r="C55" i="49"/>
  <c r="C85" i="49" s="1"/>
  <c r="D55" i="49"/>
  <c r="D85" i="49" s="1"/>
  <c r="N85" i="49" s="1"/>
  <c r="P85" i="49" s="1"/>
  <c r="G55" i="49"/>
  <c r="G85" i="49" s="1"/>
  <c r="F55" i="49"/>
  <c r="F85" i="49" s="1"/>
  <c r="O85" i="49" s="1"/>
  <c r="Q85" i="49" s="1"/>
  <c r="H55" i="49"/>
  <c r="H85" i="49" s="1"/>
  <c r="C58" i="49"/>
  <c r="C88" i="49" s="1"/>
  <c r="D58" i="49"/>
  <c r="D88" i="49" s="1"/>
  <c r="N88" i="49" s="1"/>
  <c r="P88" i="49" s="1"/>
  <c r="B58" i="49"/>
  <c r="B88" i="49" s="1"/>
  <c r="G58" i="49"/>
  <c r="G88" i="49" s="1"/>
  <c r="E58" i="49"/>
  <c r="E88" i="49" s="1"/>
  <c r="F58" i="49"/>
  <c r="F88" i="49" s="1"/>
  <c r="O88" i="49" s="1"/>
  <c r="Q88" i="49" s="1"/>
  <c r="H58" i="49"/>
  <c r="H88" i="49" s="1"/>
  <c r="E54" i="49"/>
  <c r="E84" i="49" s="1"/>
  <c r="H54" i="49"/>
  <c r="H84" i="49" s="1"/>
  <c r="C54" i="49"/>
  <c r="C84" i="49" s="1"/>
  <c r="D54" i="49"/>
  <c r="D84" i="49" s="1"/>
  <c r="N84" i="49" s="1"/>
  <c r="P84" i="49" s="1"/>
  <c r="F54" i="49"/>
  <c r="F84" i="49" s="1"/>
  <c r="O84" i="49" s="1"/>
  <c r="Q84" i="49" s="1"/>
  <c r="G54" i="49"/>
  <c r="G84" i="49" s="1"/>
  <c r="B54" i="49"/>
  <c r="B84" i="49" s="1"/>
  <c r="H59" i="49"/>
  <c r="H89" i="49" s="1"/>
  <c r="G59" i="49"/>
  <c r="G89" i="49" s="1"/>
  <c r="B59" i="49"/>
  <c r="B89" i="49" s="1"/>
  <c r="F59" i="49"/>
  <c r="F89" i="49" s="1"/>
  <c r="O89" i="49" s="1"/>
  <c r="Q89" i="49" s="1"/>
  <c r="D59" i="49"/>
  <c r="D89" i="49" s="1"/>
  <c r="N89" i="49" s="1"/>
  <c r="P89" i="49" s="1"/>
  <c r="E59" i="49"/>
  <c r="E89" i="49" s="1"/>
  <c r="C59" i="49"/>
  <c r="C89" i="49" s="1"/>
  <c r="B52" i="49"/>
  <c r="B82" i="49" s="1"/>
  <c r="D52" i="49"/>
  <c r="D82" i="49" s="1"/>
  <c r="N82" i="49" s="1"/>
  <c r="P82" i="49" s="1"/>
  <c r="C52" i="49"/>
  <c r="C82" i="49" s="1"/>
  <c r="F52" i="49"/>
  <c r="F82" i="49" s="1"/>
  <c r="O82" i="49" s="1"/>
  <c r="Q82" i="49" s="1"/>
  <c r="I62" i="49"/>
  <c r="I63" i="49" s="1"/>
  <c r="E52" i="49"/>
  <c r="E82" i="49" s="1"/>
  <c r="H52" i="49"/>
  <c r="H82" i="49" s="1"/>
  <c r="G52" i="49"/>
  <c r="G82" i="49" s="1"/>
  <c r="F56" i="49"/>
  <c r="F86" i="49" s="1"/>
  <c r="O86" i="49" s="1"/>
  <c r="Q86" i="49" s="1"/>
  <c r="G56" i="49"/>
  <c r="G86" i="49" s="1"/>
  <c r="E56" i="49"/>
  <c r="E86" i="49" s="1"/>
  <c r="C56" i="49"/>
  <c r="C86" i="49" s="1"/>
  <c r="D56" i="49"/>
  <c r="D86" i="49" s="1"/>
  <c r="N86" i="49" s="1"/>
  <c r="P86" i="49" s="1"/>
  <c r="B56" i="49"/>
  <c r="B86" i="49" s="1"/>
  <c r="H56" i="49"/>
  <c r="H86" i="49" s="1"/>
  <c r="J14" i="156" l="1"/>
  <c r="J14" i="155"/>
  <c r="J18" i="156"/>
  <c r="J18" i="155"/>
  <c r="J18" i="152"/>
  <c r="J18" i="154"/>
  <c r="J18" i="153"/>
  <c r="J14" i="152"/>
  <c r="J14" i="154"/>
  <c r="J14" i="153"/>
  <c r="J14" i="149"/>
  <c r="J14" i="151"/>
  <c r="J18" i="149"/>
  <c r="Z18" i="149" s="1"/>
  <c r="AH18" i="149" s="1"/>
  <c r="J18" i="151"/>
  <c r="J14" i="147"/>
  <c r="J14" i="148"/>
  <c r="J18" i="147"/>
  <c r="J18" i="148"/>
  <c r="J14" i="145"/>
  <c r="J14" i="146"/>
  <c r="J18" i="145"/>
  <c r="J18" i="146"/>
  <c r="J14" i="143"/>
  <c r="J14" i="144"/>
  <c r="J18" i="143"/>
  <c r="J18" i="144"/>
  <c r="J14" i="84"/>
  <c r="J14" i="85"/>
  <c r="J14" i="75"/>
  <c r="J18" i="75"/>
  <c r="J18" i="85"/>
  <c r="J18" i="84"/>
  <c r="J14" i="83"/>
  <c r="J18" i="83"/>
  <c r="I9" i="103"/>
  <c r="J17" i="103"/>
  <c r="I11" i="103"/>
  <c r="J12" i="103"/>
  <c r="J13" i="103"/>
  <c r="J16" i="103"/>
  <c r="I18" i="103"/>
  <c r="I12" i="103"/>
  <c r="I13" i="103"/>
  <c r="I16" i="103"/>
  <c r="I15" i="103"/>
  <c r="J10" i="103"/>
  <c r="J11" i="103"/>
  <c r="J9" i="103"/>
  <c r="I14" i="103"/>
  <c r="I10" i="103"/>
  <c r="J15" i="103"/>
  <c r="I17" i="103"/>
  <c r="B62" i="49"/>
  <c r="H62" i="49"/>
  <c r="E62" i="49"/>
  <c r="G62" i="49"/>
  <c r="F62" i="49"/>
  <c r="C62" i="49"/>
  <c r="D62" i="49"/>
  <c r="I15" i="156" l="1"/>
  <c r="I15" i="155"/>
  <c r="I13" i="156"/>
  <c r="I13" i="155"/>
  <c r="J9" i="156"/>
  <c r="J9" i="155"/>
  <c r="J11" i="156"/>
  <c r="J11" i="155"/>
  <c r="I16" i="156"/>
  <c r="I16" i="155"/>
  <c r="I12" i="156"/>
  <c r="I12" i="155"/>
  <c r="J17" i="156"/>
  <c r="J17" i="155"/>
  <c r="I9" i="156"/>
  <c r="I9" i="155"/>
  <c r="I18" i="156"/>
  <c r="I18" i="155"/>
  <c r="J10" i="155"/>
  <c r="J10" i="156"/>
  <c r="I17" i="156"/>
  <c r="I17" i="155"/>
  <c r="J15" i="156"/>
  <c r="J15" i="155"/>
  <c r="J13" i="156"/>
  <c r="J13" i="155"/>
  <c r="J16" i="155"/>
  <c r="J16" i="156"/>
  <c r="I10" i="156"/>
  <c r="I10" i="155"/>
  <c r="J12" i="156"/>
  <c r="J12" i="155"/>
  <c r="I14" i="156"/>
  <c r="I14" i="155"/>
  <c r="I11" i="156"/>
  <c r="I11" i="155"/>
  <c r="J15" i="152"/>
  <c r="J15" i="154"/>
  <c r="J15" i="153"/>
  <c r="J9" i="152"/>
  <c r="J9" i="154"/>
  <c r="J9" i="153"/>
  <c r="J16" i="152"/>
  <c r="J16" i="154"/>
  <c r="J16" i="153"/>
  <c r="J17" i="152"/>
  <c r="J17" i="154"/>
  <c r="J17" i="153"/>
  <c r="I15" i="152"/>
  <c r="I15" i="154"/>
  <c r="I15" i="153"/>
  <c r="I17" i="152"/>
  <c r="I17" i="154"/>
  <c r="I17" i="153"/>
  <c r="J11" i="152"/>
  <c r="J11" i="153"/>
  <c r="J11" i="154"/>
  <c r="J13" i="152"/>
  <c r="J13" i="154"/>
  <c r="J13" i="153"/>
  <c r="J12" i="152"/>
  <c r="J12" i="154"/>
  <c r="J12" i="153"/>
  <c r="I11" i="152"/>
  <c r="I11" i="153"/>
  <c r="I11" i="154"/>
  <c r="I10" i="152"/>
  <c r="I10" i="154"/>
  <c r="I10" i="153"/>
  <c r="I14" i="152"/>
  <c r="I14" i="154"/>
  <c r="I14" i="153"/>
  <c r="I9" i="152"/>
  <c r="I9" i="154"/>
  <c r="I9" i="153"/>
  <c r="J10" i="152"/>
  <c r="J10" i="154"/>
  <c r="J10" i="153"/>
  <c r="I16" i="152"/>
  <c r="I16" i="154"/>
  <c r="I16" i="153"/>
  <c r="I13" i="152"/>
  <c r="I13" i="154"/>
  <c r="I13" i="153"/>
  <c r="I12" i="152"/>
  <c r="I12" i="154"/>
  <c r="I12" i="153"/>
  <c r="I18" i="152"/>
  <c r="I18" i="154"/>
  <c r="I18" i="153"/>
  <c r="AG18" i="149"/>
  <c r="AJ18" i="149" s="1"/>
  <c r="I16" i="149"/>
  <c r="Y16" i="149" s="1"/>
  <c r="AE16" i="149" s="1"/>
  <c r="I16" i="151"/>
  <c r="I17" i="149"/>
  <c r="Y17" i="149" s="1"/>
  <c r="AE17" i="149" s="1"/>
  <c r="I17" i="151"/>
  <c r="J13" i="149"/>
  <c r="Z13" i="149" s="1"/>
  <c r="AG13" i="149" s="1"/>
  <c r="J13" i="151"/>
  <c r="I12" i="149"/>
  <c r="I12" i="151"/>
  <c r="J9" i="149"/>
  <c r="J9" i="151"/>
  <c r="J17" i="149"/>
  <c r="Z17" i="149" s="1"/>
  <c r="AH17" i="149" s="1"/>
  <c r="J17" i="151"/>
  <c r="I18" i="149"/>
  <c r="Y18" i="149" s="1"/>
  <c r="AF18" i="149" s="1"/>
  <c r="I18" i="151"/>
  <c r="I10" i="149"/>
  <c r="Y10" i="149" s="1"/>
  <c r="AF10" i="149" s="1"/>
  <c r="I10" i="151"/>
  <c r="J11" i="149"/>
  <c r="J11" i="151"/>
  <c r="I9" i="149"/>
  <c r="Y9" i="149" s="1"/>
  <c r="I9" i="151"/>
  <c r="I13" i="149"/>
  <c r="Y13" i="149" s="1"/>
  <c r="AF13" i="149" s="1"/>
  <c r="I13" i="151"/>
  <c r="J15" i="149"/>
  <c r="J15" i="151"/>
  <c r="J10" i="149"/>
  <c r="Z10" i="149" s="1"/>
  <c r="AG10" i="149" s="1"/>
  <c r="J10" i="151"/>
  <c r="J16" i="149"/>
  <c r="Z16" i="149" s="1"/>
  <c r="AH16" i="149" s="1"/>
  <c r="J16" i="151"/>
  <c r="J12" i="149"/>
  <c r="J12" i="151"/>
  <c r="I14" i="149"/>
  <c r="I14" i="151"/>
  <c r="I11" i="149"/>
  <c r="I11" i="151"/>
  <c r="I15" i="149"/>
  <c r="I15" i="151"/>
  <c r="J17" i="147"/>
  <c r="J17" i="148"/>
  <c r="J9" i="147"/>
  <c r="J9" i="148"/>
  <c r="I9" i="147"/>
  <c r="I9" i="148"/>
  <c r="I12" i="147"/>
  <c r="I12" i="148"/>
  <c r="I18" i="147"/>
  <c r="I18" i="148"/>
  <c r="I16" i="147"/>
  <c r="I16" i="148"/>
  <c r="I17" i="147"/>
  <c r="I17" i="148"/>
  <c r="J16" i="147"/>
  <c r="J16" i="148"/>
  <c r="J15" i="147"/>
  <c r="J15" i="148"/>
  <c r="J13" i="147"/>
  <c r="J13" i="148"/>
  <c r="I10" i="147"/>
  <c r="I10" i="148"/>
  <c r="J12" i="147"/>
  <c r="J12" i="148"/>
  <c r="J11" i="147"/>
  <c r="J11" i="148"/>
  <c r="J10" i="147"/>
  <c r="J10" i="148"/>
  <c r="I15" i="147"/>
  <c r="I15" i="148"/>
  <c r="I13" i="147"/>
  <c r="I13" i="148"/>
  <c r="I14" i="147"/>
  <c r="I14" i="148"/>
  <c r="I11" i="147"/>
  <c r="I11" i="148"/>
  <c r="I11" i="145"/>
  <c r="I11" i="146"/>
  <c r="J11" i="145"/>
  <c r="J11" i="146"/>
  <c r="I9" i="145"/>
  <c r="I9" i="146"/>
  <c r="J16" i="145"/>
  <c r="J16" i="146"/>
  <c r="J12" i="145"/>
  <c r="J12" i="146"/>
  <c r="J13" i="145"/>
  <c r="J13" i="146"/>
  <c r="J17" i="145"/>
  <c r="J17" i="146"/>
  <c r="I15" i="145"/>
  <c r="I15" i="146"/>
  <c r="I14" i="145"/>
  <c r="I14" i="146"/>
  <c r="I17" i="145"/>
  <c r="I17" i="146"/>
  <c r="J15" i="145"/>
  <c r="J15" i="146"/>
  <c r="I13" i="145"/>
  <c r="I13" i="146"/>
  <c r="I12" i="145"/>
  <c r="I12" i="146"/>
  <c r="I10" i="145"/>
  <c r="I10" i="146"/>
  <c r="J9" i="145"/>
  <c r="J9" i="146"/>
  <c r="J10" i="145"/>
  <c r="J10" i="146"/>
  <c r="I16" i="145"/>
  <c r="I16" i="146"/>
  <c r="I18" i="145"/>
  <c r="I18" i="146"/>
  <c r="I13" i="143"/>
  <c r="I13" i="144"/>
  <c r="I16" i="143"/>
  <c r="I16" i="144"/>
  <c r="I11" i="143"/>
  <c r="I11" i="144"/>
  <c r="I17" i="143"/>
  <c r="I17" i="144"/>
  <c r="J15" i="143"/>
  <c r="J15" i="144"/>
  <c r="J17" i="143"/>
  <c r="J17" i="144"/>
  <c r="J13" i="143"/>
  <c r="J13" i="144"/>
  <c r="J12" i="143"/>
  <c r="J12" i="144"/>
  <c r="J9" i="143"/>
  <c r="J9" i="144"/>
  <c r="J11" i="143"/>
  <c r="J11" i="144"/>
  <c r="I9" i="143"/>
  <c r="I9" i="144"/>
  <c r="I14" i="143"/>
  <c r="I14" i="144"/>
  <c r="J10" i="143"/>
  <c r="J10" i="144"/>
  <c r="I12" i="143"/>
  <c r="I12" i="144"/>
  <c r="I18" i="143"/>
  <c r="I18" i="144"/>
  <c r="J16" i="143"/>
  <c r="J16" i="144"/>
  <c r="I10" i="143"/>
  <c r="I10" i="144"/>
  <c r="I15" i="143"/>
  <c r="I15" i="144"/>
  <c r="J17" i="75"/>
  <c r="J17" i="85"/>
  <c r="J17" i="84"/>
  <c r="I9" i="75"/>
  <c r="I9" i="85"/>
  <c r="I9" i="84"/>
  <c r="I16" i="75"/>
  <c r="I16" i="85"/>
  <c r="I16" i="84"/>
  <c r="J9" i="75"/>
  <c r="J9" i="85"/>
  <c r="J9" i="84"/>
  <c r="I12" i="75"/>
  <c r="I12" i="85"/>
  <c r="I12" i="84"/>
  <c r="I17" i="75"/>
  <c r="I17" i="85"/>
  <c r="I17" i="84"/>
  <c r="J11" i="75"/>
  <c r="J11" i="85"/>
  <c r="J11" i="84"/>
  <c r="J10" i="85"/>
  <c r="J10" i="84"/>
  <c r="J10" i="75"/>
  <c r="I15" i="75"/>
  <c r="I15" i="85"/>
  <c r="I15" i="84"/>
  <c r="I13" i="75"/>
  <c r="I13" i="85"/>
  <c r="I13" i="84"/>
  <c r="I18" i="75"/>
  <c r="I18" i="85"/>
  <c r="I18" i="84"/>
  <c r="J16" i="84"/>
  <c r="J16" i="75"/>
  <c r="J16" i="85"/>
  <c r="J15" i="75"/>
  <c r="J15" i="85"/>
  <c r="J15" i="84"/>
  <c r="J13" i="75"/>
  <c r="J13" i="85"/>
  <c r="J13" i="84"/>
  <c r="I10" i="75"/>
  <c r="I10" i="85"/>
  <c r="I10" i="84"/>
  <c r="J12" i="85"/>
  <c r="J12" i="75"/>
  <c r="J12" i="84"/>
  <c r="I14" i="75"/>
  <c r="I14" i="85"/>
  <c r="I14" i="84"/>
  <c r="I11" i="75"/>
  <c r="I11" i="85"/>
  <c r="I11" i="84"/>
  <c r="I12" i="83"/>
  <c r="J17" i="83"/>
  <c r="I16" i="83"/>
  <c r="I14" i="83"/>
  <c r="I11" i="83"/>
  <c r="J11" i="83"/>
  <c r="I18" i="83"/>
  <c r="J16" i="83"/>
  <c r="I10" i="83"/>
  <c r="J12" i="83"/>
  <c r="I13" i="83"/>
  <c r="J10" i="83"/>
  <c r="J15" i="83"/>
  <c r="I15" i="83"/>
  <c r="J13" i="83"/>
  <c r="I17" i="83"/>
  <c r="J9" i="83"/>
  <c r="I9" i="83"/>
  <c r="J34" i="103"/>
  <c r="J28" i="103"/>
  <c r="I34" i="103"/>
  <c r="I28" i="103"/>
  <c r="C69" i="49"/>
  <c r="C70" i="49" s="1"/>
  <c r="C71" i="49" s="1"/>
  <c r="C92" i="49"/>
  <c r="F69" i="49"/>
  <c r="F70" i="49" s="1"/>
  <c r="F71" i="49" s="1"/>
  <c r="F92" i="49"/>
  <c r="O92" i="49" s="1"/>
  <c r="D69" i="49"/>
  <c r="D70" i="49" s="1"/>
  <c r="D71" i="49" s="1"/>
  <c r="D92" i="49"/>
  <c r="N92" i="49" s="1"/>
  <c r="G69" i="49"/>
  <c r="G70" i="49" s="1"/>
  <c r="G71" i="49" s="1"/>
  <c r="G92" i="49"/>
  <c r="E69" i="49"/>
  <c r="E70" i="49" s="1"/>
  <c r="E71" i="49" s="1"/>
  <c r="E92" i="49"/>
  <c r="H69" i="49"/>
  <c r="H70" i="49" s="1"/>
  <c r="H71" i="49" s="1"/>
  <c r="H92" i="49"/>
  <c r="B69" i="49"/>
  <c r="B70" i="49" s="1"/>
  <c r="B71" i="49" s="1"/>
  <c r="B72" i="49" s="1"/>
  <c r="B73" i="49" s="1"/>
  <c r="B74" i="49" s="1"/>
  <c r="B75" i="49" s="1"/>
  <c r="B92" i="49"/>
  <c r="I34" i="152" l="1"/>
  <c r="J34" i="152"/>
  <c r="I28" i="152"/>
  <c r="I27" i="152" s="1"/>
  <c r="J28" i="155"/>
  <c r="J34" i="155"/>
  <c r="J28" i="152"/>
  <c r="J29" i="152" s="1"/>
  <c r="J28" i="156"/>
  <c r="J34" i="156"/>
  <c r="I28" i="155"/>
  <c r="I34" i="155"/>
  <c r="I34" i="156"/>
  <c r="I28" i="156"/>
  <c r="I34" i="153"/>
  <c r="I28" i="153"/>
  <c r="I34" i="154"/>
  <c r="I28" i="154"/>
  <c r="J28" i="153"/>
  <c r="J34" i="153"/>
  <c r="J34" i="154"/>
  <c r="J28" i="154"/>
  <c r="AH13" i="149"/>
  <c r="AJ13" i="149" s="1"/>
  <c r="AE10" i="149"/>
  <c r="AI10" i="149" s="1"/>
  <c r="AE18" i="149"/>
  <c r="AI18" i="149" s="1"/>
  <c r="AH10" i="149"/>
  <c r="AJ10" i="149" s="1"/>
  <c r="J28" i="149"/>
  <c r="J29" i="149" s="1"/>
  <c r="J34" i="149"/>
  <c r="AF17" i="149"/>
  <c r="AI17" i="149" s="1"/>
  <c r="AE13" i="149"/>
  <c r="AI13" i="149" s="1"/>
  <c r="Z9" i="149"/>
  <c r="AH9" i="149" s="1"/>
  <c r="I28" i="149"/>
  <c r="I29" i="149" s="1"/>
  <c r="AG17" i="149"/>
  <c r="AJ17" i="149" s="1"/>
  <c r="AF16" i="149"/>
  <c r="AI16" i="149" s="1"/>
  <c r="AG16" i="149"/>
  <c r="AJ16" i="149" s="1"/>
  <c r="J34" i="151"/>
  <c r="J28" i="151"/>
  <c r="I34" i="151"/>
  <c r="I28" i="151"/>
  <c r="I34" i="149"/>
  <c r="AF9" i="149"/>
  <c r="AE9" i="149"/>
  <c r="J34" i="147"/>
  <c r="I34" i="147"/>
  <c r="J28" i="147"/>
  <c r="J29" i="147" s="1"/>
  <c r="I28" i="148"/>
  <c r="I34" i="148"/>
  <c r="I28" i="147"/>
  <c r="I29" i="147" s="1"/>
  <c r="J28" i="148"/>
  <c r="J34" i="148"/>
  <c r="J28" i="145"/>
  <c r="J29" i="145" s="1"/>
  <c r="I28" i="145"/>
  <c r="I29" i="145" s="1"/>
  <c r="J34" i="145"/>
  <c r="I34" i="145"/>
  <c r="J28" i="146"/>
  <c r="J34" i="146"/>
  <c r="I28" i="146"/>
  <c r="I34" i="146"/>
  <c r="I34" i="143"/>
  <c r="J28" i="143"/>
  <c r="J29" i="143" s="1"/>
  <c r="I28" i="144"/>
  <c r="I34" i="144"/>
  <c r="J28" i="144"/>
  <c r="J34" i="144"/>
  <c r="I28" i="143"/>
  <c r="I29" i="143" s="1"/>
  <c r="J34" i="143"/>
  <c r="I34" i="84"/>
  <c r="I34" i="83"/>
  <c r="I34" i="85"/>
  <c r="I34" i="75"/>
  <c r="J34" i="84"/>
  <c r="J34" i="85"/>
  <c r="J34" i="83"/>
  <c r="J34" i="75"/>
  <c r="I28" i="84"/>
  <c r="I28" i="85"/>
  <c r="I28" i="75"/>
  <c r="J28" i="84"/>
  <c r="J28" i="85"/>
  <c r="J28" i="75"/>
  <c r="I28" i="83"/>
  <c r="I29" i="83" s="1"/>
  <c r="J28" i="83"/>
  <c r="J29" i="83" s="1"/>
  <c r="I29" i="103"/>
  <c r="I27" i="103"/>
  <c r="J29" i="103"/>
  <c r="J27" i="103"/>
  <c r="P92" i="49"/>
  <c r="Q92" i="49"/>
  <c r="D72" i="49"/>
  <c r="C72" i="49"/>
  <c r="E72" i="49"/>
  <c r="F72" i="49"/>
  <c r="H72" i="49"/>
  <c r="G72" i="49"/>
  <c r="I29" i="152" l="1"/>
  <c r="I29" i="156"/>
  <c r="I27" i="156"/>
  <c r="J29" i="155"/>
  <c r="J27" i="155"/>
  <c r="J27" i="152"/>
  <c r="I29" i="155"/>
  <c r="I27" i="155"/>
  <c r="J29" i="156"/>
  <c r="J27" i="156"/>
  <c r="I29" i="154"/>
  <c r="I27" i="154"/>
  <c r="J29" i="154"/>
  <c r="J27" i="154"/>
  <c r="I29" i="153"/>
  <c r="I27" i="153"/>
  <c r="J29" i="153"/>
  <c r="J27" i="153"/>
  <c r="AG9" i="149"/>
  <c r="AJ9" i="149" s="1"/>
  <c r="I27" i="149"/>
  <c r="J27" i="149"/>
  <c r="I29" i="151"/>
  <c r="I27" i="151"/>
  <c r="J29" i="151"/>
  <c r="J27" i="151"/>
  <c r="AI9" i="149"/>
  <c r="I29" i="148"/>
  <c r="I27" i="148"/>
  <c r="J29" i="148"/>
  <c r="J27" i="148"/>
  <c r="J27" i="147"/>
  <c r="I27" i="147"/>
  <c r="J27" i="145"/>
  <c r="I27" i="145"/>
  <c r="J29" i="146"/>
  <c r="J27" i="146"/>
  <c r="I29" i="146"/>
  <c r="I27" i="146"/>
  <c r="J27" i="143"/>
  <c r="I27" i="143"/>
  <c r="J29" i="144"/>
  <c r="J27" i="144"/>
  <c r="I29" i="144"/>
  <c r="I27" i="144"/>
  <c r="J29" i="75"/>
  <c r="J27" i="75"/>
  <c r="J29" i="84"/>
  <c r="J27" i="84"/>
  <c r="I29" i="75"/>
  <c r="I27" i="75"/>
  <c r="I29" i="85"/>
  <c r="I27" i="85"/>
  <c r="I29" i="84"/>
  <c r="I27" i="84"/>
  <c r="J29" i="85"/>
  <c r="J27" i="85"/>
  <c r="I27" i="83"/>
  <c r="J27" i="83"/>
  <c r="C73" i="49"/>
  <c r="C74" i="49" s="1"/>
  <c r="C75" i="49" s="1"/>
  <c r="D73" i="49"/>
  <c r="D74" i="49" s="1"/>
  <c r="D75" i="49" s="1"/>
  <c r="H73" i="49"/>
  <c r="H74" i="49" s="1"/>
  <c r="H75" i="49" s="1"/>
  <c r="F73" i="49"/>
  <c r="F74" i="49" s="1"/>
  <c r="F75" i="49" s="1"/>
  <c r="G73" i="49"/>
  <c r="G74" i="49" s="1"/>
  <c r="G75" i="49" s="1"/>
  <c r="E73" i="49"/>
  <c r="E74" i="49" s="1"/>
  <c r="E75" i="49" s="1"/>
  <c r="B181" i="41" l="1"/>
  <c r="E181" i="41"/>
  <c r="G181" i="41"/>
  <c r="F181" i="41"/>
  <c r="O181" i="41" s="1"/>
  <c r="O204" i="41" s="1"/>
  <c r="Q204" i="41" s="1"/>
  <c r="D181" i="41"/>
  <c r="N181" i="41" s="1"/>
  <c r="N204" i="41" s="1"/>
  <c r="C181" i="41"/>
  <c r="H181" i="41"/>
  <c r="P204" i="41" l="1"/>
  <c r="E22" i="70" l="1"/>
  <c r="F26" i="70"/>
  <c r="E25" i="70"/>
  <c r="E27" i="70"/>
  <c r="F27" i="70" l="1"/>
  <c r="F24" i="70"/>
  <c r="E56" i="70" s="1"/>
  <c r="F23" i="70"/>
  <c r="E55" i="70" s="1"/>
  <c r="F22" i="70"/>
  <c r="D28" i="70"/>
  <c r="F55" i="70" l="1"/>
  <c r="P55" i="70"/>
  <c r="Y84" i="70" s="1"/>
  <c r="F56" i="70"/>
  <c r="P56" i="70"/>
  <c r="Y85" i="70" s="1"/>
  <c r="E60" i="70"/>
  <c r="Y89" i="70" s="1"/>
  <c r="Y125" i="70" s="1"/>
  <c r="M55" i="70"/>
  <c r="M60" i="70"/>
  <c r="K57" i="70"/>
  <c r="J57" i="70" s="1"/>
  <c r="M56" i="70"/>
  <c r="M57" i="70"/>
  <c r="M59" i="70"/>
  <c r="K55" i="70"/>
  <c r="J55" i="70" s="1"/>
  <c r="M58" i="70"/>
  <c r="K59" i="70"/>
  <c r="J59" i="70" s="1"/>
  <c r="P52" i="70"/>
  <c r="Y81" i="70" s="1"/>
  <c r="M54" i="70"/>
  <c r="K60" i="70"/>
  <c r="J60" i="70" s="1"/>
  <c r="F60" i="70" l="1"/>
  <c r="R125" i="70"/>
  <c r="X125" i="70"/>
  <c r="W125" i="70"/>
  <c r="V125" i="70"/>
  <c r="U125" i="70"/>
  <c r="S125" i="70"/>
  <c r="T125" i="70"/>
  <c r="Y90" i="70"/>
  <c r="R89" i="70"/>
  <c r="X89" i="70"/>
  <c r="W89" i="70"/>
  <c r="S89" i="70"/>
  <c r="V89" i="70"/>
  <c r="T89" i="70"/>
  <c r="U89" i="70"/>
  <c r="R81" i="70"/>
  <c r="X81" i="70"/>
  <c r="W81" i="70"/>
  <c r="V81" i="70"/>
  <c r="U81" i="70"/>
  <c r="T81" i="70"/>
  <c r="S81" i="70"/>
  <c r="Y113" i="70"/>
  <c r="Y112" i="70"/>
  <c r="Y109" i="70"/>
  <c r="L60" i="70"/>
  <c r="N60" i="70" s="1"/>
  <c r="O60" i="70"/>
  <c r="L57" i="70"/>
  <c r="O57" i="70"/>
  <c r="L56" i="70"/>
  <c r="O56" i="70"/>
  <c r="L55" i="70"/>
  <c r="O55" i="70"/>
  <c r="L54" i="70"/>
  <c r="O54" i="70"/>
  <c r="L59" i="70"/>
  <c r="O59" i="70"/>
  <c r="L58" i="70"/>
  <c r="O58" i="70"/>
  <c r="P60" i="70"/>
  <c r="K53" i="70"/>
  <c r="J53" i="70" s="1"/>
  <c r="M53" i="70"/>
  <c r="K58" i="70"/>
  <c r="J58" i="70" s="1"/>
  <c r="K54" i="70"/>
  <c r="J54" i="70" s="1"/>
  <c r="M52" i="70"/>
  <c r="O52" i="70" s="1"/>
  <c r="K52" i="70"/>
  <c r="K56" i="70"/>
  <c r="J56" i="70" s="1"/>
  <c r="Q125" i="70" l="1"/>
  <c r="N59" i="70"/>
  <c r="Q88" i="70" s="1"/>
  <c r="I88" i="70" s="1"/>
  <c r="R109" i="70"/>
  <c r="R152" i="70" s="1"/>
  <c r="X109" i="70"/>
  <c r="X152" i="70" s="1"/>
  <c r="W109" i="70"/>
  <c r="W152" i="70" s="1"/>
  <c r="T109" i="70"/>
  <c r="T152" i="70" s="1"/>
  <c r="V109" i="70"/>
  <c r="V152" i="70" s="1"/>
  <c r="U109" i="70"/>
  <c r="U152" i="70" s="1"/>
  <c r="S109" i="70"/>
  <c r="S152" i="70" s="1"/>
  <c r="N56" i="70"/>
  <c r="Q85" i="70" s="1"/>
  <c r="N57" i="70"/>
  <c r="Q86" i="70" s="1"/>
  <c r="N58" i="70"/>
  <c r="N54" i="70"/>
  <c r="Q83" i="70" s="1"/>
  <c r="I83" i="70" s="1"/>
  <c r="L53" i="70"/>
  <c r="O53" i="70"/>
  <c r="N55" i="70"/>
  <c r="Q84" i="70" s="1"/>
  <c r="J52" i="70"/>
  <c r="L52" i="70"/>
  <c r="I125" i="70" l="1"/>
  <c r="P89" i="70"/>
  <c r="O89" i="70"/>
  <c r="N89" i="70"/>
  <c r="M89" i="70"/>
  <c r="L89" i="70"/>
  <c r="K89" i="70"/>
  <c r="I89" i="70"/>
  <c r="J89" i="70"/>
  <c r="I84" i="70"/>
  <c r="O83" i="70"/>
  <c r="N83" i="70"/>
  <c r="K83" i="70"/>
  <c r="M83" i="70"/>
  <c r="L83" i="70"/>
  <c r="J83" i="70"/>
  <c r="P83" i="70"/>
  <c r="O86" i="70"/>
  <c r="N86" i="70"/>
  <c r="P86" i="70"/>
  <c r="M86" i="70"/>
  <c r="L86" i="70"/>
  <c r="K86" i="70"/>
  <c r="J86" i="70"/>
  <c r="I85" i="70"/>
  <c r="P88" i="70"/>
  <c r="M88" i="70"/>
  <c r="O88" i="70"/>
  <c r="N88" i="70"/>
  <c r="L88" i="70"/>
  <c r="K88" i="70"/>
  <c r="J88" i="70"/>
  <c r="Q87" i="70"/>
  <c r="I86" i="70"/>
  <c r="J125" i="70"/>
  <c r="P125" i="70"/>
  <c r="H125" i="70" s="1"/>
  <c r="O125" i="70"/>
  <c r="G125" i="70" s="1"/>
  <c r="M125" i="70"/>
  <c r="E125" i="70" s="1"/>
  <c r="L125" i="70"/>
  <c r="D125" i="70" s="1"/>
  <c r="K125" i="70"/>
  <c r="C125" i="70" s="1"/>
  <c r="N125" i="70"/>
  <c r="F125" i="70" s="1"/>
  <c r="Q113" i="70"/>
  <c r="Q111" i="70"/>
  <c r="K111" i="70" s="1"/>
  <c r="C111" i="70" s="1"/>
  <c r="Q114" i="70"/>
  <c r="I114" i="70" s="1"/>
  <c r="Q115" i="70"/>
  <c r="M115" i="70" s="1"/>
  <c r="E115" i="70" s="1"/>
  <c r="Q112" i="70"/>
  <c r="Q116" i="70"/>
  <c r="O116" i="70" s="1"/>
  <c r="G116" i="70" s="1"/>
  <c r="N53" i="70"/>
  <c r="N52" i="70"/>
  <c r="B125" i="70" l="1"/>
  <c r="D83" i="70"/>
  <c r="F83" i="70"/>
  <c r="C89" i="70"/>
  <c r="D88" i="70"/>
  <c r="C86" i="70"/>
  <c r="D89" i="70"/>
  <c r="D86" i="70"/>
  <c r="E89" i="70"/>
  <c r="C83" i="70"/>
  <c r="K154" i="70"/>
  <c r="C154" i="70" s="1"/>
  <c r="K155" i="70"/>
  <c r="C155" i="70" s="1"/>
  <c r="O161" i="70"/>
  <c r="G161" i="70" s="1"/>
  <c r="E86" i="70"/>
  <c r="F89" i="70"/>
  <c r="H86" i="70"/>
  <c r="G89" i="70"/>
  <c r="H89" i="70"/>
  <c r="B89" i="70"/>
  <c r="E88" i="70"/>
  <c r="B83" i="70"/>
  <c r="B88" i="70"/>
  <c r="H83" i="70"/>
  <c r="G86" i="70"/>
  <c r="G83" i="70"/>
  <c r="G88" i="70"/>
  <c r="F86" i="70"/>
  <c r="C88" i="70"/>
  <c r="E83" i="70"/>
  <c r="H88" i="70"/>
  <c r="F88" i="70"/>
  <c r="B86" i="70"/>
  <c r="I87" i="70"/>
  <c r="K87" i="70"/>
  <c r="J87" i="70"/>
  <c r="M87" i="70"/>
  <c r="M160" i="70" s="1"/>
  <c r="E160" i="70" s="1"/>
  <c r="P87" i="70"/>
  <c r="O87" i="70"/>
  <c r="N87" i="70"/>
  <c r="L87" i="70"/>
  <c r="Q82" i="70"/>
  <c r="Q81" i="70"/>
  <c r="O114" i="70"/>
  <c r="G114" i="70" s="1"/>
  <c r="N114" i="70"/>
  <c r="F114" i="70" s="1"/>
  <c r="J114" i="70"/>
  <c r="B114" i="70" s="1"/>
  <c r="L111" i="70"/>
  <c r="D111" i="70" s="1"/>
  <c r="P111" i="70"/>
  <c r="H111" i="70" s="1"/>
  <c r="M111" i="70"/>
  <c r="E111" i="70" s="1"/>
  <c r="P114" i="70"/>
  <c r="H114" i="70" s="1"/>
  <c r="K114" i="70"/>
  <c r="C114" i="70" s="1"/>
  <c r="L114" i="70"/>
  <c r="D114" i="70" s="1"/>
  <c r="I113" i="70"/>
  <c r="N115" i="70"/>
  <c r="F115" i="70" s="1"/>
  <c r="M114" i="70"/>
  <c r="E114" i="70" s="1"/>
  <c r="P115" i="70"/>
  <c r="H115" i="70" s="1"/>
  <c r="N111" i="70"/>
  <c r="F111" i="70" s="1"/>
  <c r="I115" i="70"/>
  <c r="O111" i="70"/>
  <c r="G111" i="70" s="1"/>
  <c r="J115" i="70"/>
  <c r="B115" i="70" s="1"/>
  <c r="I111" i="70"/>
  <c r="K115" i="70"/>
  <c r="C115" i="70" s="1"/>
  <c r="J111" i="70"/>
  <c r="B111" i="70" s="1"/>
  <c r="L115" i="70"/>
  <c r="D115" i="70" s="1"/>
  <c r="L116" i="70"/>
  <c r="D116" i="70" s="1"/>
  <c r="Q110" i="70"/>
  <c r="L110" i="70" s="1"/>
  <c r="D110" i="70" s="1"/>
  <c r="P116" i="70"/>
  <c r="H116" i="70" s="1"/>
  <c r="M116" i="70"/>
  <c r="E116" i="70" s="1"/>
  <c r="N116" i="70"/>
  <c r="F116" i="70" s="1"/>
  <c r="O115" i="70"/>
  <c r="G115" i="70" s="1"/>
  <c r="I116" i="70"/>
  <c r="I112" i="70"/>
  <c r="J116" i="70"/>
  <c r="B116" i="70" s="1"/>
  <c r="K116" i="70"/>
  <c r="C116" i="70" s="1"/>
  <c r="Q109" i="70"/>
  <c r="J160" i="70" l="1"/>
  <c r="B160" i="70" s="1"/>
  <c r="L160" i="70"/>
  <c r="AC182" i="70" s="1"/>
  <c r="N159" i="70"/>
  <c r="AD181" i="70" s="1"/>
  <c r="P159" i="70"/>
  <c r="H159" i="70" s="1"/>
  <c r="M154" i="70"/>
  <c r="E154" i="70" s="1"/>
  <c r="P155" i="70"/>
  <c r="H155" i="70" s="1"/>
  <c r="N155" i="70"/>
  <c r="AD177" i="70" s="1"/>
  <c r="N160" i="70"/>
  <c r="AD182" i="70" s="1"/>
  <c r="O159" i="70"/>
  <c r="G159" i="70" s="1"/>
  <c r="M159" i="70"/>
  <c r="E159" i="70" s="1"/>
  <c r="P154" i="70"/>
  <c r="H154" i="70" s="1"/>
  <c r="N154" i="70"/>
  <c r="AD176" i="70" s="1"/>
  <c r="O160" i="70"/>
  <c r="G160" i="70" s="1"/>
  <c r="K159" i="70"/>
  <c r="C159" i="70" s="1"/>
  <c r="P160" i="70"/>
  <c r="H160" i="70" s="1"/>
  <c r="O155" i="70"/>
  <c r="G155" i="70" s="1"/>
  <c r="P161" i="70"/>
  <c r="H161" i="70" s="1"/>
  <c r="N161" i="70"/>
  <c r="AD183" i="70" s="1"/>
  <c r="O154" i="70"/>
  <c r="G154" i="70" s="1"/>
  <c r="L161" i="70"/>
  <c r="AC183" i="70" s="1"/>
  <c r="L159" i="70"/>
  <c r="AC181" i="70" s="1"/>
  <c r="L155" i="70"/>
  <c r="AC177" i="70" s="1"/>
  <c r="K161" i="70"/>
  <c r="C161" i="70" s="1"/>
  <c r="L154" i="70"/>
  <c r="AC176" i="70" s="1"/>
  <c r="K160" i="70"/>
  <c r="C160" i="70" s="1"/>
  <c r="M161" i="70"/>
  <c r="E161" i="70" s="1"/>
  <c r="M155" i="70"/>
  <c r="E155" i="70" s="1"/>
  <c r="J161" i="70"/>
  <c r="B161" i="70" s="1"/>
  <c r="J159" i="70"/>
  <c r="B159" i="70" s="1"/>
  <c r="J155" i="70"/>
  <c r="B155" i="70" s="1"/>
  <c r="J154" i="70"/>
  <c r="B154" i="70" s="1"/>
  <c r="Q90" i="70"/>
  <c r="I90" i="70" s="1"/>
  <c r="D87" i="70"/>
  <c r="C103" i="70"/>
  <c r="Y123" i="70" s="1"/>
  <c r="F87" i="70"/>
  <c r="G87" i="70"/>
  <c r="H87" i="70"/>
  <c r="E87" i="70"/>
  <c r="B87" i="70"/>
  <c r="C87" i="70"/>
  <c r="I82" i="70"/>
  <c r="J82" i="70"/>
  <c r="M82" i="70"/>
  <c r="L82" i="70"/>
  <c r="L153" i="70" s="1"/>
  <c r="AC175" i="70" s="1"/>
  <c r="P82" i="70"/>
  <c r="O82" i="70"/>
  <c r="N82" i="70"/>
  <c r="K82" i="70"/>
  <c r="P81" i="70"/>
  <c r="O81" i="70"/>
  <c r="L81" i="70"/>
  <c r="N81" i="70"/>
  <c r="K81" i="70"/>
  <c r="M81" i="70"/>
  <c r="J81" i="70"/>
  <c r="I81" i="70"/>
  <c r="M110" i="70"/>
  <c r="E110" i="70" s="1"/>
  <c r="N110" i="70"/>
  <c r="F110" i="70" s="1"/>
  <c r="O110" i="70"/>
  <c r="G110" i="70" s="1"/>
  <c r="P110" i="70"/>
  <c r="H110" i="70" s="1"/>
  <c r="J110" i="70"/>
  <c r="B110" i="70" s="1"/>
  <c r="K110" i="70"/>
  <c r="C110" i="70" s="1"/>
  <c r="I110" i="70"/>
  <c r="P109" i="70"/>
  <c r="H109" i="70" s="1"/>
  <c r="O109" i="70"/>
  <c r="G109" i="70" s="1"/>
  <c r="N109" i="70"/>
  <c r="F109" i="70" s="1"/>
  <c r="M109" i="70"/>
  <c r="L109" i="70"/>
  <c r="D109" i="70" s="1"/>
  <c r="K109" i="70"/>
  <c r="C109" i="70" s="1"/>
  <c r="I109" i="70"/>
  <c r="J109" i="70"/>
  <c r="B109" i="70" s="1"/>
  <c r="Z182" i="70" l="1"/>
  <c r="AB182" i="70"/>
  <c r="Y177" i="70"/>
  <c r="AA177" i="70"/>
  <c r="Z176" i="70"/>
  <c r="AB176" i="70"/>
  <c r="Y181" i="70"/>
  <c r="AA181" i="70"/>
  <c r="Y183" i="70"/>
  <c r="AA183" i="70"/>
  <c r="Z181" i="70"/>
  <c r="AB181" i="70"/>
  <c r="Y182" i="70"/>
  <c r="AA182" i="70"/>
  <c r="Y175" i="70"/>
  <c r="AA175" i="70"/>
  <c r="Z183" i="70"/>
  <c r="AB183" i="70"/>
  <c r="Y176" i="70"/>
  <c r="AA176" i="70"/>
  <c r="Z177" i="70"/>
  <c r="AB177" i="70"/>
  <c r="U181" i="70"/>
  <c r="R16" i="148" s="1"/>
  <c r="W181" i="70"/>
  <c r="R16" i="75" s="1"/>
  <c r="V181" i="70"/>
  <c r="Q16" i="148" s="1"/>
  <c r="X181" i="70"/>
  <c r="Q16" i="75" s="1"/>
  <c r="U182" i="70"/>
  <c r="R17" i="148" s="1"/>
  <c r="W182" i="70"/>
  <c r="R17" i="75" s="1"/>
  <c r="V176" i="70"/>
  <c r="Q11" i="148" s="1"/>
  <c r="X176" i="70"/>
  <c r="Q11" i="75" s="1"/>
  <c r="V183" i="70"/>
  <c r="Q18" i="148" s="1"/>
  <c r="X183" i="70"/>
  <c r="Q18" i="75" s="1"/>
  <c r="U183" i="70"/>
  <c r="R18" i="148" s="1"/>
  <c r="W183" i="70"/>
  <c r="R18" i="75" s="1"/>
  <c r="U175" i="70"/>
  <c r="R10" i="148" s="1"/>
  <c r="W175" i="70"/>
  <c r="R10" i="75" s="1"/>
  <c r="U177" i="70"/>
  <c r="R12" i="148" s="1"/>
  <c r="W177" i="70"/>
  <c r="R12" i="75" s="1"/>
  <c r="V182" i="70"/>
  <c r="Q17" i="148" s="1"/>
  <c r="X182" i="70"/>
  <c r="Q17" i="75" s="1"/>
  <c r="U176" i="70"/>
  <c r="R11" i="148" s="1"/>
  <c r="W176" i="70"/>
  <c r="R11" i="75" s="1"/>
  <c r="V177" i="70"/>
  <c r="Q12" i="148" s="1"/>
  <c r="X177" i="70"/>
  <c r="Q12" i="75" s="1"/>
  <c r="Q181" i="70"/>
  <c r="R16" i="85" s="1"/>
  <c r="S181" i="70"/>
  <c r="R16" i="147" s="1"/>
  <c r="Q183" i="70"/>
  <c r="R18" i="85" s="1"/>
  <c r="S183" i="70"/>
  <c r="R18" i="147" s="1"/>
  <c r="R176" i="70"/>
  <c r="Q11" i="85" s="1"/>
  <c r="T176" i="70"/>
  <c r="Q11" i="147" s="1"/>
  <c r="R181" i="70"/>
  <c r="Q16" i="85" s="1"/>
  <c r="T181" i="70"/>
  <c r="Q16" i="147" s="1"/>
  <c r="Q177" i="70"/>
  <c r="R12" i="85" s="1"/>
  <c r="S177" i="70"/>
  <c r="R12" i="147" s="1"/>
  <c r="Q182" i="70"/>
  <c r="R17" i="85" s="1"/>
  <c r="S182" i="70"/>
  <c r="R17" i="147" s="1"/>
  <c r="Q175" i="70"/>
  <c r="R10" i="85" s="1"/>
  <c r="S175" i="70"/>
  <c r="R10" i="147" s="1"/>
  <c r="R183" i="70"/>
  <c r="T183" i="70"/>
  <c r="Q18" i="147" s="1"/>
  <c r="R182" i="70"/>
  <c r="Q17" i="85" s="1"/>
  <c r="T182" i="70"/>
  <c r="Q17" i="147" s="1"/>
  <c r="Q176" i="70"/>
  <c r="R11" i="85" s="1"/>
  <c r="S176" i="70"/>
  <c r="R11" i="147" s="1"/>
  <c r="R177" i="70"/>
  <c r="Q12" i="85" s="1"/>
  <c r="T177" i="70"/>
  <c r="Q12" i="147" s="1"/>
  <c r="M181" i="70"/>
  <c r="R16" i="145" s="1"/>
  <c r="O181" i="70"/>
  <c r="R16" i="146" s="1"/>
  <c r="M177" i="70"/>
  <c r="R12" i="145" s="1"/>
  <c r="O177" i="70"/>
  <c r="R12" i="146" s="1"/>
  <c r="N176" i="70"/>
  <c r="Q11" i="145" s="1"/>
  <c r="P176" i="70"/>
  <c r="Q11" i="146" s="1"/>
  <c r="M183" i="70"/>
  <c r="R18" i="145" s="1"/>
  <c r="O183" i="70"/>
  <c r="R18" i="146" s="1"/>
  <c r="N181" i="70"/>
  <c r="Q16" i="145" s="1"/>
  <c r="P181" i="70"/>
  <c r="Q16" i="146" s="1"/>
  <c r="M182" i="70"/>
  <c r="R17" i="145" s="1"/>
  <c r="O182" i="70"/>
  <c r="R17" i="146" s="1"/>
  <c r="M175" i="70"/>
  <c r="R10" i="145" s="1"/>
  <c r="O175" i="70"/>
  <c r="R10" i="146" s="1"/>
  <c r="N183" i="70"/>
  <c r="Q18" i="145" s="1"/>
  <c r="P183" i="70"/>
  <c r="Q18" i="146" s="1"/>
  <c r="N182" i="70"/>
  <c r="Q17" i="145" s="1"/>
  <c r="P182" i="70"/>
  <c r="Q17" i="146" s="1"/>
  <c r="M176" i="70"/>
  <c r="R11" i="145" s="1"/>
  <c r="O176" i="70"/>
  <c r="R11" i="146" s="1"/>
  <c r="N177" i="70"/>
  <c r="Q12" i="145" s="1"/>
  <c r="P177" i="70"/>
  <c r="Q12" i="146" s="1"/>
  <c r="J183" i="70"/>
  <c r="Q18" i="144" s="1"/>
  <c r="L183" i="70"/>
  <c r="Q18" i="84" s="1"/>
  <c r="I177" i="70"/>
  <c r="R12" i="144" s="1"/>
  <c r="K177" i="70"/>
  <c r="R12" i="84" s="1"/>
  <c r="I181" i="70"/>
  <c r="R16" i="144" s="1"/>
  <c r="K181" i="70"/>
  <c r="R16" i="84" s="1"/>
  <c r="J181" i="70"/>
  <c r="Q16" i="144" s="1"/>
  <c r="L181" i="70"/>
  <c r="Q16" i="84" s="1"/>
  <c r="I182" i="70"/>
  <c r="R17" i="144" s="1"/>
  <c r="K182" i="70"/>
  <c r="R17" i="84" s="1"/>
  <c r="I175" i="70"/>
  <c r="R10" i="144" s="1"/>
  <c r="K175" i="70"/>
  <c r="R10" i="84" s="1"/>
  <c r="J176" i="70"/>
  <c r="Q11" i="144" s="1"/>
  <c r="L176" i="70"/>
  <c r="Q11" i="84" s="1"/>
  <c r="I183" i="70"/>
  <c r="R18" i="144" s="1"/>
  <c r="K183" i="70"/>
  <c r="R18" i="84" s="1"/>
  <c r="J182" i="70"/>
  <c r="Q17" i="144" s="1"/>
  <c r="L182" i="70"/>
  <c r="Q17" i="84" s="1"/>
  <c r="I176" i="70"/>
  <c r="R11" i="144" s="1"/>
  <c r="K176" i="70"/>
  <c r="R11" i="84" s="1"/>
  <c r="J177" i="70"/>
  <c r="Q12" i="144" s="1"/>
  <c r="L177" i="70"/>
  <c r="Q12" i="84" s="1"/>
  <c r="E177" i="70"/>
  <c r="R12" i="83" s="1"/>
  <c r="G177" i="70"/>
  <c r="E183" i="70"/>
  <c r="R18" i="83" s="1"/>
  <c r="G183" i="70"/>
  <c r="F176" i="70"/>
  <c r="Q11" i="83" s="1"/>
  <c r="H176" i="70"/>
  <c r="E181" i="70"/>
  <c r="G181" i="70"/>
  <c r="F181" i="70"/>
  <c r="H181" i="70"/>
  <c r="E182" i="70"/>
  <c r="G182" i="70"/>
  <c r="E175" i="70"/>
  <c r="G175" i="70"/>
  <c r="F183" i="70"/>
  <c r="H183" i="70"/>
  <c r="F182" i="70"/>
  <c r="Q17" i="83" s="1"/>
  <c r="H182" i="70"/>
  <c r="E176" i="70"/>
  <c r="R11" i="83" s="1"/>
  <c r="G176" i="70"/>
  <c r="F177" i="70"/>
  <c r="Q12" i="83" s="1"/>
  <c r="H177" i="70"/>
  <c r="D155" i="70"/>
  <c r="F154" i="70"/>
  <c r="F159" i="70"/>
  <c r="D160" i="70"/>
  <c r="D161" i="70"/>
  <c r="F161" i="70"/>
  <c r="F160" i="70"/>
  <c r="D154" i="70"/>
  <c r="F155" i="70"/>
  <c r="D159" i="70"/>
  <c r="D153" i="70"/>
  <c r="N153" i="70"/>
  <c r="AD175" i="70" s="1"/>
  <c r="N152" i="70"/>
  <c r="L152" i="70"/>
  <c r="AC174" i="70" s="1"/>
  <c r="K152" i="70"/>
  <c r="C152" i="70" s="1"/>
  <c r="K153" i="70"/>
  <c r="C153" i="70" s="1"/>
  <c r="O153" i="70"/>
  <c r="G153" i="70" s="1"/>
  <c r="P153" i="70"/>
  <c r="H153" i="70" s="1"/>
  <c r="O152" i="70"/>
  <c r="G152" i="70" s="1"/>
  <c r="M153" i="70"/>
  <c r="E153" i="70" s="1"/>
  <c r="P152" i="70"/>
  <c r="M152" i="70"/>
  <c r="J153" i="70"/>
  <c r="B153" i="70" s="1"/>
  <c r="J152" i="70"/>
  <c r="B152" i="70" s="1"/>
  <c r="Y124" i="70"/>
  <c r="W124" i="70" s="1"/>
  <c r="Y121" i="70"/>
  <c r="W121" i="70" s="1"/>
  <c r="Y117" i="70"/>
  <c r="R117" i="70" s="1"/>
  <c r="H101" i="70"/>
  <c r="Y120" i="70"/>
  <c r="R120" i="70" s="1"/>
  <c r="G82" i="70"/>
  <c r="E82" i="70"/>
  <c r="E81" i="70"/>
  <c r="B82" i="70"/>
  <c r="C81" i="70"/>
  <c r="F81" i="70"/>
  <c r="H82" i="70"/>
  <c r="F82" i="70"/>
  <c r="D82" i="70"/>
  <c r="Y119" i="70"/>
  <c r="S119" i="70" s="1"/>
  <c r="D81" i="70"/>
  <c r="Y122" i="70"/>
  <c r="S122" i="70" s="1"/>
  <c r="G81" i="70"/>
  <c r="H81" i="70"/>
  <c r="Y118" i="70"/>
  <c r="U118" i="70" s="1"/>
  <c r="C82" i="70"/>
  <c r="B81" i="70"/>
  <c r="V123" i="70"/>
  <c r="S123" i="70"/>
  <c r="X123" i="70"/>
  <c r="T123" i="70"/>
  <c r="U123" i="70"/>
  <c r="R123" i="70"/>
  <c r="W123" i="70"/>
  <c r="E109" i="70"/>
  <c r="Q16" i="156" l="1"/>
  <c r="Y16" i="156" s="1"/>
  <c r="Q16" i="155"/>
  <c r="Y16" i="155" s="1"/>
  <c r="Q17" i="155"/>
  <c r="Y17" i="155" s="1"/>
  <c r="Q17" i="156"/>
  <c r="Y17" i="156" s="1"/>
  <c r="Q18" i="155"/>
  <c r="Y18" i="155" s="1"/>
  <c r="Q18" i="156"/>
  <c r="Y18" i="156" s="1"/>
  <c r="R18" i="156"/>
  <c r="Z18" i="156" s="1"/>
  <c r="R18" i="155"/>
  <c r="Z18" i="155" s="1"/>
  <c r="R11" i="155"/>
  <c r="R11" i="156"/>
  <c r="R16" i="156"/>
  <c r="Z16" i="156" s="1"/>
  <c r="R16" i="155"/>
  <c r="Z16" i="155" s="1"/>
  <c r="Q11" i="156"/>
  <c r="Q11" i="155"/>
  <c r="R10" i="156"/>
  <c r="Z10" i="156" s="1"/>
  <c r="R10" i="155"/>
  <c r="Z10" i="155" s="1"/>
  <c r="R12" i="155"/>
  <c r="R12" i="156"/>
  <c r="Q12" i="155"/>
  <c r="Q12" i="156"/>
  <c r="R17" i="155"/>
  <c r="Z17" i="155" s="1"/>
  <c r="R17" i="156"/>
  <c r="Z17" i="156" s="1"/>
  <c r="Q12" i="152"/>
  <c r="Q12" i="154"/>
  <c r="Q12" i="153"/>
  <c r="R12" i="152"/>
  <c r="R12" i="153"/>
  <c r="R12" i="154"/>
  <c r="Q16" i="152"/>
  <c r="Y16" i="152" s="1"/>
  <c r="AF16" i="152" s="1"/>
  <c r="Q16" i="154"/>
  <c r="Y16" i="154" s="1"/>
  <c r="Q16" i="153"/>
  <c r="Y16" i="153" s="1"/>
  <c r="R16" i="152"/>
  <c r="Z16" i="152" s="1"/>
  <c r="AH16" i="152" s="1"/>
  <c r="R16" i="154"/>
  <c r="Z16" i="154" s="1"/>
  <c r="R16" i="153"/>
  <c r="Z16" i="153" s="1"/>
  <c r="R11" i="152"/>
  <c r="R11" i="154"/>
  <c r="R11" i="153"/>
  <c r="Q17" i="152"/>
  <c r="Y17" i="152" s="1"/>
  <c r="AF17" i="152" s="1"/>
  <c r="Q17" i="153"/>
  <c r="Y17" i="153" s="1"/>
  <c r="Q17" i="154"/>
  <c r="Y17" i="154" s="1"/>
  <c r="Q11" i="152"/>
  <c r="Q11" i="153"/>
  <c r="Q11" i="154"/>
  <c r="Q18" i="152"/>
  <c r="Y18" i="152" s="1"/>
  <c r="AE18" i="152" s="1"/>
  <c r="Q18" i="153"/>
  <c r="Y18" i="153" s="1"/>
  <c r="Q18" i="154"/>
  <c r="Y18" i="154" s="1"/>
  <c r="R18" i="152"/>
  <c r="Z18" i="152" s="1"/>
  <c r="AH18" i="152" s="1"/>
  <c r="R18" i="153"/>
  <c r="Z18" i="153" s="1"/>
  <c r="R18" i="154"/>
  <c r="Z18" i="154" s="1"/>
  <c r="R10" i="152"/>
  <c r="Z10" i="152" s="1"/>
  <c r="AH10" i="152" s="1"/>
  <c r="R10" i="153"/>
  <c r="Z10" i="153" s="1"/>
  <c r="R10" i="154"/>
  <c r="Z10" i="154" s="1"/>
  <c r="R17" i="152"/>
  <c r="Z17" i="152" s="1"/>
  <c r="AG17" i="152" s="1"/>
  <c r="R17" i="154"/>
  <c r="Z17" i="154" s="1"/>
  <c r="R17" i="153"/>
  <c r="Z17" i="153" s="1"/>
  <c r="Q12" i="143"/>
  <c r="Q12" i="151"/>
  <c r="Q16" i="143"/>
  <c r="Y16" i="143" s="1"/>
  <c r="Q16" i="151"/>
  <c r="Y16" i="151" s="1"/>
  <c r="R11" i="143"/>
  <c r="R11" i="151"/>
  <c r="R16" i="143"/>
  <c r="Z16" i="143" s="1"/>
  <c r="R16" i="151"/>
  <c r="Z16" i="151" s="1"/>
  <c r="Q17" i="143"/>
  <c r="Y17" i="143" s="1"/>
  <c r="Q17" i="151"/>
  <c r="Y17" i="151" s="1"/>
  <c r="Q11" i="143"/>
  <c r="Q11" i="151"/>
  <c r="Q18" i="143"/>
  <c r="Y18" i="143" s="1"/>
  <c r="Q18" i="151"/>
  <c r="Y18" i="151" s="1"/>
  <c r="R18" i="143"/>
  <c r="Z18" i="143" s="1"/>
  <c r="R18" i="151"/>
  <c r="Z18" i="151" s="1"/>
  <c r="R10" i="143"/>
  <c r="Z10" i="143" s="1"/>
  <c r="R10" i="151"/>
  <c r="Z10" i="151" s="1"/>
  <c r="R12" i="143"/>
  <c r="R12" i="151"/>
  <c r="R17" i="143"/>
  <c r="Z17" i="143" s="1"/>
  <c r="R17" i="151"/>
  <c r="Z17" i="151" s="1"/>
  <c r="Y18" i="148"/>
  <c r="AE18" i="148" s="1"/>
  <c r="Q18" i="85"/>
  <c r="Z16" i="144"/>
  <c r="AH16" i="144" s="1"/>
  <c r="R16" i="83"/>
  <c r="Z16" i="83" s="1"/>
  <c r="Z10" i="144"/>
  <c r="AH10" i="144" s="1"/>
  <c r="R10" i="83"/>
  <c r="Z17" i="144"/>
  <c r="AG17" i="144" s="1"/>
  <c r="R17" i="83"/>
  <c r="Y16" i="144"/>
  <c r="AE16" i="144" s="1"/>
  <c r="Q16" i="83"/>
  <c r="Y16" i="83" s="1"/>
  <c r="Y18" i="144"/>
  <c r="AE18" i="144" s="1"/>
  <c r="Q18" i="83"/>
  <c r="Y18" i="83" s="1"/>
  <c r="Z17" i="148"/>
  <c r="AH17" i="148" s="1"/>
  <c r="Z18" i="146"/>
  <c r="AH18" i="146" s="1"/>
  <c r="Z17" i="146"/>
  <c r="AH17" i="146" s="1"/>
  <c r="Y16" i="146"/>
  <c r="AF16" i="146" s="1"/>
  <c r="Y17" i="148"/>
  <c r="AF17" i="148" s="1"/>
  <c r="Z18" i="148"/>
  <c r="AG18" i="148" s="1"/>
  <c r="Y17" i="144"/>
  <c r="AF17" i="144" s="1"/>
  <c r="Y18" i="146"/>
  <c r="AF18" i="146" s="1"/>
  <c r="Z18" i="144"/>
  <c r="AG18" i="144" s="1"/>
  <c r="Z16" i="146"/>
  <c r="AG16" i="146" s="1"/>
  <c r="Z10" i="146"/>
  <c r="AH10" i="146" s="1"/>
  <c r="Y16" i="148"/>
  <c r="AE16" i="148" s="1"/>
  <c r="Y17" i="146"/>
  <c r="AE17" i="146" s="1"/>
  <c r="Z10" i="148"/>
  <c r="AH10" i="148" s="1"/>
  <c r="Z16" i="148"/>
  <c r="AH16" i="148" s="1"/>
  <c r="Y18" i="147"/>
  <c r="Z18" i="147"/>
  <c r="Z17" i="147"/>
  <c r="Z16" i="147"/>
  <c r="Y16" i="147"/>
  <c r="Z10" i="147"/>
  <c r="Y17" i="147"/>
  <c r="Z18" i="145"/>
  <c r="Y18" i="145"/>
  <c r="Z16" i="145"/>
  <c r="Z10" i="145"/>
  <c r="Y17" i="145"/>
  <c r="Y16" i="145"/>
  <c r="Z17" i="145"/>
  <c r="R10" i="103"/>
  <c r="Y17" i="75"/>
  <c r="Q17" i="103"/>
  <c r="Q11" i="103"/>
  <c r="R12" i="103"/>
  <c r="Q12" i="103"/>
  <c r="R18" i="103"/>
  <c r="Y16" i="75"/>
  <c r="Q16" i="103"/>
  <c r="R17" i="103"/>
  <c r="R11" i="103"/>
  <c r="Y18" i="75"/>
  <c r="Q18" i="103"/>
  <c r="Z16" i="75"/>
  <c r="R16" i="103"/>
  <c r="AB174" i="70"/>
  <c r="AD174" i="70"/>
  <c r="Z175" i="70"/>
  <c r="AB175" i="70"/>
  <c r="Y174" i="70"/>
  <c r="AA174" i="70"/>
  <c r="X174" i="70"/>
  <c r="Q9" i="75" s="1"/>
  <c r="Z174" i="70"/>
  <c r="V175" i="70"/>
  <c r="Q10" i="148" s="1"/>
  <c r="X175" i="70"/>
  <c r="Q10" i="75" s="1"/>
  <c r="U174" i="70"/>
  <c r="R9" i="148" s="1"/>
  <c r="W174" i="70"/>
  <c r="R9" i="75" s="1"/>
  <c r="T174" i="70"/>
  <c r="Q9" i="147" s="1"/>
  <c r="V174" i="70"/>
  <c r="Q9" i="148" s="1"/>
  <c r="R175" i="70"/>
  <c r="Q10" i="85" s="1"/>
  <c r="T175" i="70"/>
  <c r="Q10" i="147" s="1"/>
  <c r="Q174" i="70"/>
  <c r="R9" i="85" s="1"/>
  <c r="S174" i="70"/>
  <c r="R9" i="147" s="1"/>
  <c r="P174" i="70"/>
  <c r="Q9" i="146" s="1"/>
  <c r="R174" i="70"/>
  <c r="Q9" i="85" s="1"/>
  <c r="M174" i="70"/>
  <c r="R9" i="145" s="1"/>
  <c r="O174" i="70"/>
  <c r="R9" i="146" s="1"/>
  <c r="N175" i="70"/>
  <c r="Q10" i="145" s="1"/>
  <c r="P175" i="70"/>
  <c r="Q10" i="146" s="1"/>
  <c r="L174" i="70"/>
  <c r="Q9" i="84" s="1"/>
  <c r="N174" i="70"/>
  <c r="Q9" i="145" s="1"/>
  <c r="J175" i="70"/>
  <c r="Q10" i="144" s="1"/>
  <c r="L175" i="70"/>
  <c r="Q10" i="84" s="1"/>
  <c r="I174" i="70"/>
  <c r="R9" i="144" s="1"/>
  <c r="K174" i="70"/>
  <c r="R9" i="84" s="1"/>
  <c r="H174" i="70"/>
  <c r="J174" i="70"/>
  <c r="Q9" i="144" s="1"/>
  <c r="F175" i="70"/>
  <c r="Q10" i="83" s="1"/>
  <c r="H175" i="70"/>
  <c r="E174" i="70"/>
  <c r="R9" i="83" s="1"/>
  <c r="G174" i="70"/>
  <c r="F174" i="70"/>
  <c r="Q9" i="83" s="1"/>
  <c r="Y17" i="83"/>
  <c r="H103" i="70"/>
  <c r="Q117" i="70" s="1"/>
  <c r="I117" i="70" s="1"/>
  <c r="F153" i="70"/>
  <c r="H152" i="70"/>
  <c r="F152" i="70"/>
  <c r="E152" i="70"/>
  <c r="D152" i="70"/>
  <c r="S121" i="70"/>
  <c r="T124" i="70"/>
  <c r="S120" i="70"/>
  <c r="W120" i="70"/>
  <c r="V120" i="70"/>
  <c r="R124" i="70"/>
  <c r="X124" i="70"/>
  <c r="X117" i="70"/>
  <c r="S124" i="70"/>
  <c r="V124" i="70"/>
  <c r="U124" i="70"/>
  <c r="X121" i="70"/>
  <c r="T121" i="70"/>
  <c r="X120" i="70"/>
  <c r="T120" i="70"/>
  <c r="W117" i="70"/>
  <c r="Y126" i="70"/>
  <c r="U121" i="70"/>
  <c r="V121" i="70"/>
  <c r="T117" i="70"/>
  <c r="R121" i="70"/>
  <c r="U117" i="70"/>
  <c r="V117" i="70"/>
  <c r="F101" i="70"/>
  <c r="H102" i="70" s="1"/>
  <c r="S117" i="70"/>
  <c r="U120" i="70"/>
  <c r="U119" i="70"/>
  <c r="X119" i="70"/>
  <c r="R118" i="70"/>
  <c r="X122" i="70"/>
  <c r="W122" i="70"/>
  <c r="T118" i="70"/>
  <c r="R119" i="70"/>
  <c r="X118" i="70"/>
  <c r="W118" i="70"/>
  <c r="R122" i="70"/>
  <c r="T119" i="70"/>
  <c r="U122" i="70"/>
  <c r="S118" i="70"/>
  <c r="V122" i="70"/>
  <c r="V119" i="70"/>
  <c r="V118" i="70"/>
  <c r="T122" i="70"/>
  <c r="W119" i="70"/>
  <c r="AE16" i="152" l="1"/>
  <c r="AI16" i="152" s="1"/>
  <c r="AH17" i="152"/>
  <c r="AJ17" i="152" s="1"/>
  <c r="AG16" i="152"/>
  <c r="AJ16" i="152" s="1"/>
  <c r="AG10" i="152"/>
  <c r="AJ10" i="152" s="1"/>
  <c r="AF18" i="152"/>
  <c r="AI18" i="152" s="1"/>
  <c r="AE17" i="152"/>
  <c r="AI17" i="152" s="1"/>
  <c r="AG18" i="152"/>
  <c r="AJ18" i="152" s="1"/>
  <c r="AH16" i="155"/>
  <c r="AG16" i="155"/>
  <c r="AG16" i="156"/>
  <c r="AH16" i="156"/>
  <c r="AH17" i="156"/>
  <c r="AG17" i="156"/>
  <c r="AH17" i="155"/>
  <c r="AG17" i="155"/>
  <c r="AH18" i="155"/>
  <c r="AG18" i="155"/>
  <c r="AH18" i="156"/>
  <c r="AG18" i="156"/>
  <c r="Q10" i="156"/>
  <c r="Y10" i="156" s="1"/>
  <c r="Q10" i="155"/>
  <c r="Y10" i="155" s="1"/>
  <c r="AF18" i="156"/>
  <c r="AE18" i="156"/>
  <c r="Q9" i="156"/>
  <c r="Q9" i="155"/>
  <c r="AF18" i="155"/>
  <c r="AE18" i="155"/>
  <c r="R9" i="155"/>
  <c r="R9" i="156"/>
  <c r="AH10" i="155"/>
  <c r="AG10" i="155"/>
  <c r="AF17" i="156"/>
  <c r="AE17" i="156"/>
  <c r="AG10" i="156"/>
  <c r="AH10" i="156"/>
  <c r="AF17" i="155"/>
  <c r="AE17" i="155"/>
  <c r="AF16" i="155"/>
  <c r="AE16" i="155"/>
  <c r="AF16" i="156"/>
  <c r="AE16" i="156"/>
  <c r="AF18" i="154"/>
  <c r="AE18" i="154"/>
  <c r="AH16" i="153"/>
  <c r="AG16" i="153"/>
  <c r="AF18" i="153"/>
  <c r="AE18" i="153"/>
  <c r="AH16" i="154"/>
  <c r="AG16" i="154"/>
  <c r="AH17" i="153"/>
  <c r="AG17" i="153"/>
  <c r="AF16" i="153"/>
  <c r="AE16" i="153"/>
  <c r="AH17" i="154"/>
  <c r="AG17" i="154"/>
  <c r="AF16" i="154"/>
  <c r="AE16" i="154"/>
  <c r="R9" i="152"/>
  <c r="Z9" i="152" s="1"/>
  <c r="R9" i="153"/>
  <c r="R9" i="154"/>
  <c r="AH10" i="154"/>
  <c r="AG10" i="154"/>
  <c r="AF17" i="154"/>
  <c r="AE17" i="154"/>
  <c r="AH10" i="153"/>
  <c r="AG10" i="153"/>
  <c r="AF17" i="153"/>
  <c r="AE17" i="153"/>
  <c r="Q10" i="152"/>
  <c r="Y10" i="152" s="1"/>
  <c r="AF10" i="152" s="1"/>
  <c r="Q10" i="154"/>
  <c r="Y10" i="154" s="1"/>
  <c r="Q10" i="153"/>
  <c r="Y10" i="153" s="1"/>
  <c r="AH18" i="154"/>
  <c r="AG18" i="154"/>
  <c r="Q9" i="152"/>
  <c r="Y9" i="152" s="1"/>
  <c r="Q9" i="154"/>
  <c r="Q9" i="153"/>
  <c r="AH18" i="153"/>
  <c r="AG18" i="153"/>
  <c r="AH17" i="151"/>
  <c r="AG17" i="151"/>
  <c r="AF17" i="151"/>
  <c r="AE17" i="151"/>
  <c r="Q10" i="143"/>
  <c r="Y10" i="143" s="1"/>
  <c r="Q10" i="151"/>
  <c r="Y10" i="151" s="1"/>
  <c r="AH16" i="151"/>
  <c r="AG16" i="151"/>
  <c r="Q9" i="143"/>
  <c r="Q9" i="151"/>
  <c r="AH10" i="151"/>
  <c r="AG10" i="151"/>
  <c r="AH18" i="151"/>
  <c r="AG18" i="151"/>
  <c r="AF16" i="151"/>
  <c r="AE16" i="151"/>
  <c r="AF18" i="151"/>
  <c r="AE18" i="151"/>
  <c r="R9" i="143"/>
  <c r="R9" i="151"/>
  <c r="AG16" i="144"/>
  <c r="AJ16" i="144" s="1"/>
  <c r="AG10" i="144"/>
  <c r="AJ10" i="144" s="1"/>
  <c r="AF16" i="144"/>
  <c r="AI16" i="144" s="1"/>
  <c r="AF18" i="148"/>
  <c r="AI18" i="148" s="1"/>
  <c r="AF18" i="144"/>
  <c r="AI18" i="144" s="1"/>
  <c r="AH17" i="144"/>
  <c r="AJ17" i="144" s="1"/>
  <c r="AG17" i="148"/>
  <c r="AJ17" i="148" s="1"/>
  <c r="AE16" i="146"/>
  <c r="AI16" i="146" s="1"/>
  <c r="AG18" i="146"/>
  <c r="AJ18" i="146" s="1"/>
  <c r="AE17" i="144"/>
  <c r="AI17" i="144" s="1"/>
  <c r="AH18" i="144"/>
  <c r="AJ18" i="144" s="1"/>
  <c r="AG17" i="146"/>
  <c r="AJ17" i="146" s="1"/>
  <c r="AE17" i="148"/>
  <c r="AI17" i="148" s="1"/>
  <c r="AH18" i="148"/>
  <c r="AJ18" i="148" s="1"/>
  <c r="AE18" i="146"/>
  <c r="AI18" i="146" s="1"/>
  <c r="Z9" i="144"/>
  <c r="AH16" i="146"/>
  <c r="AJ16" i="146" s="1"/>
  <c r="Y9" i="144"/>
  <c r="AF17" i="146"/>
  <c r="AI17" i="146" s="1"/>
  <c r="AF16" i="148"/>
  <c r="AI16" i="148" s="1"/>
  <c r="AG10" i="146"/>
  <c r="AJ10" i="146" s="1"/>
  <c r="Y10" i="144"/>
  <c r="AE10" i="144" s="1"/>
  <c r="Y9" i="148"/>
  <c r="Z9" i="146"/>
  <c r="Y10" i="146"/>
  <c r="AE10" i="146" s="1"/>
  <c r="Y9" i="146"/>
  <c r="AG16" i="148"/>
  <c r="AJ16" i="148" s="1"/>
  <c r="AG10" i="148"/>
  <c r="AJ10" i="148" s="1"/>
  <c r="Z9" i="148"/>
  <c r="Y10" i="148"/>
  <c r="AE10" i="148" s="1"/>
  <c r="AH16" i="147"/>
  <c r="AG16" i="147"/>
  <c r="Y10" i="147"/>
  <c r="AF17" i="147"/>
  <c r="AE17" i="147"/>
  <c r="AH10" i="147"/>
  <c r="AG10" i="147"/>
  <c r="AG17" i="147"/>
  <c r="AH17" i="147"/>
  <c r="AE16" i="147"/>
  <c r="AF16" i="147"/>
  <c r="AH18" i="147"/>
  <c r="AG18" i="147"/>
  <c r="AF18" i="147"/>
  <c r="AE18" i="147"/>
  <c r="AH16" i="145"/>
  <c r="AG16" i="145"/>
  <c r="AG17" i="145"/>
  <c r="AH17" i="145"/>
  <c r="AF18" i="145"/>
  <c r="AE18" i="145"/>
  <c r="AE16" i="145"/>
  <c r="AF16" i="145"/>
  <c r="AF17" i="145"/>
  <c r="AE17" i="145"/>
  <c r="Y10" i="145"/>
  <c r="AG10" i="145"/>
  <c r="AH10" i="145"/>
  <c r="AH18" i="145"/>
  <c r="AG18" i="145"/>
  <c r="AG17" i="143"/>
  <c r="AH17" i="143"/>
  <c r="AF17" i="143"/>
  <c r="AE17" i="143"/>
  <c r="AG10" i="143"/>
  <c r="AH10" i="143"/>
  <c r="AG16" i="143"/>
  <c r="AH16" i="143"/>
  <c r="Y10" i="83"/>
  <c r="AH18" i="143"/>
  <c r="AG18" i="143"/>
  <c r="AF18" i="143"/>
  <c r="AE18" i="143"/>
  <c r="AE16" i="143"/>
  <c r="AF16" i="143"/>
  <c r="Q9" i="103"/>
  <c r="R9" i="103"/>
  <c r="Y10" i="75"/>
  <c r="Q10" i="103"/>
  <c r="AE16" i="75"/>
  <c r="AF16" i="75"/>
  <c r="AF18" i="75"/>
  <c r="AE18" i="75"/>
  <c r="AG16" i="75"/>
  <c r="AH16" i="75"/>
  <c r="AF17" i="75"/>
  <c r="AE17" i="75"/>
  <c r="Z10" i="75"/>
  <c r="Z10" i="83"/>
  <c r="Q122" i="70"/>
  <c r="P122" i="70" s="1"/>
  <c r="H122" i="70" s="1"/>
  <c r="Q119" i="70"/>
  <c r="I119" i="70" s="1"/>
  <c r="Q123" i="70"/>
  <c r="I123" i="70" s="1"/>
  <c r="Q120" i="70"/>
  <c r="I120" i="70" s="1"/>
  <c r="Q124" i="70"/>
  <c r="I124" i="70" s="1"/>
  <c r="Q118" i="70"/>
  <c r="J118" i="70" s="1"/>
  <c r="B118" i="70" s="1"/>
  <c r="Q121" i="70"/>
  <c r="I121" i="70" s="1"/>
  <c r="F103" i="70"/>
  <c r="G102" i="70"/>
  <c r="I102" i="70"/>
  <c r="R162" i="70"/>
  <c r="S162" i="70"/>
  <c r="T162" i="70"/>
  <c r="X162" i="70"/>
  <c r="W162" i="70"/>
  <c r="U162" i="70"/>
  <c r="V162" i="70"/>
  <c r="K117" i="70"/>
  <c r="C117" i="70" s="1"/>
  <c r="L117" i="70"/>
  <c r="J117" i="70"/>
  <c r="P117" i="70"/>
  <c r="O117" i="70"/>
  <c r="G117" i="70" s="1"/>
  <c r="N117" i="70"/>
  <c r="M117" i="70"/>
  <c r="AJ16" i="155" l="1"/>
  <c r="AJ10" i="155"/>
  <c r="AJ18" i="156"/>
  <c r="AJ18" i="153"/>
  <c r="AJ16" i="153"/>
  <c r="AI17" i="156"/>
  <c r="AJ16" i="156"/>
  <c r="AJ16" i="154"/>
  <c r="AI16" i="155"/>
  <c r="AI17" i="155"/>
  <c r="AJ10" i="156"/>
  <c r="AJ17" i="155"/>
  <c r="AI16" i="154"/>
  <c r="AI18" i="156"/>
  <c r="AJ17" i="156"/>
  <c r="AJ10" i="153"/>
  <c r="AJ17" i="154"/>
  <c r="AI16" i="153"/>
  <c r="AI16" i="156"/>
  <c r="AJ18" i="155"/>
  <c r="AI18" i="155"/>
  <c r="AE10" i="152"/>
  <c r="AI10" i="152" s="1"/>
  <c r="AF10" i="155"/>
  <c r="AE10" i="155"/>
  <c r="AI18" i="153"/>
  <c r="AF10" i="156"/>
  <c r="AE10" i="156"/>
  <c r="AI17" i="153"/>
  <c r="Z9" i="156"/>
  <c r="Z9" i="155"/>
  <c r="AI18" i="154"/>
  <c r="AI17" i="154"/>
  <c r="AJ17" i="153"/>
  <c r="Y9" i="155"/>
  <c r="AJ18" i="154"/>
  <c r="AJ10" i="154"/>
  <c r="Y9" i="156"/>
  <c r="AF10" i="153"/>
  <c r="AE10" i="153"/>
  <c r="AF10" i="154"/>
  <c r="AE10" i="154"/>
  <c r="Z9" i="154"/>
  <c r="Z9" i="153"/>
  <c r="Y9" i="153"/>
  <c r="Y9" i="154"/>
  <c r="AH9" i="152"/>
  <c r="AG9" i="152"/>
  <c r="AF9" i="152"/>
  <c r="AE9" i="152"/>
  <c r="AJ17" i="151"/>
  <c r="AJ16" i="151"/>
  <c r="AI16" i="151"/>
  <c r="AI18" i="151"/>
  <c r="AI17" i="151"/>
  <c r="AJ18" i="151"/>
  <c r="AJ10" i="151"/>
  <c r="AF10" i="151"/>
  <c r="AE10" i="151"/>
  <c r="Z9" i="151"/>
  <c r="Y9" i="151"/>
  <c r="AF10" i="144"/>
  <c r="AI10" i="144" s="1"/>
  <c r="AF10" i="146"/>
  <c r="AI10" i="146" s="1"/>
  <c r="AF10" i="148"/>
  <c r="AI10" i="148" s="1"/>
  <c r="AJ18" i="145"/>
  <c r="AI16" i="147"/>
  <c r="AJ18" i="147"/>
  <c r="AI17" i="147"/>
  <c r="AJ16" i="147"/>
  <c r="AF9" i="148"/>
  <c r="AE9" i="148"/>
  <c r="AJ17" i="147"/>
  <c r="AI18" i="147"/>
  <c r="AH9" i="148"/>
  <c r="AG9" i="148"/>
  <c r="AI17" i="145"/>
  <c r="AJ10" i="145"/>
  <c r="AJ17" i="145"/>
  <c r="AJ10" i="147"/>
  <c r="AJ16" i="145"/>
  <c r="Y9" i="147"/>
  <c r="AE10" i="147"/>
  <c r="AF10" i="147"/>
  <c r="Z9" i="147"/>
  <c r="AI16" i="145"/>
  <c r="AI18" i="143"/>
  <c r="AF9" i="146"/>
  <c r="AE9" i="146"/>
  <c r="AH9" i="146"/>
  <c r="AG9" i="146"/>
  <c r="AJ18" i="143"/>
  <c r="AI18" i="145"/>
  <c r="AE10" i="145"/>
  <c r="AF10" i="145"/>
  <c r="Z9" i="145"/>
  <c r="Y9" i="145"/>
  <c r="AI17" i="143"/>
  <c r="AJ17" i="143"/>
  <c r="AH9" i="144"/>
  <c r="AG9" i="144"/>
  <c r="AF9" i="144"/>
  <c r="AE9" i="144"/>
  <c r="AI16" i="143"/>
  <c r="AJ10" i="143"/>
  <c r="AJ16" i="143"/>
  <c r="Z9" i="143"/>
  <c r="Y9" i="143"/>
  <c r="AE10" i="143"/>
  <c r="AF10" i="143"/>
  <c r="AI18" i="75"/>
  <c r="AI17" i="75"/>
  <c r="AJ16" i="75"/>
  <c r="AI16" i="75"/>
  <c r="AE10" i="75"/>
  <c r="AF10" i="75"/>
  <c r="AG10" i="75"/>
  <c r="AH10" i="75"/>
  <c r="Z9" i="75"/>
  <c r="Y9" i="75"/>
  <c r="Y9" i="83"/>
  <c r="Z9" i="83"/>
  <c r="M122" i="70"/>
  <c r="E122" i="70" s="1"/>
  <c r="J122" i="70"/>
  <c r="B122" i="70" s="1"/>
  <c r="I122" i="70"/>
  <c r="K122" i="70"/>
  <c r="C122" i="70" s="1"/>
  <c r="L122" i="70"/>
  <c r="D122" i="70" s="1"/>
  <c r="N122" i="70"/>
  <c r="F122" i="70" s="1"/>
  <c r="O122" i="70"/>
  <c r="G122" i="70" s="1"/>
  <c r="L120" i="70"/>
  <c r="D120" i="70" s="1"/>
  <c r="M118" i="70"/>
  <c r="E118" i="70" s="1"/>
  <c r="K123" i="70"/>
  <c r="C123" i="70" s="1"/>
  <c r="N123" i="70"/>
  <c r="F123" i="70" s="1"/>
  <c r="L123" i="70"/>
  <c r="D123" i="70" s="1"/>
  <c r="O123" i="70"/>
  <c r="G123" i="70" s="1"/>
  <c r="M123" i="70"/>
  <c r="E123" i="70" s="1"/>
  <c r="M120" i="70"/>
  <c r="E120" i="70" s="1"/>
  <c r="J120" i="70"/>
  <c r="B120" i="70" s="1"/>
  <c r="J119" i="70"/>
  <c r="B119" i="70" s="1"/>
  <c r="L124" i="70"/>
  <c r="D124" i="70" s="1"/>
  <c r="O124" i="70"/>
  <c r="G124" i="70" s="1"/>
  <c r="K124" i="70"/>
  <c r="C124" i="70" s="1"/>
  <c r="J124" i="70"/>
  <c r="B124" i="70" s="1"/>
  <c r="P120" i="70"/>
  <c r="H120" i="70" s="1"/>
  <c r="L119" i="70"/>
  <c r="D119" i="70" s="1"/>
  <c r="N120" i="70"/>
  <c r="F120" i="70" s="1"/>
  <c r="M124" i="70"/>
  <c r="E124" i="70" s="1"/>
  <c r="I118" i="70"/>
  <c r="L118" i="70"/>
  <c r="D118" i="70" s="1"/>
  <c r="N118" i="70"/>
  <c r="F118" i="70" s="1"/>
  <c r="J123" i="70"/>
  <c r="B123" i="70" s="1"/>
  <c r="N124" i="70"/>
  <c r="F124" i="70" s="1"/>
  <c r="P123" i="70"/>
  <c r="H123" i="70" s="1"/>
  <c r="J121" i="70"/>
  <c r="B121" i="70" s="1"/>
  <c r="O119" i="70"/>
  <c r="G119" i="70" s="1"/>
  <c r="P119" i="70"/>
  <c r="H119" i="70" s="1"/>
  <c r="O120" i="70"/>
  <c r="G120" i="70" s="1"/>
  <c r="O121" i="70"/>
  <c r="G121" i="70" s="1"/>
  <c r="N119" i="70"/>
  <c r="F119" i="70" s="1"/>
  <c r="N121" i="70"/>
  <c r="F121" i="70" s="1"/>
  <c r="K120" i="70"/>
  <c r="C120" i="70" s="1"/>
  <c r="M119" i="70"/>
  <c r="E119" i="70" s="1"/>
  <c r="M121" i="70"/>
  <c r="E121" i="70" s="1"/>
  <c r="P124" i="70"/>
  <c r="H124" i="70" s="1"/>
  <c r="K119" i="70"/>
  <c r="C119" i="70" s="1"/>
  <c r="Q126" i="70"/>
  <c r="K121" i="70"/>
  <c r="C121" i="70" s="1"/>
  <c r="P121" i="70"/>
  <c r="H121" i="70" s="1"/>
  <c r="P118" i="70"/>
  <c r="H118" i="70" s="1"/>
  <c r="L121" i="70"/>
  <c r="D121" i="70" s="1"/>
  <c r="K118" i="70"/>
  <c r="C118" i="70" s="1"/>
  <c r="O118" i="70"/>
  <c r="E117" i="70"/>
  <c r="F117" i="70"/>
  <c r="H117" i="70"/>
  <c r="D117" i="70"/>
  <c r="B117" i="70"/>
  <c r="AI10" i="153" l="1"/>
  <c r="AI10" i="156"/>
  <c r="AI10" i="155"/>
  <c r="AH9" i="156"/>
  <c r="AG9" i="156"/>
  <c r="AF9" i="155"/>
  <c r="AE9" i="155"/>
  <c r="AI10" i="154"/>
  <c r="AH9" i="155"/>
  <c r="AG9" i="155"/>
  <c r="AE9" i="156"/>
  <c r="AF9" i="156"/>
  <c r="AH9" i="154"/>
  <c r="AG9" i="154"/>
  <c r="AF9" i="154"/>
  <c r="AE9" i="154"/>
  <c r="AF9" i="153"/>
  <c r="AE9" i="153"/>
  <c r="AH9" i="153"/>
  <c r="AG9" i="153"/>
  <c r="AI9" i="152"/>
  <c r="AJ9" i="152"/>
  <c r="AI10" i="151"/>
  <c r="AF9" i="151"/>
  <c r="AE9" i="151"/>
  <c r="AG9" i="151"/>
  <c r="AH9" i="151"/>
  <c r="AI10" i="147"/>
  <c r="AJ9" i="148"/>
  <c r="AI9" i="144"/>
  <c r="AI9" i="148"/>
  <c r="AH9" i="147"/>
  <c r="AG9" i="147"/>
  <c r="AF9" i="147"/>
  <c r="AE9" i="147"/>
  <c r="AJ9" i="146"/>
  <c r="AI9" i="146"/>
  <c r="AI10" i="145"/>
  <c r="AE9" i="145"/>
  <c r="AF9" i="145"/>
  <c r="AG9" i="145"/>
  <c r="AH9" i="145"/>
  <c r="AI10" i="143"/>
  <c r="AJ9" i="144"/>
  <c r="AE9" i="143"/>
  <c r="AF9" i="143"/>
  <c r="AH9" i="143"/>
  <c r="AG9" i="143"/>
  <c r="AI10" i="75"/>
  <c r="AJ10" i="75"/>
  <c r="AF9" i="75"/>
  <c r="AE9" i="75"/>
  <c r="AH9" i="75"/>
  <c r="AG9" i="75"/>
  <c r="I126" i="70"/>
  <c r="L162" i="70"/>
  <c r="AC184" i="70" s="1"/>
  <c r="J162" i="70"/>
  <c r="B162" i="70" s="1"/>
  <c r="O162" i="70"/>
  <c r="G162" i="70" s="1"/>
  <c r="N162" i="70"/>
  <c r="AD184" i="70" s="1"/>
  <c r="M162" i="70"/>
  <c r="E162" i="70" s="1"/>
  <c r="G118" i="70"/>
  <c r="P162" i="70"/>
  <c r="H162" i="70" s="1"/>
  <c r="K162" i="70"/>
  <c r="C162" i="70" s="1"/>
  <c r="AJ9" i="155" l="1"/>
  <c r="AI9" i="154"/>
  <c r="AJ9" i="154"/>
  <c r="AI9" i="156"/>
  <c r="AI9" i="153"/>
  <c r="AI9" i="155"/>
  <c r="AJ9" i="156"/>
  <c r="AJ9" i="153"/>
  <c r="AI9" i="151"/>
  <c r="AJ9" i="151"/>
  <c r="AI9" i="147"/>
  <c r="AJ9" i="147"/>
  <c r="AJ9" i="145"/>
  <c r="AI9" i="145"/>
  <c r="AJ9" i="143"/>
  <c r="AI9" i="143"/>
  <c r="AJ9" i="75"/>
  <c r="AI9" i="75"/>
  <c r="Z184" i="70"/>
  <c r="AB184" i="70"/>
  <c r="Y184" i="70"/>
  <c r="AA184" i="70"/>
  <c r="U184" i="70"/>
  <c r="R19" i="148" s="1"/>
  <c r="W184" i="70"/>
  <c r="R19" i="75" s="1"/>
  <c r="V184" i="70"/>
  <c r="Q19" i="148" s="1"/>
  <c r="X184" i="70"/>
  <c r="Q19" i="75" s="1"/>
  <c r="R184" i="70"/>
  <c r="Q19" i="85" s="1"/>
  <c r="T184" i="70"/>
  <c r="Q19" i="147" s="1"/>
  <c r="Q184" i="70"/>
  <c r="R19" i="85" s="1"/>
  <c r="S184" i="70"/>
  <c r="R19" i="147" s="1"/>
  <c r="N184" i="70"/>
  <c r="Q19" i="145" s="1"/>
  <c r="P184" i="70"/>
  <c r="Q19" i="146" s="1"/>
  <c r="M184" i="70"/>
  <c r="R19" i="145" s="1"/>
  <c r="O184" i="70"/>
  <c r="R19" i="146" s="1"/>
  <c r="J184" i="70"/>
  <c r="Q19" i="144" s="1"/>
  <c r="L184" i="70"/>
  <c r="Q19" i="84" s="1"/>
  <c r="I184" i="70"/>
  <c r="R19" i="144" s="1"/>
  <c r="K184" i="70"/>
  <c r="R19" i="84" s="1"/>
  <c r="F184" i="70"/>
  <c r="Q19" i="83" s="1"/>
  <c r="H184" i="70"/>
  <c r="E184" i="70"/>
  <c r="G184" i="70"/>
  <c r="F162" i="70"/>
  <c r="D162" i="70"/>
  <c r="R19" i="155" l="1"/>
  <c r="R19" i="156"/>
  <c r="Q19" i="156"/>
  <c r="Q19" i="155"/>
  <c r="Q19" i="152"/>
  <c r="Q36" i="152" s="1"/>
  <c r="Q19" i="153"/>
  <c r="Q19" i="154"/>
  <c r="R19" i="152"/>
  <c r="Z19" i="152" s="1"/>
  <c r="R19" i="153"/>
  <c r="R19" i="154"/>
  <c r="R19" i="143"/>
  <c r="R19" i="151"/>
  <c r="Q19" i="143"/>
  <c r="Q19" i="151"/>
  <c r="R19" i="83"/>
  <c r="R36" i="148"/>
  <c r="Q36" i="148"/>
  <c r="Y19" i="144"/>
  <c r="R36" i="146"/>
  <c r="Q36" i="146"/>
  <c r="R36" i="144"/>
  <c r="Z19" i="144"/>
  <c r="Q19" i="103"/>
  <c r="R19" i="103"/>
  <c r="R36" i="152" l="1"/>
  <c r="Q36" i="155"/>
  <c r="Y19" i="155"/>
  <c r="Q36" i="156"/>
  <c r="Y19" i="156"/>
  <c r="R36" i="156"/>
  <c r="Z19" i="156"/>
  <c r="R36" i="155"/>
  <c r="Z19" i="155"/>
  <c r="Y19" i="152"/>
  <c r="Y36" i="152" s="1"/>
  <c r="R36" i="154"/>
  <c r="Z19" i="154"/>
  <c r="R36" i="153"/>
  <c r="Z19" i="153"/>
  <c r="Q36" i="154"/>
  <c r="Y19" i="154"/>
  <c r="Q36" i="153"/>
  <c r="Y19" i="153"/>
  <c r="AH19" i="152"/>
  <c r="AH36" i="152" s="1"/>
  <c r="AH37" i="152" s="1"/>
  <c r="AG19" i="152"/>
  <c r="AG36" i="152" s="1"/>
  <c r="AG37" i="152" s="1"/>
  <c r="Z36" i="152"/>
  <c r="Q36" i="151"/>
  <c r="Y19" i="151"/>
  <c r="R36" i="151"/>
  <c r="Z19" i="151"/>
  <c r="Y19" i="148"/>
  <c r="AF19" i="148" s="1"/>
  <c r="AF36" i="148" s="1"/>
  <c r="AF37" i="148" s="1"/>
  <c r="Z19" i="148"/>
  <c r="AH19" i="148" s="1"/>
  <c r="AH36" i="148" s="1"/>
  <c r="AH37" i="148" s="1"/>
  <c r="Q36" i="144"/>
  <c r="Z19" i="146"/>
  <c r="AH19" i="146" s="1"/>
  <c r="AH36" i="146" s="1"/>
  <c r="AH37" i="146" s="1"/>
  <c r="Y19" i="146"/>
  <c r="AF19" i="146" s="1"/>
  <c r="AF36" i="146" s="1"/>
  <c r="AF37" i="146" s="1"/>
  <c r="Q36" i="147"/>
  <c r="Y19" i="147"/>
  <c r="R36" i="147"/>
  <c r="Z19" i="147"/>
  <c r="Q36" i="145"/>
  <c r="Y19" i="145"/>
  <c r="R36" i="145"/>
  <c r="Z19" i="145"/>
  <c r="AF19" i="144"/>
  <c r="AF36" i="144" s="1"/>
  <c r="AF37" i="144" s="1"/>
  <c r="AE19" i="144"/>
  <c r="AE36" i="144" s="1"/>
  <c r="AE37" i="144" s="1"/>
  <c r="Y36" i="144"/>
  <c r="AH19" i="144"/>
  <c r="AH36" i="144" s="1"/>
  <c r="AH37" i="144" s="1"/>
  <c r="AG19" i="144"/>
  <c r="AG36" i="144" s="1"/>
  <c r="AG37" i="144" s="1"/>
  <c r="Z36" i="144"/>
  <c r="R36" i="143"/>
  <c r="Z19" i="143"/>
  <c r="Q36" i="143"/>
  <c r="Y19" i="143"/>
  <c r="Q36" i="75"/>
  <c r="Y19" i="75"/>
  <c r="R36" i="75"/>
  <c r="Z19" i="75"/>
  <c r="Y19" i="83"/>
  <c r="Y36" i="83" s="1"/>
  <c r="Q36" i="83"/>
  <c r="Z19" i="83"/>
  <c r="Z36" i="83" s="1"/>
  <c r="R36" i="83"/>
  <c r="O90" i="78"/>
  <c r="Q90" i="78" s="1"/>
  <c r="P90" i="78"/>
  <c r="R90" i="78" s="1"/>
  <c r="AE19" i="152" l="1"/>
  <c r="AE36" i="152" s="1"/>
  <c r="AE37" i="152" s="1"/>
  <c r="AF19" i="152"/>
  <c r="AF36" i="152" s="1"/>
  <c r="AF37" i="152" s="1"/>
  <c r="AH19" i="156"/>
  <c r="AH36" i="156" s="1"/>
  <c r="AH37" i="156" s="1"/>
  <c r="AG19" i="156"/>
  <c r="AG36" i="156" s="1"/>
  <c r="AG37" i="156" s="1"/>
  <c r="Z36" i="156"/>
  <c r="AG19" i="155"/>
  <c r="AG36" i="155" s="1"/>
  <c r="AG37" i="155" s="1"/>
  <c r="AH19" i="155"/>
  <c r="AH36" i="155" s="1"/>
  <c r="AH37" i="155" s="1"/>
  <c r="Z36" i="155"/>
  <c r="AF19" i="156"/>
  <c r="AF36" i="156" s="1"/>
  <c r="AF37" i="156" s="1"/>
  <c r="AE19" i="156"/>
  <c r="AE36" i="156" s="1"/>
  <c r="AE37" i="156" s="1"/>
  <c r="Y36" i="156"/>
  <c r="AF19" i="155"/>
  <c r="AF36" i="155" s="1"/>
  <c r="AF37" i="155" s="1"/>
  <c r="AE19" i="155"/>
  <c r="AE36" i="155" s="1"/>
  <c r="AE37" i="155" s="1"/>
  <c r="Y36" i="155"/>
  <c r="AF19" i="153"/>
  <c r="AF36" i="153" s="1"/>
  <c r="AF37" i="153" s="1"/>
  <c r="AE19" i="153"/>
  <c r="AE36" i="153" s="1"/>
  <c r="AE37" i="153" s="1"/>
  <c r="Y36" i="153"/>
  <c r="AF19" i="154"/>
  <c r="AF36" i="154" s="1"/>
  <c r="AF37" i="154" s="1"/>
  <c r="AE19" i="154"/>
  <c r="AE36" i="154" s="1"/>
  <c r="AE37" i="154" s="1"/>
  <c r="Y36" i="154"/>
  <c r="AH19" i="153"/>
  <c r="AH36" i="153" s="1"/>
  <c r="AH37" i="153" s="1"/>
  <c r="AG19" i="153"/>
  <c r="AG36" i="153" s="1"/>
  <c r="AG37" i="153" s="1"/>
  <c r="Z36" i="153"/>
  <c r="AH19" i="154"/>
  <c r="AH36" i="154" s="1"/>
  <c r="AH37" i="154" s="1"/>
  <c r="AG19" i="154"/>
  <c r="AG36" i="154" s="1"/>
  <c r="AG37" i="154" s="1"/>
  <c r="Z36" i="154"/>
  <c r="AJ19" i="152"/>
  <c r="AG19" i="151"/>
  <c r="AG36" i="151" s="1"/>
  <c r="AG37" i="151" s="1"/>
  <c r="AH19" i="151"/>
  <c r="AH36" i="151" s="1"/>
  <c r="AH37" i="151" s="1"/>
  <c r="Z36" i="151"/>
  <c r="AE19" i="151"/>
  <c r="AE36" i="151" s="1"/>
  <c r="AE37" i="151" s="1"/>
  <c r="AF19" i="151"/>
  <c r="AF36" i="151" s="1"/>
  <c r="AF37" i="151" s="1"/>
  <c r="Y36" i="151"/>
  <c r="Y36" i="148"/>
  <c r="AE19" i="148"/>
  <c r="AE36" i="148" s="1"/>
  <c r="AE37" i="148" s="1"/>
  <c r="Z36" i="148"/>
  <c r="AG19" i="148"/>
  <c r="AG36" i="148" s="1"/>
  <c r="AG37" i="148" s="1"/>
  <c r="Z36" i="146"/>
  <c r="AG19" i="146"/>
  <c r="AG36" i="146" s="1"/>
  <c r="AG37" i="146" s="1"/>
  <c r="Y36" i="146"/>
  <c r="AE19" i="146"/>
  <c r="AE36" i="146" s="1"/>
  <c r="AE37" i="146" s="1"/>
  <c r="AG19" i="147"/>
  <c r="AG36" i="147" s="1"/>
  <c r="AG37" i="147" s="1"/>
  <c r="AH19" i="147"/>
  <c r="AH36" i="147" s="1"/>
  <c r="AH37" i="147" s="1"/>
  <c r="Z36" i="147"/>
  <c r="AF19" i="147"/>
  <c r="AF36" i="147" s="1"/>
  <c r="AF37" i="147" s="1"/>
  <c r="AE19" i="147"/>
  <c r="AE36" i="147" s="1"/>
  <c r="AE37" i="147" s="1"/>
  <c r="Y36" i="147"/>
  <c r="AH19" i="145"/>
  <c r="AH36" i="145" s="1"/>
  <c r="AH37" i="145" s="1"/>
  <c r="AG19" i="145"/>
  <c r="AG36" i="145" s="1"/>
  <c r="AG37" i="145" s="1"/>
  <c r="Z36" i="145"/>
  <c r="AE19" i="145"/>
  <c r="AE36" i="145" s="1"/>
  <c r="AE37" i="145" s="1"/>
  <c r="AF19" i="145"/>
  <c r="AF36" i="145" s="1"/>
  <c r="AF37" i="145" s="1"/>
  <c r="Y36" i="145"/>
  <c r="AJ19" i="144"/>
  <c r="AI19" i="144"/>
  <c r="AF19" i="143"/>
  <c r="AF36" i="143" s="1"/>
  <c r="AF37" i="143" s="1"/>
  <c r="AE19" i="143"/>
  <c r="AE36" i="143" s="1"/>
  <c r="AE37" i="143" s="1"/>
  <c r="Y36" i="143"/>
  <c r="AH19" i="143"/>
  <c r="AH36" i="143" s="1"/>
  <c r="AH37" i="143" s="1"/>
  <c r="AG19" i="143"/>
  <c r="AG36" i="143" s="1"/>
  <c r="AG37" i="143" s="1"/>
  <c r="Z36" i="143"/>
  <c r="AF19" i="75"/>
  <c r="AF36" i="75" s="1"/>
  <c r="AF37" i="75" s="1"/>
  <c r="AE19" i="75"/>
  <c r="AE36" i="75" s="1"/>
  <c r="AE37" i="75" s="1"/>
  <c r="AG19" i="75"/>
  <c r="AH19" i="75"/>
  <c r="Z36" i="75"/>
  <c r="Y36" i="75"/>
  <c r="H48" i="78"/>
  <c r="H61" i="78" s="1"/>
  <c r="H46" i="78"/>
  <c r="H59" i="78" s="1"/>
  <c r="H50" i="78"/>
  <c r="H63" i="78" s="1"/>
  <c r="F49" i="78"/>
  <c r="F62" i="78" s="1"/>
  <c r="F47" i="78"/>
  <c r="F60" i="78" s="1"/>
  <c r="F51" i="78"/>
  <c r="F64" i="78" s="1"/>
  <c r="E51" i="78"/>
  <c r="E64" i="78" s="1"/>
  <c r="E47" i="78"/>
  <c r="E60" i="78" s="1"/>
  <c r="E49" i="78"/>
  <c r="E62" i="78" s="1"/>
  <c r="D47" i="78"/>
  <c r="D60" i="78" s="1"/>
  <c r="D51" i="78"/>
  <c r="D64" i="78" s="1"/>
  <c r="D49" i="78"/>
  <c r="D62" i="78" s="1"/>
  <c r="D48" i="78"/>
  <c r="D61" i="78" s="1"/>
  <c r="D46" i="78"/>
  <c r="D59" i="78" s="1"/>
  <c r="D50" i="78"/>
  <c r="D63" i="78" s="1"/>
  <c r="G47" i="78"/>
  <c r="G60" i="78" s="1"/>
  <c r="G51" i="78"/>
  <c r="G64" i="78" s="1"/>
  <c r="G49" i="78"/>
  <c r="G62" i="78" s="1"/>
  <c r="B46" i="78"/>
  <c r="B59" i="78" s="1"/>
  <c r="B50" i="78"/>
  <c r="B63" i="78" s="1"/>
  <c r="B48" i="78"/>
  <c r="B61" i="78" s="1"/>
  <c r="C46" i="78"/>
  <c r="C59" i="78" s="1"/>
  <c r="C50" i="78"/>
  <c r="C63" i="78" s="1"/>
  <c r="C48" i="78"/>
  <c r="C61" i="78" s="1"/>
  <c r="E46" i="78"/>
  <c r="E59" i="78" s="1"/>
  <c r="E50" i="78"/>
  <c r="E63" i="78" s="1"/>
  <c r="E48" i="78"/>
  <c r="E61" i="78" s="1"/>
  <c r="B49" i="78"/>
  <c r="B62" i="78" s="1"/>
  <c r="B47" i="78"/>
  <c r="B60" i="78" s="1"/>
  <c r="B51" i="78"/>
  <c r="B64" i="78" s="1"/>
  <c r="H51" i="78"/>
  <c r="H64" i="78" s="1"/>
  <c r="H47" i="78"/>
  <c r="H60" i="78" s="1"/>
  <c r="H49" i="78"/>
  <c r="H62" i="78" s="1"/>
  <c r="C47" i="78"/>
  <c r="C60" i="78" s="1"/>
  <c r="C51" i="78"/>
  <c r="C64" i="78" s="1"/>
  <c r="C49" i="78"/>
  <c r="C62" i="78" s="1"/>
  <c r="F50" i="78"/>
  <c r="F63" i="78" s="1"/>
  <c r="F46" i="78"/>
  <c r="F59" i="78" s="1"/>
  <c r="F48" i="78"/>
  <c r="F61" i="78" s="1"/>
  <c r="G46" i="78"/>
  <c r="G59" i="78" s="1"/>
  <c r="G48" i="78"/>
  <c r="G61" i="78" s="1"/>
  <c r="G50" i="78"/>
  <c r="G63" i="78" s="1"/>
  <c r="AI19" i="152" l="1"/>
  <c r="AI19" i="155"/>
  <c r="AJ19" i="155"/>
  <c r="AI19" i="156"/>
  <c r="AJ19" i="156"/>
  <c r="AJ19" i="153"/>
  <c r="AI19" i="154"/>
  <c r="AI19" i="153"/>
  <c r="AJ19" i="154"/>
  <c r="AI19" i="151"/>
  <c r="AJ19" i="151"/>
  <c r="AI19" i="148"/>
  <c r="AJ19" i="148"/>
  <c r="AJ19" i="146"/>
  <c r="AI19" i="146"/>
  <c r="AI19" i="147"/>
  <c r="AJ19" i="147"/>
  <c r="AI19" i="145"/>
  <c r="AJ19" i="145"/>
  <c r="AJ19" i="143"/>
  <c r="AI19" i="143"/>
  <c r="AI19" i="75"/>
  <c r="AH36" i="75"/>
  <c r="AH37" i="75" s="1"/>
  <c r="AG36" i="75"/>
  <c r="AG37" i="75" s="1"/>
  <c r="AJ19" i="75"/>
  <c r="U9" i="103"/>
  <c r="V9" i="103"/>
  <c r="C95" i="78"/>
  <c r="F96" i="78"/>
  <c r="P96" i="78" s="1"/>
  <c r="R96" i="78" s="1"/>
  <c r="D96" i="78"/>
  <c r="O96" i="78" s="1"/>
  <c r="Q96" i="78" s="1"/>
  <c r="D95" i="78"/>
  <c r="O95" i="78" s="1"/>
  <c r="Q95" i="78" s="1"/>
  <c r="H93" i="78"/>
  <c r="H65" i="78"/>
  <c r="C96" i="78"/>
  <c r="F95" i="78"/>
  <c r="P95" i="78" s="1"/>
  <c r="R95" i="78" s="1"/>
  <c r="B65" i="78"/>
  <c r="F65" i="78"/>
  <c r="H92" i="78"/>
  <c r="H52" i="78"/>
  <c r="C52" i="78"/>
  <c r="G95" i="78"/>
  <c r="G96" i="78"/>
  <c r="C93" i="78"/>
  <c r="E92" i="78"/>
  <c r="G52" i="78"/>
  <c r="G65" i="78"/>
  <c r="B95" i="78"/>
  <c r="E52" i="78"/>
  <c r="H95" i="78"/>
  <c r="E93" i="78"/>
  <c r="E65" i="78"/>
  <c r="H96" i="78"/>
  <c r="B96" i="78"/>
  <c r="G93" i="78"/>
  <c r="D93" i="78"/>
  <c r="O93" i="78" s="1"/>
  <c r="Q93" i="78" s="1"/>
  <c r="G92" i="78"/>
  <c r="B92" i="78"/>
  <c r="F52" i="78"/>
  <c r="B93" i="78"/>
  <c r="D52" i="78"/>
  <c r="F92" i="78"/>
  <c r="P92" i="78" s="1"/>
  <c r="R92" i="78" s="1"/>
  <c r="B52" i="78"/>
  <c r="F93" i="78"/>
  <c r="P93" i="78" s="1"/>
  <c r="R93" i="78" s="1"/>
  <c r="C65" i="78"/>
  <c r="C92" i="78"/>
  <c r="E96" i="78"/>
  <c r="D65" i="78"/>
  <c r="D92" i="78"/>
  <c r="E95" i="78"/>
  <c r="U9" i="156" l="1"/>
  <c r="U9" i="155"/>
  <c r="V9" i="156"/>
  <c r="V9" i="155"/>
  <c r="V9" i="152"/>
  <c r="V9" i="154"/>
  <c r="V9" i="153"/>
  <c r="U9" i="152"/>
  <c r="U9" i="154"/>
  <c r="U9" i="153"/>
  <c r="V9" i="149"/>
  <c r="V9" i="151"/>
  <c r="U9" i="149"/>
  <c r="U9" i="151"/>
  <c r="V9" i="144"/>
  <c r="V9" i="84"/>
  <c r="V9" i="145"/>
  <c r="V9" i="146"/>
  <c r="V9" i="85"/>
  <c r="V9" i="147"/>
  <c r="V9" i="148"/>
  <c r="V9" i="75"/>
  <c r="V9" i="143"/>
  <c r="U9" i="146"/>
  <c r="U9" i="145"/>
  <c r="U9" i="147"/>
  <c r="U9" i="148"/>
  <c r="U9" i="144"/>
  <c r="U9" i="84"/>
  <c r="U9" i="75"/>
  <c r="U9" i="85"/>
  <c r="U9" i="143"/>
  <c r="V9" i="83"/>
  <c r="U9" i="83"/>
  <c r="U12" i="103"/>
  <c r="U14" i="103"/>
  <c r="V14" i="103"/>
  <c r="V12" i="103"/>
  <c r="V15" i="103"/>
  <c r="U11" i="103"/>
  <c r="U15" i="103"/>
  <c r="H72" i="78"/>
  <c r="H73" i="78" s="1"/>
  <c r="H74" i="78" s="1"/>
  <c r="H75" i="78" s="1"/>
  <c r="H76" i="78" s="1"/>
  <c r="H77" i="78" s="1"/>
  <c r="H78" i="78" s="1"/>
  <c r="H79" i="78" s="1"/>
  <c r="H80" i="78" s="1"/>
  <c r="H81" i="78" s="1"/>
  <c r="H82" i="78" s="1"/>
  <c r="H83" i="78" s="1"/>
  <c r="G108" i="78"/>
  <c r="F72" i="78"/>
  <c r="F73" i="78" s="1"/>
  <c r="F74" i="78" s="1"/>
  <c r="F75" i="78" s="1"/>
  <c r="F76" i="78" s="1"/>
  <c r="F77" i="78" s="1"/>
  <c r="F78" i="78" s="1"/>
  <c r="F79" i="78" s="1"/>
  <c r="F80" i="78" s="1"/>
  <c r="F81" i="78" s="1"/>
  <c r="F82" i="78" s="1"/>
  <c r="F83" i="78" s="1"/>
  <c r="B72" i="78"/>
  <c r="B73" i="78" s="1"/>
  <c r="B74" i="78" s="1"/>
  <c r="B75" i="78" s="1"/>
  <c r="B76" i="78" s="1"/>
  <c r="B77" i="78" s="1"/>
  <c r="B78" i="78" s="1"/>
  <c r="B79" i="78" s="1"/>
  <c r="B80" i="78" s="1"/>
  <c r="B81" i="78" s="1"/>
  <c r="B82" i="78" s="1"/>
  <c r="B83" i="78" s="1"/>
  <c r="C72" i="78"/>
  <c r="C73" i="78" s="1"/>
  <c r="C74" i="78" s="1"/>
  <c r="C75" i="78" s="1"/>
  <c r="C76" i="78" s="1"/>
  <c r="C77" i="78" s="1"/>
  <c r="C78" i="78" s="1"/>
  <c r="C79" i="78" s="1"/>
  <c r="C80" i="78" s="1"/>
  <c r="C81" i="78" s="1"/>
  <c r="C82" i="78" s="1"/>
  <c r="C83" i="78" s="1"/>
  <c r="H108" i="78"/>
  <c r="G72" i="78"/>
  <c r="G73" i="78" s="1"/>
  <c r="G74" i="78" s="1"/>
  <c r="G75" i="78" s="1"/>
  <c r="G76" i="78" s="1"/>
  <c r="G77" i="78" s="1"/>
  <c r="G78" i="78" s="1"/>
  <c r="G79" i="78" s="1"/>
  <c r="G80" i="78" s="1"/>
  <c r="G81" i="78" s="1"/>
  <c r="G82" i="78" s="1"/>
  <c r="G83" i="78" s="1"/>
  <c r="C108" i="78"/>
  <c r="B108" i="78"/>
  <c r="F108" i="78"/>
  <c r="P108" i="78" s="1"/>
  <c r="R108" i="78" s="1"/>
  <c r="E72" i="78"/>
  <c r="E73" i="78" s="1"/>
  <c r="E74" i="78" s="1"/>
  <c r="E75" i="78" s="1"/>
  <c r="E76" i="78" s="1"/>
  <c r="E77" i="78" s="1"/>
  <c r="E78" i="78" s="1"/>
  <c r="E79" i="78" s="1"/>
  <c r="E80" i="78" s="1"/>
  <c r="E81" i="78" s="1"/>
  <c r="E82" i="78" s="1"/>
  <c r="E83" i="78" s="1"/>
  <c r="D72" i="78"/>
  <c r="D73" i="78" s="1"/>
  <c r="D74" i="78" s="1"/>
  <c r="D75" i="78" s="1"/>
  <c r="D76" i="78" s="1"/>
  <c r="D77" i="78" s="1"/>
  <c r="D78" i="78" s="1"/>
  <c r="D79" i="78" s="1"/>
  <c r="D80" i="78" s="1"/>
  <c r="D81" i="78" s="1"/>
  <c r="D82" i="78" s="1"/>
  <c r="D83" i="78" s="1"/>
  <c r="E108" i="78"/>
  <c r="O92" i="78"/>
  <c r="Q92" i="78" s="1"/>
  <c r="D108" i="78"/>
  <c r="O108" i="78" s="1"/>
  <c r="Q108" i="78" s="1"/>
  <c r="U12" i="156" l="1"/>
  <c r="U12" i="155"/>
  <c r="U14" i="156"/>
  <c r="U14" i="155"/>
  <c r="U15" i="156"/>
  <c r="U15" i="155"/>
  <c r="U11" i="155"/>
  <c r="U11" i="156"/>
  <c r="V15" i="156"/>
  <c r="V15" i="155"/>
  <c r="V12" i="156"/>
  <c r="V12" i="155"/>
  <c r="V14" i="156"/>
  <c r="V14" i="155"/>
  <c r="V15" i="152"/>
  <c r="V15" i="154"/>
  <c r="V15" i="153"/>
  <c r="V12" i="152"/>
  <c r="V12" i="154"/>
  <c r="V12" i="153"/>
  <c r="V14" i="152"/>
  <c r="V14" i="154"/>
  <c r="V14" i="153"/>
  <c r="U14" i="152"/>
  <c r="U14" i="154"/>
  <c r="U14" i="153"/>
  <c r="U11" i="152"/>
  <c r="U11" i="154"/>
  <c r="U11" i="153"/>
  <c r="U12" i="152"/>
  <c r="U12" i="154"/>
  <c r="U12" i="153"/>
  <c r="U15" i="152"/>
  <c r="U15" i="154"/>
  <c r="U15" i="153"/>
  <c r="U11" i="149"/>
  <c r="U11" i="151"/>
  <c r="V15" i="149"/>
  <c r="V15" i="151"/>
  <c r="V14" i="149"/>
  <c r="V14" i="151"/>
  <c r="U15" i="149"/>
  <c r="U15" i="151"/>
  <c r="V12" i="149"/>
  <c r="V12" i="151"/>
  <c r="U14" i="149"/>
  <c r="U14" i="151"/>
  <c r="U12" i="149"/>
  <c r="U12" i="151"/>
  <c r="U14" i="143"/>
  <c r="U14" i="144"/>
  <c r="U14" i="84"/>
  <c r="U14" i="145"/>
  <c r="U14" i="146"/>
  <c r="U14" i="85"/>
  <c r="U14" i="147"/>
  <c r="U14" i="148"/>
  <c r="U14" i="75"/>
  <c r="U12" i="144"/>
  <c r="U12" i="84"/>
  <c r="U12" i="145"/>
  <c r="U12" i="146"/>
  <c r="U12" i="85"/>
  <c r="U12" i="147"/>
  <c r="U12" i="148"/>
  <c r="U12" i="75"/>
  <c r="U12" i="143"/>
  <c r="U15" i="145"/>
  <c r="U15" i="143"/>
  <c r="U15" i="144"/>
  <c r="U15" i="85"/>
  <c r="U15" i="84"/>
  <c r="U15" i="75"/>
  <c r="U15" i="148"/>
  <c r="U15" i="146"/>
  <c r="U15" i="147"/>
  <c r="U11" i="144"/>
  <c r="U11" i="84"/>
  <c r="U11" i="145"/>
  <c r="U11" i="146"/>
  <c r="U11" i="85"/>
  <c r="U11" i="147"/>
  <c r="U11" i="148"/>
  <c r="U11" i="75"/>
  <c r="U11" i="143"/>
  <c r="V15" i="144"/>
  <c r="V15" i="84"/>
  <c r="V15" i="145"/>
  <c r="V15" i="146"/>
  <c r="V15" i="85"/>
  <c r="V15" i="147"/>
  <c r="V15" i="148"/>
  <c r="V15" i="75"/>
  <c r="V15" i="143"/>
  <c r="V12" i="143"/>
  <c r="V12" i="144"/>
  <c r="V12" i="84"/>
  <c r="V12" i="145"/>
  <c r="V12" i="146"/>
  <c r="V12" i="85"/>
  <c r="V12" i="147"/>
  <c r="V12" i="148"/>
  <c r="V12" i="75"/>
  <c r="V14" i="144"/>
  <c r="V14" i="84"/>
  <c r="V14" i="145"/>
  <c r="V14" i="146"/>
  <c r="V14" i="85"/>
  <c r="V14" i="147"/>
  <c r="V14" i="148"/>
  <c r="V14" i="75"/>
  <c r="V14" i="143"/>
  <c r="U14" i="83"/>
  <c r="U12" i="83"/>
  <c r="U15" i="83"/>
  <c r="U11" i="83"/>
  <c r="V12" i="83"/>
  <c r="V15" i="83"/>
  <c r="V14" i="83"/>
  <c r="U34" i="103"/>
  <c r="U28" i="103"/>
  <c r="U27" i="103" s="1"/>
  <c r="U34" i="156" l="1"/>
  <c r="U34" i="152"/>
  <c r="U28" i="155"/>
  <c r="U29" i="155" s="1"/>
  <c r="U28" i="152"/>
  <c r="U29" i="152" s="1"/>
  <c r="U34" i="154"/>
  <c r="U34" i="155"/>
  <c r="U28" i="153"/>
  <c r="U29" i="153" s="1"/>
  <c r="U28" i="156"/>
  <c r="U29" i="156" s="1"/>
  <c r="U28" i="154"/>
  <c r="U27" i="154" s="1"/>
  <c r="U34" i="153"/>
  <c r="U28" i="149"/>
  <c r="U29" i="149" s="1"/>
  <c r="U28" i="151"/>
  <c r="U29" i="151" s="1"/>
  <c r="U34" i="149"/>
  <c r="U34" i="151"/>
  <c r="U34" i="148"/>
  <c r="U28" i="148"/>
  <c r="U29" i="148" s="1"/>
  <c r="U28" i="146"/>
  <c r="U29" i="146" s="1"/>
  <c r="U28" i="147"/>
  <c r="U29" i="147" s="1"/>
  <c r="U34" i="145"/>
  <c r="U34" i="147"/>
  <c r="U34" i="144"/>
  <c r="U34" i="146"/>
  <c r="U34" i="83"/>
  <c r="U34" i="143"/>
  <c r="U28" i="144"/>
  <c r="U29" i="144" s="1"/>
  <c r="U28" i="145"/>
  <c r="U28" i="143"/>
  <c r="U27" i="143" s="1"/>
  <c r="U28" i="83"/>
  <c r="U27" i="83" s="1"/>
  <c r="U34" i="84"/>
  <c r="U34" i="85"/>
  <c r="U28" i="75"/>
  <c r="U29" i="75" s="1"/>
  <c r="U28" i="84"/>
  <c r="U29" i="84" s="1"/>
  <c r="U28" i="85"/>
  <c r="U29" i="85" s="1"/>
  <c r="U34" i="75"/>
  <c r="U29" i="103"/>
  <c r="V11" i="103"/>
  <c r="U27" i="155" l="1"/>
  <c r="U27" i="152"/>
  <c r="U29" i="154"/>
  <c r="U27" i="153"/>
  <c r="U27" i="156"/>
  <c r="V11" i="155"/>
  <c r="V11" i="156"/>
  <c r="V11" i="152"/>
  <c r="V34" i="152" s="1"/>
  <c r="V11" i="154"/>
  <c r="V11" i="153"/>
  <c r="U27" i="149"/>
  <c r="U27" i="151"/>
  <c r="V11" i="149"/>
  <c r="V28" i="149" s="1"/>
  <c r="V11" i="151"/>
  <c r="U27" i="148"/>
  <c r="V11" i="144"/>
  <c r="V34" i="144" s="1"/>
  <c r="V11" i="84"/>
  <c r="V34" i="84" s="1"/>
  <c r="V11" i="145"/>
  <c r="V11" i="146"/>
  <c r="V28" i="146" s="1"/>
  <c r="V11" i="85"/>
  <c r="V28" i="85" s="1"/>
  <c r="V29" i="85" s="1"/>
  <c r="V11" i="147"/>
  <c r="V11" i="148"/>
  <c r="V28" i="148" s="1"/>
  <c r="V11" i="75"/>
  <c r="V11" i="143"/>
  <c r="V11" i="83"/>
  <c r="V34" i="83" s="1"/>
  <c r="U27" i="146"/>
  <c r="U27" i="147"/>
  <c r="U29" i="143"/>
  <c r="U27" i="144"/>
  <c r="U29" i="145"/>
  <c r="U27" i="145"/>
  <c r="U29" i="83"/>
  <c r="U27" i="84"/>
  <c r="U27" i="85"/>
  <c r="U27" i="75"/>
  <c r="V34" i="103"/>
  <c r="V28" i="103"/>
  <c r="V28" i="152" l="1"/>
  <c r="V27" i="152" s="1"/>
  <c r="V28" i="156"/>
  <c r="V34" i="156"/>
  <c r="V28" i="155"/>
  <c r="V34" i="155"/>
  <c r="V28" i="153"/>
  <c r="V34" i="153"/>
  <c r="V28" i="154"/>
  <c r="V34" i="154"/>
  <c r="V34" i="149"/>
  <c r="V34" i="151"/>
  <c r="V28" i="151"/>
  <c r="V29" i="149"/>
  <c r="V27" i="149"/>
  <c r="V34" i="148"/>
  <c r="V34" i="146"/>
  <c r="V28" i="83"/>
  <c r="V29" i="83" s="1"/>
  <c r="V28" i="144"/>
  <c r="V29" i="144" s="1"/>
  <c r="V29" i="148"/>
  <c r="V27" i="148"/>
  <c r="V28" i="147"/>
  <c r="V34" i="147"/>
  <c r="V29" i="146"/>
  <c r="V27" i="146"/>
  <c r="V28" i="145"/>
  <c r="V34" i="145"/>
  <c r="V34" i="143"/>
  <c r="V28" i="143"/>
  <c r="V28" i="84"/>
  <c r="V29" i="84" s="1"/>
  <c r="V34" i="85"/>
  <c r="V34" i="75"/>
  <c r="V28" i="75"/>
  <c r="V27" i="85"/>
  <c r="V29" i="103"/>
  <c r="V27" i="103"/>
  <c r="V29" i="152" l="1"/>
  <c r="V29" i="155"/>
  <c r="V27" i="155"/>
  <c r="V29" i="156"/>
  <c r="V27" i="156"/>
  <c r="V29" i="154"/>
  <c r="V27" i="154"/>
  <c r="V29" i="153"/>
  <c r="V27" i="153"/>
  <c r="V29" i="151"/>
  <c r="V27" i="151"/>
  <c r="V27" i="83"/>
  <c r="V27" i="144"/>
  <c r="V29" i="147"/>
  <c r="V27" i="147"/>
  <c r="V29" i="145"/>
  <c r="V27" i="145"/>
  <c r="V29" i="143"/>
  <c r="V27" i="143"/>
  <c r="V27" i="84"/>
  <c r="V27" i="75"/>
  <c r="V29" i="75"/>
  <c r="Y19" i="103" l="1"/>
  <c r="AG19" i="83"/>
  <c r="Y9" i="103"/>
  <c r="Y10" i="85"/>
  <c r="Y10" i="84"/>
  <c r="Y10" i="103"/>
  <c r="AF10" i="83"/>
  <c r="Y18" i="85"/>
  <c r="Y18" i="103"/>
  <c r="Z10" i="103"/>
  <c r="Y16" i="85"/>
  <c r="Y16" i="84"/>
  <c r="Y17" i="84"/>
  <c r="Z16" i="85"/>
  <c r="Y17" i="85"/>
  <c r="Z16" i="84"/>
  <c r="AE18" i="83"/>
  <c r="Z10" i="84"/>
  <c r="AF17" i="83"/>
  <c r="Z10" i="85"/>
  <c r="Y18" i="84"/>
  <c r="Y16" i="103"/>
  <c r="Z22" i="84"/>
  <c r="Y23" i="84"/>
  <c r="Y21" i="84"/>
  <c r="Y21" i="103"/>
  <c r="Y20" i="85"/>
  <c r="Z23" i="84"/>
  <c r="Z21" i="85"/>
  <c r="Z21" i="103"/>
  <c r="Z22" i="85"/>
  <c r="AF22" i="83"/>
  <c r="Y20" i="103"/>
  <c r="Y23" i="85"/>
  <c r="Y20" i="84"/>
  <c r="Y22" i="85"/>
  <c r="Y23" i="103"/>
  <c r="Y21" i="85"/>
  <c r="Z23" i="103"/>
  <c r="Z21" i="84"/>
  <c r="Y22" i="84"/>
  <c r="Z23" i="85"/>
  <c r="AF23" i="83"/>
  <c r="AH21" i="83"/>
  <c r="Z20" i="103"/>
  <c r="Z20" i="84"/>
  <c r="Z20" i="85"/>
  <c r="AF25" i="83"/>
  <c r="Z25" i="85"/>
  <c r="Y25" i="85"/>
  <c r="Y25" i="84"/>
  <c r="Z25" i="84"/>
  <c r="AH26" i="83"/>
  <c r="Y26" i="103"/>
  <c r="AG24" i="83"/>
  <c r="AE26" i="83"/>
  <c r="Z26" i="85"/>
  <c r="Y26" i="84"/>
  <c r="Z26" i="84"/>
  <c r="Z24" i="84"/>
  <c r="Y24" i="85"/>
  <c r="Y24" i="103"/>
  <c r="Y24" i="84"/>
  <c r="Y26" i="85"/>
  <c r="Z24" i="85"/>
  <c r="Y19" i="85" l="1"/>
  <c r="Y36" i="85" s="1"/>
  <c r="Q36" i="85"/>
  <c r="Z19" i="85"/>
  <c r="Z36" i="85" s="1"/>
  <c r="R36" i="85"/>
  <c r="Z19" i="84"/>
  <c r="Z36" i="84" s="1"/>
  <c r="R36" i="84"/>
  <c r="Y19" i="84"/>
  <c r="Y36" i="84" s="1"/>
  <c r="Q36" i="84"/>
  <c r="Y9" i="84"/>
  <c r="AE9" i="84" s="1"/>
  <c r="Z9" i="84"/>
  <c r="Y9" i="85"/>
  <c r="Z9" i="85"/>
  <c r="AG9" i="85" s="1"/>
  <c r="AG16" i="85"/>
  <c r="AE24" i="84"/>
  <c r="AF21" i="84"/>
  <c r="AE23" i="84"/>
  <c r="AE22" i="85"/>
  <c r="AF24" i="85"/>
  <c r="AE22" i="84"/>
  <c r="AH22" i="84"/>
  <c r="AG26" i="84"/>
  <c r="AH25" i="85"/>
  <c r="AG21" i="84"/>
  <c r="AH16" i="84"/>
  <c r="AE26" i="84"/>
  <c r="AE25" i="84"/>
  <c r="AF10" i="84"/>
  <c r="AG24" i="85"/>
  <c r="AG21" i="85"/>
  <c r="AE26" i="85"/>
  <c r="Y22" i="103"/>
  <c r="Z25" i="103"/>
  <c r="Z22" i="103"/>
  <c r="Z19" i="103"/>
  <c r="AH19" i="103" s="1"/>
  <c r="Y25" i="103"/>
  <c r="Z16" i="103"/>
  <c r="Y17" i="103"/>
  <c r="Z26" i="103"/>
  <c r="Z24" i="103"/>
  <c r="Z9" i="103"/>
  <c r="AH9" i="103" s="1"/>
  <c r="R36" i="103"/>
  <c r="AE17" i="84"/>
  <c r="AF17" i="84"/>
  <c r="AG20" i="83"/>
  <c r="AH20" i="103"/>
  <c r="AH22" i="83"/>
  <c r="AG22" i="83"/>
  <c r="AE18" i="85"/>
  <c r="AF18" i="85"/>
  <c r="AG23" i="103"/>
  <c r="AH23" i="103"/>
  <c r="AE18" i="84"/>
  <c r="AF18" i="84"/>
  <c r="AF22" i="85"/>
  <c r="AF19" i="83"/>
  <c r="AE19" i="83"/>
  <c r="AG22" i="85"/>
  <c r="AH22" i="85"/>
  <c r="AF21" i="103"/>
  <c r="AE21" i="103"/>
  <c r="AH10" i="103"/>
  <c r="AG10" i="103"/>
  <c r="AE20" i="103"/>
  <c r="AF20" i="103"/>
  <c r="AF16" i="83"/>
  <c r="AE16" i="83"/>
  <c r="AF23" i="85"/>
  <c r="AE23" i="85"/>
  <c r="AF16" i="85"/>
  <c r="AE16" i="85"/>
  <c r="AE10" i="84"/>
  <c r="AF18" i="83"/>
  <c r="AI18" i="83" s="1"/>
  <c r="Q36" i="103"/>
  <c r="AE23" i="83"/>
  <c r="AI23" i="83" s="1"/>
  <c r="AE22" i="83"/>
  <c r="AI22" i="83" s="1"/>
  <c r="AE21" i="84"/>
  <c r="AE17" i="83"/>
  <c r="AI17" i="83" s="1"/>
  <c r="AF26" i="103"/>
  <c r="AE26" i="103"/>
  <c r="AH21" i="103"/>
  <c r="AG21" i="103"/>
  <c r="AG20" i="85"/>
  <c r="AH20" i="85"/>
  <c r="AE24" i="83"/>
  <c r="AF24" i="83"/>
  <c r="AF23" i="103"/>
  <c r="AE23" i="103"/>
  <c r="AF25" i="85"/>
  <c r="AE25" i="85"/>
  <c r="AG24" i="84"/>
  <c r="AH24" i="84"/>
  <c r="AH26" i="85"/>
  <c r="AG26" i="85"/>
  <c r="AG25" i="83"/>
  <c r="AH25" i="83"/>
  <c r="AH23" i="84"/>
  <c r="AG23" i="84"/>
  <c r="AF21" i="83"/>
  <c r="AE21" i="83"/>
  <c r="AF24" i="103"/>
  <c r="AE24" i="103"/>
  <c r="AH25" i="84"/>
  <c r="AG25" i="84"/>
  <c r="AH23" i="85"/>
  <c r="AG23" i="85"/>
  <c r="AG16" i="83"/>
  <c r="AH16" i="83"/>
  <c r="AF22" i="84"/>
  <c r="AH21" i="85"/>
  <c r="AF23" i="84"/>
  <c r="AH24" i="85"/>
  <c r="AF24" i="84"/>
  <c r="AE24" i="85"/>
  <c r="AH26" i="84"/>
  <c r="AF26" i="83"/>
  <c r="AI26" i="83" s="1"/>
  <c r="AF25" i="84"/>
  <c r="AE25" i="83"/>
  <c r="AI25" i="83" s="1"/>
  <c r="AG21" i="83"/>
  <c r="AJ21" i="83" s="1"/>
  <c r="AH21" i="84"/>
  <c r="AG22" i="84"/>
  <c r="AE17" i="85"/>
  <c r="AF17" i="85"/>
  <c r="AE10" i="85"/>
  <c r="AF10" i="85"/>
  <c r="AH16" i="85"/>
  <c r="AH10" i="83"/>
  <c r="AG10" i="83"/>
  <c r="AE18" i="103"/>
  <c r="AF18" i="103"/>
  <c r="AE10" i="83"/>
  <c r="AI10" i="83" s="1"/>
  <c r="AF26" i="85"/>
  <c r="AF26" i="84"/>
  <c r="AH24" i="83"/>
  <c r="AJ24" i="83" s="1"/>
  <c r="AG26" i="83"/>
  <c r="AJ26" i="83" s="1"/>
  <c r="AG25" i="85"/>
  <c r="AE21" i="85"/>
  <c r="AF21" i="85"/>
  <c r="AG23" i="83"/>
  <c r="AH23" i="83"/>
  <c r="AH10" i="84"/>
  <c r="AG10" i="84"/>
  <c r="AE16" i="84"/>
  <c r="AF16" i="84"/>
  <c r="AE10" i="103"/>
  <c r="AF10" i="103"/>
  <c r="AG10" i="85"/>
  <c r="AH10" i="85"/>
  <c r="AE9" i="83"/>
  <c r="AF9" i="83"/>
  <c r="AE16" i="103"/>
  <c r="AF16" i="103"/>
  <c r="AG16" i="84"/>
  <c r="AH9" i="83"/>
  <c r="AH19" i="83"/>
  <c r="AJ19" i="83" s="1"/>
  <c r="AG9" i="83"/>
  <c r="AF9" i="84" l="1"/>
  <c r="AI9" i="84" s="1"/>
  <c r="AI23" i="84"/>
  <c r="AF19" i="85"/>
  <c r="AG19" i="84"/>
  <c r="AH19" i="84"/>
  <c r="AJ25" i="85"/>
  <c r="AI24" i="84"/>
  <c r="AJ21" i="85"/>
  <c r="AF19" i="84"/>
  <c r="AJ16" i="84"/>
  <c r="AE19" i="85"/>
  <c r="AI26" i="85"/>
  <c r="AE19" i="84"/>
  <c r="AJ22" i="84"/>
  <c r="AH9" i="85"/>
  <c r="AJ9" i="85" s="1"/>
  <c r="AJ16" i="85"/>
  <c r="AI10" i="84"/>
  <c r="AI21" i="84"/>
  <c r="AI24" i="85"/>
  <c r="AJ24" i="85"/>
  <c r="AJ9" i="83"/>
  <c r="AI16" i="83"/>
  <c r="AJ10" i="103"/>
  <c r="AI17" i="85"/>
  <c r="AI18" i="103"/>
  <c r="AJ25" i="83"/>
  <c r="AI24" i="83"/>
  <c r="AJ23" i="103"/>
  <c r="AI18" i="84"/>
  <c r="AI21" i="103"/>
  <c r="AI21" i="85"/>
  <c r="AJ10" i="84"/>
  <c r="AI17" i="84"/>
  <c r="AI20" i="103"/>
  <c r="AI16" i="85"/>
  <c r="AI19" i="83"/>
  <c r="AJ16" i="83"/>
  <c r="AI10" i="85"/>
  <c r="AJ20" i="85"/>
  <c r="AI18" i="85"/>
  <c r="AJ25" i="84"/>
  <c r="AJ21" i="103"/>
  <c r="AJ22" i="85"/>
  <c r="AJ24" i="84"/>
  <c r="AI23" i="85"/>
  <c r="AI16" i="103"/>
  <c r="AI16" i="84"/>
  <c r="AI25" i="84"/>
  <c r="AJ21" i="84"/>
  <c r="AJ10" i="85"/>
  <c r="AJ26" i="85"/>
  <c r="AJ26" i="84"/>
  <c r="AI10" i="103"/>
  <c r="AI24" i="103"/>
  <c r="AI22" i="84"/>
  <c r="AI26" i="84"/>
  <c r="AI25" i="85"/>
  <c r="AI26" i="103"/>
  <c r="AI22" i="85"/>
  <c r="AJ23" i="85"/>
  <c r="AJ23" i="84"/>
  <c r="AI23" i="103"/>
  <c r="AJ10" i="83"/>
  <c r="AG9" i="103"/>
  <c r="AJ9" i="103" s="1"/>
  <c r="AH25" i="103"/>
  <c r="AE22" i="103"/>
  <c r="AJ22" i="83"/>
  <c r="AG24" i="103"/>
  <c r="AH26" i="103"/>
  <c r="AI9" i="83"/>
  <c r="AF20" i="85"/>
  <c r="AI21" i="83"/>
  <c r="AF17" i="103"/>
  <c r="AJ23" i="83"/>
  <c r="AG36" i="83"/>
  <c r="AG37" i="83" s="1"/>
  <c r="AG16" i="103"/>
  <c r="AF25" i="103"/>
  <c r="AG19" i="103"/>
  <c r="AJ19" i="103" s="1"/>
  <c r="AG22" i="103"/>
  <c r="AE20" i="84"/>
  <c r="AE25" i="103"/>
  <c r="AG26" i="103"/>
  <c r="AF22" i="103"/>
  <c r="AG25" i="103"/>
  <c r="AE17" i="103"/>
  <c r="AH22" i="103"/>
  <c r="AH24" i="103"/>
  <c r="AH16" i="103"/>
  <c r="AE20" i="85"/>
  <c r="AE20" i="83"/>
  <c r="AF20" i="84"/>
  <c r="Z36" i="103"/>
  <c r="AF20" i="83"/>
  <c r="AF36" i="83" s="1"/>
  <c r="AF37" i="83" s="1"/>
  <c r="AH20" i="83"/>
  <c r="AH36" i="83" s="1"/>
  <c r="AH37" i="83" s="1"/>
  <c r="AH36" i="103"/>
  <c r="AH37" i="103" s="1"/>
  <c r="AG20" i="103"/>
  <c r="AE9" i="85"/>
  <c r="AF9" i="85"/>
  <c r="AF9" i="103"/>
  <c r="AE9" i="103"/>
  <c r="AG20" i="84"/>
  <c r="AH20" i="84"/>
  <c r="AH19" i="85"/>
  <c r="AH36" i="85" s="1"/>
  <c r="AH37" i="85" s="1"/>
  <c r="AG19" i="85"/>
  <c r="AG36" i="85" s="1"/>
  <c r="AG37" i="85" s="1"/>
  <c r="AG9" i="84"/>
  <c r="AH9" i="84"/>
  <c r="Y36" i="103"/>
  <c r="AF19" i="103"/>
  <c r="AF36" i="103" s="1"/>
  <c r="AF37" i="103" s="1"/>
  <c r="AE19" i="103"/>
  <c r="AG36" i="84" l="1"/>
  <c r="AG37" i="84" s="1"/>
  <c r="AF36" i="85"/>
  <c r="AF37" i="85" s="1"/>
  <c r="AH36" i="84"/>
  <c r="AH37" i="84" s="1"/>
  <c r="AE36" i="85"/>
  <c r="AE37" i="85" s="1"/>
  <c r="AJ19" i="84"/>
  <c r="AI19" i="84"/>
  <c r="AI19" i="85"/>
  <c r="AF36" i="84"/>
  <c r="AF37" i="84" s="1"/>
  <c r="AI22" i="103"/>
  <c r="AI17" i="103"/>
  <c r="AJ9" i="84"/>
  <c r="AJ25" i="103"/>
  <c r="AI9" i="103"/>
  <c r="AI25" i="103"/>
  <c r="AJ16" i="103"/>
  <c r="AJ24" i="103"/>
  <c r="AI20" i="84"/>
  <c r="AJ22" i="103"/>
  <c r="AI9" i="85"/>
  <c r="AJ26" i="103"/>
  <c r="AJ20" i="83"/>
  <c r="AJ20" i="84"/>
  <c r="AJ19" i="85"/>
  <c r="AE36" i="83"/>
  <c r="AE37" i="83" s="1"/>
  <c r="AI20" i="83"/>
  <c r="AI20" i="85"/>
  <c r="AE36" i="103"/>
  <c r="AE37" i="103" s="1"/>
  <c r="AI19" i="103"/>
  <c r="AG36" i="103"/>
  <c r="AG37" i="103" s="1"/>
  <c r="AJ20" i="103"/>
  <c r="AE36" i="84"/>
  <c r="AE37" i="84" s="1"/>
  <c r="L113" i="70" l="1"/>
  <c r="T85" i="70"/>
  <c r="T113" i="70"/>
  <c r="L85" i="70"/>
  <c r="H79" i="69"/>
  <c r="H117" i="69" s="1"/>
  <c r="H78" i="69"/>
  <c r="H115" i="69" s="1"/>
  <c r="G79" i="69"/>
  <c r="G117" i="69" s="1"/>
  <c r="G78" i="69"/>
  <c r="G116" i="69" s="1"/>
  <c r="M113" i="70"/>
  <c r="U85" i="70"/>
  <c r="U113" i="70"/>
  <c r="M85" i="70"/>
  <c r="D79" i="69"/>
  <c r="D117" i="69" s="1"/>
  <c r="D78" i="69"/>
  <c r="D116" i="69" s="1"/>
  <c r="P112" i="70"/>
  <c r="X112" i="70"/>
  <c r="X84" i="70"/>
  <c r="P84" i="70"/>
  <c r="F81" i="69"/>
  <c r="F120" i="69" s="1"/>
  <c r="H96" i="69"/>
  <c r="E113" i="69" s="1"/>
  <c r="F80" i="69"/>
  <c r="F119" i="69" s="1"/>
  <c r="O113" i="70"/>
  <c r="O85" i="70"/>
  <c r="W113" i="70"/>
  <c r="W85" i="70"/>
  <c r="L84" i="70"/>
  <c r="T84" i="70"/>
  <c r="L112" i="70"/>
  <c r="T112" i="70"/>
  <c r="B80" i="69"/>
  <c r="B118" i="69" s="1"/>
  <c r="B81" i="69"/>
  <c r="B120" i="69" s="1"/>
  <c r="C81" i="69"/>
  <c r="C120" i="69" s="1"/>
  <c r="C80" i="69"/>
  <c r="C118" i="69" s="1"/>
  <c r="E78" i="69"/>
  <c r="E116" i="69" s="1"/>
  <c r="E79" i="69"/>
  <c r="E117" i="69" s="1"/>
  <c r="V113" i="70"/>
  <c r="N85" i="70"/>
  <c r="N113" i="70"/>
  <c r="V85" i="70"/>
  <c r="K113" i="70"/>
  <c r="S113" i="70"/>
  <c r="K85" i="70"/>
  <c r="S85" i="70"/>
  <c r="B79" i="69"/>
  <c r="B117" i="69" s="1"/>
  <c r="B78" i="69"/>
  <c r="B116" i="69" s="1"/>
  <c r="G80" i="69"/>
  <c r="G119" i="69" s="1"/>
  <c r="G81" i="69"/>
  <c r="G120" i="69" s="1"/>
  <c r="N112" i="70"/>
  <c r="N84" i="70"/>
  <c r="V112" i="70"/>
  <c r="V84" i="70"/>
  <c r="S84" i="70"/>
  <c r="K84" i="70"/>
  <c r="S112" i="70"/>
  <c r="K112" i="70"/>
  <c r="H81" i="69"/>
  <c r="H120" i="69" s="1"/>
  <c r="H80" i="69"/>
  <c r="H119" i="69" s="1"/>
  <c r="E80" i="69"/>
  <c r="E118" i="69" s="1"/>
  <c r="E81" i="69"/>
  <c r="E120" i="69" s="1"/>
  <c r="J112" i="70"/>
  <c r="J84" i="70"/>
  <c r="R84" i="70"/>
  <c r="R112" i="70"/>
  <c r="U84" i="70"/>
  <c r="U112" i="70"/>
  <c r="M84" i="70"/>
  <c r="M112" i="70"/>
  <c r="C78" i="69"/>
  <c r="C115" i="69" s="1"/>
  <c r="C79" i="69"/>
  <c r="C117" i="69" s="1"/>
  <c r="W112" i="70"/>
  <c r="O84" i="70"/>
  <c r="O112" i="70"/>
  <c r="W84" i="70"/>
  <c r="P85" i="70"/>
  <c r="P113" i="70"/>
  <c r="X85" i="70"/>
  <c r="X113" i="70"/>
  <c r="H95" i="69"/>
  <c r="E111" i="69" s="1"/>
  <c r="F79" i="69"/>
  <c r="F117" i="69" s="1"/>
  <c r="F78" i="69"/>
  <c r="F116" i="69" s="1"/>
  <c r="H94" i="69"/>
  <c r="F109" i="69" s="1"/>
  <c r="R113" i="70"/>
  <c r="J113" i="70"/>
  <c r="J85" i="70"/>
  <c r="R85" i="70"/>
  <c r="D80" i="69"/>
  <c r="D118" i="69" s="1"/>
  <c r="D81" i="69"/>
  <c r="D120" i="69" s="1"/>
  <c r="N90" i="70" l="1"/>
  <c r="W90" i="70"/>
  <c r="D85" i="70"/>
  <c r="V90" i="70"/>
  <c r="T126" i="70"/>
  <c r="L157" i="70"/>
  <c r="T158" i="70"/>
  <c r="D113" i="70"/>
  <c r="D115" i="69"/>
  <c r="D156" i="69" s="1"/>
  <c r="O156" i="69" s="1"/>
  <c r="L158" i="70"/>
  <c r="P156" i="70"/>
  <c r="R90" i="70"/>
  <c r="C112" i="70"/>
  <c r="H84" i="70"/>
  <c r="N126" i="70"/>
  <c r="T157" i="70"/>
  <c r="F85" i="70"/>
  <c r="P158" i="70"/>
  <c r="R156" i="70"/>
  <c r="B84" i="70"/>
  <c r="N158" i="70"/>
  <c r="T90" i="70"/>
  <c r="R157" i="70"/>
  <c r="W156" i="70"/>
  <c r="V156" i="70"/>
  <c r="X90" i="70"/>
  <c r="K158" i="70"/>
  <c r="X156" i="70"/>
  <c r="D84" i="70"/>
  <c r="C113" i="70"/>
  <c r="K157" i="70"/>
  <c r="L90" i="70"/>
  <c r="H112" i="70"/>
  <c r="T156" i="70"/>
  <c r="S90" i="70"/>
  <c r="P90" i="70"/>
  <c r="D112" i="70"/>
  <c r="S156" i="70"/>
  <c r="L126" i="70"/>
  <c r="C85" i="70"/>
  <c r="L156" i="70"/>
  <c r="F118" i="69"/>
  <c r="E113" i="70"/>
  <c r="D86" i="69"/>
  <c r="F111" i="69"/>
  <c r="H85" i="70"/>
  <c r="P157" i="70"/>
  <c r="B113" i="70"/>
  <c r="G84" i="70"/>
  <c r="G85" i="70"/>
  <c r="H86" i="69"/>
  <c r="H116" i="69"/>
  <c r="H156" i="69" s="1"/>
  <c r="S158" i="70"/>
  <c r="U158" i="70"/>
  <c r="B86" i="69"/>
  <c r="G86" i="69"/>
  <c r="B115" i="69"/>
  <c r="B155" i="69" s="1"/>
  <c r="G115" i="69"/>
  <c r="G155" i="69" s="1"/>
  <c r="H113" i="70"/>
  <c r="U126" i="70"/>
  <c r="K90" i="70"/>
  <c r="S126" i="70"/>
  <c r="E84" i="70"/>
  <c r="O157" i="70"/>
  <c r="P126" i="70"/>
  <c r="U90" i="70"/>
  <c r="E119" i="69"/>
  <c r="E158" i="69" s="1"/>
  <c r="K126" i="70"/>
  <c r="U157" i="70"/>
  <c r="C119" i="69"/>
  <c r="C159" i="69" s="1"/>
  <c r="N157" i="70"/>
  <c r="X126" i="70"/>
  <c r="K156" i="70"/>
  <c r="O90" i="70"/>
  <c r="C84" i="70"/>
  <c r="J90" i="70"/>
  <c r="O156" i="70"/>
  <c r="J156" i="70"/>
  <c r="V157" i="70"/>
  <c r="M158" i="70"/>
  <c r="X157" i="70"/>
  <c r="F86" i="69"/>
  <c r="E112" i="70"/>
  <c r="S157" i="70"/>
  <c r="E115" i="69"/>
  <c r="U156" i="70"/>
  <c r="M126" i="70"/>
  <c r="E109" i="69"/>
  <c r="W126" i="70"/>
  <c r="E86" i="69"/>
  <c r="M156" i="70"/>
  <c r="X158" i="70"/>
  <c r="F115" i="69"/>
  <c r="F156" i="69" s="1"/>
  <c r="P156" i="69" s="1"/>
  <c r="J158" i="70"/>
  <c r="R158" i="70"/>
  <c r="C86" i="69"/>
  <c r="R126" i="70"/>
  <c r="G112" i="70"/>
  <c r="F112" i="70"/>
  <c r="V126" i="70"/>
  <c r="O126" i="70"/>
  <c r="N156" i="70"/>
  <c r="M90" i="70"/>
  <c r="W157" i="70"/>
  <c r="J126" i="70"/>
  <c r="F113" i="70"/>
  <c r="B85" i="70"/>
  <c r="V158" i="70"/>
  <c r="C116" i="69"/>
  <c r="C155" i="69" s="1"/>
  <c r="B112" i="70"/>
  <c r="E85" i="70"/>
  <c r="M157" i="70"/>
  <c r="F113" i="69"/>
  <c r="H118" i="69"/>
  <c r="H159" i="69" s="1"/>
  <c r="G118" i="69"/>
  <c r="G158" i="69" s="1"/>
  <c r="W158" i="70"/>
  <c r="G113" i="70"/>
  <c r="J157" i="70"/>
  <c r="B119" i="69"/>
  <c r="B159" i="69" s="1"/>
  <c r="D119" i="69"/>
  <c r="D159" i="69" s="1"/>
  <c r="O159" i="69" s="1"/>
  <c r="O158" i="70"/>
  <c r="F84" i="70"/>
  <c r="N15" i="156" l="1"/>
  <c r="N15" i="155"/>
  <c r="N12" i="155"/>
  <c r="N12" i="156"/>
  <c r="M12" i="156"/>
  <c r="M12" i="155"/>
  <c r="N12" i="152"/>
  <c r="N12" i="154"/>
  <c r="N12" i="153"/>
  <c r="M12" i="152"/>
  <c r="M12" i="154"/>
  <c r="M12" i="153"/>
  <c r="N15" i="152"/>
  <c r="N15" i="154"/>
  <c r="N15" i="153"/>
  <c r="N15" i="149"/>
  <c r="N15" i="151"/>
  <c r="N12" i="149"/>
  <c r="N12" i="151"/>
  <c r="M12" i="149"/>
  <c r="M12" i="151"/>
  <c r="N15" i="83"/>
  <c r="N15" i="144"/>
  <c r="N15" i="84"/>
  <c r="N15" i="145"/>
  <c r="N15" i="146"/>
  <c r="N15" i="85"/>
  <c r="N15" i="147"/>
  <c r="N15" i="148"/>
  <c r="N15" i="75"/>
  <c r="N15" i="143"/>
  <c r="N12" i="83"/>
  <c r="N12" i="143"/>
  <c r="N12" i="144"/>
  <c r="N12" i="84"/>
  <c r="N12" i="145"/>
  <c r="N12" i="146"/>
  <c r="N12" i="85"/>
  <c r="N12" i="147"/>
  <c r="N12" i="148"/>
  <c r="N12" i="75"/>
  <c r="M12" i="144"/>
  <c r="M12" i="84"/>
  <c r="M12" i="145"/>
  <c r="M12" i="146"/>
  <c r="M12" i="85"/>
  <c r="M12" i="147"/>
  <c r="M12" i="148"/>
  <c r="M12" i="75"/>
  <c r="M12" i="143"/>
  <c r="M12" i="83"/>
  <c r="X156" i="69"/>
  <c r="F90" i="70"/>
  <c r="N133" i="70"/>
  <c r="N15" i="103"/>
  <c r="N12" i="103"/>
  <c r="AA156" i="69"/>
  <c r="AE159" i="69"/>
  <c r="Z18" i="84"/>
  <c r="Z18" i="75"/>
  <c r="Z18" i="103"/>
  <c r="Z18" i="85"/>
  <c r="Z18" i="83"/>
  <c r="V140" i="70"/>
  <c r="G90" i="70"/>
  <c r="W144" i="70"/>
  <c r="O180" i="70"/>
  <c r="R15" i="146" s="1"/>
  <c r="R140" i="70"/>
  <c r="D155" i="69"/>
  <c r="O155" i="69" s="1"/>
  <c r="U180" i="70"/>
  <c r="R15" i="148" s="1"/>
  <c r="E180" i="70"/>
  <c r="R15" i="83" s="1"/>
  <c r="D126" i="70"/>
  <c r="W180" i="70"/>
  <c r="R15" i="75" s="1"/>
  <c r="Q180" i="70"/>
  <c r="R15" i="85" s="1"/>
  <c r="D158" i="70"/>
  <c r="S180" i="70"/>
  <c r="R15" i="147" s="1"/>
  <c r="T143" i="70"/>
  <c r="AC180" i="70"/>
  <c r="G180" i="70"/>
  <c r="K180" i="70"/>
  <c r="R15" i="84" s="1"/>
  <c r="Y180" i="70"/>
  <c r="I180" i="70"/>
  <c r="R15" i="144" s="1"/>
  <c r="N139" i="70"/>
  <c r="N137" i="70"/>
  <c r="N141" i="70"/>
  <c r="W179" i="70"/>
  <c r="R14" i="75" s="1"/>
  <c r="M180" i="70"/>
  <c r="R15" i="145" s="1"/>
  <c r="AA180" i="70"/>
  <c r="L170" i="70"/>
  <c r="N135" i="70"/>
  <c r="F178" i="70"/>
  <c r="Q13" i="83" s="1"/>
  <c r="U143" i="70"/>
  <c r="C126" i="70"/>
  <c r="N143" i="70"/>
  <c r="N140" i="70"/>
  <c r="N144" i="70"/>
  <c r="G179" i="70"/>
  <c r="S179" i="70"/>
  <c r="R14" i="147" s="1"/>
  <c r="Y179" i="70"/>
  <c r="D157" i="70"/>
  <c r="I179" i="70"/>
  <c r="R14" i="144" s="1"/>
  <c r="AA179" i="70"/>
  <c r="E179" i="70"/>
  <c r="R14" i="83" s="1"/>
  <c r="M179" i="70"/>
  <c r="R14" i="145" s="1"/>
  <c r="C156" i="70"/>
  <c r="K179" i="70"/>
  <c r="R14" i="84" s="1"/>
  <c r="N136" i="70"/>
  <c r="N142" i="70"/>
  <c r="N134" i="70"/>
  <c r="N138" i="70"/>
  <c r="U179" i="70"/>
  <c r="R14" i="148" s="1"/>
  <c r="N145" i="70"/>
  <c r="Q179" i="70"/>
  <c r="R14" i="85" s="1"/>
  <c r="S138" i="70"/>
  <c r="O179" i="70"/>
  <c r="R14" i="146" s="1"/>
  <c r="R138" i="70"/>
  <c r="R139" i="70"/>
  <c r="R136" i="70"/>
  <c r="R137" i="70"/>
  <c r="R142" i="70"/>
  <c r="G126" i="70"/>
  <c r="R143" i="70"/>
  <c r="K139" i="70"/>
  <c r="R141" i="70"/>
  <c r="R135" i="70"/>
  <c r="H158" i="70"/>
  <c r="AB178" i="70"/>
  <c r="F159" i="69"/>
  <c r="P159" i="69" s="1"/>
  <c r="U133" i="70"/>
  <c r="R134" i="70"/>
  <c r="AC179" i="70"/>
  <c r="B156" i="70"/>
  <c r="B156" i="69"/>
  <c r="S178" i="70"/>
  <c r="R13" i="147" s="1"/>
  <c r="H156" i="70"/>
  <c r="T145" i="70"/>
  <c r="AC178" i="70"/>
  <c r="T136" i="70"/>
  <c r="K137" i="70"/>
  <c r="K133" i="70"/>
  <c r="C158" i="70"/>
  <c r="R170" i="70"/>
  <c r="P170" i="70"/>
  <c r="O178" i="70"/>
  <c r="R13" i="146" s="1"/>
  <c r="X141" i="70"/>
  <c r="X179" i="70"/>
  <c r="Q14" i="75" s="1"/>
  <c r="S141" i="70"/>
  <c r="B157" i="70"/>
  <c r="S139" i="70"/>
  <c r="S143" i="70"/>
  <c r="S144" i="70"/>
  <c r="S133" i="70"/>
  <c r="S142" i="70"/>
  <c r="S145" i="70"/>
  <c r="S135" i="70"/>
  <c r="S134" i="70"/>
  <c r="S136" i="70"/>
  <c r="S140" i="70"/>
  <c r="S137" i="70"/>
  <c r="X180" i="70"/>
  <c r="S170" i="70"/>
  <c r="U145" i="70"/>
  <c r="H90" i="70"/>
  <c r="U144" i="70"/>
  <c r="Q178" i="70"/>
  <c r="R13" i="85" s="1"/>
  <c r="T144" i="70"/>
  <c r="T140" i="70"/>
  <c r="G178" i="70"/>
  <c r="T139" i="70"/>
  <c r="T141" i="70"/>
  <c r="U138" i="70"/>
  <c r="T170" i="70"/>
  <c r="U141" i="70"/>
  <c r="W178" i="70"/>
  <c r="AA178" i="70"/>
  <c r="G156" i="69"/>
  <c r="D156" i="70"/>
  <c r="T142" i="70"/>
  <c r="U142" i="70"/>
  <c r="M178" i="70"/>
  <c r="R13" i="145" s="1"/>
  <c r="E178" i="70"/>
  <c r="R13" i="83" s="1"/>
  <c r="G127" i="69"/>
  <c r="G135" i="69" s="1"/>
  <c r="T133" i="70"/>
  <c r="T138" i="70"/>
  <c r="L137" i="70"/>
  <c r="T134" i="70"/>
  <c r="T135" i="70"/>
  <c r="C90" i="70"/>
  <c r="J178" i="70"/>
  <c r="Q13" i="144" s="1"/>
  <c r="T137" i="70"/>
  <c r="K134" i="70"/>
  <c r="X136" i="70"/>
  <c r="AD178" i="70"/>
  <c r="R144" i="70"/>
  <c r="R133" i="70"/>
  <c r="T180" i="70"/>
  <c r="Q15" i="147" s="1"/>
  <c r="R145" i="70"/>
  <c r="K170" i="70"/>
  <c r="J138" i="70"/>
  <c r="V141" i="70"/>
  <c r="V145" i="70"/>
  <c r="H155" i="69"/>
  <c r="G156" i="70"/>
  <c r="M137" i="70"/>
  <c r="V179" i="70"/>
  <c r="Q14" i="148" s="1"/>
  <c r="L134" i="70"/>
  <c r="F156" i="70"/>
  <c r="P138" i="70"/>
  <c r="T179" i="70"/>
  <c r="Q14" i="147" s="1"/>
  <c r="L136" i="70"/>
  <c r="N179" i="70"/>
  <c r="Q14" i="145" s="1"/>
  <c r="AD179" i="70"/>
  <c r="H178" i="70"/>
  <c r="L142" i="70"/>
  <c r="F157" i="70"/>
  <c r="H179" i="70"/>
  <c r="R179" i="70"/>
  <c r="Q14" i="85" s="1"/>
  <c r="E90" i="70"/>
  <c r="E156" i="70"/>
  <c r="L143" i="70"/>
  <c r="L179" i="70"/>
  <c r="Q14" i="84" s="1"/>
  <c r="J179" i="70"/>
  <c r="Q14" i="144" s="1"/>
  <c r="D90" i="70"/>
  <c r="E126" i="70"/>
  <c r="N170" i="70"/>
  <c r="L144" i="70"/>
  <c r="AB179" i="70"/>
  <c r="Z179" i="70"/>
  <c r="P179" i="70"/>
  <c r="Q14" i="146" s="1"/>
  <c r="F179" i="70"/>
  <c r="Q14" i="83" s="1"/>
  <c r="L145" i="70"/>
  <c r="N178" i="70"/>
  <c r="Q13" i="145" s="1"/>
  <c r="L133" i="70"/>
  <c r="E158" i="70"/>
  <c r="K143" i="70"/>
  <c r="H126" i="70"/>
  <c r="K144" i="70"/>
  <c r="K135" i="70"/>
  <c r="K145" i="70"/>
  <c r="M133" i="70"/>
  <c r="E159" i="69"/>
  <c r="B158" i="70"/>
  <c r="K178" i="70"/>
  <c r="R13" i="84" s="1"/>
  <c r="Y178" i="70"/>
  <c r="L140" i="70"/>
  <c r="K141" i="70"/>
  <c r="I178" i="70"/>
  <c r="R13" i="144" s="1"/>
  <c r="L141" i="70"/>
  <c r="U178" i="70"/>
  <c r="R13" i="148" s="1"/>
  <c r="B158" i="69"/>
  <c r="L135" i="70"/>
  <c r="C157" i="70"/>
  <c r="X133" i="70"/>
  <c r="L138" i="70"/>
  <c r="L139" i="70"/>
  <c r="B126" i="70"/>
  <c r="O133" i="70"/>
  <c r="K142" i="70"/>
  <c r="T178" i="70"/>
  <c r="Q13" i="147" s="1"/>
  <c r="F126" i="70"/>
  <c r="V180" i="70"/>
  <c r="Q15" i="148" s="1"/>
  <c r="P178" i="70"/>
  <c r="Q13" i="146" s="1"/>
  <c r="U139" i="70"/>
  <c r="X170" i="70"/>
  <c r="U134" i="70"/>
  <c r="AC159" i="69"/>
  <c r="X142" i="70"/>
  <c r="X134" i="70"/>
  <c r="U135" i="70"/>
  <c r="X135" i="70"/>
  <c r="X145" i="70"/>
  <c r="X139" i="70"/>
  <c r="X137" i="70"/>
  <c r="X143" i="70"/>
  <c r="U140" i="70"/>
  <c r="X144" i="70"/>
  <c r="U137" i="70"/>
  <c r="U136" i="70"/>
  <c r="C158" i="69"/>
  <c r="X138" i="70"/>
  <c r="M142" i="70"/>
  <c r="X140" i="70"/>
  <c r="M145" i="70"/>
  <c r="M143" i="70"/>
  <c r="F158" i="69"/>
  <c r="P158" i="69" s="1"/>
  <c r="H127" i="69"/>
  <c r="H142" i="69" s="1"/>
  <c r="M144" i="70"/>
  <c r="U170" i="70"/>
  <c r="M136" i="70"/>
  <c r="M138" i="70"/>
  <c r="K140" i="70"/>
  <c r="M135" i="70"/>
  <c r="M141" i="70"/>
  <c r="M139" i="70"/>
  <c r="H157" i="70"/>
  <c r="J170" i="70"/>
  <c r="AD156" i="69"/>
  <c r="M12" i="103"/>
  <c r="AN156" i="69"/>
  <c r="K136" i="70"/>
  <c r="K138" i="70"/>
  <c r="M134" i="70"/>
  <c r="E157" i="70"/>
  <c r="E127" i="69"/>
  <c r="E146" i="69" s="1"/>
  <c r="J135" i="70"/>
  <c r="AB156" i="69"/>
  <c r="V178" i="70"/>
  <c r="Q13" i="148" s="1"/>
  <c r="X178" i="70"/>
  <c r="Z178" i="70"/>
  <c r="J144" i="70"/>
  <c r="R156" i="69"/>
  <c r="L178" i="70"/>
  <c r="Q13" i="84" s="1"/>
  <c r="Z156" i="69"/>
  <c r="B127" i="69"/>
  <c r="B134" i="69" s="1"/>
  <c r="AJ156" i="69"/>
  <c r="M140" i="70"/>
  <c r="AF156" i="69"/>
  <c r="R178" i="70"/>
  <c r="Q13" i="85" s="1"/>
  <c r="F155" i="69"/>
  <c r="P155" i="69" s="1"/>
  <c r="T156" i="69"/>
  <c r="F127" i="69"/>
  <c r="F139" i="69" s="1"/>
  <c r="J133" i="70"/>
  <c r="V143" i="70"/>
  <c r="P140" i="70"/>
  <c r="W143" i="70"/>
  <c r="P144" i="70"/>
  <c r="O139" i="70"/>
  <c r="V133" i="70"/>
  <c r="P142" i="70"/>
  <c r="O141" i="70"/>
  <c r="J141" i="70"/>
  <c r="O138" i="70"/>
  <c r="O145" i="70"/>
  <c r="V139" i="70"/>
  <c r="P135" i="70"/>
  <c r="P145" i="70"/>
  <c r="E155" i="69"/>
  <c r="W142" i="70"/>
  <c r="P143" i="70"/>
  <c r="P136" i="70"/>
  <c r="W145" i="70"/>
  <c r="V142" i="70"/>
  <c r="P139" i="70"/>
  <c r="O170" i="70"/>
  <c r="W133" i="70"/>
  <c r="W140" i="70"/>
  <c r="J140" i="70"/>
  <c r="O135" i="70"/>
  <c r="M170" i="70"/>
  <c r="V144" i="70"/>
  <c r="P137" i="70"/>
  <c r="W138" i="70"/>
  <c r="O140" i="70"/>
  <c r="J139" i="70"/>
  <c r="J142" i="70"/>
  <c r="O137" i="70"/>
  <c r="V136" i="70"/>
  <c r="P133" i="70"/>
  <c r="W134" i="70"/>
  <c r="O143" i="70"/>
  <c r="J143" i="70"/>
  <c r="J136" i="70"/>
  <c r="O136" i="70"/>
  <c r="V135" i="70"/>
  <c r="E156" i="69"/>
  <c r="P141" i="70"/>
  <c r="W136" i="70"/>
  <c r="G157" i="70"/>
  <c r="O134" i="70"/>
  <c r="J137" i="70"/>
  <c r="B90" i="70"/>
  <c r="J134" i="70"/>
  <c r="O142" i="70"/>
  <c r="V134" i="70"/>
  <c r="P134" i="70"/>
  <c r="W141" i="70"/>
  <c r="W139" i="70"/>
  <c r="J145" i="70"/>
  <c r="V138" i="70"/>
  <c r="O144" i="70"/>
  <c r="V137" i="70"/>
  <c r="W135" i="70"/>
  <c r="C156" i="69"/>
  <c r="H158" i="69"/>
  <c r="G159" i="69"/>
  <c r="AL156" i="69"/>
  <c r="AH156" i="69"/>
  <c r="W170" i="70"/>
  <c r="AM159" i="69"/>
  <c r="V156" i="69"/>
  <c r="W137" i="70"/>
  <c r="G158" i="70"/>
  <c r="C127" i="69"/>
  <c r="C135" i="69" s="1"/>
  <c r="AK159" i="69"/>
  <c r="N180" i="70"/>
  <c r="Q15" i="145" s="1"/>
  <c r="J180" i="70"/>
  <c r="Q15" i="144" s="1"/>
  <c r="P180" i="70"/>
  <c r="Q15" i="146" s="1"/>
  <c r="F180" i="70"/>
  <c r="Q15" i="83" s="1"/>
  <c r="V170" i="70"/>
  <c r="Q159" i="69"/>
  <c r="R180" i="70"/>
  <c r="Q15" i="85" s="1"/>
  <c r="U159" i="69"/>
  <c r="Z180" i="70"/>
  <c r="AB180" i="70"/>
  <c r="AD180" i="70"/>
  <c r="S159" i="69"/>
  <c r="AG159" i="69"/>
  <c r="H180" i="70"/>
  <c r="W159" i="69"/>
  <c r="AA159" i="69"/>
  <c r="F158" i="70"/>
  <c r="AI159" i="69"/>
  <c r="D158" i="69"/>
  <c r="O158" i="69" s="1"/>
  <c r="Y159" i="69"/>
  <c r="L180" i="70"/>
  <c r="Q15" i="84" s="1"/>
  <c r="D127" i="69"/>
  <c r="D141" i="69" s="1"/>
  <c r="AC156" i="69"/>
  <c r="W156" i="69"/>
  <c r="AE156" i="69"/>
  <c r="AI156" i="69"/>
  <c r="Y156" i="69"/>
  <c r="AM156" i="69"/>
  <c r="AK156" i="69"/>
  <c r="S156" i="69"/>
  <c r="U156" i="69"/>
  <c r="AG156" i="69"/>
  <c r="Q156" i="69"/>
  <c r="R13" i="156" l="1"/>
  <c r="R13" i="155"/>
  <c r="M14" i="156"/>
  <c r="M14" i="155"/>
  <c r="Q13" i="156"/>
  <c r="Q13" i="155"/>
  <c r="N11" i="156"/>
  <c r="N11" i="155"/>
  <c r="M15" i="156"/>
  <c r="M15" i="155"/>
  <c r="R15" i="156"/>
  <c r="R15" i="155"/>
  <c r="M11" i="156"/>
  <c r="M11" i="155"/>
  <c r="Q15" i="155"/>
  <c r="Q15" i="156"/>
  <c r="Q14" i="155"/>
  <c r="Q14" i="156"/>
  <c r="N14" i="156"/>
  <c r="N14" i="155"/>
  <c r="R14" i="155"/>
  <c r="R14" i="156"/>
  <c r="N14" i="152"/>
  <c r="N14" i="154"/>
  <c r="N14" i="153"/>
  <c r="R14" i="152"/>
  <c r="R14" i="153"/>
  <c r="R14" i="154"/>
  <c r="Q14" i="152"/>
  <c r="Q14" i="153"/>
  <c r="Q14" i="154"/>
  <c r="R13" i="152"/>
  <c r="Z13" i="152" s="1"/>
  <c r="R13" i="154"/>
  <c r="R13" i="153"/>
  <c r="M11" i="152"/>
  <c r="M11" i="154"/>
  <c r="M11" i="153"/>
  <c r="Q15" i="152"/>
  <c r="Q15" i="153"/>
  <c r="Q15" i="154"/>
  <c r="M14" i="152"/>
  <c r="M14" i="154"/>
  <c r="M14" i="153"/>
  <c r="Q13" i="152"/>
  <c r="Y13" i="152" s="1"/>
  <c r="Q13" i="154"/>
  <c r="Q13" i="153"/>
  <c r="N11" i="152"/>
  <c r="N28" i="152" s="1"/>
  <c r="N11" i="154"/>
  <c r="N11" i="153"/>
  <c r="M15" i="152"/>
  <c r="M15" i="154"/>
  <c r="M15" i="153"/>
  <c r="R15" i="152"/>
  <c r="R15" i="153"/>
  <c r="R15" i="154"/>
  <c r="R14" i="143"/>
  <c r="R14" i="151"/>
  <c r="Q14" i="143"/>
  <c r="Q14" i="151"/>
  <c r="R13" i="143"/>
  <c r="R13" i="151"/>
  <c r="Q15" i="143"/>
  <c r="Q15" i="151"/>
  <c r="M14" i="149"/>
  <c r="M14" i="151"/>
  <c r="Q13" i="143"/>
  <c r="Q13" i="151"/>
  <c r="N11" i="149"/>
  <c r="N11" i="151"/>
  <c r="M15" i="149"/>
  <c r="M15" i="151"/>
  <c r="R15" i="143"/>
  <c r="R15" i="151"/>
  <c r="M11" i="149"/>
  <c r="M11" i="151"/>
  <c r="N14" i="149"/>
  <c r="N14" i="151"/>
  <c r="E143" i="70"/>
  <c r="C136" i="70"/>
  <c r="B142" i="70"/>
  <c r="N14" i="83"/>
  <c r="N14" i="144"/>
  <c r="N14" i="84"/>
  <c r="N14" i="145"/>
  <c r="N14" i="146"/>
  <c r="N14" i="85"/>
  <c r="N14" i="147"/>
  <c r="N14" i="148"/>
  <c r="N14" i="75"/>
  <c r="N14" i="143"/>
  <c r="M15" i="143"/>
  <c r="M15" i="84"/>
  <c r="M15" i="148"/>
  <c r="M15" i="75"/>
  <c r="M15" i="144"/>
  <c r="M15" i="145"/>
  <c r="M15" i="146"/>
  <c r="M15" i="85"/>
  <c r="M15" i="147"/>
  <c r="M14" i="75"/>
  <c r="M14" i="143"/>
  <c r="M14" i="144"/>
  <c r="M14" i="84"/>
  <c r="M14" i="145"/>
  <c r="M14" i="146"/>
  <c r="M14" i="85"/>
  <c r="M14" i="147"/>
  <c r="M14" i="148"/>
  <c r="N11" i="144"/>
  <c r="N11" i="84"/>
  <c r="N11" i="145"/>
  <c r="N11" i="146"/>
  <c r="N11" i="85"/>
  <c r="N11" i="147"/>
  <c r="N11" i="148"/>
  <c r="N11" i="75"/>
  <c r="N11" i="143"/>
  <c r="M11" i="144"/>
  <c r="M11" i="84"/>
  <c r="M11" i="145"/>
  <c r="M11" i="146"/>
  <c r="M11" i="85"/>
  <c r="M11" i="147"/>
  <c r="M11" i="148"/>
  <c r="M11" i="75"/>
  <c r="M11" i="143"/>
  <c r="AA155" i="69"/>
  <c r="N11" i="83"/>
  <c r="M11" i="83"/>
  <c r="M14" i="83"/>
  <c r="M15" i="83"/>
  <c r="R13" i="103"/>
  <c r="Z13" i="103" s="1"/>
  <c r="R13" i="75"/>
  <c r="Z13" i="75" s="1"/>
  <c r="Q15" i="103"/>
  <c r="Q15" i="75"/>
  <c r="Q13" i="75"/>
  <c r="Z13" i="146"/>
  <c r="B140" i="70"/>
  <c r="Y13" i="146"/>
  <c r="Y13" i="148"/>
  <c r="Y13" i="144"/>
  <c r="Z13" i="144"/>
  <c r="Q34" i="148"/>
  <c r="Z13" i="148"/>
  <c r="Y13" i="85"/>
  <c r="AE13" i="85" s="1"/>
  <c r="F133" i="70"/>
  <c r="Z13" i="85"/>
  <c r="AG13" i="85" s="1"/>
  <c r="Y13" i="84"/>
  <c r="AF13" i="84" s="1"/>
  <c r="Z13" i="84"/>
  <c r="AG13" i="84" s="1"/>
  <c r="T158" i="69"/>
  <c r="Y13" i="83"/>
  <c r="AF13" i="83" s="1"/>
  <c r="Z13" i="83"/>
  <c r="AH13" i="83" s="1"/>
  <c r="Z155" i="69"/>
  <c r="N14" i="103"/>
  <c r="N11" i="103"/>
  <c r="G144" i="70"/>
  <c r="F140" i="70"/>
  <c r="AH18" i="75"/>
  <c r="AG18" i="75"/>
  <c r="AH18" i="103"/>
  <c r="AG18" i="103"/>
  <c r="AH18" i="84"/>
  <c r="AG18" i="84"/>
  <c r="S155" i="69"/>
  <c r="AC158" i="69"/>
  <c r="Z17" i="84"/>
  <c r="Z17" i="75"/>
  <c r="Z17" i="103"/>
  <c r="Z17" i="83"/>
  <c r="Z17" i="85"/>
  <c r="AG18" i="83"/>
  <c r="AH18" i="83"/>
  <c r="AG18" i="85"/>
  <c r="AH18" i="85"/>
  <c r="D142" i="70"/>
  <c r="D144" i="70"/>
  <c r="B133" i="70"/>
  <c r="B144" i="70"/>
  <c r="F137" i="70"/>
  <c r="R15" i="103"/>
  <c r="H138" i="70"/>
  <c r="F144" i="70"/>
  <c r="AM155" i="69"/>
  <c r="Q155" i="69"/>
  <c r="AK155" i="69"/>
  <c r="Y155" i="69"/>
  <c r="AI155" i="69"/>
  <c r="U155" i="69"/>
  <c r="AG155" i="69"/>
  <c r="AC155" i="69"/>
  <c r="W155" i="69"/>
  <c r="AE155" i="69"/>
  <c r="C139" i="70"/>
  <c r="D136" i="70"/>
  <c r="E141" i="70"/>
  <c r="D143" i="70"/>
  <c r="M192" i="70"/>
  <c r="F142" i="70"/>
  <c r="F138" i="70"/>
  <c r="G145" i="69"/>
  <c r="R14" i="103"/>
  <c r="B143" i="70"/>
  <c r="Q14" i="103"/>
  <c r="H141" i="70"/>
  <c r="B171" i="69"/>
  <c r="F134" i="70"/>
  <c r="F139" i="70"/>
  <c r="G137" i="69"/>
  <c r="G136" i="69"/>
  <c r="G139" i="69"/>
  <c r="F135" i="70"/>
  <c r="F141" i="70"/>
  <c r="B170" i="70"/>
  <c r="F143" i="70"/>
  <c r="B137" i="70"/>
  <c r="F136" i="70"/>
  <c r="K192" i="70"/>
  <c r="D170" i="70"/>
  <c r="B139" i="70"/>
  <c r="AL158" i="69"/>
  <c r="E133" i="70"/>
  <c r="C135" i="70"/>
  <c r="H138" i="69"/>
  <c r="B136" i="70"/>
  <c r="B134" i="70"/>
  <c r="D137" i="70"/>
  <c r="Z159" i="69"/>
  <c r="H137" i="69"/>
  <c r="Y192" i="70"/>
  <c r="C138" i="70"/>
  <c r="W192" i="70"/>
  <c r="AC192" i="70"/>
  <c r="Q192" i="70"/>
  <c r="AA192" i="70"/>
  <c r="B141" i="70"/>
  <c r="F145" i="70"/>
  <c r="C133" i="70"/>
  <c r="AD159" i="69"/>
  <c r="V159" i="69"/>
  <c r="G171" i="69"/>
  <c r="M15" i="103"/>
  <c r="X159" i="69"/>
  <c r="R159" i="69"/>
  <c r="B138" i="70"/>
  <c r="AN159" i="69"/>
  <c r="AB159" i="69"/>
  <c r="AF159" i="69"/>
  <c r="T159" i="69"/>
  <c r="AJ159" i="69"/>
  <c r="AH159" i="69"/>
  <c r="AL159" i="69"/>
  <c r="D139" i="70"/>
  <c r="C140" i="70"/>
  <c r="C145" i="70"/>
  <c r="E142" i="70"/>
  <c r="D140" i="70"/>
  <c r="C134" i="70"/>
  <c r="H136" i="70"/>
  <c r="E137" i="70"/>
  <c r="S192" i="70"/>
  <c r="O192" i="70"/>
  <c r="I192" i="70"/>
  <c r="B135" i="70"/>
  <c r="U192" i="70"/>
  <c r="E145" i="70"/>
  <c r="C143" i="70"/>
  <c r="B137" i="69"/>
  <c r="C144" i="70"/>
  <c r="C170" i="70"/>
  <c r="G192" i="70"/>
  <c r="B136" i="69"/>
  <c r="E192" i="70"/>
  <c r="D134" i="70"/>
  <c r="G134" i="69"/>
  <c r="G143" i="69"/>
  <c r="G138" i="69"/>
  <c r="G140" i="69"/>
  <c r="G146" i="69"/>
  <c r="G142" i="69"/>
  <c r="G144" i="69"/>
  <c r="D141" i="70"/>
  <c r="G141" i="69"/>
  <c r="E144" i="70"/>
  <c r="H170" i="70"/>
  <c r="D138" i="70"/>
  <c r="AB158" i="69"/>
  <c r="H146" i="69"/>
  <c r="H136" i="69"/>
  <c r="V155" i="69"/>
  <c r="H145" i="69"/>
  <c r="AH158" i="69"/>
  <c r="AD192" i="70"/>
  <c r="H133" i="70"/>
  <c r="D145" i="70"/>
  <c r="C137" i="70"/>
  <c r="E136" i="70"/>
  <c r="Z158" i="69"/>
  <c r="C142" i="70"/>
  <c r="C141" i="70"/>
  <c r="T155" i="69"/>
  <c r="AF158" i="69"/>
  <c r="H171" i="69"/>
  <c r="E138" i="70"/>
  <c r="D135" i="70"/>
  <c r="D133" i="70"/>
  <c r="E141" i="69"/>
  <c r="E140" i="69"/>
  <c r="AL155" i="69"/>
  <c r="H139" i="69"/>
  <c r="X158" i="69"/>
  <c r="H137" i="70"/>
  <c r="E140" i="70"/>
  <c r="E135" i="70"/>
  <c r="AJ158" i="69"/>
  <c r="R158" i="69"/>
  <c r="M14" i="103"/>
  <c r="E136" i="69"/>
  <c r="AD158" i="69"/>
  <c r="B145" i="70"/>
  <c r="H135" i="70"/>
  <c r="H140" i="70"/>
  <c r="G133" i="70"/>
  <c r="B143" i="69"/>
  <c r="B146" i="69"/>
  <c r="B138" i="69"/>
  <c r="G142" i="70"/>
  <c r="H142" i="70"/>
  <c r="H134" i="70"/>
  <c r="E171" i="69"/>
  <c r="E139" i="70"/>
  <c r="E145" i="69"/>
  <c r="E143" i="69"/>
  <c r="F135" i="69"/>
  <c r="E135" i="69"/>
  <c r="B141" i="69"/>
  <c r="Q13" i="103"/>
  <c r="Y13" i="103" s="1"/>
  <c r="AE13" i="103" s="1"/>
  <c r="H139" i="70"/>
  <c r="E138" i="69"/>
  <c r="E139" i="69"/>
  <c r="B139" i="69"/>
  <c r="E134" i="69"/>
  <c r="E144" i="69"/>
  <c r="F145" i="69"/>
  <c r="E142" i="69"/>
  <c r="B135" i="69"/>
  <c r="B140" i="69"/>
  <c r="E137" i="69"/>
  <c r="B145" i="69"/>
  <c r="F142" i="69"/>
  <c r="F138" i="69"/>
  <c r="C140" i="69"/>
  <c r="H135" i="69"/>
  <c r="C137" i="69"/>
  <c r="F134" i="69"/>
  <c r="H143" i="70"/>
  <c r="H144" i="69"/>
  <c r="F144" i="69"/>
  <c r="F136" i="69"/>
  <c r="C134" i="69"/>
  <c r="H134" i="69"/>
  <c r="H141" i="69"/>
  <c r="F140" i="69"/>
  <c r="H140" i="69"/>
  <c r="H143" i="69"/>
  <c r="F137" i="69"/>
  <c r="AB155" i="69"/>
  <c r="F146" i="69"/>
  <c r="C171" i="69"/>
  <c r="E134" i="70"/>
  <c r="F141" i="69"/>
  <c r="G141" i="70"/>
  <c r="G145" i="70"/>
  <c r="X155" i="69"/>
  <c r="AN155" i="69"/>
  <c r="R155" i="69"/>
  <c r="M11" i="103"/>
  <c r="C145" i="69"/>
  <c r="E170" i="70"/>
  <c r="H144" i="70"/>
  <c r="AJ155" i="69"/>
  <c r="AD155" i="69"/>
  <c r="AH155" i="69"/>
  <c r="AF155" i="69"/>
  <c r="F143" i="69"/>
  <c r="V158" i="69"/>
  <c r="AN158" i="69"/>
  <c r="L192" i="70"/>
  <c r="F171" i="69"/>
  <c r="P171" i="69" s="1"/>
  <c r="AD171" i="69" s="1"/>
  <c r="C141" i="69"/>
  <c r="G135" i="70"/>
  <c r="H145" i="70"/>
  <c r="C138" i="69"/>
  <c r="C139" i="69"/>
  <c r="U158" i="69"/>
  <c r="S158" i="69"/>
  <c r="G170" i="70"/>
  <c r="G138" i="70"/>
  <c r="C144" i="69"/>
  <c r="H192" i="70"/>
  <c r="J192" i="70"/>
  <c r="F170" i="70"/>
  <c r="X192" i="70"/>
  <c r="F192" i="70"/>
  <c r="T192" i="70"/>
  <c r="AB192" i="70"/>
  <c r="R192" i="70"/>
  <c r="B142" i="69"/>
  <c r="B144" i="69"/>
  <c r="N192" i="70"/>
  <c r="G140" i="70"/>
  <c r="G137" i="70"/>
  <c r="G136" i="70"/>
  <c r="G139" i="70"/>
  <c r="D135" i="69"/>
  <c r="AK158" i="69"/>
  <c r="G143" i="70"/>
  <c r="G134" i="70"/>
  <c r="P192" i="70"/>
  <c r="AM158" i="69"/>
  <c r="V192" i="70"/>
  <c r="C146" i="69"/>
  <c r="Z192" i="70"/>
  <c r="C136" i="69"/>
  <c r="AE158" i="69"/>
  <c r="C142" i="69"/>
  <c r="C143" i="69"/>
  <c r="AI158" i="69"/>
  <c r="AG158" i="69"/>
  <c r="Q158" i="69"/>
  <c r="D171" i="69"/>
  <c r="O171" i="69" s="1"/>
  <c r="U171" i="69" s="1"/>
  <c r="AA158" i="69"/>
  <c r="D138" i="69"/>
  <c r="D139" i="69"/>
  <c r="D144" i="69"/>
  <c r="D145" i="69"/>
  <c r="D142" i="69"/>
  <c r="D146" i="69"/>
  <c r="D136" i="69"/>
  <c r="D137" i="69"/>
  <c r="D134" i="69"/>
  <c r="D143" i="69"/>
  <c r="D140" i="69"/>
  <c r="W158" i="69"/>
  <c r="Y158" i="69"/>
  <c r="R34" i="152" l="1"/>
  <c r="R28" i="152"/>
  <c r="R29" i="152" s="1"/>
  <c r="M34" i="152"/>
  <c r="Q34" i="152"/>
  <c r="N34" i="152"/>
  <c r="N34" i="155"/>
  <c r="N28" i="155"/>
  <c r="N34" i="156"/>
  <c r="N28" i="156"/>
  <c r="Y13" i="155"/>
  <c r="Q28" i="155"/>
  <c r="Q34" i="155"/>
  <c r="Y13" i="156"/>
  <c r="Q34" i="156"/>
  <c r="Q28" i="156"/>
  <c r="M28" i="152"/>
  <c r="M27" i="152" s="1"/>
  <c r="M34" i="155"/>
  <c r="M28" i="155"/>
  <c r="Z13" i="155"/>
  <c r="R34" i="155"/>
  <c r="R28" i="155"/>
  <c r="M34" i="156"/>
  <c r="M28" i="156"/>
  <c r="Z13" i="156"/>
  <c r="R28" i="156"/>
  <c r="R34" i="156"/>
  <c r="Y13" i="153"/>
  <c r="Q34" i="153"/>
  <c r="Q28" i="153"/>
  <c r="Z13" i="153"/>
  <c r="R34" i="153"/>
  <c r="R28" i="153"/>
  <c r="Y13" i="154"/>
  <c r="Q28" i="154"/>
  <c r="Q34" i="154"/>
  <c r="Z13" i="154"/>
  <c r="R34" i="154"/>
  <c r="R28" i="154"/>
  <c r="Q28" i="152"/>
  <c r="Q29" i="152" s="1"/>
  <c r="N28" i="153"/>
  <c r="N34" i="153"/>
  <c r="M34" i="153"/>
  <c r="M28" i="153"/>
  <c r="N28" i="154"/>
  <c r="N34" i="154"/>
  <c r="M28" i="154"/>
  <c r="M34" i="154"/>
  <c r="AF13" i="152"/>
  <c r="AE13" i="152"/>
  <c r="N29" i="152"/>
  <c r="N27" i="152"/>
  <c r="AH13" i="152"/>
  <c r="AG13" i="152"/>
  <c r="M34" i="149"/>
  <c r="M28" i="149"/>
  <c r="M27" i="149" s="1"/>
  <c r="N28" i="149"/>
  <c r="N27" i="149" s="1"/>
  <c r="Y13" i="151"/>
  <c r="Q34" i="151"/>
  <c r="Q28" i="151"/>
  <c r="M28" i="151"/>
  <c r="M34" i="151"/>
  <c r="Z13" i="151"/>
  <c r="R34" i="151"/>
  <c r="R28" i="151"/>
  <c r="N34" i="149"/>
  <c r="N34" i="151"/>
  <c r="N28" i="151"/>
  <c r="M28" i="148"/>
  <c r="M27" i="148" s="1"/>
  <c r="M34" i="148"/>
  <c r="AH13" i="85"/>
  <c r="AJ13" i="85" s="1"/>
  <c r="Q28" i="75"/>
  <c r="Q29" i="75" s="1"/>
  <c r="Y13" i="75"/>
  <c r="Q28" i="144"/>
  <c r="Q29" i="144" s="1"/>
  <c r="Q34" i="146"/>
  <c r="R34" i="144"/>
  <c r="R28" i="144"/>
  <c r="R27" i="144" s="1"/>
  <c r="Q34" i="144"/>
  <c r="R28" i="146"/>
  <c r="R29" i="146" s="1"/>
  <c r="R34" i="146"/>
  <c r="Q28" i="146"/>
  <c r="Q27" i="146" s="1"/>
  <c r="Q28" i="148"/>
  <c r="R34" i="148"/>
  <c r="R28" i="148"/>
  <c r="R29" i="148" s="1"/>
  <c r="N34" i="147"/>
  <c r="R34" i="85"/>
  <c r="R28" i="85"/>
  <c r="R29" i="85" s="1"/>
  <c r="AG13" i="83"/>
  <c r="AJ13" i="83" s="1"/>
  <c r="N28" i="145"/>
  <c r="N29" i="145" s="1"/>
  <c r="M28" i="146"/>
  <c r="N28" i="147"/>
  <c r="N27" i="147" s="1"/>
  <c r="N28" i="148"/>
  <c r="N34" i="148"/>
  <c r="AH13" i="148"/>
  <c r="AG13" i="148"/>
  <c r="AF13" i="148"/>
  <c r="AE13" i="148"/>
  <c r="M34" i="146"/>
  <c r="N34" i="145"/>
  <c r="AE13" i="83"/>
  <c r="AI13" i="83" s="1"/>
  <c r="Y13" i="147"/>
  <c r="Q34" i="147"/>
  <c r="Q28" i="147"/>
  <c r="N34" i="143"/>
  <c r="Z13" i="147"/>
  <c r="R34" i="147"/>
  <c r="R28" i="147"/>
  <c r="M28" i="147"/>
  <c r="M34" i="147"/>
  <c r="Q34" i="85"/>
  <c r="Q28" i="85"/>
  <c r="Q29" i="85" s="1"/>
  <c r="AF13" i="85"/>
  <c r="AI13" i="85" s="1"/>
  <c r="M28" i="144"/>
  <c r="M34" i="144"/>
  <c r="AH13" i="146"/>
  <c r="AG13" i="146"/>
  <c r="AF13" i="146"/>
  <c r="AE13" i="146"/>
  <c r="N34" i="146"/>
  <c r="N28" i="146"/>
  <c r="Q28" i="83"/>
  <c r="Q27" i="83" s="1"/>
  <c r="R34" i="84"/>
  <c r="N28" i="143"/>
  <c r="N29" i="143" s="1"/>
  <c r="R34" i="83"/>
  <c r="Q34" i="83"/>
  <c r="Y13" i="145"/>
  <c r="Q34" i="145"/>
  <c r="Q28" i="145"/>
  <c r="AE13" i="84"/>
  <c r="AI13" i="84" s="1"/>
  <c r="Q34" i="84"/>
  <c r="R28" i="83"/>
  <c r="R27" i="83" s="1"/>
  <c r="R28" i="84"/>
  <c r="R29" i="84" s="1"/>
  <c r="M28" i="145"/>
  <c r="M34" i="145"/>
  <c r="Q28" i="84"/>
  <c r="Q27" i="84" s="1"/>
  <c r="Z13" i="145"/>
  <c r="R34" i="145"/>
  <c r="R28" i="145"/>
  <c r="N34" i="144"/>
  <c r="N28" i="144"/>
  <c r="AF13" i="144"/>
  <c r="AE13" i="144"/>
  <c r="AH13" i="144"/>
  <c r="AG13" i="144"/>
  <c r="Z13" i="143"/>
  <c r="R34" i="143"/>
  <c r="R28" i="143"/>
  <c r="Y13" i="143"/>
  <c r="Q34" i="143"/>
  <c r="Q28" i="143"/>
  <c r="M34" i="143"/>
  <c r="M28" i="143"/>
  <c r="N34" i="103"/>
  <c r="N28" i="103"/>
  <c r="N27" i="103" s="1"/>
  <c r="N34" i="85"/>
  <c r="N28" i="85"/>
  <c r="N34" i="83"/>
  <c r="N28" i="83"/>
  <c r="N28" i="75"/>
  <c r="N34" i="75"/>
  <c r="N34" i="84"/>
  <c r="N28" i="84"/>
  <c r="AJ18" i="84"/>
  <c r="AJ18" i="83"/>
  <c r="AJ18" i="103"/>
  <c r="AJ18" i="85"/>
  <c r="AJ18" i="75"/>
  <c r="AG17" i="85"/>
  <c r="AH17" i="85"/>
  <c r="AH17" i="83"/>
  <c r="AG17" i="83"/>
  <c r="AH17" i="103"/>
  <c r="AG17" i="103"/>
  <c r="AG17" i="75"/>
  <c r="AH17" i="75"/>
  <c r="AG17" i="84"/>
  <c r="AH17" i="84"/>
  <c r="R28" i="103"/>
  <c r="R34" i="103"/>
  <c r="Q34" i="75"/>
  <c r="R34" i="75"/>
  <c r="M28" i="84"/>
  <c r="R28" i="75"/>
  <c r="R29" i="75" s="1"/>
  <c r="M34" i="83"/>
  <c r="M34" i="75"/>
  <c r="AH13" i="84"/>
  <c r="AJ13" i="84" s="1"/>
  <c r="M28" i="75"/>
  <c r="M34" i="84"/>
  <c r="M34" i="85"/>
  <c r="Q34" i="103"/>
  <c r="M28" i="85"/>
  <c r="AN171" i="69"/>
  <c r="M28" i="103"/>
  <c r="M27" i="103" s="1"/>
  <c r="V171" i="69"/>
  <c r="AF171" i="69"/>
  <c r="AF13" i="103"/>
  <c r="AI13" i="103" s="1"/>
  <c r="AB171" i="69"/>
  <c r="M28" i="83"/>
  <c r="M29" i="83" s="1"/>
  <c r="AK171" i="69"/>
  <c r="M34" i="103"/>
  <c r="AL171" i="69"/>
  <c r="AH171" i="69"/>
  <c r="Q28" i="103"/>
  <c r="Q27" i="103" s="1"/>
  <c r="AC171" i="69"/>
  <c r="Z171" i="69"/>
  <c r="T171" i="69"/>
  <c r="AE171" i="69"/>
  <c r="X171" i="69"/>
  <c r="AJ171" i="69"/>
  <c r="Y171" i="69"/>
  <c r="R171" i="69"/>
  <c r="AG171" i="69"/>
  <c r="W171" i="69"/>
  <c r="AA171" i="69"/>
  <c r="S171" i="69"/>
  <c r="Q171" i="69"/>
  <c r="AM171" i="69"/>
  <c r="AI171" i="69"/>
  <c r="AH13" i="103"/>
  <c r="AG13" i="103"/>
  <c r="AH13" i="75"/>
  <c r="AG13" i="75"/>
  <c r="M29" i="152" l="1"/>
  <c r="R27" i="152"/>
  <c r="Q27" i="152"/>
  <c r="Q29" i="156"/>
  <c r="Q27" i="156"/>
  <c r="R29" i="156"/>
  <c r="R27" i="156"/>
  <c r="AF13" i="156"/>
  <c r="AE13" i="156"/>
  <c r="AH13" i="156"/>
  <c r="AG13" i="156"/>
  <c r="M29" i="156"/>
  <c r="M27" i="156"/>
  <c r="Q29" i="155"/>
  <c r="Q27" i="155"/>
  <c r="AE13" i="155"/>
  <c r="AF13" i="155"/>
  <c r="R29" i="155"/>
  <c r="R27" i="155"/>
  <c r="N29" i="156"/>
  <c r="N27" i="156"/>
  <c r="AH13" i="155"/>
  <c r="AG13" i="155"/>
  <c r="N29" i="155"/>
  <c r="N27" i="155"/>
  <c r="M29" i="155"/>
  <c r="M27" i="155"/>
  <c r="AI13" i="152"/>
  <c r="R29" i="154"/>
  <c r="R27" i="154"/>
  <c r="AH13" i="154"/>
  <c r="AG13" i="154"/>
  <c r="M29" i="154"/>
  <c r="M27" i="154"/>
  <c r="Q29" i="154"/>
  <c r="Q27" i="154"/>
  <c r="AF13" i="154"/>
  <c r="AE13" i="154"/>
  <c r="N29" i="154"/>
  <c r="N27" i="154"/>
  <c r="R29" i="153"/>
  <c r="R27" i="153"/>
  <c r="M29" i="153"/>
  <c r="M27" i="153"/>
  <c r="AH13" i="153"/>
  <c r="AG13" i="153"/>
  <c r="Q29" i="153"/>
  <c r="Q27" i="153"/>
  <c r="N29" i="153"/>
  <c r="N27" i="153"/>
  <c r="AF13" i="153"/>
  <c r="AE13" i="153"/>
  <c r="AJ13" i="152"/>
  <c r="N29" i="149"/>
  <c r="M29" i="149"/>
  <c r="N29" i="151"/>
  <c r="N27" i="151"/>
  <c r="R29" i="151"/>
  <c r="R27" i="151"/>
  <c r="AH13" i="151"/>
  <c r="AG13" i="151"/>
  <c r="M29" i="151"/>
  <c r="M27" i="151"/>
  <c r="Q29" i="151"/>
  <c r="Q27" i="151"/>
  <c r="AF13" i="151"/>
  <c r="AE13" i="151"/>
  <c r="Q27" i="75"/>
  <c r="M29" i="148"/>
  <c r="Q27" i="144"/>
  <c r="AE13" i="75"/>
  <c r="AF13" i="75"/>
  <c r="R29" i="144"/>
  <c r="R27" i="146"/>
  <c r="Q29" i="146"/>
  <c r="Q29" i="148"/>
  <c r="Q27" i="148"/>
  <c r="R27" i="85"/>
  <c r="R27" i="148"/>
  <c r="N29" i="147"/>
  <c r="Q27" i="85"/>
  <c r="Q29" i="84"/>
  <c r="M29" i="146"/>
  <c r="R27" i="84"/>
  <c r="N27" i="145"/>
  <c r="M27" i="144"/>
  <c r="M29" i="144"/>
  <c r="M27" i="146"/>
  <c r="AI13" i="148"/>
  <c r="AJ13" i="146"/>
  <c r="AJ13" i="148"/>
  <c r="N29" i="148"/>
  <c r="N27" i="148"/>
  <c r="R29" i="83"/>
  <c r="Q29" i="83"/>
  <c r="AI13" i="146"/>
  <c r="Q29" i="147"/>
  <c r="Q27" i="147"/>
  <c r="M29" i="147"/>
  <c r="M27" i="147"/>
  <c r="R29" i="147"/>
  <c r="R27" i="147"/>
  <c r="AE13" i="147"/>
  <c r="AF13" i="147"/>
  <c r="AH13" i="147"/>
  <c r="AG13" i="147"/>
  <c r="N27" i="143"/>
  <c r="N29" i="146"/>
  <c r="N27" i="146"/>
  <c r="AI13" i="144"/>
  <c r="R29" i="145"/>
  <c r="R27" i="145"/>
  <c r="AH13" i="145"/>
  <c r="AG13" i="145"/>
  <c r="Q29" i="145"/>
  <c r="Q27" i="145"/>
  <c r="AJ13" i="144"/>
  <c r="AF13" i="145"/>
  <c r="AE13" i="145"/>
  <c r="M29" i="145"/>
  <c r="M27" i="145"/>
  <c r="N29" i="144"/>
  <c r="N27" i="144"/>
  <c r="AF13" i="143"/>
  <c r="AE13" i="143"/>
  <c r="Q29" i="143"/>
  <c r="Q27" i="143"/>
  <c r="R29" i="143"/>
  <c r="R27" i="143"/>
  <c r="AH13" i="143"/>
  <c r="AG13" i="143"/>
  <c r="M29" i="143"/>
  <c r="M27" i="143"/>
  <c r="AJ17" i="83"/>
  <c r="N29" i="103"/>
  <c r="N29" i="75"/>
  <c r="N27" i="75"/>
  <c r="N27" i="83"/>
  <c r="N29" i="83"/>
  <c r="N29" i="84"/>
  <c r="N27" i="84"/>
  <c r="N27" i="85"/>
  <c r="N29" i="85"/>
  <c r="AJ17" i="85"/>
  <c r="AJ17" i="75"/>
  <c r="AJ17" i="84"/>
  <c r="AJ17" i="103"/>
  <c r="R29" i="103"/>
  <c r="R27" i="103"/>
  <c r="M29" i="84"/>
  <c r="M27" i="84"/>
  <c r="R27" i="75"/>
  <c r="M29" i="75"/>
  <c r="M27" i="75"/>
  <c r="M27" i="85"/>
  <c r="M29" i="85"/>
  <c r="M29" i="103"/>
  <c r="M27" i="83"/>
  <c r="Q29" i="103"/>
  <c r="AJ13" i="75"/>
  <c r="AJ13" i="103"/>
  <c r="AI13" i="156" l="1"/>
  <c r="AI13" i="155"/>
  <c r="AJ13" i="155"/>
  <c r="AJ13" i="153"/>
  <c r="AJ13" i="156"/>
  <c r="AI13" i="153"/>
  <c r="AI13" i="154"/>
  <c r="AJ13" i="154"/>
  <c r="AI13" i="151"/>
  <c r="AJ13" i="151"/>
  <c r="AI13" i="75"/>
  <c r="AJ13" i="147"/>
  <c r="AI13" i="147"/>
  <c r="AI13" i="145"/>
  <c r="AJ13" i="145"/>
  <c r="AI13" i="143"/>
  <c r="AJ13" i="143"/>
  <c r="G37" i="46"/>
  <c r="C37" i="46"/>
  <c r="H37" i="46"/>
  <c r="B36" i="46"/>
  <c r="E36" i="46"/>
  <c r="F36" i="46"/>
  <c r="H36" i="46"/>
  <c r="B37" i="46"/>
  <c r="F37" i="46"/>
  <c r="G36" i="46"/>
  <c r="D36" i="46"/>
  <c r="D37" i="46"/>
  <c r="E37" i="46"/>
  <c r="C36" i="46"/>
  <c r="C79" i="46" l="1"/>
  <c r="F80" i="46"/>
  <c r="G80" i="46"/>
  <c r="E79" i="46"/>
  <c r="F79" i="46"/>
  <c r="E80" i="46"/>
  <c r="C80" i="46"/>
  <c r="D80" i="46"/>
  <c r="G79" i="46"/>
  <c r="B80" i="46"/>
  <c r="B79" i="46"/>
  <c r="D79" i="46"/>
  <c r="H79" i="46"/>
  <c r="H80" i="46"/>
  <c r="D116" i="46" l="1"/>
  <c r="D117" i="46"/>
  <c r="O117" i="46" s="1"/>
  <c r="Q117" i="46" s="1"/>
  <c r="L12" i="103" s="1"/>
  <c r="D92" i="46"/>
  <c r="B120" i="46"/>
  <c r="B119" i="46"/>
  <c r="G116" i="46"/>
  <c r="G117" i="46"/>
  <c r="G92" i="46"/>
  <c r="D120" i="46"/>
  <c r="O120" i="46" s="1"/>
  <c r="Q120" i="46" s="1"/>
  <c r="L15" i="103" s="1"/>
  <c r="D119" i="46"/>
  <c r="O119" i="46" s="1"/>
  <c r="Q119" i="46" s="1"/>
  <c r="L14" i="103" s="1"/>
  <c r="C119" i="46"/>
  <c r="C120" i="46"/>
  <c r="E119" i="46"/>
  <c r="E120" i="46"/>
  <c r="B116" i="46"/>
  <c r="B117" i="46"/>
  <c r="B92" i="46"/>
  <c r="F117" i="46"/>
  <c r="P117" i="46" s="1"/>
  <c r="R117" i="46" s="1"/>
  <c r="K12" i="103" s="1"/>
  <c r="F92" i="46"/>
  <c r="F116" i="46"/>
  <c r="E117" i="46"/>
  <c r="E92" i="46"/>
  <c r="E116" i="46"/>
  <c r="G120" i="46"/>
  <c r="G119" i="46"/>
  <c r="H119" i="46"/>
  <c r="H120" i="46"/>
  <c r="F120" i="46"/>
  <c r="P120" i="46" s="1"/>
  <c r="R120" i="46" s="1"/>
  <c r="K15" i="103" s="1"/>
  <c r="F119" i="46"/>
  <c r="P119" i="46" s="1"/>
  <c r="R119" i="46" s="1"/>
  <c r="K14" i="103" s="1"/>
  <c r="H117" i="46"/>
  <c r="H92" i="46"/>
  <c r="H116" i="46"/>
  <c r="C116" i="46"/>
  <c r="C92" i="46"/>
  <c r="C117" i="46"/>
  <c r="K12" i="156" l="1"/>
  <c r="Y12" i="156" s="1"/>
  <c r="K12" i="155"/>
  <c r="Y12" i="155" s="1"/>
  <c r="K14" i="156"/>
  <c r="Y14" i="156" s="1"/>
  <c r="K14" i="155"/>
  <c r="Y14" i="155" s="1"/>
  <c r="L15" i="156"/>
  <c r="Z15" i="156" s="1"/>
  <c r="L15" i="155"/>
  <c r="Z15" i="155" s="1"/>
  <c r="L14" i="156"/>
  <c r="Z14" i="156" s="1"/>
  <c r="L14" i="155"/>
  <c r="Z14" i="155" s="1"/>
  <c r="L12" i="156"/>
  <c r="Z12" i="156" s="1"/>
  <c r="L12" i="155"/>
  <c r="Z12" i="155" s="1"/>
  <c r="K15" i="156"/>
  <c r="Y15" i="156" s="1"/>
  <c r="K15" i="155"/>
  <c r="Y15" i="155" s="1"/>
  <c r="L14" i="154"/>
  <c r="Z14" i="154" s="1"/>
  <c r="L14" i="153"/>
  <c r="Z14" i="153" s="1"/>
  <c r="L15" i="154"/>
  <c r="Z15" i="154" s="1"/>
  <c r="L15" i="153"/>
  <c r="Z15" i="153" s="1"/>
  <c r="K12" i="154"/>
  <c r="Y12" i="154" s="1"/>
  <c r="K12" i="153"/>
  <c r="Y12" i="153" s="1"/>
  <c r="K14" i="154"/>
  <c r="Y14" i="154" s="1"/>
  <c r="K14" i="153"/>
  <c r="Y14" i="153" s="1"/>
  <c r="K15" i="154"/>
  <c r="Y15" i="154" s="1"/>
  <c r="K15" i="153"/>
  <c r="Y15" i="153" s="1"/>
  <c r="L12" i="154"/>
  <c r="Z12" i="154" s="1"/>
  <c r="L12" i="153"/>
  <c r="Z12" i="153" s="1"/>
  <c r="L14" i="151"/>
  <c r="Z14" i="151" s="1"/>
  <c r="AH14" i="151" s="1"/>
  <c r="L14" i="152"/>
  <c r="Z14" i="152" s="1"/>
  <c r="K12" i="151"/>
  <c r="Y12" i="151" s="1"/>
  <c r="AF12" i="151" s="1"/>
  <c r="K12" i="152"/>
  <c r="Y12" i="152" s="1"/>
  <c r="K15" i="151"/>
  <c r="Y15" i="151" s="1"/>
  <c r="AE15" i="151" s="1"/>
  <c r="K15" i="152"/>
  <c r="Y15" i="152" s="1"/>
  <c r="L12" i="151"/>
  <c r="Z12" i="151" s="1"/>
  <c r="AH12" i="151" s="1"/>
  <c r="L12" i="152"/>
  <c r="Z12" i="152" s="1"/>
  <c r="L15" i="151"/>
  <c r="Z15" i="151" s="1"/>
  <c r="AG15" i="151" s="1"/>
  <c r="L15" i="152"/>
  <c r="Z15" i="152" s="1"/>
  <c r="K14" i="151"/>
  <c r="Y14" i="151" s="1"/>
  <c r="AE14" i="151" s="1"/>
  <c r="K14" i="152"/>
  <c r="Y14" i="152" s="1"/>
  <c r="C132" i="46"/>
  <c r="E132" i="46"/>
  <c r="H132" i="46"/>
  <c r="L15" i="148"/>
  <c r="Z15" i="148" s="1"/>
  <c r="L15" i="144"/>
  <c r="Z15" i="144" s="1"/>
  <c r="L15" i="145"/>
  <c r="Z15" i="145" s="1"/>
  <c r="L15" i="83"/>
  <c r="Z15" i="83" s="1"/>
  <c r="L15" i="75"/>
  <c r="Z15" i="75" s="1"/>
  <c r="L15" i="143"/>
  <c r="Z15" i="143" s="1"/>
  <c r="Z15" i="103"/>
  <c r="L15" i="85"/>
  <c r="Z15" i="85" s="1"/>
  <c r="L15" i="84"/>
  <c r="Z15" i="84" s="1"/>
  <c r="L15" i="149"/>
  <c r="Z15" i="149" s="1"/>
  <c r="L15" i="146"/>
  <c r="Z15" i="146" s="1"/>
  <c r="L15" i="147"/>
  <c r="Z15" i="147" s="1"/>
  <c r="C94" i="46"/>
  <c r="C101" i="46"/>
  <c r="C102" i="46" s="1"/>
  <c r="C103" i="46" s="1"/>
  <c r="C104" i="46" s="1"/>
  <c r="C105" i="46" s="1"/>
  <c r="C106" i="46" s="1"/>
  <c r="C107" i="46" s="1"/>
  <c r="F94" i="46"/>
  <c r="F101" i="46"/>
  <c r="F102" i="46" s="1"/>
  <c r="F103" i="46" s="1"/>
  <c r="F104" i="46" s="1"/>
  <c r="F105" i="46" s="1"/>
  <c r="F106" i="46" s="1"/>
  <c r="F107" i="46" s="1"/>
  <c r="K15" i="143"/>
  <c r="Y15" i="143" s="1"/>
  <c r="K15" i="75"/>
  <c r="Y15" i="75" s="1"/>
  <c r="K15" i="147"/>
  <c r="Y15" i="147" s="1"/>
  <c r="K15" i="148"/>
  <c r="Y15" i="148" s="1"/>
  <c r="K15" i="144"/>
  <c r="Y15" i="144" s="1"/>
  <c r="K15" i="83"/>
  <c r="Y15" i="83" s="1"/>
  <c r="Y15" i="103"/>
  <c r="K15" i="145"/>
  <c r="Y15" i="145" s="1"/>
  <c r="K15" i="146"/>
  <c r="Y15" i="146" s="1"/>
  <c r="K15" i="149"/>
  <c r="Y15" i="149" s="1"/>
  <c r="K15" i="85"/>
  <c r="Y15" i="85" s="1"/>
  <c r="K15" i="84"/>
  <c r="Y15" i="84" s="1"/>
  <c r="K14" i="148"/>
  <c r="Y14" i="148" s="1"/>
  <c r="K14" i="149"/>
  <c r="Y14" i="149" s="1"/>
  <c r="K14" i="145"/>
  <c r="Y14" i="145" s="1"/>
  <c r="K14" i="85"/>
  <c r="Y14" i="85" s="1"/>
  <c r="K14" i="146"/>
  <c r="Y14" i="146" s="1"/>
  <c r="K14" i="83"/>
  <c r="Y14" i="83" s="1"/>
  <c r="K14" i="75"/>
  <c r="Y14" i="75" s="1"/>
  <c r="K14" i="84"/>
  <c r="Y14" i="84" s="1"/>
  <c r="K14" i="144"/>
  <c r="Y14" i="144" s="1"/>
  <c r="Y14" i="103"/>
  <c r="K14" i="143"/>
  <c r="Y14" i="143" s="1"/>
  <c r="K14" i="147"/>
  <c r="Y14" i="147" s="1"/>
  <c r="B101" i="46"/>
  <c r="B102" i="46" s="1"/>
  <c r="B103" i="46" s="1"/>
  <c r="B104" i="46" s="1"/>
  <c r="B105" i="46" s="1"/>
  <c r="B106" i="46" s="1"/>
  <c r="B107" i="46" s="1"/>
  <c r="B94" i="46"/>
  <c r="L14" i="145"/>
  <c r="Z14" i="145" s="1"/>
  <c r="L14" i="84"/>
  <c r="Z14" i="84" s="1"/>
  <c r="L14" i="83"/>
  <c r="Z14" i="83" s="1"/>
  <c r="Z14" i="103"/>
  <c r="L14" i="146"/>
  <c r="Z14" i="146" s="1"/>
  <c r="L14" i="75"/>
  <c r="Z14" i="75" s="1"/>
  <c r="L14" i="143"/>
  <c r="Z14" i="143" s="1"/>
  <c r="L14" i="147"/>
  <c r="Z14" i="147" s="1"/>
  <c r="L14" i="144"/>
  <c r="Z14" i="144" s="1"/>
  <c r="L14" i="85"/>
  <c r="Z14" i="85" s="1"/>
  <c r="L14" i="149"/>
  <c r="Z14" i="149" s="1"/>
  <c r="L14" i="148"/>
  <c r="Z14" i="148" s="1"/>
  <c r="B132" i="46"/>
  <c r="D94" i="46"/>
  <c r="D101" i="46"/>
  <c r="D102" i="46" s="1"/>
  <c r="D103" i="46" s="1"/>
  <c r="D104" i="46" s="1"/>
  <c r="D105" i="46" s="1"/>
  <c r="D106" i="46" s="1"/>
  <c r="D107" i="46" s="1"/>
  <c r="H101" i="46"/>
  <c r="H102" i="46" s="1"/>
  <c r="H103" i="46" s="1"/>
  <c r="H104" i="46" s="1"/>
  <c r="H105" i="46" s="1"/>
  <c r="H106" i="46" s="1"/>
  <c r="H107" i="46" s="1"/>
  <c r="H94" i="46"/>
  <c r="G94" i="46"/>
  <c r="G101" i="46"/>
  <c r="G102" i="46" s="1"/>
  <c r="G103" i="46" s="1"/>
  <c r="G104" i="46" s="1"/>
  <c r="G105" i="46" s="1"/>
  <c r="G106" i="46" s="1"/>
  <c r="G107" i="46" s="1"/>
  <c r="G132" i="46"/>
  <c r="L12" i="148"/>
  <c r="Z12" i="148" s="1"/>
  <c r="L12" i="144"/>
  <c r="Z12" i="144" s="1"/>
  <c r="L12" i="147"/>
  <c r="Z12" i="147" s="1"/>
  <c r="L12" i="84"/>
  <c r="Z12" i="84" s="1"/>
  <c r="L12" i="146"/>
  <c r="Z12" i="146" s="1"/>
  <c r="L12" i="85"/>
  <c r="Z12" i="85" s="1"/>
  <c r="L12" i="75"/>
  <c r="Z12" i="75" s="1"/>
  <c r="L12" i="83"/>
  <c r="Z12" i="83" s="1"/>
  <c r="L12" i="149"/>
  <c r="Z12" i="149" s="1"/>
  <c r="Z12" i="103"/>
  <c r="L12" i="143"/>
  <c r="Z12" i="143" s="1"/>
  <c r="L12" i="145"/>
  <c r="Z12" i="145" s="1"/>
  <c r="E94" i="46"/>
  <c r="E101" i="46"/>
  <c r="E102" i="46" s="1"/>
  <c r="E103" i="46" s="1"/>
  <c r="E104" i="46" s="1"/>
  <c r="E105" i="46" s="1"/>
  <c r="E106" i="46" s="1"/>
  <c r="E107" i="46" s="1"/>
  <c r="P116" i="46"/>
  <c r="R116" i="46" s="1"/>
  <c r="K11" i="103" s="1"/>
  <c r="F132" i="46"/>
  <c r="P132" i="46" s="1"/>
  <c r="R132" i="46" s="1"/>
  <c r="K12" i="75"/>
  <c r="Y12" i="75" s="1"/>
  <c r="Y12" i="103"/>
  <c r="K12" i="85"/>
  <c r="Y12" i="85" s="1"/>
  <c r="K12" i="143"/>
  <c r="Y12" i="143" s="1"/>
  <c r="K12" i="144"/>
  <c r="Y12" i="144" s="1"/>
  <c r="K12" i="83"/>
  <c r="Y12" i="83" s="1"/>
  <c r="K12" i="145"/>
  <c r="Y12" i="145" s="1"/>
  <c r="K12" i="84"/>
  <c r="Y12" i="84" s="1"/>
  <c r="K12" i="146"/>
  <c r="Y12" i="146" s="1"/>
  <c r="K12" i="148"/>
  <c r="Y12" i="148" s="1"/>
  <c r="K12" i="149"/>
  <c r="Y12" i="149" s="1"/>
  <c r="K12" i="147"/>
  <c r="Y12" i="147" s="1"/>
  <c r="D132" i="46"/>
  <c r="O132" i="46" s="1"/>
  <c r="Q132" i="46" s="1"/>
  <c r="O116" i="46"/>
  <c r="Q116" i="46" s="1"/>
  <c r="L11" i="103" s="1"/>
  <c r="AG14" i="151" l="1"/>
  <c r="AF15" i="151"/>
  <c r="AI15" i="151" s="1"/>
  <c r="AF15" i="155"/>
  <c r="AE15" i="155"/>
  <c r="AH12" i="155"/>
  <c r="AG12" i="155"/>
  <c r="AH12" i="156"/>
  <c r="AG12" i="156"/>
  <c r="AG14" i="155"/>
  <c r="AH14" i="155"/>
  <c r="AH14" i="156"/>
  <c r="AG14" i="156"/>
  <c r="AH15" i="155"/>
  <c r="AG15" i="155"/>
  <c r="AH15" i="156"/>
  <c r="AG15" i="156"/>
  <c r="AF14" i="155"/>
  <c r="AE14" i="155"/>
  <c r="AE15" i="156"/>
  <c r="AF15" i="156"/>
  <c r="AF14" i="156"/>
  <c r="AE14" i="156"/>
  <c r="K11" i="156"/>
  <c r="K11" i="155"/>
  <c r="L11" i="156"/>
  <c r="L11" i="155"/>
  <c r="AE12" i="155"/>
  <c r="AF12" i="155"/>
  <c r="AF12" i="156"/>
  <c r="AE12" i="156"/>
  <c r="AG12" i="153"/>
  <c r="AH12" i="153"/>
  <c r="AF15" i="154"/>
  <c r="AE15" i="154"/>
  <c r="AF14" i="153"/>
  <c r="AE14" i="153"/>
  <c r="AF14" i="154"/>
  <c r="AE14" i="154"/>
  <c r="AF15" i="153"/>
  <c r="AE15" i="153"/>
  <c r="AF12" i="153"/>
  <c r="AE12" i="153"/>
  <c r="AH12" i="154"/>
  <c r="AG12" i="154"/>
  <c r="AF12" i="154"/>
  <c r="AE12" i="154"/>
  <c r="AH15" i="153"/>
  <c r="AG15" i="153"/>
  <c r="AH15" i="154"/>
  <c r="AG15" i="154"/>
  <c r="L11" i="154"/>
  <c r="L11" i="153"/>
  <c r="AE12" i="151"/>
  <c r="AI12" i="151" s="1"/>
  <c r="AH14" i="153"/>
  <c r="AG14" i="153"/>
  <c r="K11" i="154"/>
  <c r="K11" i="153"/>
  <c r="AH14" i="154"/>
  <c r="AG14" i="154"/>
  <c r="AG12" i="151"/>
  <c r="AJ12" i="151" s="1"/>
  <c r="AF14" i="151"/>
  <c r="AI14" i="151" s="1"/>
  <c r="AF14" i="152"/>
  <c r="AE14" i="152"/>
  <c r="L11" i="151"/>
  <c r="L34" i="151" s="1"/>
  <c r="L11" i="152"/>
  <c r="AH15" i="152"/>
  <c r="AG15" i="152"/>
  <c r="K11" i="151"/>
  <c r="K28" i="151" s="1"/>
  <c r="K11" i="152"/>
  <c r="AH15" i="151"/>
  <c r="AJ15" i="151" s="1"/>
  <c r="AG12" i="152"/>
  <c r="AH12" i="152"/>
  <c r="AF15" i="152"/>
  <c r="AE15" i="152"/>
  <c r="AF12" i="152"/>
  <c r="AE12" i="152"/>
  <c r="AH14" i="152"/>
  <c r="AG14" i="152"/>
  <c r="AJ14" i="151"/>
  <c r="AF12" i="83"/>
  <c r="AE12" i="83"/>
  <c r="AH12" i="103"/>
  <c r="AG12" i="103"/>
  <c r="AH14" i="75"/>
  <c r="AG14" i="75"/>
  <c r="AE14" i="84"/>
  <c r="AF14" i="84"/>
  <c r="AE15" i="145"/>
  <c r="AF15" i="145"/>
  <c r="AH15" i="147"/>
  <c r="AG15" i="147"/>
  <c r="AE12" i="144"/>
  <c r="AF12" i="144"/>
  <c r="AH12" i="149"/>
  <c r="AG12" i="149"/>
  <c r="AG14" i="146"/>
  <c r="AH14" i="146"/>
  <c r="AE14" i="75"/>
  <c r="AF14" i="75"/>
  <c r="AF15" i="103"/>
  <c r="AE15" i="103"/>
  <c r="AG15" i="146"/>
  <c r="AH15" i="146"/>
  <c r="AF12" i="143"/>
  <c r="AE12" i="143"/>
  <c r="AH12" i="83"/>
  <c r="AG12" i="83"/>
  <c r="AG14" i="103"/>
  <c r="AH14" i="103"/>
  <c r="AF14" i="83"/>
  <c r="AE14" i="83"/>
  <c r="AF15" i="83"/>
  <c r="AE15" i="83"/>
  <c r="AH15" i="149"/>
  <c r="AG15" i="149"/>
  <c r="AE12" i="85"/>
  <c r="AF12" i="85"/>
  <c r="AH12" i="75"/>
  <c r="AG12" i="75"/>
  <c r="AG14" i="83"/>
  <c r="AH14" i="83"/>
  <c r="AF14" i="146"/>
  <c r="AE14" i="146"/>
  <c r="AE15" i="144"/>
  <c r="AF15" i="144"/>
  <c r="AH15" i="84"/>
  <c r="AG15" i="84"/>
  <c r="L11" i="83"/>
  <c r="L11" i="144"/>
  <c r="L11" i="143"/>
  <c r="L11" i="148"/>
  <c r="L11" i="75"/>
  <c r="L11" i="85"/>
  <c r="Z11" i="103"/>
  <c r="L11" i="149"/>
  <c r="L11" i="145"/>
  <c r="L28" i="103"/>
  <c r="L34" i="103"/>
  <c r="L11" i="147"/>
  <c r="L11" i="146"/>
  <c r="L11" i="84"/>
  <c r="AF12" i="103"/>
  <c r="AE12" i="103"/>
  <c r="AG12" i="85"/>
  <c r="AH12" i="85"/>
  <c r="AG14" i="84"/>
  <c r="AH14" i="84"/>
  <c r="AE14" i="85"/>
  <c r="AF14" i="85"/>
  <c r="AE15" i="148"/>
  <c r="AF15" i="148"/>
  <c r="AG15" i="85"/>
  <c r="AH15" i="85"/>
  <c r="AE12" i="75"/>
  <c r="AF12" i="75"/>
  <c r="AG12" i="146"/>
  <c r="AH12" i="146"/>
  <c r="AG14" i="145"/>
  <c r="AH14" i="145"/>
  <c r="AF14" i="145"/>
  <c r="AE14" i="145"/>
  <c r="AF15" i="147"/>
  <c r="AE15" i="147"/>
  <c r="AG15" i="103"/>
  <c r="AH15" i="103"/>
  <c r="AF12" i="147"/>
  <c r="AE12" i="147"/>
  <c r="AH12" i="84"/>
  <c r="AG12" i="84"/>
  <c r="AG14" i="148"/>
  <c r="AH14" i="148"/>
  <c r="AE14" i="149"/>
  <c r="AF14" i="149"/>
  <c r="AE15" i="75"/>
  <c r="AF15" i="75"/>
  <c r="AH15" i="143"/>
  <c r="AG15" i="143"/>
  <c r="AF12" i="149"/>
  <c r="AE12" i="149"/>
  <c r="K11" i="143"/>
  <c r="K11" i="75"/>
  <c r="K11" i="83"/>
  <c r="K11" i="146"/>
  <c r="K11" i="85"/>
  <c r="Y11" i="103"/>
  <c r="K11" i="145"/>
  <c r="K11" i="147"/>
  <c r="K11" i="84"/>
  <c r="K28" i="103"/>
  <c r="K11" i="144"/>
  <c r="K34" i="103"/>
  <c r="K11" i="149"/>
  <c r="K11" i="148"/>
  <c r="AH12" i="147"/>
  <c r="AG12" i="147"/>
  <c r="AH14" i="149"/>
  <c r="AG14" i="149"/>
  <c r="AF14" i="148"/>
  <c r="AE14" i="148"/>
  <c r="AE15" i="143"/>
  <c r="AF15" i="143"/>
  <c r="AG15" i="75"/>
  <c r="AH15" i="75"/>
  <c r="AF12" i="148"/>
  <c r="AE12" i="148"/>
  <c r="AG12" i="144"/>
  <c r="AH12" i="144"/>
  <c r="AG14" i="85"/>
  <c r="AH14" i="85"/>
  <c r="AE14" i="147"/>
  <c r="AF14" i="147"/>
  <c r="AF15" i="84"/>
  <c r="AE15" i="84"/>
  <c r="AH15" i="83"/>
  <c r="AG15" i="83"/>
  <c r="AF12" i="146"/>
  <c r="AE12" i="146"/>
  <c r="AH12" i="148"/>
  <c r="AG12" i="148"/>
  <c r="AG14" i="144"/>
  <c r="AH14" i="144"/>
  <c r="AF14" i="143"/>
  <c r="AE14" i="143"/>
  <c r="AF15" i="85"/>
  <c r="AE15" i="85"/>
  <c r="AG15" i="145"/>
  <c r="AH15" i="145"/>
  <c r="AH12" i="145"/>
  <c r="AG12" i="145"/>
  <c r="AG14" i="147"/>
  <c r="AH14" i="147"/>
  <c r="AE14" i="103"/>
  <c r="AF14" i="103"/>
  <c r="AF15" i="149"/>
  <c r="AE15" i="149"/>
  <c r="AG15" i="144"/>
  <c r="AH15" i="144"/>
  <c r="AF12" i="84"/>
  <c r="AE12" i="84"/>
  <c r="AF12" i="145"/>
  <c r="AE12" i="145"/>
  <c r="AH12" i="143"/>
  <c r="AG12" i="143"/>
  <c r="AH14" i="143"/>
  <c r="AG14" i="143"/>
  <c r="AF14" i="144"/>
  <c r="AE14" i="144"/>
  <c r="AE15" i="146"/>
  <c r="AF15" i="146"/>
  <c r="AH15" i="148"/>
  <c r="AG15" i="148"/>
  <c r="AI15" i="156" l="1"/>
  <c r="AJ12" i="156"/>
  <c r="AI15" i="155"/>
  <c r="AJ12" i="154"/>
  <c r="AI14" i="156"/>
  <c r="AJ14" i="155"/>
  <c r="AI12" i="153"/>
  <c r="AI12" i="155"/>
  <c r="AJ15" i="153"/>
  <c r="AI15" i="153"/>
  <c r="AJ15" i="156"/>
  <c r="AJ15" i="155"/>
  <c r="AI12" i="154"/>
  <c r="AJ14" i="156"/>
  <c r="AI15" i="154"/>
  <c r="AI12" i="156"/>
  <c r="AI14" i="155"/>
  <c r="AJ12" i="155"/>
  <c r="AJ12" i="152"/>
  <c r="AI14" i="154"/>
  <c r="AJ14" i="154"/>
  <c r="AI14" i="153"/>
  <c r="L28" i="155"/>
  <c r="L34" i="155"/>
  <c r="Z11" i="155"/>
  <c r="L28" i="156"/>
  <c r="L34" i="156"/>
  <c r="Z11" i="156"/>
  <c r="K28" i="155"/>
  <c r="K34" i="155"/>
  <c r="Y11" i="155"/>
  <c r="K34" i="156"/>
  <c r="K28" i="156"/>
  <c r="Y11" i="156"/>
  <c r="AJ14" i="153"/>
  <c r="AJ12" i="153"/>
  <c r="AJ15" i="154"/>
  <c r="L34" i="153"/>
  <c r="L28" i="153"/>
  <c r="Z11" i="153"/>
  <c r="L34" i="154"/>
  <c r="L28" i="154"/>
  <c r="Z11" i="154"/>
  <c r="K28" i="153"/>
  <c r="K34" i="153"/>
  <c r="Y11" i="153"/>
  <c r="AJ15" i="152"/>
  <c r="K34" i="154"/>
  <c r="K28" i="154"/>
  <c r="Y11" i="154"/>
  <c r="AI12" i="152"/>
  <c r="Z11" i="151"/>
  <c r="AH11" i="151" s="1"/>
  <c r="AI15" i="152"/>
  <c r="L28" i="151"/>
  <c r="L27" i="151" s="1"/>
  <c r="AJ14" i="152"/>
  <c r="AI14" i="152"/>
  <c r="K34" i="151"/>
  <c r="K34" i="152"/>
  <c r="K28" i="152"/>
  <c r="Y11" i="152"/>
  <c r="Y11" i="151"/>
  <c r="AE11" i="151" s="1"/>
  <c r="L28" i="152"/>
  <c r="L34" i="152"/>
  <c r="Z11" i="152"/>
  <c r="K29" i="151"/>
  <c r="K27" i="151"/>
  <c r="Y30" i="151"/>
  <c r="Y31" i="151" s="1"/>
  <c r="AF30" i="151"/>
  <c r="AF31" i="151" s="1"/>
  <c r="AE30" i="151"/>
  <c r="AE31" i="151" s="1"/>
  <c r="AI15" i="85"/>
  <c r="AJ12" i="75"/>
  <c r="AJ12" i="83"/>
  <c r="AI15" i="103"/>
  <c r="AI15" i="75"/>
  <c r="AJ14" i="145"/>
  <c r="AI14" i="84"/>
  <c r="AI12" i="143"/>
  <c r="AI12" i="83"/>
  <c r="AJ12" i="144"/>
  <c r="AJ12" i="147"/>
  <c r="AI15" i="145"/>
  <c r="AI14" i="103"/>
  <c r="AJ15" i="146"/>
  <c r="AI12" i="103"/>
  <c r="AI12" i="145"/>
  <c r="AI12" i="146"/>
  <c r="AJ15" i="83"/>
  <c r="AI14" i="148"/>
  <c r="AJ15" i="85"/>
  <c r="AI15" i="148"/>
  <c r="AJ15" i="147"/>
  <c r="AJ14" i="83"/>
  <c r="AI15" i="146"/>
  <c r="AJ15" i="144"/>
  <c r="AJ12" i="103"/>
  <c r="AI14" i="83"/>
  <c r="AJ12" i="146"/>
  <c r="AI15" i="84"/>
  <c r="AI15" i="143"/>
  <c r="AI15" i="147"/>
  <c r="AJ14" i="149"/>
  <c r="AJ15" i="84"/>
  <c r="AJ14" i="147"/>
  <c r="AI12" i="84"/>
  <c r="AJ12" i="84"/>
  <c r="AI14" i="146"/>
  <c r="AI14" i="143"/>
  <c r="AJ15" i="143"/>
  <c r="AJ14" i="143"/>
  <c r="AJ15" i="103"/>
  <c r="AI14" i="75"/>
  <c r="AJ12" i="143"/>
  <c r="AJ14" i="144"/>
  <c r="AJ12" i="148"/>
  <c r="AJ14" i="85"/>
  <c r="AI12" i="85"/>
  <c r="AJ14" i="146"/>
  <c r="AI14" i="145"/>
  <c r="AJ12" i="149"/>
  <c r="AI15" i="144"/>
  <c r="AI14" i="85"/>
  <c r="AI15" i="83"/>
  <c r="AI14" i="144"/>
  <c r="AI12" i="147"/>
  <c r="AJ12" i="85"/>
  <c r="AJ15" i="145"/>
  <c r="AJ14" i="84"/>
  <c r="AJ15" i="149"/>
  <c r="AI15" i="149"/>
  <c r="AI12" i="75"/>
  <c r="AI12" i="148"/>
  <c r="AI14" i="149"/>
  <c r="AJ14" i="75"/>
  <c r="AJ15" i="148"/>
  <c r="AJ15" i="75"/>
  <c r="AJ14" i="148"/>
  <c r="AI12" i="144"/>
  <c r="AI14" i="147"/>
  <c r="AI12" i="149"/>
  <c r="AJ14" i="103"/>
  <c r="AJ12" i="145"/>
  <c r="Z11" i="83"/>
  <c r="L28" i="83"/>
  <c r="L34" i="83"/>
  <c r="K28" i="144"/>
  <c r="Y11" i="144"/>
  <c r="K34" i="144"/>
  <c r="L29" i="103"/>
  <c r="L27" i="103"/>
  <c r="AH30" i="103"/>
  <c r="AH31" i="103" s="1"/>
  <c r="Z30" i="103"/>
  <c r="Z31" i="103" s="1"/>
  <c r="AG30" i="103"/>
  <c r="AG31" i="103" s="1"/>
  <c r="AF30" i="103"/>
  <c r="AF31" i="103" s="1"/>
  <c r="K29" i="103"/>
  <c r="AE30" i="103"/>
  <c r="AE31" i="103" s="1"/>
  <c r="Y30" i="103"/>
  <c r="Y31" i="103" s="1"/>
  <c r="K27" i="103"/>
  <c r="Z11" i="145"/>
  <c r="L28" i="145"/>
  <c r="L34" i="145"/>
  <c r="K34" i="143"/>
  <c r="K28" i="143"/>
  <c r="Y11" i="143"/>
  <c r="Y11" i="84"/>
  <c r="K34" i="84"/>
  <c r="K28" i="84"/>
  <c r="Z11" i="149"/>
  <c r="L34" i="149"/>
  <c r="L28" i="149"/>
  <c r="Y11" i="147"/>
  <c r="K34" i="147"/>
  <c r="K28" i="147"/>
  <c r="AH11" i="103"/>
  <c r="Z28" i="103"/>
  <c r="Z34" i="103"/>
  <c r="AG11" i="103"/>
  <c r="Y11" i="145"/>
  <c r="K34" i="145"/>
  <c r="K28" i="145"/>
  <c r="Z11" i="85"/>
  <c r="L34" i="85"/>
  <c r="L28" i="85"/>
  <c r="Y11" i="75"/>
  <c r="K34" i="75"/>
  <c r="K28" i="75"/>
  <c r="K28" i="149"/>
  <c r="K34" i="149"/>
  <c r="Y11" i="149"/>
  <c r="Y34" i="103"/>
  <c r="AF11" i="103"/>
  <c r="Y28" i="103"/>
  <c r="AE11" i="103"/>
  <c r="L34" i="75"/>
  <c r="L28" i="75"/>
  <c r="Z11" i="75"/>
  <c r="K28" i="85"/>
  <c r="Y11" i="85"/>
  <c r="K34" i="85"/>
  <c r="Z11" i="148"/>
  <c r="L28" i="148"/>
  <c r="L34" i="148"/>
  <c r="K28" i="148"/>
  <c r="Y11" i="148"/>
  <c r="K34" i="148"/>
  <c r="L28" i="147"/>
  <c r="Z11" i="147"/>
  <c r="L34" i="147"/>
  <c r="Y11" i="146"/>
  <c r="K34" i="146"/>
  <c r="K28" i="146"/>
  <c r="L34" i="143"/>
  <c r="Z11" i="143"/>
  <c r="L28" i="143"/>
  <c r="L34" i="146"/>
  <c r="L28" i="146"/>
  <c r="Z11" i="146"/>
  <c r="K34" i="83"/>
  <c r="Y11" i="83"/>
  <c r="K28" i="83"/>
  <c r="Z11" i="84"/>
  <c r="L28" i="84"/>
  <c r="L34" i="84"/>
  <c r="L34" i="144"/>
  <c r="L28" i="144"/>
  <c r="Z11" i="144"/>
  <c r="Z28" i="151" l="1"/>
  <c r="Z29" i="151" s="1"/>
  <c r="L29" i="151"/>
  <c r="AF11" i="155"/>
  <c r="AE11" i="155"/>
  <c r="Y34" i="155"/>
  <c r="Y28" i="155"/>
  <c r="AG11" i="151"/>
  <c r="AG28" i="151" s="1"/>
  <c r="K29" i="155"/>
  <c r="K27" i="155"/>
  <c r="Y30" i="155"/>
  <c r="Y31" i="155" s="1"/>
  <c r="AE30" i="155"/>
  <c r="AE31" i="155" s="1"/>
  <c r="AF30" i="155"/>
  <c r="AF31" i="155" s="1"/>
  <c r="L29" i="156"/>
  <c r="L27" i="156"/>
  <c r="AH30" i="156"/>
  <c r="AH31" i="156" s="1"/>
  <c r="Z30" i="156"/>
  <c r="Z31" i="156" s="1"/>
  <c r="AG30" i="156"/>
  <c r="AG31" i="156" s="1"/>
  <c r="AH11" i="155"/>
  <c r="AG11" i="155"/>
  <c r="Z34" i="155"/>
  <c r="Z28" i="155"/>
  <c r="AF11" i="151"/>
  <c r="AF28" i="151" s="1"/>
  <c r="AH30" i="151"/>
  <c r="AH31" i="151" s="1"/>
  <c r="L29" i="155"/>
  <c r="L27" i="155"/>
  <c r="Z30" i="155"/>
  <c r="Z31" i="155" s="1"/>
  <c r="AH30" i="155"/>
  <c r="AH31" i="155" s="1"/>
  <c r="AG30" i="155"/>
  <c r="AG31" i="155" s="1"/>
  <c r="Z30" i="151"/>
  <c r="Z31" i="151" s="1"/>
  <c r="AF11" i="156"/>
  <c r="AE11" i="156"/>
  <c r="Y34" i="156"/>
  <c r="Y28" i="156"/>
  <c r="AG30" i="151"/>
  <c r="AG31" i="151" s="1"/>
  <c r="K29" i="156"/>
  <c r="K27" i="156"/>
  <c r="Y30" i="156"/>
  <c r="Y31" i="156" s="1"/>
  <c r="AE30" i="156"/>
  <c r="AE31" i="156" s="1"/>
  <c r="AF30" i="156"/>
  <c r="AF31" i="156" s="1"/>
  <c r="AG11" i="156"/>
  <c r="AH11" i="156"/>
  <c r="Z28" i="156"/>
  <c r="Z34" i="156"/>
  <c r="K29" i="154"/>
  <c r="K27" i="154"/>
  <c r="AF30" i="154"/>
  <c r="AF31" i="154" s="1"/>
  <c r="AE30" i="154"/>
  <c r="AE31" i="154" s="1"/>
  <c r="Y30" i="154"/>
  <c r="Y31" i="154" s="1"/>
  <c r="AE11" i="153"/>
  <c r="AF11" i="153"/>
  <c r="Y34" i="153"/>
  <c r="Y28" i="153"/>
  <c r="K29" i="153"/>
  <c r="K27" i="153"/>
  <c r="AE30" i="153"/>
  <c r="AE31" i="153" s="1"/>
  <c r="AF30" i="153"/>
  <c r="AF31" i="153" s="1"/>
  <c r="Y30" i="153"/>
  <c r="Y31" i="153" s="1"/>
  <c r="AH11" i="154"/>
  <c r="AG11" i="154"/>
  <c r="Z34" i="154"/>
  <c r="Z28" i="154"/>
  <c r="Z34" i="151"/>
  <c r="L29" i="154"/>
  <c r="L27" i="154"/>
  <c r="Z30" i="154"/>
  <c r="Z31" i="154" s="1"/>
  <c r="AH30" i="154"/>
  <c r="AH31" i="154" s="1"/>
  <c r="AG30" i="154"/>
  <c r="AG31" i="154" s="1"/>
  <c r="AH11" i="153"/>
  <c r="AG11" i="153"/>
  <c r="Z28" i="153"/>
  <c r="Z34" i="153"/>
  <c r="L29" i="153"/>
  <c r="L27" i="153"/>
  <c r="AH30" i="153"/>
  <c r="AH31" i="153" s="1"/>
  <c r="Z30" i="153"/>
  <c r="Z31" i="153" s="1"/>
  <c r="AG30" i="153"/>
  <c r="AG31" i="153" s="1"/>
  <c r="AF11" i="154"/>
  <c r="AE11" i="154"/>
  <c r="Y28" i="154"/>
  <c r="Y34" i="154"/>
  <c r="Y34" i="151"/>
  <c r="Y28" i="151"/>
  <c r="Y27" i="151" s="1"/>
  <c r="AH11" i="152"/>
  <c r="AG11" i="152"/>
  <c r="Z34" i="152"/>
  <c r="Z28" i="152"/>
  <c r="L29" i="152"/>
  <c r="L27" i="152"/>
  <c r="Z30" i="152"/>
  <c r="Z31" i="152" s="1"/>
  <c r="AG30" i="152"/>
  <c r="AG31" i="152" s="1"/>
  <c r="AH30" i="152"/>
  <c r="AH31" i="152" s="1"/>
  <c r="AE11" i="152"/>
  <c r="AF11" i="152"/>
  <c r="Y34" i="152"/>
  <c r="Y28" i="152"/>
  <c r="K29" i="152"/>
  <c r="K27" i="152"/>
  <c r="AF30" i="152"/>
  <c r="AF31" i="152" s="1"/>
  <c r="AE30" i="152"/>
  <c r="AE31" i="152" s="1"/>
  <c r="Y30" i="152"/>
  <c r="Y31" i="152" s="1"/>
  <c r="AG34" i="151"/>
  <c r="AG35" i="151" s="1"/>
  <c r="AE28" i="151"/>
  <c r="AE34" i="151"/>
  <c r="AE35" i="151" s="1"/>
  <c r="AH34" i="151"/>
  <c r="AH35" i="151" s="1"/>
  <c r="AH28" i="151"/>
  <c r="L30" i="103"/>
  <c r="K30" i="103"/>
  <c r="AI11" i="103"/>
  <c r="AI28" i="103" s="1"/>
  <c r="AI27" i="103" s="1"/>
  <c r="AG30" i="84"/>
  <c r="AG31" i="84" s="1"/>
  <c r="Z30" i="84"/>
  <c r="Z31" i="84" s="1"/>
  <c r="L29" i="84"/>
  <c r="AH30" i="84"/>
  <c r="AH31" i="84" s="1"/>
  <c r="L27" i="84"/>
  <c r="AF11" i="85"/>
  <c r="Y28" i="85"/>
  <c r="Y34" i="85"/>
  <c r="AE11" i="85"/>
  <c r="K29" i="149"/>
  <c r="Y30" i="149"/>
  <c r="Y31" i="149" s="1"/>
  <c r="K27" i="149"/>
  <c r="AE30" i="149"/>
  <c r="AE31" i="149" s="1"/>
  <c r="AF30" i="149"/>
  <c r="AF31" i="149" s="1"/>
  <c r="AE11" i="143"/>
  <c r="Y28" i="143"/>
  <c r="AF11" i="143"/>
  <c r="Y34" i="143"/>
  <c r="AH11" i="84"/>
  <c r="Z34" i="84"/>
  <c r="AG11" i="84"/>
  <c r="Z28" i="84"/>
  <c r="Y34" i="146"/>
  <c r="AF11" i="146"/>
  <c r="AE11" i="146"/>
  <c r="Y28" i="146"/>
  <c r="AE30" i="85"/>
  <c r="AE31" i="85" s="1"/>
  <c r="AF30" i="85"/>
  <c r="AF31" i="85" s="1"/>
  <c r="K29" i="85"/>
  <c r="Y30" i="85"/>
  <c r="Y31" i="85" s="1"/>
  <c r="K27" i="85"/>
  <c r="AF30" i="75"/>
  <c r="AF31" i="75" s="1"/>
  <c r="K29" i="75"/>
  <c r="Y30" i="75"/>
  <c r="Y31" i="75" s="1"/>
  <c r="AE30" i="75"/>
  <c r="AE31" i="75" s="1"/>
  <c r="K27" i="75"/>
  <c r="R30" i="103"/>
  <c r="J30" i="103"/>
  <c r="P30" i="103"/>
  <c r="Z27" i="103"/>
  <c r="X30" i="103"/>
  <c r="Z29" i="103"/>
  <c r="N30" i="103"/>
  <c r="F30" i="103"/>
  <c r="V30" i="103"/>
  <c r="T30" i="103"/>
  <c r="H30" i="103"/>
  <c r="K29" i="143"/>
  <c r="AF30" i="143"/>
  <c r="AF31" i="143" s="1"/>
  <c r="Y30" i="143"/>
  <c r="Y31" i="143" s="1"/>
  <c r="K27" i="143"/>
  <c r="AE30" i="143"/>
  <c r="AE31" i="143" s="1"/>
  <c r="K29" i="83"/>
  <c r="AE30" i="83"/>
  <c r="AE31" i="83" s="1"/>
  <c r="K27" i="83"/>
  <c r="AF30" i="83"/>
  <c r="AF31" i="83" s="1"/>
  <c r="Y30" i="83"/>
  <c r="Y31" i="83" s="1"/>
  <c r="AH11" i="75"/>
  <c r="Z34" i="75"/>
  <c r="Z28" i="75"/>
  <c r="AG11" i="75"/>
  <c r="AH28" i="103"/>
  <c r="AH34" i="103"/>
  <c r="AH35" i="103" s="1"/>
  <c r="Y34" i="83"/>
  <c r="AE11" i="83"/>
  <c r="AF11" i="83"/>
  <c r="Y28" i="83"/>
  <c r="Z28" i="147"/>
  <c r="AG11" i="147"/>
  <c r="AH11" i="147"/>
  <c r="Z34" i="147"/>
  <c r="Z30" i="75"/>
  <c r="Z31" i="75" s="1"/>
  <c r="L27" i="75"/>
  <c r="L29" i="75"/>
  <c r="AH30" i="75"/>
  <c r="AH31" i="75" s="1"/>
  <c r="AG30" i="75"/>
  <c r="AG31" i="75" s="1"/>
  <c r="AF11" i="75"/>
  <c r="Y34" i="75"/>
  <c r="Y28" i="75"/>
  <c r="AE11" i="75"/>
  <c r="AE30" i="147"/>
  <c r="AE31" i="147" s="1"/>
  <c r="K27" i="147"/>
  <c r="AF30" i="147"/>
  <c r="AF31" i="147" s="1"/>
  <c r="Y30" i="147"/>
  <c r="Y31" i="147" s="1"/>
  <c r="K29" i="147"/>
  <c r="L29" i="147"/>
  <c r="AH30" i="147"/>
  <c r="AH31" i="147" s="1"/>
  <c r="AG30" i="147"/>
  <c r="AG31" i="147" s="1"/>
  <c r="L27" i="147"/>
  <c r="Z30" i="147"/>
  <c r="Z31" i="147" s="1"/>
  <c r="AG30" i="85"/>
  <c r="AG31" i="85" s="1"/>
  <c r="Z30" i="85"/>
  <c r="Z31" i="85" s="1"/>
  <c r="L29" i="85"/>
  <c r="L27" i="85"/>
  <c r="AH30" i="85"/>
  <c r="AH31" i="85" s="1"/>
  <c r="AG30" i="145"/>
  <c r="AG31" i="145" s="1"/>
  <c r="L27" i="145"/>
  <c r="AH30" i="145"/>
  <c r="AH31" i="145" s="1"/>
  <c r="Z30" i="145"/>
  <c r="Z31" i="145" s="1"/>
  <c r="L29" i="145"/>
  <c r="AH11" i="146"/>
  <c r="Z28" i="146"/>
  <c r="Z34" i="146"/>
  <c r="AG11" i="146"/>
  <c r="AE11" i="147"/>
  <c r="Y28" i="147"/>
  <c r="Y34" i="147"/>
  <c r="AF11" i="147"/>
  <c r="AH11" i="145"/>
  <c r="Z28" i="145"/>
  <c r="AG11" i="145"/>
  <c r="Z34" i="145"/>
  <c r="L27" i="146"/>
  <c r="Z30" i="146"/>
  <c r="Z31" i="146" s="1"/>
  <c r="AH30" i="146"/>
  <c r="AH31" i="146" s="1"/>
  <c r="L29" i="146"/>
  <c r="AG30" i="146"/>
  <c r="AG31" i="146" s="1"/>
  <c r="Y28" i="148"/>
  <c r="Y34" i="148"/>
  <c r="AF11" i="148"/>
  <c r="AE11" i="148"/>
  <c r="AE28" i="103"/>
  <c r="AE34" i="103"/>
  <c r="AE35" i="103" s="1"/>
  <c r="Z28" i="85"/>
  <c r="AG11" i="85"/>
  <c r="AH11" i="85"/>
  <c r="Z34" i="85"/>
  <c r="Z30" i="149"/>
  <c r="Z31" i="149" s="1"/>
  <c r="L29" i="149"/>
  <c r="AG30" i="149"/>
  <c r="AG31" i="149" s="1"/>
  <c r="AH30" i="149"/>
  <c r="AH31" i="149" s="1"/>
  <c r="L27" i="149"/>
  <c r="K29" i="148"/>
  <c r="AE30" i="148"/>
  <c r="AE31" i="148" s="1"/>
  <c r="K27" i="148"/>
  <c r="AF30" i="148"/>
  <c r="AF31" i="148" s="1"/>
  <c r="Y30" i="148"/>
  <c r="Y31" i="148" s="1"/>
  <c r="Y29" i="103"/>
  <c r="W30" i="103"/>
  <c r="G30" i="103"/>
  <c r="Y27" i="103"/>
  <c r="O30" i="103"/>
  <c r="I30" i="103"/>
  <c r="U30" i="103"/>
  <c r="M30" i="103"/>
  <c r="S30" i="103"/>
  <c r="Q30" i="103"/>
  <c r="E30" i="103"/>
  <c r="K29" i="145"/>
  <c r="AE30" i="145"/>
  <c r="AE31" i="145" s="1"/>
  <c r="Y30" i="145"/>
  <c r="Y31" i="145" s="1"/>
  <c r="AF30" i="145"/>
  <c r="AF31" i="145" s="1"/>
  <c r="K27" i="145"/>
  <c r="AF11" i="144"/>
  <c r="AE11" i="144"/>
  <c r="Y34" i="144"/>
  <c r="Y28" i="144"/>
  <c r="Z28" i="144"/>
  <c r="Z34" i="144"/>
  <c r="AG11" i="144"/>
  <c r="AH11" i="144"/>
  <c r="L27" i="143"/>
  <c r="AH30" i="143"/>
  <c r="AH31" i="143" s="1"/>
  <c r="AG30" i="143"/>
  <c r="AG31" i="143" s="1"/>
  <c r="Z30" i="143"/>
  <c r="Z31" i="143" s="1"/>
  <c r="L29" i="143"/>
  <c r="AF34" i="103"/>
  <c r="AF35" i="103" s="1"/>
  <c r="AF28" i="103"/>
  <c r="Z28" i="149"/>
  <c r="AG11" i="149"/>
  <c r="AH11" i="149"/>
  <c r="Z34" i="149"/>
  <c r="AE30" i="144"/>
  <c r="AE31" i="144" s="1"/>
  <c r="K29" i="144"/>
  <c r="AF30" i="144"/>
  <c r="AF31" i="144" s="1"/>
  <c r="K27" i="144"/>
  <c r="Y30" i="144"/>
  <c r="Y31" i="144" s="1"/>
  <c r="L27" i="144"/>
  <c r="AG30" i="144"/>
  <c r="AG31" i="144" s="1"/>
  <c r="AH30" i="144"/>
  <c r="AH31" i="144" s="1"/>
  <c r="L29" i="144"/>
  <c r="Z30" i="144"/>
  <c r="Z31" i="144" s="1"/>
  <c r="AH11" i="143"/>
  <c r="Z28" i="143"/>
  <c r="Z34" i="143"/>
  <c r="AG11" i="143"/>
  <c r="AH30" i="148"/>
  <c r="AH31" i="148" s="1"/>
  <c r="Z30" i="148"/>
  <c r="Z31" i="148" s="1"/>
  <c r="AG30" i="148"/>
  <c r="AG31" i="148" s="1"/>
  <c r="L29" i="148"/>
  <c r="L27" i="148"/>
  <c r="AF11" i="145"/>
  <c r="Y34" i="145"/>
  <c r="AE11" i="145"/>
  <c r="Y28" i="145"/>
  <c r="AF30" i="84"/>
  <c r="AF31" i="84" s="1"/>
  <c r="K27" i="84"/>
  <c r="AE30" i="84"/>
  <c r="AE31" i="84" s="1"/>
  <c r="Y30" i="84"/>
  <c r="Y31" i="84" s="1"/>
  <c r="K29" i="84"/>
  <c r="AG11" i="148"/>
  <c r="Z34" i="148"/>
  <c r="Z28" i="148"/>
  <c r="AH11" i="148"/>
  <c r="Y34" i="149"/>
  <c r="AF11" i="149"/>
  <c r="AE11" i="149"/>
  <c r="Y28" i="149"/>
  <c r="AJ11" i="103"/>
  <c r="AJ28" i="103" s="1"/>
  <c r="L29" i="83"/>
  <c r="L27" i="83"/>
  <c r="Z30" i="83"/>
  <c r="Z31" i="83" s="1"/>
  <c r="AG30" i="83"/>
  <c r="AG31" i="83" s="1"/>
  <c r="AH30" i="83"/>
  <c r="AH31" i="83" s="1"/>
  <c r="K27" i="146"/>
  <c r="Y30" i="146"/>
  <c r="Y31" i="146" s="1"/>
  <c r="AE30" i="146"/>
  <c r="AE31" i="146" s="1"/>
  <c r="AF30" i="146"/>
  <c r="AF31" i="146" s="1"/>
  <c r="K29" i="146"/>
  <c r="AG34" i="103"/>
  <c r="AG35" i="103" s="1"/>
  <c r="AG28" i="103"/>
  <c r="AF11" i="84"/>
  <c r="AE11" i="84"/>
  <c r="Y34" i="84"/>
  <c r="Y28" i="84"/>
  <c r="AH11" i="83"/>
  <c r="Z34" i="83"/>
  <c r="Z28" i="83"/>
  <c r="AG11" i="83"/>
  <c r="Z27" i="151" l="1"/>
  <c r="AJ11" i="151"/>
  <c r="AJ28" i="151" s="1"/>
  <c r="N30" i="151"/>
  <c r="V30" i="151"/>
  <c r="T30" i="151"/>
  <c r="F30" i="151"/>
  <c r="X30" i="151"/>
  <c r="R30" i="151"/>
  <c r="AF34" i="151"/>
  <c r="AF35" i="151" s="1"/>
  <c r="AJ11" i="156"/>
  <c r="AJ28" i="156" s="1"/>
  <c r="AJ29" i="156" s="1"/>
  <c r="AJ11" i="153"/>
  <c r="AJ28" i="153" s="1"/>
  <c r="AJ29" i="153" s="1"/>
  <c r="AI11" i="151"/>
  <c r="AI28" i="151" s="1"/>
  <c r="AI29" i="151" s="1"/>
  <c r="AJ11" i="154"/>
  <c r="AJ28" i="154" s="1"/>
  <c r="AJ27" i="154" s="1"/>
  <c r="K30" i="156"/>
  <c r="H30" i="151"/>
  <c r="P30" i="151"/>
  <c r="AJ11" i="152"/>
  <c r="AJ28" i="152" s="1"/>
  <c r="AJ29" i="152" s="1"/>
  <c r="L30" i="151"/>
  <c r="AI11" i="154"/>
  <c r="AI28" i="154" s="1"/>
  <c r="AI29" i="154" s="1"/>
  <c r="L30" i="156"/>
  <c r="K30" i="155"/>
  <c r="J30" i="151"/>
  <c r="AE28" i="156"/>
  <c r="AE34" i="156"/>
  <c r="AE35" i="156" s="1"/>
  <c r="Z29" i="155"/>
  <c r="Z27" i="155"/>
  <c r="X30" i="155"/>
  <c r="F30" i="155"/>
  <c r="T30" i="155"/>
  <c r="P30" i="155"/>
  <c r="H30" i="155"/>
  <c r="J30" i="155"/>
  <c r="V30" i="155"/>
  <c r="R30" i="155"/>
  <c r="N30" i="155"/>
  <c r="AH28" i="156"/>
  <c r="AH34" i="156"/>
  <c r="AH35" i="156" s="1"/>
  <c r="AF34" i="156"/>
  <c r="AF35" i="156" s="1"/>
  <c r="AF28" i="156"/>
  <c r="M30" i="151"/>
  <c r="AG34" i="156"/>
  <c r="AG35" i="156" s="1"/>
  <c r="AG28" i="156"/>
  <c r="AI11" i="156"/>
  <c r="AI28" i="156" s="1"/>
  <c r="AG28" i="155"/>
  <c r="AG34" i="155"/>
  <c r="AG35" i="155" s="1"/>
  <c r="U30" i="151"/>
  <c r="AH34" i="155"/>
  <c r="AH35" i="155" s="1"/>
  <c r="AH28" i="155"/>
  <c r="I30" i="151"/>
  <c r="L30" i="153"/>
  <c r="AI11" i="153"/>
  <c r="AI28" i="153" s="1"/>
  <c r="AI29" i="153" s="1"/>
  <c r="AJ11" i="155"/>
  <c r="AJ28" i="155" s="1"/>
  <c r="O30" i="151"/>
  <c r="S30" i="151"/>
  <c r="Y29" i="155"/>
  <c r="Y27" i="155"/>
  <c r="W30" i="155"/>
  <c r="E30" i="155"/>
  <c r="S30" i="155"/>
  <c r="O30" i="155"/>
  <c r="G30" i="155"/>
  <c r="I30" i="155"/>
  <c r="U30" i="155"/>
  <c r="Q30" i="155"/>
  <c r="M30" i="155"/>
  <c r="E30" i="151"/>
  <c r="W30" i="151"/>
  <c r="L30" i="155"/>
  <c r="AE28" i="155"/>
  <c r="AE34" i="155"/>
  <c r="AE35" i="155" s="1"/>
  <c r="Y29" i="151"/>
  <c r="K30" i="151"/>
  <c r="AF34" i="155"/>
  <c r="AF35" i="155" s="1"/>
  <c r="AF28" i="155"/>
  <c r="Y29" i="156"/>
  <c r="Y27" i="156"/>
  <c r="W30" i="156"/>
  <c r="E30" i="156"/>
  <c r="S30" i="156"/>
  <c r="O30" i="156"/>
  <c r="G30" i="156"/>
  <c r="I30" i="156"/>
  <c r="U30" i="156"/>
  <c r="Q30" i="156"/>
  <c r="M30" i="156"/>
  <c r="AI11" i="155"/>
  <c r="AI28" i="155" s="1"/>
  <c r="Z29" i="156"/>
  <c r="Z27" i="156"/>
  <c r="X30" i="156"/>
  <c r="F30" i="156"/>
  <c r="T30" i="156"/>
  <c r="P30" i="156"/>
  <c r="H30" i="156"/>
  <c r="J30" i="156"/>
  <c r="V30" i="156"/>
  <c r="N30" i="156"/>
  <c r="R30" i="156"/>
  <c r="Y29" i="153"/>
  <c r="Y27" i="153"/>
  <c r="W30" i="153"/>
  <c r="E30" i="153"/>
  <c r="S30" i="153"/>
  <c r="O30" i="153"/>
  <c r="G30" i="153"/>
  <c r="I30" i="153"/>
  <c r="U30" i="153"/>
  <c r="Q30" i="153"/>
  <c r="M30" i="153"/>
  <c r="Z29" i="154"/>
  <c r="Z27" i="154"/>
  <c r="X30" i="154"/>
  <c r="F30" i="154"/>
  <c r="T30" i="154"/>
  <c r="P30" i="154"/>
  <c r="H30" i="154"/>
  <c r="J30" i="154"/>
  <c r="V30" i="154"/>
  <c r="R30" i="154"/>
  <c r="N30" i="154"/>
  <c r="Z29" i="153"/>
  <c r="Z27" i="153"/>
  <c r="X30" i="153"/>
  <c r="F30" i="153"/>
  <c r="T30" i="153"/>
  <c r="P30" i="153"/>
  <c r="H30" i="153"/>
  <c r="J30" i="153"/>
  <c r="V30" i="153"/>
  <c r="R30" i="153"/>
  <c r="N30" i="153"/>
  <c r="Y29" i="154"/>
  <c r="Y27" i="154"/>
  <c r="W30" i="154"/>
  <c r="E30" i="154"/>
  <c r="S30" i="154"/>
  <c r="O30" i="154"/>
  <c r="G30" i="154"/>
  <c r="I30" i="154"/>
  <c r="U30" i="154"/>
  <c r="M30" i="154"/>
  <c r="Q30" i="154"/>
  <c r="AF34" i="153"/>
  <c r="AF35" i="153" s="1"/>
  <c r="AF28" i="153"/>
  <c r="AG28" i="153"/>
  <c r="AG34" i="153"/>
  <c r="AG35" i="153" s="1"/>
  <c r="AG28" i="154"/>
  <c r="AG34" i="154"/>
  <c r="AG35" i="154" s="1"/>
  <c r="AE34" i="153"/>
  <c r="AE35" i="153" s="1"/>
  <c r="AE28" i="153"/>
  <c r="AE34" i="154"/>
  <c r="AE35" i="154" s="1"/>
  <c r="AE28" i="154"/>
  <c r="AH28" i="153"/>
  <c r="AH34" i="153"/>
  <c r="AH35" i="153" s="1"/>
  <c r="AH34" i="154"/>
  <c r="AH35" i="154" s="1"/>
  <c r="AH28" i="154"/>
  <c r="Q30" i="151"/>
  <c r="AF34" i="154"/>
  <c r="AF35" i="154" s="1"/>
  <c r="AF28" i="154"/>
  <c r="G30" i="151"/>
  <c r="K30" i="154"/>
  <c r="L30" i="154"/>
  <c r="K30" i="153"/>
  <c r="K30" i="152"/>
  <c r="L30" i="152"/>
  <c r="AE34" i="152"/>
  <c r="AE35" i="152" s="1"/>
  <c r="AE28" i="152"/>
  <c r="Z29" i="152"/>
  <c r="Z27" i="152"/>
  <c r="X30" i="152"/>
  <c r="F30" i="152"/>
  <c r="T30" i="152"/>
  <c r="P30" i="152"/>
  <c r="H30" i="152"/>
  <c r="J30" i="152"/>
  <c r="V30" i="152"/>
  <c r="R30" i="152"/>
  <c r="N30" i="152"/>
  <c r="Y29" i="152"/>
  <c r="Y27" i="152"/>
  <c r="W30" i="152"/>
  <c r="E30" i="152"/>
  <c r="S30" i="152"/>
  <c r="O30" i="152"/>
  <c r="G30" i="152"/>
  <c r="I30" i="152"/>
  <c r="U30" i="152"/>
  <c r="M30" i="152"/>
  <c r="Q30" i="152"/>
  <c r="AF28" i="152"/>
  <c r="AF34" i="152"/>
  <c r="AF35" i="152" s="1"/>
  <c r="AG28" i="152"/>
  <c r="AG34" i="152"/>
  <c r="AG35" i="152" s="1"/>
  <c r="AI11" i="152"/>
  <c r="AI28" i="152" s="1"/>
  <c r="AH28" i="152"/>
  <c r="AH34" i="152"/>
  <c r="AH35" i="152" s="1"/>
  <c r="AD30" i="151"/>
  <c r="AH29" i="151"/>
  <c r="AH27" i="151"/>
  <c r="AB30" i="151"/>
  <c r="AF29" i="151"/>
  <c r="AF27" i="151"/>
  <c r="AJ29" i="151"/>
  <c r="AJ27" i="151"/>
  <c r="AE29" i="151"/>
  <c r="AA30" i="151"/>
  <c r="AE27" i="151"/>
  <c r="AC30" i="151"/>
  <c r="AG29" i="151"/>
  <c r="AG27" i="151"/>
  <c r="AJ11" i="85"/>
  <c r="AJ28" i="85" s="1"/>
  <c r="AJ27" i="85" s="1"/>
  <c r="K30" i="75"/>
  <c r="AJ11" i="143"/>
  <c r="AJ28" i="143" s="1"/>
  <c r="AJ27" i="143" s="1"/>
  <c r="K30" i="83"/>
  <c r="AI11" i="149"/>
  <c r="AI28" i="149" s="1"/>
  <c r="AI27" i="149" s="1"/>
  <c r="K30" i="84"/>
  <c r="L30" i="84"/>
  <c r="K30" i="146"/>
  <c r="AI11" i="146"/>
  <c r="AI28" i="146" s="1"/>
  <c r="AI29" i="146" s="1"/>
  <c r="AI11" i="84"/>
  <c r="AI28" i="84" s="1"/>
  <c r="AI27" i="84" s="1"/>
  <c r="AJ11" i="84"/>
  <c r="AJ28" i="84" s="1"/>
  <c r="AJ27" i="84" s="1"/>
  <c r="K30" i="149"/>
  <c r="L30" i="143"/>
  <c r="AI11" i="83"/>
  <c r="AI28" i="83" s="1"/>
  <c r="AI27" i="83" s="1"/>
  <c r="AJ11" i="83"/>
  <c r="AJ28" i="83" s="1"/>
  <c r="AJ27" i="83" s="1"/>
  <c r="K30" i="144"/>
  <c r="AJ11" i="148"/>
  <c r="AJ28" i="148" s="1"/>
  <c r="AJ27" i="148" s="1"/>
  <c r="AI11" i="145"/>
  <c r="AI11" i="144"/>
  <c r="AI28" i="144" s="1"/>
  <c r="AI29" i="144" s="1"/>
  <c r="AI11" i="147"/>
  <c r="AI28" i="147" s="1"/>
  <c r="AI27" i="147" s="1"/>
  <c r="L30" i="146"/>
  <c r="AJ11" i="149"/>
  <c r="AJ28" i="149" s="1"/>
  <c r="AJ27" i="149" s="1"/>
  <c r="L30" i="85"/>
  <c r="AI11" i="143"/>
  <c r="AI28" i="143" s="1"/>
  <c r="AI29" i="143" s="1"/>
  <c r="AI11" i="148"/>
  <c r="AI28" i="148" s="1"/>
  <c r="AI29" i="148" s="1"/>
  <c r="AI29" i="103"/>
  <c r="L30" i="83"/>
  <c r="Y32" i="103"/>
  <c r="AJ11" i="146"/>
  <c r="AJ28" i="146" s="1"/>
  <c r="AJ27" i="146" s="1"/>
  <c r="AJ27" i="103"/>
  <c r="AJ29" i="103"/>
  <c r="AG28" i="144"/>
  <c r="AG34" i="144"/>
  <c r="AG35" i="144" s="1"/>
  <c r="AH34" i="149"/>
  <c r="AH35" i="149" s="1"/>
  <c r="AH28" i="149"/>
  <c r="AH28" i="144"/>
  <c r="AH34" i="144"/>
  <c r="AH35" i="144" s="1"/>
  <c r="AH34" i="145"/>
  <c r="AH35" i="145" s="1"/>
  <c r="AH28" i="145"/>
  <c r="AE34" i="75"/>
  <c r="AE35" i="75" s="1"/>
  <c r="AE28" i="75"/>
  <c r="AH28" i="147"/>
  <c r="AH34" i="147"/>
  <c r="AH35" i="147" s="1"/>
  <c r="Z27" i="75"/>
  <c r="F30" i="75"/>
  <c r="V30" i="75"/>
  <c r="T30" i="75"/>
  <c r="R30" i="75"/>
  <c r="P30" i="75"/>
  <c r="Z29" i="75"/>
  <c r="N30" i="75"/>
  <c r="X30" i="75"/>
  <c r="H30" i="75"/>
  <c r="J30" i="75"/>
  <c r="AE34" i="85"/>
  <c r="AE35" i="85" s="1"/>
  <c r="AE28" i="85"/>
  <c r="S30" i="148"/>
  <c r="Q30" i="148"/>
  <c r="I30" i="148"/>
  <c r="U30" i="148"/>
  <c r="Y27" i="148"/>
  <c r="W30" i="148"/>
  <c r="Y29" i="148"/>
  <c r="O30" i="148"/>
  <c r="G30" i="148"/>
  <c r="E30" i="148"/>
  <c r="M30" i="148"/>
  <c r="AG34" i="83"/>
  <c r="AG35" i="83" s="1"/>
  <c r="AG28" i="83"/>
  <c r="Z27" i="149"/>
  <c r="V30" i="149"/>
  <c r="R30" i="149"/>
  <c r="X30" i="149"/>
  <c r="F30" i="149"/>
  <c r="T30" i="149"/>
  <c r="P30" i="149"/>
  <c r="J30" i="149"/>
  <c r="N30" i="149"/>
  <c r="H30" i="149"/>
  <c r="Z29" i="149"/>
  <c r="K30" i="148"/>
  <c r="AF34" i="147"/>
  <c r="AF35" i="147" s="1"/>
  <c r="AF28" i="147"/>
  <c r="P30" i="147"/>
  <c r="Z29" i="147"/>
  <c r="T30" i="147"/>
  <c r="R30" i="147"/>
  <c r="Z27" i="147"/>
  <c r="F30" i="147"/>
  <c r="V30" i="147"/>
  <c r="X30" i="147"/>
  <c r="H30" i="147"/>
  <c r="J30" i="147"/>
  <c r="N30" i="147"/>
  <c r="AH28" i="75"/>
  <c r="AH34" i="75"/>
  <c r="AH35" i="75" s="1"/>
  <c r="AF34" i="143"/>
  <c r="AF35" i="143" s="1"/>
  <c r="AF28" i="143"/>
  <c r="Y29" i="85"/>
  <c r="S30" i="85"/>
  <c r="G30" i="85"/>
  <c r="W30" i="85"/>
  <c r="E30" i="85"/>
  <c r="I30" i="85"/>
  <c r="M30" i="85"/>
  <c r="Q30" i="85"/>
  <c r="O30" i="85"/>
  <c r="Y27" i="85"/>
  <c r="U30" i="85"/>
  <c r="AF28" i="75"/>
  <c r="AF34" i="75"/>
  <c r="AF35" i="75" s="1"/>
  <c r="M30" i="146"/>
  <c r="O30" i="146"/>
  <c r="Y27" i="146"/>
  <c r="E30" i="146"/>
  <c r="Q30" i="146"/>
  <c r="G30" i="146"/>
  <c r="W30" i="146"/>
  <c r="S30" i="146"/>
  <c r="I30" i="146"/>
  <c r="U30" i="146"/>
  <c r="Y29" i="146"/>
  <c r="W30" i="143"/>
  <c r="E30" i="143"/>
  <c r="M30" i="143"/>
  <c r="U30" i="143"/>
  <c r="Q30" i="143"/>
  <c r="S30" i="143"/>
  <c r="O30" i="143"/>
  <c r="G30" i="143"/>
  <c r="Y27" i="143"/>
  <c r="I30" i="143"/>
  <c r="Y29" i="143"/>
  <c r="AF28" i="85"/>
  <c r="AF34" i="85"/>
  <c r="AF35" i="85" s="1"/>
  <c r="S30" i="75"/>
  <c r="E30" i="75"/>
  <c r="U30" i="75"/>
  <c r="W30" i="75"/>
  <c r="Y27" i="75"/>
  <c r="I30" i="75"/>
  <c r="M30" i="75"/>
  <c r="Y29" i="75"/>
  <c r="Q30" i="75"/>
  <c r="G30" i="75"/>
  <c r="O30" i="75"/>
  <c r="P30" i="144"/>
  <c r="F30" i="144"/>
  <c r="N30" i="144"/>
  <c r="H30" i="144"/>
  <c r="X30" i="144"/>
  <c r="V30" i="144"/>
  <c r="R30" i="144"/>
  <c r="J30" i="144"/>
  <c r="Z29" i="144"/>
  <c r="Z27" i="144"/>
  <c r="T30" i="144"/>
  <c r="AE34" i="149"/>
  <c r="AE35" i="149" s="1"/>
  <c r="AE28" i="149"/>
  <c r="AH28" i="85"/>
  <c r="AH34" i="85"/>
  <c r="AH35" i="85" s="1"/>
  <c r="Y29" i="147"/>
  <c r="S30" i="147"/>
  <c r="Q30" i="147"/>
  <c r="U30" i="147"/>
  <c r="O30" i="147"/>
  <c r="E30" i="147"/>
  <c r="W30" i="147"/>
  <c r="Y27" i="147"/>
  <c r="I30" i="147"/>
  <c r="G30" i="147"/>
  <c r="M30" i="147"/>
  <c r="L30" i="75"/>
  <c r="E30" i="83"/>
  <c r="U30" i="83"/>
  <c r="I30" i="83"/>
  <c r="W30" i="83"/>
  <c r="Y29" i="83"/>
  <c r="Q30" i="83"/>
  <c r="S30" i="83"/>
  <c r="O30" i="83"/>
  <c r="G30" i="83"/>
  <c r="Y27" i="83"/>
  <c r="M30" i="83"/>
  <c r="AE34" i="146"/>
  <c r="AE35" i="146" s="1"/>
  <c r="AE28" i="146"/>
  <c r="AE28" i="143"/>
  <c r="AE34" i="143"/>
  <c r="AE35" i="143" s="1"/>
  <c r="AF27" i="103"/>
  <c r="AB30" i="103"/>
  <c r="AF29" i="103"/>
  <c r="AH34" i="83"/>
  <c r="AH35" i="83" s="1"/>
  <c r="AH28" i="83"/>
  <c r="AF28" i="149"/>
  <c r="AF34" i="149"/>
  <c r="AF35" i="149" s="1"/>
  <c r="S30" i="144"/>
  <c r="Y27" i="144"/>
  <c r="G30" i="144"/>
  <c r="O30" i="144"/>
  <c r="I30" i="144"/>
  <c r="Q30" i="144"/>
  <c r="W30" i="144"/>
  <c r="U30" i="144"/>
  <c r="E30" i="144"/>
  <c r="Y29" i="144"/>
  <c r="M30" i="144"/>
  <c r="AG28" i="85"/>
  <c r="AG34" i="85"/>
  <c r="AG35" i="85" s="1"/>
  <c r="AE28" i="147"/>
  <c r="AE34" i="147"/>
  <c r="AE35" i="147" s="1"/>
  <c r="K30" i="147"/>
  <c r="AF28" i="83"/>
  <c r="AF34" i="83"/>
  <c r="AF35" i="83" s="1"/>
  <c r="AF28" i="146"/>
  <c r="AF34" i="146"/>
  <c r="AF35" i="146" s="1"/>
  <c r="O30" i="149"/>
  <c r="G30" i="149"/>
  <c r="I30" i="149"/>
  <c r="U30" i="149"/>
  <c r="M30" i="149"/>
  <c r="Y27" i="149"/>
  <c r="Y29" i="149"/>
  <c r="Q30" i="149"/>
  <c r="W30" i="149"/>
  <c r="E30" i="149"/>
  <c r="S30" i="149"/>
  <c r="AG34" i="143"/>
  <c r="AG35" i="143" s="1"/>
  <c r="AG28" i="143"/>
  <c r="X30" i="85"/>
  <c r="Z27" i="85"/>
  <c r="T30" i="85"/>
  <c r="R30" i="85"/>
  <c r="P30" i="85"/>
  <c r="N30" i="85"/>
  <c r="V30" i="85"/>
  <c r="F30" i="85"/>
  <c r="Z29" i="85"/>
  <c r="H30" i="85"/>
  <c r="J30" i="85"/>
  <c r="AE34" i="83"/>
  <c r="AE35" i="83" s="1"/>
  <c r="AE28" i="83"/>
  <c r="Z32" i="103"/>
  <c r="I30" i="84"/>
  <c r="S30" i="84"/>
  <c r="G30" i="84"/>
  <c r="Y27" i="84"/>
  <c r="M30" i="84"/>
  <c r="O30" i="84"/>
  <c r="E30" i="84"/>
  <c r="Q30" i="84"/>
  <c r="U30" i="84"/>
  <c r="W30" i="84"/>
  <c r="Y29" i="84"/>
  <c r="G30" i="145"/>
  <c r="Y27" i="145"/>
  <c r="E30" i="145"/>
  <c r="S30" i="145"/>
  <c r="M30" i="145"/>
  <c r="W30" i="145"/>
  <c r="O30" i="145"/>
  <c r="U30" i="145"/>
  <c r="Y29" i="145"/>
  <c r="I30" i="145"/>
  <c r="Q30" i="145"/>
  <c r="AE34" i="144"/>
  <c r="AE35" i="144" s="1"/>
  <c r="AE28" i="144"/>
  <c r="AG34" i="146"/>
  <c r="AG35" i="146" s="1"/>
  <c r="AG28" i="146"/>
  <c r="AH28" i="148"/>
  <c r="AH34" i="148"/>
  <c r="AH35" i="148" s="1"/>
  <c r="AE34" i="145"/>
  <c r="AE35" i="145" s="1"/>
  <c r="AE28" i="145"/>
  <c r="R30" i="143"/>
  <c r="X30" i="143"/>
  <c r="Z29" i="143"/>
  <c r="N30" i="143"/>
  <c r="H30" i="143"/>
  <c r="J30" i="143"/>
  <c r="P30" i="143"/>
  <c r="V30" i="143"/>
  <c r="Z27" i="143"/>
  <c r="F30" i="143"/>
  <c r="T30" i="143"/>
  <c r="AF28" i="144"/>
  <c r="AF34" i="144"/>
  <c r="AF35" i="144" s="1"/>
  <c r="L30" i="149"/>
  <c r="AA30" i="103"/>
  <c r="AE27" i="103"/>
  <c r="AE29" i="103"/>
  <c r="AJ11" i="145"/>
  <c r="AJ28" i="145" s="1"/>
  <c r="K30" i="85"/>
  <c r="Z27" i="84"/>
  <c r="N30" i="84"/>
  <c r="P30" i="84"/>
  <c r="X30" i="84"/>
  <c r="V30" i="84"/>
  <c r="H30" i="84"/>
  <c r="R30" i="84"/>
  <c r="T30" i="84"/>
  <c r="F30" i="84"/>
  <c r="Z29" i="84"/>
  <c r="J30" i="84"/>
  <c r="AE28" i="84"/>
  <c r="AE34" i="84"/>
  <c r="AE35" i="84" s="1"/>
  <c r="Z29" i="148"/>
  <c r="V30" i="148"/>
  <c r="T30" i="148"/>
  <c r="J30" i="148"/>
  <c r="R30" i="148"/>
  <c r="Z27" i="148"/>
  <c r="F30" i="148"/>
  <c r="H30" i="148"/>
  <c r="X30" i="148"/>
  <c r="P30" i="148"/>
  <c r="N30" i="148"/>
  <c r="AH34" i="143"/>
  <c r="AH35" i="143" s="1"/>
  <c r="AH28" i="143"/>
  <c r="K30" i="145"/>
  <c r="J30" i="146"/>
  <c r="R30" i="146"/>
  <c r="F30" i="146"/>
  <c r="V30" i="146"/>
  <c r="P30" i="146"/>
  <c r="H30" i="146"/>
  <c r="Z27" i="146"/>
  <c r="X30" i="146"/>
  <c r="N30" i="146"/>
  <c r="Z29" i="146"/>
  <c r="T30" i="146"/>
  <c r="AD30" i="103"/>
  <c r="AH29" i="103"/>
  <c r="AH27" i="103"/>
  <c r="K30" i="143"/>
  <c r="AG28" i="84"/>
  <c r="AG34" i="84"/>
  <c r="AG35" i="84" s="1"/>
  <c r="AG34" i="147"/>
  <c r="AG35" i="147" s="1"/>
  <c r="AG28" i="147"/>
  <c r="AF34" i="84"/>
  <c r="AF35" i="84" s="1"/>
  <c r="AF28" i="84"/>
  <c r="AF34" i="145"/>
  <c r="AF35" i="145" s="1"/>
  <c r="AF28" i="145"/>
  <c r="L30" i="144"/>
  <c r="AE34" i="148"/>
  <c r="AE35" i="148" s="1"/>
  <c r="AE28" i="148"/>
  <c r="AG34" i="145"/>
  <c r="AG35" i="145" s="1"/>
  <c r="AG28" i="145"/>
  <c r="AH28" i="146"/>
  <c r="AH34" i="146"/>
  <c r="AH35" i="146" s="1"/>
  <c r="AJ11" i="147"/>
  <c r="AJ28" i="147" s="1"/>
  <c r="AJ11" i="75"/>
  <c r="AJ28" i="75" s="1"/>
  <c r="AG34" i="149"/>
  <c r="AG35" i="149" s="1"/>
  <c r="AG28" i="149"/>
  <c r="Z29" i="83"/>
  <c r="T30" i="83"/>
  <c r="F30" i="83"/>
  <c r="P30" i="83"/>
  <c r="X30" i="83"/>
  <c r="H30" i="83"/>
  <c r="N30" i="83"/>
  <c r="J30" i="83"/>
  <c r="Z27" i="83"/>
  <c r="V30" i="83"/>
  <c r="R30" i="83"/>
  <c r="AG27" i="103"/>
  <c r="AG29" i="103"/>
  <c r="AC30" i="103"/>
  <c r="AG28" i="148"/>
  <c r="AG34" i="148"/>
  <c r="AG35" i="148" s="1"/>
  <c r="L30" i="148"/>
  <c r="AJ11" i="144"/>
  <c r="AJ28" i="144" s="1"/>
  <c r="AF34" i="148"/>
  <c r="AF35" i="148" s="1"/>
  <c r="AF28" i="148"/>
  <c r="J30" i="145"/>
  <c r="Z27" i="145"/>
  <c r="N30" i="145"/>
  <c r="Z29" i="145"/>
  <c r="X30" i="145"/>
  <c r="F30" i="145"/>
  <c r="P30" i="145"/>
  <c r="T30" i="145"/>
  <c r="H30" i="145"/>
  <c r="V30" i="145"/>
  <c r="R30" i="145"/>
  <c r="L30" i="145"/>
  <c r="L30" i="147"/>
  <c r="AI11" i="75"/>
  <c r="AI28" i="75" s="1"/>
  <c r="AG34" i="75"/>
  <c r="AG35" i="75" s="1"/>
  <c r="AG28" i="75"/>
  <c r="AH34" i="84"/>
  <c r="AH35" i="84" s="1"/>
  <c r="AH28" i="84"/>
  <c r="AI11" i="85"/>
  <c r="AI28" i="85" s="1"/>
  <c r="J50" i="109"/>
  <c r="L33" i="109"/>
  <c r="O53" i="109"/>
  <c r="O50" i="109"/>
  <c r="N54" i="109"/>
  <c r="L56" i="109"/>
  <c r="K40" i="109"/>
  <c r="G57" i="109"/>
  <c r="L35" i="109"/>
  <c r="J57" i="109"/>
  <c r="G30" i="109"/>
  <c r="I57" i="109"/>
  <c r="J51" i="109"/>
  <c r="N52" i="109"/>
  <c r="O39" i="109"/>
  <c r="M38" i="109"/>
  <c r="M33" i="109"/>
  <c r="F42" i="109"/>
  <c r="F30" i="109"/>
  <c r="G50" i="109"/>
  <c r="H55" i="109"/>
  <c r="O54" i="109"/>
  <c r="K38" i="109"/>
  <c r="J49" i="109"/>
  <c r="H34" i="109"/>
  <c r="O37" i="109"/>
  <c r="F38" i="109"/>
  <c r="H30" i="109"/>
  <c r="K50" i="109"/>
  <c r="G52" i="109"/>
  <c r="N33" i="109"/>
  <c r="O56" i="109"/>
  <c r="L39" i="109"/>
  <c r="I30" i="109"/>
  <c r="H39" i="109"/>
  <c r="N34" i="109"/>
  <c r="J33" i="109"/>
  <c r="G56" i="109"/>
  <c r="N37" i="109"/>
  <c r="F51" i="109"/>
  <c r="M49" i="109"/>
  <c r="K39" i="109"/>
  <c r="N53" i="109"/>
  <c r="J34" i="109"/>
  <c r="J35" i="109"/>
  <c r="G51" i="109"/>
  <c r="J53" i="109"/>
  <c r="I47" i="109"/>
  <c r="O35" i="109"/>
  <c r="L34" i="109"/>
  <c r="F52" i="109"/>
  <c r="H32" i="109"/>
  <c r="L55" i="109"/>
  <c r="L49" i="109"/>
  <c r="I34" i="109"/>
  <c r="F56" i="109"/>
  <c r="N51" i="109"/>
  <c r="L52" i="109"/>
  <c r="J40" i="109"/>
  <c r="G34" i="109"/>
  <c r="F40" i="109"/>
  <c r="K56" i="109"/>
  <c r="N40" i="109"/>
  <c r="L32" i="109"/>
  <c r="N50" i="109"/>
  <c r="O36" i="109"/>
  <c r="N49" i="109"/>
  <c r="K52" i="109"/>
  <c r="I59" i="109"/>
  <c r="I54" i="109"/>
  <c r="G38" i="109"/>
  <c r="I32" i="109"/>
  <c r="H35" i="109"/>
  <c r="O33" i="109"/>
  <c r="O34" i="109"/>
  <c r="H53" i="109"/>
  <c r="N55" i="109"/>
  <c r="L36" i="109"/>
  <c r="I56" i="109"/>
  <c r="F49" i="109"/>
  <c r="G47" i="109"/>
  <c r="K55" i="109"/>
  <c r="G32" i="109"/>
  <c r="G53" i="109"/>
  <c r="J32" i="109"/>
  <c r="J47" i="109"/>
  <c r="I52" i="109"/>
  <c r="K37" i="109"/>
  <c r="J30" i="109"/>
  <c r="H51" i="109"/>
  <c r="L53" i="109"/>
  <c r="I37" i="109"/>
  <c r="H37" i="109"/>
  <c r="K33" i="109"/>
  <c r="G39" i="109"/>
  <c r="M30" i="109"/>
  <c r="H56" i="109"/>
  <c r="M56" i="109"/>
  <c r="O49" i="109"/>
  <c r="M52" i="109"/>
  <c r="F33" i="109"/>
  <c r="F39" i="109"/>
  <c r="G35" i="109"/>
  <c r="I55" i="109"/>
  <c r="G37" i="109"/>
  <c r="F55" i="109"/>
  <c r="J56" i="109"/>
  <c r="G59" i="109"/>
  <c r="K30" i="109"/>
  <c r="I42" i="109"/>
  <c r="J52" i="109"/>
  <c r="J39" i="109"/>
  <c r="I51" i="109"/>
  <c r="M39" i="109"/>
  <c r="N39" i="109"/>
  <c r="L50" i="109"/>
  <c r="F59" i="109"/>
  <c r="M35" i="109"/>
  <c r="M42" i="109"/>
  <c r="K32" i="109"/>
  <c r="J55" i="109"/>
  <c r="M51" i="109"/>
  <c r="O57" i="109"/>
  <c r="O32" i="109"/>
  <c r="H36" i="109"/>
  <c r="F54" i="109"/>
  <c r="N36" i="109"/>
  <c r="F50" i="109"/>
  <c r="K47" i="109"/>
  <c r="J54" i="109"/>
  <c r="J37" i="109"/>
  <c r="M37" i="109"/>
  <c r="H54" i="109"/>
  <c r="I33" i="109"/>
  <c r="G55" i="109"/>
  <c r="H57" i="109"/>
  <c r="L40" i="109"/>
  <c r="O38" i="109"/>
  <c r="H52" i="109"/>
  <c r="M34" i="109"/>
  <c r="O40" i="109"/>
  <c r="L59" i="109"/>
  <c r="K35" i="109"/>
  <c r="N35" i="109"/>
  <c r="F37" i="109"/>
  <c r="K54" i="109"/>
  <c r="F35" i="109"/>
  <c r="I50" i="109"/>
  <c r="I40" i="109"/>
  <c r="N56" i="109"/>
  <c r="N57" i="109"/>
  <c r="H33" i="109"/>
  <c r="F53" i="109"/>
  <c r="J36" i="109"/>
  <c r="G40" i="109"/>
  <c r="K57" i="109"/>
  <c r="K53" i="109"/>
  <c r="I35" i="109"/>
  <c r="K49" i="109"/>
  <c r="L51" i="109"/>
  <c r="H50" i="109"/>
  <c r="E42" i="109"/>
  <c r="I38" i="109"/>
  <c r="E59" i="109"/>
  <c r="J38" i="109"/>
  <c r="G36" i="109"/>
  <c r="M32" i="109"/>
  <c r="O55" i="109"/>
  <c r="O52" i="109"/>
  <c r="L57" i="109"/>
  <c r="G33" i="109"/>
  <c r="G49" i="109"/>
  <c r="M55" i="109"/>
  <c r="N47" i="109"/>
  <c r="K51" i="109"/>
  <c r="H47" i="109"/>
  <c r="F32" i="109"/>
  <c r="L37" i="109"/>
  <c r="F57" i="109"/>
  <c r="K59" i="109"/>
  <c r="O30" i="109"/>
  <c r="M54" i="109"/>
  <c r="N59" i="109"/>
  <c r="M50" i="109"/>
  <c r="L54" i="109"/>
  <c r="M57" i="109"/>
  <c r="M47" i="109"/>
  <c r="N32" i="109"/>
  <c r="F47" i="109"/>
  <c r="N30" i="109"/>
  <c r="L47" i="109"/>
  <c r="M40" i="109"/>
  <c r="L30" i="109"/>
  <c r="O51" i="109"/>
  <c r="F34" i="109"/>
  <c r="F36" i="109"/>
  <c r="H38" i="109"/>
  <c r="L38" i="109"/>
  <c r="I53" i="109"/>
  <c r="G54" i="109"/>
  <c r="M53" i="109"/>
  <c r="I36" i="109"/>
  <c r="O47" i="109"/>
  <c r="H40" i="109"/>
  <c r="N38" i="109"/>
  <c r="K34" i="109"/>
  <c r="H49" i="109"/>
  <c r="K36" i="109"/>
  <c r="I49" i="109"/>
  <c r="I39" i="109"/>
  <c r="M36" i="109"/>
  <c r="AI28" i="145" l="1"/>
  <c r="AI27" i="145" s="1"/>
  <c r="Z32" i="151"/>
  <c r="AI27" i="151"/>
  <c r="AJ29" i="154"/>
  <c r="AJ27" i="153"/>
  <c r="AJ27" i="156"/>
  <c r="AJ27" i="152"/>
  <c r="AI27" i="154"/>
  <c r="Y32" i="151"/>
  <c r="AI27" i="153"/>
  <c r="AC30" i="155"/>
  <c r="AG29" i="155"/>
  <c r="AG27" i="155"/>
  <c r="AC30" i="156"/>
  <c r="AG29" i="156"/>
  <c r="AG27" i="156"/>
  <c r="AI29" i="156"/>
  <c r="AI27" i="156"/>
  <c r="AJ29" i="155"/>
  <c r="AJ27" i="155"/>
  <c r="Z32" i="155"/>
  <c r="AB30" i="156"/>
  <c r="AF29" i="156"/>
  <c r="AF27" i="156"/>
  <c r="AI29" i="155"/>
  <c r="AI27" i="155"/>
  <c r="AB30" i="155"/>
  <c r="AF29" i="155"/>
  <c r="AF27" i="155"/>
  <c r="Y32" i="156"/>
  <c r="Z32" i="154"/>
  <c r="AD30" i="155"/>
  <c r="AH29" i="155"/>
  <c r="AH27" i="155"/>
  <c r="AD30" i="156"/>
  <c r="AH29" i="156"/>
  <c r="AH27" i="156"/>
  <c r="Z32" i="156"/>
  <c r="AA30" i="156"/>
  <c r="AE29" i="156"/>
  <c r="AE27" i="156"/>
  <c r="Y32" i="155"/>
  <c r="AE29" i="155"/>
  <c r="AA30" i="155"/>
  <c r="AE27" i="155"/>
  <c r="AE29" i="153"/>
  <c r="AA30" i="153"/>
  <c r="AE27" i="153"/>
  <c r="Y32" i="153"/>
  <c r="Z32" i="153"/>
  <c r="AB30" i="154"/>
  <c r="AF29" i="154"/>
  <c r="AF27" i="154"/>
  <c r="AC30" i="154"/>
  <c r="AG29" i="154"/>
  <c r="AG27" i="154"/>
  <c r="Y32" i="154"/>
  <c r="AC30" i="153"/>
  <c r="AG29" i="153"/>
  <c r="AG27" i="153"/>
  <c r="AD30" i="154"/>
  <c r="AH29" i="154"/>
  <c r="AH27" i="154"/>
  <c r="AF29" i="153"/>
  <c r="AB30" i="153"/>
  <c r="AF27" i="153"/>
  <c r="AD30" i="153"/>
  <c r="AH29" i="153"/>
  <c r="AH27" i="153"/>
  <c r="AA30" i="154"/>
  <c r="AE29" i="154"/>
  <c r="AE27" i="154"/>
  <c r="AD30" i="152"/>
  <c r="AH29" i="152"/>
  <c r="AH27" i="152"/>
  <c r="AI29" i="152"/>
  <c r="AI27" i="152"/>
  <c r="Z32" i="152"/>
  <c r="AC30" i="152"/>
  <c r="AG29" i="152"/>
  <c r="AG27" i="152"/>
  <c r="Y32" i="152"/>
  <c r="AB30" i="152"/>
  <c r="AF29" i="152"/>
  <c r="AF27" i="152"/>
  <c r="AA30" i="152"/>
  <c r="AE29" i="152"/>
  <c r="AE27" i="152"/>
  <c r="AC32" i="151"/>
  <c r="AA32" i="151"/>
  <c r="AC32" i="103"/>
  <c r="G48" i="109"/>
  <c r="F48" i="109"/>
  <c r="E48" i="109"/>
  <c r="I48" i="109"/>
  <c r="N48" i="109"/>
  <c r="K48" i="109"/>
  <c r="L48" i="109"/>
  <c r="I31" i="109"/>
  <c r="F31" i="109"/>
  <c r="M31" i="109"/>
  <c r="E31" i="109"/>
  <c r="AA32" i="103"/>
  <c r="AJ29" i="85"/>
  <c r="AI27" i="144"/>
  <c r="AJ29" i="83"/>
  <c r="AJ29" i="148"/>
  <c r="AI27" i="148"/>
  <c r="AI29" i="84"/>
  <c r="AJ29" i="143"/>
  <c r="AI27" i="146"/>
  <c r="AJ29" i="84"/>
  <c r="AI29" i="149"/>
  <c r="AI29" i="83"/>
  <c r="AJ29" i="149"/>
  <c r="AI27" i="143"/>
  <c r="AI29" i="147"/>
  <c r="AJ29" i="146"/>
  <c r="Z32" i="146"/>
  <c r="Z32" i="148"/>
  <c r="Y32" i="149"/>
  <c r="Z32" i="147"/>
  <c r="AG29" i="83"/>
  <c r="AC30" i="83"/>
  <c r="AG27" i="83"/>
  <c r="Z32" i="75"/>
  <c r="AE27" i="144"/>
  <c r="AA30" i="144"/>
  <c r="AE29" i="144"/>
  <c r="AC30" i="144"/>
  <c r="AG27" i="144"/>
  <c r="AG29" i="144"/>
  <c r="AI29" i="85"/>
  <c r="AI27" i="85"/>
  <c r="AC30" i="148"/>
  <c r="AG27" i="148"/>
  <c r="AG29" i="148"/>
  <c r="Z32" i="83"/>
  <c r="AE29" i="143"/>
  <c r="AE27" i="143"/>
  <c r="AA30" i="143"/>
  <c r="AD30" i="84"/>
  <c r="AH29" i="84"/>
  <c r="AH27" i="84"/>
  <c r="Z32" i="145"/>
  <c r="AF27" i="144"/>
  <c r="AB30" i="144"/>
  <c r="AF29" i="144"/>
  <c r="AA30" i="145"/>
  <c r="AE29" i="145"/>
  <c r="AE27" i="145"/>
  <c r="AA30" i="146"/>
  <c r="AE27" i="146"/>
  <c r="AE29" i="146"/>
  <c r="Y32" i="83"/>
  <c r="Y32" i="148"/>
  <c r="AH27" i="147"/>
  <c r="AH29" i="147"/>
  <c r="AD30" i="147"/>
  <c r="AF27" i="83"/>
  <c r="AB30" i="83"/>
  <c r="AF29" i="83"/>
  <c r="AE27" i="85"/>
  <c r="AE29" i="85"/>
  <c r="AA30" i="85"/>
  <c r="AF29" i="145"/>
  <c r="AB30" i="145"/>
  <c r="AF27" i="145"/>
  <c r="AE29" i="83"/>
  <c r="AE27" i="83"/>
  <c r="AA30" i="83"/>
  <c r="AE27" i="147"/>
  <c r="AE29" i="147"/>
  <c r="AA30" i="147"/>
  <c r="Y32" i="146"/>
  <c r="AE27" i="75"/>
  <c r="AE29" i="75"/>
  <c r="AA30" i="75"/>
  <c r="AE27" i="148"/>
  <c r="AE29" i="148"/>
  <c r="AA30" i="148"/>
  <c r="AC30" i="75"/>
  <c r="AG29" i="75"/>
  <c r="AG27" i="75"/>
  <c r="AC30" i="149"/>
  <c r="AG29" i="149"/>
  <c r="AG27" i="149"/>
  <c r="Z32" i="143"/>
  <c r="AG27" i="143"/>
  <c r="AC30" i="143"/>
  <c r="AG29" i="143"/>
  <c r="AH29" i="85"/>
  <c r="AH27" i="85"/>
  <c r="AD30" i="85"/>
  <c r="Z32" i="149"/>
  <c r="AF29" i="143"/>
  <c r="AF27" i="143"/>
  <c r="AB30" i="143"/>
  <c r="AF27" i="84"/>
  <c r="AF29" i="84"/>
  <c r="AB30" i="84"/>
  <c r="AH29" i="143"/>
  <c r="AH27" i="143"/>
  <c r="AD30" i="143"/>
  <c r="AD30" i="148"/>
  <c r="AH29" i="148"/>
  <c r="AH27" i="148"/>
  <c r="AC30" i="85"/>
  <c r="AG27" i="85"/>
  <c r="AG29" i="85"/>
  <c r="Y32" i="75"/>
  <c r="AD30" i="75"/>
  <c r="AH29" i="75"/>
  <c r="AH27" i="75"/>
  <c r="AF29" i="147"/>
  <c r="AB30" i="147"/>
  <c r="AF27" i="147"/>
  <c r="AH27" i="145"/>
  <c r="AD30" i="145"/>
  <c r="AH29" i="145"/>
  <c r="AI29" i="75"/>
  <c r="AI27" i="75"/>
  <c r="AJ27" i="75"/>
  <c r="AJ29" i="75"/>
  <c r="AB30" i="149"/>
  <c r="AF29" i="149"/>
  <c r="AF27" i="149"/>
  <c r="Z32" i="144"/>
  <c r="Y32" i="143"/>
  <c r="AJ27" i="147"/>
  <c r="AJ29" i="147"/>
  <c r="AC30" i="147"/>
  <c r="AG29" i="147"/>
  <c r="AG27" i="147"/>
  <c r="AE27" i="84"/>
  <c r="AE29" i="84"/>
  <c r="AA30" i="84"/>
  <c r="Y32" i="84"/>
  <c r="AH27" i="83"/>
  <c r="AH29" i="83"/>
  <c r="AD30" i="83"/>
  <c r="AA30" i="149"/>
  <c r="AE29" i="149"/>
  <c r="AE27" i="149"/>
  <c r="Y32" i="85"/>
  <c r="AF29" i="148"/>
  <c r="AB30" i="148"/>
  <c r="AF27" i="148"/>
  <c r="AJ29" i="145"/>
  <c r="AJ27" i="145"/>
  <c r="Z32" i="85"/>
  <c r="Y32" i="144"/>
  <c r="AB30" i="85"/>
  <c r="AF29" i="85"/>
  <c r="AF27" i="85"/>
  <c r="AH27" i="144"/>
  <c r="AD30" i="144"/>
  <c r="AH29" i="144"/>
  <c r="AH29" i="146"/>
  <c r="AH27" i="146"/>
  <c r="AD30" i="146"/>
  <c r="Y32" i="147"/>
  <c r="AD30" i="149"/>
  <c r="AH29" i="149"/>
  <c r="AH27" i="149"/>
  <c r="AJ29" i="144"/>
  <c r="AJ27" i="144"/>
  <c r="AG27" i="145"/>
  <c r="AC30" i="145"/>
  <c r="AG29" i="145"/>
  <c r="AG27" i="84"/>
  <c r="AG29" i="84"/>
  <c r="AC30" i="84"/>
  <c r="Z32" i="84"/>
  <c r="AC30" i="146"/>
  <c r="AG29" i="146"/>
  <c r="AG27" i="146"/>
  <c r="Y32" i="145"/>
  <c r="AF29" i="146"/>
  <c r="AF27" i="146"/>
  <c r="AB30" i="146"/>
  <c r="AF29" i="75"/>
  <c r="AF27" i="75"/>
  <c r="AB30" i="75"/>
  <c r="J42" i="109"/>
  <c r="H42" i="109"/>
  <c r="O42" i="109"/>
  <c r="M59" i="109"/>
  <c r="N42" i="109"/>
  <c r="H59" i="109"/>
  <c r="G42" i="109"/>
  <c r="O59" i="109"/>
  <c r="K42" i="109"/>
  <c r="J59" i="109"/>
  <c r="L42" i="109"/>
  <c r="AA32" i="84" l="1"/>
  <c r="AI29" i="145"/>
  <c r="J31" i="109"/>
  <c r="AC32" i="154"/>
  <c r="AC32" i="152"/>
  <c r="AA32" i="155"/>
  <c r="AA32" i="156"/>
  <c r="AC32" i="156"/>
  <c r="AC32" i="155"/>
  <c r="AA32" i="153"/>
  <c r="AA32" i="154"/>
  <c r="AC32" i="153"/>
  <c r="AA32" i="152"/>
  <c r="H48" i="109"/>
  <c r="O48" i="109"/>
  <c r="M48" i="109"/>
  <c r="J48" i="109"/>
  <c r="K31" i="109"/>
  <c r="H31" i="109"/>
  <c r="L31" i="109"/>
  <c r="N31" i="109"/>
  <c r="G31" i="109"/>
  <c r="O31" i="109"/>
  <c r="AA32" i="149"/>
  <c r="AA32" i="145"/>
  <c r="AC32" i="145"/>
  <c r="AC32" i="146"/>
  <c r="AC32" i="143"/>
  <c r="AC32" i="149"/>
  <c r="AC32" i="147"/>
  <c r="AC32" i="75"/>
  <c r="AA32" i="148"/>
  <c r="AA32" i="144"/>
  <c r="AA32" i="147"/>
  <c r="AC32" i="85"/>
  <c r="AC32" i="83"/>
  <c r="AA32" i="83"/>
  <c r="AC32" i="148"/>
  <c r="AA32" i="75"/>
  <c r="AC32" i="144"/>
  <c r="AC32" i="84"/>
  <c r="AA32" i="85"/>
  <c r="AA32" i="143"/>
  <c r="AA32" i="146"/>
  <c r="AC42" i="151" a="1"/>
  <c r="AD42" i="153" a="1"/>
  <c r="AD42" i="152" a="1"/>
  <c r="AD42" i="155" a="1"/>
  <c r="AC42" i="153" a="1"/>
  <c r="AC42" i="155" a="1"/>
  <c r="AD42" i="154" a="1"/>
  <c r="AD42" i="156" a="1"/>
  <c r="AC42" i="152" a="1"/>
  <c r="AC42" i="156" a="1"/>
  <c r="AD42" i="151" a="1"/>
  <c r="AC42" i="154" a="1"/>
  <c r="AC42" i="156" l="1"/>
  <c r="AC42" i="155"/>
  <c r="AD42" i="156"/>
  <c r="AD42" i="155"/>
  <c r="AD42" i="154"/>
  <c r="AD42" i="153"/>
  <c r="AC42" i="154"/>
  <c r="AC42" i="153"/>
  <c r="AD42" i="152"/>
  <c r="AC42" i="152"/>
  <c r="AD42" i="151"/>
  <c r="AC42" i="1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A2424F8-1ACD-4FA5-BDF7-5C061AF55B6F}">
      <text>
        <r>
          <rPr>
            <b/>
            <sz val="9"/>
            <color indexed="81"/>
            <rFont val="Tahoma"/>
            <family val="2"/>
          </rPr>
          <t>Tom Carlson:</t>
        </r>
        <r>
          <rPr>
            <sz val="9"/>
            <color indexed="81"/>
            <rFont val="Tahoma"/>
            <family val="2"/>
          </rPr>
          <t xml:space="preserve">
Existing Units compliance rate.</t>
        </r>
      </text>
    </comment>
    <comment ref="R4" authorId="0" shapeId="0" xr:uid="{71E37F89-4ED0-448A-9A61-1A63199CF7C0}">
      <text>
        <r>
          <rPr>
            <b/>
            <sz val="9"/>
            <color indexed="81"/>
            <rFont val="Tahoma"/>
            <family val="2"/>
          </rPr>
          <t>Tom Carlson:</t>
        </r>
        <r>
          <rPr>
            <sz val="9"/>
            <color indexed="81"/>
            <rFont val="Tahoma"/>
            <family val="2"/>
          </rPr>
          <t xml:space="preserve">
New Construction Units compliance rate.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14B1882-BBC0-4E6F-BC5D-9BFD63EC5290}">
      <text>
        <r>
          <rPr>
            <b/>
            <sz val="9"/>
            <color indexed="81"/>
            <rFont val="Tahoma"/>
            <family val="2"/>
          </rPr>
          <t>Tom Carlson:</t>
        </r>
        <r>
          <rPr>
            <sz val="9"/>
            <color indexed="81"/>
            <rFont val="Tahoma"/>
            <family val="2"/>
          </rPr>
          <t xml:space="preserve">
Existing Units compliance rate.</t>
        </r>
      </text>
    </comment>
    <comment ref="R4" authorId="0" shapeId="0" xr:uid="{86B378ED-16A4-4761-BD3B-F68D7B207B04}">
      <text>
        <r>
          <rPr>
            <b/>
            <sz val="9"/>
            <color indexed="81"/>
            <rFont val="Tahoma"/>
            <family val="2"/>
          </rPr>
          <t>Tom Carlson:</t>
        </r>
        <r>
          <rPr>
            <sz val="9"/>
            <color indexed="81"/>
            <rFont val="Tahoma"/>
            <family val="2"/>
          </rPr>
          <t xml:space="preserve">
New Construction Units compliance rate.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99FFB56F-14D6-4254-B513-88C4D97741D1}">
      <text>
        <r>
          <rPr>
            <b/>
            <sz val="9"/>
            <color indexed="81"/>
            <rFont val="Tahoma"/>
            <family val="2"/>
          </rPr>
          <t>Tom Carlson:</t>
        </r>
        <r>
          <rPr>
            <sz val="9"/>
            <color indexed="81"/>
            <rFont val="Tahoma"/>
            <family val="2"/>
          </rPr>
          <t xml:space="preserve">
Existing Units compliance rate.</t>
        </r>
      </text>
    </comment>
    <comment ref="R4" authorId="0" shapeId="0" xr:uid="{DEA54A1A-D6AD-4F03-ABB4-661296C66717}">
      <text>
        <r>
          <rPr>
            <b/>
            <sz val="9"/>
            <color indexed="81"/>
            <rFont val="Tahoma"/>
            <family val="2"/>
          </rPr>
          <t>Tom Carlson:</t>
        </r>
        <r>
          <rPr>
            <sz val="9"/>
            <color indexed="81"/>
            <rFont val="Tahoma"/>
            <family val="2"/>
          </rPr>
          <t xml:space="preserve">
New Construction Units compliance rate.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0000000-0006-0000-0000-000001000000}">
      <text>
        <r>
          <rPr>
            <b/>
            <sz val="9"/>
            <color indexed="81"/>
            <rFont val="Tahoma"/>
            <family val="2"/>
          </rPr>
          <t>Tom Carlson:</t>
        </r>
        <r>
          <rPr>
            <sz val="9"/>
            <color indexed="81"/>
            <rFont val="Tahoma"/>
            <family val="2"/>
          </rPr>
          <t xml:space="preserve">
Existing Units compliance rate.</t>
        </r>
      </text>
    </comment>
    <comment ref="R4" authorId="0" shapeId="0" xr:uid="{00000000-0006-0000-0000-000002000000}">
      <text>
        <r>
          <rPr>
            <b/>
            <sz val="9"/>
            <color indexed="81"/>
            <rFont val="Tahoma"/>
            <family val="2"/>
          </rPr>
          <t>Tom Carlson:</t>
        </r>
        <r>
          <rPr>
            <sz val="9"/>
            <color indexed="81"/>
            <rFont val="Tahoma"/>
            <family val="2"/>
          </rPr>
          <t xml:space="preserve">
New Construction Units compliance rate.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F19" authorId="0" shapeId="0" xr:uid="{00000000-0006-0000-0200-000001000000}">
      <text>
        <r>
          <rPr>
            <b/>
            <sz val="9"/>
            <color indexed="81"/>
            <rFont val="Tahoma"/>
            <family val="2"/>
          </rPr>
          <t>Tom Carlson:</t>
        </r>
        <r>
          <rPr>
            <sz val="9"/>
            <color indexed="81"/>
            <rFont val="Tahoma"/>
            <family val="2"/>
          </rPr>
          <t xml:space="preserve">
Accounts for compliance rate.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TCarlson</author>
  </authors>
  <commentList>
    <comment ref="I21" authorId="0" shapeId="0" xr:uid="{00000000-0006-0000-0600-000001000000}">
      <text>
        <r>
          <rPr>
            <b/>
            <sz val="9"/>
            <color indexed="81"/>
            <rFont val="Tahoma"/>
            <family val="2"/>
          </rPr>
          <t>TCarlson:</t>
        </r>
        <r>
          <rPr>
            <sz val="9"/>
            <color indexed="81"/>
            <rFont val="Tahoma"/>
            <family val="2"/>
          </rPr>
          <t xml:space="preserve">
Estimated from FNSB parcel database:
 - 21,208 residential parcels in NA Area,
 -  4,274 are &gt; 2 acres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7A73138-1BD7-4657-B4F1-245D34AD6946}">
      <text>
        <r>
          <rPr>
            <b/>
            <sz val="9"/>
            <color indexed="81"/>
            <rFont val="Tahoma"/>
            <family val="2"/>
          </rPr>
          <t>Tom Carlson:</t>
        </r>
        <r>
          <rPr>
            <sz val="9"/>
            <color indexed="81"/>
            <rFont val="Tahoma"/>
            <family val="2"/>
          </rPr>
          <t xml:space="preserve">
Existing Units compliance rate.</t>
        </r>
      </text>
    </comment>
    <comment ref="R4" authorId="0" shapeId="0" xr:uid="{2C3F3547-A499-4797-8875-4B56401EC3E3}">
      <text>
        <r>
          <rPr>
            <b/>
            <sz val="9"/>
            <color indexed="81"/>
            <rFont val="Tahoma"/>
            <family val="2"/>
          </rPr>
          <t>Tom Carlson:</t>
        </r>
        <r>
          <rPr>
            <sz val="9"/>
            <color indexed="81"/>
            <rFont val="Tahoma"/>
            <family val="2"/>
          </rPr>
          <t xml:space="preserve">
New Construction Units compliance rate.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D442CFA-E483-48D0-9608-FDD8576E6DBF}">
      <text>
        <r>
          <rPr>
            <b/>
            <sz val="9"/>
            <color indexed="81"/>
            <rFont val="Tahoma"/>
            <family val="2"/>
          </rPr>
          <t>Tom Carlson:</t>
        </r>
        <r>
          <rPr>
            <sz val="9"/>
            <color indexed="81"/>
            <rFont val="Tahoma"/>
            <family val="2"/>
          </rPr>
          <t xml:space="preserve">
Existing Units compliance rate.</t>
        </r>
      </text>
    </comment>
    <comment ref="R4" authorId="0" shapeId="0" xr:uid="{83993250-3102-49FA-B990-8CC8CCA8AB2B}">
      <text>
        <r>
          <rPr>
            <b/>
            <sz val="9"/>
            <color indexed="81"/>
            <rFont val="Tahoma"/>
            <family val="2"/>
          </rPr>
          <t>Tom Carlson:</t>
        </r>
        <r>
          <rPr>
            <sz val="9"/>
            <color indexed="81"/>
            <rFont val="Tahoma"/>
            <family val="2"/>
          </rPr>
          <t xml:space="preserve">
New Construction Units compliance rate.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A824548-FABC-40C2-8015-CE3533AB4B9E}">
      <text>
        <r>
          <rPr>
            <b/>
            <sz val="9"/>
            <color indexed="81"/>
            <rFont val="Tahoma"/>
            <family val="2"/>
          </rPr>
          <t>Tom Carlson:</t>
        </r>
        <r>
          <rPr>
            <sz val="9"/>
            <color indexed="81"/>
            <rFont val="Tahoma"/>
            <family val="2"/>
          </rPr>
          <t xml:space="preserve">
Existing Units compliance rate.</t>
        </r>
      </text>
    </comment>
    <comment ref="R4" authorId="0" shapeId="0" xr:uid="{537A7DCB-5478-47EB-8990-01D53A1E96A4}">
      <text>
        <r>
          <rPr>
            <b/>
            <sz val="9"/>
            <color indexed="81"/>
            <rFont val="Tahoma"/>
            <family val="2"/>
          </rPr>
          <t>Tom Carlson:</t>
        </r>
        <r>
          <rPr>
            <sz val="9"/>
            <color indexed="81"/>
            <rFont val="Tahoma"/>
            <family val="2"/>
          </rPr>
          <t xml:space="preserve">
New Construction Units compliance rate.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B3A8FF4F-88F7-46D0-B71E-DCA464D28304}">
      <text>
        <r>
          <rPr>
            <b/>
            <sz val="9"/>
            <color indexed="81"/>
            <rFont val="Tahoma"/>
            <family val="2"/>
          </rPr>
          <t>Tom Carlson:</t>
        </r>
        <r>
          <rPr>
            <sz val="9"/>
            <color indexed="81"/>
            <rFont val="Tahoma"/>
            <family val="2"/>
          </rPr>
          <t xml:space="preserve">
Existing Units compliance rate.</t>
        </r>
      </text>
    </comment>
    <comment ref="R4" authorId="0" shapeId="0" xr:uid="{D19A5D16-5A26-4842-B51C-96FAEC35D416}">
      <text>
        <r>
          <rPr>
            <b/>
            <sz val="9"/>
            <color indexed="81"/>
            <rFont val="Tahoma"/>
            <family val="2"/>
          </rPr>
          <t>Tom Carlson:</t>
        </r>
        <r>
          <rPr>
            <sz val="9"/>
            <color indexed="81"/>
            <rFont val="Tahoma"/>
            <family val="2"/>
          </rPr>
          <t xml:space="preserve">
New Construction Units compliance rate.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B2311E1-7F67-4902-A836-2FF5D164DC98}">
      <text>
        <r>
          <rPr>
            <b/>
            <sz val="9"/>
            <color indexed="81"/>
            <rFont val="Tahoma"/>
            <family val="2"/>
          </rPr>
          <t>Tom Carlson:</t>
        </r>
        <r>
          <rPr>
            <sz val="9"/>
            <color indexed="81"/>
            <rFont val="Tahoma"/>
            <family val="2"/>
          </rPr>
          <t xml:space="preserve">
Existing Units compliance rate.</t>
        </r>
      </text>
    </comment>
    <comment ref="R4" authorId="0" shapeId="0" xr:uid="{A8C615E3-90F0-4AE2-A05F-BC34F7C0B9F7}">
      <text>
        <r>
          <rPr>
            <b/>
            <sz val="9"/>
            <color indexed="81"/>
            <rFont val="Tahoma"/>
            <family val="2"/>
          </rPr>
          <t>Tom Carlson:</t>
        </r>
        <r>
          <rPr>
            <sz val="9"/>
            <color indexed="81"/>
            <rFont val="Tahoma"/>
            <family val="2"/>
          </rPr>
          <t xml:space="preserve">
New Construction Units compliance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5685C43E-10F5-4C3C-8B37-856684D3DBD7}">
      <text>
        <r>
          <rPr>
            <b/>
            <sz val="9"/>
            <color indexed="81"/>
            <rFont val="Tahoma"/>
            <family val="2"/>
          </rPr>
          <t>Tom Carlson:</t>
        </r>
        <r>
          <rPr>
            <sz val="9"/>
            <color indexed="81"/>
            <rFont val="Tahoma"/>
            <family val="2"/>
          </rPr>
          <t xml:space="preserve">
Existing Units compliance rate.</t>
        </r>
      </text>
    </comment>
    <comment ref="R4" authorId="0" shapeId="0" xr:uid="{B143482B-BAAD-4BCB-BF97-9F2FA2915C8E}">
      <text>
        <r>
          <rPr>
            <b/>
            <sz val="9"/>
            <color indexed="81"/>
            <rFont val="Tahoma"/>
            <family val="2"/>
          </rPr>
          <t>Tom Carlson:</t>
        </r>
        <r>
          <rPr>
            <sz val="9"/>
            <color indexed="81"/>
            <rFont val="Tahoma"/>
            <family val="2"/>
          </rPr>
          <t xml:space="preserve">
New Construction Units compliance rate.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29D2428C-3FE1-45A3-BD96-B129D8D93E09}">
      <text>
        <r>
          <rPr>
            <b/>
            <sz val="9"/>
            <color indexed="81"/>
            <rFont val="Tahoma"/>
            <family val="2"/>
          </rPr>
          <t>Tom Carlson:</t>
        </r>
        <r>
          <rPr>
            <sz val="9"/>
            <color indexed="81"/>
            <rFont val="Tahoma"/>
            <family val="2"/>
          </rPr>
          <t xml:space="preserve">
Existing Units compliance rate.</t>
        </r>
      </text>
    </comment>
    <comment ref="R4" authorId="0" shapeId="0" xr:uid="{74F1A1F2-91EC-4F2D-B733-EAEC20D3CCBC}">
      <text>
        <r>
          <rPr>
            <b/>
            <sz val="9"/>
            <color indexed="81"/>
            <rFont val="Tahoma"/>
            <family val="2"/>
          </rPr>
          <t>Tom Carlson:</t>
        </r>
        <r>
          <rPr>
            <sz val="9"/>
            <color indexed="81"/>
            <rFont val="Tahoma"/>
            <family val="2"/>
          </rPr>
          <t xml:space="preserve">
New Construction Units compliance rate.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W8" authorId="0" shapeId="0" xr:uid="{3CC57CF8-FE85-48AA-80E1-FBAACDF9CBCE}">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8" authorId="0" shapeId="0" xr:uid="{A8854C3D-5652-4643-B65A-534A91AA03E0}">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W18" authorId="0" shapeId="0" xr:uid="{A83A1750-A5B2-4F26-9B2F-8921B12059FD}">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18" authorId="0" shapeId="0" xr:uid="{D451C340-F659-487C-8C59-266A66C694C3}">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21" authorId="0" shapeId="0" xr:uid="{6A6BC404-6553-4DB6-9C34-B452B9D269D4}">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1" authorId="0" shapeId="0" xr:uid="{B570DD85-9EB3-482B-AA31-D0F83E082F6E}">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3" authorId="0" shapeId="0" xr:uid="{34F9124D-DB9C-4B06-8346-C484A129CB1B}">
      <text>
        <r>
          <rPr>
            <b/>
            <sz val="9"/>
            <color indexed="81"/>
            <rFont val="Tahoma"/>
            <family val="2"/>
          </rPr>
          <t>Tom Carlson:</t>
        </r>
        <r>
          <rPr>
            <sz val="9"/>
            <color indexed="81"/>
            <rFont val="Tahoma"/>
            <family val="2"/>
          </rPr>
          <t xml:space="preserve">
Modeled as a Removal (with equivalent energy replacement from heating oil).</t>
        </r>
      </text>
    </comment>
    <comment ref="AY25" authorId="0" shapeId="0" xr:uid="{2406595A-9FD3-42B2-9C63-DD60D3D3B693}">
      <text>
        <r>
          <rPr>
            <b/>
            <sz val="9"/>
            <color indexed="81"/>
            <rFont val="Tahoma"/>
            <family val="2"/>
          </rPr>
          <t>Tom Carlson:</t>
        </r>
        <r>
          <rPr>
            <sz val="9"/>
            <color indexed="81"/>
            <rFont val="Tahoma"/>
            <family val="2"/>
          </rPr>
          <t xml:space="preserve">
Modeled as a Removal (with equivalent energy replacement from heating oil).</t>
        </r>
      </text>
    </comment>
    <comment ref="W28" authorId="0" shapeId="0" xr:uid="{40BB5DEB-EA6E-498D-B526-A7F063EF9804}">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28" authorId="0" shapeId="0" xr:uid="{0F8834BF-2B5C-411A-98A9-E044DE471FE1}">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31" authorId="0" shapeId="0" xr:uid="{AE1A49E1-B34D-4D80-8E5A-66328D98B3E7}">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1" authorId="0" shapeId="0" xr:uid="{2CD02C36-6E7E-4C6F-BCD8-FF4B88AAB02B}">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3" authorId="0" shapeId="0" xr:uid="{842763DD-9DBB-4590-974A-BE4B43B0FB31}">
      <text>
        <r>
          <rPr>
            <b/>
            <sz val="9"/>
            <color indexed="81"/>
            <rFont val="Tahoma"/>
            <family val="2"/>
          </rPr>
          <t>Tom Carlson:</t>
        </r>
        <r>
          <rPr>
            <sz val="9"/>
            <color indexed="81"/>
            <rFont val="Tahoma"/>
            <family val="2"/>
          </rPr>
          <t xml:space="preserve">
Modeled as a Removal (with equivalent energy replacement from heating oil).</t>
        </r>
      </text>
    </comment>
    <comment ref="AY35" authorId="0" shapeId="0" xr:uid="{B42A3975-92B6-4958-BEBE-CD57D4B0B67B}">
      <text>
        <r>
          <rPr>
            <b/>
            <sz val="9"/>
            <color indexed="81"/>
            <rFont val="Tahoma"/>
            <family val="2"/>
          </rPr>
          <t>Tom Carlson:</t>
        </r>
        <r>
          <rPr>
            <sz val="9"/>
            <color indexed="81"/>
            <rFont val="Tahoma"/>
            <family val="2"/>
          </rPr>
          <t xml:space="preserve">
Modeled as a Removal (with equivalent energy replacement from heating oil).</t>
        </r>
      </text>
    </comment>
    <comment ref="X82" authorId="0" shapeId="0" xr:uid="{8E1793BB-27B1-4B11-A130-5AF2E8320F3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2" authorId="0" shapeId="0" xr:uid="{DBBA4CCC-3E10-48AB-866B-FF969568AB62}">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X85" authorId="0" shapeId="0" xr:uid="{00D3C483-0021-4E01-A775-4B63FDDCB7E5}">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5" authorId="0" shapeId="0" xr:uid="{51A92A4E-DE61-45C7-8168-94D766AFC35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V32" authorId="0" shapeId="0" xr:uid="{00000000-0006-0000-0900-000001000000}">
      <text>
        <r>
          <rPr>
            <b/>
            <sz val="9"/>
            <color indexed="81"/>
            <rFont val="Tahoma"/>
            <family val="2"/>
          </rPr>
          <t>Tom Carlson:</t>
        </r>
        <r>
          <rPr>
            <sz val="9"/>
            <color indexed="81"/>
            <rFont val="Tahoma"/>
            <family val="2"/>
          </rPr>
          <t xml:space="preserve">
Already included in 2019 X-Price inventory.</t>
        </r>
      </text>
    </comment>
    <comment ref="V35" authorId="0" shapeId="0" xr:uid="{00000000-0006-0000-0900-000002000000}">
      <text>
        <r>
          <rPr>
            <b/>
            <sz val="9"/>
            <color indexed="81"/>
            <rFont val="Tahoma"/>
            <family val="2"/>
          </rPr>
          <t>Tom Carlson:</t>
        </r>
        <r>
          <rPr>
            <sz val="9"/>
            <color indexed="81"/>
            <rFont val="Tahoma"/>
            <family val="2"/>
          </rPr>
          <t xml:space="preserve">
Already included in 2019 X-Price inventory.</t>
        </r>
      </text>
    </comment>
    <comment ref="T50" authorId="0" shapeId="0" xr:uid="{7128255E-FA9A-4038-9479-AAE6B52FF4BB}">
      <text>
        <r>
          <rPr>
            <b/>
            <sz val="9"/>
            <color indexed="81"/>
            <rFont val="Tahoma"/>
            <family val="2"/>
          </rPr>
          <t>Tom Carlson:</t>
        </r>
        <r>
          <rPr>
            <sz val="9"/>
            <color indexed="81"/>
            <rFont val="Tahoma"/>
            <family val="2"/>
          </rPr>
          <t xml:space="preserve">
Modeled as a Removal (with equivalent energy replacement from heating oil).</t>
        </r>
      </text>
    </comment>
    <comment ref="T52" authorId="0" shapeId="0" xr:uid="{40ADA82F-98D9-494B-9D36-290166F865B4}">
      <text>
        <r>
          <rPr>
            <b/>
            <sz val="9"/>
            <color indexed="81"/>
            <rFont val="Tahoma"/>
            <family val="2"/>
          </rPr>
          <t>Tom Carlson:</t>
        </r>
        <r>
          <rPr>
            <sz val="9"/>
            <color indexed="81"/>
            <rFont val="Tahoma"/>
            <family val="2"/>
          </rPr>
          <t xml:space="preserve">
Modeled as a Removal (with equivalent energy replacement from heating oil).</t>
        </r>
      </text>
    </comment>
    <comment ref="T59" authorId="0" shapeId="0" xr:uid="{985B7EDB-0942-4AC8-B88B-7AE92099CE0C}">
      <text>
        <r>
          <rPr>
            <b/>
            <sz val="9"/>
            <color indexed="81"/>
            <rFont val="Tahoma"/>
            <family val="2"/>
          </rPr>
          <t>Tom Carlson:</t>
        </r>
        <r>
          <rPr>
            <sz val="9"/>
            <color indexed="81"/>
            <rFont val="Tahoma"/>
            <family val="2"/>
          </rPr>
          <t xml:space="preserve">
Modeled as a Removal (with equivalent energy replacement from heating oil).</t>
        </r>
      </text>
    </comment>
    <comment ref="T61" authorId="0" shapeId="0" xr:uid="{10D2218C-598B-48BF-8C1D-D62B347C5F19}">
      <text>
        <r>
          <rPr>
            <b/>
            <sz val="9"/>
            <color indexed="81"/>
            <rFont val="Tahoma"/>
            <family val="2"/>
          </rPr>
          <t>Tom Carlson:</t>
        </r>
        <r>
          <rPr>
            <sz val="9"/>
            <color indexed="81"/>
            <rFont val="Tahoma"/>
            <family val="2"/>
          </rPr>
          <t xml:space="preserve">
Modeled as a Removal (with equivalent energy replacement from heating oil).</t>
        </r>
      </text>
    </comment>
    <comment ref="T69" authorId="0" shapeId="0" xr:uid="{E2A4E33F-F10A-4E48-A277-7EA06A197363}">
      <text>
        <r>
          <rPr>
            <b/>
            <sz val="9"/>
            <color indexed="81"/>
            <rFont val="Tahoma"/>
            <family val="2"/>
          </rPr>
          <t>Tom Carlson:</t>
        </r>
        <r>
          <rPr>
            <sz val="9"/>
            <color indexed="81"/>
            <rFont val="Tahoma"/>
            <family val="2"/>
          </rPr>
          <t xml:space="preserve">
Modeled as a Removal (with equivalent energy replacement from heating oil).</t>
        </r>
      </text>
    </comment>
    <comment ref="T71" authorId="0" shapeId="0" xr:uid="{088CF8FA-AB7A-436C-8E95-52F666A4F943}">
      <text>
        <r>
          <rPr>
            <b/>
            <sz val="9"/>
            <color indexed="81"/>
            <rFont val="Tahoma"/>
            <family val="2"/>
          </rPr>
          <t>Tom Carlson:</t>
        </r>
        <r>
          <rPr>
            <sz val="9"/>
            <color indexed="81"/>
            <rFont val="Tahoma"/>
            <family val="2"/>
          </rPr>
          <t xml:space="preserve">
Modeled as a Removal (with equivalent energy replacement from heating oil).</t>
        </r>
      </text>
    </comment>
    <comment ref="V78" authorId="0" shapeId="0" xr:uid="{BF51699F-5B10-4ABD-AA02-967A6F195454}">
      <text>
        <r>
          <rPr>
            <b/>
            <sz val="9"/>
            <color indexed="81"/>
            <rFont val="Tahoma"/>
            <family val="2"/>
          </rPr>
          <t>Tom Carlson:</t>
        </r>
        <r>
          <rPr>
            <sz val="9"/>
            <color indexed="81"/>
            <rFont val="Tahoma"/>
            <family val="2"/>
          </rPr>
          <t xml:space="preserve">
Already included in 2019 X-Price inventory.</t>
        </r>
      </text>
    </comment>
    <comment ref="V81" authorId="0" shapeId="0" xr:uid="{F95115D0-FB1D-41E3-9072-B5D2B4CA1230}">
      <text>
        <r>
          <rPr>
            <b/>
            <sz val="9"/>
            <color indexed="81"/>
            <rFont val="Tahoma"/>
            <family val="2"/>
          </rPr>
          <t>Tom Carlson:</t>
        </r>
        <r>
          <rPr>
            <sz val="9"/>
            <color indexed="81"/>
            <rFont val="Tahoma"/>
            <family val="2"/>
          </rPr>
          <t xml:space="preserve">
Already included in 2019 X-Price inventory.</t>
        </r>
      </text>
    </comment>
    <comment ref="B94" authorId="0" shapeId="0" xr:uid="{C14E8F8D-5DA9-4E59-B6C7-C6D5C02125A1}">
      <text>
        <r>
          <rPr>
            <b/>
            <sz val="9"/>
            <color indexed="81"/>
            <rFont val="Tahoma"/>
            <family val="2"/>
          </rPr>
          <t>Tom Carlson:</t>
        </r>
        <r>
          <rPr>
            <sz val="9"/>
            <color indexed="81"/>
            <rFont val="Tahoma"/>
            <family val="2"/>
          </rPr>
          <t xml:space="preserve">
This factor is used to adjust episodic average daily emission reductions to annual average daily emission reductions.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M37" authorId="0" shapeId="0" xr:uid="{00000000-0006-0000-0D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xr:uid="{00000000-0006-0000-0D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xr:uid="{00000000-0006-0000-0D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xr:uid="{00000000-0006-0000-0D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xr:uid="{00000000-0006-0000-0D00-000005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xr:uid="{00000000-0006-0000-0D00-000006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00000000-0006-0000-0D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xr:uid="{00000000-0006-0000-0D00-000008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xr:uid="{00000000-0006-0000-0D00-000009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xr:uid="{00000000-0006-0000-0D00-00000A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xr:uid="{00000000-0006-0000-0D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1" authorId="0" shapeId="0" xr:uid="{00000000-0006-0000-0D00-00000C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1" authorId="0" shapeId="0" xr:uid="{00000000-0006-0000-0D00-00000D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2" authorId="0" shapeId="0" xr:uid="{00000000-0006-0000-0D00-00000E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xr:uid="{00000000-0006-0000-0D00-00000F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xr:uid="{00000000-0006-0000-0D00-000010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xr:uid="{00000000-0006-0000-0D00-000011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xr:uid="{00000000-0006-0000-0D00-000012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xr:uid="{00000000-0006-0000-0D00-000013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xr:uid="{00000000-0006-0000-0D00-000014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xr:uid="{00000000-0006-0000-0D00-000015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xr:uid="{00000000-0006-0000-0D00-000016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xr:uid="{00000000-0006-0000-0D00-000017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xr:uid="{00000000-0006-0000-0D00-000018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xr:uid="{00000000-0006-0000-0D00-000019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xr:uid="{00000000-0006-0000-0D00-00001A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xr:uid="{00000000-0006-0000-0D00-00001B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xr:uid="{00000000-0006-0000-0D00-00001C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xr:uid="{00000000-0006-0000-0D00-00001D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0D00-00001E000000}">
      <text>
        <r>
          <rPr>
            <b/>
            <sz val="8"/>
            <color indexed="81"/>
            <rFont val="Tahoma"/>
            <family val="2"/>
          </rPr>
          <t>Tom Carlson:</t>
        </r>
        <r>
          <rPr>
            <sz val="8"/>
            <color indexed="81"/>
            <rFont val="Tahoma"/>
            <family val="2"/>
          </rPr>
          <t xml:space="preserve">
Portable heater fuel split per 2007 Fairbanks HH survey.</t>
        </r>
      </text>
    </comment>
    <comment ref="J58" authorId="0" shapeId="0" xr:uid="{00000000-0006-0000-0D00-00001F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9" authorId="0" shapeId="0" xr:uid="{00000000-0006-0000-0D00-000020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xr:uid="{00000000-0006-0000-0D00-00002100000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E5" authorId="0" shapeId="0" xr:uid="{00000000-0006-0000-1E00-000001000000}">
      <text>
        <r>
          <rPr>
            <b/>
            <sz val="9"/>
            <color indexed="81"/>
            <rFont val="Tahoma"/>
            <family val="2"/>
          </rPr>
          <t>Tom Carlson:</t>
        </r>
        <r>
          <rPr>
            <sz val="9"/>
            <color indexed="81"/>
            <rFont val="Tahoma"/>
            <family val="2"/>
          </rPr>
          <t xml:space="preserve">
These are cell only homes for which ZIP codes were not available.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A23" authorId="0" shapeId="0" xr:uid="{00000000-0006-0000-0E00-000001000000}">
      <text>
        <r>
          <rPr>
            <b/>
            <sz val="9"/>
            <color indexed="81"/>
            <rFont val="Tahoma"/>
            <family val="2"/>
          </rPr>
          <t>Tom Carlson:</t>
        </r>
        <r>
          <rPr>
            <sz val="9"/>
            <color indexed="81"/>
            <rFont val="Tahoma"/>
            <family val="2"/>
          </rPr>
          <t xml:space="preserve">
From "Purchasing Firewood in Alaska" on air dry basis (20% MC).</t>
        </r>
      </text>
    </comment>
    <comment ref="A24" authorId="0" shapeId="0" xr:uid="{00000000-0006-0000-0E00-000002000000}">
      <text>
        <r>
          <rPr>
            <b/>
            <sz val="9"/>
            <color indexed="81"/>
            <rFont val="Tahoma"/>
            <family val="2"/>
          </rPr>
          <t>Tom Carlson:</t>
        </r>
        <r>
          <rPr>
            <sz val="9"/>
            <color indexed="81"/>
            <rFont val="Tahoma"/>
            <family val="2"/>
          </rPr>
          <t xml:space="preserve">
From "Purchasing Firewood in Alaska" on air dry basis (20% MC).</t>
        </r>
      </text>
    </comment>
    <comment ref="A25" authorId="0" shapeId="0" xr:uid="{00000000-0006-0000-0E00-000003000000}">
      <text>
        <r>
          <rPr>
            <b/>
            <sz val="9"/>
            <color indexed="81"/>
            <rFont val="Tahoma"/>
            <family val="2"/>
          </rPr>
          <t>Tom Carlson:</t>
        </r>
        <r>
          <rPr>
            <sz val="9"/>
            <color indexed="81"/>
            <rFont val="Tahoma"/>
            <family val="2"/>
          </rPr>
          <t xml:space="preserve">
From "Purchasing Firewood in Alaska" on air dry basis (20% MC).</t>
        </r>
      </text>
    </comment>
    <comment ref="F25" authorId="0" shapeId="0" xr:uid="{00000000-0006-0000-0E00-000004000000}">
      <text>
        <r>
          <rPr>
            <b/>
            <sz val="9"/>
            <color indexed="81"/>
            <rFont val="Tahoma"/>
            <family val="2"/>
          </rPr>
          <t>Tom Carlson:</t>
        </r>
        <r>
          <rPr>
            <sz val="9"/>
            <color indexed="81"/>
            <rFont val="Tahoma"/>
            <family val="2"/>
          </rPr>
          <t xml:space="preserve">
Assumed price equal to spruce.</t>
        </r>
      </text>
    </comment>
    <comment ref="G25" authorId="0" shapeId="0" xr:uid="{00000000-0006-0000-0E00-000005000000}">
      <text>
        <r>
          <rPr>
            <b/>
            <sz val="9"/>
            <color indexed="81"/>
            <rFont val="Tahoma"/>
            <family val="2"/>
          </rPr>
          <t>Tom Carlson:</t>
        </r>
        <r>
          <rPr>
            <sz val="9"/>
            <color indexed="81"/>
            <rFont val="Tahoma"/>
            <family val="2"/>
          </rPr>
          <t xml:space="preserve">
Assumed price equal to spruce.</t>
        </r>
      </text>
    </comment>
    <comment ref="H25" authorId="0" shapeId="0" xr:uid="{00000000-0006-0000-0E00-000006000000}">
      <text>
        <r>
          <rPr>
            <b/>
            <sz val="9"/>
            <color indexed="81"/>
            <rFont val="Tahoma"/>
            <family val="2"/>
          </rPr>
          <t>Tom Carlson:</t>
        </r>
        <r>
          <rPr>
            <sz val="9"/>
            <color indexed="81"/>
            <rFont val="Tahoma"/>
            <family val="2"/>
          </rPr>
          <t xml:space="preserve">
Assumed price equal to spruce.</t>
        </r>
      </text>
    </comment>
    <comment ref="I25" authorId="0" shapeId="0" xr:uid="{00000000-0006-0000-0E00-000007000000}">
      <text>
        <r>
          <rPr>
            <b/>
            <sz val="9"/>
            <color indexed="81"/>
            <rFont val="Tahoma"/>
            <family val="2"/>
          </rPr>
          <t>Tom Carlson:</t>
        </r>
        <r>
          <rPr>
            <sz val="9"/>
            <color indexed="81"/>
            <rFont val="Tahoma"/>
            <family val="2"/>
          </rPr>
          <t xml:space="preserve">
Assumed price equal to spruce.</t>
        </r>
      </text>
    </comment>
    <comment ref="J25" authorId="0" shapeId="0" xr:uid="{00000000-0006-0000-0E00-000008000000}">
      <text>
        <r>
          <rPr>
            <b/>
            <sz val="9"/>
            <color indexed="81"/>
            <rFont val="Tahoma"/>
            <family val="2"/>
          </rPr>
          <t>Tom Carlson:</t>
        </r>
        <r>
          <rPr>
            <sz val="9"/>
            <color indexed="81"/>
            <rFont val="Tahoma"/>
            <family val="2"/>
          </rPr>
          <t xml:space="preserve">
Assumed price equal to spruce.</t>
        </r>
      </text>
    </comment>
    <comment ref="K25" authorId="0" shapeId="0" xr:uid="{00000000-0006-0000-0E00-000009000000}">
      <text>
        <r>
          <rPr>
            <b/>
            <sz val="9"/>
            <color indexed="81"/>
            <rFont val="Tahoma"/>
            <family val="2"/>
          </rPr>
          <t>Tom Carlson:</t>
        </r>
        <r>
          <rPr>
            <sz val="9"/>
            <color indexed="81"/>
            <rFont val="Tahoma"/>
            <family val="2"/>
          </rPr>
          <t xml:space="preserve">
Assumed price equal to spruce.</t>
        </r>
      </text>
    </comment>
    <comment ref="L25" authorId="0" shapeId="0" xr:uid="{00000000-0006-0000-0E00-00000A000000}">
      <text>
        <r>
          <rPr>
            <b/>
            <sz val="9"/>
            <color indexed="81"/>
            <rFont val="Tahoma"/>
            <family val="2"/>
          </rPr>
          <t>Tom Carlson:</t>
        </r>
        <r>
          <rPr>
            <sz val="9"/>
            <color indexed="81"/>
            <rFont val="Tahoma"/>
            <family val="2"/>
          </rPr>
          <t xml:space="preserve">
Assumed price equal to spruce.</t>
        </r>
      </text>
    </comment>
    <comment ref="M25" authorId="0" shapeId="0" xr:uid="{00000000-0006-0000-0E00-00000B000000}">
      <text>
        <r>
          <rPr>
            <b/>
            <sz val="9"/>
            <color indexed="81"/>
            <rFont val="Tahoma"/>
            <family val="2"/>
          </rPr>
          <t>Tom Carlson:</t>
        </r>
        <r>
          <rPr>
            <sz val="9"/>
            <color indexed="81"/>
            <rFont val="Tahoma"/>
            <family val="2"/>
          </rPr>
          <t xml:space="preserve">
Assumed price equal to spruce.</t>
        </r>
      </text>
    </comment>
    <comment ref="N25" authorId="0" shapeId="0" xr:uid="{AE3F3B6F-B3AE-4DB0-A953-7EBA0F5E70EF}">
      <text>
        <r>
          <rPr>
            <b/>
            <sz val="9"/>
            <color indexed="81"/>
            <rFont val="Tahoma"/>
            <family val="2"/>
          </rPr>
          <t>Tom Carlson:</t>
        </r>
        <r>
          <rPr>
            <sz val="9"/>
            <color indexed="81"/>
            <rFont val="Tahoma"/>
            <family val="2"/>
          </rPr>
          <t xml:space="preserve">
Assumed price equal to spruce.</t>
        </r>
      </text>
    </comment>
    <comment ref="O25" authorId="0" shapeId="0" xr:uid="{B3E854DB-C0AB-422C-9CBB-39060FDA83E4}">
      <text>
        <r>
          <rPr>
            <b/>
            <sz val="9"/>
            <color indexed="81"/>
            <rFont val="Tahoma"/>
            <family val="2"/>
          </rPr>
          <t>Tom Carlson:</t>
        </r>
        <r>
          <rPr>
            <sz val="9"/>
            <color indexed="81"/>
            <rFont val="Tahoma"/>
            <family val="2"/>
          </rPr>
          <t xml:space="preserve">
Assumed price equal to spruce.</t>
        </r>
      </text>
    </comment>
    <comment ref="A26" authorId="0" shapeId="0" xr:uid="{00000000-0006-0000-0E00-00000C000000}">
      <text>
        <r>
          <rPr>
            <b/>
            <sz val="9"/>
            <color indexed="81"/>
            <rFont val="Tahoma"/>
            <family val="2"/>
          </rPr>
          <t>Tom Carlson:</t>
        </r>
        <r>
          <rPr>
            <sz val="9"/>
            <color indexed="81"/>
            <rFont val="Tahoma"/>
            <family val="2"/>
          </rPr>
          <t xml:space="preserve">
From "Purchasing Firewood in Alaska" on air dry basis (20% MC).</t>
        </r>
      </text>
    </comment>
    <comment ref="J36" authorId="0" shapeId="0" xr:uid="{00000000-0006-0000-0E00-00000D000000}">
      <text>
        <r>
          <rPr>
            <b/>
            <sz val="9"/>
            <color indexed="81"/>
            <rFont val="Tahoma"/>
            <family val="2"/>
          </rPr>
          <t>Tom Carlson:</t>
        </r>
        <r>
          <rPr>
            <sz val="9"/>
            <color indexed="81"/>
            <rFont val="Tahoma"/>
            <family val="2"/>
          </rPr>
          <t xml:space="preserve">
From 2013 Wood Tag survey, on a volumetric basis.</t>
        </r>
      </text>
    </comment>
    <comment ref="K36" authorId="0" shapeId="0" xr:uid="{00000000-0006-0000-0E00-00000E000000}">
      <text>
        <r>
          <rPr>
            <b/>
            <sz val="9"/>
            <color indexed="81"/>
            <rFont val="Tahoma"/>
            <family val="2"/>
          </rPr>
          <t>Tom Carlson:</t>
        </r>
        <r>
          <rPr>
            <sz val="9"/>
            <color indexed="81"/>
            <rFont val="Tahoma"/>
            <family val="2"/>
          </rPr>
          <t xml:space="preserve">
From 2013 Wood Tag survey, on a mass basis.</t>
        </r>
      </text>
    </comment>
    <comment ref="A38" authorId="0" shapeId="0" xr:uid="{00000000-0006-0000-0E00-00000F000000}">
      <text>
        <r>
          <rPr>
            <b/>
            <sz val="9"/>
            <color indexed="81"/>
            <rFont val="Tahoma"/>
            <family val="2"/>
          </rPr>
          <t>Tom Carlson:</t>
        </r>
        <r>
          <rPr>
            <sz val="9"/>
            <color indexed="81"/>
            <rFont val="Tahoma"/>
            <family val="2"/>
          </rPr>
          <t xml:space="preserve">
Split &amp; cut.</t>
        </r>
      </text>
    </comment>
    <comment ref="A39" authorId="0" shapeId="0" xr:uid="{00000000-0006-0000-0E00-000010000000}">
      <text>
        <r>
          <rPr>
            <b/>
            <sz val="9"/>
            <color indexed="81"/>
            <rFont val="Tahoma"/>
            <family val="2"/>
          </rPr>
          <t>Tom Carlson:</t>
        </r>
        <r>
          <rPr>
            <sz val="9"/>
            <color indexed="81"/>
            <rFont val="Tahoma"/>
            <family val="2"/>
          </rPr>
          <t xml:space="preserve">
Split &amp; cut.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I6" authorId="0" shapeId="0" xr:uid="{00000000-0006-0000-1700-000001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J6" authorId="0" shapeId="0" xr:uid="{00000000-0006-0000-1700-000002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I7" authorId="0" shapeId="0" xr:uid="{00000000-0006-0000-1700-000003000000}">
      <text>
        <r>
          <rPr>
            <b/>
            <sz val="9"/>
            <color indexed="81"/>
            <rFont val="Tahoma"/>
            <family val="2"/>
          </rPr>
          <t>Tom Carlson:</t>
        </r>
        <r>
          <rPr>
            <sz val="9"/>
            <color indexed="81"/>
            <rFont val="Tahoma"/>
            <family val="2"/>
          </rPr>
          <t xml:space="preserve">
Emission factor for Pre-1970's burner designs.</t>
        </r>
      </text>
    </comment>
    <comment ref="J7" authorId="0" shapeId="0" xr:uid="{00000000-0006-0000-1700-000004000000}">
      <text>
        <r>
          <rPr>
            <b/>
            <sz val="9"/>
            <color indexed="81"/>
            <rFont val="Tahoma"/>
            <family val="2"/>
          </rPr>
          <t>Tom Carlson:</t>
        </r>
        <r>
          <rPr>
            <sz val="9"/>
            <color indexed="81"/>
            <rFont val="Tahoma"/>
            <family val="2"/>
          </rPr>
          <t xml:space="preserve">
Based on data from new burner designs.  Pre-1970's burner designs may emit filterable PM as high as 3.0 lb/1000 gallons.</t>
        </r>
      </text>
    </comment>
    <comment ref="K7" authorId="0" shapeId="0" xr:uid="{00000000-0006-0000-1700-000005000000}">
      <text>
        <r>
          <rPr>
            <b/>
            <sz val="9"/>
            <color indexed="81"/>
            <rFont val="Tahoma"/>
            <family val="2"/>
          </rPr>
          <t>Tom Carlson:</t>
        </r>
        <r>
          <rPr>
            <sz val="9"/>
            <color indexed="81"/>
            <rFont val="Tahoma"/>
            <family val="2"/>
          </rPr>
          <t xml:space="preserve">
To determine EF in lb/ton, multiply the EF provided by the weight percent sulfur.  S=% Sulfur content.</t>
        </r>
      </text>
    </comment>
    <comment ref="T24" authorId="0" shapeId="0" xr:uid="{00000000-0006-0000-1700-000006000000}">
      <text>
        <r>
          <rPr>
            <b/>
            <sz val="9"/>
            <color indexed="81"/>
            <rFont val="Tahoma"/>
            <family val="2"/>
          </rPr>
          <t>Tom Carlson:</t>
        </r>
        <r>
          <rPr>
            <sz val="9"/>
            <color indexed="81"/>
            <rFont val="Tahoma"/>
            <family val="2"/>
          </rPr>
          <t xml:space="preserve">
Fuel sulfur taken as 450-ppm (80% of maximum allowable, likely lower.</t>
        </r>
      </text>
    </comment>
    <comment ref="K56" authorId="0" shapeId="0" xr:uid="{00000000-0006-0000-1700-000007000000}">
      <text>
        <r>
          <rPr>
            <b/>
            <sz val="9"/>
            <color indexed="81"/>
            <rFont val="Tahoma"/>
            <family val="2"/>
          </rPr>
          <t>Tom Carlson:</t>
        </r>
        <r>
          <rPr>
            <sz val="9"/>
            <color indexed="81"/>
            <rFont val="Tahoma"/>
            <family val="2"/>
          </rPr>
          <t xml:space="preserve">
Fuel sulfur taken as 450-ppm (80% of maximum allowable, likely lower.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T11" authorId="0" shapeId="0" xr:uid="{00000000-0006-0000-1800-000001000000}">
      <text>
        <r>
          <rPr>
            <b/>
            <sz val="9"/>
            <color indexed="81"/>
            <rFont val="Tahoma"/>
            <family val="2"/>
          </rPr>
          <t>Tom Carlson:</t>
        </r>
        <r>
          <rPr>
            <sz val="9"/>
            <color indexed="81"/>
            <rFont val="Tahoma"/>
            <family val="2"/>
          </rPr>
          <t xml:space="preserve">
This is a reasonable average of flue temperatures from the 2011 CCHRC Instrumented study during firing.</t>
        </r>
      </text>
    </comment>
    <comment ref="C51" authorId="0" shapeId="0" xr:uid="{00000000-0006-0000-1800-000002000000}">
      <text>
        <r>
          <rPr>
            <b/>
            <sz val="9"/>
            <color indexed="81"/>
            <rFont val="Tahoma"/>
            <family val="2"/>
          </rPr>
          <t>Tom Carlson:</t>
        </r>
        <r>
          <rPr>
            <sz val="9"/>
            <color indexed="81"/>
            <rFont val="Tahoma"/>
            <family val="2"/>
          </rPr>
          <t xml:space="preserve">
Dry basis, since all CCHRC data reported on oven-dry (OD) moisture basis.</t>
        </r>
      </text>
    </comment>
    <comment ref="O51" authorId="0" shapeId="0" xr:uid="{00000000-0006-0000-1800-000003000000}">
      <text>
        <r>
          <rPr>
            <b/>
            <sz val="9"/>
            <color indexed="81"/>
            <rFont val="Tahoma"/>
            <family val="2"/>
          </rPr>
          <t>Tom Carlson:</t>
        </r>
        <r>
          <rPr>
            <sz val="9"/>
            <color indexed="81"/>
            <rFont val="Tahoma"/>
            <family val="2"/>
          </rPr>
          <t xml:space="preserve">
From P.L. Wilson, et al, "Fuelwood Characteristics of Northwestern Conifers and Hardwoods (Updated", USDA Forest Service, PNW-GTR-810, April 2010.</t>
        </r>
      </text>
    </comment>
    <comment ref="O52" authorId="0" shapeId="0" xr:uid="{00000000-0006-0000-1800-000004000000}">
      <text>
        <r>
          <rPr>
            <b/>
            <sz val="9"/>
            <color indexed="81"/>
            <rFont val="Tahoma"/>
            <family val="2"/>
          </rPr>
          <t>Tom Carlson:</t>
        </r>
        <r>
          <rPr>
            <sz val="9"/>
            <color indexed="81"/>
            <rFont val="Tahoma"/>
            <family val="2"/>
          </rPr>
          <t xml:space="preserve">
From UAF Cooperative Extension: 
http://www.alaskawoodheating.com/energy_content.php and adjusted from 20% MCd to an Oven Dry basis (see AK_Wood_HHV.xlsx spreadsheet and "Purchasing Firewood in Alaska" reference.
</t>
        </r>
      </text>
    </comment>
    <comment ref="H53" authorId="0" shapeId="0" xr:uid="{00000000-0006-0000-1800-000005000000}">
      <text>
        <r>
          <rPr>
            <b/>
            <sz val="9"/>
            <color indexed="81"/>
            <rFont val="Tahoma"/>
            <family val="2"/>
          </rPr>
          <t>Tom Carlson:</t>
        </r>
        <r>
          <rPr>
            <sz val="9"/>
            <color indexed="81"/>
            <rFont val="Tahoma"/>
            <family val="2"/>
          </rPr>
          <t xml:space="preserve">
Taken from Simulated Wood Shed moisture data, not Tarp Covered.</t>
        </r>
      </text>
    </comment>
    <comment ref="I53" authorId="0" shapeId="0" xr:uid="{00000000-0006-0000-1800-000006000000}">
      <text>
        <r>
          <rPr>
            <b/>
            <sz val="9"/>
            <color indexed="81"/>
            <rFont val="Tahoma"/>
            <family val="2"/>
          </rPr>
          <t>Tom Carlson:</t>
        </r>
        <r>
          <rPr>
            <sz val="9"/>
            <color indexed="81"/>
            <rFont val="Tahoma"/>
            <family val="2"/>
          </rPr>
          <t xml:space="preserve">
Taken from Simulated Wood Shed moisture data, not Tarp Covered.</t>
        </r>
      </text>
    </comment>
    <comment ref="K53" authorId="0" shapeId="0" xr:uid="{00000000-0006-0000-1800-000007000000}">
      <text>
        <r>
          <rPr>
            <b/>
            <sz val="9"/>
            <color indexed="81"/>
            <rFont val="Tahoma"/>
            <family val="2"/>
          </rPr>
          <t>Tom Carlson:</t>
        </r>
        <r>
          <rPr>
            <sz val="9"/>
            <color indexed="81"/>
            <rFont val="Tahoma"/>
            <family val="2"/>
          </rPr>
          <t xml:space="preserve">
Tarp-covered data from CCHRCTables sheet, except where noted.</t>
        </r>
      </text>
    </comment>
    <comment ref="H54" authorId="0" shapeId="0" xr:uid="{00000000-0006-0000-1800-000008000000}">
      <text>
        <r>
          <rPr>
            <b/>
            <sz val="9"/>
            <color indexed="81"/>
            <rFont val="Tahoma"/>
            <family val="2"/>
          </rPr>
          <t>Tom Carlson:</t>
        </r>
        <r>
          <rPr>
            <sz val="9"/>
            <color indexed="81"/>
            <rFont val="Tahoma"/>
            <family val="2"/>
          </rPr>
          <t xml:space="preserve">
Taken from Simulated Wood Shed moisture data, not Tarp Covered.</t>
        </r>
      </text>
    </comment>
    <comment ref="I54" authorId="0" shapeId="0" xr:uid="{00000000-0006-0000-1800-000009000000}">
      <text>
        <r>
          <rPr>
            <b/>
            <sz val="9"/>
            <color indexed="81"/>
            <rFont val="Tahoma"/>
            <family val="2"/>
          </rPr>
          <t>Tom Carlson:</t>
        </r>
        <r>
          <rPr>
            <sz val="9"/>
            <color indexed="81"/>
            <rFont val="Tahoma"/>
            <family val="2"/>
          </rPr>
          <t xml:space="preserve">
Taken from Simulated Wood Shed moisture data, not Tarp Covered.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D6DAA60-9B49-4433-86F1-88ECB81B9C42}">
      <text>
        <r>
          <rPr>
            <b/>
            <sz val="9"/>
            <color indexed="81"/>
            <rFont val="Tahoma"/>
            <family val="2"/>
          </rPr>
          <t>Tom Carlson:</t>
        </r>
        <r>
          <rPr>
            <sz val="9"/>
            <color indexed="81"/>
            <rFont val="Tahoma"/>
            <family val="2"/>
          </rPr>
          <t xml:space="preserve">
Existing Units compliance rate.</t>
        </r>
      </text>
    </comment>
    <comment ref="R4" authorId="0" shapeId="0" xr:uid="{7B7E1F85-2618-4709-97A4-EAC97E025140}">
      <text>
        <r>
          <rPr>
            <b/>
            <sz val="9"/>
            <color indexed="81"/>
            <rFont val="Tahoma"/>
            <family val="2"/>
          </rPr>
          <t>Tom Carlson:</t>
        </r>
        <r>
          <rPr>
            <sz val="9"/>
            <color indexed="81"/>
            <rFont val="Tahoma"/>
            <family val="2"/>
          </rPr>
          <t xml:space="preserve">
New Construction Units compliance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88CA245-6713-4ABF-AA7A-4ADC75EDAC59}">
      <text>
        <r>
          <rPr>
            <b/>
            <sz val="9"/>
            <color indexed="81"/>
            <rFont val="Tahoma"/>
            <family val="2"/>
          </rPr>
          <t>Tom Carlson:</t>
        </r>
        <r>
          <rPr>
            <sz val="9"/>
            <color indexed="81"/>
            <rFont val="Tahoma"/>
            <family val="2"/>
          </rPr>
          <t xml:space="preserve">
Existing Units compliance rate.</t>
        </r>
      </text>
    </comment>
    <comment ref="R4" authorId="0" shapeId="0" xr:uid="{D0DCF478-E12E-4B02-B088-41CABD7F5CA4}">
      <text>
        <r>
          <rPr>
            <b/>
            <sz val="9"/>
            <color indexed="81"/>
            <rFont val="Tahoma"/>
            <family val="2"/>
          </rPr>
          <t>Tom Carlson:</t>
        </r>
        <r>
          <rPr>
            <sz val="9"/>
            <color indexed="81"/>
            <rFont val="Tahoma"/>
            <family val="2"/>
          </rPr>
          <t xml:space="preserve">
New Construction Units compliance rate.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166DD7F9-2540-4281-8F2B-D44AC6673306}">
      <text>
        <r>
          <rPr>
            <b/>
            <sz val="9"/>
            <color indexed="81"/>
            <rFont val="Tahoma"/>
            <family val="2"/>
          </rPr>
          <t>Tom Carlson:</t>
        </r>
        <r>
          <rPr>
            <sz val="9"/>
            <color indexed="81"/>
            <rFont val="Tahoma"/>
            <family val="2"/>
          </rPr>
          <t xml:space="preserve">
Existing Units compliance rate.</t>
        </r>
      </text>
    </comment>
    <comment ref="R4" authorId="0" shapeId="0" xr:uid="{6824A9DD-2D4B-4799-A7A9-8E70ADB14C2D}">
      <text>
        <r>
          <rPr>
            <b/>
            <sz val="9"/>
            <color indexed="81"/>
            <rFont val="Tahoma"/>
            <family val="2"/>
          </rPr>
          <t>Tom Carlson:</t>
        </r>
        <r>
          <rPr>
            <sz val="9"/>
            <color indexed="81"/>
            <rFont val="Tahoma"/>
            <family val="2"/>
          </rPr>
          <t xml:space="preserve">
New Construction Units compliance rate.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BBC1811-1C92-4E03-9042-27D4102970C5}">
      <text>
        <r>
          <rPr>
            <b/>
            <sz val="9"/>
            <color indexed="81"/>
            <rFont val="Tahoma"/>
            <family val="2"/>
          </rPr>
          <t>Tom Carlson:</t>
        </r>
        <r>
          <rPr>
            <sz val="9"/>
            <color indexed="81"/>
            <rFont val="Tahoma"/>
            <family val="2"/>
          </rPr>
          <t xml:space="preserve">
Existing Units compliance rate.</t>
        </r>
      </text>
    </comment>
    <comment ref="R4" authorId="0" shapeId="0" xr:uid="{69DE0A0F-BFA9-452A-8F17-ABF6E82E03E9}">
      <text>
        <r>
          <rPr>
            <b/>
            <sz val="9"/>
            <color indexed="81"/>
            <rFont val="Tahoma"/>
            <family val="2"/>
          </rPr>
          <t>Tom Carlson:</t>
        </r>
        <r>
          <rPr>
            <sz val="9"/>
            <color indexed="81"/>
            <rFont val="Tahoma"/>
            <family val="2"/>
          </rPr>
          <t xml:space="preserve">
New Construction Units compliance rate.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8DE66BE-B57A-4801-8CE8-CF8CFA277293}">
      <text>
        <r>
          <rPr>
            <b/>
            <sz val="9"/>
            <color indexed="81"/>
            <rFont val="Tahoma"/>
            <family val="2"/>
          </rPr>
          <t>Tom Carlson:</t>
        </r>
        <r>
          <rPr>
            <sz val="9"/>
            <color indexed="81"/>
            <rFont val="Tahoma"/>
            <family val="2"/>
          </rPr>
          <t xml:space="preserve">
Existing Units compliance rate.</t>
        </r>
      </text>
    </comment>
    <comment ref="R4" authorId="0" shapeId="0" xr:uid="{67A035FC-47C8-4AC5-A780-F472A7543C32}">
      <text>
        <r>
          <rPr>
            <b/>
            <sz val="9"/>
            <color indexed="81"/>
            <rFont val="Tahoma"/>
            <family val="2"/>
          </rPr>
          <t>Tom Carlson:</t>
        </r>
        <r>
          <rPr>
            <sz val="9"/>
            <color indexed="81"/>
            <rFont val="Tahoma"/>
            <family val="2"/>
          </rPr>
          <t xml:space="preserve">
New Construction Units compliance rate.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44D179A9-0360-477C-ABCC-769A34B0A447}">
      <text>
        <r>
          <rPr>
            <b/>
            <sz val="9"/>
            <color indexed="81"/>
            <rFont val="Tahoma"/>
            <family val="2"/>
          </rPr>
          <t>Tom Carlson:</t>
        </r>
        <r>
          <rPr>
            <sz val="9"/>
            <color indexed="81"/>
            <rFont val="Tahoma"/>
            <family val="2"/>
          </rPr>
          <t xml:space="preserve">
Existing Units compliance rate.</t>
        </r>
      </text>
    </comment>
    <comment ref="R4" authorId="0" shapeId="0" xr:uid="{75CE1A8D-2B07-41FE-A755-1A058091170D}">
      <text>
        <r>
          <rPr>
            <b/>
            <sz val="9"/>
            <color indexed="81"/>
            <rFont val="Tahoma"/>
            <family val="2"/>
          </rPr>
          <t>Tom Carlson:</t>
        </r>
        <r>
          <rPr>
            <sz val="9"/>
            <color indexed="81"/>
            <rFont val="Tahoma"/>
            <family val="2"/>
          </rPr>
          <t xml:space="preserve">
New Construction Units compliance rate.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E23705C8-70A2-479A-8AEB-3B03179802E5}">
      <text>
        <r>
          <rPr>
            <b/>
            <sz val="9"/>
            <color indexed="81"/>
            <rFont val="Tahoma"/>
            <family val="2"/>
          </rPr>
          <t>Tom Carlson:</t>
        </r>
        <r>
          <rPr>
            <sz val="9"/>
            <color indexed="81"/>
            <rFont val="Tahoma"/>
            <family val="2"/>
          </rPr>
          <t xml:space="preserve">
Existing Units compliance rate.</t>
        </r>
      </text>
    </comment>
    <comment ref="R4" authorId="0" shapeId="0" xr:uid="{79626341-6B14-4F25-8AD6-379FE446CE93}">
      <text>
        <r>
          <rPr>
            <b/>
            <sz val="9"/>
            <color indexed="81"/>
            <rFont val="Tahoma"/>
            <family val="2"/>
          </rPr>
          <t>Tom Carlson:</t>
        </r>
        <r>
          <rPr>
            <sz val="9"/>
            <color indexed="81"/>
            <rFont val="Tahoma"/>
            <family val="2"/>
          </rPr>
          <t xml:space="preserve">
New Construction Units compliance rate.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<sst xmlns="http://schemas.openxmlformats.org/spreadsheetml/2006/main" count="39592" uniqueCount="2470">
  <si>
    <t>Fairbanks PM2.5 5% 2020 Amendments SIP</t>
  </si>
  <si>
    <t>Control Measure Benefits Calculation Spreadsheet</t>
  </si>
  <si>
    <t>(09/04/20)</t>
  </si>
  <si>
    <r>
      <rPr>
        <b/>
        <u/>
        <sz val="11"/>
        <color rgb="FFFF0000"/>
        <rFont val="Calibri"/>
        <family val="2"/>
        <scheme val="minor"/>
      </rPr>
      <t>Note</t>
    </r>
    <r>
      <rPr>
        <b/>
        <sz val="11"/>
        <color rgb="FFFF0000"/>
        <rFont val="Calibri"/>
        <family val="2"/>
        <scheme val="minor"/>
      </rPr>
      <t>:  This spreadsheet is common to Appendices III.D.7.06 (Inventory), III.D.7.09 (Attainment) and III.D.7.10 (RFP/QM)</t>
    </r>
  </si>
  <si>
    <t>Sheet Tab(s)</t>
  </si>
  <si>
    <t>Description</t>
  </si>
  <si>
    <t>Summary</t>
  </si>
  <si>
    <t>Summary tables of: 1) calculated "phase-in/penetration" metrics specific to each quantified control measure used to evaluate attainment and RFP; and 2) calculated control measure specific emission reductions and combined control emissions by calendar year for the space heating source sector.</t>
  </si>
  <si>
    <t>SCCRedFacsFull</t>
  </si>
  <si>
    <t>Translates individual control measure emission benefits into relative reductions (for PM2.5 and SO2) by SCC for space heating controls and then combines then into a control package to account for effects of measure overlap. The combined package reductions are then used in SAS programs to generate day-specific epsiodic inputs for SMOKE/CMAQ modeling.  This sheet reflect full implementation of measures in 2029.</t>
  </si>
  <si>
    <r>
      <t>SCCRedFacs</t>
    </r>
    <r>
      <rPr>
        <i/>
        <sz val="11"/>
        <color rgb="FFFF0000"/>
        <rFont val="Calibri"/>
        <family val="2"/>
        <scheme val="minor"/>
      </rPr>
      <t>YYYY</t>
    </r>
  </si>
  <si>
    <r>
      <t xml:space="preserve">Similar to the sheet above, these calendar year-specific sheets were used to scale "full" implementation of measures to other RFP years based on DEC-estimated phase-in schedules and adoption/initial implementation dates.  The </t>
    </r>
    <r>
      <rPr>
        <i/>
        <sz val="11"/>
        <color rgb="FFFF0000"/>
        <rFont val="Calibri"/>
        <family val="2"/>
        <scheme val="minor"/>
      </rPr>
      <t>YYYY</t>
    </r>
    <r>
      <rPr>
        <sz val="11"/>
        <color theme="1"/>
        <rFont val="Calibri"/>
        <family val="2"/>
        <scheme val="minor"/>
      </rPr>
      <t xml:space="preserve"> in each sheet name refers to the analysis year.</t>
    </r>
  </si>
  <si>
    <t>STF-12</t>
  </si>
  <si>
    <t>This is the first of several sheets that contain detailed calculations for each state-adopted control measure for which benefits were quantitified. The top several rows of each of these control measure sheets contain summary information about the control measure: its name, initial implementation year, projected compliance/penetration rate (in the analysis year) and other key assumptions and calculation methods. All of the benefit estimates are based on episodic, rather than annual average emissions.  This measure computes benefits for STF-12, the shift from #2 to #1 heating oil.</t>
  </si>
  <si>
    <t>STF-13</t>
  </si>
  <si>
    <t>This sheet provides detailed emission benefit calculations for the measure required commercially sold wood to be dry (&lt;=20% moisture content)</t>
  </si>
  <si>
    <t>STF-17</t>
  </si>
  <si>
    <t>This tab contains emission benefit calculations for the measure that requires removal of uncertified devices &amp; outdoor hydronic heaters</t>
  </si>
  <si>
    <t>BACM-R8</t>
  </si>
  <si>
    <t>Emission benefits calculations for the measure requiring new or re-conveyed solid fuel burning appliances to meet state-adopted certification standards are contained in this sheet.  Unlike many of the other measures, emission benefits for this measure accumulate over time (relative to a business as usual case).</t>
  </si>
  <si>
    <t>BACM-48</t>
  </si>
  <si>
    <t>This sheet contains emission benefit calculations for the measure requiring removal of coal heaters</t>
  </si>
  <si>
    <t>STF-22</t>
  </si>
  <si>
    <t>Emission benefits for the measure prohibiting wood devices as the sole or primary heat source are provided in this sheet.  Its benefits for the new construction portion of the measure accumulate over time (relative to a business as usual case).</t>
  </si>
  <si>
    <t>STF-23</t>
  </si>
  <si>
    <t>This sheet calculates benefits for the measure that requires catalyst replacement and chimney sweeping for NOASH exemptions</t>
  </si>
  <si>
    <t>CM-SerSIP</t>
  </si>
  <si>
    <t>The sheet contains emission benefit calculations for Alaska's contingency measure under the Serious Area SIP, which requires removal/replacement of all EPA-certified stoves that are 25 years old or older and above 2.0 g/hr certification standards</t>
  </si>
  <si>
    <r>
      <t>CM-RevSIP</t>
    </r>
    <r>
      <rPr>
        <i/>
        <sz val="11"/>
        <color rgb="FFFF0000"/>
        <rFont val="Calibri"/>
        <family val="2"/>
        <scheme val="minor"/>
      </rPr>
      <t>YYYY</t>
    </r>
  </si>
  <si>
    <r>
      <t xml:space="preserve">These tabs contains emission benefit calculations for Alaska's contingency measure under the 2020 Amendment for a specific calendar year (listed as </t>
    </r>
    <r>
      <rPr>
        <i/>
        <sz val="11"/>
        <color rgb="FFFF0000"/>
        <rFont val="Calibri"/>
        <family val="2"/>
        <scheme val="minor"/>
      </rPr>
      <t>YYYY</t>
    </r>
    <r>
      <rPr>
        <sz val="11"/>
        <color theme="1"/>
        <rFont val="Calibri"/>
        <family val="2"/>
        <scheme val="minor"/>
      </rPr>
      <t xml:space="preserve"> in the sheet name), which increases the stringency of the Stage2 alert level under the Curtailment Program from 30 ug/m3 to 25 ug/m3</t>
    </r>
  </si>
  <si>
    <t>WSCOReductions</t>
  </si>
  <si>
    <t>This sheet contains historical data from the Borough's Wood Stove Change Out (WSCO) Program and projected change outs (through 2023) shown in green shaded cells based on funding in-hand from the 2016 and 2017 TAS Grants that are used to compute emission benefits by calendar year, pollutant and change out type (solid fuel to solid fuel versus conversion to heating oil or natural gas).</t>
  </si>
  <si>
    <t>CurtailCalcsFull-2Stage</t>
  </si>
  <si>
    <t>This is a "master" sheet used to calculate emission benefits for PM2.5 and SO2 associated with the 2-Stage Curtailment Program now being operated by the State. Due to the nature of the Curtailment Program, calculations are applied to baseline emissions and energy use levels to account for emission reductions that are specific to each alert stage based on the estimated compliance rate and fraction of NOASH housholds. The methodology also accounts for the fact that the Curtailment Program does not apply to the entire nonattainment area, but those portions within the Fairbanks and North Pole Air Quality Control Zones (AQCZs). Benefits are calcualted in the form of relative reduction factors and are shaded in yellow in cells BB91:BE110.</t>
  </si>
  <si>
    <r>
      <t>CurtailCalcs</t>
    </r>
    <r>
      <rPr>
        <i/>
        <sz val="11"/>
        <color rgb="FFFF0000"/>
        <rFont val="Calibri"/>
        <family val="2"/>
        <scheme val="minor"/>
      </rPr>
      <t>YYYY</t>
    </r>
    <r>
      <rPr>
        <sz val="11"/>
        <color theme="1"/>
        <rFont val="Calibri"/>
        <family val="2"/>
        <scheme val="minor"/>
      </rPr>
      <t>-2Stage</t>
    </r>
  </si>
  <si>
    <r>
      <t xml:space="preserve">These are calendar-year specific versions of the sheet above that are used to calculate benefits for a specified calendar year (listed as </t>
    </r>
    <r>
      <rPr>
        <i/>
        <sz val="11"/>
        <color rgb="FFFF0000"/>
        <rFont val="Calibri"/>
        <family val="2"/>
        <scheme val="minor"/>
      </rPr>
      <t>YYYY</t>
    </r>
    <r>
      <rPr>
        <sz val="11"/>
        <color theme="1"/>
        <rFont val="Calibri"/>
        <family val="2"/>
        <scheme val="minor"/>
      </rPr>
      <t xml:space="preserve"> in the sheet name) based on the forecasted compliance rate for that year.</t>
    </r>
  </si>
  <si>
    <t>Devices</t>
  </si>
  <si>
    <t>This sheet was developed from the 2011-2015 Fairbanks Home Heating survey data coupled with Census-based projection to estimate device counts within the nonattainment area by device type and calendar year and is used as supporting data for some of the measure benefit calculations.</t>
  </si>
  <si>
    <t>BuildSizeG3C</t>
  </si>
  <si>
    <t>This sheet contains estimates of housing unit size, population and the number of housing units (occupied and unoccupied) by grid cells developed from block-level 2010 Census data, block group 2016 ACS Census projections in the Fairbanks Borough.  These data are used to support some of the measure benefit calculations.</t>
  </si>
  <si>
    <t>EFs-BTU</t>
  </si>
  <si>
    <t>This sheet contains space heating device emission factors on a lb/mmBTU basis that are used in the measure benefit calculations.  These factors are consistent with those used elsewhere in the SIP inventories and include an adjustment for wood device to reflect baseline wood moisture levels in the nonattainment area.</t>
  </si>
  <si>
    <t>TabsAll</t>
  </si>
  <si>
    <t>This sheet contains tabulations of various metrics from the 2011-2015 Fairbanks Home Heating surveys for both the entire nonattainment area, and by individual ZIP code and provides supporting data for some of the control measure benefits calculations.</t>
  </si>
  <si>
    <t>HHSurveyG2</t>
  </si>
  <si>
    <t>This sheet contains tabulations of additional metrics from the 2011-2015 Fairbanks Home Heating surveys at 4 km grid cell (G2) level that were use to spatially refine ZIP code-based estimates from these surveys for the Serious SIP.  They are used to support calculations in the Devices sheet and some of the control measure benefit sheets.</t>
  </si>
  <si>
    <t>Lookup</t>
  </si>
  <si>
    <t>This sheet includes miscellaneous data such as historical fuel prices and emission ratios for certified devices below/above specific certification levels (the latter compiled from the 2013 Wood Tag Survey) used to support elements of some of the emission benefit calculations</t>
  </si>
  <si>
    <r>
      <t>DevSumOut-</t>
    </r>
    <r>
      <rPr>
        <i/>
        <sz val="11"/>
        <color rgb="FFFF0000"/>
        <rFont val="Calibri"/>
        <family val="2"/>
        <scheme val="minor"/>
      </rPr>
      <t>YYYY</t>
    </r>
    <r>
      <rPr>
        <sz val="11"/>
        <color theme="1"/>
        <rFont val="Calibri"/>
        <family val="2"/>
        <scheme val="minor"/>
      </rPr>
      <t>BSR</t>
    </r>
  </si>
  <si>
    <r>
      <t>This is the first of three sets of calendar year-specific sheets (identified by the</t>
    </r>
    <r>
      <rPr>
        <i/>
        <sz val="11"/>
        <color rgb="FFFF0000"/>
        <rFont val="Calibri"/>
        <family val="2"/>
        <scheme val="minor"/>
      </rPr>
      <t xml:space="preserve"> YYYY</t>
    </r>
    <r>
      <rPr>
        <sz val="11"/>
        <color theme="1"/>
        <rFont val="Calibri"/>
        <family val="2"/>
        <scheme val="minor"/>
      </rPr>
      <t xml:space="preserve"> in the sheet name) that contain SCC-level baseline episodic emissions for space heating sources imported from the SIP inventories and are used to provide SIP inventory-consistent baseline emissions and fuel/energy use within the measure benefit calculations.  This sheet contains emissions totaled across both the entire Grid 3 domain and the nonattainment area.  Emissions are given in tons per day, averaged across the 35 episode days.</t>
    </r>
  </si>
  <si>
    <r>
      <t>ZipOutNA-</t>
    </r>
    <r>
      <rPr>
        <i/>
        <sz val="11"/>
        <color rgb="FFFF0000"/>
        <rFont val="Calibri"/>
        <family val="2"/>
        <scheme val="minor"/>
      </rPr>
      <t>YYYY</t>
    </r>
    <r>
      <rPr>
        <sz val="11"/>
        <color theme="1"/>
        <rFont val="Calibri"/>
        <family val="2"/>
        <scheme val="minor"/>
      </rPr>
      <t>BSR</t>
    </r>
  </si>
  <si>
    <t>This is the second set of SIP episodic space heating inventory data, containing space heating emissions and fuel/energy use by ZIP code -- these are used in the CurtailCalcs sheets to represent baseline emissions within the Fairbanks and North Pole AQCZs.</t>
  </si>
  <si>
    <t>AQCZSplits</t>
  </si>
  <si>
    <t>This sheet contains Census/GIS processed estimates of the population and housing fractions within each AQCZ in the nonattainment area and is used in the CurtailCalcs* sheets</t>
  </si>
  <si>
    <t>Episodes</t>
  </si>
  <si>
    <t>This sheet contains information on the 2008 historical episode days and their ambient temperatures.</t>
  </si>
  <si>
    <t>ULSEFs</t>
  </si>
  <si>
    <t>This sheet contains emission factor data complied from the 2009 Brookhaven testing study that are used within the STF-12 control measure calculation sheet to represent PM2.5 emissions in heating oil devices as a function of fuel sulfur level</t>
  </si>
  <si>
    <t>Moisture</t>
  </si>
  <si>
    <t>This sheet contains assumptions and methods used within the SIP inventory to adjust wood burning energy use and emissions as a function of wood moisture level.</t>
  </si>
  <si>
    <t>CONTROL MEASURE IMPLEMENTATION/PHASE-IN SCHEDULE FOR 2020 AMENDMENT 5% SIP</t>
  </si>
  <si>
    <t>(DRAFT FINAL - 09/04/2020)</t>
  </si>
  <si>
    <t>Measure</t>
  </si>
  <si>
    <t>Implementation</t>
  </si>
  <si>
    <t>Phase-In Schedule by Calendar Year</t>
  </si>
  <si>
    <t>Abbrev</t>
  </si>
  <si>
    <t>Measure Description</t>
  </si>
  <si>
    <t>Start Year</t>
  </si>
  <si>
    <t>Parameter</t>
  </si>
  <si>
    <t>WSCO</t>
  </si>
  <si>
    <t>WSCO Program</t>
  </si>
  <si>
    <t>2010, On-going</t>
  </si>
  <si>
    <t>No. of Changeouts (includes pre-2013)</t>
  </si>
  <si>
    <t>CURT</t>
  </si>
  <si>
    <t>Curtailment Program</t>
  </si>
  <si>
    <t>2016, On-going</t>
  </si>
  <si>
    <t>Compliance Rate</t>
  </si>
  <si>
    <t>Shift #2 to #1 Oil</t>
  </si>
  <si>
    <t>Combined Penetration/Compliance Rate</t>
  </si>
  <si>
    <t>Commercial Dry Wood</t>
  </si>
  <si>
    <t>Wood Device Removal</t>
  </si>
  <si>
    <t>Wood Emission Rates</t>
  </si>
  <si>
    <t>Remove Coal Devices</t>
  </si>
  <si>
    <t>No Primary Wood Heat</t>
  </si>
  <si>
    <t>80%/100%</t>
  </si>
  <si>
    <t>NOASH/Exmptn Rqmts</t>
  </si>
  <si>
    <t>CM/MSM</t>
  </si>
  <si>
    <t>Remove Old Stoves</t>
  </si>
  <si>
    <t>NG</t>
  </si>
  <si>
    <t>Natural Gas Expansion</t>
  </si>
  <si>
    <t>Household Conversion Pct.</t>
  </si>
  <si>
    <t>Notes:</t>
  </si>
  <si>
    <t>1)</t>
  </si>
  <si>
    <t>Start Year refers to when the measure is implemented by January 1 of the indicated year</t>
  </si>
  <si>
    <t>2)</t>
  </si>
  <si>
    <t>Phase-In percentages reflect compliance/penetration rates estimated as of January 1 of the indicated year</t>
  </si>
  <si>
    <t>3)</t>
  </si>
  <si>
    <t>Years shown in blue are RFP/QM years</t>
  </si>
  <si>
    <t>SPACE HEATING NONATTAINMENT AREA EMISSIONS BY CALENDAR YEAR AND CONTROL MEASURE</t>
  </si>
  <si>
    <t>PM2.5 Emissions (tons/episode-day)</t>
  </si>
  <si>
    <t>BASE</t>
  </si>
  <si>
    <t>Baseline</t>
  </si>
  <si>
    <t>TOTALS (OVERLAP-ADJUSTED)</t>
  </si>
  <si>
    <t>SO2 Emissions (tons/episode-day)</t>
  </si>
  <si>
    <t>COMPLIANCE/PENETRATION RATE ASSUMPTIONS</t>
  </si>
  <si>
    <t>Analysis Year:</t>
  </si>
  <si>
    <t>Ep Days</t>
  </si>
  <si>
    <t>Starts In --&gt;</t>
  </si>
  <si>
    <r>
      <t xml:space="preserve">&lt; 20 </t>
    </r>
    <r>
      <rPr>
        <sz val="11"/>
        <color theme="1"/>
        <rFont val="Calibri"/>
        <family val="2"/>
      </rPr>
      <t>µg/m3</t>
    </r>
  </si>
  <si>
    <t>Stage 0:</t>
  </si>
  <si>
    <t>Compliance/Penetration Rate --&gt;</t>
  </si>
  <si>
    <r>
      <t xml:space="preserve">&gt; 20 </t>
    </r>
    <r>
      <rPr>
        <sz val="11"/>
        <color theme="1"/>
        <rFont val="Calibri"/>
        <family val="2"/>
      </rPr>
      <t>µg/m3</t>
    </r>
  </si>
  <si>
    <t>Stage 1:</t>
  </si>
  <si>
    <t>Accumulating Benefits --&gt;</t>
  </si>
  <si>
    <t>No</t>
  </si>
  <si>
    <t>Yes</t>
  </si>
  <si>
    <t>Partial</t>
  </si>
  <si>
    <r>
      <t xml:space="preserve">&gt; 30 </t>
    </r>
    <r>
      <rPr>
        <sz val="11"/>
        <color theme="1"/>
        <rFont val="Calibri"/>
        <family val="2"/>
      </rPr>
      <t>µg/m3</t>
    </r>
  </si>
  <si>
    <t>Stage 2:</t>
  </si>
  <si>
    <t>Control Measure Package</t>
  </si>
  <si>
    <t>Control Measure Package Combined</t>
  </si>
  <si>
    <t>Full Package</t>
  </si>
  <si>
    <t>Source</t>
  </si>
  <si>
    <t>Remove Old Cert Stoves</t>
  </si>
  <si>
    <t>Natural Gas</t>
  </si>
  <si>
    <t>Pre-Curtailment</t>
  </si>
  <si>
    <t xml:space="preserve"> Curtailment Program</t>
  </si>
  <si>
    <t>With Curtailment Program</t>
  </si>
  <si>
    <t>Blended Curtailment</t>
  </si>
  <si>
    <t>Category</t>
  </si>
  <si>
    <t>SCC</t>
  </si>
  <si>
    <t>PM2.5</t>
  </si>
  <si>
    <t>SO2</t>
  </si>
  <si>
    <t>PM2.5-S1</t>
  </si>
  <si>
    <t>PM2.5-S2</t>
  </si>
  <si>
    <t>SO2-S1</t>
  </si>
  <si>
    <t>SO2-S2</t>
  </si>
  <si>
    <t>FP</t>
  </si>
  <si>
    <t>Ins-Conv</t>
  </si>
  <si>
    <t>Ins-NonCat</t>
  </si>
  <si>
    <t>Ins-Cat</t>
  </si>
  <si>
    <t>WS-Conv</t>
  </si>
  <si>
    <t>WS-NonCat</t>
  </si>
  <si>
    <t>WS-Cat</t>
  </si>
  <si>
    <t>PS-Exempt</t>
  </si>
  <si>
    <t>PS-EPACert</t>
  </si>
  <si>
    <t>OWBWtd</t>
  </si>
  <si>
    <t>COil-Res/Prtbl/DV</t>
  </si>
  <si>
    <t>COil-Com</t>
  </si>
  <si>
    <t>NtGas-Res</t>
  </si>
  <si>
    <t>NtGas-Com</t>
  </si>
  <si>
    <t>CoalHt</t>
  </si>
  <si>
    <t>Coal-Com</t>
  </si>
  <si>
    <t>Wood-Com</t>
  </si>
  <si>
    <t>WasteOil</t>
  </si>
  <si>
    <t>Emission Totals (tpd):</t>
  </si>
  <si>
    <t>Emission Reductions (tpd):</t>
  </si>
  <si>
    <t>Overlap-Discounted Reductions (tpd):</t>
  </si>
  <si>
    <t>&lt;--- Summed Reductions (Include Overlap) ---&gt;</t>
  </si>
  <si>
    <t>Emission Reductions, Wood:</t>
  </si>
  <si>
    <t>Relative Reductions, Wood:</t>
  </si>
  <si>
    <t>Emission Reductions, Oil:</t>
  </si>
  <si>
    <t>Relative Reductions, Oil:</t>
  </si>
  <si>
    <t>Addition Residential NG Customers by 2029:</t>
  </si>
  <si>
    <t>(Lower Gas Cost Scenario)</t>
  </si>
  <si>
    <t>Total Housing Units in NA Area:</t>
  </si>
  <si>
    <t>(projected 2025)</t>
  </si>
  <si>
    <t>Conversion Fraction:</t>
  </si>
  <si>
    <t>36% Penetration of NG From Moderate SIP</t>
  </si>
  <si>
    <t>Discounted by Price Point and Cold Temp Wood Use</t>
  </si>
  <si>
    <t>to 16.5% for PM2.5</t>
  </si>
  <si>
    <r>
      <t xml:space="preserve">&lt; 25 </t>
    </r>
    <r>
      <rPr>
        <sz val="11"/>
        <color theme="1"/>
        <rFont val="Calibri"/>
        <family val="2"/>
      </rPr>
      <t>µg/m3</t>
    </r>
  </si>
  <si>
    <r>
      <t xml:space="preserve">&gt; 25 </t>
    </r>
    <r>
      <rPr>
        <sz val="11"/>
        <color theme="1"/>
        <rFont val="Calibri"/>
        <family val="2"/>
      </rPr>
      <t>µg/m3</t>
    </r>
  </si>
  <si>
    <r>
      <t xml:space="preserve">&gt; 35 </t>
    </r>
    <r>
      <rPr>
        <sz val="11"/>
        <color theme="1"/>
        <rFont val="Calibri"/>
        <family val="2"/>
      </rPr>
      <t>µg/m3</t>
    </r>
  </si>
  <si>
    <t>STF Measure 12 (Fuel Control)</t>
  </si>
  <si>
    <t xml:space="preserve">Measure:  </t>
  </si>
  <si>
    <t>Replace Current Space Heating Oil with #1 Oil</t>
  </si>
  <si>
    <t>Starting Calendar Year:</t>
  </si>
  <si>
    <t>Fairbanks Space Heating Oil Characteristics - Baseline</t>
  </si>
  <si>
    <t>Methodology Summary:</t>
  </si>
  <si>
    <t>- Local heating oil used for space heating reflects a blend of #1 and #2 distillate.</t>
  </si>
  <si>
    <r>
      <t xml:space="preserve">- </t>
    </r>
    <r>
      <rPr>
        <i/>
        <u/>
        <sz val="11"/>
        <color theme="1"/>
        <rFont val="Calibri"/>
        <family val="2"/>
        <scheme val="minor"/>
      </rPr>
      <t>Residential</t>
    </r>
    <r>
      <rPr>
        <i/>
        <sz val="11"/>
        <color theme="1"/>
        <rFont val="Calibri"/>
        <family val="2"/>
        <scheme val="minor"/>
      </rPr>
      <t xml:space="preserve"> #1 and #2 split based on responses from 2011-2015 Fairbanks Home Heating (HH) Survey.</t>
    </r>
  </si>
  <si>
    <r>
      <t xml:space="preserve">- </t>
    </r>
    <r>
      <rPr>
        <i/>
        <u/>
        <sz val="11"/>
        <color theme="1"/>
        <rFont val="Calibri"/>
        <family val="2"/>
        <scheme val="minor"/>
      </rPr>
      <t>Commercial</t>
    </r>
    <r>
      <rPr>
        <i/>
        <sz val="11"/>
        <color theme="1"/>
        <rFont val="Calibri"/>
        <family val="2"/>
        <scheme val="minor"/>
      </rPr>
      <t xml:space="preserve"> use assumed to be #1 distillate.</t>
    </r>
  </si>
  <si>
    <t>- Local #1 and #2 fuel sulfur content based on 2012 samples measured by SwRI.</t>
  </si>
  <si>
    <t>- Winter heating fuel use fraction (relative to annual) calculated from 2011-2015 HH Survey.</t>
  </si>
  <si>
    <t>Distillate Blend (%)</t>
  </si>
  <si>
    <t>Sulfur</t>
  </si>
  <si>
    <t>Winter vs. Annual</t>
  </si>
  <si>
    <t>Winter %</t>
  </si>
  <si>
    <t>Sector</t>
  </si>
  <si>
    <t>#1</t>
  </si>
  <si>
    <t>#2</t>
  </si>
  <si>
    <t>(ppm)</t>
  </si>
  <si>
    <t>Heating Fuel Use</t>
  </si>
  <si>
    <t>(Oct-Mar)</t>
  </si>
  <si>
    <t>Residential</t>
  </si>
  <si>
    <t>Heating Oil:</t>
  </si>
  <si>
    <t>Commercial</t>
  </si>
  <si>
    <t>Wood:</t>
  </si>
  <si>
    <t>Fuel Sulfur (ppm)</t>
  </si>
  <si>
    <t>Fuel/Sector</t>
  </si>
  <si>
    <t>VOC</t>
  </si>
  <si>
    <t>NOX</t>
  </si>
  <si>
    <t>PM10-PRI</t>
  </si>
  <si>
    <t>PM25-PRI</t>
  </si>
  <si>
    <t>NH3</t>
  </si>
  <si>
    <t>CO</t>
  </si>
  <si>
    <t>Baseline Resid. Oil Blend</t>
  </si>
  <si>
    <t>Baseline Comm. Oil Blend</t>
  </si>
  <si>
    <t>All Wood Devices</t>
  </si>
  <si>
    <t>Calculation of Ultra Low Sulfur Heating Oil Emission Factors</t>
  </si>
  <si>
    <r>
      <t>- SO</t>
    </r>
    <r>
      <rPr>
        <i/>
        <vertAlign val="subscript"/>
        <sz val="11"/>
        <color theme="1"/>
        <rFont val="Calibri"/>
        <family val="2"/>
        <scheme val="minor"/>
      </rPr>
      <t>2</t>
    </r>
    <r>
      <rPr>
        <i/>
        <sz val="11"/>
        <color theme="1"/>
        <rFont val="Calibri"/>
        <family val="2"/>
        <scheme val="minor"/>
      </rPr>
      <t xml:space="preserve"> emission factors scaled from baseline heating oil emission factors based on sulfur content.</t>
    </r>
  </si>
  <si>
    <r>
      <t>- PM</t>
    </r>
    <r>
      <rPr>
        <i/>
        <vertAlign val="subscript"/>
        <sz val="11"/>
        <color theme="1"/>
        <rFont val="Calibri"/>
        <family val="2"/>
        <scheme val="minor"/>
      </rPr>
      <t>2.5</t>
    </r>
    <r>
      <rPr>
        <i/>
        <sz val="11"/>
        <color theme="1"/>
        <rFont val="Calibri"/>
        <family val="2"/>
        <scheme val="minor"/>
      </rPr>
      <t xml:space="preserve"> (and PM</t>
    </r>
    <r>
      <rPr>
        <i/>
        <vertAlign val="subscript"/>
        <sz val="11"/>
        <color theme="1"/>
        <rFont val="Calibri"/>
        <family val="2"/>
        <scheme val="minor"/>
      </rPr>
      <t>10</t>
    </r>
    <r>
      <rPr>
        <i/>
        <sz val="11"/>
        <color theme="1"/>
        <rFont val="Calibri"/>
        <family val="2"/>
        <scheme val="minor"/>
      </rPr>
      <t>) factors based on relative differences in emission factors from 2009 Brookhaven Lab study</t>
    </r>
  </si>
  <si>
    <t xml:space="preserve">  (see figure below).</t>
  </si>
  <si>
    <t>- NOx factors estimated as 25% reduction from average of NOx factors for baseline residential and</t>
  </si>
  <si>
    <t xml:space="preserve">  commercial heating oil based on 2002 V. Turk "Factors Affecting Oil Burner NOx Emissions" paper.</t>
  </si>
  <si>
    <t>- Factors for all other pollutants assumed equal to those for baseline residential heating oil.</t>
  </si>
  <si>
    <t>Tested Heating Oil Device PM2.5 Emission Factors (lb/mmBTU) vs. Fuel Sulfur (ppm)</t>
  </si>
  <si>
    <r>
      <rPr>
        <i/>
        <u/>
        <sz val="11"/>
        <color theme="1"/>
        <rFont val="Calibri"/>
        <family val="2"/>
        <scheme val="minor"/>
      </rPr>
      <t>Source</t>
    </r>
    <r>
      <rPr>
        <i/>
        <sz val="11"/>
        <color theme="1"/>
        <rFont val="Calibri"/>
        <family val="2"/>
        <scheme val="minor"/>
      </rPr>
      <t>:  2009 Brookhaven National Laboratory Report (BNL-91286-2009-IR)</t>
    </r>
  </si>
  <si>
    <t>Linear Eqn:  PM2.5 (lb/mmBTU) vs. S (ppm)</t>
  </si>
  <si>
    <t>PM2.5    =</t>
  </si>
  <si>
    <t>x S      +</t>
  </si>
  <si>
    <t>Predicted</t>
  </si>
  <si>
    <t>Heating Oil Grade</t>
  </si>
  <si>
    <t>lb/mmBTU</t>
  </si>
  <si>
    <t>Baseline Residential Oil</t>
  </si>
  <si>
    <t>#1 Heating Oil</t>
  </si>
  <si>
    <t>Relative PM Reduction:</t>
  </si>
  <si>
    <t>Energy Content Differences</t>
  </si>
  <si>
    <t>Energy Content #2:</t>
  </si>
  <si>
    <t>BTU/gal</t>
  </si>
  <si>
    <t>https://www.engineeringtoolbox.com/energy-content-d_868.html</t>
  </si>
  <si>
    <t>Energy Content #1:</t>
  </si>
  <si>
    <t>% Difference (#1 vs. #2):</t>
  </si>
  <si>
    <t>#1 Heating Oil Emission Factors (lb/mmBTU)</t>
  </si>
  <si>
    <t>Without Implementation of this Measure</t>
  </si>
  <si>
    <t>- Set baseline nonattainment area heating energy use using average winter modeling episode day.</t>
  </si>
  <si>
    <t>- Scaled average winter day to annual day heating energy use based on 2011-2015 HH Survey data.</t>
  </si>
  <si>
    <t>- Calculate baseline annual emissions by affected fuel/sector using lb/mmBTU emission factors.</t>
  </si>
  <si>
    <t xml:space="preserve">  (Wood heating devices included to later account for price-based demand shift.)</t>
  </si>
  <si>
    <t>Affected Fuel/Sector (mmBTU/day)</t>
  </si>
  <si>
    <t>Wtr/Ann</t>
  </si>
  <si>
    <t>Annual</t>
  </si>
  <si>
    <t>Episodic</t>
  </si>
  <si>
    <t>Use (%)</t>
  </si>
  <si>
    <t>(12 mths)</t>
  </si>
  <si>
    <t>Residential Heating Oil</t>
  </si>
  <si>
    <t>Commercial Heating Oil</t>
  </si>
  <si>
    <t>All Wood Heating Devices</t>
  </si>
  <si>
    <t>TOTALS</t>
  </si>
  <si>
    <t>Space Heating Emission Factors (lb/mmBTU)</t>
  </si>
  <si>
    <t>Residential Oil, Baseline</t>
  </si>
  <si>
    <t>Commercial Oil, Baseline</t>
  </si>
  <si>
    <t>Fuel Type</t>
  </si>
  <si>
    <t>With Implementation of this Measure</t>
  </si>
  <si>
    <r>
      <t>- Use ULS emission factors from 2009 Brookhaven report for PM</t>
    </r>
    <r>
      <rPr>
        <i/>
        <vertAlign val="subscript"/>
        <sz val="11"/>
        <color theme="1"/>
        <rFont val="Calibri"/>
        <family val="2"/>
        <scheme val="minor"/>
      </rPr>
      <t>2.5</t>
    </r>
    <r>
      <rPr>
        <i/>
        <sz val="11"/>
        <color theme="1"/>
        <rFont val="Calibri"/>
        <family val="2"/>
        <scheme val="minor"/>
      </rPr>
      <t xml:space="preserve"> (and scaled SO</t>
    </r>
    <r>
      <rPr>
        <i/>
        <vertAlign val="subscript"/>
        <sz val="11"/>
        <color theme="1"/>
        <rFont val="Calibri"/>
        <family val="2"/>
        <scheme val="minor"/>
      </rPr>
      <t>2</t>
    </r>
    <r>
      <rPr>
        <i/>
        <sz val="11"/>
        <color theme="1"/>
        <rFont val="Calibri"/>
        <family val="2"/>
        <scheme val="minor"/>
      </rPr>
      <t>).</t>
    </r>
  </si>
  <si>
    <t>- Adjust for decreased oil use from ULS due to eliminated boiler fouling/deposits.</t>
  </si>
  <si>
    <t>- Account for reduced oil demand from increased ULS price (using demand elasticity).</t>
  </si>
  <si>
    <t>- Assume energy from price-reduced oil demand replaced with "same-BTU" wood energy.</t>
  </si>
  <si>
    <t>- Translate "same-BTU" energy to equivalent wood BTUs, accounting for wood/oil efficiency difference.</t>
  </si>
  <si>
    <t>Heating Efficiency Improvement Using ULS Oil</t>
  </si>
  <si>
    <t>Baseline Oil Device Efficiency:</t>
  </si>
  <si>
    <t>Fuel Use Increase from Fouling:</t>
  </si>
  <si>
    <t>per 2015 Brookhaven report (BNL-108353-2015-IR)</t>
  </si>
  <si>
    <t>Fouling Eliminated Fuel Use Decrease:</t>
  </si>
  <si>
    <t>Heating Oil Price Elasticity Impacts on Wood Demand</t>
  </si>
  <si>
    <t>Estimated Oil Demand Price Elasticity:</t>
  </si>
  <si>
    <t>Price Premium for #1 Oil:</t>
  </si>
  <si>
    <t>Base Price:</t>
  </si>
  <si>
    <t>per gallon</t>
  </si>
  <si>
    <t>Relative Price Increase:</t>
  </si>
  <si>
    <t>Decrease in Oil Use:</t>
  </si>
  <si>
    <t>Wood-Oil Cross-Price Elasticity:</t>
  </si>
  <si>
    <t>Increase in Wood Use:</t>
  </si>
  <si>
    <t>Relative Heating Efficiency Between Oil and All Wood Devices</t>
  </si>
  <si>
    <t>(Wood efficiency is usage weighted composite)</t>
  </si>
  <si>
    <t>Efficiency (%)</t>
  </si>
  <si>
    <t>Relative</t>
  </si>
  <si>
    <t>Oil</t>
  </si>
  <si>
    <t>Wood</t>
  </si>
  <si>
    <t>Wood/Oil</t>
  </si>
  <si>
    <t>Factor</t>
  </si>
  <si>
    <t>Affected Fuel/Sector (mmBTU/winter day)</t>
  </si>
  <si>
    <t>Winter</t>
  </si>
  <si>
    <t>ULS-</t>
  </si>
  <si>
    <t>After</t>
  </si>
  <si>
    <t>Price</t>
  </si>
  <si>
    <t>Energy</t>
  </si>
  <si>
    <t>Reduced</t>
  </si>
  <si>
    <t>Demand</t>
  </si>
  <si>
    <t>Efficiency</t>
  </si>
  <si>
    <t>Content</t>
  </si>
  <si>
    <t>Fouling</t>
  </si>
  <si>
    <t>Impact</t>
  </si>
  <si>
    <t>Adj.</t>
  </si>
  <si>
    <t>After ULS</t>
  </si>
  <si>
    <t>Residential Oil, ULS</t>
  </si>
  <si>
    <t>Commercial Oil, ULS</t>
  </si>
  <si>
    <t>Emission Benefits by Calendar Year</t>
  </si>
  <si>
    <t>Net Emission Benefits (tons/winter day)</t>
  </si>
  <si>
    <t>Implmnt.</t>
  </si>
  <si>
    <t>Calendar Year</t>
  </si>
  <si>
    <t>Year</t>
  </si>
  <si>
    <t>One-time measure, so no accumulation of benefits over time</t>
  </si>
  <si>
    <t>Relative Reductions by SCC:</t>
  </si>
  <si>
    <t>Relative Reductions</t>
  </si>
  <si>
    <t>All Wood</t>
  </si>
  <si>
    <t>Year 1:</t>
  </si>
  <si>
    <t>Cum To:</t>
  </si>
  <si>
    <t>Device/Fuel Abbrev</t>
  </si>
  <si>
    <t>Wood?</t>
  </si>
  <si>
    <t>Y</t>
  </si>
  <si>
    <t>COil-Res+Prtbl+DVOil</t>
  </si>
  <si>
    <t>STF Measure 13 (Fuel Control)</t>
  </si>
  <si>
    <t xml:space="preserve">Measure: </t>
  </si>
  <si>
    <t>All commercially-sold wood must have moisture no greater than 20%</t>
  </si>
  <si>
    <t xml:space="preserve">Starting Calendar Year: </t>
  </si>
  <si>
    <t>Assumed Full Compliance/Penetration Rate:</t>
  </si>
  <si>
    <t>Assumed Commercially-Sold Wood MC:</t>
  </si>
  <si>
    <t>&lt;-- This is the moisture content on dry basis assumed for commercially-sold wood under this measure.</t>
  </si>
  <si>
    <t>Baseline Average Wood MC:</t>
  </si>
  <si>
    <t>&lt;-- Baseline MC for all wood is 36.5% (from CCHRC data &amp; HH Survey splits)</t>
  </si>
  <si>
    <t>Key Data Sources, Assumptions, Methods:</t>
  </si>
  <si>
    <t>- Use fractions of owner cut vs. commercially purchased wood from 2011-2015 Home Heating Survey</t>
  </si>
  <si>
    <t>- Calculate commercially purchased wood volume from these fractions</t>
  </si>
  <si>
    <t>- Compute wood moisture net energy adjustment for assumed "control" wood moisture relative to 36.5% MC baseline</t>
  </si>
  <si>
    <t>- Calculate adjusted wood device emissions for the commercially purchased episodic wood use</t>
  </si>
  <si>
    <t>Wood Moisture Heating Energy Adjustment Calculations and Commercially-Sold Wood Fraction</t>
  </si>
  <si>
    <t>Control</t>
  </si>
  <si>
    <t>Composite</t>
  </si>
  <si>
    <t>Cut Own</t>
  </si>
  <si>
    <t>Sold</t>
  </si>
  <si>
    <t>Dry Wood</t>
  </si>
  <si>
    <t>Average Wood MC:</t>
  </si>
  <si>
    <t>Available Potential Heat (BTU/lb):</t>
  </si>
  <si>
    <t>BTU Adjustment Relative to Baseline:</t>
  </si>
  <si>
    <t>-</t>
  </si>
  <si>
    <t>Wood Source Fractions:</t>
  </si>
  <si>
    <t>&lt;-- from 2013 Tag Survey data sample</t>
  </si>
  <si>
    <t>Wood Use (tons/winter day)</t>
  </si>
  <si>
    <t>Wood Device/Technology</t>
  </si>
  <si>
    <t>Total</t>
  </si>
  <si>
    <t>Fireplaces</t>
  </si>
  <si>
    <t>Insert, Uncertified</t>
  </si>
  <si>
    <t>Insert, Non-Catalytic Certified</t>
  </si>
  <si>
    <t>Insert, Catalytic Certified</t>
  </si>
  <si>
    <t>Woodstove, Uncertified</t>
  </si>
  <si>
    <t>Woodstove, Non-Catalytic Certified</t>
  </si>
  <si>
    <t>Woodstove, Catalytic Certified</t>
  </si>
  <si>
    <t>Pellet Stove, Exempt</t>
  </si>
  <si>
    <t>Pellet Stove, EPA-Certified</t>
  </si>
  <si>
    <t>OWB (80% Unq/20% Phase 2)</t>
  </si>
  <si>
    <t>cords/winter day</t>
  </si>
  <si>
    <t>Wood Use Reductions:</t>
  </si>
  <si>
    <t>Emission Benefits by Calendar Year:</t>
  </si>
  <si>
    <t>Net Emission Benefits (tons/winter day) by SCC</t>
  </si>
  <si>
    <t>Device Type</t>
  </si>
  <si>
    <t>STF Measure 17 (Device Removal)</t>
  </si>
  <si>
    <t>Require Notice &amp; Proof of Destruction or Surrender of Removal of Uncertified Devices &amp; Outdoor Hydronic Heaters</t>
  </si>
  <si>
    <t>- Assume this measure affects fireplaces, uncertified stoves/inserts, all cordwood OHHs and coal heaters</t>
  </si>
  <si>
    <t>- Total and wood device-specific average household energy use estimated from 2011-2015 Home Heating Survey</t>
  </si>
  <si>
    <t>- Baseline emissions (from both wood and other fuels) first calculated for affected households with uncertified devices</t>
  </si>
  <si>
    <r>
      <t xml:space="preserve">- "With Measure" emissions then calculated using </t>
    </r>
    <r>
      <rPr>
        <i/>
        <u/>
        <sz val="11"/>
        <color theme="1"/>
        <rFont val="Calibri"/>
        <family val="2"/>
        <scheme val="minor"/>
      </rPr>
      <t>energy-equivalent heating oil</t>
    </r>
    <r>
      <rPr>
        <i/>
        <sz val="11"/>
        <color theme="1"/>
        <rFont val="Calibri"/>
        <family val="2"/>
        <scheme val="minor"/>
      </rPr>
      <t xml:space="preserve"> emission factors</t>
    </r>
  </si>
  <si>
    <t>- Heating efficiency differences also accounted for between uncertified devices and heating oil devices</t>
  </si>
  <si>
    <t>Uncertified Inserts</t>
  </si>
  <si>
    <t>Uncertified Stoves</t>
  </si>
  <si>
    <t>Certified Inserts</t>
  </si>
  <si>
    <t>Certified Stoves</t>
  </si>
  <si>
    <t>Unqualified OHHs</t>
  </si>
  <si>
    <t>Qualified OHHs</t>
  </si>
  <si>
    <t>Coal Heaters</t>
  </si>
  <si>
    <t>Total Solid Fuel Devices</t>
  </si>
  <si>
    <t>Heating Device/Fuel</t>
  </si>
  <si>
    <t xml:space="preserve">Certified Stoves </t>
  </si>
  <si>
    <t>Phase 2 Qualified OHHs</t>
  </si>
  <si>
    <t>Oil Devices</t>
  </si>
  <si>
    <t>mmBTU/</t>
  </si>
  <si>
    <t>wtr day</t>
  </si>
  <si>
    <t>Replaced</t>
  </si>
  <si>
    <t>Device</t>
  </si>
  <si>
    <t>Heating Efficiency Factors</t>
  </si>
  <si>
    <t>Stove/Ins Replacement Option</t>
  </si>
  <si>
    <t>Split</t>
  </si>
  <si>
    <t>Oil/Fireplace:</t>
  </si>
  <si>
    <t>Certified SFBA</t>
  </si>
  <si>
    <t>&lt;-- Used NP Splits</t>
  </si>
  <si>
    <t>Oil/Uncert Ins:</t>
  </si>
  <si>
    <t>Non-SFBA (oil/gas/electric)</t>
  </si>
  <si>
    <t>Oil/Uncert WS:</t>
  </si>
  <si>
    <t>No Replacement (more oil)</t>
  </si>
  <si>
    <t>Oil/Unq OHH:</t>
  </si>
  <si>
    <t>Oil-Equivalent Subtotal</t>
  </si>
  <si>
    <t>Oil/Coal:</t>
  </si>
  <si>
    <t>Cert/Uncert Ins:</t>
  </si>
  <si>
    <t>Cert/Uncert WS:</t>
  </si>
  <si>
    <t>2.5g Cert/Cert Ins:</t>
  </si>
  <si>
    <t>2.5g Cert/Cert WS:</t>
  </si>
  <si>
    <t>Oil/2.5g Cert Ins:</t>
  </si>
  <si>
    <t>Oil/2.5g Cert WS:</t>
  </si>
  <si>
    <t>Ph 2/Unq OHH:</t>
  </si>
  <si>
    <t>Fireplaces --&gt; Oil</t>
  </si>
  <si>
    <t>Uncertified Inserts --&gt; Certified SFBA</t>
  </si>
  <si>
    <t>Uncertified Stoves --&gt; Certified SFBA</t>
  </si>
  <si>
    <t>Uncertified Inserts --&gt; Oil</t>
  </si>
  <si>
    <t>Uncertified Stoves --&gt; Oil</t>
  </si>
  <si>
    <t>Unqualified OHHs --&gt; Oil</t>
  </si>
  <si>
    <t>Phase 2 Qualified OHHs --&gt; Oil</t>
  </si>
  <si>
    <t>Coal Heaters --&gt; Oil</t>
  </si>
  <si>
    <t>Existing Oil Devices</t>
  </si>
  <si>
    <t>Net Emission Benefits (tons/episode day) by SCC</t>
  </si>
  <si>
    <t>BACM Measure R8 (SFBA Emission Rate Requirements for New &amp; Reconveyed Devices)</t>
  </si>
  <si>
    <t>SFBA Emission Rate Requirements for New &amp; Re-Conveyed Devices</t>
  </si>
  <si>
    <t xml:space="preserve">Analysis Year: </t>
  </si>
  <si>
    <t>Annual Replacement Rate, Fireplace:</t>
  </si>
  <si>
    <t>&lt;-- equal to reciprocal of assumed useful life (years)</t>
  </si>
  <si>
    <t>Annual Replacement Rate, Cordwood Stove/Insert:</t>
  </si>
  <si>
    <t>Annual Replacement Rate, Pellet Stove:</t>
  </si>
  <si>
    <t>Annual Replacement Rate, Outdoor Hydronic Heater:</t>
  </si>
  <si>
    <t>- Assume it applies to all wood-burning devices</t>
  </si>
  <si>
    <t>- High-side estimate of annual new home sales in Borough to account for Eielson-related growth</t>
  </si>
  <si>
    <t>- Also include new installations when devices are "normally" replaced after average useful life</t>
  </si>
  <si>
    <t>- Assume measure allows only oil furnaces in new construction, device replacements</t>
  </si>
  <si>
    <t>- Baseline emissions (from both wood and other fuels) first calculated for affected households with solid fuel devices</t>
  </si>
  <si>
    <t>- "With Measure" emissions then calculated using oil furnace emission factors</t>
  </si>
  <si>
    <t>- Heating efficiency differences also accounted for between solid fuel devices and oil furnaces</t>
  </si>
  <si>
    <t>Annual number of new residences constructed within nonattainment area:</t>
  </si>
  <si>
    <t>Uncert</t>
  </si>
  <si>
    <t>Cert</t>
  </si>
  <si>
    <t>Cordwood</t>
  </si>
  <si>
    <t>Pellet</t>
  </si>
  <si>
    <t xml:space="preserve">  Total =</t>
  </si>
  <si>
    <t>Fairbanks Community Research Quarterly, 2016 Vol. 4 -- highest value in last 15 years (2007), to reflect projected new housing growth from Eielson F-35s:  243 in City of Fairbanks, 37 in City of North Pole, 704 in remainder of Borough, all assumed within nonattainment area</t>
  </si>
  <si>
    <t xml:space="preserve">  With fireplaces =</t>
  </si>
  <si>
    <t>Fairbanks Home Heating 2011-2015 Survey data  -- product of wood device and fireplace (of wood device) household fractions (38.5% x 5.5%) -- FNSB_2011-2015_HHSurvey_Unified_Tabulations_GIS_FPCorrections.xlsx, TabsAll</t>
  </si>
  <si>
    <t xml:space="preserve">  With fireplaces + inserts, cordwood =</t>
  </si>
  <si>
    <t>Fairbanks Home Heating 2011-2015 Survey data  -- product of wood device and fireplace insert household fractions [38.5% x 5.2%] -- FNSB_2011-2015_HHSurvey_Unified_Tabulations_GIS_FPCorrections.xlsx, TabsAll</t>
  </si>
  <si>
    <t xml:space="preserve">  With stoves, cordwood =</t>
  </si>
  <si>
    <t>Fairbanks Home Heating 2011-2015 Survey data  -- product of wood device and woodstove household fractions [38.5% x 86.2%] -- FNSB_2011-2015_HHSurvey_Unified_Tabulations_GIS_FPCorrections.xlsx, TabsAll</t>
  </si>
  <si>
    <t xml:space="preserve">  With exempt pellet stoves =</t>
  </si>
  <si>
    <t xml:space="preserve">  With certified pellet stoves =</t>
  </si>
  <si>
    <t xml:space="preserve">  With outdoor hydronic heaters =</t>
  </si>
  <si>
    <t xml:space="preserve">Fairbanks Home Heating 2011-2015 Survey data -- product of wood device and outdoor wood boiler household fractions (38.5% x 5.4%); we use all OWB fractions here since the Borough already has an ordinance (21.28.020) that required new wood devices, including OWBs to be EPA-Certified -- FNSB_2011-2015_HHSurvey_Unified_Tabulations_GIS_FPCorrections.xlsx, TabsAll </t>
  </si>
  <si>
    <t>Total Affected New Construction Devices:</t>
  </si>
  <si>
    <t>2013 Tag Survey Fractions for Stoves/Inserts</t>
  </si>
  <si>
    <t>&gt; 2.0 g/hr:</t>
  </si>
  <si>
    <t>Cert Ins/Fireplace:</t>
  </si>
  <si>
    <t>&lt; 2.0 g/hr:</t>
  </si>
  <si>
    <t>Emission Ratio (Under/Avg):</t>
  </si>
  <si>
    <t>Step 2 Cert Pellet HH/Uncert HH:</t>
  </si>
  <si>
    <t>&lt;-- Latest EPA Cert Pellet HH are 85% efficient</t>
  </si>
  <si>
    <t>Energy Consumption</t>
  </si>
  <si>
    <t>New</t>
  </si>
  <si>
    <t>mmBtu/episodic day</t>
  </si>
  <si>
    <t>Annual Replacement</t>
  </si>
  <si>
    <t>Construct.</t>
  </si>
  <si>
    <t>Affected</t>
  </si>
  <si>
    <t>All Devices</t>
  </si>
  <si>
    <t>Per Device</t>
  </si>
  <si>
    <t>Rate (%)</t>
  </si>
  <si>
    <t>Certified Inserts &gt; 2.0 g/hr</t>
  </si>
  <si>
    <t>Certified Inserts &lt; 2.0 g/hr</t>
  </si>
  <si>
    <t>Certified Stoves &gt; 2.0 g/hr</t>
  </si>
  <si>
    <t>Certified Stoves &lt; 2.0 g/hr</t>
  </si>
  <si>
    <t>Exempt Pellet Devices (Inserts/Stoves)</t>
  </si>
  <si>
    <t>Certified Pellet Devices (Inserts/Stoves)</t>
  </si>
  <si>
    <t>Phase 2 (Certified) OHHs</t>
  </si>
  <si>
    <t>Total Wood-Burning Devices</t>
  </si>
  <si>
    <t>Oil Furnaces</t>
  </si>
  <si>
    <t>PM Emission</t>
  </si>
  <si>
    <t>Assumed Regulation Effect</t>
  </si>
  <si>
    <t>Adjust.</t>
  </si>
  <si>
    <t>New Certified Insert &lt; 2.0 g/hr</t>
  </si>
  <si>
    <t>New Certified Stove &lt; 2.0 g/hr</t>
  </si>
  <si>
    <t>&lt;-- estimated from data compiled under 2013 Tag Survey</t>
  </si>
  <si>
    <t>Not Affected</t>
  </si>
  <si>
    <t>New Certified Pellet Stove &lt; 0.10 lb/mmBTU</t>
  </si>
  <si>
    <t>&lt;-- estimated by scaling Unqualified to Phase 2 Efs and then assuming Phase 2 qualified at 0.32 lb/mmBTU, so 0.10/0.32</t>
  </si>
  <si>
    <t>&lt;-- estimated assuming Phase 2 qualified at 0.32 lb/mmBTU, so 0.10/0.32</t>
  </si>
  <si>
    <t>New Residence Type</t>
  </si>
  <si>
    <t>Measure benefits accumulate over time.</t>
  </si>
  <si>
    <t xml:space="preserve">[Compute first year emission reduction as the first year increase without </t>
  </si>
  <si>
    <t>implementation minus the first year increase with implementation of this</t>
  </si>
  <si>
    <t>measure.  In each succeeding year, the emission reduction equals the first year</t>
  </si>
  <si>
    <t>reduction x number of years since first year of implementation.]</t>
  </si>
  <si>
    <t>Cat/NonCat</t>
  </si>
  <si>
    <t>Splits</t>
  </si>
  <si>
    <t>TOTAL</t>
  </si>
  <si>
    <t>BACM Measure 48</t>
  </si>
  <si>
    <t>Date Certain Removal of "Coal Only Heater"</t>
  </si>
  <si>
    <t>- this measure affects only coal heaters as identified in the 2011-2015 Home Heating Survey</t>
  </si>
  <si>
    <t>- Baseline residential emissions (from both wood and other fuels) first calculated for affected devices</t>
  </si>
  <si>
    <t>- Heating efficiency differences also accounted for between coal heaters and heating oil devices</t>
  </si>
  <si>
    <t>Total Uncertified Devices</t>
  </si>
  <si>
    <t>epsd day</t>
  </si>
  <si>
    <t>Oil/Uncert SFBA</t>
  </si>
  <si>
    <t>Coal Heaters, Noncompliant</t>
  </si>
  <si>
    <t>Net Emission Benefits (tons/episodic day)</t>
  </si>
  <si>
    <t>STF Measure 22 (Prohibit Wood Devices as Primary or Sole Heat Source)</t>
  </si>
  <si>
    <t>Prohibit wood-fired heating devices from use as primary or sole source or heat -- applies to new construction (except large lot dry cabins) and rental units (unless rental was already a NOASH)</t>
  </si>
  <si>
    <t>NA Area Rental Household Fraction:</t>
  </si>
  <si>
    <t>&lt;-- Estimated from 2016 ACS and 2010 Census by Block Group</t>
  </si>
  <si>
    <t>Assumed NOASH Household Fraction:</t>
  </si>
  <si>
    <t>&lt;-- Estimated from 2011-2015 Fairbanks Home Heating Survey</t>
  </si>
  <si>
    <t>Assumed Full Compliance Rate (Existing Units):</t>
  </si>
  <si>
    <t>Assumed Full Compliance Rate (New Construction):</t>
  </si>
  <si>
    <t>- Assume this measure affects all SFBAs in rented dwellings</t>
  </si>
  <si>
    <t>- Baseline emissions (from both wood and other fuels) first calculated for affected rental households with SFBAs</t>
  </si>
  <si>
    <t>- Heating efficiency differences also accounted for between each SFBA devices and heating oil devices</t>
  </si>
  <si>
    <t>&gt; 2 acre</t>
  </si>
  <si>
    <t>Dry Cabins</t>
  </si>
  <si>
    <t>^</t>
  </si>
  <si>
    <t>Estimated</t>
  </si>
  <si>
    <t>From GIS</t>
  </si>
  <si>
    <t xml:space="preserve">Parcel </t>
  </si>
  <si>
    <t>Database</t>
  </si>
  <si>
    <t>Affected Fraction of Rental Households:</t>
  </si>
  <si>
    <t>&lt;-- Product of Rental fraction and non-NOASH fraction</t>
  </si>
  <si>
    <t>Fraction of Households That Are Primary Wood:</t>
  </si>
  <si>
    <t>&lt;-- Calculated from 2011-2015 Fairbanks Home Heating Survey data (UnifiedDataGIS sheet)</t>
  </si>
  <si>
    <t>Energy Use in Primary Wood Households</t>
  </si>
  <si>
    <t>Daily Avg/HH (mmBTU/day)</t>
  </si>
  <si>
    <t>Other</t>
  </si>
  <si>
    <t>Annual Day:</t>
  </si>
  <si>
    <t>Winter Day:</t>
  </si>
  <si>
    <t>Affected Owner-Occ</t>
  </si>
  <si>
    <t>Affected Rentals</t>
  </si>
  <si>
    <t>Total Existing</t>
  </si>
  <si>
    <t>New Construction</t>
  </si>
  <si>
    <t>Owner</t>
  </si>
  <si>
    <t>Rental</t>
  </si>
  <si>
    <t>Energy Use</t>
  </si>
  <si>
    <t>Occupied</t>
  </si>
  <si>
    <t>Unit</t>
  </si>
  <si>
    <t>All HHs</t>
  </si>
  <si>
    <t>OHHs (Unqualified &amp; Qualified)</t>
  </si>
  <si>
    <t>Total Wood-Fired Devices</t>
  </si>
  <si>
    <t>Exempt Pellet Devices</t>
  </si>
  <si>
    <t>Certified Pellet Devices</t>
  </si>
  <si>
    <t>Total Applicable Units</t>
  </si>
  <si>
    <t>Existing Units (Owner-Occupied + Rentals)</t>
  </si>
  <si>
    <t>New Construction Units</t>
  </si>
  <si>
    <t>Wood to Oil Energy Shift in Primary Wood Households</t>
  </si>
  <si>
    <t>Applied to Existing Units (Not New Construction)</t>
  </si>
  <si>
    <t>Winter Daily Avg/HH (mmBTU/day/HH)</t>
  </si>
  <si>
    <t>Oil/Cert Ins:</t>
  </si>
  <si>
    <t>Baseline:</t>
  </si>
  <si>
    <t>Oil/Cert WS:</t>
  </si>
  <si>
    <t>Oil/Exempt Pellet Device:</t>
  </si>
  <si>
    <t>% of Wood Shift to Oil:</t>
  </si>
  <si>
    <t>&lt;-- just gets wood use below oil</t>
  </si>
  <si>
    <t>Oil/Certified Pellet Device:</t>
  </si>
  <si>
    <t>With Reg:</t>
  </si>
  <si>
    <t>Oil/OHH:</t>
  </si>
  <si>
    <t>Oil/Wtd Avg Wood Device:</t>
  </si>
  <si>
    <t>Reg &amp; Comp Rate:</t>
  </si>
  <si>
    <t>Certified Inserts --&gt; Oil</t>
  </si>
  <si>
    <t>Certified Stoves --&gt; Oil</t>
  </si>
  <si>
    <t>Exempt Pellet Devices --&gt; Oil</t>
  </si>
  <si>
    <t>Certified Pellet Devices --&gt; Oil</t>
  </si>
  <si>
    <t>OHHs (Unqualified &amp; Qualified) --&gt; Oil</t>
  </si>
  <si>
    <r>
      <t xml:space="preserve">Net Emission Benefits (tons/winter day) -- </t>
    </r>
    <r>
      <rPr>
        <sz val="11"/>
        <color rgb="FFFF0000"/>
        <rFont val="Calibri"/>
        <family val="2"/>
        <scheme val="minor"/>
      </rPr>
      <t>All Units</t>
    </r>
  </si>
  <si>
    <r>
      <t xml:space="preserve">Net Emission Benefits (tons/winter day) -- </t>
    </r>
    <r>
      <rPr>
        <sz val="11"/>
        <color rgb="FFFF0000"/>
        <rFont val="Calibri"/>
        <family val="2"/>
        <scheme val="minor"/>
      </rPr>
      <t>Existing Units</t>
    </r>
  </si>
  <si>
    <r>
      <t xml:space="preserve">Net Emission Benefits (tons/winter day) -- </t>
    </r>
    <r>
      <rPr>
        <sz val="11"/>
        <color rgb="FFFF0000"/>
        <rFont val="Calibri"/>
        <family val="2"/>
        <scheme val="minor"/>
      </rPr>
      <t>New Construction</t>
    </r>
  </si>
  <si>
    <t/>
  </si>
  <si>
    <t>Existing units are one-time, new construction reductions accumulate over time</t>
  </si>
  <si>
    <r>
      <t xml:space="preserve">Net Emission Benefits (tons/winter day) by SCC -- </t>
    </r>
    <r>
      <rPr>
        <sz val="11"/>
        <color rgb="FFFF0000"/>
        <rFont val="Calibri"/>
        <family val="2"/>
        <scheme val="minor"/>
      </rPr>
      <t>All Units</t>
    </r>
  </si>
  <si>
    <r>
      <t xml:space="preserve">Net Emission Benefits (tons/winter day) by SCC -- </t>
    </r>
    <r>
      <rPr>
        <sz val="11"/>
        <color rgb="FFFF0000"/>
        <rFont val="Calibri"/>
        <family val="2"/>
        <scheme val="minor"/>
      </rPr>
      <t>Existing Units</t>
    </r>
  </si>
  <si>
    <r>
      <t xml:space="preserve">Net Emission Benefits (tons/winter day) by SCC -- </t>
    </r>
    <r>
      <rPr>
        <sz val="11"/>
        <color rgb="FFFF0000"/>
        <rFont val="Calibri"/>
        <family val="2"/>
        <scheme val="minor"/>
      </rPr>
      <t>New Construction</t>
    </r>
  </si>
  <si>
    <t>COil-Res</t>
  </si>
  <si>
    <t>STF Measure 23 (NOASH &amp; Exemption Requirements)</t>
  </si>
  <si>
    <t>Require Catalystic Device Change Out per Manufacturer's Specifications with Mandatory Chimney Sweep and Device Check on Annual or Biennial Basis</t>
  </si>
  <si>
    <t>Estimated Change Out Interval (years):</t>
  </si>
  <si>
    <t>&lt;-- Average of manufacturer recommended specifications (3-9 years), aligns with OMNI Aging Study data</t>
  </si>
  <si>
    <t>Assumed Compliance Rate:</t>
  </si>
  <si>
    <t>- Baseline emissions for catalytic inserts and stoves calculated first from SIP inventory</t>
  </si>
  <si>
    <t>- Estimated emission reductions from catalyst replacement based on 2009 OMNI Aging study</t>
  </si>
  <si>
    <t>- To deal with on-going catalyst deterioration, the benefit from replacement is averaged over the replacement period (divides by 2)</t>
  </si>
  <si>
    <t>Certified Catalytic Inserts</t>
  </si>
  <si>
    <t>Certified Catalytic Stoves</t>
  </si>
  <si>
    <t>Total Catalytic Devices</t>
  </si>
  <si>
    <t>2009 OMNI Labs Aging Study Data - 5H-Adjusted PM Emission Rates (g/hr)</t>
  </si>
  <si>
    <t>Percent Reductions (vs. Blank)</t>
  </si>
  <si>
    <t>PM Emission Rates (g/hr)</t>
  </si>
  <si>
    <t>Stove</t>
  </si>
  <si>
    <t>Blank</t>
  </si>
  <si>
    <t>6 years</t>
  </si>
  <si>
    <t>9 years</t>
  </si>
  <si>
    <t>A</t>
  </si>
  <si>
    <t>B</t>
  </si>
  <si>
    <t>Diff From New, Stove A:</t>
  </si>
  <si>
    <t>Diff From New, Stove B:</t>
  </si>
  <si>
    <t>Avg New:</t>
  </si>
  <si>
    <t>Avg Increase:</t>
  </si>
  <si>
    <t>Relative Increase:</t>
  </si>
  <si>
    <t>Relative Reduction from Catalyst Replacement:</t>
  </si>
  <si>
    <t>Average Relative Reduction over Catalyst Life:</t>
  </si>
  <si>
    <t>Dev Type</t>
  </si>
  <si>
    <t>Contingency Measure/MSM</t>
  </si>
  <si>
    <t>Remove/replace all EPA-certified stoves &gt; 25 years old with emission rating &gt; 2.0 g/hr</t>
  </si>
  <si>
    <t>Relative Heating Efficiency Improvement:</t>
  </si>
  <si>
    <t>&lt;-- estimated</t>
  </si>
  <si>
    <t>- Assume it applies to certified cordwood stoves and inserts</t>
  </si>
  <si>
    <t>- Assumes replacement with newer certified stove/insert &lt; 2.0 g/hr</t>
  </si>
  <si>
    <t>- Fraction of 25 year and older stoves/inserts estimated from 2011-2015 Home Heating Survey</t>
  </si>
  <si>
    <t>- Fraction of certified stoves/inserts above and below 2.0 g/hr estimates from 2013 Wood Tag Survey</t>
  </si>
  <si>
    <t>- Baseline emissions (from both wood and other fuels) first calculated for affected households with older certified stoves/inserts</t>
  </si>
  <si>
    <t>- Estimated heating efficiency difference between older and newer EPA certified stoves also accounted for</t>
  </si>
  <si>
    <t>Emission Ratio (Under/Over):</t>
  </si>
  <si>
    <t>Fraction of Certified Stoves/Inserts &gt; 25 years old:</t>
  </si>
  <si>
    <t>&lt;-- from 2011-2015 HH surveys. 25.0% are 15+ years old, discounted to 19.1% for &gt;25 years old based on pre-1988 vs. post-1988 question (which equals 25 years old in 2013, the centered year of the surveys)</t>
  </si>
  <si>
    <t>2011-2015 HH Survey Wood Device Age Tabulations</t>
  </si>
  <si>
    <t>Survey Year</t>
  </si>
  <si>
    <t>15+ Years</t>
  </si>
  <si>
    <t>&lt;1988</t>
  </si>
  <si>
    <t>Baseline Energy Use</t>
  </si>
  <si>
    <t>Affected Energy Use</t>
  </si>
  <si>
    <t>All</t>
  </si>
  <si>
    <t>&lt;--- in 2013, pre-1988 devices equal those that are &gt;25 years old</t>
  </si>
  <si>
    <t>Total Certified Stoves/Inserts</t>
  </si>
  <si>
    <t>FNSB home sales/year 2017-2019 avg, Fairnbanks Community Research Quarterly, Winter 2019.</t>
  </si>
  <si>
    <t>Total Certified Stoves/Inserts &gt; 2.0 g/hr</t>
  </si>
  <si>
    <t>new homes/year 2017-2019 avg                               "</t>
  </si>
  <si>
    <t>resales/year in entire Borough</t>
  </si>
  <si>
    <t>resales/year estimated within nonattainment area</t>
  </si>
  <si>
    <t>Wood HHs</t>
  </si>
  <si>
    <t>Wood &gt;25</t>
  </si>
  <si>
    <t>&lt;-- minimum estimated real estate-based compliance rate</t>
  </si>
  <si>
    <t>(mmBTU/ep day)</t>
  </si>
  <si>
    <t>Certified Inserts &gt; 2.0 g/hr and &gt; 25 years old</t>
  </si>
  <si>
    <t>Certified Stoves &gt; 2.0 g/hr and &gt; 25 years old</t>
  </si>
  <si>
    <t>Certified Inserts &gt; 2.0 g/hr and &lt; 25 years old</t>
  </si>
  <si>
    <t>Certified Stoves &gt; 2.0 g/hr and &lt; 25 years old</t>
  </si>
  <si>
    <t>Benefits accumulate for each year of device turnover</t>
  </si>
  <si>
    <t>PM</t>
  </si>
  <si>
    <t>Individual Reductions:</t>
  </si>
  <si>
    <t>Overlap-Adjusted Reductions:</t>
  </si>
  <si>
    <t>TABULATED HISTORICAL WSCO PROGRAM ACTIVITY AND PM2.5 &amp; SO2 EMISSION REDUCTIONS (2010-2019)</t>
  </si>
  <si>
    <t>Projections from 2016, 2017 &amp; 2018 TAS Grants + FNSB Oil&gt;Gas Conversions</t>
  </si>
  <si>
    <t>Projections from 2016, 2017 &amp; 2018 TAS Grants + FNSB Oil&gt;Gas Conversions + Pending 2019/2020 TAS Grant</t>
  </si>
  <si>
    <t>(from 2020-03-24 WSCO Projections-TRC_NC.xlsx spreadsheet)</t>
  </si>
  <si>
    <t>WSCO Program Activity</t>
  </si>
  <si>
    <t>5% SIP --&gt;</t>
  </si>
  <si>
    <t>Baseline-5% SIP</t>
  </si>
  <si>
    <t>Projected Baseline-5% SIP</t>
  </si>
  <si>
    <t>Ctl-5% SIP</t>
  </si>
  <si>
    <t>Totals</t>
  </si>
  <si>
    <t>Change Out</t>
  </si>
  <si>
    <t>Ser SIP --&gt;</t>
  </si>
  <si>
    <t>Baseline-Serious SIP</t>
  </si>
  <si>
    <t>Projected Baseline-Serious SIP</t>
  </si>
  <si>
    <t>Control-Serious SIP</t>
  </si>
  <si>
    <t>Proj Base-5% SIP</t>
  </si>
  <si>
    <t>Proj Base</t>
  </si>
  <si>
    <t>All Thru</t>
  </si>
  <si>
    <t>Type</t>
  </si>
  <si>
    <t>ZIP</t>
  </si>
  <si>
    <t>2013-2016</t>
  </si>
  <si>
    <t>2017-2018</t>
  </si>
  <si>
    <t>2017-2019</t>
  </si>
  <si>
    <t>2013-2018</t>
  </si>
  <si>
    <t>2010-2019</t>
  </si>
  <si>
    <t>2019-2023</t>
  </si>
  <si>
    <t>Closed Transactions</t>
  </si>
  <si>
    <t>SFBA-N&gt;Y</t>
  </si>
  <si>
    <t>SFBA-Y&gt;Y</t>
  </si>
  <si>
    <t>Conv-Elec</t>
  </si>
  <si>
    <t>Conv-All</t>
  </si>
  <si>
    <t>Conv-Gas</t>
  </si>
  <si>
    <t>FNSB O&gt;G</t>
  </si>
  <si>
    <t>Conv-Oil</t>
  </si>
  <si>
    <t>Removal</t>
  </si>
  <si>
    <t>Bounty (No Deed)</t>
  </si>
  <si>
    <t>Repair</t>
  </si>
  <si>
    <t>NOASH Red</t>
  </si>
  <si>
    <t>Avg/Unit</t>
  </si>
  <si>
    <t>CheckSum</t>
  </si>
  <si>
    <t>PM2.5 Emission Reductions (tons/episode day)</t>
  </si>
  <si>
    <t>PM2.5 Reductions (tons/episode day)</t>
  </si>
  <si>
    <t>All, Less SFBA-N&gt;Y</t>
  </si>
  <si>
    <t>SO2 Emission Reductions (tons/episode day)</t>
  </si>
  <si>
    <t>SO2 Reductions (tons/episode day)</t>
  </si>
  <si>
    <t>&lt;&gt;99705</t>
  </si>
  <si>
    <t>PM2.5 Emission Reductions (tons/episode day - unit)</t>
  </si>
  <si>
    <t>NA</t>
  </si>
  <si>
    <t>Area</t>
  </si>
  <si>
    <t>Cntl 2019</t>
  </si>
  <si>
    <t>Thru 2019</t>
  </si>
  <si>
    <t>SO2 Emission Reductions (tons/episode day - unit)</t>
  </si>
  <si>
    <t>TABULATED WSCO PROGRAM ACTIVITY AND PM2.5 EMISSION REDUCTIONS (2013-2018)</t>
  </si>
  <si>
    <t>Projections from 2016, 2017 &amp; 2018 TAS Grants Combined</t>
  </si>
  <si>
    <t>(from WSCO_Program_Analysis_Thru2018_EpEmis.xlsx)</t>
  </si>
  <si>
    <t>(from FNSB's 2019-11-06 Projections.xlsx spreadsheet)</t>
  </si>
  <si>
    <t>5% SIP</t>
  </si>
  <si>
    <t>Replace</t>
  </si>
  <si>
    <t>Projected Baseline</t>
  </si>
  <si>
    <t>SubType</t>
  </si>
  <si>
    <t>SFBA</t>
  </si>
  <si>
    <t>N&gt;Y</t>
  </si>
  <si>
    <t>Y&gt;Y</t>
  </si>
  <si>
    <t>Non SFBA (Conversion)</t>
  </si>
  <si>
    <t>Conversion</t>
  </si>
  <si>
    <t>Other (Repair/Removal)</t>
  </si>
  <si>
    <t>All but Uncert SFBA</t>
  </si>
  <si>
    <t>Thru 2018</t>
  </si>
  <si>
    <t>SFBA, Uncert</t>
  </si>
  <si>
    <t>blend 50/50 for fireplaces &amp; coal heaters</t>
  </si>
  <si>
    <t>Non-SFBA/Uncert</t>
  </si>
  <si>
    <t>Projections for 2019/20 TAS Grant Application</t>
  </si>
  <si>
    <t>From</t>
  </si>
  <si>
    <t>Earlier</t>
  </si>
  <si>
    <t>Avg Red'n per Transaction (tons/day)</t>
  </si>
  <si>
    <t>TAS Grants</t>
  </si>
  <si>
    <t>Other, Removal</t>
  </si>
  <si>
    <t>Removal (Deed)</t>
  </si>
  <si>
    <t>Other, Repair</t>
  </si>
  <si>
    <t>NOASH Redn</t>
  </si>
  <si>
    <t>Summaries/Tabulations for 2019-2020 TAG Application</t>
  </si>
  <si>
    <t>lb/day</t>
  </si>
  <si>
    <t>Bounty</t>
  </si>
  <si>
    <t>NOASH Reduction</t>
  </si>
  <si>
    <t xml:space="preserve">%Redn in </t>
  </si>
  <si>
    <t>Ton/day Red'n</t>
  </si>
  <si>
    <t>Curtailment</t>
  </si>
  <si>
    <t>Space Heat</t>
  </si>
  <si>
    <t>Comp Rate</t>
  </si>
  <si>
    <t>Outside AQCZs:</t>
  </si>
  <si>
    <t>Winter Episodic</t>
  </si>
  <si>
    <t>PM2.5 Emission Reductions</t>
  </si>
  <si>
    <t>Control Program</t>
  </si>
  <si>
    <t>(tons/day)</t>
  </si>
  <si>
    <t>Combined Total</t>
  </si>
  <si>
    <t>% of Home Heating</t>
  </si>
  <si>
    <t>&lt;-- Based on 2019 Control Space Heating nonattainment area emissions from Serious SIP</t>
  </si>
  <si>
    <t>Estimated Curtailment Days/Year:</t>
  </si>
  <si>
    <t>Episodic to Annual Average Heating Factor:</t>
  </si>
  <si>
    <t>&lt;-- Used to adjust episodic average daily to annual average daily emission reductions (from final SIP BACM spreadsheet)</t>
  </si>
  <si>
    <t>5-Yr Life</t>
  </si>
  <si>
    <t>Reductions</t>
  </si>
  <si>
    <t>tons</t>
  </si>
  <si>
    <t>(tons)</t>
  </si>
  <si>
    <r>
      <rPr>
        <b/>
        <sz val="12"/>
        <color rgb="FF00B050"/>
        <rFont val="Calibri"/>
        <family val="2"/>
        <scheme val="minor"/>
      </rPr>
      <t>SIP CONTROL</t>
    </r>
    <r>
      <rPr>
        <b/>
        <sz val="12"/>
        <color rgb="FFFF0000"/>
        <rFont val="Calibri"/>
        <family val="2"/>
        <scheme val="minor"/>
      </rPr>
      <t xml:space="preserve"> NONATTAINMENT AREA SPACE HEATING EMISSIONS AND ENERGY USE BY REGIME AND DEVICE TYPE</t>
    </r>
  </si>
  <si>
    <t>WTRAVG</t>
  </si>
  <si>
    <t>S1-FB</t>
  </si>
  <si>
    <t>S2-FB</t>
  </si>
  <si>
    <t>S1-NP</t>
  </si>
  <si>
    <t>S2-NP</t>
  </si>
  <si>
    <t>Prtbl</t>
  </si>
  <si>
    <t>DVOil</t>
  </si>
  <si>
    <r>
      <rPr>
        <b/>
        <sz val="12"/>
        <color rgb="FF00B050"/>
        <rFont val="Calibri"/>
        <family val="2"/>
        <scheme val="minor"/>
      </rPr>
      <t>SIP CONTROL</t>
    </r>
    <r>
      <rPr>
        <b/>
        <sz val="12"/>
        <color rgb="FFFF0000"/>
        <rFont val="Calibri"/>
        <family val="2"/>
        <scheme val="minor"/>
      </rPr>
      <t xml:space="preserve"> SPACE HEATING EMISSIONS AND ENERGY USE BY REGIME AND AIR QUALITY CONTROL ZONE (AQCZ)</t>
    </r>
  </si>
  <si>
    <t>Pct Splits</t>
  </si>
  <si>
    <t>by AQCZ</t>
  </si>
  <si>
    <t>Notes</t>
  </si>
  <si>
    <t>FB</t>
  </si>
  <si>
    <t>AQCZ HH split</t>
  </si>
  <si>
    <t>NP</t>
  </si>
  <si>
    <t>Zip 99705</t>
  </si>
  <si>
    <r>
      <rPr>
        <b/>
        <sz val="12"/>
        <color rgb="FF00B050"/>
        <rFont val="Calibri"/>
        <family val="2"/>
        <scheme val="minor"/>
      </rPr>
      <t xml:space="preserve">SIP CONTROL </t>
    </r>
    <r>
      <rPr>
        <b/>
        <sz val="12"/>
        <color rgb="FFFF0000"/>
        <rFont val="Calibri"/>
        <family val="2"/>
        <scheme val="minor"/>
      </rPr>
      <t>NONATTAINMENT AREA SPACE HEATING EMISSIONS AND ENERGY USE BY REGIME, AQCZ AND DEVICE TYPE</t>
    </r>
  </si>
  <si>
    <t>AQCZ</t>
  </si>
  <si>
    <t>DEVICE USE PERCENTAGES BY ALERT STAGE</t>
  </si>
  <si>
    <t>CALCULATED EMISSION CHANGES DURING CURTAILMENT REGIMES</t>
  </si>
  <si>
    <t>Wood-Only/NOASH Households:</t>
  </si>
  <si>
    <t>(from 2011-2015 HH Surveys)</t>
  </si>
  <si>
    <r>
      <t>Assumed Fraction of EPA Phase II OHHs</t>
    </r>
    <r>
      <rPr>
        <b/>
        <sz val="9.25"/>
        <rFont val="Calibri"/>
        <family val="2"/>
      </rPr>
      <t>:</t>
    </r>
  </si>
  <si>
    <r>
      <t>Stove/Ins &lt; 2.5 g/hr</t>
    </r>
    <r>
      <rPr>
        <b/>
        <sz val="9.25"/>
        <rFont val="Calibri"/>
        <family val="2"/>
      </rPr>
      <t>:</t>
    </r>
  </si>
  <si>
    <t>Curtailed Devices Replaced With:</t>
  </si>
  <si>
    <t>Eff:</t>
  </si>
  <si>
    <r>
      <t xml:space="preserve">Assumed Fraction of Phase II OHHs </t>
    </r>
    <r>
      <rPr>
        <b/>
        <sz val="11"/>
        <rFont val="Calibri"/>
        <family val="2"/>
      </rPr>
      <t>≤ 0.10 lb/mmBTU</t>
    </r>
    <r>
      <rPr>
        <b/>
        <sz val="9.25"/>
        <rFont val="Calibri"/>
        <family val="2"/>
      </rPr>
      <t>:</t>
    </r>
  </si>
  <si>
    <t>Device Curtailment Fraction (excluding NOASH)</t>
  </si>
  <si>
    <t>Stage 1</t>
  </si>
  <si>
    <t>Stage 2</t>
  </si>
  <si>
    <t>Curtailment Ratios</t>
  </si>
  <si>
    <t>Curtailed PM2.5 Emissions (tpd)</t>
  </si>
  <si>
    <t>Replaced PM2.5 Emissions (tpd)</t>
  </si>
  <si>
    <t>Curtailed SO2 Emissions (tpd)</t>
  </si>
  <si>
    <t>Replaced SO2 Emissions (tpd)</t>
  </si>
  <si>
    <t>Net PM2.5 Emission Reductions (tpd)</t>
  </si>
  <si>
    <t>Net SO2 Emission Reductions (tpd)</t>
  </si>
  <si>
    <t>Relative PM2.5 Emission Reductions</t>
  </si>
  <si>
    <t>Relative SO2 Emission Reductions</t>
  </si>
  <si>
    <t>S1-PM25</t>
  </si>
  <si>
    <t>S2-PM25</t>
  </si>
  <si>
    <t>S1-SO2</t>
  </si>
  <si>
    <t>S2-SO2</t>
  </si>
  <si>
    <t>COil-Res/Prtbl</t>
  </si>
  <si>
    <t>TOTALS:</t>
  </si>
  <si>
    <t>TOTALS, W/O NOASH:</t>
  </si>
  <si>
    <t>TOTALS, W/ NOASH:</t>
  </si>
  <si>
    <t>CALCULATED EMISSIONS AND REDUCTIONS DURING CURTAILMENT REGIMES</t>
  </si>
  <si>
    <t>PM2.5 Emissions (tpd)</t>
  </si>
  <si>
    <t>SO2 Emissions (tpd)</t>
  </si>
  <si>
    <t>Condition</t>
  </si>
  <si>
    <t>Area/AQCZ</t>
  </si>
  <si>
    <t>Not in AQCZ</t>
  </si>
  <si>
    <t>NA Area</t>
  </si>
  <si>
    <t>Reduction</t>
  </si>
  <si>
    <t>&lt;-- include fireplace restrictions under Stage 1</t>
  </si>
  <si>
    <t>&lt;-- keep fireplaces allowed under Stage 1</t>
  </si>
  <si>
    <t>Forecasted Residential Space Heating Device Counts in Fairbanks Non-Attainment Area -- Based on 2011-2015 HH Survey Data</t>
  </si>
  <si>
    <t>From FNSB_2011-2015_HHSurvey_Unified_Tabulations_GIS_FPCorrections.xlsx</t>
  </si>
  <si>
    <t>(DevCntsXXXX tabs, Extrapolated column)</t>
  </si>
  <si>
    <t>Growth-Projected Only</t>
  </si>
  <si>
    <t>Inv-Based Energy Splits</t>
  </si>
  <si>
    <t>Device Counts (PM Non-Attainment Area)</t>
  </si>
  <si>
    <t>Percentage Device Splits, Wood Splits Normalized to Entire Wood Burning Sector</t>
  </si>
  <si>
    <t>Base</t>
  </si>
  <si>
    <t>Growth-Extrapolated from 2011-2015 Composite Averages</t>
  </si>
  <si>
    <t>2011-2015</t>
  </si>
  <si>
    <t>1 - All Wood-Burning Devices</t>
  </si>
  <si>
    <t>1a - Fireplace (no insert)</t>
  </si>
  <si>
    <t>1b - Fireplace Insert</t>
  </si>
  <si>
    <t>1b.u - Fireplace Insert, Uncertified</t>
  </si>
  <si>
    <t>1b.n - Fireplace Insert, Certified Non-Catalytic</t>
  </si>
  <si>
    <t>1b.c - Fireplace Insert, Certified Catalytic</t>
  </si>
  <si>
    <t>1b.e - Fireplace Insert, Exempt Pellet</t>
  </si>
  <si>
    <t>1b.p - Fireplace Insert, Certified Pellet</t>
  </si>
  <si>
    <t>1c - Woodstove</t>
  </si>
  <si>
    <t>1c.u - Woodstove, Uncertified</t>
  </si>
  <si>
    <t>1c.n - Woodstove, Certified Non-Catalytic</t>
  </si>
  <si>
    <t>1c.c - Woodstove, Certified Catalytic</t>
  </si>
  <si>
    <t>1c.e - Woodstove, Exempt Pellet</t>
  </si>
  <si>
    <t>1c.p - Woodstove, Certified Pellet</t>
  </si>
  <si>
    <t>Sub-total, Stoves/Inserts (1b+1c)</t>
  </si>
  <si>
    <t xml:space="preserve">      1b/c.u+e - Uncertified (&lt;1988) Stove/Insert</t>
  </si>
  <si>
    <t xml:space="preserve">      1b/c.n+c+p - Certified (&gt;=1988) Stove/Insert</t>
  </si>
  <si>
    <t xml:space="preserve">      1b/c.w - Cord Wood</t>
  </si>
  <si>
    <t xml:space="preserve">      1b/c.p - Pellet Bags</t>
  </si>
  <si>
    <t>1d - Outdoor Wood Boiler (OWB)</t>
  </si>
  <si>
    <t>1d/c - Unqualified OWBs</t>
  </si>
  <si>
    <t>1d/q - Phase 2 Qualified OWBs</t>
  </si>
  <si>
    <t>2 - Central Oil Furnace</t>
  </si>
  <si>
    <t>3 - Portable Heater</t>
  </si>
  <si>
    <t>4 - Direct Vent Heater</t>
  </si>
  <si>
    <t>5 - Natural Gas Heating</t>
  </si>
  <si>
    <t>6 - Coal Heat</t>
  </si>
  <si>
    <t>7 - Municipal Heat</t>
  </si>
  <si>
    <t>8 - Electric</t>
  </si>
  <si>
    <t>9 - Other</t>
  </si>
  <si>
    <t>Incremental Change from Previous Year</t>
  </si>
  <si>
    <t>Devices 1-6</t>
  </si>
  <si>
    <t>2013-2025</t>
  </si>
  <si>
    <t>Avg</t>
  </si>
  <si>
    <t>Interpolated</t>
  </si>
  <si>
    <t>NA Area Households (Occupied)</t>
  </si>
  <si>
    <t>Housing growth relative to 2013 from BuildSize_Pop_G3C.xlsx, FMATSGrowthFacs tab:</t>
  </si>
  <si>
    <t>NA Area Households from BuildSize_Pop_G3C.xlsx, BuildSizeG3C tab:</t>
  </si>
  <si>
    <t>TotalHHs</t>
  </si>
  <si>
    <t>FNSB Residential Housing Sales (Total)</t>
  </si>
  <si>
    <t>OccHHs</t>
  </si>
  <si>
    <t>FNSB New Residential Housing Construction</t>
  </si>
  <si>
    <t>4-Year Growth (2013-2017, were 2013 is centered average of 2011-2015 HH devices)</t>
  </si>
  <si>
    <t>FNSB Residential Resales (net difference)</t>
  </si>
  <si>
    <t>Growth-Projected + Existing Downward Trend in Uncertified Device Fractions</t>
  </si>
  <si>
    <t>Sub-Total of Devices 1-6</t>
  </si>
  <si>
    <t>Natural Device Turnover of Stoves/Inserts, Cumul</t>
  </si>
  <si>
    <t>Natural Device Turnover of Stoves/Inserts, Incr</t>
  </si>
  <si>
    <t>Remaining Uncert Stoves/Inserts Eligible for WSCO</t>
  </si>
  <si>
    <t>Remaining Cert Stoves/Inserts Eligible for WSCO</t>
  </si>
  <si>
    <t>Remaining OHHs Eligible for WSCO</t>
  </si>
  <si>
    <t>Remaining Fireplaces Eligible for WSCO</t>
  </si>
  <si>
    <t>Remaining Coal Stoves Eligible for WSCO</t>
  </si>
  <si>
    <t>Fraction of Certified Stove/Inserts over 2.5 g/hr:</t>
  </si>
  <si>
    <t>(from 2013 Tag Survey, sample of 67 certified stoves/inserts)</t>
  </si>
  <si>
    <t>2010 Census &amp; 2012 Assessor Parcel FNSB Population/Household and Parcel Tabulations</t>
  </si>
  <si>
    <t>Backcasted 2008 Housing Units/Buildings</t>
  </si>
  <si>
    <t>Historically Backcasted 2006-2010 Units/Buildings</t>
  </si>
  <si>
    <t>2011 &amp; Later Forecasted Housing Units/Buildings, Less Those Units on District Heat (DH)</t>
  </si>
  <si>
    <t>Total Residential (incl. DH):</t>
  </si>
  <si>
    <t>SumCheck:</t>
  </si>
  <si>
    <t>Census Block-Level Data</t>
  </si>
  <si>
    <t>Assessor Parcel Data</t>
  </si>
  <si>
    <t>Average Building Size (sq ft)</t>
  </si>
  <si>
    <t>Buildings, Res. Counts Adjusted to 2010 Census HUs</t>
  </si>
  <si>
    <t>Occupied 2010 Housing Units</t>
  </si>
  <si>
    <t>Total Housing Units</t>
  </si>
  <si>
    <t>Occupied Housing Units</t>
  </si>
  <si>
    <t>Non-Residential</t>
  </si>
  <si>
    <t>Total Housing Units (excluding DH)</t>
  </si>
  <si>
    <t>Occupied Housing Units (excluding DH)</t>
  </si>
  <si>
    <t>Non-Residential (Commercial, excluding DH)</t>
  </si>
  <si>
    <t>Residential District Heat (DH)</t>
  </si>
  <si>
    <t>Non-Residential District Heat (DH)</t>
  </si>
  <si>
    <t>XIndex</t>
  </si>
  <si>
    <t>YIndex</t>
  </si>
  <si>
    <t>G3Cell</t>
  </si>
  <si>
    <t>Zip10</t>
  </si>
  <si>
    <t>Zip00</t>
  </si>
  <si>
    <t>NA Area?</t>
  </si>
  <si>
    <t>Popn</t>
  </si>
  <si>
    <t>Hus</t>
  </si>
  <si>
    <t>Occ HUs</t>
  </si>
  <si>
    <t>Vac HUs</t>
  </si>
  <si>
    <t>ResMF</t>
  </si>
  <si>
    <t>ResElse</t>
  </si>
  <si>
    <t>ResTotal</t>
  </si>
  <si>
    <t>NR</t>
  </si>
  <si>
    <t>DH-Res</t>
  </si>
  <si>
    <t>DH-NR</t>
  </si>
  <si>
    <t>ResTot</t>
  </si>
  <si>
    <t>R-2006</t>
  </si>
  <si>
    <t>R-2007</t>
  </si>
  <si>
    <t>R-2008</t>
  </si>
  <si>
    <t>R-2009</t>
  </si>
  <si>
    <t>R-2010</t>
  </si>
  <si>
    <t>O-2006</t>
  </si>
  <si>
    <t>O-2007</t>
  </si>
  <si>
    <t>O-2008</t>
  </si>
  <si>
    <t>O-2009</t>
  </si>
  <si>
    <t>O-2010</t>
  </si>
  <si>
    <t>NR-2006</t>
  </si>
  <si>
    <t>NR-2007</t>
  </si>
  <si>
    <t>NR-2008</t>
  </si>
  <si>
    <t>NR-2009</t>
  </si>
  <si>
    <t>NR-2010</t>
  </si>
  <si>
    <t>R-2011</t>
  </si>
  <si>
    <t>R-2012</t>
  </si>
  <si>
    <t>R-2013</t>
  </si>
  <si>
    <t>R-2014</t>
  </si>
  <si>
    <t>R-2015</t>
  </si>
  <si>
    <t>R-2016</t>
  </si>
  <si>
    <t>R-2017</t>
  </si>
  <si>
    <t>R-2018</t>
  </si>
  <si>
    <t>R-2019</t>
  </si>
  <si>
    <t>R-2020</t>
  </si>
  <si>
    <t>R-2021</t>
  </si>
  <si>
    <t>R-2022</t>
  </si>
  <si>
    <t>R-2023</t>
  </si>
  <si>
    <t>R-2024</t>
  </si>
  <si>
    <t>R-2025</t>
  </si>
  <si>
    <t>O-2011</t>
  </si>
  <si>
    <t>O-2012</t>
  </si>
  <si>
    <t>O-2013</t>
  </si>
  <si>
    <t>O-2014</t>
  </si>
  <si>
    <t>O-2015</t>
  </si>
  <si>
    <t>O-2016</t>
  </si>
  <si>
    <t>O-2017</t>
  </si>
  <si>
    <t>O-2018</t>
  </si>
  <si>
    <t>O-2019</t>
  </si>
  <si>
    <t>O-2020</t>
  </si>
  <si>
    <t>O-2021</t>
  </si>
  <si>
    <t>O-2022</t>
  </si>
  <si>
    <t>O-2023</t>
  </si>
  <si>
    <t>O-2024</t>
  </si>
  <si>
    <t>O-2025</t>
  </si>
  <si>
    <t>NR-2011</t>
  </si>
  <si>
    <t>NR-2012</t>
  </si>
  <si>
    <t>NR-2013</t>
  </si>
  <si>
    <t>NR-2014</t>
  </si>
  <si>
    <t>NR-2015</t>
  </si>
  <si>
    <t>NR-2016</t>
  </si>
  <si>
    <t>NR-2017</t>
  </si>
  <si>
    <t>NR-2018</t>
  </si>
  <si>
    <t>NR-2019</t>
  </si>
  <si>
    <t>NR-2020</t>
  </si>
  <si>
    <t>NR-2021</t>
  </si>
  <si>
    <t>NR-2022</t>
  </si>
  <si>
    <t>NR-2023</t>
  </si>
  <si>
    <t>NR-2024</t>
  </si>
  <si>
    <t>NR-2025</t>
  </si>
  <si>
    <t>RDH-2011</t>
  </si>
  <si>
    <t>RDH-2012</t>
  </si>
  <si>
    <t>RDH-2013</t>
  </si>
  <si>
    <t>RDH-2014</t>
  </si>
  <si>
    <t>RDH-2015</t>
  </si>
  <si>
    <t>RDH-2016</t>
  </si>
  <si>
    <t>RDH-2017</t>
  </si>
  <si>
    <t>RDH-2018</t>
  </si>
  <si>
    <t>RDH-2019</t>
  </si>
  <si>
    <t>RDH-2020</t>
  </si>
  <si>
    <t>RDH-2021</t>
  </si>
  <si>
    <t>RDH-2022</t>
  </si>
  <si>
    <t>RDH-2023</t>
  </si>
  <si>
    <t>RDH-2024</t>
  </si>
  <si>
    <t>RDH-2025</t>
  </si>
  <si>
    <t>NRDH-2011</t>
  </si>
  <si>
    <t>NRDH-2012</t>
  </si>
  <si>
    <t>NRDH-2013</t>
  </si>
  <si>
    <t>NRDH-2014</t>
  </si>
  <si>
    <t>NRDH-2015</t>
  </si>
  <si>
    <t>NRDH-2016</t>
  </si>
  <si>
    <t>NRDH-2017</t>
  </si>
  <si>
    <t>NRDH-2018</t>
  </si>
  <si>
    <t>NRDH-2019</t>
  </si>
  <si>
    <t>NRDH-2020</t>
  </si>
  <si>
    <t>NRDH-2021</t>
  </si>
  <si>
    <t>NRDH-2022</t>
  </si>
  <si>
    <t>NRDH-2023</t>
  </si>
  <si>
    <t>NRDH-2024</t>
  </si>
  <si>
    <t>NRDH-2025</t>
  </si>
  <si>
    <t>108,49</t>
  </si>
  <si>
    <t>N</t>
  </si>
  <si>
    <t>133,49</t>
  </si>
  <si>
    <t>156,49</t>
  </si>
  <si>
    <t>158,49</t>
  </si>
  <si>
    <t>148,50</t>
  </si>
  <si>
    <t>143,52</t>
  </si>
  <si>
    <t>138,54</t>
  </si>
  <si>
    <t>139,56</t>
  </si>
  <si>
    <t>137,57</t>
  </si>
  <si>
    <t>151,57</t>
  </si>
  <si>
    <t>139,58</t>
  </si>
  <si>
    <t>141,58</t>
  </si>
  <si>
    <t>137,59</t>
  </si>
  <si>
    <t>139,59</t>
  </si>
  <si>
    <t>141,59</t>
  </si>
  <si>
    <t>142,59</t>
  </si>
  <si>
    <t>136,61</t>
  </si>
  <si>
    <t>135,62</t>
  </si>
  <si>
    <t>137,62</t>
  </si>
  <si>
    <t>138,62</t>
  </si>
  <si>
    <t>137,63</t>
  </si>
  <si>
    <t>138,63</t>
  </si>
  <si>
    <t>136,64</t>
  </si>
  <si>
    <t>137,64</t>
  </si>
  <si>
    <t>143,64</t>
  </si>
  <si>
    <t>136,65</t>
  </si>
  <si>
    <t>141,66</t>
  </si>
  <si>
    <t>152,66</t>
  </si>
  <si>
    <t>100,68</t>
  </si>
  <si>
    <t>135,68</t>
  </si>
  <si>
    <t>158,68</t>
  </si>
  <si>
    <t>138,69</t>
  </si>
  <si>
    <t>152,69</t>
  </si>
  <si>
    <t>134,70</t>
  </si>
  <si>
    <t>133,71</t>
  </si>
  <si>
    <t>133,72</t>
  </si>
  <si>
    <t>137,72</t>
  </si>
  <si>
    <t>132,73</t>
  </si>
  <si>
    <t>133,73</t>
  </si>
  <si>
    <t>131,74</t>
  </si>
  <si>
    <t>132,74</t>
  </si>
  <si>
    <t>133,74</t>
  </si>
  <si>
    <t>131,75</t>
  </si>
  <si>
    <t>130,76</t>
  </si>
  <si>
    <t>131,76</t>
  </si>
  <si>
    <t>134,76</t>
  </si>
  <si>
    <t>168,76</t>
  </si>
  <si>
    <t>130,77</t>
  </si>
  <si>
    <t>129,78</t>
  </si>
  <si>
    <t>130,78</t>
  </si>
  <si>
    <t>200,78</t>
  </si>
  <si>
    <t>128,79</t>
  </si>
  <si>
    <t>129,79</t>
  </si>
  <si>
    <t>128,80</t>
  </si>
  <si>
    <t>129,80</t>
  </si>
  <si>
    <t>132,80</t>
  </si>
  <si>
    <t>81,81</t>
  </si>
  <si>
    <t>126,81</t>
  </si>
  <si>
    <t>128,81</t>
  </si>
  <si>
    <t>131,81</t>
  </si>
  <si>
    <t>132,81</t>
  </si>
  <si>
    <t>133,81</t>
  </si>
  <si>
    <t>126,82</t>
  </si>
  <si>
    <t>127,82</t>
  </si>
  <si>
    <t>132,82</t>
  </si>
  <si>
    <t>178,82</t>
  </si>
  <si>
    <t>88,83</t>
  </si>
  <si>
    <t>129,83</t>
  </si>
  <si>
    <t>130,83</t>
  </si>
  <si>
    <t>124,84</t>
  </si>
  <si>
    <t>125,84</t>
  </si>
  <si>
    <t>128,84</t>
  </si>
  <si>
    <t>129,84</t>
  </si>
  <si>
    <t>122,85</t>
  </si>
  <si>
    <t>123,85</t>
  </si>
  <si>
    <t>124,85</t>
  </si>
  <si>
    <t>125,85</t>
  </si>
  <si>
    <t>126,85</t>
  </si>
  <si>
    <t>96,86</t>
  </si>
  <si>
    <t>122,86</t>
  </si>
  <si>
    <t>123,86</t>
  </si>
  <si>
    <t>124,86</t>
  </si>
  <si>
    <t>125,86</t>
  </si>
  <si>
    <t>126,86</t>
  </si>
  <si>
    <t>83,87</t>
  </si>
  <si>
    <t>96,87</t>
  </si>
  <si>
    <t>98,87</t>
  </si>
  <si>
    <t>120,87</t>
  </si>
  <si>
    <t>121,87</t>
  </si>
  <si>
    <t>122,87</t>
  </si>
  <si>
    <t>123,87</t>
  </si>
  <si>
    <t>124,87</t>
  </si>
  <si>
    <t>125,87</t>
  </si>
  <si>
    <t>126,87</t>
  </si>
  <si>
    <t>95,88</t>
  </si>
  <si>
    <t>97,88</t>
  </si>
  <si>
    <t>98,88</t>
  </si>
  <si>
    <t>119,88</t>
  </si>
  <si>
    <t>120,88</t>
  </si>
  <si>
    <t>121,88</t>
  </si>
  <si>
    <t>122,88</t>
  </si>
  <si>
    <t>123,88</t>
  </si>
  <si>
    <t>124,88</t>
  </si>
  <si>
    <t>125,88</t>
  </si>
  <si>
    <t>126,88</t>
  </si>
  <si>
    <t>129,88</t>
  </si>
  <si>
    <t>98,89</t>
  </si>
  <si>
    <t>99,89</t>
  </si>
  <si>
    <t>100,89</t>
  </si>
  <si>
    <t>116,89</t>
  </si>
  <si>
    <t>117,89</t>
  </si>
  <si>
    <t>118,89</t>
  </si>
  <si>
    <t>120,89</t>
  </si>
  <si>
    <t>121,89</t>
  </si>
  <si>
    <t>122,89</t>
  </si>
  <si>
    <t>123,89</t>
  </si>
  <si>
    <t>124,89</t>
  </si>
  <si>
    <t>125,89</t>
  </si>
  <si>
    <t>126,89</t>
  </si>
  <si>
    <t>97,90</t>
  </si>
  <si>
    <t>98,90</t>
  </si>
  <si>
    <t>99,90</t>
  </si>
  <si>
    <t>100,90</t>
  </si>
  <si>
    <t>101,90</t>
  </si>
  <si>
    <t>115,90</t>
  </si>
  <si>
    <t>116,90</t>
  </si>
  <si>
    <t>118,90</t>
  </si>
  <si>
    <t>120,90</t>
  </si>
  <si>
    <t>121,90</t>
  </si>
  <si>
    <t>122,90</t>
  </si>
  <si>
    <t>123,90</t>
  </si>
  <si>
    <t>95,91</t>
  </si>
  <si>
    <t>96,91</t>
  </si>
  <si>
    <t>97,91</t>
  </si>
  <si>
    <t>100,91</t>
  </si>
  <si>
    <t>101,91</t>
  </si>
  <si>
    <t>102,91</t>
  </si>
  <si>
    <t>103,91</t>
  </si>
  <si>
    <t>104,91</t>
  </si>
  <si>
    <t>106,91</t>
  </si>
  <si>
    <t>107,91</t>
  </si>
  <si>
    <t>108,91</t>
  </si>
  <si>
    <t>109,91</t>
  </si>
  <si>
    <t>110,91</t>
  </si>
  <si>
    <t>111,91</t>
  </si>
  <si>
    <t>115,91</t>
  </si>
  <si>
    <t>116,91</t>
  </si>
  <si>
    <t>119,91</t>
  </si>
  <si>
    <t>120,91</t>
  </si>
  <si>
    <t>121,91</t>
  </si>
  <si>
    <t>90,92</t>
  </si>
  <si>
    <t>95,92</t>
  </si>
  <si>
    <t>97,92</t>
  </si>
  <si>
    <t>98,92</t>
  </si>
  <si>
    <t>101,92</t>
  </si>
  <si>
    <t>102,92</t>
  </si>
  <si>
    <t>103,92</t>
  </si>
  <si>
    <t>104,92</t>
  </si>
  <si>
    <t>105,92</t>
  </si>
  <si>
    <t>106,92</t>
  </si>
  <si>
    <t>107,92</t>
  </si>
  <si>
    <t>108,92</t>
  </si>
  <si>
    <t>109,92</t>
  </si>
  <si>
    <t>110,92</t>
  </si>
  <si>
    <t>111,92</t>
  </si>
  <si>
    <t>113,92</t>
  </si>
  <si>
    <t>115,92</t>
  </si>
  <si>
    <t>116,92</t>
  </si>
  <si>
    <t>117,92</t>
  </si>
  <si>
    <t>118,92</t>
  </si>
  <si>
    <t>119,92</t>
  </si>
  <si>
    <t>120,92</t>
  </si>
  <si>
    <t>121,92</t>
  </si>
  <si>
    <t>122,92</t>
  </si>
  <si>
    <t>124,92</t>
  </si>
  <si>
    <t>85,93</t>
  </si>
  <si>
    <t>93,93</t>
  </si>
  <si>
    <t>98,93</t>
  </si>
  <si>
    <t>99,93</t>
  </si>
  <si>
    <t>100,93</t>
  </si>
  <si>
    <t>101,93</t>
  </si>
  <si>
    <t>102,93</t>
  </si>
  <si>
    <t>103,93</t>
  </si>
  <si>
    <t>104,93</t>
  </si>
  <si>
    <t>105,93</t>
  </si>
  <si>
    <t>106,93</t>
  </si>
  <si>
    <t>107,93</t>
  </si>
  <si>
    <t>108,93</t>
  </si>
  <si>
    <t>109,93</t>
  </si>
  <si>
    <t>110,93</t>
  </si>
  <si>
    <t>111,93</t>
  </si>
  <si>
    <t>112,93</t>
  </si>
  <si>
    <t>113,93</t>
  </si>
  <si>
    <t>115,93</t>
  </si>
  <si>
    <t>116,93</t>
  </si>
  <si>
    <t>117,93</t>
  </si>
  <si>
    <t>118,93</t>
  </si>
  <si>
    <t>119,93</t>
  </si>
  <si>
    <t>120,93</t>
  </si>
  <si>
    <t>121,93</t>
  </si>
  <si>
    <t>98,94</t>
  </si>
  <si>
    <t>99,94</t>
  </si>
  <si>
    <t>100,94</t>
  </si>
  <si>
    <t>101,94</t>
  </si>
  <si>
    <t>102,94</t>
  </si>
  <si>
    <t>103,94</t>
  </si>
  <si>
    <t>104,94</t>
  </si>
  <si>
    <t>105,94</t>
  </si>
  <si>
    <t>106,94</t>
  </si>
  <si>
    <t>107,94</t>
  </si>
  <si>
    <t>108,94</t>
  </si>
  <si>
    <t>109,94</t>
  </si>
  <si>
    <t>110,94</t>
  </si>
  <si>
    <t>111,94</t>
  </si>
  <si>
    <t>112,94</t>
  </si>
  <si>
    <t>113,94</t>
  </si>
  <si>
    <t>114,94</t>
  </si>
  <si>
    <t>115,94</t>
  </si>
  <si>
    <t>116,94</t>
  </si>
  <si>
    <t>117,94</t>
  </si>
  <si>
    <t>118,94</t>
  </si>
  <si>
    <t>119,94</t>
  </si>
  <si>
    <t>120,94</t>
  </si>
  <si>
    <t>121,94</t>
  </si>
  <si>
    <t>122,94</t>
  </si>
  <si>
    <t>123,94</t>
  </si>
  <si>
    <t>125,94</t>
  </si>
  <si>
    <t>99,95</t>
  </si>
  <si>
    <t>100,95</t>
  </si>
  <si>
    <t>101,95</t>
  </si>
  <si>
    <t>102,95</t>
  </si>
  <si>
    <t>103,95</t>
  </si>
  <si>
    <t>105,95</t>
  </si>
  <si>
    <t>106,95</t>
  </si>
  <si>
    <t>107,95</t>
  </si>
  <si>
    <t>108,95</t>
  </si>
  <si>
    <t>109,95</t>
  </si>
  <si>
    <t>110,95</t>
  </si>
  <si>
    <t>111,95</t>
  </si>
  <si>
    <t>117,95</t>
  </si>
  <si>
    <t>118,95</t>
  </si>
  <si>
    <t>120,95</t>
  </si>
  <si>
    <t>94,96</t>
  </si>
  <si>
    <t>98,96</t>
  </si>
  <si>
    <t>101,96</t>
  </si>
  <si>
    <t>103,96</t>
  </si>
  <si>
    <t>105,96</t>
  </si>
  <si>
    <t>106,96</t>
  </si>
  <si>
    <t>107,96</t>
  </si>
  <si>
    <t>108,96</t>
  </si>
  <si>
    <t>109,96</t>
  </si>
  <si>
    <t>111,96</t>
  </si>
  <si>
    <t>112,96</t>
  </si>
  <si>
    <t>115,96</t>
  </si>
  <si>
    <t>128,96</t>
  </si>
  <si>
    <t>131,96</t>
  </si>
  <si>
    <t>132,96</t>
  </si>
  <si>
    <t>138,96</t>
  </si>
  <si>
    <t>100,97</t>
  </si>
  <si>
    <t>101,97</t>
  </si>
  <si>
    <t>102,97</t>
  </si>
  <si>
    <t>103,97</t>
  </si>
  <si>
    <t>104,97</t>
  </si>
  <si>
    <t>105,97</t>
  </si>
  <si>
    <t>106,97</t>
  </si>
  <si>
    <t>107,97</t>
  </si>
  <si>
    <t>108,97</t>
  </si>
  <si>
    <t>109,97</t>
  </si>
  <si>
    <t>110,97</t>
  </si>
  <si>
    <t>111,97</t>
  </si>
  <si>
    <t>112,97</t>
  </si>
  <si>
    <t>113,97</t>
  </si>
  <si>
    <t>114,97</t>
  </si>
  <si>
    <t>115,97</t>
  </si>
  <si>
    <t>116,97</t>
  </si>
  <si>
    <t>119,97</t>
  </si>
  <si>
    <t>120,97</t>
  </si>
  <si>
    <t>122,97</t>
  </si>
  <si>
    <t>125,97</t>
  </si>
  <si>
    <t>129,97</t>
  </si>
  <si>
    <t>132,97</t>
  </si>
  <si>
    <t>133,97</t>
  </si>
  <si>
    <t>134,97</t>
  </si>
  <si>
    <t>135,97</t>
  </si>
  <si>
    <t>136,97</t>
  </si>
  <si>
    <t>137,97</t>
  </si>
  <si>
    <t>138,97</t>
  </si>
  <si>
    <t>139,97</t>
  </si>
  <si>
    <t>141,97</t>
  </si>
  <si>
    <t>89,98</t>
  </si>
  <si>
    <t>90,98</t>
  </si>
  <si>
    <t>101,98</t>
  </si>
  <si>
    <t>102,98</t>
  </si>
  <si>
    <t>105,98</t>
  </si>
  <si>
    <t>106,98</t>
  </si>
  <si>
    <t>107,98</t>
  </si>
  <si>
    <t>108,98</t>
  </si>
  <si>
    <t>109,98</t>
  </si>
  <si>
    <t>110,98</t>
  </si>
  <si>
    <t>111,98</t>
  </si>
  <si>
    <t>112,98</t>
  </si>
  <si>
    <t>113,98</t>
  </si>
  <si>
    <t>114,98</t>
  </si>
  <si>
    <t>115,98</t>
  </si>
  <si>
    <t>117,98</t>
  </si>
  <si>
    <t>118,98</t>
  </si>
  <si>
    <t>119,98</t>
  </si>
  <si>
    <t>120,98</t>
  </si>
  <si>
    <t>122,98</t>
  </si>
  <si>
    <t>124,98</t>
  </si>
  <si>
    <t>125,98</t>
  </si>
  <si>
    <t>128,98</t>
  </si>
  <si>
    <t>131,98</t>
  </si>
  <si>
    <t>141,98</t>
  </si>
  <si>
    <t>90,99</t>
  </si>
  <si>
    <t>92,99</t>
  </si>
  <si>
    <t>101,99</t>
  </si>
  <si>
    <t>102,99</t>
  </si>
  <si>
    <t>103,99</t>
  </si>
  <si>
    <t>104,99</t>
  </si>
  <si>
    <t>105,99</t>
  </si>
  <si>
    <t>106,99</t>
  </si>
  <si>
    <t>107,99</t>
  </si>
  <si>
    <t>108,99</t>
  </si>
  <si>
    <t>109,99</t>
  </si>
  <si>
    <t>110,99</t>
  </si>
  <si>
    <t>111,99</t>
  </si>
  <si>
    <t>112,99</t>
  </si>
  <si>
    <t>113,99</t>
  </si>
  <si>
    <t>114,99</t>
  </si>
  <si>
    <t>115,99</t>
  </si>
  <si>
    <t>116,99</t>
  </si>
  <si>
    <t>117,99</t>
  </si>
  <si>
    <t>121,99</t>
  </si>
  <si>
    <t>134,99</t>
  </si>
  <si>
    <t>138,99</t>
  </si>
  <si>
    <t>194,99</t>
  </si>
  <si>
    <t>90,100</t>
  </si>
  <si>
    <t>91,100</t>
  </si>
  <si>
    <t>93,100</t>
  </si>
  <si>
    <t>94,100</t>
  </si>
  <si>
    <t>101,100</t>
  </si>
  <si>
    <t>102,100</t>
  </si>
  <si>
    <t>103,100</t>
  </si>
  <si>
    <t>104,100</t>
  </si>
  <si>
    <t>109,100</t>
  </si>
  <si>
    <t>110,100</t>
  </si>
  <si>
    <t>111,100</t>
  </si>
  <si>
    <t>112,100</t>
  </si>
  <si>
    <t>113,100</t>
  </si>
  <si>
    <t>114,100</t>
  </si>
  <si>
    <t>115,100</t>
  </si>
  <si>
    <t>116,100</t>
  </si>
  <si>
    <t>122,100</t>
  </si>
  <si>
    <t>153,100</t>
  </si>
  <si>
    <t>98,101</t>
  </si>
  <si>
    <t>100,101</t>
  </si>
  <si>
    <t>101,101</t>
  </si>
  <si>
    <t>104,101</t>
  </si>
  <si>
    <t>106,101</t>
  </si>
  <si>
    <t>109,101</t>
  </si>
  <si>
    <t>112,101</t>
  </si>
  <si>
    <t>113,101</t>
  </si>
  <si>
    <t>114,101</t>
  </si>
  <si>
    <t>115,101</t>
  </si>
  <si>
    <t>117,101</t>
  </si>
  <si>
    <t>119,101</t>
  </si>
  <si>
    <t>135,101</t>
  </si>
  <si>
    <t>136,101</t>
  </si>
  <si>
    <t>92,102</t>
  </si>
  <si>
    <t>95,102</t>
  </si>
  <si>
    <t>103,102</t>
  </si>
  <si>
    <t>107,102</t>
  </si>
  <si>
    <t>111,102</t>
  </si>
  <si>
    <t>112,102</t>
  </si>
  <si>
    <t>114,102</t>
  </si>
  <si>
    <t>115,102</t>
  </si>
  <si>
    <t>116,102</t>
  </si>
  <si>
    <t>91,103</t>
  </si>
  <si>
    <t>92,103</t>
  </si>
  <si>
    <t>101,103</t>
  </si>
  <si>
    <t>108,103</t>
  </si>
  <si>
    <t>111,103</t>
  </si>
  <si>
    <t>112,103</t>
  </si>
  <si>
    <t>113,103</t>
  </si>
  <si>
    <t>114,103</t>
  </si>
  <si>
    <t>107,104</t>
  </si>
  <si>
    <t>108,104</t>
  </si>
  <si>
    <t>112,104</t>
  </si>
  <si>
    <t>113,104</t>
  </si>
  <si>
    <t>114,104</t>
  </si>
  <si>
    <t>115,104</t>
  </si>
  <si>
    <t>104,105</t>
  </si>
  <si>
    <t>112,105</t>
  </si>
  <si>
    <t>114,105</t>
  </si>
  <si>
    <t>115,105</t>
  </si>
  <si>
    <t>148,105</t>
  </si>
  <si>
    <t>91,106</t>
  </si>
  <si>
    <t>114,106</t>
  </si>
  <si>
    <t>116,106</t>
  </si>
  <si>
    <t>116,107</t>
  </si>
  <si>
    <t>111,108</t>
  </si>
  <si>
    <t>117,108</t>
  </si>
  <si>
    <t>118,108</t>
  </si>
  <si>
    <t>112,109</t>
  </si>
  <si>
    <t>114,109</t>
  </si>
  <si>
    <t>118,109</t>
  </si>
  <si>
    <t>118,110</t>
  </si>
  <si>
    <t>142,110</t>
  </si>
  <si>
    <t>161,110</t>
  </si>
  <si>
    <t>111,111</t>
  </si>
  <si>
    <t>112,111</t>
  </si>
  <si>
    <t>118,111</t>
  </si>
  <si>
    <t>119,111</t>
  </si>
  <si>
    <t>120,111</t>
  </si>
  <si>
    <t>89,112</t>
  </si>
  <si>
    <t>110,112</t>
  </si>
  <si>
    <t>120,112</t>
  </si>
  <si>
    <t>111,113</t>
  </si>
  <si>
    <t>112,113</t>
  </si>
  <si>
    <t>163,113</t>
  </si>
  <si>
    <t>167,113</t>
  </si>
  <si>
    <t>172,113</t>
  </si>
  <si>
    <t>106,114</t>
  </si>
  <si>
    <t>165,114</t>
  </si>
  <si>
    <t>116,115</t>
  </si>
  <si>
    <t>119,115</t>
  </si>
  <si>
    <t>99,116</t>
  </si>
  <si>
    <t>106,116</t>
  </si>
  <si>
    <t>107,116</t>
  </si>
  <si>
    <t>109,116</t>
  </si>
  <si>
    <t>110,116</t>
  </si>
  <si>
    <t>118,116</t>
  </si>
  <si>
    <t>119,116</t>
  </si>
  <si>
    <t>104,117</t>
  </si>
  <si>
    <t>106,117</t>
  </si>
  <si>
    <t>111,117</t>
  </si>
  <si>
    <t>112,117</t>
  </si>
  <si>
    <t>117,117</t>
  </si>
  <si>
    <t>111,118</t>
  </si>
  <si>
    <t>119,119</t>
  </si>
  <si>
    <t>112,120</t>
  </si>
  <si>
    <t>122,120</t>
  </si>
  <si>
    <t>138,121</t>
  </si>
  <si>
    <t>160,121</t>
  </si>
  <si>
    <t>103,122</t>
  </si>
  <si>
    <t>99,123</t>
  </si>
  <si>
    <t>126,124</t>
  </si>
  <si>
    <t>127,124</t>
  </si>
  <si>
    <t>122,125</t>
  </si>
  <si>
    <t>128,125</t>
  </si>
  <si>
    <t>130,125</t>
  </si>
  <si>
    <t>135,129</t>
  </si>
  <si>
    <t>157,134</t>
  </si>
  <si>
    <t>Nonattainment Area Only:</t>
  </si>
  <si>
    <t>Energy Content Assumptions</t>
  </si>
  <si>
    <t>Fuel</t>
  </si>
  <si>
    <t>EC</t>
  </si>
  <si>
    <t>Units</t>
  </si>
  <si>
    <t>Energy Loads for Space Heating from CCHRC</t>
  </si>
  <si>
    <t>AP-42 Wood</t>
  </si>
  <si>
    <t>mmBTU/ton</t>
  </si>
  <si>
    <t>AP-42 residential wood document, c01s10.pdf</t>
  </si>
  <si>
    <t>Residential:</t>
  </si>
  <si>
    <t>BTU/DD-ft2-yr</t>
  </si>
  <si>
    <t>Fairbanks Wood - Oven Dry, 0% Moisture</t>
  </si>
  <si>
    <t>see Moisture sheet</t>
  </si>
  <si>
    <t>Commercial:</t>
  </si>
  <si>
    <t>Monthly</t>
  </si>
  <si>
    <t>Fairbanks Wood - Air Dry, 20% MC (Dry Basis)</t>
  </si>
  <si>
    <t>Month</t>
  </si>
  <si>
    <t>Avg HDD</t>
  </si>
  <si>
    <t>HDD Ratio</t>
  </si>
  <si>
    <t>Fairbanks Wood - Episode Avg Baseline, 36.5% MC (Dry)</t>
  </si>
  <si>
    <t>Fairbanks HDD:</t>
  </si>
  <si>
    <t>HDD/yr (base 65F)</t>
  </si>
  <si>
    <t>Fairbanks Wood - Jan/Feb Baseline, 36.1% MC (Dry)</t>
  </si>
  <si>
    <t>Daily Winter HDD:</t>
  </si>
  <si>
    <t>Fairbanks Wood - Nov Baseline, 36.9% MC (Dry)</t>
  </si>
  <si>
    <t>Daily Summer HDD:</t>
  </si>
  <si>
    <t>Fuel Oil #1</t>
  </si>
  <si>
    <t>CCHRC</t>
  </si>
  <si>
    <t>Reference Average Daily HDD:</t>
  </si>
  <si>
    <t>Fuel Oil #2</t>
  </si>
  <si>
    <t>North American Combustion Handbook (as referenced in http://en.wikipedia.org/wiki/Heating_oil#cite_note-1)</t>
  </si>
  <si>
    <t>Fuel Oil #1/#2 Weighted (76% #2 24% #1)*</t>
  </si>
  <si>
    <t>Fairbanks Community Research Quarterly</t>
  </si>
  <si>
    <t>Reference Daily Energy Loads (BTU/ft2-day)</t>
  </si>
  <si>
    <t>57% Fuel Oil #2 / 43% Kerosene Weighted</t>
  </si>
  <si>
    <t>assumed for portable heaters</t>
  </si>
  <si>
    <t>Summer</t>
  </si>
  <si>
    <t>Kerosene</t>
  </si>
  <si>
    <t>http://www.generatorjoe.net/html/energy.html</t>
  </si>
  <si>
    <t>Propane</t>
  </si>
  <si>
    <t>BTU/ft3</t>
  </si>
  <si>
    <t>http://www.fngas.com/calculate.html</t>
  </si>
  <si>
    <t>Coal</t>
  </si>
  <si>
    <t>Days/Season:</t>
  </si>
  <si>
    <t>Electric</t>
  </si>
  <si>
    <t>BTU/KWH</t>
  </si>
  <si>
    <t>* The EC number is based on a blend of #1 and #2 used under Fairbanks cold temps per this source</t>
  </si>
  <si>
    <t>Number of FNSB Households:</t>
  </si>
  <si>
    <t>(updated from 2010 Census)</t>
  </si>
  <si>
    <t>Wood Density:</t>
  </si>
  <si>
    <t>tons/cord, from Cord_Wood_Weight.xlsx</t>
  </si>
  <si>
    <t>Number of PM Area Households:</t>
  </si>
  <si>
    <t>(estimated from Jan-2012 parcel centroid data)</t>
  </si>
  <si>
    <t>Cost Assumptions</t>
  </si>
  <si>
    <t>Rate</t>
  </si>
  <si>
    <t>Commercial Building Heating Splits by Fuel Type</t>
  </si>
  <si>
    <t>cord</t>
  </si>
  <si>
    <t>Fuel Oil:</t>
  </si>
  <si>
    <t>gal</t>
  </si>
  <si>
    <t>Natural Gas:</t>
  </si>
  <si>
    <t>assumed same as fuel oil</t>
  </si>
  <si>
    <t>10^2 ft3</t>
  </si>
  <si>
    <t>KwH</t>
  </si>
  <si>
    <t>Emission Factors -- OMNI Results Where Available (green shaded), OMNI factors based on oven dry (OD) weight, assume AP-42 factors are as well</t>
  </si>
  <si>
    <t>Combustion</t>
  </si>
  <si>
    <t>Emission Factors (lb/mmBTU), EPA Method 5H Except Where Noted</t>
  </si>
  <si>
    <t>Wood-Burning Type</t>
  </si>
  <si>
    <t>Device Name</t>
  </si>
  <si>
    <t>Efficiency Source</t>
  </si>
  <si>
    <t>mg/MJ</t>
  </si>
  <si>
    <t>Emission Factor Source</t>
  </si>
  <si>
    <t>Fireplace, No Insert</t>
  </si>
  <si>
    <t>AP-42, www.epa.gov/ttnchie1/ap42/ch01/related/woodstove.pdf, Table 2.2-1</t>
  </si>
  <si>
    <t>AP-42, Table 1.9-1; for SO2, OMNI fuel S for spruce gave EF identical to AP42</t>
  </si>
  <si>
    <t>Fireplace, With Insert - Non-EPA Certified</t>
  </si>
  <si>
    <t>Assumed equal to uncertified woodstove EFs</t>
  </si>
  <si>
    <t>Fireplace, With Insert - EPA Certified Non-Catalytic</t>
  </si>
  <si>
    <t>AP-42, www.epa.gov/ttnchie1/ap42/ch01/related/woodstoveapp.pdf, Table 3 for PM Efs,</t>
  </si>
  <si>
    <t>Fireplace, With Insert - EPA Certified Catalytic</t>
  </si>
  <si>
    <t>AP-42, www.epa.gov/ttnchie1/ap42/ch01/related/woodstoveapp.pdf, Table 3 for PM Efs</t>
  </si>
  <si>
    <t>Woodstove - Non-EPA Certified</t>
  </si>
  <si>
    <t>AP-42, www.epa.gov/ttnchie1/ap42/ch01/related/woodstove.pdf, Table 2.1-2</t>
  </si>
  <si>
    <t>AP-42, Table 1.10-1 for VOC&amp;SO2; all others use avg of OMNI runs 14 and 15, conventional wood stove, spruce and birch, low firing rate</t>
  </si>
  <si>
    <t>Woodstove - EPA Certified Non-Catalytic</t>
  </si>
  <si>
    <t>AP-42, Table 1.10-1, assumed Phase II (1990 stds) for VOC&amp;SO2; all others use avg of OMNI runs 5&amp;6 for birch&amp;spruce EPA (noncat) woodstove at low firing rate</t>
  </si>
  <si>
    <t>Woodstove - EPA Certified Catalytic</t>
  </si>
  <si>
    <t>same as immediately above, except that the OMNI avgs for PM10 and PM2.5 are scaled by the same ratio of cat to noncat (16.2/14.6) as used by TRC</t>
  </si>
  <si>
    <t>Pellet Stove (Exempt)</t>
  </si>
  <si>
    <t>AP-42, Table 1.10-5</t>
  </si>
  <si>
    <t>AP-42, Table 1.10-1for VOC; all others OMNI run #1, pellet stove, except SO2 which is based on dry pellet S content from OMNI</t>
  </si>
  <si>
    <t>Pellet Stove (EPA Certified)</t>
  </si>
  <si>
    <t>AP-42, www.epa.gov/ttnchie1/ap42/ch01/related/woodstove.pdf, Table 2</t>
  </si>
  <si>
    <t>OWB (Hydronic Heater) - 80/20 Unqual/Phase 2 Wtd</t>
  </si>
  <si>
    <t>EPA/NY per wood_stoves.xls</t>
  </si>
  <si>
    <t>80% / 20% weighting of OWB and OWB-Ph2</t>
  </si>
  <si>
    <t>OWB (Hydronic Heater) - Unqualified</t>
  </si>
  <si>
    <t>OWB</t>
  </si>
  <si>
    <t>EPA/NY per wood_stoves.xls for VOC&amp;SO2; others from avg of OMNI runs 30&amp;32, OWHH, birch&amp;spruce, low firing rate (note - CO is a lower limit, instrument pegged), OMNI's dry S content for spruce gave EF identical to AP42</t>
  </si>
  <si>
    <t>OWB (Hydronic Heater) - Phase 1</t>
  </si>
  <si>
    <t>OWB-Ph1</t>
  </si>
  <si>
    <t>set rates for VOC to those for woodstoves; others from avg of OMNI runs 9 and 11, spruce&amp;birch, EPA qualified OWHH, low firing rate, but for PM and CO scaled by TRC's ratio for phase 1 and 2; SO2 based on OMNI's S content of dry spruce</t>
  </si>
  <si>
    <t>OWB (Hydronic Heater) - Phase 2</t>
  </si>
  <si>
    <t>OWB-Ph2</t>
  </si>
  <si>
    <t>Masonry Heater</t>
  </si>
  <si>
    <t>CCHRC, http://www.cchrc.org/sites/default/files/docs/masonry_heater.pdf</t>
  </si>
  <si>
    <t>AP-42, Table 1.10-1, Barnett, 1992, "Summary report of the In-Home Emissions and Efficiency Performance of Five Commercially Available Masonry Heaters"</t>
  </si>
  <si>
    <t>EF</t>
  </si>
  <si>
    <t>Emission Factors (lb/mmBTU)</t>
  </si>
  <si>
    <t>Other Heating Types</t>
  </si>
  <si>
    <t>Central Oil (Weighted # 1 &amp; #2), Residential</t>
  </si>
  <si>
    <t>EIA</t>
  </si>
  <si>
    <t>Fuel Oil #1&amp;2</t>
  </si>
  <si>
    <t>lb/1000 gal</t>
  </si>
  <si>
    <t>EPA, AP-42 Table 1.3-1 for VOC and (with OMNI fuel S content) for SO2; all others OMNI run#17, SWRI for fuel (lower) heating value, AP-42 for fuel oil density</t>
  </si>
  <si>
    <t>Central Oil (#1 distillate), Residential</t>
  </si>
  <si>
    <t>COil-Res1</t>
  </si>
  <si>
    <t>Central Oil (#2 distillate), Residential</t>
  </si>
  <si>
    <t>COil-Res2</t>
  </si>
  <si>
    <t>Central Oil (Weighted # 1 &amp; #2), Commercial</t>
  </si>
  <si>
    <t>2103004001</t>
  </si>
  <si>
    <t>EPA, AP-42 Table 1.3-1 for Nox; for all others, assume same as above</t>
  </si>
  <si>
    <t>Portable: 43% Kerosene &amp; 57% Fuel Oil</t>
  </si>
  <si>
    <t>Kero/FO</t>
  </si>
  <si>
    <t>Emission rates for portable heating devices using kerosene/fuel oil #2 blend assumed equal to central oil (on #2) in absence of actual data; except SO2, NH3 and CO, assumed same as above</t>
  </si>
  <si>
    <t>Direct Vent</t>
  </si>
  <si>
    <t>Emission rates for DV devices using Heating Oil #1 assumed equal to central oil (on #2) in absence of actual data; except SO2, NH3 and CO assumed same as above</t>
  </si>
  <si>
    <t>Natural Gas - Residential</t>
  </si>
  <si>
    <t>lb/10^6 ft3</t>
  </si>
  <si>
    <t>EPA, AP-42 Tables 1.4-1 &amp; 1.4-2 for all but PM and NH3 - BNL Report BNL-91286-2009-IR NG mean for PM, EPA/Pechan for NH3</t>
  </si>
  <si>
    <t>Natural Gas - Commercial, small uncontrolled</t>
  </si>
  <si>
    <t>EPA, AP-42 Tables 1.4-1 &amp; 1.4-2 for all but NH3, EPA/Pechan for NH3</t>
  </si>
  <si>
    <t>Coal Boiler (bituminous/subbituminous, hand-fed)</t>
  </si>
  <si>
    <t>NY per wood_stoves.xls</t>
  </si>
  <si>
    <t>lb/ton</t>
  </si>
  <si>
    <t>EPA, AP-42:  Table 1.1-19 for VOC and (w. Usibelli S content) SO2; OMNI runs 21, 23, 37&amp;38 for all other, coal stove, wet&amp;dry stoker and lump coal, low firing rate</t>
  </si>
  <si>
    <t>Waste Oil Burning</t>
  </si>
  <si>
    <t>2102012000</t>
  </si>
  <si>
    <t>EPA, AP-42 Table 1.11-1 for VOC; all others OMNI run#18, SWRI for heating value, AP-42 for No. 2 fuel oil density</t>
  </si>
  <si>
    <t>Muni Heat</t>
  </si>
  <si>
    <t>Comparison of Space Heating Fuel/Device Emission Rates on an Equivalent Net Energy Basis -- OMNI Rates Where Available</t>
  </si>
  <si>
    <t>Wood on Oven Dry Basis (0% MC)</t>
  </si>
  <si>
    <t>Net</t>
  </si>
  <si>
    <t>Emission Factors (lb/net mmBTU)</t>
  </si>
  <si>
    <t>Gas</t>
  </si>
  <si>
    <t>Wood on "Dry"Basis (20% MC)</t>
  </si>
  <si>
    <t>Comparison of Space Heating Fuel/Device Emission Rates on an Equivalent Net Energy Basis</t>
  </si>
  <si>
    <t>Baseline Wood Moisture Basis (36.5% MC)</t>
  </si>
  <si>
    <t>TABULATIONS OF FAIRBANKS 2011-2015 HOME HEATING SURVEYS - ZIP WEIGHTED USING 2010 CENSUS (with cell HH adjustments)</t>
  </si>
  <si>
    <t>Calendar Year Filter:</t>
  </si>
  <si>
    <t>&gt;=2011</t>
  </si>
  <si>
    <t>Zip-Wtd</t>
  </si>
  <si>
    <t>Stat</t>
  </si>
  <si>
    <t>Code</t>
  </si>
  <si>
    <t>No Zip</t>
  </si>
  <si>
    <t>Downtown</t>
  </si>
  <si>
    <t>Wainwright</t>
  </si>
  <si>
    <t>North Pole</t>
  </si>
  <si>
    <t>Airport</t>
  </si>
  <si>
    <t>Steese</t>
  </si>
  <si>
    <t>University</t>
  </si>
  <si>
    <t>Overall</t>
  </si>
  <si>
    <t>+Cell</t>
  </si>
  <si>
    <t>Survey Sample</t>
  </si>
  <si>
    <t># Obs</t>
  </si>
  <si>
    <t>(Self-weighted by ZIP households)</t>
  </si>
  <si>
    <t>% Obs</t>
  </si>
  <si>
    <t>2010 Census Household Weightings</t>
  </si>
  <si>
    <t>Household Heating Device Counts by Type (Q2-Q8)</t>
  </si>
  <si>
    <t>Central Oil</t>
  </si>
  <si>
    <t>Portable</t>
  </si>
  <si>
    <t>Coal Heat</t>
  </si>
  <si>
    <t>Muni. Heat</t>
  </si>
  <si>
    <t>Household Heating Device Fractions by Type (Q2-Q8)</t>
  </si>
  <si>
    <t>Multiple Type Heating</t>
  </si>
  <si>
    <t>UseFactor</t>
  </si>
  <si>
    <t>(1.0=Single)</t>
  </si>
  <si>
    <t>Multiple Type Use %</t>
  </si>
  <si>
    <t>Use %</t>
  </si>
  <si>
    <t>% of Multi-Use HHs</t>
  </si>
  <si>
    <t>Average Use by Type, Winter (October-March)</t>
  </si>
  <si>
    <t>Wood Burning Type (Q11)</t>
  </si>
  <si>
    <t>Fireplace</t>
  </si>
  <si>
    <t>FP+Insert</t>
  </si>
  <si>
    <t>Wood Boiler</t>
  </si>
  <si>
    <t>Unknown</t>
  </si>
  <si>
    <t>N/A</t>
  </si>
  <si>
    <t>All With</t>
  </si>
  <si>
    <t>Wood Stove/Insert Installation Year / Cert Type (Q13)</t>
  </si>
  <si>
    <t>&lt;1988 (Un-Certified)</t>
  </si>
  <si>
    <t>&gt;=1988 (Certified)</t>
  </si>
  <si>
    <t>Wood Stove/Insert Age, years (Q14)</t>
  </si>
  <si>
    <t>&lt;1 year</t>
  </si>
  <si>
    <t>1-5 years</t>
  </si>
  <si>
    <t>5-10 years</t>
  </si>
  <si>
    <t>10-15 years</t>
  </si>
  <si>
    <t>15+ years</t>
  </si>
  <si>
    <t>Wood Stove/Insert Catalyst Type (Q11b)</t>
  </si>
  <si>
    <t>Catalytic</t>
  </si>
  <si>
    <t>Non-Catalytic</t>
  </si>
  <si>
    <t>Wood Stove/Insert Fuel Type (Q15)</t>
  </si>
  <si>
    <t>Pellets</t>
  </si>
  <si>
    <t>Cord Wood</t>
  </si>
  <si>
    <t>Both</t>
  </si>
  <si>
    <t>Wood Stove/Insert Daily Use Profile, Winter (Q17)</t>
  </si>
  <si>
    <t>Daytime</t>
  </si>
  <si>
    <t>Evening</t>
  </si>
  <si>
    <t>Day&amp;Eve</t>
  </si>
  <si>
    <t>Weekend</t>
  </si>
  <si>
    <t>Eve&amp;WkEnd</t>
  </si>
  <si>
    <t>Occasional</t>
  </si>
  <si>
    <t>Not Using</t>
  </si>
  <si>
    <t>Refused</t>
  </si>
  <si>
    <t>Wood Stove/Insert Wood Source (Q18)</t>
  </si>
  <si>
    <t>Buy</t>
  </si>
  <si>
    <t>Cut Own-multi response</t>
  </si>
  <si>
    <t>Both (Buy &amp; Cut Own)</t>
  </si>
  <si>
    <t>Wood Stove/Insert Cutting Permit Obtained (Q19a)</t>
  </si>
  <si>
    <t>Wood Stove/Insert Seasoning (months) (Q20)</t>
  </si>
  <si>
    <t>Average</t>
  </si>
  <si>
    <t>Responding Households</t>
  </si>
  <si>
    <t>Wood Stove/Insert Moisture Content (%) (Q21)</t>
  </si>
  <si>
    <t>Per Equipped Household</t>
  </si>
  <si>
    <t>Wood Fireplace Daily Use Profile, Winter (Q31)</t>
  </si>
  <si>
    <t>Wood Fireplace Wood Source (Q32)</t>
  </si>
  <si>
    <t>Wood Fireplace Cutting Permit Obtained (Q33)</t>
  </si>
  <si>
    <t>Stove/Insert Wood Use (cords), Annual (Q23)</t>
  </si>
  <si>
    <t>Stove/Insert Wood Use (cords), Winter (Q24)</t>
  </si>
  <si>
    <t>Stove/Insert Wood Use (pellets, tons), Annual (Q25)</t>
  </si>
  <si>
    <t>Stove/Insert Wood Use (pellets, tons), Winter (Q26)</t>
  </si>
  <si>
    <t>Fireplace Wood Use (cords), Annual (Q36)</t>
  </si>
  <si>
    <t>Fireplace Wood Use (cords), Winter (Q37)</t>
  </si>
  <si>
    <t>OWB Wood Use (cords), Annual (Q45)</t>
  </si>
  <si>
    <t>OWB Wood Use (cords), Winter (Q46)</t>
  </si>
  <si>
    <t>Central Oil Use (gallons), Annual (Q52)</t>
  </si>
  <si>
    <t>Central Oil Use (gallons), Winter (Q53)</t>
  </si>
  <si>
    <t>Portable Heater Fuel Use (gallons), Annual (Q57)</t>
  </si>
  <si>
    <t>Portable Heater Fuel Use (gallons), Winter (Q58)</t>
  </si>
  <si>
    <t>Direct Vent Heater Fuel Use (gallons), Annual (Q61)</t>
  </si>
  <si>
    <t>Direct Vent Heater Fuel Use (gallons), Winter (Q62)</t>
  </si>
  <si>
    <t>Natural Gas Heating Fuel Cost (dollars), Annual (Q66)</t>
  </si>
  <si>
    <t>Natural Gas Heating Fuel Cost (dollars), Winter (Q67)</t>
  </si>
  <si>
    <t>Coal Use (tons), Annual (Q69)</t>
  </si>
  <si>
    <t>Coal Use (tons), Winter (Q71)</t>
  </si>
  <si>
    <t>Municipal Heating Fuel Cost (dollars), Annual (Q73)</t>
  </si>
  <si>
    <t>Municipal Heating Fuel Cost (dollars), Winter (Q74)</t>
  </si>
  <si>
    <t>Portable Heater Daily Use Profile, Winter (Q60)</t>
  </si>
  <si>
    <t>Portable Heater Fuel Type (Q55 &amp; Q56)</t>
  </si>
  <si>
    <t>Fuel Oil - Yes</t>
  </si>
  <si>
    <t>Fuel Oil - No</t>
  </si>
  <si>
    <t>Kerosene - Yes</t>
  </si>
  <si>
    <t>Kerosene - No</t>
  </si>
  <si>
    <t>Fuel Oil</t>
  </si>
  <si>
    <t>Use #1 or #2 Heating Oil and Splits if Both (Q76)</t>
  </si>
  <si>
    <t>#1 Oil</t>
  </si>
  <si>
    <t>#2 Oil</t>
  </si>
  <si>
    <t>Both (#1 and #2)</t>
  </si>
  <si>
    <t>Both, #1 Split</t>
  </si>
  <si>
    <t>Both, #2 Split</t>
  </si>
  <si>
    <t>Price of Natural Gas to Trigger Shift From Wood (Q77)</t>
  </si>
  <si>
    <t>Mean</t>
  </si>
  <si>
    <t>OWB Type (Q39)</t>
  </si>
  <si>
    <t>EPA Qualified OWB</t>
  </si>
  <si>
    <t>Non-Qualified OWB</t>
  </si>
  <si>
    <t>Outdoor Pellet Boiler</t>
  </si>
  <si>
    <t>Fairbanks 2011-2015 Home Heating Survey Tabulations by 4 km Grid 2 Cell</t>
  </si>
  <si>
    <t>Minimum G2 Sample Size:</t>
  </si>
  <si>
    <t>Cells w/Min SS:</t>
  </si>
  <si>
    <t>%Cells w/Min SS:</t>
  </si>
  <si>
    <t>% NA Area Cells:</t>
  </si>
  <si>
    <t>Winter Season (Oct-Mar) Energy Use (BTUs) by Device</t>
  </si>
  <si>
    <t>Sample</t>
  </si>
  <si>
    <t>G2 Occ HH</t>
  </si>
  <si>
    <t>G2 Cell</t>
  </si>
  <si>
    <t>WSCW</t>
  </si>
  <si>
    <t>WSPlt</t>
  </si>
  <si>
    <t>InsrtCrd</t>
  </si>
  <si>
    <t>InsrtPlt</t>
  </si>
  <si>
    <t>OWB-Adj</t>
  </si>
  <si>
    <t>Cntrl Oil</t>
  </si>
  <si>
    <t>DV Oil</t>
  </si>
  <si>
    <t>NtGas</t>
  </si>
  <si>
    <t>MnHt</t>
  </si>
  <si>
    <t>Size</t>
  </si>
  <si>
    <t>Weights</t>
  </si>
  <si>
    <t>132,138</t>
  </si>
  <si>
    <t>132,139</t>
  </si>
  <si>
    <t>133,136</t>
  </si>
  <si>
    <t>133,137</t>
  </si>
  <si>
    <t>133,140</t>
  </si>
  <si>
    <t>134,134</t>
  </si>
  <si>
    <t>134,136</t>
  </si>
  <si>
    <t>134,137</t>
  </si>
  <si>
    <t>134,139</t>
  </si>
  <si>
    <t>134,140</t>
  </si>
  <si>
    <t>135,134</t>
  </si>
  <si>
    <t>135,135</t>
  </si>
  <si>
    <t>135,136</t>
  </si>
  <si>
    <t>135,137</t>
  </si>
  <si>
    <t>135,138</t>
  </si>
  <si>
    <t>135,139</t>
  </si>
  <si>
    <t>135,141</t>
  </si>
  <si>
    <t>136,135</t>
  </si>
  <si>
    <t>136,136</t>
  </si>
  <si>
    <t>136,137</t>
  </si>
  <si>
    <t>136,138</t>
  </si>
  <si>
    <t>136,139</t>
  </si>
  <si>
    <t>137,136</t>
  </si>
  <si>
    <t>137,137</t>
  </si>
  <si>
    <t>137,138</t>
  </si>
  <si>
    <t>137,139</t>
  </si>
  <si>
    <t>137,140</t>
  </si>
  <si>
    <t>137,144</t>
  </si>
  <si>
    <t>138,136</t>
  </si>
  <si>
    <t>138,137</t>
  </si>
  <si>
    <t>138,138</t>
  </si>
  <si>
    <t>138,139</t>
  </si>
  <si>
    <t>138,140</t>
  </si>
  <si>
    <t>139,136</t>
  </si>
  <si>
    <t>139,137</t>
  </si>
  <si>
    <t>139,138</t>
  </si>
  <si>
    <t>139,139</t>
  </si>
  <si>
    <t>139,140</t>
  </si>
  <si>
    <t>139,143</t>
  </si>
  <si>
    <t>139,144</t>
  </si>
  <si>
    <t>140,136</t>
  </si>
  <si>
    <t>140,137</t>
  </si>
  <si>
    <t>140,138</t>
  </si>
  <si>
    <t>140,139</t>
  </si>
  <si>
    <t>140,140</t>
  </si>
  <si>
    <t>140,144</t>
  </si>
  <si>
    <t>141,135</t>
  </si>
  <si>
    <t>141,136</t>
  </si>
  <si>
    <t>141,137</t>
  </si>
  <si>
    <t>141,138</t>
  </si>
  <si>
    <t>141,139</t>
  </si>
  <si>
    <t>141,140</t>
  </si>
  <si>
    <t>141,145</t>
  </si>
  <si>
    <t>142,135</t>
  </si>
  <si>
    <t>142,136</t>
  </si>
  <si>
    <t>142,137</t>
  </si>
  <si>
    <t>142,138</t>
  </si>
  <si>
    <t>142,140</t>
  </si>
  <si>
    <t>143,134</t>
  </si>
  <si>
    <t>143,135</t>
  </si>
  <si>
    <t>143,136</t>
  </si>
  <si>
    <t>143,137</t>
  </si>
  <si>
    <t>143,138</t>
  </si>
  <si>
    <t>143,139</t>
  </si>
  <si>
    <t>144,133</t>
  </si>
  <si>
    <t>144,134</t>
  </si>
  <si>
    <t>144,135</t>
  </si>
  <si>
    <t>144,138</t>
  </si>
  <si>
    <t>145,132</t>
  </si>
  <si>
    <t>145,133</t>
  </si>
  <si>
    <t>145,137</t>
  </si>
  <si>
    <t>145,138</t>
  </si>
  <si>
    <t>145,147</t>
  </si>
  <si>
    <t>146,131</t>
  </si>
  <si>
    <t>146,133</t>
  </si>
  <si>
    <t>146,137</t>
  </si>
  <si>
    <t>146,138</t>
  </si>
  <si>
    <t>147,129</t>
  </si>
  <si>
    <t>147,132</t>
  </si>
  <si>
    <t>147,137</t>
  </si>
  <si>
    <t>147,138</t>
  </si>
  <si>
    <t>148,137</t>
  </si>
  <si>
    <t>148,138</t>
  </si>
  <si>
    <t>149,138</t>
  </si>
  <si>
    <t>Grand Total</t>
  </si>
  <si>
    <t>Low SS Total</t>
  </si>
  <si>
    <t>Winter Season (Oct-Mar) Energy Use Percentages by Device</t>
  </si>
  <si>
    <t>Percentages of Stove/Insert Technologies</t>
  </si>
  <si>
    <t>Cell Sample-Adjusted Percentages of Stove/Insert Technology Splits</t>
  </si>
  <si>
    <t>Uncertified</t>
  </si>
  <si>
    <t>Non-Cat</t>
  </si>
  <si>
    <t>Catalyst</t>
  </si>
  <si>
    <t>Residential Heating Device Group Allocation by Year</t>
  </si>
  <si>
    <t>Proxy Question Offset:</t>
  </si>
  <si>
    <t>&lt;-- Accounts for undercounted uncert. fraction in HH surveys</t>
  </si>
  <si>
    <t>Undercounted</t>
  </si>
  <si>
    <t>Curve Fit</t>
  </si>
  <si>
    <t>HH Survey</t>
  </si>
  <si>
    <t>Curve Fit of Uncertified Wood Stove/InsertTrend from 2006-2015 Fairbanks Home Heating Surveys</t>
  </si>
  <si>
    <t>Device/Tech</t>
  </si>
  <si>
    <t>Census Wtd, Adj</t>
  </si>
  <si>
    <t>COil</t>
  </si>
  <si>
    <t>CW</t>
  </si>
  <si>
    <t>Winter Season (Oct-Mar) Energy Use Percentages by Device, ZIP Code-Adjusted for Cell Sample and Normalized by CCHRC Instrumentation Sample Devices</t>
  </si>
  <si>
    <t>Summed into CCHRC Device Groups</t>
  </si>
  <si>
    <t>Re-Normalized CCHRC Devices</t>
  </si>
  <si>
    <t>1-WS</t>
  </si>
  <si>
    <t>2-FP</t>
  </si>
  <si>
    <t>3-OWB</t>
  </si>
  <si>
    <t>4-COil</t>
  </si>
  <si>
    <t>5-DVOil</t>
  </si>
  <si>
    <t>InstDevTotal</t>
  </si>
  <si>
    <t>Counts of Specific Device Usage (and Valid Fuel Usage) by Device and ZIP Code</t>
  </si>
  <si>
    <t>Survey</t>
  </si>
  <si>
    <t>Average Winter Daily Energy Use (BTUs/Day) by Household</t>
  </si>
  <si>
    <t>Average Winter Daily Energy Use (BTUs/Day) by Equipped Household</t>
  </si>
  <si>
    <t>Winter Season (Oct-Mar) Fuel Use by Device (Average of Households Where Device Used)</t>
  </si>
  <si>
    <t>WS-CW (tons)</t>
  </si>
  <si>
    <t>WS-Plts (tons)</t>
  </si>
  <si>
    <t>Insrt-CW (tons)</t>
  </si>
  <si>
    <t>Insrt-Plts (tons)</t>
  </si>
  <si>
    <t>FP-CW (tons)</t>
  </si>
  <si>
    <t>OWB-CW (tons)</t>
  </si>
  <si>
    <t>CentOil (gal)</t>
  </si>
  <si>
    <t>PtblHtr (gal)</t>
  </si>
  <si>
    <t>DVOil (gal)</t>
  </si>
  <si>
    <t>NatGas (ft3)</t>
  </si>
  <si>
    <t>Coal (tons)</t>
  </si>
  <si>
    <t>MunHt (kw-hr)</t>
  </si>
  <si>
    <t>Avg Wtr Day Use</t>
  </si>
  <si>
    <t>Lookup Areas</t>
  </si>
  <si>
    <t>Zip Code</t>
  </si>
  <si>
    <t>FNSB Community Research Quarterly-Based Heating Fuel Energy Content, Heater Efficiency and Historical Prices</t>
  </si>
  <si>
    <t>Heater</t>
  </si>
  <si>
    <t>$/100,000</t>
  </si>
  <si>
    <t>Useful</t>
  </si>
  <si>
    <t>Historical Heating Oil Prices</t>
  </si>
  <si>
    <t>Gross Heat</t>
  </si>
  <si>
    <t>Fuel Prices (November/December of indicated year)</t>
  </si>
  <si>
    <t>BTUs of</t>
  </si>
  <si>
    <t>BTUs per</t>
  </si>
  <si>
    <t>Data</t>
  </si>
  <si>
    <t>#1 Fuel Oil</t>
  </si>
  <si>
    <t>#2 Fuel Oil</t>
  </si>
  <si>
    <t>Content (BTU)</t>
  </si>
  <si>
    <t>MultYrAvg</t>
  </si>
  <si>
    <t>Useful Heat</t>
  </si>
  <si>
    <t>Dollar</t>
  </si>
  <si>
    <t>Range</t>
  </si>
  <si>
    <t>WtdComp</t>
  </si>
  <si>
    <t>Electricity</t>
  </si>
  <si>
    <t>/kWh</t>
  </si>
  <si>
    <t>Actual</t>
  </si>
  <si>
    <t>(1.330-1.400)</t>
  </si>
  <si>
    <t>(1.270-1.360)</t>
  </si>
  <si>
    <t>District Hot Water Heat</t>
  </si>
  <si>
    <t>/mmBTU</t>
  </si>
  <si>
    <t>(1.300-1.380)</t>
  </si>
  <si>
    <t>(1.260-1.310)</t>
  </si>
  <si>
    <t>District Steam Heat</t>
  </si>
  <si>
    <t>/1,000 lb</t>
  </si>
  <si>
    <t>(1.175-1.310)</t>
  </si>
  <si>
    <t>(1.110-1.280)</t>
  </si>
  <si>
    <t>Fuel Oil (common #2/#1 blend)</t>
  </si>
  <si>
    <t>/gal</t>
  </si>
  <si>
    <t>(1.220-1.320)</t>
  </si>
  <si>
    <t>(1.200-1.260)</t>
  </si>
  <si>
    <t>/mcf</t>
  </si>
  <si>
    <t>(1.770-1.870)</t>
  </si>
  <si>
    <t>(1.770-1.840)</t>
  </si>
  <si>
    <t>(2.500-2.610)</t>
  </si>
  <si>
    <t>(2.480-2.560)</t>
  </si>
  <si>
    <t>Wood, Pellet</t>
  </si>
  <si>
    <t>/ton</t>
  </si>
  <si>
    <t>lb/cord (at Baseline MC)</t>
  </si>
  <si>
    <t>(2.390-2.580)</t>
  </si>
  <si>
    <t>(2.380-2.550)</t>
  </si>
  <si>
    <t>Wood, Birch Cordwood</t>
  </si>
  <si>
    <t>/cord</t>
  </si>
  <si>
    <t>(2.640-2.730)</t>
  </si>
  <si>
    <t>(2.540-2.640)</t>
  </si>
  <si>
    <t>Wood, Spruce Cordwood</t>
  </si>
  <si>
    <t>(3.610-3.790)</t>
  </si>
  <si>
    <t>(3.630-3.770)</t>
  </si>
  <si>
    <t>Wood, Aspen Cordwood</t>
  </si>
  <si>
    <t>(2.680-2.750)</t>
  </si>
  <si>
    <t>(2.690-2.740)</t>
  </si>
  <si>
    <t>Wood, Cordwood Wtd. Avg.</t>
  </si>
  <si>
    <t>(2.980-3.060)</t>
  </si>
  <si>
    <t>(2.960-3.060)</t>
  </si>
  <si>
    <t>Coal, Stoker</t>
  </si>
  <si>
    <t>(3.890-3.950)</t>
  </si>
  <si>
    <t>(3.820-3.880)</t>
  </si>
  <si>
    <t>(4.010-4.080)</t>
  </si>
  <si>
    <t>(3.940-4.010)</t>
  </si>
  <si>
    <t>(3.850-3.960)</t>
  </si>
  <si>
    <t>(3.780-3.860)</t>
  </si>
  <si>
    <t>&lt;-- Avg 2011-2015 (HH Survey period)</t>
  </si>
  <si>
    <t>Electricity (distributed) price includes rate, customer change, RCA charge,cost of fuel adjustment charge</t>
  </si>
  <si>
    <t>0.293 Wh</t>
  </si>
  <si>
    <t>per BTU</t>
  </si>
  <si>
    <t>(3.720-3.850)</t>
  </si>
  <si>
    <t>(3.670-3.850)</t>
  </si>
  <si>
    <t>Wood energy content based on data for Interior Alaska species from George Sampson, Institute of Northern Forestry</t>
  </si>
  <si>
    <t>(2.280-2.400)</t>
  </si>
  <si>
    <t>(2.190-2.600)</t>
  </si>
  <si>
    <t>Natural gas price based on liquefied gas, trucked to Fairbanks or delivered by pipeline, includes rate, customer charge, RCA</t>
  </si>
  <si>
    <t>(2.050-2.410)</t>
  </si>
  <si>
    <t>(2.110-2.360)</t>
  </si>
  <si>
    <t>Propane price assumes delivery by truck to homes</t>
  </si>
  <si>
    <t>(2.600-2.770)</t>
  </si>
  <si>
    <t>(2.555-2.670)</t>
  </si>
  <si>
    <t>Coal price assumes delivery to a downtown location</t>
  </si>
  <si>
    <t>(3.130-3.180)</t>
  </si>
  <si>
    <t>(3.050-3.100)</t>
  </si>
  <si>
    <t>High</t>
  </si>
  <si>
    <t>Low</t>
  </si>
  <si>
    <t>Local Species Splits</t>
  </si>
  <si>
    <t>(2.790-3.050)</t>
  </si>
  <si>
    <t>(2.840-3.050)</t>
  </si>
  <si>
    <t>At Baseline Moisture Content (36.4% db):</t>
  </si>
  <si>
    <t>Volume</t>
  </si>
  <si>
    <t>Mass</t>
  </si>
  <si>
    <t>Forecasted</t>
  </si>
  <si>
    <t>Cordwood Species-Composite HHV:</t>
  </si>
  <si>
    <t>BTU/ton</t>
  </si>
  <si>
    <t>BTU/lb</t>
  </si>
  <si>
    <t>2013 Tag Survey Woodstove/Insert ER (g/hr) Distribution</t>
  </si>
  <si>
    <t>Certification</t>
  </si>
  <si>
    <t>Ratio</t>
  </si>
  <si>
    <t>Standard (g/hr)</t>
  </si>
  <si>
    <t>Pct Over</t>
  </si>
  <si>
    <t>Avg Over</t>
  </si>
  <si>
    <t>Avg Under</t>
  </si>
  <si>
    <t>Undr/Ovr</t>
  </si>
  <si>
    <t>Undr/Avg</t>
  </si>
  <si>
    <r>
      <rPr>
        <u/>
        <sz val="11"/>
        <color indexed="8"/>
        <rFont val="Calibri"/>
        <family val="2"/>
        <scheme val="minor"/>
      </rPr>
      <t>Sources</t>
    </r>
    <r>
      <rPr>
        <sz val="11"/>
        <color indexed="8"/>
        <rFont val="Calibri"/>
        <family val="2"/>
        <scheme val="minor"/>
      </rPr>
      <t>:</t>
    </r>
  </si>
  <si>
    <t>X</t>
  </si>
  <si>
    <t xml:space="preserve">Actual - </t>
  </si>
  <si>
    <t>FNSB, Community Research Surveys, 2000-2019. (Prices based on automatic delivery of 500 gallons of heating oil, without early payment discount.)</t>
  </si>
  <si>
    <t xml:space="preserve">Forecasted - </t>
  </si>
  <si>
    <t>Energy Information Administration (EIA), Annual Energy Outlook (AEO) 2020, Tables 3.9</t>
  </si>
  <si>
    <t>Wood Device Replacement Levels Under Different Assumptions</t>
  </si>
  <si>
    <t>ER</t>
  </si>
  <si>
    <t>34% Max</t>
  </si>
  <si>
    <t>Program</t>
  </si>
  <si>
    <t>(g/hr)</t>
  </si>
  <si>
    <t>Slope</t>
  </si>
  <si>
    <t>(lb/mmBTU)</t>
  </si>
  <si>
    <t>Assumption</t>
  </si>
  <si>
    <t>FNSB WSCO</t>
  </si>
  <si>
    <t>WS/Ins</t>
  </si>
  <si>
    <t>Non Catalytic</t>
  </si>
  <si>
    <t>Current (CY2012) replacement level</t>
  </si>
  <si>
    <t>Replace to cutpoint</t>
  </si>
  <si>
    <t>Replace to avg. below cutpoint</t>
  </si>
  <si>
    <t>HH Slope</t>
  </si>
  <si>
    <t>Unq --&gt; Phase 2</t>
  </si>
  <si>
    <t>FNSB ESFBA</t>
  </si>
  <si>
    <t>State</t>
  </si>
  <si>
    <t>Summary of Space Heating Emissions and Energy Use by Device Averaged Across Each Modeling Episode</t>
  </si>
  <si>
    <t>BSR, 2019</t>
  </si>
  <si>
    <t>Grid 3 Domain</t>
  </si>
  <si>
    <t>PM Non-Attainment Area</t>
  </si>
  <si>
    <t>Space Heating Emissions (tons/day)</t>
  </si>
  <si>
    <t>Avg Daily</t>
  </si>
  <si>
    <t>Fuel Use</t>
  </si>
  <si>
    <t>Episode</t>
  </si>
  <si>
    <t>mmBTU</t>
  </si>
  <si>
    <t>E1</t>
  </si>
  <si>
    <t>1000 gal</t>
  </si>
  <si>
    <t>mcf</t>
  </si>
  <si>
    <t>E2</t>
  </si>
  <si>
    <t>PM Non-Attainment Area Emission Factors (lb/mmBTU), Baseline MC</t>
  </si>
  <si>
    <t>Wtd Avg</t>
  </si>
  <si>
    <t>mmBTU/episode day</t>
  </si>
  <si>
    <t>BTU/HH/episode day</t>
  </si>
  <si>
    <t>Needed Aggregations for Measure Benefit Calcs</t>
  </si>
  <si>
    <t>Uncertified Residential Solid-Fuel Heaters (cordwood insert/stove, OWB, Coal Ht):</t>
  </si>
  <si>
    <t>Certified Residential Solid-Fuel Heaters (Cert cordwood insert/stove):</t>
  </si>
  <si>
    <t>Residential Oil Devices (central, DV, portable):</t>
  </si>
  <si>
    <t>Commercial Oil:</t>
  </si>
  <si>
    <t>All Wood Devices:</t>
  </si>
  <si>
    <t>All Other Devices/Fuels:</t>
  </si>
  <si>
    <t>tons/day</t>
  </si>
  <si>
    <t>CheckSum:</t>
  </si>
  <si>
    <t>cords/episode day</t>
  </si>
  <si>
    <t>HDD-Based Episode Day/Avg Annual Day Use:</t>
  </si>
  <si>
    <t>cords/year</t>
  </si>
  <si>
    <t>BSR, 2020</t>
  </si>
  <si>
    <t>BSR, 2021</t>
  </si>
  <si>
    <t>BSR, 2022</t>
  </si>
  <si>
    <t>BSR, 2023</t>
  </si>
  <si>
    <t>BSR, 2024</t>
  </si>
  <si>
    <t>BSR, 2025</t>
  </si>
  <si>
    <t>BSR, 2026</t>
  </si>
  <si>
    <t>BSR, 2027</t>
  </si>
  <si>
    <t>BSR, 2028</t>
  </si>
  <si>
    <t>BSR, 2029</t>
  </si>
  <si>
    <t>PM Non-Attainment Area Space Heating Emissions &amp; Energy Use Tabulated by Day and Zip Code (Census ZCTA5)</t>
  </si>
  <si>
    <t>Calendar</t>
  </si>
  <si>
    <t>DayNo</t>
  </si>
  <si>
    <t>Date</t>
  </si>
  <si>
    <t>Zip Code Area</t>
  </si>
  <si>
    <t>Fairbanks</t>
  </si>
  <si>
    <t>Eielson AFB</t>
  </si>
  <si>
    <t>Ft Wainwright</t>
  </si>
  <si>
    <t>Salcha</t>
  </si>
  <si>
    <t>Central</t>
  </si>
  <si>
    <t>Delta Junction</t>
  </si>
  <si>
    <t>Healy</t>
  </si>
  <si>
    <t>Anderson</t>
  </si>
  <si>
    <t>Denali NP</t>
  </si>
  <si>
    <t>Manley Hot Springs</t>
  </si>
  <si>
    <t>Minto</t>
  </si>
  <si>
    <t>Nenana</t>
  </si>
  <si>
    <t>Rampart</t>
  </si>
  <si>
    <t>Stevens Village</t>
  </si>
  <si>
    <t>Livengood</t>
  </si>
  <si>
    <t>TABULATION OF 2010 CENSUS DATA IN NA AREA BY AQCZ</t>
  </si>
  <si>
    <t>Housing10</t>
  </si>
  <si>
    <t>VacHHs</t>
  </si>
  <si>
    <t>Pop10</t>
  </si>
  <si>
    <t>% OccHHs</t>
  </si>
  <si>
    <t>Outside AQCZ</t>
  </si>
  <si>
    <t>TOTAL NA Area</t>
  </si>
  <si>
    <t>USEPA Certified Hydronic Heaters October 2016</t>
  </si>
  <si>
    <t>Manufacturer</t>
  </si>
  <si>
    <t>Model Name</t>
  </si>
  <si>
    <t>Model Number</t>
  </si>
  <si>
    <t>Recommended Fuel</t>
  </si>
  <si>
    <t>Annual Avg. Emission Rate (lb/mmBtu)</t>
  </si>
  <si>
    <t>Max Heat Output Rating (Btu/hr)</t>
  </si>
  <si>
    <t>8-hour Output Rating (BTU/hr)</t>
  </si>
  <si>
    <t>Annual Average Efficiency (%HHV)</t>
  </si>
  <si>
    <t>Annual Avg. Emission Rate (gr/hr)*</t>
  </si>
  <si>
    <t>Thermal Storage Required</t>
  </si>
  <si>
    <t>Count</t>
  </si>
  <si>
    <t>Fraction of Devices</t>
  </si>
  <si>
    <t>Avg ER (g/hr)</t>
  </si>
  <si>
    <t>Avg EF (lb/mmBTU)</t>
  </si>
  <si>
    <t>Advanced Climate Technologies, LLC</t>
  </si>
  <si>
    <t>CP 500</t>
  </si>
  <si>
    <t>NAC*</t>
  </si>
  <si>
    <t>Total with ER:</t>
  </si>
  <si>
    <t>CP 850</t>
  </si>
  <si>
    <t>NAC</t>
  </si>
  <si>
    <t>Count with ER &lt;= 2.5 g/hr:</t>
  </si>
  <si>
    <t>CP 1000</t>
  </si>
  <si>
    <t>Count with ER &gt; 2.5 g/hr:</t>
  </si>
  <si>
    <t xml:space="preserve"> CP 1700</t>
  </si>
  <si>
    <t>Total, All:</t>
  </si>
  <si>
    <t>Alternate Heating Systems</t>
  </si>
  <si>
    <t xml:space="preserve">Wood Gun </t>
  </si>
  <si>
    <t>E155</t>
  </si>
  <si>
    <t>cord wood</t>
  </si>
  <si>
    <t>Central Boiler</t>
  </si>
  <si>
    <t>E-Classic</t>
  </si>
  <si>
    <t>Adjusted Fractions</t>
  </si>
  <si>
    <t xml:space="preserve">E-Classic </t>
  </si>
  <si>
    <t>3250 IR</t>
  </si>
  <si>
    <t>&lt;=2.5 g/hr:</t>
  </si>
  <si>
    <t>Maxim</t>
  </si>
  <si>
    <t>M255P/M255PE</t>
  </si>
  <si>
    <t>&gt;2.5 g/hr:</t>
  </si>
  <si>
    <t>Classic Edge</t>
  </si>
  <si>
    <t>DECTRA</t>
  </si>
  <si>
    <t>GARN</t>
  </si>
  <si>
    <t>WHS-2000H</t>
  </si>
  <si>
    <t>WHS-2000V</t>
  </si>
  <si>
    <t>WHS-1500H</t>
  </si>
  <si>
    <t>WHS-1500V</t>
  </si>
  <si>
    <t>Earth Manufacturing, LLC</t>
  </si>
  <si>
    <t>Klear Sky</t>
  </si>
  <si>
    <t>Econoburn Boilers</t>
  </si>
  <si>
    <t>EBW</t>
  </si>
  <si>
    <t>200-170</t>
  </si>
  <si>
    <t>x</t>
  </si>
  <si>
    <t>Effecta Energy Solutions</t>
  </si>
  <si>
    <t>Komplett III Light 20 KW</t>
  </si>
  <si>
    <t>pellets</t>
  </si>
  <si>
    <t>Komplett III Light 25 kW</t>
  </si>
  <si>
    <t>Komplett III Light 35 kW</t>
  </si>
  <si>
    <t>ESIM</t>
  </si>
  <si>
    <t>USV</t>
  </si>
  <si>
    <t>100GS</t>
  </si>
  <si>
    <t>Evoworld, Inc</t>
  </si>
  <si>
    <t>HP 14</t>
  </si>
  <si>
    <t>P 28</t>
  </si>
  <si>
    <t>P 50</t>
  </si>
  <si>
    <t>P 100</t>
  </si>
  <si>
    <t>P 200</t>
  </si>
  <si>
    <t>Fröling Heizkessel- und Behälterbau Ges.m.b.H</t>
  </si>
  <si>
    <t>P4 Unit 8</t>
  </si>
  <si>
    <t>P4 Unit 15</t>
  </si>
  <si>
    <t>P4 Unit 20</t>
  </si>
  <si>
    <t>P4 Unit 25</t>
  </si>
  <si>
    <t>P4 Unit 32</t>
  </si>
  <si>
    <t>P4 Unit 38</t>
  </si>
  <si>
    <t>P4 Unit 48</t>
  </si>
  <si>
    <t>P4 Unit 60</t>
  </si>
  <si>
    <t>P4 Unit 80</t>
  </si>
  <si>
    <t>P4 Unit 100</t>
  </si>
  <si>
    <t>T4-130</t>
  </si>
  <si>
    <t xml:space="preserve">S3 Turbo 50 </t>
  </si>
  <si>
    <t>T4-150</t>
  </si>
  <si>
    <t>Greentech Manufacturing Inc.</t>
  </si>
  <si>
    <t>Crown Royal</t>
  </si>
  <si>
    <t>RS7400E</t>
  </si>
  <si>
    <t>RS7200E</t>
  </si>
  <si>
    <t>RS7300E</t>
  </si>
  <si>
    <t>Hardy Manufacturing Co., Inc.</t>
  </si>
  <si>
    <t>KB</t>
  </si>
  <si>
    <t>Hawken Energy</t>
  </si>
  <si>
    <t>GX Series</t>
  </si>
  <si>
    <t>GX 10</t>
  </si>
  <si>
    <t>GX15</t>
  </si>
  <si>
    <t>GX30</t>
  </si>
  <si>
    <t>Heatmor</t>
  </si>
  <si>
    <t>400-4S</t>
  </si>
  <si>
    <t>X Series</t>
  </si>
  <si>
    <t>200X</t>
  </si>
  <si>
    <t>350X</t>
  </si>
  <si>
    <t>Heatmor  Manufacturing</t>
  </si>
  <si>
    <t>200 SSP</t>
  </si>
  <si>
    <t>Heizomat Canada, Inc.</t>
  </si>
  <si>
    <t>RHK AK 30</t>
  </si>
  <si>
    <t>Hydronic Specialty Supply, Inc.</t>
  </si>
  <si>
    <t>Drummer</t>
  </si>
  <si>
    <t>Drummer 35</t>
  </si>
  <si>
    <t>Mahoning Outdoor Furnace</t>
  </si>
  <si>
    <t>Mahoning Skye</t>
  </si>
  <si>
    <t>Series V</t>
  </si>
  <si>
    <t>Maine Energy Systems, LLC</t>
  </si>
  <si>
    <t>PE16</t>
  </si>
  <si>
    <t>PE32</t>
  </si>
  <si>
    <t>PE64</t>
  </si>
  <si>
    <t>PE/PES</t>
  </si>
  <si>
    <t>12-20</t>
  </si>
  <si>
    <t>PES</t>
  </si>
  <si>
    <t>25-32</t>
  </si>
  <si>
    <t>36-56</t>
  </si>
  <si>
    <t>EasyPell</t>
  </si>
  <si>
    <t xml:space="preserve">16-20kW </t>
  </si>
  <si>
    <t>Marway Welding</t>
  </si>
  <si>
    <t>Phase</t>
  </si>
  <si>
    <t>2-200</t>
  </si>
  <si>
    <t>Nature's Comfort LLC</t>
  </si>
  <si>
    <t>GT Series</t>
  </si>
  <si>
    <t>GT-6000</t>
  </si>
  <si>
    <t>NBE Production</t>
  </si>
  <si>
    <t>Kedel</t>
  </si>
  <si>
    <t>RTB54</t>
  </si>
  <si>
    <t>RTB102</t>
  </si>
  <si>
    <t>RTB170</t>
  </si>
  <si>
    <t xml:space="preserve">NBE Production </t>
  </si>
  <si>
    <t xml:space="preserve"> RTB54</t>
  </si>
  <si>
    <t>Pellergy, LLC/Windhager Zentralheizung Technik GmbH</t>
  </si>
  <si>
    <t>Alpha-60</t>
  </si>
  <si>
    <t>Alpha-100</t>
  </si>
  <si>
    <t>Piney Manufacturing</t>
  </si>
  <si>
    <t>Optimizer</t>
  </si>
  <si>
    <t>350</t>
  </si>
  <si>
    <t xml:space="preserve">Enviro Chip </t>
  </si>
  <si>
    <t>Polar Furnace Manufacturing Inc.</t>
  </si>
  <si>
    <t>G3</t>
  </si>
  <si>
    <t>G2</t>
  </si>
  <si>
    <t>Profab Industries</t>
  </si>
  <si>
    <t>Empire Elite</t>
  </si>
  <si>
    <t>200/XT200</t>
  </si>
  <si>
    <t>Smokeless Heat, LLC/Värmebaronen AB</t>
  </si>
  <si>
    <t>Pellmax UB</t>
  </si>
  <si>
    <t>Steel Tech, Inc.</t>
  </si>
  <si>
    <t>G Series</t>
  </si>
  <si>
    <t>G200-2</t>
  </si>
  <si>
    <t>G100</t>
  </si>
  <si>
    <t>G400</t>
  </si>
  <si>
    <t>Tarm USA, Inc.</t>
  </si>
  <si>
    <t>FHG</t>
  </si>
  <si>
    <t>20/30</t>
  </si>
  <si>
    <t>Tarm USA, Inc./ Fröling Heizkessel- und Behälterbau Ges.m.b.H</t>
  </si>
  <si>
    <t>Varmebaronen AB/ Smokeless Heat, LLC</t>
  </si>
  <si>
    <t>Pellmax</t>
  </si>
  <si>
    <t>200 UB</t>
  </si>
  <si>
    <t>Viessmann Holzheiztechnik GmbH</t>
  </si>
  <si>
    <t>Pyrot 150</t>
  </si>
  <si>
    <t>Pyrot 540</t>
  </si>
  <si>
    <t>Pyrotec 390</t>
  </si>
  <si>
    <t>Pyrotec 530</t>
  </si>
  <si>
    <t>Pyrotec 720</t>
  </si>
  <si>
    <t>WEbiomass, Inc.</t>
  </si>
  <si>
    <t xml:space="preserve">Woodpecker </t>
  </si>
  <si>
    <t>Windhager Zentralheizung Technik GmbH</t>
  </si>
  <si>
    <t>BioWin 152</t>
  </si>
  <si>
    <t>BioWin 102</t>
  </si>
  <si>
    <t>BioWin 262</t>
  </si>
  <si>
    <t>Windhager, North America, LLC/Windhager Zentralheizung Technik GmbH</t>
  </si>
  <si>
    <t>BioWin 100</t>
  </si>
  <si>
    <t>BioWin 150</t>
  </si>
  <si>
    <t>BioWin 260</t>
  </si>
  <si>
    <t>BioWin 350</t>
  </si>
  <si>
    <t>BioWin 600</t>
  </si>
  <si>
    <t>Wood Boiler, LLC</t>
  </si>
  <si>
    <t xml:space="preserve">Pellet Burner Easy </t>
  </si>
  <si>
    <t>Wood Boiler USA</t>
  </si>
  <si>
    <t>E4</t>
  </si>
  <si>
    <t>Blaze HE</t>
  </si>
  <si>
    <t xml:space="preserve">Northwest Mfg Inc </t>
  </si>
  <si>
    <t>Woodmaster</t>
  </si>
  <si>
    <t>Ultra 30</t>
  </si>
  <si>
    <t xml:space="preserve">CleanFire 400 </t>
  </si>
  <si>
    <t>Mini Boiler</t>
  </si>
  <si>
    <t>Winter 2008 PM2.5 Episode Temperature Data -- Based on Fairbanks International Airport (FAI) Hourly Temperatures</t>
  </si>
  <si>
    <t>May 2017</t>
  </si>
  <si>
    <t>Day of</t>
  </si>
  <si>
    <t>Day</t>
  </si>
  <si>
    <t>Daily Temperature Statistics (F)</t>
  </si>
  <si>
    <t>Hourly FAI Temperatures (F)</t>
  </si>
  <si>
    <t>Index</t>
  </si>
  <si>
    <t>Week</t>
  </si>
  <si>
    <t>StDev</t>
  </si>
  <si>
    <t>Min</t>
  </si>
  <si>
    <t>Max</t>
  </si>
  <si>
    <t>Match</t>
  </si>
  <si>
    <t>2008-E1</t>
  </si>
  <si>
    <t>S3-FBKS&lt;-15</t>
  </si>
  <si>
    <t>S2-FBKS</t>
  </si>
  <si>
    <t>S2-NPFS</t>
  </si>
  <si>
    <t>S3-NPFS&lt;-15</t>
  </si>
  <si>
    <t>S1-FBKS</t>
  </si>
  <si>
    <t>2008-E2</t>
  </si>
  <si>
    <t>S1-NPFS</t>
  </si>
  <si>
    <t>S3-NPFS&gt;-15</t>
  </si>
  <si>
    <t>EMISSION FACTORS FOR HEATING OIL (including ULS oil)</t>
  </si>
  <si>
    <t>From EPA (WebFIRE, AP-42)</t>
  </si>
  <si>
    <t>Baseline Fairbanks Heating Oil Properties</t>
  </si>
  <si>
    <t>Emission Factors (lb/1000 gal, except SO2 in lb/ton)</t>
  </si>
  <si>
    <t>Resid</t>
  </si>
  <si>
    <t>Comm</t>
  </si>
  <si>
    <t>SCC:</t>
  </si>
  <si>
    <t>PM-FIL</t>
  </si>
  <si>
    <t>Sulfur Content (ppm):</t>
  </si>
  <si>
    <t>LEVEL1:</t>
  </si>
  <si>
    <t>Stationary Source Fuel Combustion</t>
  </si>
  <si>
    <t>142 x S</t>
  </si>
  <si>
    <t>Energy Content (BTU/gal):</t>
  </si>
  <si>
    <t>LEVEL2:</t>
  </si>
  <si>
    <t>LEVEL3:</t>
  </si>
  <si>
    <t>Distillate Oil</t>
  </si>
  <si>
    <t>No. 2:</t>
  </si>
  <si>
    <t>LEVEL4:</t>
  </si>
  <si>
    <t>Total: All Combustor Types</t>
  </si>
  <si>
    <t>ULS:</t>
  </si>
  <si>
    <t>From 2009 Brookhaven National Laboratory Report (BNL-91286-2009-IR)</t>
  </si>
  <si>
    <t>Executive Summary Figures &amp; Tables:</t>
  </si>
  <si>
    <t>Std Dev</t>
  </si>
  <si>
    <t>Heating</t>
  </si>
  <si>
    <t>PM (mg/kg) vs. S (ppm)</t>
  </si>
  <si>
    <t>Device/Operation</t>
  </si>
  <si>
    <t>(mg/MJ)</t>
  </si>
  <si>
    <t>(mg/kg)</t>
  </si>
  <si>
    <t xml:space="preserve"> (lb/mmBTU)</t>
  </si>
  <si>
    <t xml:space="preserve"> (lb/1000 gal)</t>
  </si>
  <si>
    <t>(BTU/gal)</t>
  </si>
  <si>
    <t>Oil Device</t>
  </si>
  <si>
    <t>R2</t>
  </si>
  <si>
    <t>Cast Iron Boiler, Steady-State</t>
  </si>
  <si>
    <t>Cast Iron Boiler, Flame Retention Head Burner</t>
  </si>
  <si>
    <t>S</t>
  </si>
  <si>
    <t>Conventional &amp; Condensing Oil-Fired Appliances</t>
  </si>
  <si>
    <t>Conventional Boiler</t>
  </si>
  <si>
    <t>Conventional Furnace</t>
  </si>
  <si>
    <t>Cast Iron Boiler, Cyclic</t>
  </si>
  <si>
    <t>Condensing Boiler</t>
  </si>
  <si>
    <t>Condensing Furnace</t>
  </si>
  <si>
    <t>Warm Air Furnace, Steady-State</t>
  </si>
  <si>
    <t>PM2.5 EFs</t>
  </si>
  <si>
    <t>Natural Gas-Fired Appliances</t>
  </si>
  <si>
    <t>mg/kg</t>
  </si>
  <si>
    <t>Condensing Steel Boiler, Steady-State</t>
  </si>
  <si>
    <t>Furnace</t>
  </si>
  <si>
    <t>Boiler</t>
  </si>
  <si>
    <t>Condensing Warm Air Furnace, Steady-State</t>
  </si>
  <si>
    <t>Cast Iron Boiler, CGR Burner, Steady-State</t>
  </si>
  <si>
    <t>Average PM2.5 Emission Factors for Different Oil Devices and Sulfur Contents (extracted from report tables):</t>
  </si>
  <si>
    <t>Relative Benefit of Condensing vs. Conventional Warm Air Furnace:</t>
  </si>
  <si>
    <t>ASTM</t>
  </si>
  <si>
    <t>LS</t>
  </si>
  <si>
    <t>ULS</t>
  </si>
  <si>
    <t>Relative Benefit of Condensing vs. Conventional Warm Air Furnace (with Efficiency Improvement):</t>
  </si>
  <si>
    <t>Eff Inc:</t>
  </si>
  <si>
    <t>Device &amp; Data</t>
  </si>
  <si>
    <t>No. 2</t>
  </si>
  <si>
    <t>Cast Iron Boiler, Flame Retention Head Burner, Steady-State Operation</t>
  </si>
  <si>
    <t>Tested Heating Oil Energy Content (BTU/gal) vs. Fuel Sulfur (ppm)</t>
  </si>
  <si>
    <t>Table 8, N=3</t>
  </si>
  <si>
    <t>Table 1, N=4</t>
  </si>
  <si>
    <t>Table 4, N=2</t>
  </si>
  <si>
    <t>Table 6, N=2</t>
  </si>
  <si>
    <t>PM2.5 (mg/MJ)</t>
  </si>
  <si>
    <t>PM2.5 (mg/kg)</t>
  </si>
  <si>
    <t>Std Dev PM2.5 (mg/kg)</t>
  </si>
  <si>
    <t>PM2.5 (lb/mmBTU)</t>
  </si>
  <si>
    <t>PM2.5 (lb/1000 gal)</t>
  </si>
  <si>
    <t>Energy Content (BTU/gal)</t>
  </si>
  <si>
    <t>Cast Iron Boiler, Flame Retention Head Burner, Cyclic Operation</t>
  </si>
  <si>
    <t>Table 10, N=3</t>
  </si>
  <si>
    <t>Table 2, N=3</t>
  </si>
  <si>
    <t>Warm Air Furnace, Flame Retention Head Burner, Steady-State Operation</t>
  </si>
  <si>
    <t>Table 11, N=3</t>
  </si>
  <si>
    <t>Table 13, N=3</t>
  </si>
  <si>
    <t>Table 15, N=2</t>
  </si>
  <si>
    <t>With Intercept</t>
  </si>
  <si>
    <t>No Intercept</t>
  </si>
  <si>
    <t>Linear Eqn - PM2.5 (lb/mmBTU) vs. S (ppm):</t>
  </si>
  <si>
    <t>Condensing Steel Boiler, Flame Retention Head Burner, Steady-State Operation</t>
  </si>
  <si>
    <t>PM2.5 =</t>
  </si>
  <si>
    <t>Table 26, N=3</t>
  </si>
  <si>
    <t>Table 27, N=3</t>
  </si>
  <si>
    <t>Condensing Warm Air Furnace, Flame Retention Head Burner, Steady-State Operation (95% AFUE)</t>
  </si>
  <si>
    <t>Tested Heating Oil Device PM2.5 Emission Factors (lb/100 gal) vs. Fuel Sulfur (ppm)</t>
  </si>
  <si>
    <t>Table 33, N=3</t>
  </si>
  <si>
    <t>Table 35, N=2</t>
  </si>
  <si>
    <t>Table 37, N=2</t>
  </si>
  <si>
    <t>Cast Iron Boiler, Combustion Gas Recirculation (blue flame) Burner, Steady-State Operation</t>
  </si>
  <si>
    <t>Table 40, N=3</t>
  </si>
  <si>
    <t>Calculation of Wood Moisture and Other Wood Combustion Heating Loss Effects</t>
  </si>
  <si>
    <t>Equations:</t>
  </si>
  <si>
    <t>MCd (%, dry basis)  =  100 (wet weight - dry weight) / dry weight</t>
  </si>
  <si>
    <t>MCw (%, wet basis)  =  100 (wet weight - dry weight) / wet weight</t>
  </si>
  <si>
    <t>To convert MC wet basis to  MC dry basis:    MCd  =  100 x MCw / (100-MCw)</t>
  </si>
  <si>
    <t>To convert MC dry basis  to  MC wet basis:    MCw  =  100 x MCd / (100+MCd)</t>
  </si>
  <si>
    <t xml:space="preserve">Available Potential Heat =  </t>
  </si>
  <si>
    <t>HHV(OD) x (1 - MCw)</t>
  </si>
  <si>
    <t>where</t>
  </si>
  <si>
    <t>Assumptions:</t>
  </si>
  <si>
    <t xml:space="preserve">HHV(OD) = </t>
  </si>
  <si>
    <t>Higher Heating Value, Oven Dry (BTU/lb)</t>
  </si>
  <si>
    <t>Tw:</t>
  </si>
  <si>
    <t>°F</t>
  </si>
  <si>
    <t>Heat Losses</t>
  </si>
  <si>
    <t xml:space="preserve">APH = </t>
  </si>
  <si>
    <t>Available Potential Heat (BTU/lb)</t>
  </si>
  <si>
    <t>Ts:</t>
  </si>
  <si>
    <t xml:space="preserve">Fuel Moisture  =  </t>
  </si>
  <si>
    <t>MCw x [ 970 + (212-Tw) + (0.46 x (Ts-Tw)) ]</t>
  </si>
  <si>
    <t xml:space="preserve">MCw = </t>
  </si>
  <si>
    <t>Wood Moisture Content, wt basis (%)</t>
  </si>
  <si>
    <t>ExAir:</t>
  </si>
  <si>
    <t xml:space="preserve">Fuel Hydrogen  =  </t>
  </si>
  <si>
    <t>0.54 x (1-MCw) x [ 970 + (212-Tw) + (0.46 x (Ts-Tw)) ]</t>
  </si>
  <si>
    <t xml:space="preserve">Tw = </t>
  </si>
  <si>
    <r>
      <t>Temp of wood and air entering furnace (</t>
    </r>
    <r>
      <rPr>
        <sz val="11"/>
        <color theme="1"/>
        <rFont val="Calibri"/>
        <family val="2"/>
      </rPr>
      <t>°</t>
    </r>
    <r>
      <rPr>
        <sz val="11"/>
        <color theme="1"/>
        <rFont val="Calibri"/>
        <family val="2"/>
        <scheme val="minor"/>
      </rPr>
      <t>F)</t>
    </r>
  </si>
  <si>
    <t>ConvLoss:</t>
  </si>
  <si>
    <t xml:space="preserve">Dry Gases &amp; ExAir  =  </t>
  </si>
  <si>
    <t>(Ts-Tw) x (1-MCw) x [ (1.44 x ExAir) + 1.56]</t>
  </si>
  <si>
    <t xml:space="preserve">Ts = </t>
  </si>
  <si>
    <t>Temp of stack gases beyond heat recovery (°F)</t>
  </si>
  <si>
    <t xml:space="preserve">Conventional  =  </t>
  </si>
  <si>
    <t>APH x ConvLoss</t>
  </si>
  <si>
    <t xml:space="preserve">ExAir = </t>
  </si>
  <si>
    <t>Excess air (% volume)</t>
  </si>
  <si>
    <t>Complete combustion</t>
  </si>
  <si>
    <t xml:space="preserve">ConvLoss = </t>
  </si>
  <si>
    <t>Conventional heat loss factor (%)</t>
  </si>
  <si>
    <t xml:space="preserve">Recoverable Heat Energy =  </t>
  </si>
  <si>
    <t>APH - [Total Heat Losses]</t>
  </si>
  <si>
    <t>Available</t>
  </si>
  <si>
    <t>Potential</t>
  </si>
  <si>
    <t>Stack Gas Heat Losses (BTU/lb)</t>
  </si>
  <si>
    <t>Wt Relative</t>
  </si>
  <si>
    <t>Heat</t>
  </si>
  <si>
    <t>%BTU Red</t>
  </si>
  <si>
    <t>%BTU Incr to</t>
  </si>
  <si>
    <t>Dry Gases &amp;</t>
  </si>
  <si>
    <t>Recoverable Heat Energy</t>
  </si>
  <si>
    <t>MC Dry (%)</t>
  </si>
  <si>
    <t>to OD Wt</t>
  </si>
  <si>
    <t>MC Wet (%)</t>
  </si>
  <si>
    <t>(BTU/lb)</t>
  </si>
  <si>
    <t>vs. OD</t>
  </si>
  <si>
    <t>Match OD</t>
  </si>
  <si>
    <t>Hydrogen</t>
  </si>
  <si>
    <t>Excess Air</t>
  </si>
  <si>
    <t>Conventional</t>
  </si>
  <si>
    <t>(mmBTU/ton)</t>
  </si>
  <si>
    <t>Oven Dry (OD) ---&gt;</t>
  </si>
  <si>
    <t>Episode Wtd Avg ---&gt;</t>
  </si>
  <si>
    <t>Jan/Feb ---&gt;</t>
  </si>
  <si>
    <t>Nov ---&gt;</t>
  </si>
  <si>
    <t>Dry, Fuel Measures 09&amp;10 ---&gt;</t>
  </si>
  <si>
    <t>Fuel Measure 11, Non-Kiln Sold ---&gt;</t>
  </si>
  <si>
    <t>Fuel Measure 11, Own Cut Wood ---&gt;</t>
  </si>
  <si>
    <t>Avg from 2011 CCHRC Inst Survey ---&gt;</t>
  </si>
  <si>
    <t>Commercially Sold ---&gt;</t>
  </si>
  <si>
    <t>Dennis Used ---&gt;</t>
  </si>
  <si>
    <t>Adjustment to DMC BTUs ---&gt;</t>
  </si>
  <si>
    <t>Figure 1 above and equations from "How to Estimate Recoverable Heat Energy in Wood or Bark Fuels", US Dept of Agric., General Tech Report FPL 29, 1979</t>
  </si>
  <si>
    <t>&lt;--- From 2013 Tag Survey, on volumetric basis</t>
  </si>
  <si>
    <t>&lt;--- Calculated from 2013 Tag splits on mass basis using "Purchasing Firewood in Alaska" specie densities</t>
  </si>
  <si>
    <t>Calculation of Baseline Fairbanks Wood-Burning Device Moisture Content</t>
  </si>
  <si>
    <t>&lt;--- Compiled from FNSB timber sales provided by Alaska Deparment of Natural Resource, Division of Forestry</t>
  </si>
  <si>
    <t>Birch</t>
  </si>
  <si>
    <t>Spruce</t>
  </si>
  <si>
    <t>Aspen</t>
  </si>
  <si>
    <t>Split Log %</t>
  </si>
  <si>
    <t>Whole Log %</t>
  </si>
  <si>
    <t>Usage:</t>
  </si>
  <si>
    <t>WB HH</t>
  </si>
  <si>
    <t>Moisture %</t>
  </si>
  <si>
    <t>&lt;--- Usage %</t>
  </si>
  <si>
    <t>HHV (BTU/lb OD):</t>
  </si>
  <si>
    <t>BTU/lb OD</t>
  </si>
  <si>
    <t>mmBTU/ton OD</t>
  </si>
  <si>
    <t>Wood-Burning Group</t>
  </si>
  <si>
    <t>Fraction</t>
  </si>
  <si>
    <t>Birch-split</t>
  </si>
  <si>
    <t>Birch-whole</t>
  </si>
  <si>
    <t>Spruce-split</t>
  </si>
  <si>
    <t>Spruce-whole</t>
  </si>
  <si>
    <t>Aspen-split</t>
  </si>
  <si>
    <t>Aspen-whole</t>
  </si>
  <si>
    <t>Buy Wood - Jan/Feb Burn</t>
  </si>
  <si>
    <t>Harvest Splits</t>
  </si>
  <si>
    <t>Buy Wood - Nov Burn</t>
  </si>
  <si>
    <t>Spring</t>
  </si>
  <si>
    <t>Fall</t>
  </si>
  <si>
    <t>&lt;--- Average of 2011 CCHRC Wood Moisture Measurements from Instrumented Device Study</t>
  </si>
  <si>
    <t>Both (Buy &amp; Cut)</t>
  </si>
  <si>
    <t>All Wood-Burning Households - Jan/Feb</t>
  </si>
  <si>
    <t>All Wood-Burning Households - Nov</t>
  </si>
  <si>
    <t>Day-Weighted Average of E1 &amp; E2:</t>
  </si>
  <si>
    <t>BTU Factor Relative to Dry (20%) Wood:</t>
  </si>
  <si>
    <t>Sold Wood MC:</t>
  </si>
  <si>
    <t>Sold Wood BTU Factor Relative to Dry (20%) Wood:</t>
  </si>
  <si>
    <t>Tag Survey</t>
  </si>
  <si>
    <t>Purch Survey</t>
  </si>
  <si>
    <t>Fractions</t>
  </si>
  <si>
    <t>Buy Wood</t>
  </si>
  <si>
    <t>Renormalized Buy/Cut</t>
  </si>
  <si>
    <t>Resulting Moisture Levels:</t>
  </si>
  <si>
    <t>Day-Wtd E1 &amp; E2 Avg</t>
  </si>
  <si>
    <t>BTU Factor Relative to Dry (20% 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</si>
</sst>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6" formatCode="&quot;$&quot;#,##0_);[Red]\(&quot;$&quot;#,##0\)"/>
    <numFmt numFmtId="8" formatCode="&quot;$&quot;#,##0.00_);[Red]\(&quot;$&quot;#,##0.00\)"/>
    <numFmt numFmtId="164" formatCode="0.0"/>
    <numFmt numFmtId="165" formatCode="0.000"/>
    <numFmt numFmtId="166" formatCode="#,##0.000"/>
    <numFmt numFmtId="167" formatCode="#,##0.0"/>
    <numFmt numFmtId="168" formatCode="&quot;$&quot;#,##0.000_);[Red]\(&quot;$&quot;#,##0.000\)"/>
    <numFmt numFmtId="169" formatCode="0.0000"/>
    <numFmt numFmtId="170" formatCode="0.0%"/>
    <numFmt numFmtId="171" formatCode="&quot;$&quot;#,##0.00"/>
    <numFmt numFmtId="172" formatCode="\+0.0%;\-0.0%"/>
    <numFmt numFmtId="173" formatCode="&quot;$&quot;#,##0.0000"/>
    <numFmt numFmtId="174" formatCode="&quot;$&quot;#,##0.000"/>
    <numFmt numFmtId="175" formatCode="0.00000"/>
    <numFmt numFmtId="176" formatCode="\+#,##0;\-#,##0"/>
    <numFmt numFmtId="177" formatCode="&quot;$&quot;#,##0"/>
    <numFmt numFmtId="178" formatCode="0.000000"/>
    <numFmt numFmtId="179" formatCode="#,##0.0000"/>
    <numFmt numFmtId="180" formatCode="0.000;[Red]\-0.000"/>
    <numFmt numFmtId="181" formatCode="\+#,##0;[Red]\-#,##0"/>
    <numFmt numFmtId="182" formatCode="0.0000;[Red]\-0.0000"/>
    <numFmt numFmtId="183" formatCode="mm/dd"/>
    <numFmt numFmtId="184" formatCode="ddd"/>
    <numFmt numFmtId="185" formatCode="mm/dd/yy;@"/>
    <numFmt numFmtId="186" formatCode="0.0%;[Red]\-0.0%"/>
    <numFmt numFmtId="187" formatCode="0%;[Red]\-0%"/>
    <numFmt numFmtId="188" formatCode="0.00000;[Red]\-0.00000"/>
    <numFmt numFmtId="189" formatCode="0.000000;[Red]\-0.000000"/>
    <numFmt numFmtId="190" formatCode="0.000E+00"/>
    <numFmt numFmtId="191" formatCode="0.00%;[Red]\-0.00%"/>
  </numFmts>
  <fonts count="79" x14ac:knownFonts="1">
    <font>
      <sz val="11"/>
      <color theme="1"/>
      <name val="Calibri"/>
      <family val="2"/>
      <scheme val="minor"/>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b/>
      <sz val="12"/>
      <name val="Calibri"/>
      <family val="2"/>
      <scheme val="minor"/>
    </font>
    <font>
      <sz val="10"/>
      <name val="Calibri"/>
      <family val="2"/>
      <scheme val="minor"/>
    </font>
    <font>
      <b/>
      <sz val="11"/>
      <name val="Calibri"/>
      <family val="2"/>
      <scheme val="minor"/>
    </font>
    <font>
      <b/>
      <sz val="11"/>
      <color rgb="FFFF0000"/>
      <name val="Calibri"/>
      <family val="2"/>
      <scheme val="minor"/>
    </font>
    <font>
      <sz val="11"/>
      <name val="Calibri"/>
      <family val="2"/>
      <scheme val="minor"/>
    </font>
    <font>
      <sz val="10"/>
      <name val="MS Sans Serif"/>
      <family val="2"/>
    </font>
    <font>
      <sz val="11"/>
      <color indexed="8"/>
      <name val="Calibri"/>
      <family val="2"/>
      <scheme val="minor"/>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sz val="11"/>
      <color indexed="8"/>
      <name val="Calibri"/>
      <family val="2"/>
      <scheme val="minor"/>
    </font>
    <font>
      <u/>
      <sz val="11"/>
      <color theme="1"/>
      <name val="Calibri"/>
      <family val="2"/>
      <scheme val="minor"/>
    </font>
    <font>
      <u/>
      <sz val="11"/>
      <color theme="10"/>
      <name val="Calibri"/>
      <family val="2"/>
      <scheme val="minor"/>
    </font>
    <font>
      <u/>
      <sz val="10"/>
      <color indexed="12"/>
      <name val="Arial"/>
      <family val="2"/>
    </font>
    <font>
      <b/>
      <sz val="10"/>
      <name val="Calibri"/>
      <family val="2"/>
      <scheme val="minor"/>
    </font>
    <font>
      <sz val="10"/>
      <color theme="1"/>
      <name val="Calibri"/>
      <family val="2"/>
      <scheme val="minor"/>
    </font>
    <font>
      <u/>
      <sz val="10"/>
      <name val="Calibri"/>
      <family val="2"/>
      <scheme val="minor"/>
    </font>
    <font>
      <u/>
      <sz val="11"/>
      <color indexed="12"/>
      <name val="Calibri"/>
      <family val="2"/>
      <scheme val="minor"/>
    </font>
    <font>
      <i/>
      <sz val="11"/>
      <color theme="5" tint="-0.249977111117893"/>
      <name val="Calibri"/>
      <family val="2"/>
      <scheme val="minor"/>
    </font>
    <font>
      <b/>
      <sz val="8"/>
      <color indexed="81"/>
      <name val="Tahoma"/>
      <family val="2"/>
    </font>
    <font>
      <sz val="8"/>
      <color indexed="81"/>
      <name val="Tahoma"/>
      <family val="2"/>
    </font>
    <font>
      <b/>
      <sz val="11"/>
      <color rgb="FF0000FF"/>
      <name val="Calibri"/>
      <family val="2"/>
      <scheme val="minor"/>
    </font>
    <font>
      <sz val="11"/>
      <color rgb="FF0000FF"/>
      <name val="Calibri"/>
      <family val="2"/>
      <scheme val="minor"/>
    </font>
    <font>
      <sz val="10"/>
      <name val="MS Sans Serif"/>
    </font>
    <font>
      <b/>
      <i/>
      <sz val="12"/>
      <color rgb="FFFF0000"/>
      <name val="Calibri"/>
      <family val="2"/>
      <scheme val="minor"/>
    </font>
    <font>
      <i/>
      <sz val="11"/>
      <color theme="1"/>
      <name val="Calibri"/>
      <family val="2"/>
      <scheme val="minor"/>
    </font>
    <font>
      <b/>
      <sz val="12"/>
      <color indexed="8"/>
      <name val="Calibri"/>
      <family val="2"/>
      <scheme val="minor"/>
    </font>
    <font>
      <u/>
      <sz val="11"/>
      <color indexed="8"/>
      <name val="Calibri"/>
      <family val="2"/>
      <scheme val="minor"/>
    </font>
    <font>
      <b/>
      <sz val="11"/>
      <color rgb="FF00B050"/>
      <name val="Calibri"/>
      <family val="2"/>
      <scheme val="minor"/>
    </font>
    <font>
      <b/>
      <u/>
      <sz val="11"/>
      <color indexed="8"/>
      <name val="Calibri"/>
      <family val="2"/>
      <scheme val="minor"/>
    </font>
    <font>
      <sz val="10"/>
      <name val="Arial"/>
      <family val="2"/>
    </font>
    <font>
      <b/>
      <u/>
      <sz val="11"/>
      <color theme="1"/>
      <name val="Calibri"/>
      <family val="2"/>
      <scheme val="minor"/>
    </font>
    <font>
      <b/>
      <u/>
      <sz val="11"/>
      <name val="Calibri"/>
      <family val="2"/>
      <scheme val="minor"/>
    </font>
    <font>
      <sz val="11"/>
      <name val="Calibri"/>
      <family val="2"/>
    </font>
    <font>
      <u/>
      <sz val="11"/>
      <name val="Calibri"/>
      <family val="2"/>
      <scheme val="minor"/>
    </font>
    <font>
      <sz val="11"/>
      <color theme="1"/>
      <name val="Calibri"/>
      <family val="2"/>
    </font>
    <font>
      <b/>
      <u/>
      <sz val="12"/>
      <name val="Calibri"/>
      <family val="2"/>
      <scheme val="minor"/>
    </font>
    <font>
      <b/>
      <sz val="14"/>
      <color theme="1"/>
      <name val="Calibri"/>
      <family val="2"/>
      <scheme val="minor"/>
    </font>
    <font>
      <i/>
      <u/>
      <sz val="11"/>
      <color theme="1"/>
      <name val="Calibri"/>
      <family val="2"/>
      <scheme val="minor"/>
    </font>
    <font>
      <i/>
      <vertAlign val="subscript"/>
      <sz val="11"/>
      <color theme="1"/>
      <name val="Calibri"/>
      <family val="2"/>
      <scheme val="minor"/>
    </font>
    <font>
      <sz val="10"/>
      <color indexed="8"/>
      <name val="MS Sans Serif"/>
      <family val="2"/>
    </font>
    <font>
      <sz val="10"/>
      <color indexed="30"/>
      <name val="Calibri"/>
      <family val="2"/>
      <scheme val="minor"/>
    </font>
    <font>
      <sz val="10"/>
      <color theme="5" tint="-0.499984740745262"/>
      <name val="Calibri"/>
      <family val="2"/>
      <scheme val="minor"/>
    </font>
    <font>
      <b/>
      <sz val="10"/>
      <color indexed="30"/>
      <name val="Calibri"/>
      <family val="2"/>
      <scheme val="minor"/>
    </font>
    <font>
      <sz val="10"/>
      <color indexed="8"/>
      <name val="Calibri"/>
      <family val="2"/>
      <scheme val="minor"/>
    </font>
    <font>
      <b/>
      <sz val="10"/>
      <color theme="5" tint="-0.499984740745262"/>
      <name val="Calibri"/>
      <family val="2"/>
      <scheme val="minor"/>
    </font>
    <font>
      <b/>
      <sz val="10"/>
      <color indexed="12"/>
      <name val="Calibri"/>
      <family val="2"/>
      <scheme val="minor"/>
    </font>
    <font>
      <b/>
      <sz val="10"/>
      <color indexed="10"/>
      <name val="Calibri"/>
      <family val="2"/>
      <scheme val="minor"/>
    </font>
    <font>
      <b/>
      <sz val="10"/>
      <color indexed="8"/>
      <name val="Calibri"/>
      <family val="2"/>
      <scheme val="minor"/>
    </font>
    <font>
      <b/>
      <sz val="10"/>
      <color rgb="FF0000FF"/>
      <name val="Calibri"/>
      <family val="2"/>
      <scheme val="minor"/>
    </font>
    <font>
      <b/>
      <sz val="14"/>
      <name val="Calibri"/>
      <family val="2"/>
      <scheme val="minor"/>
    </font>
    <font>
      <b/>
      <i/>
      <sz val="11"/>
      <color theme="1"/>
      <name val="Calibri"/>
      <family val="2"/>
      <scheme val="minor"/>
    </font>
    <font>
      <b/>
      <u/>
      <sz val="12"/>
      <color theme="1"/>
      <name val="Calibri"/>
      <family val="2"/>
      <scheme val="minor"/>
    </font>
    <font>
      <b/>
      <i/>
      <u/>
      <sz val="11"/>
      <color theme="1"/>
      <name val="Calibri"/>
      <family val="2"/>
      <scheme val="minor"/>
    </font>
    <font>
      <b/>
      <sz val="14"/>
      <color indexed="8"/>
      <name val="Calibri"/>
      <family val="2"/>
      <scheme val="minor"/>
    </font>
    <font>
      <b/>
      <sz val="11"/>
      <color theme="5" tint="-0.249977111117893"/>
      <name val="Calibri"/>
      <family val="2"/>
      <scheme val="minor"/>
    </font>
    <font>
      <b/>
      <sz val="11"/>
      <color theme="5" tint="-0.499984740745262"/>
      <name val="Calibri"/>
      <family val="2"/>
      <scheme val="minor"/>
    </font>
    <font>
      <sz val="11"/>
      <color theme="9" tint="-0.249977111117893"/>
      <name val="Calibri"/>
      <family val="2"/>
      <scheme val="minor"/>
    </font>
    <font>
      <b/>
      <sz val="11"/>
      <color rgb="FFC00000"/>
      <name val="Calibri"/>
      <family val="2"/>
      <scheme val="minor"/>
    </font>
    <font>
      <b/>
      <i/>
      <sz val="11"/>
      <name val="Calibri"/>
      <family val="2"/>
      <scheme val="minor"/>
    </font>
    <font>
      <b/>
      <sz val="11"/>
      <name val="Calibri"/>
      <family val="2"/>
    </font>
    <font>
      <b/>
      <sz val="9.25"/>
      <name val="Calibri"/>
      <family val="2"/>
    </font>
    <font>
      <b/>
      <sz val="11"/>
      <color rgb="FF000000"/>
      <name val="Calibri"/>
      <family val="2"/>
    </font>
    <font>
      <b/>
      <sz val="12"/>
      <color rgb="FF00B050"/>
      <name val="Calibri"/>
      <family val="2"/>
      <scheme val="minor"/>
    </font>
    <font>
      <i/>
      <sz val="11"/>
      <color rgb="FFFF0000"/>
      <name val="Calibri"/>
      <family val="2"/>
      <scheme val="minor"/>
    </font>
    <font>
      <b/>
      <sz val="12"/>
      <color rgb="FF0000FF"/>
      <name val="Calibri"/>
      <family val="2"/>
      <scheme val="minor"/>
    </font>
    <font>
      <sz val="10"/>
      <color rgb="FF0000FF"/>
      <name val="Calibri"/>
      <family val="2"/>
      <scheme val="minor"/>
    </font>
    <font>
      <b/>
      <sz val="14"/>
      <color rgb="FF0000FF"/>
      <name val="Calibri"/>
      <family val="2"/>
      <scheme val="minor"/>
    </font>
    <font>
      <i/>
      <sz val="11"/>
      <name val="Calibri"/>
      <family val="2"/>
      <scheme val="minor"/>
    </font>
    <font>
      <i/>
      <sz val="11"/>
      <color rgb="FF0000FF"/>
      <name val="Calibri"/>
      <family val="2"/>
      <scheme val="minor"/>
    </font>
    <font>
      <sz val="11"/>
      <color rgb="FF00B050"/>
      <name val="Calibri"/>
      <family val="2"/>
      <scheme val="minor"/>
    </font>
    <font>
      <b/>
      <u/>
      <sz val="11"/>
      <color rgb="FFFF0000"/>
      <name val="Calibri"/>
      <family val="2"/>
      <scheme val="minor"/>
    </font>
  </fonts>
  <fills count="28">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FFCCFF"/>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23">
    <border>
      <left/>
      <right/>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indexed="64"/>
      </left>
      <right/>
      <top/>
      <bottom style="double">
        <color indexed="64"/>
      </bottom>
      <diagonal/>
    </border>
    <border>
      <left/>
      <right/>
      <top style="double">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style="thin">
        <color indexed="8"/>
      </left>
      <right/>
      <top/>
      <bottom/>
      <diagonal/>
    </border>
    <border>
      <left style="thin">
        <color indexed="8"/>
      </left>
      <right/>
      <top/>
      <bottom style="thin">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7">
    <xf numFmtId="0" fontId="0" fillId="0" borderId="0"/>
    <xf numFmtId="9" fontId="2" fillId="0" borderId="0" applyFont="0" applyFill="0" applyBorder="0" applyAlignment="0" applyProtection="0"/>
    <xf numFmtId="0" fontId="5" fillId="0" borderId="0"/>
    <xf numFmtId="0" fontId="11" fillId="0" borderId="0"/>
    <xf numFmtId="0" fontId="11" fillId="0" borderId="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 fillId="0" borderId="0"/>
    <xf numFmtId="0" fontId="30" fillId="0" borderId="0"/>
    <xf numFmtId="9" fontId="1" fillId="0" borderId="0" applyFont="0" applyFill="0" applyBorder="0" applyAlignment="0" applyProtection="0"/>
    <xf numFmtId="0" fontId="2" fillId="0" borderId="0"/>
    <xf numFmtId="0" fontId="37" fillId="0" borderId="0"/>
    <xf numFmtId="9" fontId="37" fillId="0" borderId="0" applyFont="0" applyFill="0" applyBorder="0" applyAlignment="0" applyProtection="0"/>
    <xf numFmtId="0" fontId="37" fillId="0" borderId="0"/>
    <xf numFmtId="0" fontId="47" fillId="0" borderId="0"/>
    <xf numFmtId="9" fontId="47" fillId="0" borderId="0" applyFont="0" applyFill="0" applyBorder="0" applyAlignment="0" applyProtection="0"/>
    <xf numFmtId="9" fontId="1" fillId="0" borderId="0" applyFont="0" applyFill="0" applyBorder="0" applyAlignment="0" applyProtection="0"/>
  </cellStyleXfs>
  <cellXfs count="888">
    <xf numFmtId="0" fontId="0" fillId="0" borderId="0" xfId="0"/>
    <xf numFmtId="0" fontId="0" fillId="0" borderId="0" xfId="0" applyAlignment="1">
      <alignment horizontal="right"/>
    </xf>
    <xf numFmtId="0" fontId="0" fillId="0" borderId="0" xfId="0" quotePrefix="1" applyAlignment="1">
      <alignment horizontal="center"/>
    </xf>
    <xf numFmtId="0" fontId="0" fillId="0" borderId="2" xfId="0" applyBorder="1"/>
    <xf numFmtId="9" fontId="4" fillId="2" borderId="0" xfId="0" applyNumberFormat="1" applyFont="1" applyFill="1" applyAlignment="1">
      <alignment horizontal="center"/>
    </xf>
    <xf numFmtId="165" fontId="0" fillId="0" borderId="0" xfId="0" applyNumberFormat="1"/>
    <xf numFmtId="0" fontId="0" fillId="0" borderId="1" xfId="0" applyBorder="1" applyAlignment="1">
      <alignment horizontal="center"/>
    </xf>
    <xf numFmtId="3" fontId="10" fillId="0" borderId="0" xfId="0" applyNumberFormat="1" applyFont="1" applyAlignment="1">
      <alignment horizontal="center"/>
    </xf>
    <xf numFmtId="9" fontId="10" fillId="0" borderId="0" xfId="1" applyFont="1" applyAlignment="1">
      <alignment horizontal="center"/>
    </xf>
    <xf numFmtId="165" fontId="10" fillId="0" borderId="0" xfId="0" applyNumberFormat="1" applyFont="1"/>
    <xf numFmtId="0" fontId="0" fillId="0" borderId="1" xfId="0" applyBorder="1" applyAlignment="1">
      <alignment horizontal="center" wrapText="1"/>
    </xf>
    <xf numFmtId="0" fontId="18" fillId="0" borderId="0" xfId="0" applyFont="1"/>
    <xf numFmtId="1" fontId="0" fillId="0" borderId="0" xfId="0" applyNumberFormat="1"/>
    <xf numFmtId="2" fontId="0" fillId="0" borderId="0" xfId="0" applyNumberFormat="1"/>
    <xf numFmtId="0" fontId="6" fillId="0" borderId="0" xfId="0" applyFont="1"/>
    <xf numFmtId="167" fontId="8" fillId="6" borderId="0" xfId="0" applyNumberFormat="1" applyFont="1" applyFill="1"/>
    <xf numFmtId="0" fontId="21" fillId="0" borderId="0" xfId="0" applyFont="1" applyAlignment="1">
      <alignment horizontal="right"/>
    </xf>
    <xf numFmtId="0" fontId="21" fillId="6" borderId="0" xfId="0" applyFont="1" applyFill="1" applyAlignment="1">
      <alignment horizontal="right"/>
    </xf>
    <xf numFmtId="0" fontId="21" fillId="0" borderId="0" xfId="0" applyFont="1"/>
    <xf numFmtId="4" fontId="8" fillId="6" borderId="0" xfId="0" applyNumberFormat="1" applyFont="1" applyFill="1"/>
    <xf numFmtId="2" fontId="21" fillId="6" borderId="0" xfId="0" applyNumberFormat="1" applyFont="1" applyFill="1" applyAlignment="1">
      <alignment horizontal="right"/>
    </xf>
    <xf numFmtId="0" fontId="22" fillId="0" borderId="0" xfId="0" applyFont="1" applyAlignment="1">
      <alignment horizontal="center"/>
    </xf>
    <xf numFmtId="0" fontId="22" fillId="0" borderId="0" xfId="0" applyFont="1"/>
    <xf numFmtId="0" fontId="23" fillId="0" borderId="0" xfId="0" applyFont="1" applyAlignment="1">
      <alignment horizontal="center"/>
    </xf>
    <xf numFmtId="3" fontId="21" fillId="6" borderId="0" xfId="0" applyNumberFormat="1" applyFont="1" applyFill="1"/>
    <xf numFmtId="2" fontId="21" fillId="7" borderId="0" xfId="0" applyNumberFormat="1" applyFont="1" applyFill="1"/>
    <xf numFmtId="165" fontId="21" fillId="8" borderId="0" xfId="0" applyNumberFormat="1" applyFont="1" applyFill="1"/>
    <xf numFmtId="4" fontId="21" fillId="9" borderId="0" xfId="0" applyNumberFormat="1" applyFont="1" applyFill="1"/>
    <xf numFmtId="4" fontId="21" fillId="10" borderId="0" xfId="0" applyNumberFormat="1" applyFont="1" applyFill="1"/>
    <xf numFmtId="3" fontId="8" fillId="6" borderId="0" xfId="0" applyNumberFormat="1" applyFont="1" applyFill="1"/>
    <xf numFmtId="4" fontId="21" fillId="0" borderId="0" xfId="0" applyNumberFormat="1" applyFont="1"/>
    <xf numFmtId="0" fontId="24" fillId="0" borderId="0" xfId="6" applyFont="1" applyAlignment="1" applyProtection="1"/>
    <xf numFmtId="0" fontId="7" fillId="0" borderId="0" xfId="0" applyFont="1"/>
    <xf numFmtId="0" fontId="22" fillId="9" borderId="0" xfId="0" applyFont="1" applyFill="1" applyAlignment="1">
      <alignment horizontal="center"/>
    </xf>
    <xf numFmtId="0" fontId="22" fillId="10" borderId="0" xfId="0" applyFont="1" applyFill="1" applyAlignment="1">
      <alignment horizontal="center"/>
    </xf>
    <xf numFmtId="0" fontId="7" fillId="0" borderId="0" xfId="0" applyFont="1" applyAlignment="1">
      <alignment horizontal="right"/>
    </xf>
    <xf numFmtId="164" fontId="22" fillId="9" borderId="0" xfId="0" applyNumberFormat="1" applyFont="1" applyFill="1"/>
    <xf numFmtId="164" fontId="22" fillId="10" borderId="0" xfId="0" applyNumberFormat="1" applyFont="1" applyFill="1"/>
    <xf numFmtId="164" fontId="0" fillId="0" borderId="0" xfId="0" applyNumberFormat="1"/>
    <xf numFmtId="0" fontId="12" fillId="0" borderId="0" xfId="2" applyFont="1"/>
    <xf numFmtId="0" fontId="22" fillId="0" borderId="0" xfId="0" applyFont="1" applyAlignment="1">
      <alignment horizontal="right"/>
    </xf>
    <xf numFmtId="0" fontId="22" fillId="9" borderId="0" xfId="0" applyFont="1" applyFill="1"/>
    <xf numFmtId="0" fontId="22" fillId="10" borderId="0" xfId="0" applyFont="1" applyFill="1"/>
    <xf numFmtId="0" fontId="10" fillId="0" borderId="0" xfId="2" applyFont="1"/>
    <xf numFmtId="0" fontId="3" fillId="0" borderId="0" xfId="0" applyFont="1"/>
    <xf numFmtId="3" fontId="0" fillId="0" borderId="0" xfId="0" applyNumberFormat="1"/>
    <xf numFmtId="2" fontId="22" fillId="0" borderId="0" xfId="0" applyNumberFormat="1" applyFont="1"/>
    <xf numFmtId="166" fontId="4" fillId="4" borderId="0" xfId="0" applyNumberFormat="1" applyFont="1" applyFill="1"/>
    <xf numFmtId="0" fontId="12" fillId="0" borderId="0" xfId="7" applyFont="1"/>
    <xf numFmtId="0" fontId="0" fillId="0" borderId="1" xfId="0" applyBorder="1"/>
    <xf numFmtId="0" fontId="8" fillId="0" borderId="1" xfId="0" applyFont="1" applyBorder="1" applyAlignment="1">
      <alignment horizontal="center"/>
    </xf>
    <xf numFmtId="6" fontId="8" fillId="6" borderId="0" xfId="0" applyNumberFormat="1" applyFont="1" applyFill="1"/>
    <xf numFmtId="9" fontId="4" fillId="2" borderId="0" xfId="1" applyFont="1" applyFill="1"/>
    <xf numFmtId="8" fontId="8" fillId="6" borderId="0" xfId="0" applyNumberFormat="1" applyFont="1" applyFill="1"/>
    <xf numFmtId="168" fontId="8" fillId="6" borderId="0" xfId="0" applyNumberFormat="1" applyFont="1" applyFill="1"/>
    <xf numFmtId="0" fontId="0" fillId="4" borderId="0" xfId="0" applyFill="1"/>
    <xf numFmtId="9" fontId="8" fillId="3" borderId="0" xfId="1" applyFont="1" applyFill="1" applyAlignment="1">
      <alignment horizontal="center"/>
    </xf>
    <xf numFmtId="165" fontId="25" fillId="0" borderId="0" xfId="0" applyNumberFormat="1" applyFont="1"/>
    <xf numFmtId="11" fontId="0" fillId="0" borderId="0" xfId="0" applyNumberFormat="1"/>
    <xf numFmtId="0" fontId="0" fillId="11" borderId="1" xfId="0" applyFill="1" applyBorder="1" applyAlignment="1">
      <alignment horizontal="center"/>
    </xf>
    <xf numFmtId="9" fontId="0" fillId="0" borderId="0" xfId="0" applyNumberFormat="1" applyAlignment="1">
      <alignment horizontal="center"/>
    </xf>
    <xf numFmtId="165" fontId="0" fillId="11" borderId="0" xfId="0" applyNumberFormat="1" applyFill="1"/>
    <xf numFmtId="9" fontId="0" fillId="0" borderId="0" xfId="1" applyFont="1" applyAlignment="1">
      <alignment horizontal="center"/>
    </xf>
    <xf numFmtId="0" fontId="12" fillId="0" borderId="2" xfId="0" applyFont="1" applyBorder="1" applyAlignment="1">
      <alignment horizontal="center"/>
    </xf>
    <xf numFmtId="9" fontId="28" fillId="4" borderId="0" xfId="0" applyNumberFormat="1" applyFont="1" applyFill="1" applyAlignment="1">
      <alignment horizontal="center"/>
    </xf>
    <xf numFmtId="2" fontId="28" fillId="4" borderId="0" xfId="0" applyNumberFormat="1" applyFont="1" applyFill="1" applyAlignment="1">
      <alignment horizontal="center"/>
    </xf>
    <xf numFmtId="164" fontId="0" fillId="2" borderId="0" xfId="0" applyNumberFormat="1" applyFill="1" applyAlignment="1">
      <alignment horizontal="center"/>
    </xf>
    <xf numFmtId="165" fontId="0" fillId="12" borderId="0" xfId="0" applyNumberFormat="1" applyFill="1" applyAlignment="1">
      <alignment horizontal="center"/>
    </xf>
    <xf numFmtId="2" fontId="0" fillId="11" borderId="0" xfId="0" applyNumberFormat="1" applyFill="1" applyAlignment="1">
      <alignment horizontal="center"/>
    </xf>
    <xf numFmtId="164" fontId="29" fillId="2" borderId="0" xfId="0" applyNumberFormat="1" applyFont="1" applyFill="1" applyAlignment="1">
      <alignment horizontal="center"/>
    </xf>
    <xf numFmtId="165" fontId="0" fillId="0" borderId="0" xfId="0" applyNumberFormat="1" applyAlignment="1">
      <alignment horizontal="center"/>
    </xf>
    <xf numFmtId="164" fontId="29" fillId="2" borderId="2" xfId="0" applyNumberFormat="1" applyFont="1" applyFill="1" applyBorder="1" applyAlignment="1">
      <alignment horizontal="center"/>
    </xf>
    <xf numFmtId="169" fontId="0" fillId="0" borderId="2" xfId="0" applyNumberFormat="1" applyBorder="1" applyAlignment="1">
      <alignment horizontal="center"/>
    </xf>
    <xf numFmtId="2" fontId="0" fillId="11" borderId="2" xfId="0" applyNumberFormat="1" applyFill="1" applyBorder="1" applyAlignment="1">
      <alignment horizontal="center"/>
    </xf>
    <xf numFmtId="164" fontId="0" fillId="2" borderId="3" xfId="0" applyNumberFormat="1" applyFill="1" applyBorder="1" applyAlignment="1">
      <alignment horizontal="center"/>
    </xf>
    <xf numFmtId="165" fontId="0" fillId="0" borderId="3" xfId="0" applyNumberFormat="1" applyBorder="1" applyAlignment="1">
      <alignment horizontal="center"/>
    </xf>
    <xf numFmtId="2" fontId="0" fillId="11" borderId="3" xfId="0" applyNumberFormat="1" applyFill="1" applyBorder="1" applyAlignment="1">
      <alignment horizontal="center"/>
    </xf>
    <xf numFmtId="0" fontId="0" fillId="0" borderId="3" xfId="0" applyBorder="1"/>
    <xf numFmtId="164" fontId="0" fillId="11" borderId="2" xfId="0" applyNumberFormat="1" applyFill="1" applyBorder="1" applyAlignment="1">
      <alignment horizontal="center"/>
    </xf>
    <xf numFmtId="2" fontId="0" fillId="2" borderId="2" xfId="0" applyNumberFormat="1" applyFill="1" applyBorder="1" applyAlignment="1">
      <alignment horizontal="center"/>
    </xf>
    <xf numFmtId="164" fontId="0" fillId="11" borderId="0" xfId="0" applyNumberFormat="1" applyFill="1" applyAlignment="1">
      <alignment horizontal="center"/>
    </xf>
    <xf numFmtId="169" fontId="0" fillId="0" borderId="0" xfId="0" applyNumberFormat="1" applyAlignment="1">
      <alignment horizontal="center"/>
    </xf>
    <xf numFmtId="0" fontId="0" fillId="2" borderId="0" xfId="0" applyFill="1" applyAlignment="1">
      <alignment horizontal="center"/>
    </xf>
    <xf numFmtId="165" fontId="0" fillId="0" borderId="2" xfId="0" applyNumberFormat="1" applyBorder="1" applyAlignment="1">
      <alignment horizontal="center"/>
    </xf>
    <xf numFmtId="0" fontId="4" fillId="0" borderId="0" xfId="0" applyFont="1"/>
    <xf numFmtId="0" fontId="4" fillId="0" borderId="1" xfId="0" applyFont="1" applyBorder="1" applyAlignment="1">
      <alignment horizontal="center"/>
    </xf>
    <xf numFmtId="0" fontId="9" fillId="0" borderId="0" xfId="0" applyFont="1"/>
    <xf numFmtId="3" fontId="4" fillId="0" borderId="0" xfId="0" applyNumberFormat="1" applyFont="1"/>
    <xf numFmtId="3" fontId="0" fillId="0" borderId="2" xfId="0" applyNumberFormat="1" applyBorder="1"/>
    <xf numFmtId="3" fontId="3" fillId="0" borderId="0" xfId="0" applyNumberFormat="1" applyFont="1"/>
    <xf numFmtId="0" fontId="10" fillId="0" borderId="0" xfId="0" applyFont="1"/>
    <xf numFmtId="0" fontId="10" fillId="0" borderId="6" xfId="10" applyFont="1" applyBorder="1"/>
    <xf numFmtId="0" fontId="10" fillId="0" borderId="1" xfId="10" applyFont="1" applyBorder="1"/>
    <xf numFmtId="0" fontId="10" fillId="11" borderId="7" xfId="10" applyFont="1" applyFill="1" applyBorder="1"/>
    <xf numFmtId="3" fontId="12" fillId="11" borderId="7" xfId="10" applyNumberFormat="1" applyFont="1" applyFill="1" applyBorder="1"/>
    <xf numFmtId="172" fontId="0" fillId="0" borderId="0" xfId="1" applyNumberFormat="1" applyFont="1"/>
    <xf numFmtId="170" fontId="12" fillId="11" borderId="7" xfId="1" applyNumberFormat="1" applyFont="1" applyFill="1" applyBorder="1"/>
    <xf numFmtId="170" fontId="0" fillId="0" borderId="0" xfId="0" applyNumberFormat="1"/>
    <xf numFmtId="0" fontId="10" fillId="11" borderId="8" xfId="10" applyFont="1" applyFill="1" applyBorder="1" applyAlignment="1">
      <alignment horizontal="left" indent="1"/>
    </xf>
    <xf numFmtId="3" fontId="12" fillId="11" borderId="9" xfId="10" applyNumberFormat="1" applyFont="1" applyFill="1" applyBorder="1"/>
    <xf numFmtId="170" fontId="12" fillId="11" borderId="9" xfId="1" applyNumberFormat="1" applyFont="1" applyFill="1" applyBorder="1"/>
    <xf numFmtId="170" fontId="12" fillId="11" borderId="9" xfId="10" applyNumberFormat="1" applyFont="1" applyFill="1" applyBorder="1"/>
    <xf numFmtId="0" fontId="10" fillId="11" borderId="10" xfId="10" applyFont="1" applyFill="1" applyBorder="1" applyAlignment="1">
      <alignment horizontal="left" indent="2"/>
    </xf>
    <xf numFmtId="0" fontId="10" fillId="11" borderId="0" xfId="10" applyFont="1" applyFill="1" applyAlignment="1">
      <alignment horizontal="left" indent="2"/>
    </xf>
    <xf numFmtId="3" fontId="12" fillId="11" borderId="0" xfId="10" applyNumberFormat="1" applyFont="1" applyFill="1"/>
    <xf numFmtId="170" fontId="12" fillId="11" borderId="0" xfId="10" applyNumberFormat="1" applyFont="1" applyFill="1"/>
    <xf numFmtId="0" fontId="10" fillId="11" borderId="2" xfId="10" applyFont="1" applyFill="1" applyBorder="1" applyAlignment="1">
      <alignment horizontal="left" indent="2"/>
    </xf>
    <xf numFmtId="3" fontId="12" fillId="11" borderId="2" xfId="10" applyNumberFormat="1" applyFont="1" applyFill="1" applyBorder="1"/>
    <xf numFmtId="170" fontId="12" fillId="11" borderId="2" xfId="10" applyNumberFormat="1" applyFont="1" applyFill="1" applyBorder="1"/>
    <xf numFmtId="0" fontId="10" fillId="11" borderId="11" xfId="10" applyFont="1" applyFill="1" applyBorder="1" applyAlignment="1">
      <alignment horizontal="left" indent="1"/>
    </xf>
    <xf numFmtId="0" fontId="10" fillId="11" borderId="10" xfId="10" applyFont="1" applyFill="1" applyBorder="1"/>
    <xf numFmtId="0" fontId="10" fillId="11" borderId="0" xfId="10" applyFont="1" applyFill="1" applyAlignment="1">
      <alignment horizontal="left" indent="1"/>
    </xf>
    <xf numFmtId="9" fontId="0" fillId="2" borderId="0" xfId="0" applyNumberFormat="1" applyFill="1" applyAlignment="1">
      <alignment horizontal="center"/>
    </xf>
    <xf numFmtId="0" fontId="10" fillId="11" borderId="1" xfId="10" applyFont="1" applyFill="1" applyBorder="1" applyAlignment="1">
      <alignment horizontal="left" indent="1"/>
    </xf>
    <xf numFmtId="3" fontId="12" fillId="11" borderId="1" xfId="10" applyNumberFormat="1" applyFont="1" applyFill="1" applyBorder="1"/>
    <xf numFmtId="170" fontId="12" fillId="11" borderId="1" xfId="10" applyNumberFormat="1" applyFont="1" applyFill="1" applyBorder="1"/>
    <xf numFmtId="0" fontId="10" fillId="0" borderId="0" xfId="10" applyFont="1"/>
    <xf numFmtId="3" fontId="12" fillId="0" borderId="0" xfId="10" applyNumberFormat="1" applyFont="1"/>
    <xf numFmtId="170" fontId="0" fillId="0" borderId="12" xfId="0" applyNumberFormat="1" applyBorder="1"/>
    <xf numFmtId="170" fontId="0" fillId="0" borderId="0" xfId="0" applyNumberFormat="1" applyAlignment="1">
      <alignment horizontal="right"/>
    </xf>
    <xf numFmtId="3" fontId="12" fillId="0" borderId="1" xfId="10" applyNumberFormat="1" applyFont="1" applyBorder="1"/>
    <xf numFmtId="170" fontId="0" fillId="0" borderId="1" xfId="0" applyNumberFormat="1" applyBorder="1"/>
    <xf numFmtId="170" fontId="0" fillId="0" borderId="1" xfId="0" applyNumberFormat="1" applyBorder="1" applyAlignment="1">
      <alignment horizontal="right"/>
    </xf>
    <xf numFmtId="0" fontId="10" fillId="0" borderId="0" xfId="10" applyFont="1" applyAlignment="1">
      <alignment horizontal="left" indent="1"/>
    </xf>
    <xf numFmtId="3" fontId="12" fillId="0" borderId="0" xfId="10" applyNumberFormat="1" applyFont="1" applyAlignment="1">
      <alignment horizontal="right"/>
    </xf>
    <xf numFmtId="3" fontId="32" fillId="0" borderId="0" xfId="0" applyNumberFormat="1" applyFont="1"/>
    <xf numFmtId="3" fontId="12" fillId="4" borderId="0" xfId="10" applyNumberFormat="1" applyFont="1" applyFill="1"/>
    <xf numFmtId="170" fontId="12" fillId="4" borderId="0" xfId="10" applyNumberFormat="1" applyFont="1" applyFill="1"/>
    <xf numFmtId="3" fontId="12" fillId="4" borderId="2" xfId="10" applyNumberFormat="1" applyFont="1" applyFill="1" applyBorder="1"/>
    <xf numFmtId="170" fontId="12" fillId="4" borderId="2" xfId="10" applyNumberFormat="1" applyFont="1" applyFill="1" applyBorder="1"/>
    <xf numFmtId="0" fontId="9" fillId="0" borderId="0" xfId="10" applyFont="1"/>
    <xf numFmtId="3" fontId="9" fillId="0" borderId="0" xfId="0" applyNumberFormat="1" applyFont="1"/>
    <xf numFmtId="9" fontId="4" fillId="4" borderId="0" xfId="0" applyNumberFormat="1" applyFont="1" applyFill="1"/>
    <xf numFmtId="169" fontId="0" fillId="0" borderId="0" xfId="0" applyNumberFormat="1"/>
    <xf numFmtId="167" fontId="0" fillId="0" borderId="0" xfId="0" applyNumberFormat="1"/>
    <xf numFmtId="169" fontId="0" fillId="0" borderId="2" xfId="0" applyNumberFormat="1" applyBorder="1"/>
    <xf numFmtId="167" fontId="0" fillId="0" borderId="2" xfId="0" applyNumberFormat="1" applyBorder="1"/>
    <xf numFmtId="169" fontId="4" fillId="0" borderId="0" xfId="0" applyNumberFormat="1" applyFont="1"/>
    <xf numFmtId="0" fontId="12" fillId="0" borderId="1" xfId="7" applyFont="1" applyBorder="1" applyAlignment="1">
      <alignment horizontal="center"/>
    </xf>
    <xf numFmtId="9" fontId="17" fillId="0" borderId="0" xfId="1" applyFont="1" applyAlignment="1">
      <alignment horizontal="center"/>
    </xf>
    <xf numFmtId="0" fontId="17" fillId="0" borderId="0" xfId="7" applyFont="1"/>
    <xf numFmtId="0" fontId="17" fillId="0" borderId="2" xfId="7" applyFont="1" applyBorder="1"/>
    <xf numFmtId="0" fontId="17" fillId="0" borderId="2" xfId="7" applyFont="1" applyBorder="1" applyAlignment="1">
      <alignment horizontal="center"/>
    </xf>
    <xf numFmtId="0" fontId="12" fillId="0" borderId="2" xfId="7" applyFont="1" applyBorder="1" applyAlignment="1">
      <alignment horizontal="center"/>
    </xf>
    <xf numFmtId="3" fontId="12" fillId="0" borderId="0" xfId="7" applyNumberFormat="1" applyFont="1"/>
    <xf numFmtId="9" fontId="12" fillId="0" borderId="0" xfId="7" applyNumberFormat="1" applyFont="1" applyAlignment="1">
      <alignment horizontal="center"/>
    </xf>
    <xf numFmtId="171" fontId="12" fillId="0" borderId="0" xfId="7" applyNumberFormat="1" applyFont="1"/>
    <xf numFmtId="173" fontId="12" fillId="0" borderId="0" xfId="7" applyNumberFormat="1" applyFont="1"/>
    <xf numFmtId="174" fontId="12" fillId="0" borderId="0" xfId="7" applyNumberFormat="1" applyFont="1" applyAlignment="1">
      <alignment horizontal="center"/>
    </xf>
    <xf numFmtId="3" fontId="12" fillId="0" borderId="0" xfId="7" applyNumberFormat="1" applyFont="1" applyAlignment="1">
      <alignment horizontal="center"/>
    </xf>
    <xf numFmtId="8" fontId="12" fillId="0" borderId="0" xfId="7" applyNumberFormat="1" applyFont="1" applyAlignment="1">
      <alignment horizontal="center"/>
    </xf>
    <xf numFmtId="171" fontId="0" fillId="0" borderId="0" xfId="0" applyNumberFormat="1" applyAlignment="1">
      <alignment horizontal="center"/>
    </xf>
    <xf numFmtId="0" fontId="12" fillId="0" borderId="0" xfId="7" quotePrefix="1" applyFont="1"/>
    <xf numFmtId="3" fontId="17" fillId="0" borderId="0" xfId="7" applyNumberFormat="1" applyFont="1"/>
    <xf numFmtId="9" fontId="17" fillId="0" borderId="0" xfId="7" applyNumberFormat="1" applyFont="1" applyAlignment="1">
      <alignment horizontal="center"/>
    </xf>
    <xf numFmtId="171" fontId="17" fillId="0" borderId="0" xfId="7" applyNumberFormat="1" applyFont="1"/>
    <xf numFmtId="0" fontId="17" fillId="0" borderId="0" xfId="7" quotePrefix="1" applyFont="1"/>
    <xf numFmtId="0" fontId="34" fillId="0" borderId="0" xfId="7" applyFont="1"/>
    <xf numFmtId="8" fontId="12" fillId="0" borderId="0" xfId="7" applyNumberFormat="1" applyFont="1"/>
    <xf numFmtId="171" fontId="35" fillId="4" borderId="0" xfId="0" applyNumberFormat="1" applyFont="1" applyFill="1" applyAlignment="1">
      <alignment horizontal="center"/>
    </xf>
    <xf numFmtId="171" fontId="12" fillId="0" borderId="0" xfId="7" applyNumberFormat="1" applyFont="1" applyAlignment="1">
      <alignment horizontal="center"/>
    </xf>
    <xf numFmtId="0" fontId="36" fillId="0" borderId="0" xfId="7" applyFont="1"/>
    <xf numFmtId="170" fontId="17" fillId="0" borderId="0" xfId="1" applyNumberFormat="1" applyFont="1" applyAlignment="1">
      <alignment horizontal="center"/>
    </xf>
    <xf numFmtId="170" fontId="4" fillId="0" borderId="0" xfId="0" applyNumberFormat="1" applyFont="1" applyAlignment="1">
      <alignment horizontal="center"/>
    </xf>
    <xf numFmtId="170" fontId="17" fillId="0" borderId="2" xfId="1" applyNumberFormat="1" applyFont="1" applyBorder="1" applyAlignment="1">
      <alignment horizontal="center"/>
    </xf>
    <xf numFmtId="170" fontId="4" fillId="0" borderId="2" xfId="0" applyNumberFormat="1" applyFont="1" applyBorder="1" applyAlignment="1">
      <alignment horizontal="center"/>
    </xf>
    <xf numFmtId="170" fontId="17" fillId="0" borderId="0" xfId="7" applyNumberFormat="1" applyFont="1" applyAlignment="1">
      <alignment horizontal="center"/>
    </xf>
    <xf numFmtId="0" fontId="10" fillId="0" borderId="0" xfId="11" applyFont="1"/>
    <xf numFmtId="0" fontId="38" fillId="0" borderId="0" xfId="0" applyFont="1"/>
    <xf numFmtId="0" fontId="10" fillId="0" borderId="0" xfId="11" applyFont="1" applyAlignment="1">
      <alignment horizontal="left"/>
    </xf>
    <xf numFmtId="0" fontId="39" fillId="0" borderId="0" xfId="11" applyFont="1"/>
    <xf numFmtId="0" fontId="10" fillId="0" borderId="0" xfId="11" applyFont="1" applyAlignment="1">
      <alignment horizontal="right"/>
    </xf>
    <xf numFmtId="0" fontId="4" fillId="2" borderId="0" xfId="0" applyFont="1" applyFill="1"/>
    <xf numFmtId="0" fontId="40" fillId="0" borderId="0" xfId="11" applyFont="1"/>
    <xf numFmtId="0" fontId="41" fillId="0" borderId="0" xfId="11" applyFont="1" applyAlignment="1">
      <alignment horizontal="center"/>
    </xf>
    <xf numFmtId="9" fontId="4" fillId="2" borderId="0" xfId="0" applyNumberFormat="1" applyFont="1" applyFill="1"/>
    <xf numFmtId="170" fontId="4" fillId="2" borderId="0" xfId="0" applyNumberFormat="1" applyFont="1" applyFill="1"/>
    <xf numFmtId="170" fontId="2" fillId="0" borderId="0" xfId="0" applyNumberFormat="1" applyFont="1" applyAlignment="1">
      <alignment horizontal="center"/>
    </xf>
    <xf numFmtId="0" fontId="10" fillId="0" borderId="2" xfId="11" applyFont="1" applyBorder="1" applyAlignment="1">
      <alignment horizontal="center"/>
    </xf>
    <xf numFmtId="170" fontId="10" fillId="0" borderId="0" xfId="1" applyNumberFormat="1" applyFont="1"/>
    <xf numFmtId="165" fontId="10" fillId="0" borderId="0" xfId="1" applyNumberFormat="1" applyFont="1" applyAlignment="1">
      <alignment horizontal="center"/>
    </xf>
    <xf numFmtId="170" fontId="10" fillId="0" borderId="0" xfId="11" applyNumberFormat="1" applyFont="1"/>
    <xf numFmtId="3" fontId="10" fillId="14" borderId="0" xfId="11" applyNumberFormat="1" applyFont="1" applyFill="1"/>
    <xf numFmtId="3" fontId="10" fillId="0" borderId="0" xfId="11" applyNumberFormat="1" applyFont="1"/>
    <xf numFmtId="3" fontId="2" fillId="0" borderId="0" xfId="0" applyNumberFormat="1" applyFont="1"/>
    <xf numFmtId="4" fontId="10" fillId="0" borderId="0" xfId="11" applyNumberFormat="1" applyFont="1"/>
    <xf numFmtId="170" fontId="0" fillId="0" borderId="0" xfId="12" applyNumberFormat="1" applyFont="1"/>
    <xf numFmtId="170" fontId="10" fillId="4" borderId="0" xfId="11" applyNumberFormat="1" applyFont="1" applyFill="1"/>
    <xf numFmtId="165" fontId="10" fillId="4" borderId="0" xfId="1" applyNumberFormat="1" applyFont="1" applyFill="1" applyAlignment="1">
      <alignment horizontal="center"/>
    </xf>
    <xf numFmtId="3" fontId="10" fillId="4" borderId="0" xfId="11" applyNumberFormat="1" applyFont="1" applyFill="1"/>
    <xf numFmtId="3" fontId="2" fillId="4" borderId="0" xfId="0" applyNumberFormat="1" applyFont="1" applyFill="1"/>
    <xf numFmtId="4" fontId="10" fillId="4" borderId="0" xfId="11" applyNumberFormat="1" applyFont="1" applyFill="1"/>
    <xf numFmtId="170" fontId="10" fillId="11" borderId="0" xfId="11" applyNumberFormat="1" applyFont="1" applyFill="1"/>
    <xf numFmtId="165" fontId="10" fillId="11" borderId="0" xfId="1" applyNumberFormat="1" applyFont="1" applyFill="1" applyAlignment="1">
      <alignment horizontal="center"/>
    </xf>
    <xf numFmtId="3" fontId="10" fillId="11" borderId="0" xfId="11" applyNumberFormat="1" applyFont="1" applyFill="1"/>
    <xf numFmtId="3" fontId="2" fillId="11" borderId="0" xfId="0" applyNumberFormat="1" applyFont="1" applyFill="1"/>
    <xf numFmtId="4" fontId="10" fillId="11" borderId="0" xfId="11" applyNumberFormat="1" applyFont="1" applyFill="1"/>
    <xf numFmtId="170" fontId="10" fillId="15" borderId="0" xfId="1" applyNumberFormat="1" applyFont="1" applyFill="1"/>
    <xf numFmtId="165" fontId="10" fillId="15" borderId="0" xfId="1" applyNumberFormat="1" applyFont="1" applyFill="1" applyAlignment="1">
      <alignment horizontal="center"/>
    </xf>
    <xf numFmtId="3" fontId="10" fillId="15" borderId="0" xfId="11" applyNumberFormat="1" applyFont="1" applyFill="1"/>
    <xf numFmtId="3" fontId="2" fillId="15" borderId="0" xfId="0" applyNumberFormat="1" applyFont="1" applyFill="1"/>
    <xf numFmtId="4" fontId="10" fillId="15" borderId="0" xfId="11" applyNumberFormat="1" applyFont="1" applyFill="1"/>
    <xf numFmtId="165" fontId="10" fillId="13" borderId="0" xfId="1" applyNumberFormat="1" applyFont="1" applyFill="1" applyAlignment="1">
      <alignment horizontal="center"/>
    </xf>
    <xf numFmtId="170" fontId="10" fillId="13" borderId="0" xfId="1" applyNumberFormat="1" applyFont="1" applyFill="1"/>
    <xf numFmtId="3" fontId="10" fillId="13" borderId="0" xfId="11" applyNumberFormat="1" applyFont="1" applyFill="1"/>
    <xf numFmtId="3" fontId="2" fillId="13" borderId="0" xfId="0" applyNumberFormat="1" applyFont="1" applyFill="1"/>
    <xf numFmtId="4" fontId="10" fillId="13" borderId="0" xfId="11" applyNumberFormat="1" applyFont="1" applyFill="1"/>
    <xf numFmtId="170" fontId="10" fillId="16" borderId="0" xfId="11" applyNumberFormat="1" applyFont="1" applyFill="1"/>
    <xf numFmtId="165" fontId="10" fillId="16" borderId="0" xfId="1" applyNumberFormat="1" applyFont="1" applyFill="1" applyAlignment="1">
      <alignment horizontal="center"/>
    </xf>
    <xf numFmtId="170" fontId="10" fillId="16" borderId="0" xfId="1" applyNumberFormat="1" applyFont="1" applyFill="1"/>
    <xf numFmtId="3" fontId="10" fillId="16" borderId="0" xfId="11" applyNumberFormat="1" applyFont="1" applyFill="1"/>
    <xf numFmtId="3" fontId="2" fillId="16" borderId="0" xfId="0" applyNumberFormat="1" applyFont="1" applyFill="1"/>
    <xf numFmtId="4" fontId="10" fillId="16" borderId="0" xfId="11" applyNumberFormat="1" applyFont="1" applyFill="1"/>
    <xf numFmtId="169" fontId="10" fillId="17" borderId="0" xfId="11" applyNumberFormat="1" applyFont="1" applyFill="1"/>
    <xf numFmtId="0" fontId="9" fillId="0" borderId="0" xfId="0" applyFont="1" applyAlignment="1">
      <alignment horizontal="left"/>
    </xf>
    <xf numFmtId="165" fontId="10" fillId="0" borderId="0" xfId="11" applyNumberFormat="1" applyFont="1"/>
    <xf numFmtId="170" fontId="4" fillId="4" borderId="0" xfId="1" applyNumberFormat="1" applyFont="1" applyFill="1" applyAlignment="1">
      <alignment horizontal="center"/>
    </xf>
    <xf numFmtId="0" fontId="43" fillId="0" borderId="0" xfId="11" applyFont="1"/>
    <xf numFmtId="9" fontId="4" fillId="4" borderId="0" xfId="1" applyFont="1" applyFill="1" applyAlignment="1">
      <alignment horizontal="center"/>
    </xf>
    <xf numFmtId="9" fontId="4" fillId="2" borderId="0" xfId="1" applyFont="1" applyFill="1" applyAlignment="1">
      <alignment horizontal="center"/>
    </xf>
    <xf numFmtId="9" fontId="10" fillId="2" borderId="0" xfId="11" applyNumberFormat="1" applyFont="1" applyFill="1" applyAlignment="1">
      <alignment horizontal="center"/>
    </xf>
    <xf numFmtId="3" fontId="10" fillId="0" borderId="0" xfId="11" applyNumberFormat="1" applyFont="1" applyAlignment="1">
      <alignment horizontal="center"/>
    </xf>
    <xf numFmtId="3" fontId="8" fillId="0" borderId="0" xfId="11" applyNumberFormat="1" applyFont="1" applyAlignment="1">
      <alignment horizontal="center"/>
    </xf>
    <xf numFmtId="0" fontId="10" fillId="0" borderId="1" xfId="11" applyFont="1" applyBorder="1"/>
    <xf numFmtId="0" fontId="10" fillId="0" borderId="1" xfId="11" applyFont="1" applyBorder="1" applyAlignment="1">
      <alignment horizontal="center"/>
    </xf>
    <xf numFmtId="0" fontId="10" fillId="0" borderId="0" xfId="13" applyFont="1" applyAlignment="1">
      <alignment horizontal="right"/>
    </xf>
    <xf numFmtId="3" fontId="8" fillId="4" borderId="0" xfId="11" applyNumberFormat="1" applyFont="1" applyFill="1" applyAlignment="1">
      <alignment horizontal="center"/>
    </xf>
    <xf numFmtId="3" fontId="8" fillId="14" borderId="0" xfId="11" applyNumberFormat="1" applyFont="1" applyFill="1" applyAlignment="1">
      <alignment horizontal="center"/>
    </xf>
    <xf numFmtId="0" fontId="10" fillId="0" borderId="0" xfId="11" applyFont="1" applyAlignment="1">
      <alignment horizontal="left" indent="1"/>
    </xf>
    <xf numFmtId="170" fontId="10" fillId="0" borderId="12" xfId="1" applyNumberFormat="1" applyFont="1" applyBorder="1" applyAlignment="1">
      <alignment horizontal="center" vertical="center"/>
    </xf>
    <xf numFmtId="170" fontId="10" fillId="0" borderId="0" xfId="1" applyNumberFormat="1" applyFont="1" applyAlignment="1">
      <alignment horizontal="center"/>
    </xf>
    <xf numFmtId="9" fontId="10" fillId="0" borderId="0" xfId="11" applyNumberFormat="1" applyFont="1" applyAlignment="1">
      <alignment horizontal="center"/>
    </xf>
    <xf numFmtId="170" fontId="10" fillId="2" borderId="0" xfId="1" applyNumberFormat="1" applyFont="1" applyFill="1" applyAlignment="1">
      <alignment horizontal="center" vertical="center"/>
    </xf>
    <xf numFmtId="170" fontId="10" fillId="2" borderId="0" xfId="1" applyNumberFormat="1" applyFont="1" applyFill="1" applyAlignment="1">
      <alignment horizontal="center"/>
    </xf>
    <xf numFmtId="170" fontId="10" fillId="0" borderId="0" xfId="11" applyNumberFormat="1" applyFont="1" applyAlignment="1">
      <alignment horizontal="center"/>
    </xf>
    <xf numFmtId="0" fontId="10" fillId="0" borderId="1" xfId="11" applyFont="1" applyBorder="1" applyAlignment="1">
      <alignment horizontal="left" indent="1"/>
    </xf>
    <xf numFmtId="170" fontId="10" fillId="2" borderId="1" xfId="1" applyNumberFormat="1" applyFont="1" applyFill="1" applyBorder="1" applyAlignment="1">
      <alignment horizontal="center"/>
    </xf>
    <xf numFmtId="170" fontId="10" fillId="0" borderId="1" xfId="1" applyNumberFormat="1" applyFont="1" applyBorder="1" applyAlignment="1">
      <alignment horizontal="center"/>
    </xf>
    <xf numFmtId="0" fontId="8" fillId="0" borderId="0" xfId="11" applyFont="1"/>
    <xf numFmtId="170" fontId="8" fillId="11" borderId="0" xfId="1" applyNumberFormat="1" applyFont="1" applyFill="1" applyAlignment="1">
      <alignment horizontal="center"/>
    </xf>
    <xf numFmtId="170" fontId="8" fillId="15" borderId="0" xfId="11" applyNumberFormat="1" applyFont="1" applyFill="1" applyAlignment="1">
      <alignment horizontal="center"/>
    </xf>
    <xf numFmtId="170" fontId="8" fillId="4" borderId="0" xfId="11" applyNumberFormat="1" applyFont="1" applyFill="1" applyAlignment="1">
      <alignment horizontal="center"/>
    </xf>
    <xf numFmtId="2" fontId="8" fillId="14" borderId="0" xfId="11" applyNumberFormat="1" applyFont="1" applyFill="1" applyAlignment="1">
      <alignment horizontal="center"/>
    </xf>
    <xf numFmtId="170" fontId="10" fillId="0" borderId="0" xfId="1" applyNumberFormat="1" applyFont="1" applyAlignment="1">
      <alignment horizontal="center" vertical="center"/>
    </xf>
    <xf numFmtId="0" fontId="4" fillId="0" borderId="0" xfId="0" applyFont="1" applyAlignment="1">
      <alignment horizontal="right"/>
    </xf>
    <xf numFmtId="0" fontId="45" fillId="0" borderId="0" xfId="0" applyFont="1"/>
    <xf numFmtId="0" fontId="32" fillId="0" borderId="0" xfId="0" quotePrefix="1" applyFont="1" applyAlignment="1">
      <alignment horizontal="left" indent="1"/>
    </xf>
    <xf numFmtId="170" fontId="4" fillId="2" borderId="0" xfId="1" applyNumberFormat="1" applyFont="1" applyFill="1"/>
    <xf numFmtId="1" fontId="4" fillId="4" borderId="0" xfId="0" applyNumberFormat="1" applyFont="1" applyFill="1"/>
    <xf numFmtId="0" fontId="0" fillId="2" borderId="0" xfId="0" applyFill="1"/>
    <xf numFmtId="0" fontId="0" fillId="0" borderId="0" xfId="0" quotePrefix="1"/>
    <xf numFmtId="170" fontId="0" fillId="0" borderId="0" xfId="1" applyNumberFormat="1" applyFont="1"/>
    <xf numFmtId="0" fontId="32" fillId="0" borderId="0" xfId="0" applyFont="1"/>
    <xf numFmtId="0" fontId="32" fillId="4" borderId="0" xfId="0" applyFont="1" applyFill="1"/>
    <xf numFmtId="11" fontId="32" fillId="4" borderId="0" xfId="0" applyNumberFormat="1" applyFont="1" applyFill="1"/>
    <xf numFmtId="0" fontId="32" fillId="4" borderId="0" xfId="0" quotePrefix="1" applyFont="1" applyFill="1"/>
    <xf numFmtId="175" fontId="0" fillId="0" borderId="0" xfId="0" applyNumberFormat="1"/>
    <xf numFmtId="175" fontId="0" fillId="0" borderId="2" xfId="0" applyNumberFormat="1" applyBorder="1"/>
    <xf numFmtId="170" fontId="4" fillId="0" borderId="0" xfId="0" applyNumberFormat="1" applyFont="1"/>
    <xf numFmtId="170" fontId="0" fillId="0" borderId="2" xfId="0" applyNumberFormat="1" applyBorder="1" applyAlignment="1">
      <alignment horizontal="center"/>
    </xf>
    <xf numFmtId="164" fontId="4" fillId="0" borderId="0" xfId="0" applyNumberFormat="1" applyFont="1"/>
    <xf numFmtId="2" fontId="0" fillId="0" borderId="0" xfId="0" applyNumberFormat="1" applyAlignment="1">
      <alignment horizontal="center"/>
    </xf>
    <xf numFmtId="9" fontId="0" fillId="0" borderId="0" xfId="0" applyNumberFormat="1" applyAlignment="1">
      <alignment horizontal="right"/>
    </xf>
    <xf numFmtId="2" fontId="4" fillId="2" borderId="0" xfId="0" applyNumberFormat="1" applyFont="1" applyFill="1" applyAlignment="1">
      <alignment horizontal="center"/>
    </xf>
    <xf numFmtId="9" fontId="0" fillId="0" borderId="0" xfId="0" applyNumberFormat="1"/>
    <xf numFmtId="170" fontId="0" fillId="4" borderId="0" xfId="0" applyNumberFormat="1" applyFill="1" applyAlignment="1">
      <alignment horizontal="center"/>
    </xf>
    <xf numFmtId="176" fontId="0" fillId="0" borderId="0" xfId="0" applyNumberFormat="1"/>
    <xf numFmtId="0" fontId="0" fillId="3" borderId="0" xfId="0" applyFill="1"/>
    <xf numFmtId="3" fontId="0" fillId="3" borderId="2" xfId="0" applyNumberFormat="1" applyFill="1" applyBorder="1" applyAlignment="1">
      <alignment horizontal="right"/>
    </xf>
    <xf numFmtId="176" fontId="0" fillId="0" borderId="2" xfId="0" applyNumberFormat="1" applyBorder="1"/>
    <xf numFmtId="0" fontId="15" fillId="0" borderId="13" xfId="0" applyFont="1" applyBorder="1"/>
    <xf numFmtId="0" fontId="0" fillId="0" borderId="14" xfId="0" applyBorder="1"/>
    <xf numFmtId="0" fontId="0" fillId="0" borderId="15" xfId="0" applyBorder="1"/>
    <xf numFmtId="0" fontId="15" fillId="0" borderId="0" xfId="0" applyFont="1"/>
    <xf numFmtId="0" fontId="48" fillId="0" borderId="0" xfId="14" applyFont="1"/>
    <xf numFmtId="170" fontId="48" fillId="0" borderId="0" xfId="14" applyNumberFormat="1" applyFont="1"/>
    <xf numFmtId="0" fontId="49" fillId="0" borderId="0" xfId="14" applyFont="1"/>
    <xf numFmtId="0" fontId="48" fillId="0" borderId="0" xfId="14" applyFont="1" applyAlignment="1">
      <alignment horizontal="center"/>
    </xf>
    <xf numFmtId="0" fontId="50" fillId="0" borderId="0" xfId="14" applyFont="1"/>
    <xf numFmtId="170" fontId="51" fillId="0" borderId="0" xfId="7" applyNumberFormat="1" applyFont="1"/>
    <xf numFmtId="170" fontId="52" fillId="0" borderId="0" xfId="15" applyNumberFormat="1" applyFont="1" applyAlignment="1">
      <alignment horizontal="right"/>
    </xf>
    <xf numFmtId="170" fontId="53" fillId="0" borderId="0" xfId="15" applyNumberFormat="1" applyFont="1" applyAlignment="1">
      <alignment horizontal="right"/>
    </xf>
    <xf numFmtId="170" fontId="21" fillId="0" borderId="0" xfId="14" applyNumberFormat="1" applyFont="1" applyAlignment="1">
      <alignment horizontal="right"/>
    </xf>
    <xf numFmtId="0" fontId="21" fillId="0" borderId="0" xfId="14" applyFont="1" applyAlignment="1">
      <alignment horizontal="center"/>
    </xf>
    <xf numFmtId="170" fontId="21" fillId="0" borderId="0" xfId="15" applyNumberFormat="1" applyFont="1" applyAlignment="1">
      <alignment horizontal="right"/>
    </xf>
    <xf numFmtId="0" fontId="21" fillId="0" borderId="0" xfId="14" applyFont="1"/>
    <xf numFmtId="170" fontId="22" fillId="0" borderId="0" xfId="15" applyNumberFormat="1" applyFont="1"/>
    <xf numFmtId="170" fontId="49" fillId="0" borderId="0" xfId="7" applyNumberFormat="1" applyFont="1"/>
    <xf numFmtId="0" fontId="51" fillId="0" borderId="0" xfId="7" applyFont="1"/>
    <xf numFmtId="3" fontId="7" fillId="0" borderId="0" xfId="14" applyNumberFormat="1" applyFont="1" applyAlignment="1">
      <alignment horizontal="right"/>
    </xf>
    <xf numFmtId="1" fontId="7" fillId="0" borderId="0" xfId="14" applyNumberFormat="1" applyFont="1" applyAlignment="1">
      <alignment horizontal="right"/>
    </xf>
    <xf numFmtId="0" fontId="7" fillId="0" borderId="0" xfId="14" applyFont="1" applyAlignment="1">
      <alignment horizontal="center"/>
    </xf>
    <xf numFmtId="0" fontId="7" fillId="3" borderId="0" xfId="14" applyFont="1" applyFill="1" applyAlignment="1">
      <alignment horizontal="center"/>
    </xf>
    <xf numFmtId="0" fontId="49" fillId="0" borderId="0" xfId="7" applyFont="1"/>
    <xf numFmtId="0" fontId="50" fillId="0" borderId="0" xfId="14" applyFont="1" applyAlignment="1">
      <alignment horizontal="center"/>
    </xf>
    <xf numFmtId="3" fontId="21" fillId="0" borderId="0" xfId="14" applyNumberFormat="1" applyFont="1" applyAlignment="1">
      <alignment horizontal="right"/>
    </xf>
    <xf numFmtId="171" fontId="52" fillId="0" borderId="0" xfId="15" applyNumberFormat="1" applyFont="1" applyAlignment="1">
      <alignment horizontal="right"/>
    </xf>
    <xf numFmtId="171" fontId="53" fillId="0" borderId="0" xfId="15" applyNumberFormat="1" applyFont="1" applyAlignment="1">
      <alignment horizontal="right"/>
    </xf>
    <xf numFmtId="171" fontId="21" fillId="0" borderId="0" xfId="14" applyNumberFormat="1" applyFont="1" applyAlignment="1">
      <alignment horizontal="right"/>
    </xf>
    <xf numFmtId="3" fontId="7" fillId="0" borderId="0" xfId="14" applyNumberFormat="1" applyFont="1"/>
    <xf numFmtId="9" fontId="7" fillId="0" borderId="0" xfId="1" applyFont="1" applyAlignment="1">
      <alignment horizontal="right"/>
    </xf>
    <xf numFmtId="170" fontId="54" fillId="0" borderId="0" xfId="14" applyNumberFormat="1" applyFont="1" applyAlignment="1">
      <alignment horizontal="right"/>
    </xf>
    <xf numFmtId="0" fontId="54" fillId="0" borderId="0" xfId="14" applyFont="1" applyAlignment="1">
      <alignment horizontal="center"/>
    </xf>
    <xf numFmtId="3" fontId="52" fillId="0" borderId="0" xfId="15" applyNumberFormat="1" applyFont="1" applyAlignment="1">
      <alignment horizontal="right"/>
    </xf>
    <xf numFmtId="3" fontId="53" fillId="0" borderId="0" xfId="15" applyNumberFormat="1" applyFont="1" applyAlignment="1">
      <alignment horizontal="right"/>
    </xf>
    <xf numFmtId="177" fontId="52" fillId="0" borderId="0" xfId="15" applyNumberFormat="1" applyFont="1" applyAlignment="1">
      <alignment horizontal="right"/>
    </xf>
    <xf numFmtId="177" fontId="53" fillId="0" borderId="0" xfId="15" applyNumberFormat="1" applyFont="1" applyAlignment="1">
      <alignment horizontal="right"/>
    </xf>
    <xf numFmtId="177" fontId="21" fillId="0" borderId="0" xfId="14" applyNumberFormat="1" applyFont="1" applyAlignment="1">
      <alignment horizontal="right"/>
    </xf>
    <xf numFmtId="2" fontId="52" fillId="0" borderId="0" xfId="15" applyNumberFormat="1" applyFont="1" applyAlignment="1">
      <alignment horizontal="right"/>
    </xf>
    <xf numFmtId="2" fontId="53" fillId="0" borderId="0" xfId="15" applyNumberFormat="1" applyFont="1" applyAlignment="1">
      <alignment horizontal="right"/>
    </xf>
    <xf numFmtId="2" fontId="21" fillId="0" borderId="0" xfId="14" applyNumberFormat="1" applyFont="1" applyAlignment="1">
      <alignment horizontal="right"/>
    </xf>
    <xf numFmtId="4" fontId="52" fillId="0" borderId="0" xfId="15" applyNumberFormat="1" applyFont="1" applyAlignment="1">
      <alignment horizontal="right"/>
    </xf>
    <xf numFmtId="4" fontId="53" fillId="0" borderId="0" xfId="15" applyNumberFormat="1" applyFont="1" applyAlignment="1">
      <alignment horizontal="right"/>
    </xf>
    <xf numFmtId="4" fontId="21" fillId="0" borderId="0" xfId="14" applyNumberFormat="1" applyFont="1" applyAlignment="1">
      <alignment horizontal="right"/>
    </xf>
    <xf numFmtId="1" fontId="7" fillId="0" borderId="0" xfId="14" applyNumberFormat="1" applyFont="1"/>
    <xf numFmtId="0" fontId="48" fillId="0" borderId="0" xfId="14" applyFont="1" applyAlignment="1">
      <alignment horizontal="right"/>
    </xf>
    <xf numFmtId="0" fontId="55" fillId="0" borderId="0" xfId="7" applyFont="1" applyAlignment="1">
      <alignment horizontal="center"/>
    </xf>
    <xf numFmtId="0" fontId="7" fillId="0" borderId="0" xfId="14" applyFont="1"/>
    <xf numFmtId="10" fontId="52" fillId="0" borderId="0" xfId="16" applyNumberFormat="1" applyFont="1" applyAlignment="1">
      <alignment horizontal="right"/>
    </xf>
    <xf numFmtId="10" fontId="53" fillId="0" borderId="0" xfId="16" applyNumberFormat="1" applyFont="1" applyAlignment="1">
      <alignment horizontal="right"/>
    </xf>
    <xf numFmtId="170" fontId="21" fillId="0" borderId="0" xfId="16" applyNumberFormat="1" applyFont="1" applyAlignment="1">
      <alignment horizontal="right"/>
    </xf>
    <xf numFmtId="167" fontId="52" fillId="0" borderId="0" xfId="15" applyNumberFormat="1" applyFont="1" applyAlignment="1">
      <alignment horizontal="right"/>
    </xf>
    <xf numFmtId="167" fontId="53" fillId="0" borderId="0" xfId="15" applyNumberFormat="1" applyFont="1" applyAlignment="1">
      <alignment horizontal="right"/>
    </xf>
    <xf numFmtId="164" fontId="21" fillId="0" borderId="0" xfId="14" applyNumberFormat="1" applyFont="1" applyAlignment="1">
      <alignment horizontal="right"/>
    </xf>
    <xf numFmtId="170" fontId="7" fillId="0" borderId="0" xfId="9" applyNumberFormat="1" applyFont="1"/>
    <xf numFmtId="170" fontId="49" fillId="0" borderId="0" xfId="14" applyNumberFormat="1" applyFont="1" applyAlignment="1">
      <alignment horizontal="right"/>
    </xf>
    <xf numFmtId="170" fontId="53" fillId="10" borderId="0" xfId="15" applyNumberFormat="1" applyFont="1" applyFill="1" applyAlignment="1">
      <alignment horizontal="right"/>
    </xf>
    <xf numFmtId="170" fontId="53" fillId="9" borderId="0" xfId="15" applyNumberFormat="1" applyFont="1" applyFill="1" applyAlignment="1">
      <alignment horizontal="right"/>
    </xf>
    <xf numFmtId="170" fontId="7" fillId="0" borderId="0" xfId="1" applyNumberFormat="1" applyFont="1" applyAlignment="1">
      <alignment horizontal="right"/>
    </xf>
    <xf numFmtId="2" fontId="21" fillId="0" borderId="0" xfId="15" applyNumberFormat="1" applyFont="1" applyAlignment="1">
      <alignment horizontal="right"/>
    </xf>
    <xf numFmtId="170" fontId="7" fillId="0" borderId="0" xfId="14" applyNumberFormat="1" applyFont="1"/>
    <xf numFmtId="170" fontId="49" fillId="0" borderId="0" xfId="14" applyNumberFormat="1" applyFont="1"/>
    <xf numFmtId="0" fontId="53" fillId="0" borderId="0" xfId="7" applyFont="1" applyAlignment="1">
      <alignment horizontal="right"/>
    </xf>
    <xf numFmtId="0" fontId="51" fillId="0" borderId="0" xfId="7" applyFont="1" applyAlignment="1">
      <alignment horizontal="center"/>
    </xf>
    <xf numFmtId="0" fontId="56" fillId="0" borderId="0" xfId="7" applyFont="1"/>
    <xf numFmtId="170" fontId="53" fillId="0" borderId="0" xfId="7" applyNumberFormat="1" applyFont="1" applyAlignment="1">
      <alignment horizontal="right"/>
    </xf>
    <xf numFmtId="0" fontId="52" fillId="0" borderId="1" xfId="14" quotePrefix="1" applyFont="1" applyBorder="1" applyAlignment="1">
      <alignment horizontal="center"/>
    </xf>
    <xf numFmtId="0" fontId="53" fillId="0" borderId="1" xfId="7" applyFont="1" applyBorder="1" applyAlignment="1">
      <alignment horizontal="center"/>
    </xf>
    <xf numFmtId="0" fontId="21" fillId="0" borderId="1" xfId="14" applyFont="1" applyBorder="1" applyAlignment="1">
      <alignment horizontal="center"/>
    </xf>
    <xf numFmtId="0" fontId="52" fillId="0" borderId="0" xfId="7" applyFont="1" applyAlignment="1">
      <alignment horizontal="center"/>
    </xf>
    <xf numFmtId="0" fontId="53" fillId="0" borderId="0" xfId="7" applyFont="1" applyAlignment="1">
      <alignment horizontal="center"/>
    </xf>
    <xf numFmtId="1" fontId="21" fillId="0" borderId="0" xfId="14" applyNumberFormat="1" applyFont="1" applyAlignment="1">
      <alignment horizontal="center"/>
    </xf>
    <xf numFmtId="0" fontId="9" fillId="2" borderId="0" xfId="14" applyFont="1" applyFill="1" applyAlignment="1">
      <alignment horizontal="center"/>
    </xf>
    <xf numFmtId="0" fontId="9" fillId="0" borderId="0" xfId="14" applyFont="1" applyAlignment="1">
      <alignment horizontal="right"/>
    </xf>
    <xf numFmtId="0" fontId="0" fillId="0" borderId="0" xfId="0" applyAlignment="1">
      <alignment vertical="center"/>
    </xf>
    <xf numFmtId="0" fontId="0" fillId="0" borderId="0" xfId="0" applyAlignment="1">
      <alignment horizontal="right" vertical="center"/>
    </xf>
    <xf numFmtId="0" fontId="58" fillId="0" borderId="0" xfId="0" applyFont="1"/>
    <xf numFmtId="178" fontId="0" fillId="0" borderId="0" xfId="0" applyNumberFormat="1"/>
    <xf numFmtId="0" fontId="4" fillId="0" borderId="2" xfId="0" applyFont="1" applyBorder="1" applyAlignment="1">
      <alignment horizontal="center"/>
    </xf>
    <xf numFmtId="0" fontId="4" fillId="0" borderId="2" xfId="0" applyFont="1" applyBorder="1"/>
    <xf numFmtId="0" fontId="59" fillId="0" borderId="0" xfId="0" applyFont="1"/>
    <xf numFmtId="3" fontId="0" fillId="2" borderId="0" xfId="0" applyNumberFormat="1" applyFill="1"/>
    <xf numFmtId="3" fontId="10" fillId="2" borderId="0" xfId="0" applyNumberFormat="1" applyFont="1" applyFill="1"/>
    <xf numFmtId="3" fontId="0" fillId="2" borderId="0" xfId="0" applyNumberFormat="1" applyFill="1" applyAlignment="1">
      <alignment horizontal="center"/>
    </xf>
    <xf numFmtId="0" fontId="60" fillId="0" borderId="0" xfId="0" applyFont="1"/>
    <xf numFmtId="0" fontId="4" fillId="4" borderId="1" xfId="0" applyFont="1" applyFill="1" applyBorder="1" applyAlignment="1">
      <alignment horizontal="center"/>
    </xf>
    <xf numFmtId="0" fontId="4" fillId="11" borderId="1" xfId="0" applyFont="1" applyFill="1" applyBorder="1" applyAlignment="1">
      <alignment horizontal="center"/>
    </xf>
    <xf numFmtId="165" fontId="4" fillId="4" borderId="0" xfId="0" applyNumberFormat="1" applyFont="1" applyFill="1"/>
    <xf numFmtId="165" fontId="4" fillId="11" borderId="0" xfId="0" applyNumberFormat="1" applyFont="1" applyFill="1"/>
    <xf numFmtId="2" fontId="0" fillId="0" borderId="2" xfId="0" applyNumberFormat="1" applyBorder="1"/>
    <xf numFmtId="165" fontId="0" fillId="0" borderId="2" xfId="0" applyNumberFormat="1" applyBorder="1"/>
    <xf numFmtId="165" fontId="4" fillId="4" borderId="2" xfId="0" applyNumberFormat="1" applyFont="1" applyFill="1" applyBorder="1"/>
    <xf numFmtId="165" fontId="4" fillId="11" borderId="2" xfId="0" applyNumberFormat="1" applyFont="1" applyFill="1" applyBorder="1"/>
    <xf numFmtId="0" fontId="4" fillId="4" borderId="2" xfId="0" applyFont="1" applyFill="1" applyBorder="1" applyAlignment="1">
      <alignment horizontal="center"/>
    </xf>
    <xf numFmtId="0" fontId="4" fillId="11" borderId="2" xfId="0" applyFont="1" applyFill="1" applyBorder="1" applyAlignment="1">
      <alignment horizontal="center"/>
    </xf>
    <xf numFmtId="0" fontId="18" fillId="0" borderId="0" xfId="0" applyFont="1" applyAlignment="1">
      <alignment horizontal="center"/>
    </xf>
    <xf numFmtId="0" fontId="9" fillId="4" borderId="0" xfId="14" applyFont="1" applyFill="1" applyAlignment="1">
      <alignment horizontal="center"/>
    </xf>
    <xf numFmtId="0" fontId="17" fillId="0" borderId="0" xfId="7" applyFont="1" applyAlignment="1">
      <alignment horizontal="right"/>
    </xf>
    <xf numFmtId="0" fontId="2" fillId="0" borderId="2" xfId="0" applyFont="1" applyBorder="1" applyAlignment="1">
      <alignment horizontal="center"/>
    </xf>
    <xf numFmtId="10" fontId="12" fillId="0" borderId="0" xfId="7" applyNumberFormat="1" applyFont="1"/>
    <xf numFmtId="3" fontId="10" fillId="0" borderId="2" xfId="0" applyNumberFormat="1" applyFont="1" applyBorder="1" applyAlignment="1">
      <alignment horizontal="center"/>
    </xf>
    <xf numFmtId="3" fontId="2" fillId="0" borderId="2" xfId="0" applyNumberFormat="1" applyFont="1" applyBorder="1"/>
    <xf numFmtId="3" fontId="17" fillId="0" borderId="2" xfId="7" applyNumberFormat="1" applyFont="1" applyBorder="1"/>
    <xf numFmtId="3" fontId="12" fillId="0" borderId="2" xfId="7" applyNumberFormat="1" applyFont="1" applyBorder="1"/>
    <xf numFmtId="10" fontId="12" fillId="0" borderId="2" xfId="7" applyNumberFormat="1" applyFont="1" applyBorder="1"/>
    <xf numFmtId="3" fontId="28" fillId="0" borderId="0" xfId="0" applyNumberFormat="1" applyFont="1" applyAlignment="1">
      <alignment horizontal="center"/>
    </xf>
    <xf numFmtId="3" fontId="28" fillId="0" borderId="0" xfId="0" applyNumberFormat="1" applyFont="1"/>
    <xf numFmtId="3" fontId="28" fillId="0" borderId="0" xfId="7" applyNumberFormat="1" applyFont="1"/>
    <xf numFmtId="0" fontId="28" fillId="0" borderId="0" xfId="7" applyFont="1"/>
    <xf numFmtId="10" fontId="2" fillId="0" borderId="0" xfId="9" applyNumberFormat="1" applyFont="1"/>
    <xf numFmtId="10" fontId="2" fillId="0" borderId="2" xfId="9" applyNumberFormat="1" applyFont="1" applyBorder="1"/>
    <xf numFmtId="0" fontId="12" fillId="0" borderId="2" xfId="7" applyFont="1" applyBorder="1"/>
    <xf numFmtId="10" fontId="17" fillId="0" borderId="0" xfId="9" applyNumberFormat="1" applyFont="1"/>
    <xf numFmtId="10" fontId="28" fillId="0" borderId="0" xfId="9" applyNumberFormat="1" applyFont="1"/>
    <xf numFmtId="0" fontId="62" fillId="0" borderId="0" xfId="7" applyFont="1" applyAlignment="1">
      <alignment horizontal="center"/>
    </xf>
    <xf numFmtId="10" fontId="62" fillId="0" borderId="0" xfId="9" applyNumberFormat="1" applyFont="1"/>
    <xf numFmtId="10" fontId="63" fillId="0" borderId="0" xfId="9" applyNumberFormat="1" applyFont="1"/>
    <xf numFmtId="3" fontId="12" fillId="0" borderId="2" xfId="7" applyNumberFormat="1" applyFont="1" applyBorder="1" applyAlignment="1">
      <alignment horizontal="center"/>
    </xf>
    <xf numFmtId="10" fontId="17" fillId="0" borderId="0" xfId="7" applyNumberFormat="1" applyFont="1"/>
    <xf numFmtId="10" fontId="12" fillId="0" borderId="0" xfId="9" applyNumberFormat="1" applyFont="1"/>
    <xf numFmtId="10" fontId="12" fillId="0" borderId="2" xfId="9" applyNumberFormat="1" applyFont="1" applyBorder="1"/>
    <xf numFmtId="10" fontId="17" fillId="0" borderId="2" xfId="7" applyNumberFormat="1" applyFont="1" applyBorder="1"/>
    <xf numFmtId="10" fontId="4" fillId="0" borderId="0" xfId="9" applyNumberFormat="1" applyFont="1"/>
    <xf numFmtId="10" fontId="28" fillId="0" borderId="0" xfId="1" applyNumberFormat="1" applyFont="1"/>
    <xf numFmtId="170" fontId="0" fillId="11" borderId="0" xfId="0" applyNumberFormat="1" applyFill="1" applyAlignment="1">
      <alignment horizontal="center"/>
    </xf>
    <xf numFmtId="3" fontId="64" fillId="0" borderId="0" xfId="7" applyNumberFormat="1" applyFont="1"/>
    <xf numFmtId="10" fontId="8" fillId="0" borderId="0" xfId="7" applyNumberFormat="1" applyFont="1" applyAlignment="1">
      <alignment horizontal="center"/>
    </xf>
    <xf numFmtId="0" fontId="12" fillId="11" borderId="0" xfId="7" applyFont="1" applyFill="1" applyAlignment="1">
      <alignment horizontal="center"/>
    </xf>
    <xf numFmtId="3" fontId="8" fillId="0" borderId="2" xfId="7" applyNumberFormat="1" applyFont="1" applyBorder="1" applyAlignment="1">
      <alignment horizontal="center"/>
    </xf>
    <xf numFmtId="0" fontId="0" fillId="11" borderId="2" xfId="0" applyFill="1" applyBorder="1" applyAlignment="1">
      <alignment horizontal="center"/>
    </xf>
    <xf numFmtId="0" fontId="65" fillId="0" borderId="0" xfId="7" applyFont="1" applyAlignment="1">
      <alignment horizontal="center"/>
    </xf>
    <xf numFmtId="10" fontId="65" fillId="0" borderId="0" xfId="9" applyNumberFormat="1" applyFont="1"/>
    <xf numFmtId="10" fontId="8" fillId="0" borderId="0" xfId="1" applyNumberFormat="1" applyFont="1" applyAlignment="1">
      <alignment horizontal="center"/>
    </xf>
    <xf numFmtId="170" fontId="0" fillId="11" borderId="0" xfId="0" applyNumberFormat="1" applyFill="1"/>
    <xf numFmtId="10" fontId="65" fillId="4" borderId="0" xfId="1" applyNumberFormat="1" applyFont="1" applyFill="1"/>
    <xf numFmtId="10" fontId="8" fillId="0" borderId="0" xfId="9" applyNumberFormat="1" applyFont="1"/>
    <xf numFmtId="10" fontId="9" fillId="5" borderId="0" xfId="1" applyNumberFormat="1" applyFont="1" applyFill="1" applyAlignment="1">
      <alignment horizontal="center"/>
    </xf>
    <xf numFmtId="10" fontId="9" fillId="0" borderId="0" xfId="9" applyNumberFormat="1" applyFont="1"/>
    <xf numFmtId="10" fontId="62" fillId="11" borderId="0" xfId="9" applyNumberFormat="1" applyFont="1" applyFill="1"/>
    <xf numFmtId="0" fontId="62" fillId="0" borderId="0" xfId="0" applyFont="1" applyAlignment="1">
      <alignment horizontal="center"/>
    </xf>
    <xf numFmtId="10" fontId="10" fillId="0" borderId="2" xfId="1" applyNumberFormat="1" applyFont="1" applyBorder="1" applyAlignment="1">
      <alignment horizontal="center"/>
    </xf>
    <xf numFmtId="10" fontId="0" fillId="4" borderId="0" xfId="0" applyNumberFormat="1" applyFill="1"/>
    <xf numFmtId="10" fontId="10" fillId="4" borderId="0" xfId="1" applyNumberFormat="1" applyFont="1" applyFill="1"/>
    <xf numFmtId="3" fontId="10" fillId="13" borderId="0" xfId="0" applyNumberFormat="1" applyFont="1" applyFill="1" applyAlignment="1">
      <alignment horizontal="center"/>
    </xf>
    <xf numFmtId="10" fontId="12" fillId="13" borderId="0" xfId="7" applyNumberFormat="1" applyFont="1" applyFill="1"/>
    <xf numFmtId="10" fontId="0" fillId="13" borderId="0" xfId="0" applyNumberFormat="1" applyFill="1"/>
    <xf numFmtId="10" fontId="10" fillId="13" borderId="0" xfId="1" applyNumberFormat="1" applyFont="1" applyFill="1"/>
    <xf numFmtId="10" fontId="0" fillId="4" borderId="2" xfId="0" applyNumberFormat="1" applyFill="1" applyBorder="1"/>
    <xf numFmtId="10" fontId="10" fillId="4" borderId="2" xfId="1" applyNumberFormat="1" applyFont="1" applyFill="1" applyBorder="1"/>
    <xf numFmtId="10" fontId="8" fillId="0" borderId="0" xfId="1" applyNumberFormat="1" applyFont="1"/>
    <xf numFmtId="10" fontId="8" fillId="0" borderId="0" xfId="0" applyNumberFormat="1" applyFont="1"/>
    <xf numFmtId="10" fontId="8" fillId="4" borderId="0" xfId="0" applyNumberFormat="1" applyFont="1" applyFill="1"/>
    <xf numFmtId="10" fontId="8" fillId="4" borderId="0" xfId="1" applyNumberFormat="1" applyFont="1" applyFill="1"/>
    <xf numFmtId="10" fontId="28" fillId="0" borderId="0" xfId="0" applyNumberFormat="1" applyFont="1"/>
    <xf numFmtId="10" fontId="28" fillId="4" borderId="0" xfId="0" applyNumberFormat="1" applyFont="1" applyFill="1"/>
    <xf numFmtId="10" fontId="28" fillId="4" borderId="0" xfId="1" applyNumberFormat="1" applyFont="1" applyFill="1"/>
    <xf numFmtId="10" fontId="4" fillId="0" borderId="0" xfId="16" applyNumberFormat="1" applyFont="1"/>
    <xf numFmtId="170" fontId="12" fillId="0" borderId="0" xfId="7" applyNumberFormat="1" applyFont="1"/>
    <xf numFmtId="10" fontId="4" fillId="0" borderId="2" xfId="16" applyNumberFormat="1" applyFont="1" applyBorder="1"/>
    <xf numFmtId="3" fontId="12" fillId="0" borderId="0" xfId="7" applyNumberFormat="1" applyFont="1" applyAlignment="1">
      <alignment horizontal="right"/>
    </xf>
    <xf numFmtId="3" fontId="17" fillId="0" borderId="0" xfId="7" applyNumberFormat="1" applyFont="1" applyAlignment="1">
      <alignment horizontal="right"/>
    </xf>
    <xf numFmtId="3" fontId="12" fillId="0" borderId="2" xfId="7" applyNumberFormat="1" applyFont="1" applyBorder="1" applyAlignment="1">
      <alignment horizontal="right"/>
    </xf>
    <xf numFmtId="3" fontId="17" fillId="0" borderId="2" xfId="7" applyNumberFormat="1" applyFont="1" applyBorder="1" applyAlignment="1">
      <alignment horizontal="right"/>
    </xf>
    <xf numFmtId="3" fontId="28" fillId="0" borderId="0" xfId="7" applyNumberFormat="1" applyFont="1" applyAlignment="1">
      <alignment horizontal="right"/>
    </xf>
    <xf numFmtId="3" fontId="62" fillId="0" borderId="0" xfId="9" applyNumberFormat="1" applyFont="1"/>
    <xf numFmtId="4" fontId="12" fillId="0" borderId="0" xfId="7" applyNumberFormat="1" applyFont="1" applyAlignment="1">
      <alignment horizontal="right"/>
    </xf>
    <xf numFmtId="167" fontId="12" fillId="0" borderId="0" xfId="7" applyNumberFormat="1" applyFont="1" applyAlignment="1">
      <alignment horizontal="right"/>
    </xf>
    <xf numFmtId="4" fontId="12" fillId="0" borderId="2" xfId="7" applyNumberFormat="1" applyFont="1" applyBorder="1" applyAlignment="1">
      <alignment horizontal="right"/>
    </xf>
    <xf numFmtId="167" fontId="12" fillId="0" borderId="2" xfId="7" applyNumberFormat="1" applyFont="1" applyBorder="1" applyAlignment="1">
      <alignment horizontal="right"/>
    </xf>
    <xf numFmtId="4" fontId="17" fillId="0" borderId="0" xfId="7" applyNumberFormat="1" applyFont="1" applyAlignment="1">
      <alignment horizontal="right"/>
    </xf>
    <xf numFmtId="167" fontId="17" fillId="0" borderId="0" xfId="7" applyNumberFormat="1" applyFont="1" applyAlignment="1">
      <alignment horizontal="right"/>
    </xf>
    <xf numFmtId="4" fontId="28" fillId="0" borderId="0" xfId="7" applyNumberFormat="1" applyFont="1" applyAlignment="1">
      <alignment horizontal="right"/>
    </xf>
    <xf numFmtId="167" fontId="28" fillId="0" borderId="0" xfId="7" applyNumberFormat="1" applyFont="1" applyAlignment="1">
      <alignment horizontal="right"/>
    </xf>
    <xf numFmtId="10" fontId="28" fillId="0" borderId="0" xfId="7" applyNumberFormat="1" applyFont="1"/>
    <xf numFmtId="3" fontId="62" fillId="4" borderId="0" xfId="7" applyNumberFormat="1" applyFont="1" applyFill="1" applyAlignment="1">
      <alignment horizontal="center"/>
    </xf>
    <xf numFmtId="179" fontId="62" fillId="4" borderId="0" xfId="9" applyNumberFormat="1" applyFont="1" applyFill="1" applyAlignment="1">
      <alignment horizontal="right"/>
    </xf>
    <xf numFmtId="166" fontId="62" fillId="4" borderId="0" xfId="9" applyNumberFormat="1" applyFont="1" applyFill="1" applyAlignment="1">
      <alignment horizontal="right"/>
    </xf>
    <xf numFmtId="4" fontId="62" fillId="4" borderId="0" xfId="9" applyNumberFormat="1" applyFont="1" applyFill="1" applyAlignment="1">
      <alignment horizontal="right"/>
    </xf>
    <xf numFmtId="3" fontId="62" fillId="4" borderId="0" xfId="9" applyNumberFormat="1" applyFont="1" applyFill="1" applyAlignment="1">
      <alignment horizontal="right"/>
    </xf>
    <xf numFmtId="167" fontId="62" fillId="4" borderId="0" xfId="9" applyNumberFormat="1" applyFont="1" applyFill="1" applyAlignment="1">
      <alignment horizontal="right"/>
    </xf>
    <xf numFmtId="165" fontId="4" fillId="0" borderId="0" xfId="0" applyNumberFormat="1" applyFont="1"/>
    <xf numFmtId="165" fontId="4" fillId="0" borderId="2" xfId="0" applyNumberFormat="1" applyFont="1" applyBorder="1"/>
    <xf numFmtId="180" fontId="0" fillId="0" borderId="0" xfId="0" applyNumberFormat="1"/>
    <xf numFmtId="0" fontId="0" fillId="19" borderId="2" xfId="0" applyFill="1" applyBorder="1" applyAlignment="1">
      <alignment horizontal="center"/>
    </xf>
    <xf numFmtId="0" fontId="4" fillId="19" borderId="2" xfId="0" applyFont="1" applyFill="1" applyBorder="1" applyAlignment="1">
      <alignment horizontal="center"/>
    </xf>
    <xf numFmtId="180" fontId="4" fillId="19" borderId="0" xfId="0" applyNumberFormat="1" applyFont="1" applyFill="1"/>
    <xf numFmtId="165" fontId="0" fillId="0" borderId="3" xfId="0" applyNumberFormat="1" applyBorder="1"/>
    <xf numFmtId="165" fontId="0" fillId="4" borderId="3" xfId="0" applyNumberFormat="1" applyFill="1" applyBorder="1"/>
    <xf numFmtId="165" fontId="0" fillId="19" borderId="3" xfId="0" applyNumberFormat="1" applyFill="1" applyBorder="1"/>
    <xf numFmtId="165" fontId="0" fillId="4" borderId="0" xfId="0" applyNumberFormat="1" applyFill="1"/>
    <xf numFmtId="165" fontId="0" fillId="19" borderId="0" xfId="0" applyNumberFormat="1" applyFill="1"/>
    <xf numFmtId="165" fontId="0" fillId="4" borderId="2" xfId="0" applyNumberFormat="1" applyFill="1" applyBorder="1"/>
    <xf numFmtId="165" fontId="0" fillId="19" borderId="2" xfId="0" applyNumberFormat="1" applyFill="1" applyBorder="1"/>
    <xf numFmtId="165" fontId="4" fillId="19" borderId="0" xfId="0" applyNumberFormat="1" applyFont="1" applyFill="1"/>
    <xf numFmtId="171" fontId="4" fillId="2" borderId="0" xfId="0" applyNumberFormat="1" applyFont="1" applyFill="1" applyAlignment="1">
      <alignment horizontal="center"/>
    </xf>
    <xf numFmtId="180" fontId="4" fillId="4" borderId="0" xfId="0" applyNumberFormat="1" applyFont="1" applyFill="1"/>
    <xf numFmtId="169" fontId="4" fillId="0" borderId="2" xfId="0" applyNumberFormat="1" applyFont="1" applyBorder="1"/>
    <xf numFmtId="2" fontId="0" fillId="4" borderId="0" xfId="0" applyNumberFormat="1" applyFill="1"/>
    <xf numFmtId="3" fontId="55" fillId="0" borderId="7" xfId="7" applyNumberFormat="1" applyFont="1" applyBorder="1"/>
    <xf numFmtId="3" fontId="55" fillId="0" borderId="9" xfId="7" applyNumberFormat="1" applyFont="1" applyBorder="1"/>
    <xf numFmtId="3" fontId="51" fillId="0" borderId="0" xfId="7" applyNumberFormat="1" applyFont="1"/>
    <xf numFmtId="3" fontId="51" fillId="0" borderId="2" xfId="7" applyNumberFormat="1" applyFont="1" applyBorder="1"/>
    <xf numFmtId="3" fontId="55" fillId="0" borderId="2" xfId="7" applyNumberFormat="1" applyFont="1" applyBorder="1"/>
    <xf numFmtId="3" fontId="55" fillId="0" borderId="0" xfId="7" applyNumberFormat="1" applyFont="1"/>
    <xf numFmtId="3" fontId="51" fillId="0" borderId="1" xfId="7" applyNumberFormat="1" applyFont="1" applyBorder="1"/>
    <xf numFmtId="3" fontId="55" fillId="0" borderId="1" xfId="7" applyNumberFormat="1" applyFont="1" applyBorder="1"/>
    <xf numFmtId="0" fontId="3" fillId="0" borderId="0" xfId="0" applyFont="1" applyAlignment="1">
      <alignment horizontal="right"/>
    </xf>
    <xf numFmtId="165" fontId="32" fillId="0" borderId="0" xfId="0" applyNumberFormat="1" applyFont="1"/>
    <xf numFmtId="181" fontId="12" fillId="0" borderId="0" xfId="10" applyNumberFormat="1" applyFont="1"/>
    <xf numFmtId="3" fontId="12" fillId="20" borderId="9" xfId="10" applyNumberFormat="1" applyFont="1" applyFill="1" applyBorder="1"/>
    <xf numFmtId="3" fontId="12" fillId="20" borderId="2" xfId="10" applyNumberFormat="1" applyFont="1" applyFill="1" applyBorder="1"/>
    <xf numFmtId="2" fontId="8" fillId="20" borderId="0" xfId="11" applyNumberFormat="1" applyFont="1" applyFill="1" applyAlignment="1">
      <alignment horizontal="center"/>
    </xf>
    <xf numFmtId="170" fontId="8" fillId="20" borderId="0" xfId="1" applyNumberFormat="1" applyFont="1" applyFill="1" applyAlignment="1">
      <alignment horizontal="center"/>
    </xf>
    <xf numFmtId="170" fontId="10" fillId="5" borderId="0" xfId="11" applyNumberFormat="1" applyFont="1" applyFill="1"/>
    <xf numFmtId="165" fontId="10" fillId="5" borderId="0" xfId="1" applyNumberFormat="1" applyFont="1" applyFill="1" applyAlignment="1">
      <alignment horizontal="center"/>
    </xf>
    <xf numFmtId="170" fontId="10" fillId="5" borderId="0" xfId="1" applyNumberFormat="1" applyFont="1" applyFill="1"/>
    <xf numFmtId="3" fontId="10" fillId="5" borderId="0" xfId="11" applyNumberFormat="1" applyFont="1" applyFill="1"/>
    <xf numFmtId="3" fontId="2" fillId="5" borderId="0" xfId="0" applyNumberFormat="1" applyFont="1" applyFill="1"/>
    <xf numFmtId="4" fontId="10" fillId="5" borderId="0" xfId="11" applyNumberFormat="1" applyFont="1" applyFill="1"/>
    <xf numFmtId="170" fontId="4" fillId="4" borderId="0" xfId="0" applyNumberFormat="1" applyFont="1" applyFill="1" applyAlignment="1">
      <alignment horizontal="center"/>
    </xf>
    <xf numFmtId="167" fontId="4" fillId="0" borderId="0" xfId="0" applyNumberFormat="1" applyFont="1"/>
    <xf numFmtId="170" fontId="0" fillId="4" borderId="0" xfId="1" applyNumberFormat="1" applyFont="1" applyFill="1"/>
    <xf numFmtId="164" fontId="0" fillId="0" borderId="2" xfId="0" applyNumberFormat="1" applyBorder="1"/>
    <xf numFmtId="164" fontId="0" fillId="4" borderId="0" xfId="0" applyNumberFormat="1" applyFill="1"/>
    <xf numFmtId="164" fontId="0" fillId="4" borderId="2" xfId="0" applyNumberFormat="1" applyFill="1" applyBorder="1"/>
    <xf numFmtId="167" fontId="4" fillId="4" borderId="0" xfId="0" applyNumberFormat="1" applyFont="1" applyFill="1"/>
    <xf numFmtId="9" fontId="0" fillId="12" borderId="0" xfId="1" applyFont="1" applyFill="1"/>
    <xf numFmtId="165" fontId="0" fillId="0" borderId="0" xfId="0" applyNumberFormat="1" applyAlignment="1">
      <alignment horizontal="right"/>
    </xf>
    <xf numFmtId="166" fontId="0" fillId="0" borderId="0" xfId="0" applyNumberFormat="1"/>
    <xf numFmtId="167" fontId="0" fillId="4" borderId="0" xfId="0" applyNumberFormat="1" applyFill="1"/>
    <xf numFmtId="167" fontId="0" fillId="4" borderId="2" xfId="0" applyNumberFormat="1" applyFill="1" applyBorder="1"/>
    <xf numFmtId="0" fontId="0" fillId="11" borderId="0" xfId="0" applyFill="1"/>
    <xf numFmtId="0" fontId="0" fillId="11" borderId="0" xfId="0" applyFill="1" applyAlignment="1">
      <alignment horizontal="right"/>
    </xf>
    <xf numFmtId="164" fontId="0" fillId="11" borderId="0" xfId="0" applyNumberFormat="1" applyFill="1"/>
    <xf numFmtId="3" fontId="0" fillId="11" borderId="0" xfId="0" applyNumberFormat="1" applyFill="1"/>
    <xf numFmtId="2" fontId="0" fillId="11" borderId="0" xfId="0" applyNumberFormat="1" applyFill="1"/>
    <xf numFmtId="182" fontId="4" fillId="0" borderId="0" xfId="0" applyNumberFormat="1" applyFont="1"/>
    <xf numFmtId="182" fontId="0" fillId="0" borderId="0" xfId="0" applyNumberFormat="1"/>
    <xf numFmtId="3" fontId="0" fillId="3" borderId="0" xfId="0" applyNumberFormat="1" applyFill="1"/>
    <xf numFmtId="2" fontId="0" fillId="3" borderId="0" xfId="0" applyNumberFormat="1" applyFill="1"/>
    <xf numFmtId="169" fontId="0" fillId="4" borderId="0" xfId="0" applyNumberFormat="1" applyFill="1"/>
    <xf numFmtId="169" fontId="4" fillId="4" borderId="0" xfId="0" applyNumberFormat="1" applyFont="1" applyFill="1"/>
    <xf numFmtId="3" fontId="0" fillId="4" borderId="0" xfId="0" applyNumberFormat="1" applyFill="1"/>
    <xf numFmtId="0" fontId="0" fillId="0" borderId="9" xfId="0" applyBorder="1"/>
    <xf numFmtId="179" fontId="0" fillId="0" borderId="0" xfId="0" applyNumberFormat="1"/>
    <xf numFmtId="179" fontId="55" fillId="0" borderId="0" xfId="7" applyNumberFormat="1" applyFont="1"/>
    <xf numFmtId="0" fontId="0" fillId="2" borderId="2" xfId="0" applyFill="1" applyBorder="1"/>
    <xf numFmtId="170" fontId="4" fillId="2" borderId="0" xfId="0" applyNumberFormat="1" applyFont="1" applyFill="1" applyAlignment="1">
      <alignment horizontal="center"/>
    </xf>
    <xf numFmtId="0" fontId="32" fillId="0" borderId="2" xfId="0" applyFont="1" applyBorder="1" applyAlignment="1">
      <alignment horizontal="center"/>
    </xf>
    <xf numFmtId="165" fontId="4" fillId="19" borderId="2" xfId="0" applyNumberFormat="1" applyFont="1" applyFill="1" applyBorder="1"/>
    <xf numFmtId="0" fontId="4" fillId="4" borderId="0" xfId="0" applyFont="1" applyFill="1" applyAlignment="1">
      <alignment horizontal="center"/>
    </xf>
    <xf numFmtId="169" fontId="0" fillId="3" borderId="0" xfId="0" applyNumberFormat="1" applyFill="1"/>
    <xf numFmtId="169" fontId="4" fillId="3" borderId="0" xfId="0" applyNumberFormat="1" applyFont="1" applyFill="1"/>
    <xf numFmtId="9" fontId="0" fillId="4" borderId="0" xfId="1" applyFont="1" applyFill="1"/>
    <xf numFmtId="169" fontId="4" fillId="4" borderId="2" xfId="0" applyNumberFormat="1" applyFont="1" applyFill="1" applyBorder="1"/>
    <xf numFmtId="169" fontId="4" fillId="19" borderId="0" xfId="0" applyNumberFormat="1" applyFont="1" applyFill="1"/>
    <xf numFmtId="169" fontId="4" fillId="19" borderId="2" xfId="0" applyNumberFormat="1" applyFont="1" applyFill="1" applyBorder="1"/>
    <xf numFmtId="169" fontId="0" fillId="3" borderId="2" xfId="0" applyNumberFormat="1" applyFill="1" applyBorder="1"/>
    <xf numFmtId="3" fontId="0" fillId="3" borderId="2" xfId="0" applyNumberFormat="1" applyFill="1" applyBorder="1"/>
    <xf numFmtId="10" fontId="0" fillId="0" borderId="0" xfId="1" applyNumberFormat="1" applyFont="1"/>
    <xf numFmtId="169" fontId="4" fillId="21" borderId="0" xfId="0" applyNumberFormat="1" applyFont="1" applyFill="1"/>
    <xf numFmtId="169" fontId="4" fillId="4" borderId="9" xfId="0" applyNumberFormat="1" applyFont="1" applyFill="1" applyBorder="1" applyAlignment="1">
      <alignment horizontal="right"/>
    </xf>
    <xf numFmtId="169" fontId="4" fillId="4" borderId="9" xfId="0" applyNumberFormat="1" applyFont="1" applyFill="1" applyBorder="1"/>
    <xf numFmtId="169" fontId="4" fillId="4" borderId="2" xfId="0" applyNumberFormat="1" applyFont="1" applyFill="1" applyBorder="1" applyAlignment="1">
      <alignment horizontal="right"/>
    </xf>
    <xf numFmtId="169" fontId="4" fillId="0" borderId="2" xfId="0" applyNumberFormat="1" applyFont="1" applyBorder="1" applyAlignment="1">
      <alignment horizontal="right"/>
    </xf>
    <xf numFmtId="169" fontId="0" fillId="3" borderId="2" xfId="0" applyNumberFormat="1" applyFill="1" applyBorder="1" applyAlignment="1">
      <alignment horizontal="right"/>
    </xf>
    <xf numFmtId="169" fontId="0" fillId="3" borderId="0" xfId="0" applyNumberFormat="1" applyFill="1" applyAlignment="1">
      <alignment horizontal="right"/>
    </xf>
    <xf numFmtId="169" fontId="0" fillId="19" borderId="0" xfId="0" applyNumberFormat="1" applyFill="1"/>
    <xf numFmtId="169" fontId="0" fillId="19" borderId="0" xfId="0" applyNumberFormat="1" applyFill="1" applyAlignment="1">
      <alignment horizontal="right"/>
    </xf>
    <xf numFmtId="169" fontId="0" fillId="0" borderId="0" xfId="0" applyNumberFormat="1" applyAlignment="1">
      <alignment horizontal="right"/>
    </xf>
    <xf numFmtId="164" fontId="4" fillId="0" borderId="0" xfId="0" applyNumberFormat="1" applyFont="1" applyAlignment="1">
      <alignment horizontal="right"/>
    </xf>
    <xf numFmtId="182" fontId="0" fillId="0" borderId="1" xfId="0" applyNumberFormat="1" applyBorder="1"/>
    <xf numFmtId="164" fontId="0" fillId="0" borderId="1" xfId="0" applyNumberFormat="1" applyBorder="1" applyAlignment="1">
      <alignment horizontal="right"/>
    </xf>
    <xf numFmtId="11" fontId="0" fillId="0" borderId="1" xfId="0" applyNumberFormat="1" applyBorder="1"/>
    <xf numFmtId="169" fontId="0" fillId="0" borderId="1" xfId="0" applyNumberFormat="1" applyBorder="1"/>
    <xf numFmtId="165" fontId="0" fillId="0" borderId="1" xfId="0" applyNumberFormat="1" applyBorder="1" applyAlignment="1">
      <alignment horizontal="center"/>
    </xf>
    <xf numFmtId="1" fontId="0" fillId="0" borderId="1" xfId="0" applyNumberFormat="1" applyBorder="1" applyAlignment="1">
      <alignment horizontal="center"/>
    </xf>
    <xf numFmtId="9" fontId="0" fillId="0" borderId="1" xfId="0" applyNumberFormat="1" applyBorder="1"/>
    <xf numFmtId="0" fontId="0" fillId="18" borderId="1" xfId="0" applyFill="1" applyBorder="1"/>
    <xf numFmtId="9" fontId="0" fillId="0" borderId="1" xfId="0" applyNumberFormat="1" applyBorder="1" applyAlignment="1">
      <alignment horizontal="center"/>
    </xf>
    <xf numFmtId="182" fontId="0" fillId="4" borderId="0" xfId="0" applyNumberFormat="1" applyFill="1"/>
    <xf numFmtId="164" fontId="0" fillId="0" borderId="0" xfId="0" applyNumberFormat="1" applyAlignment="1">
      <alignment horizontal="right"/>
    </xf>
    <xf numFmtId="165" fontId="32" fillId="0" borderId="0" xfId="0" applyNumberFormat="1" applyFont="1" applyAlignment="1">
      <alignment horizontal="center"/>
    </xf>
    <xf numFmtId="1" fontId="32" fillId="0" borderId="0" xfId="0" applyNumberFormat="1" applyFont="1" applyAlignment="1">
      <alignment horizontal="center"/>
    </xf>
    <xf numFmtId="0" fontId="0" fillId="18" borderId="0" xfId="0" applyFill="1"/>
    <xf numFmtId="1" fontId="0" fillId="0" borderId="0" xfId="0" applyNumberFormat="1" applyAlignment="1">
      <alignment horizontal="center"/>
    </xf>
    <xf numFmtId="9" fontId="0" fillId="18" borderId="0" xfId="0" applyNumberFormat="1" applyFill="1"/>
    <xf numFmtId="164" fontId="0" fillId="13" borderId="0" xfId="0" applyNumberFormat="1" applyFill="1" applyAlignment="1">
      <alignment horizontal="right"/>
    </xf>
    <xf numFmtId="11" fontId="0" fillId="13" borderId="0" xfId="0" applyNumberFormat="1" applyFill="1"/>
    <xf numFmtId="169" fontId="0" fillId="13" borderId="0" xfId="0" applyNumberFormat="1" applyFill="1"/>
    <xf numFmtId="9" fontId="0" fillId="14" borderId="0" xfId="0" applyNumberFormat="1" applyFill="1"/>
    <xf numFmtId="9" fontId="0" fillId="11" borderId="0" xfId="0" applyNumberFormat="1" applyFill="1"/>
    <xf numFmtId="9" fontId="4" fillId="14" borderId="0" xfId="0" applyNumberFormat="1" applyFont="1" applyFill="1"/>
    <xf numFmtId="0" fontId="8" fillId="0" borderId="0" xfId="0" applyFont="1" applyAlignment="1">
      <alignment horizontal="right"/>
    </xf>
    <xf numFmtId="170" fontId="69" fillId="2" borderId="0" xfId="2" applyNumberFormat="1" applyFont="1" applyFill="1"/>
    <xf numFmtId="9" fontId="4" fillId="11" borderId="0" xfId="0" applyNumberFormat="1" applyFont="1" applyFill="1"/>
    <xf numFmtId="169" fontId="4" fillId="0" borderId="0" xfId="0" applyNumberFormat="1" applyFont="1" applyAlignment="1">
      <alignment horizontal="right"/>
    </xf>
    <xf numFmtId="3" fontId="0" fillId="0" borderId="1" xfId="0" applyNumberFormat="1" applyBorder="1"/>
    <xf numFmtId="3" fontId="0" fillId="18" borderId="1" xfId="0" applyNumberFormat="1" applyFill="1" applyBorder="1" applyAlignment="1">
      <alignment horizontal="right"/>
    </xf>
    <xf numFmtId="3" fontId="0" fillId="18" borderId="1" xfId="0" applyNumberFormat="1" applyFill="1" applyBorder="1"/>
    <xf numFmtId="164" fontId="0" fillId="18" borderId="1" xfId="0" applyNumberFormat="1" applyFill="1" applyBorder="1" applyAlignment="1">
      <alignment horizontal="right"/>
    </xf>
    <xf numFmtId="169" fontId="0" fillId="18" borderId="1" xfId="0" applyNumberFormat="1" applyFill="1" applyBorder="1"/>
    <xf numFmtId="3" fontId="0" fillId="18" borderId="0" xfId="0" applyNumberFormat="1" applyFill="1" applyAlignment="1">
      <alignment horizontal="right"/>
    </xf>
    <xf numFmtId="3" fontId="0" fillId="18" borderId="0" xfId="0" applyNumberFormat="1" applyFill="1"/>
    <xf numFmtId="164" fontId="0" fillId="18" borderId="0" xfId="0" applyNumberFormat="1" applyFill="1" applyAlignment="1">
      <alignment horizontal="right"/>
    </xf>
    <xf numFmtId="169" fontId="0" fillId="18" borderId="0" xfId="0" applyNumberFormat="1" applyFill="1"/>
    <xf numFmtId="164" fontId="0" fillId="18" borderId="2" xfId="0" applyNumberFormat="1" applyFill="1" applyBorder="1" applyAlignment="1">
      <alignment horizontal="right"/>
    </xf>
    <xf numFmtId="3" fontId="0" fillId="18" borderId="2" xfId="0" applyNumberFormat="1" applyFill="1" applyBorder="1"/>
    <xf numFmtId="3" fontId="0" fillId="0" borderId="2" xfId="0" applyNumberFormat="1" applyBorder="1" applyAlignment="1">
      <alignment horizontal="right"/>
    </xf>
    <xf numFmtId="169" fontId="0" fillId="18" borderId="2" xfId="0" applyNumberFormat="1" applyFill="1" applyBorder="1"/>
    <xf numFmtId="164" fontId="0" fillId="0" borderId="2" xfId="0" applyNumberFormat="1" applyBorder="1"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 fontId="0" fillId="0" borderId="2" xfId="0" applyNumberFormat="1" applyBorder="1"/>
    <xf numFmtId="1" fontId="0" fillId="11" borderId="2" xfId="0" applyNumberFormat="1" applyFill="1" applyBorder="1"/>
    <xf numFmtId="164" fontId="0" fillId="11" borderId="2" xfId="0" applyNumberFormat="1" applyFill="1" applyBorder="1"/>
    <xf numFmtId="183" fontId="0" fillId="11" borderId="2" xfId="0" applyNumberFormat="1" applyFill="1" applyBorder="1" applyAlignment="1">
      <alignment horizontal="center"/>
    </xf>
    <xf numFmtId="184" fontId="0" fillId="11" borderId="2" xfId="0" applyNumberFormat="1" applyFill="1" applyBorder="1" applyAlignment="1">
      <alignment horizontal="center"/>
    </xf>
    <xf numFmtId="1" fontId="0" fillId="11" borderId="0" xfId="0" applyNumberFormat="1" applyFill="1"/>
    <xf numFmtId="183" fontId="0" fillId="11" borderId="0" xfId="0" applyNumberFormat="1" applyFill="1" applyAlignment="1">
      <alignment horizontal="center"/>
    </xf>
    <xf numFmtId="184" fontId="0" fillId="11" borderId="0" xfId="0" applyNumberFormat="1" applyFill="1" applyAlignment="1">
      <alignment horizontal="center"/>
    </xf>
    <xf numFmtId="0" fontId="0" fillId="11" borderId="0" xfId="0" applyFill="1" applyAlignment="1">
      <alignment horizontal="center"/>
    </xf>
    <xf numFmtId="1" fontId="0" fillId="22" borderId="2" xfId="0" applyNumberFormat="1" applyFill="1" applyBorder="1"/>
    <xf numFmtId="164" fontId="0" fillId="22" borderId="2" xfId="0" applyNumberFormat="1" applyFill="1" applyBorder="1"/>
    <xf numFmtId="183" fontId="0" fillId="22" borderId="2" xfId="0" applyNumberFormat="1" applyFill="1" applyBorder="1" applyAlignment="1">
      <alignment horizontal="center"/>
    </xf>
    <xf numFmtId="184" fontId="0" fillId="22" borderId="2" xfId="0" applyNumberFormat="1" applyFill="1" applyBorder="1" applyAlignment="1">
      <alignment horizontal="center"/>
    </xf>
    <xf numFmtId="0" fontId="0" fillId="22" borderId="2" xfId="0" applyFill="1" applyBorder="1" applyAlignment="1">
      <alignment horizontal="center"/>
    </xf>
    <xf numFmtId="1" fontId="0" fillId="22" borderId="0" xfId="0" applyNumberFormat="1" applyFill="1"/>
    <xf numFmtId="164" fontId="0" fillId="22" borderId="0" xfId="0" applyNumberFormat="1" applyFill="1"/>
    <xf numFmtId="183" fontId="0" fillId="22" borderId="0" xfId="0" applyNumberFormat="1" applyFill="1" applyAlignment="1">
      <alignment horizontal="center"/>
    </xf>
    <xf numFmtId="184" fontId="0" fillId="22" borderId="0" xfId="0" applyNumberFormat="1" applyFill="1" applyAlignment="1">
      <alignment horizontal="center"/>
    </xf>
    <xf numFmtId="0" fontId="0" fillId="22" borderId="0" xfId="0" applyFill="1" applyAlignment="1">
      <alignment horizontal="center"/>
    </xf>
    <xf numFmtId="17" fontId="0" fillId="0" borderId="0" xfId="0" quotePrefix="1" applyNumberFormat="1" applyAlignment="1">
      <alignment horizontal="center"/>
    </xf>
    <xf numFmtId="1" fontId="4" fillId="0" borderId="1" xfId="0" applyNumberFormat="1" applyFont="1" applyBorder="1" applyAlignment="1">
      <alignment horizontal="center"/>
    </xf>
    <xf numFmtId="170" fontId="4" fillId="4" borderId="0" xfId="1" applyNumberFormat="1" applyFont="1" applyFill="1"/>
    <xf numFmtId="3" fontId="0" fillId="4" borderId="1" xfId="0" applyNumberFormat="1" applyFill="1" applyBorder="1"/>
    <xf numFmtId="170" fontId="4" fillId="4" borderId="1" xfId="1" applyNumberFormat="1" applyFont="1" applyFill="1" applyBorder="1"/>
    <xf numFmtId="3" fontId="4" fillId="4" borderId="0" xfId="0" applyNumberFormat="1" applyFont="1" applyFill="1"/>
    <xf numFmtId="185" fontId="0" fillId="0" borderId="0" xfId="0" applyNumberFormat="1" applyAlignment="1">
      <alignment horizontal="center"/>
    </xf>
    <xf numFmtId="166" fontId="0" fillId="0" borderId="0" xfId="0" applyNumberFormat="1" applyAlignment="1">
      <alignment horizontal="center"/>
    </xf>
    <xf numFmtId="10" fontId="0" fillId="18" borderId="0" xfId="1" applyNumberFormat="1" applyFont="1" applyFill="1"/>
    <xf numFmtId="182" fontId="4" fillId="18" borderId="0" xfId="0" applyNumberFormat="1" applyFont="1" applyFill="1"/>
    <xf numFmtId="179" fontId="4" fillId="0" borderId="0" xfId="0" applyNumberFormat="1" applyFont="1"/>
    <xf numFmtId="182" fontId="0" fillId="18" borderId="0" xfId="0" applyNumberFormat="1" applyFill="1"/>
    <xf numFmtId="10" fontId="4" fillId="0" borderId="0" xfId="1" applyNumberFormat="1" applyFont="1"/>
    <xf numFmtId="165" fontId="0" fillId="0" borderId="1" xfId="0" applyNumberFormat="1" applyBorder="1"/>
    <xf numFmtId="16" fontId="0" fillId="0" borderId="0" xfId="0" applyNumberFormat="1"/>
    <xf numFmtId="165" fontId="0" fillId="12" borderId="0" xfId="0" applyNumberFormat="1" applyFill="1"/>
    <xf numFmtId="165" fontId="0" fillId="12" borderId="1" xfId="0" applyNumberFormat="1" applyFill="1" applyBorder="1"/>
    <xf numFmtId="170" fontId="10" fillId="13" borderId="0" xfId="11" applyNumberFormat="1" applyFont="1" applyFill="1"/>
    <xf numFmtId="0" fontId="7" fillId="0" borderId="0" xfId="11" applyFont="1"/>
    <xf numFmtId="0" fontId="7" fillId="0" borderId="0" xfId="11" applyFont="1" applyAlignment="1">
      <alignment horizontal="center"/>
    </xf>
    <xf numFmtId="0" fontId="73" fillId="0" borderId="0" xfId="11" applyFont="1" applyAlignment="1">
      <alignment horizontal="center"/>
    </xf>
    <xf numFmtId="3" fontId="28" fillId="4" borderId="0" xfId="0" applyNumberFormat="1" applyFont="1" applyFill="1"/>
    <xf numFmtId="0" fontId="4" fillId="5" borderId="1" xfId="0" applyFont="1" applyFill="1" applyBorder="1" applyAlignment="1">
      <alignment horizontal="center"/>
    </xf>
    <xf numFmtId="0" fontId="0" fillId="3" borderId="1" xfId="0" applyFill="1" applyBorder="1" applyAlignment="1">
      <alignment horizontal="center"/>
    </xf>
    <xf numFmtId="0" fontId="0" fillId="23" borderId="1" xfId="0" applyFill="1" applyBorder="1" applyAlignment="1">
      <alignment horizontal="center"/>
    </xf>
    <xf numFmtId="0" fontId="0" fillId="13" borderId="1" xfId="0" applyFill="1" applyBorder="1" applyAlignment="1">
      <alignment horizontal="center"/>
    </xf>
    <xf numFmtId="0" fontId="10" fillId="0" borderId="1" xfId="0" applyFont="1" applyBorder="1" applyAlignment="1">
      <alignment horizontal="center"/>
    </xf>
    <xf numFmtId="0" fontId="29" fillId="0" borderId="1" xfId="0" applyFont="1" applyBorder="1" applyAlignment="1">
      <alignment horizontal="center"/>
    </xf>
    <xf numFmtId="0" fontId="10" fillId="5" borderId="0" xfId="11" applyFont="1" applyFill="1" applyAlignment="1">
      <alignment horizontal="center"/>
    </xf>
    <xf numFmtId="3" fontId="0" fillId="23" borderId="0" xfId="0" applyNumberFormat="1" applyFill="1"/>
    <xf numFmtId="1" fontId="10" fillId="0" borderId="0" xfId="0" applyNumberFormat="1" applyFont="1"/>
    <xf numFmtId="1" fontId="10" fillId="13" borderId="0" xfId="0" applyNumberFormat="1" applyFont="1" applyFill="1"/>
    <xf numFmtId="164" fontId="10" fillId="11" borderId="0" xfId="0" applyNumberFormat="1" applyFont="1" applyFill="1"/>
    <xf numFmtId="164" fontId="29" fillId="11" borderId="0" xfId="0" applyNumberFormat="1" applyFont="1" applyFill="1"/>
    <xf numFmtId="164" fontId="10" fillId="3" borderId="0" xfId="0" applyNumberFormat="1" applyFont="1" applyFill="1"/>
    <xf numFmtId="164" fontId="29" fillId="3" borderId="0" xfId="0" applyNumberFormat="1" applyFont="1" applyFill="1"/>
    <xf numFmtId="3" fontId="3" fillId="19" borderId="0" xfId="0" applyNumberFormat="1" applyFont="1" applyFill="1"/>
    <xf numFmtId="1" fontId="0" fillId="0" borderId="2" xfId="0" applyNumberFormat="1" applyBorder="1" applyAlignment="1">
      <alignment horizontal="center"/>
    </xf>
    <xf numFmtId="0" fontId="10" fillId="5" borderId="2" xfId="11" applyFont="1" applyFill="1" applyBorder="1" applyAlignment="1">
      <alignment horizontal="center"/>
    </xf>
    <xf numFmtId="3" fontId="0" fillId="23" borderId="2" xfId="0" applyNumberFormat="1" applyFill="1" applyBorder="1"/>
    <xf numFmtId="1" fontId="10" fillId="0" borderId="2" xfId="0" applyNumberFormat="1" applyFont="1" applyBorder="1"/>
    <xf numFmtId="1" fontId="10" fillId="13" borderId="2" xfId="0" applyNumberFormat="1" applyFont="1" applyFill="1" applyBorder="1"/>
    <xf numFmtId="164" fontId="10" fillId="11" borderId="2" xfId="0" applyNumberFormat="1" applyFont="1" applyFill="1" applyBorder="1"/>
    <xf numFmtId="164" fontId="29" fillId="11" borderId="2" xfId="0" applyNumberFormat="1" applyFont="1" applyFill="1" applyBorder="1"/>
    <xf numFmtId="164" fontId="10" fillId="3" borderId="2" xfId="0" applyNumberFormat="1" applyFont="1" applyFill="1" applyBorder="1"/>
    <xf numFmtId="164" fontId="29" fillId="3" borderId="2" xfId="0" applyNumberFormat="1" applyFont="1" applyFill="1" applyBorder="1"/>
    <xf numFmtId="3" fontId="4" fillId="3" borderId="0" xfId="0" applyNumberFormat="1" applyFont="1" applyFill="1"/>
    <xf numFmtId="3" fontId="4" fillId="23" borderId="0" xfId="0" applyNumberFormat="1" applyFont="1" applyFill="1"/>
    <xf numFmtId="3" fontId="4" fillId="13" borderId="0" xfId="0" applyNumberFormat="1" applyFont="1" applyFill="1"/>
    <xf numFmtId="1" fontId="10" fillId="0" borderId="0" xfId="11" applyNumberFormat="1" applyFont="1"/>
    <xf numFmtId="165" fontId="56" fillId="0" borderId="0" xfId="11" applyNumberFormat="1" applyFont="1"/>
    <xf numFmtId="0" fontId="21" fillId="0" borderId="0" xfId="11" applyFont="1" applyAlignment="1">
      <alignment horizontal="right"/>
    </xf>
    <xf numFmtId="3" fontId="4" fillId="14" borderId="0" xfId="0" applyNumberFormat="1" applyFont="1" applyFill="1"/>
    <xf numFmtId="169" fontId="0" fillId="24" borderId="0" xfId="0" applyNumberFormat="1" applyFill="1"/>
    <xf numFmtId="169" fontId="4" fillId="24" borderId="0" xfId="0" applyNumberFormat="1" applyFont="1" applyFill="1"/>
    <xf numFmtId="3" fontId="0" fillId="24" borderId="0" xfId="0" applyNumberFormat="1" applyFill="1"/>
    <xf numFmtId="9" fontId="0" fillId="0" borderId="0" xfId="1" applyFont="1"/>
    <xf numFmtId="9" fontId="4" fillId="4" borderId="0" xfId="1" applyFont="1" applyFill="1"/>
    <xf numFmtId="169" fontId="0" fillId="24" borderId="2" xfId="0" applyNumberFormat="1" applyFill="1" applyBorder="1"/>
    <xf numFmtId="169" fontId="4" fillId="24" borderId="2" xfId="0" applyNumberFormat="1" applyFont="1" applyFill="1" applyBorder="1"/>
    <xf numFmtId="164" fontId="12" fillId="0" borderId="0" xfId="0" applyNumberFormat="1" applyFont="1" applyAlignment="1">
      <alignment horizontal="center"/>
    </xf>
    <xf numFmtId="165" fontId="4" fillId="4" borderId="0" xfId="0" applyNumberFormat="1" applyFont="1" applyFill="1" applyAlignment="1">
      <alignment horizontal="center"/>
    </xf>
    <xf numFmtId="0" fontId="4" fillId="0" borderId="0" xfId="0" applyFont="1" applyAlignment="1">
      <alignment horizontal="left"/>
    </xf>
    <xf numFmtId="0" fontId="15" fillId="2" borderId="0" xfId="0" applyFont="1" applyFill="1" applyAlignment="1">
      <alignment horizontal="center"/>
    </xf>
    <xf numFmtId="0" fontId="75" fillId="0" borderId="0" xfId="0" quotePrefix="1" applyFont="1" applyAlignment="1">
      <alignment horizontal="left" indent="1"/>
    </xf>
    <xf numFmtId="0" fontId="15" fillId="0" borderId="14" xfId="0" applyFont="1" applyBorder="1"/>
    <xf numFmtId="0" fontId="15" fillId="0" borderId="15" xfId="0" applyFont="1" applyBorder="1"/>
    <xf numFmtId="9" fontId="0" fillId="4" borderId="0" xfId="1" applyFont="1" applyFill="1" applyAlignment="1">
      <alignment horizontal="center"/>
    </xf>
    <xf numFmtId="0" fontId="10" fillId="0" borderId="0" xfId="0" quotePrefix="1" applyFont="1"/>
    <xf numFmtId="170" fontId="0" fillId="0" borderId="0" xfId="1" quotePrefix="1" applyNumberFormat="1" applyFont="1"/>
    <xf numFmtId="170" fontId="10" fillId="0" borderId="0" xfId="0" quotePrefix="1" applyNumberFormat="1" applyFont="1"/>
    <xf numFmtId="170" fontId="10" fillId="0" borderId="2" xfId="0" quotePrefix="1" applyNumberFormat="1" applyFont="1" applyBorder="1"/>
    <xf numFmtId="165" fontId="0" fillId="18" borderId="0" xfId="0" applyNumberFormat="1" applyFill="1"/>
    <xf numFmtId="0" fontId="0" fillId="21" borderId="0" xfId="0" applyFill="1"/>
    <xf numFmtId="0" fontId="0" fillId="21" borderId="2" xfId="0" applyFill="1" applyBorder="1"/>
    <xf numFmtId="165" fontId="0" fillId="21" borderId="0" xfId="0" applyNumberFormat="1" applyFill="1"/>
    <xf numFmtId="165" fontId="0" fillId="21" borderId="2" xfId="0" applyNumberFormat="1" applyFill="1" applyBorder="1"/>
    <xf numFmtId="169" fontId="0" fillId="21" borderId="0" xfId="0" applyNumberFormat="1" applyFill="1"/>
    <xf numFmtId="3" fontId="0" fillId="21" borderId="0" xfId="0" applyNumberFormat="1" applyFill="1"/>
    <xf numFmtId="0" fontId="4" fillId="0" borderId="0" xfId="0" applyFont="1" applyAlignment="1">
      <alignment horizontal="right" vertical="center"/>
    </xf>
    <xf numFmtId="170" fontId="0" fillId="4" borderId="0" xfId="0" applyNumberFormat="1" applyFill="1"/>
    <xf numFmtId="166" fontId="0" fillId="4" borderId="0" xfId="0" applyNumberFormat="1" applyFill="1"/>
    <xf numFmtId="9" fontId="0" fillId="4" borderId="0" xfId="0" applyNumberFormat="1" applyFill="1" applyAlignment="1">
      <alignment horizontal="center"/>
    </xf>
    <xf numFmtId="2" fontId="0" fillId="13" borderId="0" xfId="0" applyNumberFormat="1" applyFill="1"/>
    <xf numFmtId="167" fontId="0" fillId="3" borderId="0" xfId="0" applyNumberFormat="1" applyFill="1"/>
    <xf numFmtId="167" fontId="0" fillId="0" borderId="3" xfId="0" applyNumberFormat="1" applyBorder="1"/>
    <xf numFmtId="165" fontId="0" fillId="3" borderId="0" xfId="0" applyNumberFormat="1" applyFill="1"/>
    <xf numFmtId="0" fontId="0" fillId="0" borderId="2" xfId="0" quotePrefix="1" applyBorder="1" applyAlignment="1">
      <alignment horizontal="center"/>
    </xf>
    <xf numFmtId="0" fontId="0" fillId="3" borderId="2" xfId="0" applyFill="1" applyBorder="1"/>
    <xf numFmtId="165" fontId="0" fillId="3" borderId="2" xfId="0" applyNumberFormat="1" applyFill="1" applyBorder="1"/>
    <xf numFmtId="167" fontId="0" fillId="3" borderId="2" xfId="0" applyNumberFormat="1" applyFill="1" applyBorder="1"/>
    <xf numFmtId="9" fontId="4" fillId="25" borderId="0" xfId="1" applyFont="1" applyFill="1"/>
    <xf numFmtId="170" fontId="4" fillId="25" borderId="0" xfId="1" applyNumberFormat="1" applyFont="1" applyFill="1"/>
    <xf numFmtId="186" fontId="0" fillId="0" borderId="0" xfId="0" applyNumberFormat="1"/>
    <xf numFmtId="187" fontId="0" fillId="0" borderId="0" xfId="0" applyNumberFormat="1"/>
    <xf numFmtId="165" fontId="17" fillId="4" borderId="0" xfId="7" applyNumberFormat="1" applyFont="1" applyFill="1"/>
    <xf numFmtId="2" fontId="4" fillId="0" borderId="0" xfId="0" applyNumberFormat="1" applyFont="1"/>
    <xf numFmtId="165" fontId="0" fillId="3" borderId="1" xfId="0" applyNumberFormat="1" applyFill="1" applyBorder="1"/>
    <xf numFmtId="9" fontId="4" fillId="3" borderId="0" xfId="1" applyFont="1" applyFill="1"/>
    <xf numFmtId="165" fontId="0" fillId="0" borderId="0" xfId="0" applyNumberFormat="1" applyFont="1"/>
    <xf numFmtId="165" fontId="0" fillId="0" borderId="1" xfId="0" applyNumberFormat="1" applyFont="1" applyBorder="1"/>
    <xf numFmtId="0" fontId="4" fillId="2" borderId="0" xfId="0" applyFont="1" applyFill="1" applyAlignment="1">
      <alignment horizontal="center"/>
    </xf>
    <xf numFmtId="9" fontId="0" fillId="4" borderId="0" xfId="1" applyFont="1" applyFill="1" applyAlignment="1"/>
    <xf numFmtId="169" fontId="0" fillId="4" borderId="1" xfId="0" applyNumberFormat="1" applyFill="1" applyBorder="1"/>
    <xf numFmtId="169" fontId="4" fillId="21" borderId="1" xfId="0" applyNumberFormat="1" applyFont="1" applyFill="1" applyBorder="1"/>
    <xf numFmtId="0" fontId="8" fillId="2" borderId="0" xfId="0" applyFont="1" applyFill="1" applyAlignment="1">
      <alignment horizontal="center"/>
    </xf>
    <xf numFmtId="179" fontId="0" fillId="3" borderId="0" xfId="0" applyNumberFormat="1" applyFill="1"/>
    <xf numFmtId="179" fontId="4" fillId="3" borderId="0" xfId="0" applyNumberFormat="1" applyFont="1" applyFill="1"/>
    <xf numFmtId="182" fontId="0" fillId="3" borderId="0" xfId="0" applyNumberFormat="1" applyFill="1"/>
    <xf numFmtId="182" fontId="4" fillId="3" borderId="0" xfId="0" applyNumberFormat="1" applyFont="1" applyFill="1"/>
    <xf numFmtId="10" fontId="0" fillId="3" borderId="0" xfId="1" applyNumberFormat="1" applyFont="1" applyFill="1"/>
    <xf numFmtId="10" fontId="4" fillId="3" borderId="0" xfId="1" applyNumberFormat="1" applyFont="1" applyFill="1"/>
    <xf numFmtId="0" fontId="0" fillId="0" borderId="16" xfId="0" applyBorder="1" applyAlignment="1">
      <alignment horizontal="center"/>
    </xf>
    <xf numFmtId="0" fontId="0" fillId="0" borderId="16" xfId="0" applyBorder="1"/>
    <xf numFmtId="9" fontId="0" fillId="0" borderId="16" xfId="0" applyNumberFormat="1" applyBorder="1" applyAlignment="1">
      <alignment horizontal="center"/>
    </xf>
    <xf numFmtId="0" fontId="4" fillId="0" borderId="17" xfId="0" applyFont="1" applyBorder="1" applyAlignment="1">
      <alignment horizontal="center"/>
    </xf>
    <xf numFmtId="0" fontId="4" fillId="0" borderId="4" xfId="0" applyFont="1" applyBorder="1" applyAlignment="1">
      <alignment horizontal="center"/>
    </xf>
    <xf numFmtId="0" fontId="4" fillId="0" borderId="4" xfId="0" applyFont="1" applyBorder="1"/>
    <xf numFmtId="0" fontId="0" fillId="0" borderId="0" xfId="0" applyAlignment="1">
      <alignment horizontal="left" vertical="center"/>
    </xf>
    <xf numFmtId="0" fontId="0" fillId="0" borderId="0" xfId="0" applyAlignment="1">
      <alignment horizontal="left" vertical="center" wrapText="1"/>
    </xf>
    <xf numFmtId="179" fontId="0" fillId="0" borderId="0" xfId="0" applyNumberFormat="1" applyFont="1"/>
    <xf numFmtId="10" fontId="0" fillId="0" borderId="0" xfId="0" applyNumberFormat="1"/>
    <xf numFmtId="0" fontId="0" fillId="0" borderId="5" xfId="0" applyBorder="1"/>
    <xf numFmtId="0" fontId="0" fillId="0" borderId="18" xfId="0" applyBorder="1"/>
    <xf numFmtId="166" fontId="0" fillId="0" borderId="18" xfId="0" applyNumberFormat="1" applyBorder="1"/>
    <xf numFmtId="165" fontId="0" fillId="0" borderId="18" xfId="0" applyNumberFormat="1" applyBorder="1"/>
    <xf numFmtId="0" fontId="0" fillId="0" borderId="19" xfId="0" applyBorder="1"/>
    <xf numFmtId="170" fontId="0" fillId="0" borderId="20" xfId="1" applyNumberFormat="1" applyFont="1" applyBorder="1"/>
    <xf numFmtId="0" fontId="0" fillId="0" borderId="0" xfId="0" applyBorder="1" applyAlignment="1">
      <alignment horizontal="center"/>
    </xf>
    <xf numFmtId="0" fontId="0" fillId="0" borderId="2" xfId="0" applyFill="1" applyBorder="1" applyAlignment="1">
      <alignment horizontal="center"/>
    </xf>
    <xf numFmtId="0" fontId="0" fillId="0" borderId="0" xfId="0" applyBorder="1" applyAlignment="1"/>
    <xf numFmtId="188" fontId="0" fillId="0" borderId="0" xfId="0" applyNumberFormat="1"/>
    <xf numFmtId="169" fontId="0" fillId="0" borderId="0" xfId="0" applyNumberFormat="1" applyFont="1"/>
    <xf numFmtId="182" fontId="0" fillId="0" borderId="0" xfId="0" applyNumberFormat="1" applyFont="1"/>
    <xf numFmtId="0" fontId="0" fillId="0" borderId="0" xfId="0" applyAlignment="1"/>
    <xf numFmtId="0" fontId="0" fillId="0" borderId="2" xfId="0" applyBorder="1" applyAlignment="1"/>
    <xf numFmtId="180" fontId="0" fillId="0" borderId="2" xfId="0" applyNumberFormat="1" applyBorder="1"/>
    <xf numFmtId="0" fontId="4" fillId="0" borderId="0" xfId="0" applyFont="1" applyAlignment="1"/>
    <xf numFmtId="180" fontId="4" fillId="0" borderId="0" xfId="0" applyNumberFormat="1" applyFont="1"/>
    <xf numFmtId="170" fontId="0" fillId="0" borderId="0" xfId="0" applyNumberFormat="1" applyAlignment="1">
      <alignment horizontal="center"/>
    </xf>
    <xf numFmtId="165" fontId="4" fillId="2" borderId="0" xfId="0" applyNumberFormat="1" applyFont="1" applyFill="1" applyAlignment="1">
      <alignment horizontal="center"/>
    </xf>
    <xf numFmtId="0" fontId="0" fillId="0" borderId="18" xfId="0" applyBorder="1" applyAlignment="1">
      <alignment horizontal="center"/>
    </xf>
    <xf numFmtId="167" fontId="0" fillId="0" borderId="18" xfId="0" applyNumberFormat="1" applyBorder="1"/>
    <xf numFmtId="179" fontId="0" fillId="3" borderId="0" xfId="0" applyNumberFormat="1" applyFont="1" applyFill="1"/>
    <xf numFmtId="182" fontId="0" fillId="3" borderId="0" xfId="0" applyNumberFormat="1" applyFont="1" applyFill="1"/>
    <xf numFmtId="0" fontId="4" fillId="0" borderId="5" xfId="0" applyFont="1" applyBorder="1"/>
    <xf numFmtId="166" fontId="4" fillId="0" borderId="18" xfId="0" applyNumberFormat="1" applyFont="1" applyBorder="1"/>
    <xf numFmtId="0" fontId="4" fillId="0" borderId="19" xfId="0" applyFont="1" applyBorder="1"/>
    <xf numFmtId="167" fontId="4" fillId="0" borderId="20" xfId="0" applyNumberFormat="1" applyFont="1" applyBorder="1"/>
    <xf numFmtId="3" fontId="35" fillId="26" borderId="0" xfId="0" applyNumberFormat="1" applyFont="1" applyFill="1" applyAlignment="1">
      <alignment horizontal="center"/>
    </xf>
    <xf numFmtId="0" fontId="0" fillId="0" borderId="0" xfId="0" applyFill="1" applyBorder="1" applyAlignment="1">
      <alignment horizontal="center"/>
    </xf>
    <xf numFmtId="3" fontId="4" fillId="19" borderId="0" xfId="0" applyNumberFormat="1" applyFont="1" applyFill="1" applyAlignment="1">
      <alignment horizontal="center"/>
    </xf>
    <xf numFmtId="189" fontId="0" fillId="4" borderId="0" xfId="0" applyNumberFormat="1" applyFill="1"/>
    <xf numFmtId="190" fontId="0" fillId="4" borderId="0" xfId="0" applyNumberFormat="1" applyFill="1"/>
    <xf numFmtId="0" fontId="0" fillId="27" borderId="0" xfId="0" applyFill="1"/>
    <xf numFmtId="0" fontId="0" fillId="27" borderId="0" xfId="0" applyFill="1" applyAlignment="1">
      <alignment horizontal="center"/>
    </xf>
    <xf numFmtId="189" fontId="0" fillId="27" borderId="0" xfId="0" applyNumberFormat="1" applyFill="1"/>
    <xf numFmtId="189" fontId="4" fillId="27" borderId="0" xfId="0" applyNumberFormat="1" applyFont="1" applyFill="1"/>
    <xf numFmtId="189" fontId="4" fillId="4" borderId="0" xfId="0" applyNumberFormat="1" applyFont="1" applyFill="1"/>
    <xf numFmtId="0" fontId="0" fillId="27" borderId="2" xfId="0" applyFill="1" applyBorder="1"/>
    <xf numFmtId="0" fontId="0" fillId="27" borderId="2" xfId="0" applyFill="1" applyBorder="1" applyAlignment="1">
      <alignment horizontal="center"/>
    </xf>
    <xf numFmtId="189" fontId="0" fillId="27" borderId="2" xfId="0" applyNumberFormat="1" applyFill="1" applyBorder="1"/>
    <xf numFmtId="189" fontId="0" fillId="4" borderId="2" xfId="0" applyNumberFormat="1" applyFill="1" applyBorder="1"/>
    <xf numFmtId="182" fontId="76" fillId="0" borderId="0" xfId="0" applyNumberFormat="1" applyFont="1"/>
    <xf numFmtId="179" fontId="4" fillId="0" borderId="2" xfId="0" applyNumberFormat="1" applyFont="1" applyBorder="1"/>
    <xf numFmtId="182" fontId="4" fillId="0" borderId="2" xfId="0" applyNumberFormat="1" applyFont="1" applyBorder="1"/>
    <xf numFmtId="191" fontId="0" fillId="0" borderId="0" xfId="1" applyNumberFormat="1" applyFont="1"/>
    <xf numFmtId="191" fontId="4" fillId="0" borderId="0" xfId="1" applyNumberFormat="1" applyFont="1"/>
    <xf numFmtId="191" fontId="4" fillId="12" borderId="0" xfId="1" applyNumberFormat="1" applyFont="1" applyFill="1"/>
    <xf numFmtId="171" fontId="12" fillId="0" borderId="2" xfId="7" applyNumberFormat="1" applyFont="1" applyBorder="1" applyAlignment="1">
      <alignment horizontal="center"/>
    </xf>
    <xf numFmtId="0" fontId="12" fillId="0" borderId="0" xfId="7" applyFont="1" applyAlignment="1">
      <alignment horizontal="right"/>
    </xf>
    <xf numFmtId="11" fontId="77" fillId="4" borderId="0" xfId="0" applyNumberFormat="1" applyFont="1" applyFill="1"/>
    <xf numFmtId="0" fontId="77" fillId="4" borderId="0" xfId="0" applyFont="1" applyFill="1"/>
    <xf numFmtId="165" fontId="0" fillId="27" borderId="0" xfId="0" applyNumberFormat="1" applyFill="1"/>
    <xf numFmtId="165" fontId="25" fillId="27" borderId="0" xfId="0" applyNumberFormat="1" applyFont="1" applyFill="1"/>
    <xf numFmtId="165" fontId="0" fillId="27" borderId="0" xfId="0" applyNumberFormat="1" applyFill="1" applyAlignment="1">
      <alignment horizontal="right"/>
    </xf>
    <xf numFmtId="165" fontId="3" fillId="27" borderId="0" xfId="0" applyNumberFormat="1" applyFont="1" applyFill="1"/>
    <xf numFmtId="165" fontId="10" fillId="27" borderId="0" xfId="0" applyNumberFormat="1" applyFont="1" applyFill="1"/>
    <xf numFmtId="11" fontId="0" fillId="27" borderId="0" xfId="0" applyNumberFormat="1" applyFill="1"/>
    <xf numFmtId="9" fontId="0" fillId="2" borderId="16" xfId="0" applyNumberFormat="1" applyFill="1" applyBorder="1" applyAlignment="1">
      <alignment horizontal="center"/>
    </xf>
    <xf numFmtId="3" fontId="0" fillId="4" borderId="16" xfId="0" applyNumberFormat="1" applyFill="1" applyBorder="1" applyAlignment="1">
      <alignment horizontal="center"/>
    </xf>
    <xf numFmtId="9" fontId="0" fillId="0" borderId="16" xfId="1" applyNumberFormat="1" applyFont="1" applyBorder="1" applyAlignment="1">
      <alignment horizontal="center"/>
    </xf>
    <xf numFmtId="0" fontId="18" fillId="0" borderId="0" xfId="0" applyFont="1" applyFill="1" applyBorder="1" applyAlignment="1">
      <alignment horizontal="center"/>
    </xf>
    <xf numFmtId="0" fontId="0" fillId="2" borderId="16" xfId="0" applyFill="1" applyBorder="1" applyAlignment="1">
      <alignment horizontal="center"/>
    </xf>
    <xf numFmtId="165" fontId="4" fillId="3" borderId="0" xfId="0" applyNumberFormat="1" applyFont="1" applyFill="1"/>
    <xf numFmtId="165" fontId="4" fillId="2" borderId="0" xfId="0" applyNumberFormat="1" applyFont="1" applyFill="1"/>
    <xf numFmtId="0" fontId="28" fillId="0" borderId="16" xfId="0" applyFont="1" applyBorder="1" applyAlignment="1">
      <alignment horizontal="center"/>
    </xf>
    <xf numFmtId="3" fontId="28" fillId="4" borderId="16" xfId="0" applyNumberFormat="1" applyFont="1" applyFill="1" applyBorder="1" applyAlignment="1">
      <alignment horizontal="center"/>
    </xf>
    <xf numFmtId="9" fontId="28" fillId="2" borderId="16" xfId="0" applyNumberFormat="1" applyFont="1" applyFill="1" applyBorder="1" applyAlignment="1">
      <alignment horizontal="center"/>
    </xf>
    <xf numFmtId="9" fontId="28" fillId="0" borderId="16" xfId="0" applyNumberFormat="1" applyFont="1" applyBorder="1" applyAlignment="1">
      <alignment horizontal="center"/>
    </xf>
    <xf numFmtId="9" fontId="28" fillId="0" borderId="16" xfId="1" applyNumberFormat="1" applyFont="1" applyBorder="1" applyAlignment="1">
      <alignment horizontal="center"/>
    </xf>
    <xf numFmtId="0" fontId="0" fillId="0" borderId="17" xfId="0" applyFont="1" applyBorder="1" applyAlignment="1">
      <alignment horizontal="center"/>
    </xf>
    <xf numFmtId="180" fontId="0" fillId="0" borderId="16" xfId="0" applyNumberFormat="1" applyBorder="1"/>
    <xf numFmtId="180" fontId="0" fillId="3" borderId="16" xfId="0" applyNumberFormat="1" applyFill="1" applyBorder="1"/>
    <xf numFmtId="180" fontId="4" fillId="0" borderId="16" xfId="0" applyNumberFormat="1" applyFont="1" applyBorder="1"/>
    <xf numFmtId="180" fontId="29" fillId="0" borderId="16" xfId="0" applyNumberFormat="1" applyFont="1" applyBorder="1"/>
    <xf numFmtId="180" fontId="29" fillId="3" borderId="16" xfId="0" applyNumberFormat="1" applyFont="1" applyFill="1" applyBorder="1"/>
    <xf numFmtId="180" fontId="28" fillId="0" borderId="16" xfId="0" applyNumberFormat="1" applyFont="1" applyBorder="1"/>
    <xf numFmtId="9" fontId="4" fillId="4" borderId="0" xfId="1" applyNumberFormat="1" applyFont="1" applyFill="1"/>
    <xf numFmtId="170" fontId="0" fillId="0" borderId="0" xfId="1" applyNumberFormat="1" applyFont="1" applyAlignment="1">
      <alignment horizontal="center"/>
    </xf>
    <xf numFmtId="170" fontId="0" fillId="0" borderId="2" xfId="1" applyNumberFormat="1" applyFont="1" applyBorder="1" applyAlignment="1">
      <alignment horizontal="center"/>
    </xf>
    <xf numFmtId="170" fontId="12" fillId="0" borderId="0" xfId="1" applyNumberFormat="1" applyFont="1"/>
    <xf numFmtId="165" fontId="28" fillId="4" borderId="0" xfId="0" applyNumberFormat="1" applyFont="1" applyFill="1"/>
    <xf numFmtId="169" fontId="28" fillId="4" borderId="0" xfId="0" applyNumberFormat="1" applyFont="1" applyFill="1"/>
    <xf numFmtId="0" fontId="4" fillId="0" borderId="16" xfId="0" applyFont="1" applyBorder="1" applyAlignment="1">
      <alignment horizontal="center"/>
    </xf>
    <xf numFmtId="0" fontId="15" fillId="0" borderId="0" xfId="0" applyFont="1" applyAlignment="1">
      <alignment horizontal="center"/>
    </xf>
    <xf numFmtId="0" fontId="9" fillId="0" borderId="0" xfId="0" applyFont="1" applyAlignment="1">
      <alignment horizontal="center"/>
    </xf>
    <xf numFmtId="9" fontId="4" fillId="19" borderId="0" xfId="0" applyNumberFormat="1" applyFont="1" applyFill="1" applyAlignment="1">
      <alignment horizontal="center" vertical="center"/>
    </xf>
    <xf numFmtId="0" fontId="4"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10" fillId="0" borderId="0" xfId="0" quotePrefix="1" applyFont="1" applyAlignment="1">
      <alignment horizontal="center"/>
    </xf>
    <xf numFmtId="0" fontId="0" fillId="4" borderId="0" xfId="0" applyFill="1" applyAlignment="1">
      <alignment horizontal="center"/>
    </xf>
    <xf numFmtId="0" fontId="0" fillId="4" borderId="2" xfId="0" applyFill="1" applyBorder="1" applyAlignment="1">
      <alignment horizontal="center"/>
    </xf>
    <xf numFmtId="0" fontId="0" fillId="18" borderId="0" xfId="0" applyFill="1" applyAlignment="1">
      <alignment horizontal="center"/>
    </xf>
    <xf numFmtId="0" fontId="0" fillId="0" borderId="3" xfId="0"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32" fillId="0" borderId="0" xfId="0" applyFont="1" applyAlignment="1">
      <alignment horizontal="center"/>
    </xf>
    <xf numFmtId="0" fontId="8" fillId="0" borderId="0" xfId="11" applyFont="1" applyAlignment="1">
      <alignment horizontal="center"/>
    </xf>
    <xf numFmtId="0" fontId="17" fillId="0" borderId="0" xfId="7" applyFont="1" applyAlignment="1">
      <alignment horizontal="center"/>
    </xf>
    <xf numFmtId="0" fontId="12" fillId="0" borderId="0" xfId="7" applyFont="1" applyAlignment="1">
      <alignment horizontal="center"/>
    </xf>
    <xf numFmtId="0" fontId="28" fillId="0" borderId="0" xfId="0" applyFont="1" applyAlignment="1">
      <alignment horizontal="center"/>
    </xf>
    <xf numFmtId="0" fontId="0" fillId="0" borderId="0" xfId="0" applyAlignment="1">
      <alignment horizontal="center" vertical="center" wrapText="1"/>
    </xf>
    <xf numFmtId="0" fontId="10" fillId="0" borderId="0" xfId="11" applyFont="1" applyAlignment="1">
      <alignment horizontal="center"/>
    </xf>
    <xf numFmtId="0" fontId="44" fillId="0" borderId="0" xfId="0" applyFont="1" applyAlignment="1">
      <alignment horizontal="center"/>
    </xf>
    <xf numFmtId="0" fontId="9" fillId="0" borderId="0" xfId="0" applyFont="1" applyAlignment="1">
      <alignment horizontal="center"/>
    </xf>
    <xf numFmtId="0" fontId="4" fillId="0" borderId="16" xfId="0" applyFont="1" applyBorder="1" applyAlignment="1">
      <alignment horizontal="center"/>
    </xf>
    <xf numFmtId="0" fontId="15" fillId="0" borderId="0" xfId="0" applyFont="1" applyAlignment="1">
      <alignment horizontal="center"/>
    </xf>
    <xf numFmtId="0" fontId="74" fillId="4" borderId="0" xfId="0" applyFont="1" applyFill="1" applyAlignment="1">
      <alignment horizontal="center"/>
    </xf>
    <xf numFmtId="9" fontId="4" fillId="19" borderId="0" xfId="1" applyFont="1" applyFill="1" applyAlignment="1">
      <alignment horizontal="center"/>
    </xf>
    <xf numFmtId="0" fontId="4" fillId="19" borderId="0" xfId="0" applyFont="1" applyFill="1" applyAlignment="1">
      <alignment horizontal="center" vertical="center"/>
    </xf>
    <xf numFmtId="0" fontId="9" fillId="3" borderId="0" xfId="0" applyFont="1" applyFill="1" applyAlignment="1">
      <alignment horizontal="center"/>
    </xf>
    <xf numFmtId="9" fontId="4" fillId="19" borderId="0" xfId="0" applyNumberFormat="1" applyFont="1" applyFill="1" applyAlignment="1">
      <alignment horizontal="center" vertical="center"/>
    </xf>
    <xf numFmtId="0" fontId="0" fillId="3" borderId="0" xfId="0" applyFill="1" applyAlignment="1">
      <alignment horizontal="center" vertical="center"/>
    </xf>
    <xf numFmtId="165" fontId="9" fillId="0" borderId="0" xfId="0" applyNumberFormat="1" applyFont="1" applyAlignment="1">
      <alignment horizontal="center"/>
    </xf>
    <xf numFmtId="2" fontId="4" fillId="0" borderId="0" xfId="0" applyNumberFormat="1" applyFont="1" applyAlignment="1">
      <alignment horizontal="center"/>
    </xf>
    <xf numFmtId="0" fontId="4" fillId="0" borderId="0" xfId="0" applyFont="1" applyAlignment="1">
      <alignment horizontal="center"/>
    </xf>
    <xf numFmtId="0" fontId="10" fillId="0" borderId="0" xfId="0" applyFont="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15" fillId="0" borderId="15" xfId="0" applyFont="1" applyBorder="1" applyAlignment="1">
      <alignment horizontal="center"/>
    </xf>
    <xf numFmtId="0" fontId="0" fillId="0" borderId="0" xfId="0" applyAlignment="1">
      <alignment horizontal="center"/>
    </xf>
    <xf numFmtId="170" fontId="0" fillId="0" borderId="3" xfId="0" applyNumberFormat="1" applyBorder="1" applyAlignment="1">
      <alignment horizontal="center" vertical="center"/>
    </xf>
    <xf numFmtId="170" fontId="0" fillId="0" borderId="0" xfId="0" applyNumberFormat="1" applyAlignment="1">
      <alignment horizontal="center" vertical="center"/>
    </xf>
    <xf numFmtId="0" fontId="0" fillId="0" borderId="2" xfId="0" applyBorder="1" applyAlignment="1">
      <alignment horizontal="center"/>
    </xf>
    <xf numFmtId="0" fontId="10" fillId="0" borderId="0" xfId="0" quotePrefix="1" applyFont="1" applyAlignment="1">
      <alignment horizontal="center"/>
    </xf>
    <xf numFmtId="0" fontId="0" fillId="0" borderId="2" xfId="0" applyBorder="1" applyAlignment="1">
      <alignment horizontal="right"/>
    </xf>
    <xf numFmtId="0" fontId="0" fillId="4" borderId="0" xfId="0" applyFill="1" applyAlignment="1">
      <alignment horizontal="center"/>
    </xf>
    <xf numFmtId="0" fontId="0" fillId="4" borderId="2" xfId="0" applyFill="1" applyBorder="1" applyAlignment="1">
      <alignment horizontal="center"/>
    </xf>
    <xf numFmtId="0" fontId="0" fillId="18" borderId="0" xfId="0" applyFill="1" applyAlignment="1">
      <alignment horizontal="center"/>
    </xf>
    <xf numFmtId="0" fontId="71" fillId="0" borderId="0" xfId="0" applyFont="1" applyAlignment="1">
      <alignment horizontal="center"/>
    </xf>
    <xf numFmtId="0" fontId="3" fillId="0" borderId="0" xfId="0" applyFont="1" applyAlignment="1">
      <alignment horizontal="center"/>
    </xf>
    <xf numFmtId="0" fontId="4" fillId="0" borderId="0" xfId="0" applyFont="1" applyAlignment="1">
      <alignment horizontal="left" wrapText="1"/>
    </xf>
    <xf numFmtId="0" fontId="12" fillId="0" borderId="0" xfId="0" applyFont="1" applyAlignment="1">
      <alignment horizontal="center"/>
    </xf>
    <xf numFmtId="169" fontId="4" fillId="0" borderId="0" xfId="0" applyNumberFormat="1" applyFont="1" applyAlignment="1">
      <alignment horizontal="center"/>
    </xf>
    <xf numFmtId="0" fontId="72" fillId="4" borderId="0" xfId="0" applyFont="1" applyFill="1" applyAlignment="1">
      <alignment horizontal="center"/>
    </xf>
    <xf numFmtId="0" fontId="9" fillId="4" borderId="0" xfId="0" applyFont="1" applyFill="1" applyAlignment="1">
      <alignment horizontal="center"/>
    </xf>
    <xf numFmtId="0" fontId="4" fillId="0" borderId="13" xfId="0" applyFont="1" applyBorder="1" applyAlignment="1">
      <alignment horizontal="center"/>
    </xf>
    <xf numFmtId="0" fontId="4" fillId="0" borderId="15"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0" fillId="0" borderId="3" xfId="0" applyBorder="1" applyAlignment="1">
      <alignment horizontal="center"/>
    </xf>
    <xf numFmtId="0" fontId="9" fillId="0" borderId="0" xfId="0" applyFont="1" applyFill="1" applyAlignment="1">
      <alignment horizontal="center"/>
    </xf>
    <xf numFmtId="0" fontId="16" fillId="0" borderId="0" xfId="0" applyFont="1" applyAlignment="1">
      <alignment horizontal="center"/>
    </xf>
    <xf numFmtId="0" fontId="8" fillId="0" borderId="0" xfId="0" applyFont="1" applyAlignment="1">
      <alignment horizontal="center"/>
    </xf>
    <xf numFmtId="0" fontId="32" fillId="0" borderId="0" xfId="0" applyFont="1" applyAlignment="1">
      <alignment horizontal="center"/>
    </xf>
    <xf numFmtId="0" fontId="31" fillId="0" borderId="0" xfId="0" applyFont="1" applyAlignment="1">
      <alignment horizontal="center"/>
    </xf>
    <xf numFmtId="0" fontId="8" fillId="0" borderId="0" xfId="11" applyFont="1" applyAlignment="1">
      <alignment horizontal="center"/>
    </xf>
    <xf numFmtId="0" fontId="6" fillId="0" borderId="0" xfId="0" applyFont="1" applyAlignment="1">
      <alignment horizontal="center"/>
    </xf>
    <xf numFmtId="0" fontId="15" fillId="0" borderId="1" xfId="0" applyFont="1" applyBorder="1" applyAlignment="1">
      <alignment horizontal="center"/>
    </xf>
    <xf numFmtId="0" fontId="57" fillId="0" borderId="0" xfId="14" applyFont="1" applyAlignment="1">
      <alignment horizontal="center"/>
    </xf>
    <xf numFmtId="0" fontId="61" fillId="0" borderId="0" xfId="7" applyFont="1" applyAlignment="1">
      <alignment horizontal="center"/>
    </xf>
    <xf numFmtId="0" fontId="17" fillId="0" borderId="0" xfId="7" applyFont="1" applyAlignment="1">
      <alignment horizontal="center"/>
    </xf>
    <xf numFmtId="0" fontId="17" fillId="0" borderId="0" xfId="0" applyFont="1" applyAlignment="1">
      <alignment horizontal="center"/>
    </xf>
    <xf numFmtId="10" fontId="66" fillId="0" borderId="0" xfId="1" applyNumberFormat="1"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2" fillId="0" borderId="0" xfId="7" applyFont="1" applyAlignment="1">
      <alignment horizontal="center"/>
    </xf>
    <xf numFmtId="0" fontId="33" fillId="0" borderId="0" xfId="7" applyFont="1" applyAlignment="1">
      <alignment horizontal="center"/>
    </xf>
    <xf numFmtId="0" fontId="28" fillId="0" borderId="0" xfId="0" applyFont="1" applyAlignment="1">
      <alignment horizontal="center"/>
    </xf>
    <xf numFmtId="0" fontId="0" fillId="0" borderId="0" xfId="0" applyAlignment="1">
      <alignment horizontal="center" vertical="center" wrapText="1"/>
    </xf>
    <xf numFmtId="0" fontId="0" fillId="0" borderId="0" xfId="0" applyAlignment="1">
      <alignment horizontal="left"/>
    </xf>
    <xf numFmtId="0" fontId="10" fillId="0" borderId="0" xfId="11" applyFont="1" applyAlignment="1">
      <alignment horizontal="center"/>
    </xf>
  </cellXfs>
  <cellStyles count="17">
    <cellStyle name="Hyperlink 2" xfId="6" xr:uid="{00000000-0005-0000-0000-000000000000}"/>
    <cellStyle name="Hyperlink 3" xfId="5" xr:uid="{00000000-0005-0000-0000-000001000000}"/>
    <cellStyle name="Normal" xfId="0" builtinId="0"/>
    <cellStyle name="Normal 2" xfId="2" xr:uid="{00000000-0005-0000-0000-000003000000}"/>
    <cellStyle name="Normal 2 2" xfId="7" xr:uid="{00000000-0005-0000-0000-000004000000}"/>
    <cellStyle name="Normal 2 2 2" xfId="10" xr:uid="{00000000-0005-0000-0000-000005000000}"/>
    <cellStyle name="Normal 2 4" xfId="4" xr:uid="{00000000-0005-0000-0000-000006000000}"/>
    <cellStyle name="Normal 3" xfId="8" xr:uid="{00000000-0005-0000-0000-000007000000}"/>
    <cellStyle name="Normal 3 2" xfId="14" xr:uid="{00000000-0005-0000-0000-000008000000}"/>
    <cellStyle name="Normal 4" xfId="11" xr:uid="{00000000-0005-0000-0000-000009000000}"/>
    <cellStyle name="Normal 4 3" xfId="13" xr:uid="{00000000-0005-0000-0000-00000A000000}"/>
    <cellStyle name="Normal 8 2" xfId="3" xr:uid="{00000000-0005-0000-0000-00000B000000}"/>
    <cellStyle name="Percent" xfId="1" builtinId="5"/>
    <cellStyle name="Percent 2" xfId="16" xr:uid="{00000000-0005-0000-0000-00000D000000}"/>
    <cellStyle name="Percent 2 2" xfId="12" xr:uid="{00000000-0005-0000-0000-00000E000000}"/>
    <cellStyle name="Percent 2 2 2" xfId="15" xr:uid="{00000000-0005-0000-0000-00000F000000}"/>
    <cellStyle name="Percent 3" xfId="9" xr:uid="{00000000-0005-0000-0000-000010000000}"/>
  </cellStyles>
  <dxfs count="74">
    <dxf>
      <font>
        <color rgb="FF0000FF"/>
      </font>
      <fill>
        <patternFill patternType="none">
          <bgColor auto="1"/>
        </patternFill>
      </fill>
    </dxf>
    <dxf>
      <font>
        <color rgb="FF0000FF"/>
      </font>
      <fill>
        <patternFill patternType="none">
          <bgColor auto="1"/>
        </patternFill>
      </fill>
    </dxf>
    <dxf>
      <font>
        <color auto="1"/>
      </font>
      <fill>
        <patternFill>
          <bgColor rgb="FFFFFFCC"/>
        </patternFill>
      </fill>
    </dxf>
    <dxf>
      <font>
        <color rgb="FF0000FF"/>
      </font>
      <fill>
        <patternFill patternType="none">
          <bgColor auto="1"/>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73"/>
      <tableStyleElement type="headerRow" dxfId="72"/>
    </tableStyle>
  </tableStyles>
  <colors>
    <mruColors>
      <color rgb="FFFFFFCC"/>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6451341258504606"/>
                  <c:y val="3.5005393743257819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061C-4196-9E75-113AB3E046DE}"/>
            </c:ext>
          </c:extLst>
        </c:ser>
        <c:dLbls>
          <c:showLegendKey val="0"/>
          <c:showVal val="0"/>
          <c:showCatName val="0"/>
          <c:showSerName val="0"/>
          <c:showPercent val="0"/>
          <c:showBubbleSize val="0"/>
        </c:dLbls>
        <c:axId val="340172176"/>
        <c:axId val="340172736"/>
      </c:scatterChart>
      <c:valAx>
        <c:axId val="3401721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736"/>
        <c:crosses val="autoZero"/>
        <c:crossBetween val="midCat"/>
      </c:valAx>
      <c:valAx>
        <c:axId val="3401727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1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009910899117"/>
          <c:y val="3.6248629953991696E-2"/>
          <c:w val="0.81215339705993284"/>
          <c:h val="0.46082684877893437"/>
        </c:manualLayout>
      </c:layout>
      <c:barChart>
        <c:barDir val="col"/>
        <c:grouping val="clustered"/>
        <c:varyColors val="0"/>
        <c:ser>
          <c:idx val="0"/>
          <c:order val="0"/>
          <c:spPr>
            <a:solidFill>
              <a:schemeClr val="accent4">
                <a:lumMod val="50000"/>
              </a:schemeClr>
            </a:solidFill>
            <a:ln>
              <a:solidFill>
                <a:schemeClr val="accent4">
                  <a:lumMod val="50000"/>
                </a:schemeClr>
              </a:solidFill>
            </a:ln>
            <a:effectLst/>
          </c:spPr>
          <c:invertIfNegative val="0"/>
          <c:dPt>
            <c:idx val="13"/>
            <c:invertIfNegative val="0"/>
            <c:bubble3D val="0"/>
            <c:spPr>
              <a:solidFill>
                <a:schemeClr val="tx1"/>
              </a:solidFill>
              <a:ln>
                <a:solidFill>
                  <a:schemeClr val="tx1"/>
                </a:solidFill>
              </a:ln>
              <a:effectLst/>
            </c:spPr>
            <c:extLst>
              <c:ext xmlns:c16="http://schemas.microsoft.com/office/drawing/2014/chart" uri="{C3380CC4-5D6E-409C-BE32-E72D297353CC}">
                <c16:uniqueId val="{00000001-C71B-4F65-ADC1-1AEF41273E07}"/>
              </c:ext>
            </c:extLst>
          </c:dPt>
          <c:dPt>
            <c:idx val="14"/>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3-C71B-4F65-ADC1-1AEF41273E07}"/>
              </c:ext>
            </c:extLst>
          </c:dPt>
          <c:dPt>
            <c:idx val="15"/>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5-C71B-4F65-ADC1-1AEF41273E07}"/>
              </c:ext>
            </c:extLst>
          </c:dPt>
          <c:dPt>
            <c:idx val="16"/>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7-C71B-4F65-ADC1-1AEF41273E07}"/>
              </c:ext>
            </c:extLst>
          </c:dPt>
          <c:dPt>
            <c:idx val="17"/>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9-C71B-4F65-ADC1-1AEF41273E07}"/>
              </c:ext>
            </c:extLst>
          </c:dPt>
          <c:dPt>
            <c:idx val="18"/>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B-C71B-4F65-ADC1-1AEF41273E07}"/>
              </c:ext>
            </c:extLst>
          </c:dPt>
          <c:dPt>
            <c:idx val="19"/>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D-C71B-4F65-ADC1-1AEF41273E07}"/>
              </c:ext>
            </c:extLst>
          </c:dPt>
          <c:dPt>
            <c:idx val="20"/>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F-C71B-4F65-ADC1-1AEF41273E07}"/>
              </c:ext>
            </c:extLst>
          </c:dPt>
          <c:dLbls>
            <c:dLbl>
              <c:idx val="14"/>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71B-4F65-ADC1-1AEF41273E07}"/>
                </c:ext>
              </c:extLst>
            </c:dLbl>
            <c:dLbl>
              <c:idx val="15"/>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71B-4F65-ADC1-1AEF41273E07}"/>
                </c:ext>
              </c:extLst>
            </c:dLbl>
            <c:dLbl>
              <c:idx val="16"/>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71B-4F65-ADC1-1AEF41273E07}"/>
                </c:ext>
              </c:extLst>
            </c:dLbl>
            <c:dLbl>
              <c:idx val="17"/>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71B-4F65-ADC1-1AEF41273E07}"/>
                </c:ext>
              </c:extLst>
            </c:dLbl>
            <c:dLbl>
              <c:idx val="18"/>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71B-4F65-ADC1-1AEF41273E07}"/>
                </c:ext>
              </c:extLst>
            </c:dLbl>
            <c:dLbl>
              <c:idx val="19"/>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71B-4F65-ADC1-1AEF41273E07}"/>
                </c:ext>
              </c:extLst>
            </c:dLbl>
            <c:dLbl>
              <c:idx val="20"/>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C71B-4F65-ADC1-1AEF41273E07}"/>
                </c:ext>
              </c:extLst>
            </c:dLbl>
            <c:numFmt formatCode="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'EFs-BTU'!$E$125:$E$145</c:f>
              <c:strCache>
                <c:ptCount val="21"/>
                <c:pt idx="0">
                  <c:v>Fireplace, No Insert</c:v>
                </c:pt>
                <c:pt idx="1">
                  <c:v>Fireplace, With Insert - Non-EPA Certified</c:v>
                </c:pt>
                <c:pt idx="2">
                  <c:v>Fireplace, With Insert - EPA Certified Non-Catalytic</c:v>
                </c:pt>
                <c:pt idx="3">
                  <c:v>Fireplace, With Insert - EPA Certified Catalytic</c:v>
                </c:pt>
                <c:pt idx="4">
                  <c:v>Woodstove - Non-EPA Certified</c:v>
                </c:pt>
                <c:pt idx="5">
                  <c:v>Woodstove - EPA Certified Non-Catalytic</c:v>
                </c:pt>
                <c:pt idx="6">
                  <c:v>Woodstove - EPA Certified Catalytic</c:v>
                </c:pt>
                <c:pt idx="7">
                  <c:v>Pellet Stove (Exempt)</c:v>
                </c:pt>
                <c:pt idx="8">
                  <c:v>Pellet Stove (EPA Certified)</c:v>
                </c:pt>
                <c:pt idx="9">
                  <c:v>OWB (Hydronic Heater) - 80/20 Unqual/Phase 2 Wtd</c:v>
                </c:pt>
                <c:pt idx="10">
                  <c:v>OWB (Hydronic Heater) - Unqualified</c:v>
                </c:pt>
                <c:pt idx="11">
                  <c:v>OWB (Hydronic Heater) - Phase 1</c:v>
                </c:pt>
                <c:pt idx="12">
                  <c:v>OWB (Hydronic Heater) - Phase 2</c:v>
                </c:pt>
                <c:pt idx="13">
                  <c:v>Coal Boiler (bituminous/subbituminous, hand-fed)</c:v>
                </c:pt>
                <c:pt idx="14">
                  <c:v>Central Oil (Weighted # 1 &amp; #2), Residential</c:v>
                </c:pt>
                <c:pt idx="15">
                  <c:v>Central Oil (#1 distillate), Residential</c:v>
                </c:pt>
                <c:pt idx="16">
                  <c:v>Central Oil (#2 distillate), Residential</c:v>
                </c:pt>
                <c:pt idx="17">
                  <c:v>Portable: 43% Kerosene &amp; 57% Fuel Oil</c:v>
                </c:pt>
                <c:pt idx="18">
                  <c:v>Direct Vent</c:v>
                </c:pt>
                <c:pt idx="19">
                  <c:v>Natural Gas - Residential</c:v>
                </c:pt>
                <c:pt idx="20">
                  <c:v>Natural Gas - Commercial, small uncontrolled</c:v>
                </c:pt>
              </c:strCache>
            </c:strRef>
          </c:cat>
          <c:val>
            <c:numRef>
              <c:f>'EFs-BTU'!$L$125:$L$145</c:f>
              <c:numCache>
                <c:formatCode>0.000</c:formatCode>
                <c:ptCount val="21"/>
                <c:pt idx="0">
                  <c:v>38.993754256603495</c:v>
                </c:pt>
                <c:pt idx="1">
                  <c:v>6.0350160128355999</c:v>
                </c:pt>
                <c:pt idx="2">
                  <c:v>1.4343472401272961</c:v>
                </c:pt>
                <c:pt idx="3">
                  <c:v>1.4650832524157382</c:v>
                </c:pt>
                <c:pt idx="4">
                  <c:v>1.7738402752129308</c:v>
                </c:pt>
                <c:pt idx="5">
                  <c:v>0.9194205661868422</c:v>
                </c:pt>
                <c:pt idx="6">
                  <c:v>0.96350237415470508</c:v>
                </c:pt>
                <c:pt idx="7">
                  <c:v>0.43647519270480867</c:v>
                </c:pt>
                <c:pt idx="8">
                  <c:v>0.31336680501883707</c:v>
                </c:pt>
                <c:pt idx="9">
                  <c:v>1.8108078993079173</c:v>
                </c:pt>
                <c:pt idx="10">
                  <c:v>2.0265307979039182</c:v>
                </c:pt>
                <c:pt idx="11">
                  <c:v>1.7856097836938829</c:v>
                </c:pt>
                <c:pt idx="12">
                  <c:v>0.94791630492391299</c:v>
                </c:pt>
                <c:pt idx="13">
                  <c:v>1.2224602203182375</c:v>
                </c:pt>
                <c:pt idx="14">
                  <c:v>4.200114349453405E-3</c:v>
                </c:pt>
                <c:pt idx="15">
                  <c:v>4.5096009838951293E-3</c:v>
                </c:pt>
                <c:pt idx="16">
                  <c:v>4.0700369890750258E-3</c:v>
                </c:pt>
                <c:pt idx="17">
                  <c:v>3.6047093725597805E-3</c:v>
                </c:pt>
                <c:pt idx="18">
                  <c:v>4.5096009838951293E-3</c:v>
                </c:pt>
                <c:pt idx="19">
                  <c:v>6.0246913580246913E-5</c:v>
                </c:pt>
                <c:pt idx="20">
                  <c:v>9.2440552210667146E-3</c:v>
                </c:pt>
              </c:numCache>
            </c:numRef>
          </c:val>
          <c:extLst>
            <c:ext xmlns:c16="http://schemas.microsoft.com/office/drawing/2014/chart" uri="{C3380CC4-5D6E-409C-BE32-E72D297353CC}">
              <c16:uniqueId val="{00000010-C71B-4F65-ADC1-1AEF41273E07}"/>
            </c:ext>
          </c:extLst>
        </c:ser>
        <c:dLbls>
          <c:showLegendKey val="0"/>
          <c:showVal val="0"/>
          <c:showCatName val="0"/>
          <c:showSerName val="0"/>
          <c:showPercent val="0"/>
          <c:showBubbleSize val="0"/>
        </c:dLbls>
        <c:gapWidth val="219"/>
        <c:overlap val="-27"/>
        <c:axId val="340174976"/>
        <c:axId val="340175536"/>
      </c:barChart>
      <c:catAx>
        <c:axId val="34017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5536"/>
        <c:crosses val="autoZero"/>
        <c:auto val="1"/>
        <c:lblAlgn val="ctr"/>
        <c:lblOffset val="100"/>
        <c:noMultiLvlLbl val="0"/>
      </c:catAx>
      <c:valAx>
        <c:axId val="34017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PM2.5</a:t>
                </a:r>
                <a:r>
                  <a:rPr lang="en-US" baseline="0"/>
                  <a:t> (lb/heating mmBTU)</a:t>
                </a:r>
                <a:endParaRPr lang="en-US"/>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4976"/>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3018372703412"/>
          <c:y val="5.1400554097404488E-2"/>
          <c:w val="0.80827427821522313"/>
          <c:h val="0.77947780063913497"/>
        </c:manualLayout>
      </c:layout>
      <c:scatterChart>
        <c:scatterStyle val="lineMarker"/>
        <c:varyColors val="0"/>
        <c:ser>
          <c:idx val="0"/>
          <c:order val="0"/>
          <c:tx>
            <c:v>HH Survey</c:v>
          </c:tx>
          <c:spPr>
            <a:ln w="28575">
              <a:noFill/>
            </a:ln>
          </c:spPr>
          <c:marker>
            <c:spPr>
              <a:solidFill>
                <a:srgbClr val="0000FF"/>
              </a:solidFill>
              <a:ln>
                <a:solidFill>
                  <a:srgbClr val="0000FF"/>
                </a:solidFill>
              </a:ln>
            </c:spPr>
          </c:marker>
          <c:dPt>
            <c:idx val="2"/>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0-CA0F-445B-BEA9-50582A4E64AC}"/>
              </c:ext>
            </c:extLst>
          </c:dPt>
          <c:dPt>
            <c:idx val="3"/>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1-CA0F-445B-BEA9-50582A4E64AC}"/>
              </c:ext>
            </c:extLst>
          </c:dPt>
          <c:trendline>
            <c:trendlineType val="exp"/>
            <c:dispRSqr val="1"/>
            <c:dispEq val="1"/>
            <c:trendlineLbl>
              <c:layout>
                <c:manualLayout>
                  <c:x val="-4.2851998872041823E-2"/>
                  <c:y val="-0.37331862422185375"/>
                </c:manualLayout>
              </c:layout>
              <c:numFmt formatCode="0.0000E+00" sourceLinked="0"/>
              <c:spPr>
                <a:solidFill>
                  <a:schemeClr val="bg1"/>
                </a:solidFill>
                <a:ln>
                  <a:solidFill>
                    <a:schemeClr val="tx1"/>
                  </a:solidFill>
                </a:ln>
              </c:spPr>
              <c:txPr>
                <a:bodyPr/>
                <a:lstStyle/>
                <a:p>
                  <a:pPr>
                    <a:defRPr sz="1400"/>
                  </a:pPr>
                  <a:endParaRPr lang="en-US"/>
                </a:p>
              </c:txPr>
            </c:trendlineLbl>
          </c:trendline>
          <c:xVal>
            <c:numRef>
              <c:f>HHSurveyG2!$A$280:$A$293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HHSurveyG2!$F$280:$F$293</c:f>
              <c:numCache>
                <c:formatCode>0.00%</c:formatCode>
                <c:ptCount val="14"/>
                <c:pt idx="0">
                  <c:v>0.52005910020835655</c:v>
                </c:pt>
                <c:pt idx="1">
                  <c:v>0.46734796406853613</c:v>
                </c:pt>
                <c:pt idx="2">
                  <c:v>0.43054162853374467</c:v>
                </c:pt>
                <c:pt idx="3">
                  <c:v>0.39373529299895327</c:v>
                </c:pt>
                <c:pt idx="4">
                  <c:v>0.35692895746416181</c:v>
                </c:pt>
                <c:pt idx="5">
                  <c:v>0.25685753254680965</c:v>
                </c:pt>
                <c:pt idx="6">
                  <c:v>0.22674850992499146</c:v>
                </c:pt>
                <c:pt idx="7">
                  <c:v>0.20136677929150953</c:v>
                </c:pt>
                <c:pt idx="8">
                  <c:v>0.14417205630833199</c:v>
                </c:pt>
                <c:pt idx="9">
                  <c:v>0.1387144799691668</c:v>
                </c:pt>
              </c:numCache>
            </c:numRef>
          </c:yVal>
          <c:smooth val="0"/>
          <c:extLst>
            <c:ext xmlns:c16="http://schemas.microsoft.com/office/drawing/2014/chart" uri="{C3380CC4-5D6E-409C-BE32-E72D297353CC}">
              <c16:uniqueId val="{00000003-CA0F-445B-BEA9-50582A4E64AC}"/>
            </c:ext>
          </c:extLst>
        </c:ser>
        <c:dLbls>
          <c:showLegendKey val="0"/>
          <c:showVal val="0"/>
          <c:showCatName val="0"/>
          <c:showSerName val="0"/>
          <c:showPercent val="0"/>
          <c:showBubbleSize val="0"/>
        </c:dLbls>
        <c:axId val="340186736"/>
        <c:axId val="340187296"/>
      </c:scatterChart>
      <c:valAx>
        <c:axId val="340186736"/>
        <c:scaling>
          <c:orientation val="minMax"/>
          <c:min val="2005"/>
        </c:scaling>
        <c:delete val="0"/>
        <c:axPos val="b"/>
        <c:title>
          <c:tx>
            <c:rich>
              <a:bodyPr/>
              <a:lstStyle/>
              <a:p>
                <a:pPr>
                  <a:defRPr sz="1100"/>
                </a:pPr>
                <a:r>
                  <a:rPr lang="en-US" sz="1100"/>
                  <a:t>Calendar Year</a:t>
                </a:r>
              </a:p>
            </c:rich>
          </c:tx>
          <c:overlay val="0"/>
        </c:title>
        <c:numFmt formatCode="General" sourceLinked="1"/>
        <c:majorTickMark val="out"/>
        <c:minorTickMark val="none"/>
        <c:tickLblPos val="nextTo"/>
        <c:txPr>
          <a:bodyPr/>
          <a:lstStyle/>
          <a:p>
            <a:pPr>
              <a:defRPr sz="1050"/>
            </a:pPr>
            <a:endParaRPr lang="en-US"/>
          </a:p>
        </c:txPr>
        <c:crossAx val="340187296"/>
        <c:crosses val="autoZero"/>
        <c:crossBetween val="midCat"/>
        <c:majorUnit val="1"/>
      </c:valAx>
      <c:valAx>
        <c:axId val="340187296"/>
        <c:scaling>
          <c:orientation val="minMax"/>
        </c:scaling>
        <c:delete val="0"/>
        <c:axPos val="l"/>
        <c:majorGridlines/>
        <c:title>
          <c:tx>
            <c:rich>
              <a:bodyPr/>
              <a:lstStyle/>
              <a:p>
                <a:pPr>
                  <a:defRPr sz="1100"/>
                </a:pPr>
                <a:r>
                  <a:rPr lang="en-US" sz="1100"/>
                  <a:t>Proxy-Based Uncertified Stove Fraction</a:t>
                </a:r>
              </a:p>
            </c:rich>
          </c:tx>
          <c:overlay val="0"/>
        </c:title>
        <c:numFmt formatCode="0%" sourceLinked="0"/>
        <c:majorTickMark val="out"/>
        <c:minorTickMark val="none"/>
        <c:tickLblPos val="nextTo"/>
        <c:txPr>
          <a:bodyPr/>
          <a:lstStyle/>
          <a:p>
            <a:pPr>
              <a:defRPr sz="1050"/>
            </a:pPr>
            <a:endParaRPr lang="en-US"/>
          </a:p>
        </c:txPr>
        <c:crossAx val="340186736"/>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0106517935258089E-2"/>
                  <c:y val="0.13941601049868765"/>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ULSEFs!$Z$17:$Z$31</c:f>
              <c:numCache>
                <c:formatCode>#,##0</c:formatCode>
                <c:ptCount val="15"/>
                <c:pt idx="0">
                  <c:v>137114.09395973154</c:v>
                </c:pt>
                <c:pt idx="1">
                  <c:v>138975.28</c:v>
                </c:pt>
                <c:pt idx="2">
                  <c:v>138424.28</c:v>
                </c:pt>
                <c:pt idx="3">
                  <c:v>136273.9</c:v>
                </c:pt>
                <c:pt idx="4">
                  <c:v>137114.09395973154</c:v>
                </c:pt>
                <c:pt idx="5">
                  <c:v>137972.93333333332</c:v>
                </c:pt>
                <c:pt idx="6">
                  <c:v>137552.23880597015</c:v>
                </c:pt>
                <c:pt idx="7">
                  <c:v>137641.79104477612</c:v>
                </c:pt>
                <c:pt idx="8">
                  <c:v>136548.38709677418</c:v>
                </c:pt>
                <c:pt idx="9">
                  <c:v>138000.00000000003</c:v>
                </c:pt>
                <c:pt idx="10">
                  <c:v>137400</c:v>
                </c:pt>
                <c:pt idx="11">
                  <c:v>139250</c:v>
                </c:pt>
                <c:pt idx="12">
                  <c:v>135000</c:v>
                </c:pt>
                <c:pt idx="13">
                  <c:v>135333.33333333334</c:v>
                </c:pt>
                <c:pt idx="14">
                  <c:v>137490</c:v>
                </c:pt>
              </c:numCache>
            </c:numRef>
          </c:yVal>
          <c:smooth val="0"/>
          <c:extLst>
            <c:ext xmlns:c16="http://schemas.microsoft.com/office/drawing/2014/chart" uri="{C3380CC4-5D6E-409C-BE32-E72D297353CC}">
              <c16:uniqueId val="{00000001-57D5-4A08-A823-01780357815C}"/>
            </c:ext>
          </c:extLst>
        </c:ser>
        <c:dLbls>
          <c:showLegendKey val="0"/>
          <c:showVal val="0"/>
          <c:showCatName val="0"/>
          <c:showSerName val="0"/>
          <c:showPercent val="0"/>
          <c:showBubbleSize val="0"/>
        </c:dLbls>
        <c:axId val="340177776"/>
        <c:axId val="340178336"/>
      </c:scatterChart>
      <c:valAx>
        <c:axId val="3401777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8336"/>
        <c:crosses val="autoZero"/>
        <c:crossBetween val="midCat"/>
      </c:valAx>
      <c:valAx>
        <c:axId val="3401783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Energy Content (BTU/gal)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77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195E-4A0D-9CC3-C5A6AFF97A9F}"/>
            </c:ext>
          </c:extLst>
        </c:ser>
        <c:dLbls>
          <c:showLegendKey val="0"/>
          <c:showVal val="0"/>
          <c:showCatName val="0"/>
          <c:showSerName val="0"/>
          <c:showPercent val="0"/>
          <c:showBubbleSize val="0"/>
        </c:dLbls>
        <c:axId val="340180576"/>
        <c:axId val="340181136"/>
      </c:scatterChart>
      <c:valAx>
        <c:axId val="3401805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1136"/>
        <c:crosses val="autoZero"/>
        <c:crossBetween val="midCat"/>
      </c:valAx>
      <c:valAx>
        <c:axId val="3401811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05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ULSEFs!$Y$17:$Y$31</c:f>
              <c:numCache>
                <c:formatCode>General</c:formatCode>
                <c:ptCount val="15"/>
                <c:pt idx="0">
                  <c:v>1.4</c:v>
                </c:pt>
                <c:pt idx="1">
                  <c:v>0.43</c:v>
                </c:pt>
                <c:pt idx="2">
                  <c:v>0.16</c:v>
                </c:pt>
                <c:pt idx="3" formatCode="0.0000">
                  <c:v>8.0000000000000002E-3</c:v>
                </c:pt>
                <c:pt idx="4" formatCode="0.0">
                  <c:v>1.6</c:v>
                </c:pt>
                <c:pt idx="5" formatCode="0.00">
                  <c:v>0.33267394474471806</c:v>
                </c:pt>
                <c:pt idx="6">
                  <c:v>0.69</c:v>
                </c:pt>
                <c:pt idx="7">
                  <c:v>0.18</c:v>
                </c:pt>
                <c:pt idx="8">
                  <c:v>1.7999999999999999E-2</c:v>
                </c:pt>
                <c:pt idx="9">
                  <c:v>0.79</c:v>
                </c:pt>
                <c:pt idx="10">
                  <c:v>0.01</c:v>
                </c:pt>
                <c:pt idx="11">
                  <c:v>0.56000000000000005</c:v>
                </c:pt>
                <c:pt idx="12">
                  <c:v>0.159</c:v>
                </c:pt>
                <c:pt idx="13">
                  <c:v>6.0000000000000001E-3</c:v>
                </c:pt>
                <c:pt idx="14">
                  <c:v>1.2999999999999999E-2</c:v>
                </c:pt>
              </c:numCache>
            </c:numRef>
          </c:yVal>
          <c:smooth val="0"/>
          <c:extLst>
            <c:ext xmlns:c16="http://schemas.microsoft.com/office/drawing/2014/chart" uri="{C3380CC4-5D6E-409C-BE32-E72D297353CC}">
              <c16:uniqueId val="{00000001-7753-4B68-B87F-F01CD1B36282}"/>
            </c:ext>
          </c:extLst>
        </c:ser>
        <c:dLbls>
          <c:showLegendKey val="0"/>
          <c:showVal val="0"/>
          <c:showCatName val="0"/>
          <c:showSerName val="0"/>
          <c:showPercent val="0"/>
          <c:showBubbleSize val="0"/>
        </c:dLbls>
        <c:axId val="340183376"/>
        <c:axId val="340183936"/>
      </c:scatterChart>
      <c:valAx>
        <c:axId val="3401833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936"/>
        <c:crosses val="autoZero"/>
        <c:crossBetween val="midCat"/>
      </c:valAx>
      <c:valAx>
        <c:axId val="3401839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(lb/1000 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3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224790</xdr:colOff>
      <xdr:row>37</xdr:row>
      <xdr:rowOff>17145</xdr:rowOff>
    </xdr:from>
    <xdr:to>
      <xdr:col>6</xdr:col>
      <xdr:colOff>361950</xdr:colOff>
      <xdr:row>49</xdr:row>
      <xdr:rowOff>177165</xdr:rowOff>
    </xdr:to>
    <xdr:graphicFrame macro="">
      <xdr:nvGraphicFramePr>
        <xdr:cNvPr id="2" name="Chart 1">
          <a:extLst>
            <a:ext uri="{FF2B5EF4-FFF2-40B4-BE49-F238E27FC236}">
              <a16:creationId xmlns:a16="http://schemas.microsoft.com/office/drawing/2014/main" id="{39C36070-3C77-48C4-ADD1-54732D53B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56931</xdr:colOff>
      <xdr:row>123</xdr:row>
      <xdr:rowOff>188686</xdr:rowOff>
    </xdr:from>
    <xdr:to>
      <xdr:col>14</xdr:col>
      <xdr:colOff>6393793</xdr:colOff>
      <xdr:row>144</xdr:row>
      <xdr:rowOff>135758</xdr:rowOff>
    </xdr:to>
    <xdr:graphicFrame macro="">
      <xdr:nvGraphicFramePr>
        <xdr:cNvPr id="2" name="Chart 1">
          <a:extLst>
            <a:ext uri="{FF2B5EF4-FFF2-40B4-BE49-F238E27FC236}">
              <a16:creationId xmlns:a16="http://schemas.microsoft.com/office/drawing/2014/main" id="{7D6CE2BD-DCCA-40F3-B05F-0ED7252A9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199571</xdr:colOff>
      <xdr:row>278</xdr:row>
      <xdr:rowOff>36286</xdr:rowOff>
    </xdr:from>
    <xdr:to>
      <xdr:col>12</xdr:col>
      <xdr:colOff>836839</xdr:colOff>
      <xdr:row>295</xdr:row>
      <xdr:rowOff>143558</xdr:rowOff>
    </xdr:to>
    <xdr:graphicFrame macro="">
      <xdr:nvGraphicFramePr>
        <xdr:cNvPr id="2" name="Chart 1">
          <a:extLst>
            <a:ext uri="{FF2B5EF4-FFF2-40B4-BE49-F238E27FC236}">
              <a16:creationId xmlns:a16="http://schemas.microsoft.com/office/drawing/2014/main" id="{38873274-CAC9-4BB8-9886-DB3216F00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281940</xdr:colOff>
      <xdr:row>36</xdr:row>
      <xdr:rowOff>7620</xdr:rowOff>
    </xdr:from>
    <xdr:to>
      <xdr:col>25</xdr:col>
      <xdr:colOff>419100</xdr:colOff>
      <xdr:row>48</xdr:row>
      <xdr:rowOff>167640</xdr:rowOff>
    </xdr:to>
    <xdr:graphicFrame macro="">
      <xdr:nvGraphicFramePr>
        <xdr:cNvPr id="2" name="Chart 1">
          <a:extLst>
            <a:ext uri="{FF2B5EF4-FFF2-40B4-BE49-F238E27FC236}">
              <a16:creationId xmlns:a16="http://schemas.microsoft.com/office/drawing/2014/main" id="{E805634D-58CC-4CC8-A138-F65F309A0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281940</xdr:colOff>
      <xdr:row>54</xdr:row>
      <xdr:rowOff>7620</xdr:rowOff>
    </xdr:from>
    <xdr:to>
      <xdr:col>25</xdr:col>
      <xdr:colOff>419100</xdr:colOff>
      <xdr:row>66</xdr:row>
      <xdr:rowOff>167640</xdr:rowOff>
    </xdr:to>
    <xdr:graphicFrame macro="">
      <xdr:nvGraphicFramePr>
        <xdr:cNvPr id="3" name="Chart 2">
          <a:extLst>
            <a:ext uri="{FF2B5EF4-FFF2-40B4-BE49-F238E27FC236}">
              <a16:creationId xmlns:a16="http://schemas.microsoft.com/office/drawing/2014/main" id="{B96C869F-D318-4053-AC25-9F307F70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281940</xdr:colOff>
      <xdr:row>72</xdr:row>
      <xdr:rowOff>7620</xdr:rowOff>
    </xdr:from>
    <xdr:to>
      <xdr:col>25</xdr:col>
      <xdr:colOff>419100</xdr:colOff>
      <xdr:row>84</xdr:row>
      <xdr:rowOff>167640</xdr:rowOff>
    </xdr:to>
    <xdr:graphicFrame macro="">
      <xdr:nvGraphicFramePr>
        <xdr:cNvPr id="4" name="Chart 3">
          <a:extLst>
            <a:ext uri="{FF2B5EF4-FFF2-40B4-BE49-F238E27FC236}">
              <a16:creationId xmlns:a16="http://schemas.microsoft.com/office/drawing/2014/main" id="{6E8BCFEB-4194-498B-85EE-32760852F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420872</xdr:colOff>
      <xdr:row>2</xdr:row>
      <xdr:rowOff>177209</xdr:rowOff>
    </xdr:from>
    <xdr:to>
      <xdr:col>5</xdr:col>
      <xdr:colOff>339799</xdr:colOff>
      <xdr:row>40</xdr:row>
      <xdr:rowOff>9524</xdr:rowOff>
    </xdr:to>
    <xdr:pic>
      <xdr:nvPicPr>
        <xdr:cNvPr id="2" name="Picture 1">
          <a:extLst>
            <a:ext uri="{FF2B5EF4-FFF2-40B4-BE49-F238E27FC236}">
              <a16:creationId xmlns:a16="http://schemas.microsoft.com/office/drawing/2014/main" id="{45024F26-0A30-45F2-AF14-7A583773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872" y="558209"/>
          <a:ext cx="6060647" cy="67817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HSurve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Surve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omments" Target="../comments23.xml"/><Relationship Id="rId3" Type="http://schemas.openxmlformats.org/officeDocument/2006/relationships/hyperlink" Target="http://www.fngas.com/calculate.html" TargetMode="External"/><Relationship Id="rId7" Type="http://schemas.openxmlformats.org/officeDocument/2006/relationships/vmlDrawing" Target="../drawings/vmlDrawing23.v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drawing" Target="../drawings/drawing2.xml"/><Relationship Id="rId5" Type="http://schemas.openxmlformats.org/officeDocument/2006/relationships/printerSettings" Target="../printerSettings/printerSettings46.bin"/><Relationship Id="rId4" Type="http://schemas.openxmlformats.org/officeDocument/2006/relationships/hyperlink" Target="http://www.fngas.com/calculate.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printerSettings" Target="../printerSettings/printerSettings75.bin"/><Relationship Id="rId4" Type="http://schemas.openxmlformats.org/officeDocument/2006/relationships/comments" Target="../comments2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xml"/><Relationship Id="rId1" Type="http://schemas.openxmlformats.org/officeDocument/2006/relationships/printerSettings" Target="../printerSettings/printerSettings76.bin"/><Relationship Id="rId4" Type="http://schemas.openxmlformats.org/officeDocument/2006/relationships/comments" Target="../comments2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65DD5-D909-4609-AE3B-EBC33ECDB798}">
  <sheetPr>
    <tabColor rgb="FFFFFF00"/>
  </sheetPr>
  <dimension ref="A1:B32"/>
  <sheetViews>
    <sheetView tabSelected="1" workbookViewId="0">
      <pane ySplit="5" topLeftCell="A6" activePane="bottomLeft" state="frozen"/>
      <selection pane="bottomLeft" sqref="A1:B1"/>
    </sheetView>
  </sheetViews>
  <sheetFormatPr defaultRowHeight="15" x14ac:dyDescent="0.25"/>
  <cols>
    <col min="1" max="1" width="21.28515625" customWidth="1"/>
    <col min="2" max="2" width="127" customWidth="1"/>
  </cols>
  <sheetData>
    <row r="1" spans="1:2" ht="18.75" x14ac:dyDescent="0.3">
      <c r="A1" s="828" t="s">
        <v>0</v>
      </c>
      <c r="B1" s="828"/>
    </row>
    <row r="2" spans="1:2" ht="18.75" x14ac:dyDescent="0.3">
      <c r="A2" s="828" t="s">
        <v>1</v>
      </c>
      <c r="B2" s="828"/>
    </row>
    <row r="3" spans="1:2" ht="18.75" x14ac:dyDescent="0.3">
      <c r="A3" s="828" t="s">
        <v>2</v>
      </c>
      <c r="B3" s="828"/>
    </row>
    <row r="4" spans="1:2" x14ac:dyDescent="0.25">
      <c r="A4" s="829" t="s">
        <v>3</v>
      </c>
      <c r="B4" s="829"/>
    </row>
    <row r="5" spans="1:2" ht="15.75" thickBot="1" x14ac:dyDescent="0.3">
      <c r="A5" s="85" t="s">
        <v>4</v>
      </c>
      <c r="B5" s="85" t="s">
        <v>5</v>
      </c>
    </row>
    <row r="6" spans="1:2" ht="45.75" thickTop="1" x14ac:dyDescent="0.25">
      <c r="A6" s="720" t="s">
        <v>6</v>
      </c>
      <c r="B6" s="721" t="s">
        <v>7</v>
      </c>
    </row>
    <row r="7" spans="1:2" ht="60" x14ac:dyDescent="0.25">
      <c r="A7" s="720" t="s">
        <v>8</v>
      </c>
      <c r="B7" s="721" t="s">
        <v>9</v>
      </c>
    </row>
    <row r="8" spans="1:2" ht="45" x14ac:dyDescent="0.25">
      <c r="A8" s="720" t="s">
        <v>10</v>
      </c>
      <c r="B8" s="721" t="s">
        <v>11</v>
      </c>
    </row>
    <row r="9" spans="1:2" ht="75" x14ac:dyDescent="0.25">
      <c r="A9" s="720" t="s">
        <v>12</v>
      </c>
      <c r="B9" s="721" t="s">
        <v>13</v>
      </c>
    </row>
    <row r="10" spans="1:2" ht="30" x14ac:dyDescent="0.25">
      <c r="A10" s="720" t="s">
        <v>14</v>
      </c>
      <c r="B10" s="721" t="s">
        <v>15</v>
      </c>
    </row>
    <row r="11" spans="1:2" x14ac:dyDescent="0.25">
      <c r="A11" s="720" t="s">
        <v>16</v>
      </c>
      <c r="B11" s="721" t="s">
        <v>17</v>
      </c>
    </row>
    <row r="12" spans="1:2" ht="28.9" customHeight="1" x14ac:dyDescent="0.25">
      <c r="A12" s="720" t="s">
        <v>18</v>
      </c>
      <c r="B12" s="721" t="s">
        <v>19</v>
      </c>
    </row>
    <row r="13" spans="1:2" x14ac:dyDescent="0.25">
      <c r="A13" s="720" t="s">
        <v>20</v>
      </c>
      <c r="B13" s="721" t="s">
        <v>21</v>
      </c>
    </row>
    <row r="14" spans="1:2" ht="30" x14ac:dyDescent="0.25">
      <c r="A14" s="720" t="s">
        <v>22</v>
      </c>
      <c r="B14" s="721" t="s">
        <v>23</v>
      </c>
    </row>
    <row r="15" spans="1:2" x14ac:dyDescent="0.25">
      <c r="A15" s="720" t="s">
        <v>24</v>
      </c>
      <c r="B15" s="721" t="s">
        <v>25</v>
      </c>
    </row>
    <row r="16" spans="1:2" ht="30" x14ac:dyDescent="0.25">
      <c r="A16" s="720" t="s">
        <v>26</v>
      </c>
      <c r="B16" s="721" t="s">
        <v>27</v>
      </c>
    </row>
    <row r="17" spans="1:2" ht="45" x14ac:dyDescent="0.25">
      <c r="A17" s="720" t="s">
        <v>28</v>
      </c>
      <c r="B17" s="721" t="s">
        <v>29</v>
      </c>
    </row>
    <row r="18" spans="1:2" ht="45" x14ac:dyDescent="0.25">
      <c r="A18" s="720" t="s">
        <v>30</v>
      </c>
      <c r="B18" s="721" t="s">
        <v>31</v>
      </c>
    </row>
    <row r="19" spans="1:2" ht="90" x14ac:dyDescent="0.25">
      <c r="A19" s="720" t="s">
        <v>32</v>
      </c>
      <c r="B19" s="721" t="s">
        <v>33</v>
      </c>
    </row>
    <row r="20" spans="1:2" ht="30" x14ac:dyDescent="0.25">
      <c r="A20" s="720" t="s">
        <v>34</v>
      </c>
      <c r="B20" s="721" t="s">
        <v>35</v>
      </c>
    </row>
    <row r="21" spans="1:2" ht="45" x14ac:dyDescent="0.25">
      <c r="A21" s="720" t="s">
        <v>36</v>
      </c>
      <c r="B21" s="721" t="s">
        <v>37</v>
      </c>
    </row>
    <row r="22" spans="1:2" ht="45" x14ac:dyDescent="0.25">
      <c r="A22" s="720" t="s">
        <v>38</v>
      </c>
      <c r="B22" s="721" t="s">
        <v>39</v>
      </c>
    </row>
    <row r="23" spans="1:2" ht="45" x14ac:dyDescent="0.25">
      <c r="A23" s="720" t="s">
        <v>40</v>
      </c>
      <c r="B23" s="721" t="s">
        <v>41</v>
      </c>
    </row>
    <row r="24" spans="1:2" ht="30" x14ac:dyDescent="0.25">
      <c r="A24" s="720" t="s">
        <v>42</v>
      </c>
      <c r="B24" s="721" t="s">
        <v>43</v>
      </c>
    </row>
    <row r="25" spans="1:2" ht="45" x14ac:dyDescent="0.25">
      <c r="A25" s="720" t="s">
        <v>44</v>
      </c>
      <c r="B25" s="721" t="s">
        <v>45</v>
      </c>
    </row>
    <row r="26" spans="1:2" ht="45" x14ac:dyDescent="0.25">
      <c r="A26" s="720" t="s">
        <v>46</v>
      </c>
      <c r="B26" s="721" t="s">
        <v>47</v>
      </c>
    </row>
    <row r="27" spans="1:2" ht="60" x14ac:dyDescent="0.25">
      <c r="A27" s="720" t="s">
        <v>48</v>
      </c>
      <c r="B27" s="721" t="s">
        <v>49</v>
      </c>
    </row>
    <row r="28" spans="1:2" ht="30" x14ac:dyDescent="0.25">
      <c r="A28" s="720" t="s">
        <v>50</v>
      </c>
      <c r="B28" s="721" t="s">
        <v>51</v>
      </c>
    </row>
    <row r="29" spans="1:2" ht="30" x14ac:dyDescent="0.25">
      <c r="A29" s="720" t="s">
        <v>52</v>
      </c>
      <c r="B29" s="721" t="s">
        <v>53</v>
      </c>
    </row>
    <row r="30" spans="1:2" x14ac:dyDescent="0.25">
      <c r="A30" s="720" t="s">
        <v>54</v>
      </c>
      <c r="B30" s="721" t="s">
        <v>55</v>
      </c>
    </row>
    <row r="31" spans="1:2" ht="30" x14ac:dyDescent="0.25">
      <c r="A31" s="720" t="s">
        <v>56</v>
      </c>
      <c r="B31" s="721" t="s">
        <v>57</v>
      </c>
    </row>
    <row r="32" spans="1:2" ht="30" x14ac:dyDescent="0.25">
      <c r="A32" s="720" t="s">
        <v>58</v>
      </c>
      <c r="B32" s="721" t="s">
        <v>59</v>
      </c>
    </row>
  </sheetData>
  <mergeCells count="4">
    <mergeCell ref="A1:B1"/>
    <mergeCell ref="A2:B2"/>
    <mergeCell ref="A3:B3"/>
    <mergeCell ref="A4:B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0791-DDCB-4CA6-A625-345072DA1552}">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2025</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0.3</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0.9</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2025BSR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0.68797890129022443</v>
      </c>
      <c r="D9" s="5">
        <f ca="1">INDIRECT("'DevSumOut-"&amp;$B$2&amp;"BSR'!P50")</f>
        <v>7.9535133097135731E-3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0.3</v>
      </c>
      <c r="L9" s="5">
        <f ca="1">SCCRedFacsFull!L9*K$4/SCCRedFacsFull!K$4</f>
        <v>0.3</v>
      </c>
      <c r="M9" s="5">
        <f ca="1">'BACM-R8'!P153*($B$2-$M$3+1)*$M$4/SCCRedFacsFull!$M$4</f>
        <v>0.2876254180602007</v>
      </c>
      <c r="N9" s="5">
        <f ca="1">'BACM-R8'!O153*($B$2-$M$3+1)*$M$4/SCCRedFacsFull!$M$4</f>
        <v>0.2876254180602007</v>
      </c>
      <c r="O9" s="5">
        <f ca="1">SCCRedFacsFull!O9*O$4/SCCRedFacsFull!O$4</f>
        <v>0</v>
      </c>
      <c r="P9" s="5">
        <f ca="1">SCCRedFacsFull!P9*O$4/SCCRedFacsFull!O$4</f>
        <v>0</v>
      </c>
      <c r="Q9" s="5">
        <f ca="1">IFERROR(OFFSET('STF-22'!$E$173,MATCH($B9,'STF-22'!$A$174:$A$191,0),MATCH($B$2,'STF-22'!$F$172:$AD$172,0))*Q$4/SCCRedFacsFull!Q$4,0)</f>
        <v>0.21456055713599451</v>
      </c>
      <c r="R9" s="5">
        <f ca="1">IFERROR(OFFSET('STF-22'!$E$173,MATCH($B9,'STF-22'!$A$174:$A$191,0),MATCH($B$2,'STF-22'!$F$172:$AD$172,0)-1)*R$4/SCCRedFacsFull!R$4,0)</f>
        <v>0.21456055713599453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0.757950220777174</v>
      </c>
      <c r="Z9" s="510">
        <f ca="1">1-(1-F9)*(1-H9)*(1-J9)*(1-L9)*(1-N9)*(1-P9)*(1-R9)*(1-T9)*(1-X9)</f>
        <v>0.62589157583272037</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0.757950220777174</v>
      </c>
      <c r="AF9" s="510">
        <f ca="1">1-(1-$Y9)*(1-AB9)</f>
        <v>0.86250035385375978</v>
      </c>
      <c r="AG9" s="510">
        <f ca="1">1-(1-$Z9)*(1-AC9)</f>
        <v>0.62589157583272037</v>
      </c>
      <c r="AH9" s="510">
        <f ca="1">1-(1-$Z9)*(1-AD9)</f>
        <v>0.65742059872891578</v>
      </c>
      <c r="AI9" s="530">
        <f ca="1">(Y9*$AJ$3+AE9*$AJ$4+AF9*$AJ$5)/35</f>
        <v>0.81171886064513232</v>
      </c>
      <c r="AJ9" s="530">
        <f ca="1">(Z9*$AJ$3+AG9*$AJ$4+AH9*$AJ$5)/35</f>
        <v>0.64210650189362084</v>
      </c>
    </row>
    <row r="10" spans="1:36" x14ac:dyDescent="0.25">
      <c r="A10" s="812" t="s">
        <v>138</v>
      </c>
      <c r="B10" s="812">
        <v>2104008210</v>
      </c>
      <c r="C10" s="5">
        <f ca="1">INDIRECT("'DevSumOut-"&amp;$B$2&amp;"BSR'!R51")</f>
        <v>5.369267095242003E-2</v>
      </c>
      <c r="D10" s="5">
        <f ca="1">INDIRECT("'DevSumOut-"&amp;$B$2&amp;"BSR'!P51")</f>
        <v>7.0186497977019603E-4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0.3</v>
      </c>
      <c r="L10" s="5">
        <f ca="1">SCCRedFacsFull!L10*K$4/SCCRedFacsFull!K$4</f>
        <v>0.3</v>
      </c>
      <c r="M10" s="5">
        <f ca="1">'BACM-R8'!P154*($B$2-$M$3+1)*$M$4/SCCRedFacsFull!$M$4</f>
        <v>0.48648648648648651</v>
      </c>
      <c r="N10" s="5">
        <f ca="1">'BACM-R8'!O154*($B$2-$M$3+1)*$M$4/SCCRedFacsFull!$M$4</f>
        <v>0.48648648648648651</v>
      </c>
      <c r="O10" s="5">
        <f ca="1">SCCRedFacsFull!O10*O$4/SCCRedFacsFull!O$4</f>
        <v>0</v>
      </c>
      <c r="P10" s="5">
        <f ca="1">SCCRedFacsFull!P10*O$4/SCCRedFacsFull!O$4</f>
        <v>0</v>
      </c>
      <c r="Q10" s="5">
        <f ca="1">IFERROR(OFFSET('STF-22'!$E$173,MATCH($B10,'STF-22'!$A$174:$A$191,0),MATCH($B$2,'STF-22'!$F$172:$AD$172,0))*Q$4/SCCRedFacsFull!Q$4,0)</f>
        <v>0.210352884282902</v>
      </c>
      <c r="R10" s="5">
        <f ca="1">IFERROR(OFFSET('STF-22'!$E$173,MATCH($B10,'STF-22'!$A$174:$A$191,0),MATCH($B$2,'STF-22'!$F$172:$AD$172,0)-1)*R$4/SCCRedFacsFull!R$4,0)</f>
        <v>0.21035288428290205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0.82458428446328658</v>
      </c>
      <c r="Z10" s="510">
        <f t="shared" ca="1" si="0"/>
        <v>0.72888016207111206</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0.90029189586461733</v>
      </c>
      <c r="AF10" s="510">
        <f t="shared" ca="1" si="1"/>
        <v>0.90029189586461733</v>
      </c>
      <c r="AG10" s="510">
        <f t="shared" ref="AG10:AH26" ca="1" si="2">1-(1-$Z10)*(1-AC10)</f>
        <v>0.30729310209075289</v>
      </c>
      <c r="AH10" s="510">
        <f t="shared" ca="1" si="2"/>
        <v>0.30729310209075289</v>
      </c>
      <c r="AI10" s="530">
        <f t="shared" ref="AI10:AI26" ca="1" si="3">(Y10*$AJ$3+AE10*$AJ$4+AF10*$AJ$5)/35</f>
        <v>0.88082422436141805</v>
      </c>
      <c r="AJ10" s="530">
        <f t="shared" ref="AJ10:AJ26" ca="1" si="4">(Z10*$AJ$3+AG10*$AJ$4+AH10*$AJ$5)/35</f>
        <v>0.41570120322855947</v>
      </c>
    </row>
    <row r="11" spans="1:36" x14ac:dyDescent="0.25">
      <c r="A11" s="812" t="s">
        <v>139</v>
      </c>
      <c r="B11" s="812">
        <v>2104008220</v>
      </c>
      <c r="C11" s="5">
        <f ca="1">INDIRECT("'DevSumOut-"&amp;$B$2&amp;"BSR'!R52")</f>
        <v>4.4331539216849465E-2</v>
      </c>
      <c r="D11" s="5">
        <f ca="1">INDIRECT("'DevSumOut-"&amp;$B$2&amp;"BSR'!P52")</f>
        <v>1.4777179738949824E-3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-2.0329320119979434E-2</v>
      </c>
      <c r="L11" s="5">
        <f ca="1">SCCRedFacsFull!L11*K$4/SCCRedFacsFull!K$4</f>
        <v>-1.9711991783937677E-2</v>
      </c>
      <c r="M11" s="5">
        <f ca="1">'BACM-R8'!P155*($B$2-$M$3+1)*$M$4/SCCRedFacsFull!$M$4</f>
        <v>0.20067696618027206</v>
      </c>
      <c r="N11" s="5">
        <f ca="1">'BACM-R8'!O155*($B$2-$M$3+1)*$M$4/SCCRedFacsFull!$M$4</f>
        <v>6.6573239276123658E-2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2.8915068515073722E-2</v>
      </c>
      <c r="D12" s="5">
        <f ca="1">INDIRECT("'DevSumOut-"&amp;$B$2&amp;"BSR'!P53")</f>
        <v>8.8969441584842211E-4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-2.0329320119979438E-2</v>
      </c>
      <c r="L12" s="5">
        <f ca="1">SCCRedFacsFull!L12*K$4/SCCRedFacsFull!K$4</f>
        <v>-2.1354657765932487E-2</v>
      </c>
      <c r="M12" s="5">
        <f ca="1">'BACM-R8'!P156*($B$2-$M$3+1)*$M$4/SCCRedFacsFull!$M$4</f>
        <v>0.20067696618027214</v>
      </c>
      <c r="N12" s="5">
        <f ca="1">'BACM-R8'!O156*($B$2-$M$3+1)*$M$4/SCCRedFacsFull!$M$4</f>
        <v>7.2121009215800669E-2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1.770525950355838E-2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0.43237167986007563</v>
      </c>
      <c r="D13" s="5">
        <f ca="1">INDIRECT("'DevSumOut-"&amp;$B$2&amp;"BSR'!P54")</f>
        <v>1.4243802782455371E-2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0.3</v>
      </c>
      <c r="L13" s="5">
        <f ca="1">SCCRedFacsFull!L13*K$4/SCCRedFacsFull!K$4</f>
        <v>0.3</v>
      </c>
      <c r="M13" s="5">
        <f ca="1">'BACM-R8'!P157*($B$2-$M$3+1)*$M$4/SCCRedFacsFull!$M$4</f>
        <v>0.46351931330472096</v>
      </c>
      <c r="N13" s="5">
        <f ca="1">'BACM-R8'!O157*($B$2-$M$3+1)*$M$4/SCCRedFacsFull!$M$4</f>
        <v>0.46351931330472096</v>
      </c>
      <c r="O13" s="5">
        <f ca="1">SCCRedFacsFull!O13*O$4/SCCRedFacsFull!O$4</f>
        <v>0</v>
      </c>
      <c r="P13" s="5">
        <f ca="1">SCCRedFacsFull!P13*O$4/SCCRedFacsFull!O$4</f>
        <v>0</v>
      </c>
      <c r="Q13" s="5">
        <f ca="1">IFERROR(OFFSET('STF-22'!$E$173,MATCH($B13,'STF-22'!$A$174:$A$191,0),MATCH($B$2,'STF-22'!$F$172:$AD$172,0))*Q$4/SCCRedFacsFull!Q$4,0)</f>
        <v>3.5528470692176795E-2</v>
      </c>
      <c r="R13" s="5">
        <f ca="1">IFERROR(OFFSET('STF-22'!$E$173,MATCH($B13,'STF-22'!$A$174:$A$191,0),MATCH($B$2,'STF-22'!$F$172:$AD$172,0)-1)*R$4/SCCRedFacsFull!R$4,0)</f>
        <v>3.4857336763741469E-2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0.77616547570858274</v>
      </c>
      <c r="Z13" s="510">
        <f t="shared" ca="1" si="0"/>
        <v>0.65380405908475914</v>
      </c>
      <c r="AA13" s="617">
        <f t="shared" ca="1" si="5"/>
        <v>0.43060397420010033</v>
      </c>
      <c r="AB13" s="617">
        <f t="shared" ca="1" si="6"/>
        <v>0.43060397420010033</v>
      </c>
      <c r="AC13" s="617">
        <f t="shared" ca="1" si="7"/>
        <v>-2.2504286485608085</v>
      </c>
      <c r="AD13" s="617">
        <f t="shared" ca="1" si="8"/>
        <v>-2.2504286485608085</v>
      </c>
      <c r="AE13" s="510">
        <f t="shared" ca="1" si="1"/>
        <v>0.87254951143165593</v>
      </c>
      <c r="AF13" s="510">
        <f t="shared" ca="1" si="1"/>
        <v>0.87254951143165593</v>
      </c>
      <c r="AG13" s="510">
        <f t="shared" ca="1" si="2"/>
        <v>-0.12528520436636392</v>
      </c>
      <c r="AH13" s="510">
        <f t="shared" ca="1" si="2"/>
        <v>-0.12528520436636392</v>
      </c>
      <c r="AI13" s="530">
        <f t="shared" ca="1" si="3"/>
        <v>0.84776504510286566</v>
      </c>
      <c r="AJ13" s="530">
        <f t="shared" ca="1" si="4"/>
        <v>7.505203480678202E-2</v>
      </c>
    </row>
    <row r="14" spans="1:36" x14ac:dyDescent="0.25">
      <c r="A14" s="812" t="s">
        <v>142</v>
      </c>
      <c r="B14" s="812">
        <v>2104008320</v>
      </c>
      <c r="C14" s="5">
        <f ca="1">INDIRECT("'DevSumOut-"&amp;$B$2&amp;"BSR'!R55")</f>
        <v>0.59416912152270285</v>
      </c>
      <c r="D14" s="5">
        <f ca="1">INDIRECT("'DevSumOut-"&amp;$B$2&amp;"BSR'!P55")</f>
        <v>2.9989134655416586E-2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-2.668223265747301E-2</v>
      </c>
      <c r="L14" s="5">
        <f ca="1">SCCRedFacsFull!L14*K$4/SCCRedFacsFull!K$4</f>
        <v>-2.5626804838815118E-2</v>
      </c>
      <c r="M14" s="5">
        <f ca="1">'BACM-R8'!P158*($B$2-$M$3+1)*$M$4/SCCRedFacsFull!$M$4</f>
        <v>0.10362273192688667</v>
      </c>
      <c r="N14" s="5">
        <f ca="1">'BACM-R8'!O158*($B$2-$M$3+1)*$M$4/SCCRedFacsFull!$M$4</f>
        <v>-2.9065184338349658E-2</v>
      </c>
      <c r="O14" s="5">
        <f ca="1">SCCRedFacsFull!O14*O$4/SCCRedFacsFull!O$4</f>
        <v>0</v>
      </c>
      <c r="P14" s="5">
        <f ca="1">SCCRedFacsFull!P14*O$4/SCCRedFacsFull!O$4</f>
        <v>0</v>
      </c>
      <c r="Q14" s="5">
        <f ca="1">IFERROR(OFFSET('STF-22'!$E$173,MATCH($B14,'STF-22'!$A$174:$A$191,0),MATCH($B$2,'STF-22'!$F$172:$AD$172,0))*Q$4/SCCRedFacsFull!Q$4,0)</f>
        <v>0.2200920091793078</v>
      </c>
      <c r="R14" s="5">
        <f ca="1">IFERROR(OFFSET('STF-22'!$E$173,MATCH($B14,'STF-22'!$A$174:$A$191,0),MATCH($B$2,'STF-22'!$F$172:$AD$172,0)-1)*R$4/SCCRedFacsFull!R$4,0)</f>
        <v>0.21138616989913458</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0.55643652228172336</v>
      </c>
      <c r="Z14" s="510">
        <f t="shared" ca="1" si="0"/>
        <v>0.20498565876876951</v>
      </c>
      <c r="AA14" s="617">
        <f t="shared" ca="1" si="5"/>
        <v>0.29354300452577731</v>
      </c>
      <c r="AB14" s="617">
        <f t="shared" ca="1" si="6"/>
        <v>0.42930664411894914</v>
      </c>
      <c r="AC14" s="617">
        <f t="shared" ca="1" si="7"/>
        <v>-2.0142722140188041</v>
      </c>
      <c r="AD14" s="617">
        <f t="shared" ca="1" si="8"/>
        <v>-2.9458731130024995</v>
      </c>
      <c r="AE14" s="510">
        <f t="shared" ca="1" si="1"/>
        <v>0.68664147822904897</v>
      </c>
      <c r="AF14" s="510">
        <f t="shared" ca="1" si="1"/>
        <v>0.74686127035468697</v>
      </c>
      <c r="AG14" s="510">
        <f t="shared" ca="1" si="2"/>
        <v>-1.3963896385197621</v>
      </c>
      <c r="AH14" s="510">
        <f t="shared" ca="1" si="2"/>
        <v>-2.1370257135157069</v>
      </c>
      <c r="AI14" s="530">
        <f t="shared" ca="1" si="3"/>
        <v>0.68413038265006476</v>
      </c>
      <c r="AJ14" s="530">
        <f t="shared" ca="1" si="4"/>
        <v>-1.3655059720720542</v>
      </c>
    </row>
    <row r="15" spans="1:36" x14ac:dyDescent="0.25">
      <c r="A15" s="812" t="s">
        <v>143</v>
      </c>
      <c r="B15" s="812">
        <v>2104008330</v>
      </c>
      <c r="C15" s="5">
        <f ca="1">INDIRECT("'DevSumOut-"&amp;$B$2&amp;"BSR'!R56")</f>
        <v>0.39693696599778167</v>
      </c>
      <c r="D15" s="5">
        <f ca="1">INDIRECT("'DevSumOut-"&amp;$B$2&amp;"BSR'!P56")</f>
        <v>1.8055654807205244E-2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-2.6682232657473031E-2</v>
      </c>
      <c r="L15" s="5">
        <f ca="1">SCCRedFacsFull!L15*K$4/SCCRedFacsFull!K$4</f>
        <v>-2.8435221807452414E-2</v>
      </c>
      <c r="M15" s="5">
        <f ca="1">'BACM-R8'!P159*($B$2-$M$3+1)*$M$4/SCCRedFacsFull!$M$4</f>
        <v>0.10362273192688663</v>
      </c>
      <c r="N15" s="5">
        <f ca="1">'BACM-R8'!O159*($B$2-$M$3+1)*$M$4/SCCRedFacsFull!$M$4</f>
        <v>-3.2250410019264694E-2</v>
      </c>
      <c r="O15" s="5">
        <f ca="1">SCCRedFacsFull!O15*O$4/SCCRedFacsFull!O$4</f>
        <v>0</v>
      </c>
      <c r="P15" s="5">
        <f ca="1">SCCRedFacsFull!P15*O$4/SCCRedFacsFull!O$4</f>
        <v>0</v>
      </c>
      <c r="Q15" s="5">
        <f ca="1">IFERROR(OFFSET('STF-22'!$E$173,MATCH($B15,'STF-22'!$A$174:$A$191,0),MATCH($B$2,'STF-22'!$F$172:$AD$172,0))*Q$4/SCCRedFacsFull!Q$4,0)</f>
        <v>0.22009200917930785</v>
      </c>
      <c r="R15" s="5">
        <f ca="1">IFERROR(OFFSET('STF-22'!$E$173,MATCH($B15,'STF-22'!$A$174:$A$191,0),MATCH($B$2,'STF-22'!$F$172:$AD$172,0)-1)*R$4/SCCRedFacsFull!R$4,0)</f>
        <v>0.23455177755931386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0.55643652228172336</v>
      </c>
      <c r="Z15" s="510">
        <f t="shared" ca="1" si="0"/>
        <v>0.22383125447685293</v>
      </c>
      <c r="AA15" s="617">
        <f t="shared" ca="1" si="5"/>
        <v>0.29362726123173721</v>
      </c>
      <c r="AB15" s="617">
        <f t="shared" ca="1" si="6"/>
        <v>0.4294298695514156</v>
      </c>
      <c r="AC15" s="617">
        <f t="shared" ca="1" si="7"/>
        <v>-2.1501343804542987</v>
      </c>
      <c r="AD15" s="617">
        <f t="shared" ca="1" si="8"/>
        <v>-3.1445715314144103</v>
      </c>
      <c r="AE15" s="510">
        <f t="shared" ca="1" si="1"/>
        <v>0.6866788514265656</v>
      </c>
      <c r="AF15" s="510">
        <f t="shared" ca="1" si="1"/>
        <v>0.74691592865605516</v>
      </c>
      <c r="AG15" s="510">
        <f t="shared" ca="1" si="2"/>
        <v>-1.445035850306549</v>
      </c>
      <c r="AH15" s="510">
        <f t="shared" ca="1" si="2"/>
        <v>-2.2168868862688713</v>
      </c>
      <c r="AI15" s="530">
        <f t="shared" ca="1" si="3"/>
        <v>0.68416703507877219</v>
      </c>
      <c r="AJ15" s="530">
        <f t="shared" ca="1" si="4"/>
        <v>-1.4128505561428686</v>
      </c>
    </row>
    <row r="16" spans="1:36" x14ac:dyDescent="0.25">
      <c r="A16" s="812" t="s">
        <v>144</v>
      </c>
      <c r="B16" s="812">
        <v>2104008410</v>
      </c>
      <c r="C16" s="5">
        <f ca="1">INDIRECT("'DevSumOut-"&amp;$B$2&amp;"BSR'!R57")</f>
        <v>1.4646455514193895E-2</v>
      </c>
      <c r="D16" s="5">
        <f ca="1">INDIRECT("'DevSumOut-"&amp;$B$2&amp;"BSR'!P57")</f>
        <v>1.5834005961290702E-3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0.18307167825062914</v>
      </c>
      <c r="R16" s="5">
        <f ca="1">IFERROR(OFFSET('STF-22'!$E$173,MATCH($B16,'STF-22'!$A$174:$A$191,0),MATCH($B$2,'STF-22'!$F$172:$AD$172,0)-1)*R$4/SCCRedFacsFull!R$4,0)</f>
        <v>0.18307167825062917</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0.49514172190888783</v>
      </c>
      <c r="Z16" s="510">
        <f t="shared" ca="1" si="0"/>
        <v>0.21969879315361462</v>
      </c>
      <c r="AA16" s="617">
        <f t="shared" ca="1" si="5"/>
        <v>0.42632653486271976</v>
      </c>
      <c r="AB16" s="617">
        <f t="shared" ca="1" si="6"/>
        <v>0.42632653486271976</v>
      </c>
      <c r="AC16" s="617">
        <f t="shared" ca="1" si="7"/>
        <v>-2.8899536545811819</v>
      </c>
      <c r="AD16" s="617">
        <f t="shared" ca="1" si="8"/>
        <v>-2.8899536545811819</v>
      </c>
      <c r="AE16" s="510">
        <f t="shared" ca="1" si="1"/>
        <v>0.71037620220423103</v>
      </c>
      <c r="AF16" s="510">
        <f t="shared" ca="1" si="1"/>
        <v>0.71037620220423103</v>
      </c>
      <c r="AG16" s="510">
        <f t="shared" ca="1" si="2"/>
        <v>-2.0353355312462034</v>
      </c>
      <c r="AH16" s="510">
        <f t="shared" ca="1" si="2"/>
        <v>-2.0353355312462034</v>
      </c>
      <c r="AI16" s="530">
        <f t="shared" ca="1" si="3"/>
        <v>0.65503019298542853</v>
      </c>
      <c r="AJ16" s="530">
        <f t="shared" ca="1" si="4"/>
        <v>-1.4554695621148217</v>
      </c>
    </row>
    <row r="17" spans="1:40" x14ac:dyDescent="0.25">
      <c r="A17" s="812" t="s">
        <v>145</v>
      </c>
      <c r="B17" s="812">
        <v>2104008420</v>
      </c>
      <c r="C17" s="5">
        <f ca="1">INDIRECT("'DevSumOut-"&amp;$B$2&amp;"BSR'!R58")</f>
        <v>4.9402949640657681E-2</v>
      </c>
      <c r="D17" s="5">
        <f ca="1">INDIRECT("'DevSumOut-"&amp;$B$2&amp;"BSR'!P58")</f>
        <v>5.3408594206116426E-3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0.26606689168383091</v>
      </c>
      <c r="R17" s="5">
        <f ca="1">IFERROR(OFFSET('STF-22'!$E$173,MATCH($B17,'STF-22'!$A$174:$A$191,0),MATCH($B$2,'STF-22'!$F$172:$AD$172,0)-1)*R$4/SCCRedFacsFull!R$4,0)</f>
        <v>0.26606689168383091</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0.54643241587572711</v>
      </c>
      <c r="Z17" s="510">
        <f t="shared" ca="1" si="0"/>
        <v>0.29897290261981702</v>
      </c>
      <c r="AA17" s="617">
        <f t="shared" ca="1" si="5"/>
        <v>0.42409767355878825</v>
      </c>
      <c r="AB17" s="617">
        <f t="shared" ca="1" si="6"/>
        <v>0.42409767355878825</v>
      </c>
      <c r="AC17" s="617">
        <f t="shared" ca="1" si="7"/>
        <v>-4.1950068760237897</v>
      </c>
      <c r="AD17" s="617">
        <f t="shared" ca="1" si="8"/>
        <v>-4.1950068760237897</v>
      </c>
      <c r="AE17" s="510">
        <f t="shared" ca="1" si="1"/>
        <v>0.7387893731045112</v>
      </c>
      <c r="AF17" s="510">
        <f t="shared" ca="1" si="1"/>
        <v>0.7387893731045112</v>
      </c>
      <c r="AG17" s="510">
        <f t="shared" ca="1" si="2"/>
        <v>-2.6418405911690495</v>
      </c>
      <c r="AH17" s="510">
        <f t="shared" ca="1" si="2"/>
        <v>-2.6418405911690495</v>
      </c>
      <c r="AI17" s="530">
        <f t="shared" ca="1" si="3"/>
        <v>0.68932615553139531</v>
      </c>
      <c r="AJ17" s="530">
        <f t="shared" ca="1" si="4"/>
        <v>-1.8856314070519122</v>
      </c>
    </row>
    <row r="18" spans="1:40" x14ac:dyDescent="0.25">
      <c r="A18" s="812" t="s">
        <v>146</v>
      </c>
      <c r="B18" s="812">
        <v>2104008610</v>
      </c>
      <c r="C18" s="5">
        <f ca="1">INDIRECT("'DevSumOut-"&amp;$B$2&amp;"BSR'!R59")</f>
        <v>0.24545272420989431</v>
      </c>
      <c r="D18" s="5">
        <f ca="1">INDIRECT("'DevSumOut-"&amp;$B$2&amp;"BSR'!P59")</f>
        <v>9.9472722299595792E-3</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0.30000000000000004</v>
      </c>
      <c r="L18" s="5">
        <f ca="1">SCCRedFacsFull!L18*K$4/SCCRedFacsFull!K$4</f>
        <v>0.3</v>
      </c>
      <c r="M18" s="5">
        <f ca="1">'BACM-R8'!P162*($B$2-$M$3+1)*$M$4/SCCRedFacsFull!$M$4</f>
        <v>0.39766186909290518</v>
      </c>
      <c r="N18" s="5">
        <f ca="1">'BACM-R8'!O162*($B$2-$M$3+1)*$M$4/SCCRedFacsFull!$M$4</f>
        <v>0.15961643543283796</v>
      </c>
      <c r="O18" s="5">
        <f ca="1">SCCRedFacsFull!O18*O$4/SCCRedFacsFull!O$4</f>
        <v>0</v>
      </c>
      <c r="P18" s="5">
        <f ca="1">SCCRedFacsFull!P18*O$4/SCCRedFacsFull!O$4</f>
        <v>0</v>
      </c>
      <c r="Q18" s="5">
        <f ca="1">IFERROR(OFFSET('STF-22'!$E$173,MATCH($B18,'STF-22'!$A$174:$A$191,0),MATCH($B$2,'STF-22'!$F$172:$AD$172,0))*Q$4/SCCRedFacsFull!Q$4,0)</f>
        <v>0.17075942170167788</v>
      </c>
      <c r="R18" s="5">
        <f ca="1">IFERROR(OFFSET('STF-22'!$E$173,MATCH($B18,'STF-22'!$A$174:$A$191,0),MATCH($B$2,'STF-22'!$F$172:$AD$172,0)-1)*R$4/SCCRedFacsFull!R$4,0)</f>
        <v>0.17075942170167793</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0.78392502478941051</v>
      </c>
      <c r="Z18" s="510">
        <f t="shared" ca="1" si="0"/>
        <v>0.53405520778789017</v>
      </c>
      <c r="AA18" s="617">
        <f t="shared" ca="1" si="5"/>
        <v>0.39764785901825461</v>
      </c>
      <c r="AB18" s="617">
        <f t="shared" ca="1" si="6"/>
        <v>0.43063247405202676</v>
      </c>
      <c r="AC18" s="617">
        <f t="shared" ca="1" si="7"/>
        <v>-1.5734882363846254</v>
      </c>
      <c r="AD18" s="617">
        <f t="shared" ca="1" si="8"/>
        <v>-1.7040079979280507</v>
      </c>
      <c r="AE18" s="510">
        <f t="shared" ca="1" si="1"/>
        <v>0.86984677606932381</v>
      </c>
      <c r="AF18" s="510">
        <f t="shared" ca="1" si="1"/>
        <v>0.87697392594507706</v>
      </c>
      <c r="AG18" s="510">
        <f t="shared" ca="1" si="2"/>
        <v>-0.19910344156254323</v>
      </c>
      <c r="AH18" s="510">
        <f t="shared" ca="1" si="2"/>
        <v>-0.25991844473446868</v>
      </c>
      <c r="AI18" s="530">
        <f t="shared" ca="1" si="3"/>
        <v>0.85141800281916202</v>
      </c>
      <c r="AJ18" s="530">
        <f t="shared" ca="1" si="4"/>
        <v>-4.185321907513629E-2</v>
      </c>
    </row>
    <row r="19" spans="1:40" x14ac:dyDescent="0.25">
      <c r="A19" s="812" t="s">
        <v>147</v>
      </c>
      <c r="B19" s="812">
        <v>2104004000</v>
      </c>
      <c r="C19" s="5">
        <f ca="1">INDIRECT("'DevSumOut-"&amp;$B$2&amp;"BSR'!R60")+INDIRECT("'DevSumOut-"&amp;$B$2&amp;"BSR'!R62")+INDIRECT("'DevSumOut-"&amp;$B$2&amp;"BSR'!R63")</f>
        <v>5.4857507559784031E-2</v>
      </c>
      <c r="D19" s="5">
        <f ca="1">INDIRECT("'DevSumOut-"&amp;$B$2&amp;"BSR'!P60")+INDIRECT("'DevSumOut-"&amp;$B$2&amp;"BSR'!P62")+INDIRECT("'DevSumOut-"&amp;$B$2&amp;"BSR'!P63")</f>
        <v>3.4753359256370939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-1.0970614635204932E-2</v>
      </c>
      <c r="L19" s="5">
        <f ca="1">SCCRedFacsFull!L19*K$4/SCCRedFacsFull!K$4</f>
        <v>-1.097964332172064E-2</v>
      </c>
      <c r="M19" s="5">
        <f ca="1">'BACM-R8'!P163*($B$2-$M$3+1)*$M$4/SCCRedFacsFull!$M$4</f>
        <v>0</v>
      </c>
      <c r="N19" s="5">
        <f ca="1">'BACM-R8'!O163*($B$2-$M$3+1)*$M$4/SCCRedFacsFull!$M$4</f>
        <v>0</v>
      </c>
      <c r="O19" s="5">
        <f ca="1">SCCRedFacsFull!O19*O$4/SCCRedFacsFull!O$4</f>
        <v>-3.0702619425132657E-3</v>
      </c>
      <c r="P19" s="5">
        <f ca="1">SCCRedFacsFull!P19*O$4/SCCRedFacsFull!O$4</f>
        <v>-3.0727887318976466E-3</v>
      </c>
      <c r="Q19" s="5">
        <f ca="1">IFERROR(OFFSET('STF-22'!$E$173,MATCH($B19,'STF-22'!$A$174:$A$191,0),MATCH($B$2,'STF-22'!$F$172:$AD$172,0))*Q$4/SCCRedFacsFull!Q$4,0)</f>
        <v>-1.0704428665972264E-2</v>
      </c>
      <c r="R19" s="5">
        <f ca="1">IFERROR(OFFSET('STF-22'!$E$173,MATCH($B19,'STF-22'!$A$174:$A$191,0),MATCH($B$2,'STF-22'!$F$172:$AD$172,0)-1)*R$4/SCCRedFacsFull!R$4,0)</f>
        <v>-1.0713238284573311E-2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0.66235776608941221</v>
      </c>
      <c r="Z19" s="510">
        <f t="shared" ca="1" si="0"/>
        <v>0.55280734117310715</v>
      </c>
      <c r="AA19" s="617">
        <f t="shared" ca="1" si="5"/>
        <v>0</v>
      </c>
      <c r="AB19" s="617">
        <f t="shared" ca="1" si="6"/>
        <v>0</v>
      </c>
      <c r="AC19" s="617">
        <f t="shared" ca="1" si="7"/>
        <v>0</v>
      </c>
      <c r="AD19" s="617">
        <f t="shared" ca="1" si="8"/>
        <v>0</v>
      </c>
      <c r="AE19" s="510">
        <f t="shared" ca="1" si="1"/>
        <v>0.66235776608941221</v>
      </c>
      <c r="AF19" s="510">
        <f t="shared" ca="1" si="1"/>
        <v>0.66235776608941221</v>
      </c>
      <c r="AG19" s="510">
        <f t="shared" ca="1" si="2"/>
        <v>0.55280734117310715</v>
      </c>
      <c r="AH19" s="510">
        <f t="shared" ca="1" si="2"/>
        <v>0.55280734117310715</v>
      </c>
      <c r="AI19" s="530">
        <f t="shared" ca="1" si="3"/>
        <v>0.66235776608941221</v>
      </c>
      <c r="AJ19" s="530">
        <f t="shared" ca="1" si="4"/>
        <v>0.55280734117310715</v>
      </c>
    </row>
    <row r="20" spans="1:40" x14ac:dyDescent="0.25">
      <c r="A20" s="812" t="s">
        <v>148</v>
      </c>
      <c r="B20" s="812">
        <v>2103004001</v>
      </c>
      <c r="C20" s="5">
        <f ca="1">INDIRECT("'DevSumOut-"&amp;$B$2&amp;"BSR'!R61")</f>
        <v>1.7801232577771393E-2</v>
      </c>
      <c r="D20" s="5">
        <f ca="1">INDIRECT("'DevSumOut-"&amp;$B$2&amp;"BSR'!P61")</f>
        <v>0.49603609510945462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5.8529310125197222E-6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2" t="s">
        <v>150</v>
      </c>
      <c r="B22" s="812">
        <v>2103006000</v>
      </c>
      <c r="C22" s="5">
        <f ca="1">INDIRECT("'DevSumOut-"&amp;$B$2&amp;"BSR'!R65")</f>
        <v>1.007951856986729E-2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9.5214781787673869E-2</v>
      </c>
      <c r="D23" s="5">
        <f ca="1">INDIRECT("'DevSumOut-"&amp;$B$2&amp;"BSR'!P66")</f>
        <v>0.11082571597313731</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0.3</v>
      </c>
      <c r="L23" s="5">
        <f ca="1">SCCRedFacsFull!L23*K$4/SCCRedFacsFull!K$4</f>
        <v>0.3</v>
      </c>
      <c r="M23" s="5">
        <f ca="1">'BACM-R8'!P167*($B$2-$M$3+1)*$M$4/SCCRedFacsFull!$M$4</f>
        <v>0</v>
      </c>
      <c r="N23" s="5">
        <f ca="1">'BACM-R8'!O167*($B$2-$M$3+1)*$M$4/SCCRedFacsFull!$M$4</f>
        <v>0</v>
      </c>
      <c r="O23" s="5">
        <f ca="1">SCCRedFacsFull!O23*O$4/SCCRedFacsFull!O$4</f>
        <v>0.5</v>
      </c>
      <c r="P23" s="5">
        <f ca="1">SCCRedFacsFull!P23*O$4/SCCRedFacsFull!O$4</f>
        <v>0.5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0.77394659092288887</v>
      </c>
      <c r="Z23" s="510">
        <f t="shared" ca="1" si="0"/>
        <v>0.65061532004279365</v>
      </c>
      <c r="AA23" s="617">
        <f t="shared" ca="1" si="5"/>
        <v>0.44845389532858415</v>
      </c>
      <c r="AB23" s="617">
        <f t="shared" ca="1" si="6"/>
        <v>0.44845389532858415</v>
      </c>
      <c r="AC23" s="617">
        <f t="shared" ca="1" si="7"/>
        <v>0.36928069720055601</v>
      </c>
      <c r="AD23" s="617">
        <f t="shared" ca="1" si="8"/>
        <v>0.36928069720055601</v>
      </c>
      <c r="AE23" s="510">
        <f t="shared" ca="1" si="1"/>
        <v>0.8753211227758253</v>
      </c>
      <c r="AF23" s="510">
        <f t="shared" ca="1" si="1"/>
        <v>0.8753211227758253</v>
      </c>
      <c r="AG23" s="510">
        <f t="shared" ca="1" si="2"/>
        <v>0.77963633824858392</v>
      </c>
      <c r="AH23" s="510">
        <f t="shared" ca="1" si="2"/>
        <v>0.77963633824858392</v>
      </c>
      <c r="AI23" s="530">
        <f t="shared" ca="1" si="3"/>
        <v>0.84925338601364164</v>
      </c>
      <c r="AJ23" s="530">
        <f t="shared" ca="1" si="4"/>
        <v>0.74645950499566638</v>
      </c>
    </row>
    <row r="24" spans="1:40" x14ac:dyDescent="0.25">
      <c r="A24" s="812" t="s">
        <v>152</v>
      </c>
      <c r="B24" s="812">
        <v>2103002000</v>
      </c>
      <c r="C24" s="5">
        <f ca="1">INDIRECT("'DevSumOut-"&amp;$B$2&amp;"BSR'!R67")</f>
        <v>2.6304953575588091E-4</v>
      </c>
      <c r="D24" s="5">
        <f ca="1">INDIRECT("'DevSumOut-"&amp;$B$2&amp;"BSR'!P67")</f>
        <v>3.0617780757568111E-4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2.7287431994720563</v>
      </c>
      <c r="D27" s="450">
        <f ca="1">INDIRECT("'DevSumOut-"&amp;$B$2&amp;"BSR'!P70")</f>
        <v>4.1903632197367111</v>
      </c>
      <c r="E27" s="450">
        <f ca="1">$C27-E28</f>
        <v>1.7733004716552847</v>
      </c>
      <c r="F27" s="450">
        <f ca="1">$D27-F28</f>
        <v>4.1838998708354369</v>
      </c>
      <c r="G27" s="450">
        <f ca="1">$C27-G28</f>
        <v>2.7199367068026579</v>
      </c>
      <c r="H27" s="450">
        <f ca="1">$D27-H28</f>
        <v>2.2478701562399808</v>
      </c>
      <c r="I27" s="450">
        <f ca="1">$C27-I28</f>
        <v>2.5937042653719686</v>
      </c>
      <c r="J27" s="450">
        <f ca="1">$D27-J28</f>
        <v>4.1855835133387185</v>
      </c>
      <c r="K27" s="450">
        <f ca="1">$C27-K28</f>
        <v>2.3028657695690002</v>
      </c>
      <c r="L27" s="450">
        <f ca="1">$D27-L28</f>
        <v>4.1867495879756058</v>
      </c>
      <c r="M27" s="450">
        <f ca="1">$C27-M28</f>
        <v>2.089322380864858</v>
      </c>
      <c r="N27" s="450">
        <f ca="1">$D27-N28</f>
        <v>4.1808355133639461</v>
      </c>
      <c r="O27" s="450">
        <f ca="1">$C27-O28</f>
        <v>2.6813042354959413</v>
      </c>
      <c r="P27" s="450">
        <f ca="1">$D27-P28</f>
        <v>4.145629334821999</v>
      </c>
      <c r="Q27" s="450">
        <f ca="1">$C27-Q28</f>
        <v>2.2059410251065112</v>
      </c>
      <c r="R27" s="450">
        <f ca="1">$D27-R28</f>
        <v>4.2088934922707182</v>
      </c>
      <c r="S27" s="450">
        <f ca="1">$C27-S28</f>
        <v>2.7282312506804338</v>
      </c>
      <c r="T27" s="450">
        <f ca="1">$D27-T28</f>
        <v>4.1903632197367111</v>
      </c>
      <c r="U27" s="786">
        <f ca="1">$C27-U28</f>
        <v>2.7287431994720563</v>
      </c>
      <c r="V27" s="786">
        <f ca="1">$D27-V28</f>
        <v>4.1903632197367111</v>
      </c>
      <c r="W27" s="450">
        <f ca="1">$C27-W28</f>
        <v>2.7287431994720563</v>
      </c>
      <c r="X27" s="450">
        <f ca="1">$D27-X28</f>
        <v>4.1903632197367111</v>
      </c>
      <c r="Y27" s="450">
        <f ca="1">$C27-Y28</f>
        <v>0.85757336608163581</v>
      </c>
      <c r="Z27" s="450">
        <f ca="1">$D27-Z28</f>
        <v>2.1753739098346925</v>
      </c>
      <c r="AA27" s="450">
        <f ca="1">$C27-AA28</f>
        <v>2.0393741202775448</v>
      </c>
      <c r="AB27" s="450">
        <f ca="1">$C27-AB28</f>
        <v>1.5895761699517879</v>
      </c>
      <c r="AC27" s="450">
        <f ca="1">$D27-AC28</f>
        <v>4.3291733177741554</v>
      </c>
      <c r="AD27" s="450">
        <f ca="1">$D27-AD28</f>
        <v>4.3778814566681179</v>
      </c>
      <c r="AE27" s="450">
        <f ca="1">$C27-AE28</f>
        <v>0.63937543034691391</v>
      </c>
      <c r="AF27" s="450">
        <f ca="1">$C27-AF28</f>
        <v>0.50600670264866476</v>
      </c>
      <c r="AG27" s="450">
        <f ca="1">$D27-AG28</f>
        <v>2.2771945247345644</v>
      </c>
      <c r="AH27" s="450">
        <f ca="1">$D27-AH28</f>
        <v>2.3136960124751664</v>
      </c>
      <c r="AI27" s="787">
        <f ca="1">$C27-AI28</f>
        <v>0.62689383957674361</v>
      </c>
      <c r="AJ27" s="787">
        <f ca="1">$D27-AJ28</f>
        <v>2.2697842745983352</v>
      </c>
    </row>
    <row r="28" spans="1:40" x14ac:dyDescent="0.25">
      <c r="B28" s="244" t="s">
        <v>156</v>
      </c>
      <c r="E28" s="450">
        <f ca="1">SUMPRODUCT($C9:$C26,E9:E26)</f>
        <v>0.95544272781677164</v>
      </c>
      <c r="F28" s="450">
        <f ca="1">SUMPRODUCT($D9:$D26,F9:F26)</f>
        <v>6.4633489012743007E-3</v>
      </c>
      <c r="G28" s="450">
        <f ca="1">SUMPRODUCT($C9:$C26,G9:G26)</f>
        <v>8.806492669398468E-3</v>
      </c>
      <c r="H28" s="450">
        <f ca="1">SUMPRODUCT($D9:$D26,H9:H26)</f>
        <v>1.9424930634967306</v>
      </c>
      <c r="I28" s="450">
        <f ca="1">SUMPRODUCT($C9:$C26,I9:I26)</f>
        <v>0.13503893410008783</v>
      </c>
      <c r="J28" s="450">
        <f ca="1">SUMPRODUCT($D9:$D26,J9:J26)</f>
        <v>4.7797063979926379E-3</v>
      </c>
      <c r="K28" s="450">
        <f ca="1">SUMPRODUCT($C9:$C26,K9:K26)</f>
        <v>0.42587742990305599</v>
      </c>
      <c r="L28" s="450">
        <f ca="1">SUMPRODUCT($D9:$D26,L9:L26)</f>
        <v>3.6136317611055839E-3</v>
      </c>
      <c r="M28" s="450">
        <f ca="1">SUMPRODUCT($C9:$C26,M9:M26)</f>
        <v>0.63942081860719846</v>
      </c>
      <c r="N28" s="450">
        <f ca="1">SUMPRODUCT($D9:$D26,N9:N26)</f>
        <v>9.5277063727652808E-3</v>
      </c>
      <c r="O28" s="450">
        <f ca="1">SUMPRODUCT($C9:$C26,O9:O26)</f>
        <v>4.7438963976114995E-2</v>
      </c>
      <c r="P28" s="450">
        <f ca="1">SUMPRODUCT($D9:$D26,P9:P26)</f>
        <v>4.4733884914711919E-2</v>
      </c>
      <c r="Q28" s="450">
        <f ca="1">SUMPRODUCT($C9:$C26,Q9:Q26)</f>
        <v>0.52280217436554521</v>
      </c>
      <c r="R28" s="450">
        <f ca="1">SUMPRODUCT($D9:$D26,R9:R26)</f>
        <v>-1.8530272534006881E-2</v>
      </c>
      <c r="S28" s="450">
        <f ca="1">SUMPRODUCT($C9:$C26,S9:S26)</f>
        <v>5.1194879162255074E-4</v>
      </c>
      <c r="T28" s="450">
        <f ca="1">SUMPRODUCT($D9:$D26,T9:T26)</f>
        <v>0</v>
      </c>
      <c r="U28" s="786">
        <f ca="1">SUMPRODUCT($C9:$C26,U9:U26)</f>
        <v>0</v>
      </c>
      <c r="V28" s="786">
        <f ca="1">SUMPRODUCT($D9:$D26,V9:V26)</f>
        <v>0</v>
      </c>
      <c r="W28" s="450">
        <f ca="1">SUMPRODUCT($C9:$C26,W9:W26)</f>
        <v>0</v>
      </c>
      <c r="X28" s="450">
        <f ca="1">SUMPRODUCT($D9:$D26,X9:X26)</f>
        <v>0</v>
      </c>
      <c r="Y28" s="450">
        <f ca="1">SUMPRODUCT($C9:$C26,Y9:Y26)</f>
        <v>1.8711698333904205</v>
      </c>
      <c r="Z28" s="450">
        <f ca="1">SUMPRODUCT($D9:$D26,Z9:Z26)</f>
        <v>2.0149893099020186</v>
      </c>
      <c r="AA28" s="450">
        <f ca="1">SUMPRODUCT($C9:$C26,AA9:AA26)</f>
        <v>0.68936907919451151</v>
      </c>
      <c r="AB28" s="450">
        <f ca="1">SUMPRODUCT($C9:$C26,AB9:AB26)</f>
        <v>1.1391670295202685</v>
      </c>
      <c r="AC28" s="450">
        <f ca="1">SUMPRODUCT($D9:$D26,AC9:AC26)</f>
        <v>-0.13881009803744418</v>
      </c>
      <c r="AD28" s="450">
        <f ca="1">SUMPRODUCT($D9:$D26,AD9:AD26)</f>
        <v>-0.18751823693140654</v>
      </c>
      <c r="AE28" s="450">
        <f ca="1">SUMPRODUCT($C9:$C26,AE9:AE26)</f>
        <v>2.0893677691251424</v>
      </c>
      <c r="AF28" s="450">
        <f ca="1">SUMPRODUCT($C9:$C26,AF9:AF26)</f>
        <v>2.2227364968233916</v>
      </c>
      <c r="AG28" s="450">
        <f ca="1">SUMPRODUCT($D9:$D26,AG9:AG26)</f>
        <v>1.9131686950021467</v>
      </c>
      <c r="AH28" s="450">
        <f ca="1">SUMPRODUCT($D9:$D26,AH9:AH26)</f>
        <v>1.8766672072615447</v>
      </c>
      <c r="AI28" s="450">
        <f ca="1">SUMPRODUCT($C9:$C26,AI9:AI26)</f>
        <v>2.1018493598953127</v>
      </c>
      <c r="AJ28" s="450">
        <f ca="1">SUMPRODUCT($D9:$D26,AJ9:AJ26)</f>
        <v>1.9205789451383759</v>
      </c>
    </row>
    <row r="29" spans="1:40" x14ac:dyDescent="0.25">
      <c r="E29" s="659">
        <f ca="1">E28/$C27</f>
        <v>0.35014021400094592</v>
      </c>
      <c r="F29" s="693">
        <f ca="1">F28/$D27</f>
        <v>1.5424316610149146E-3</v>
      </c>
      <c r="G29" s="659">
        <f ca="1">G28/$C27</f>
        <v>3.2273072347380671E-3</v>
      </c>
      <c r="H29" s="693">
        <f ca="1">H28/$D27</f>
        <v>0.46356197819500272</v>
      </c>
      <c r="I29" s="659">
        <f ca="1">I28/$C27</f>
        <v>4.9487593455556568E-2</v>
      </c>
      <c r="J29" s="693">
        <f ca="1">J28/$D27</f>
        <v>1.1406425045638303E-3</v>
      </c>
      <c r="K29" s="659">
        <f ca="1">K28/$C27</f>
        <v>0.15607090838941995</v>
      </c>
      <c r="L29" s="693">
        <f ca="1">L28/$D27</f>
        <v>8.6236719148480778E-4</v>
      </c>
      <c r="M29" s="659">
        <f ca="1">M28/$C27</f>
        <v>0.23432795681576427</v>
      </c>
      <c r="N29" s="693">
        <f ca="1">N28/$D27</f>
        <v>2.2737184996015512E-3</v>
      </c>
      <c r="O29" s="659">
        <f ca="1">O28/$C27</f>
        <v>1.7384913312946872E-2</v>
      </c>
      <c r="P29" s="693">
        <f ca="1">P28/$D27</f>
        <v>1.0675419425221721E-2</v>
      </c>
      <c r="Q29" s="659">
        <f ca="1">Q28/$C27</f>
        <v>0.19159082997135618</v>
      </c>
      <c r="R29" s="693">
        <f ca="1">R28/$D27</f>
        <v>-4.4221160702081512E-3</v>
      </c>
      <c r="S29" s="659">
        <f ca="1">S28/$C27</f>
        <v>1.8761340082188756E-4</v>
      </c>
      <c r="T29" s="693">
        <f ca="1">T28/$D27</f>
        <v>0</v>
      </c>
      <c r="U29" s="700">
        <f ca="1">U28/$C27</f>
        <v>0</v>
      </c>
      <c r="V29" s="700">
        <f ca="1">V28/$D27</f>
        <v>0</v>
      </c>
      <c r="W29" s="659">
        <f ca="1">W28/$C27</f>
        <v>0</v>
      </c>
      <c r="X29" s="693">
        <f ca="1">X28/$D27</f>
        <v>0</v>
      </c>
      <c r="Y29" s="659">
        <f ca="1">Y28/$C27</f>
        <v>0.6857258806004336</v>
      </c>
      <c r="Z29" s="693">
        <f t="shared" ref="Z29" ca="1" si="9">Z28/$D27</f>
        <v>0.48086268522293502</v>
      </c>
      <c r="AA29" s="838">
        <f ca="1">(AA28*$AJ$4+AB28*$AJ$5)/SUM($AJ$4:$AJ$5)</f>
        <v>1.0007676601892663</v>
      </c>
      <c r="AB29" s="838"/>
      <c r="AC29" s="838">
        <f ca="1">(AC28*$AJ$4+AD28*$AJ$5)/SUM($AJ$4:$AJ$5)</f>
        <v>-0.17253111727172582</v>
      </c>
      <c r="AD29" s="838"/>
      <c r="AE29" s="659">
        <f ca="1">AE28/$C27</f>
        <v>0.76568867657806083</v>
      </c>
      <c r="AF29" s="659">
        <f ca="1">AF28/$C27</f>
        <v>0.81456419103616473</v>
      </c>
      <c r="AG29" s="693">
        <f t="shared" ref="AG29:AH29" ca="1" si="10">AG28/$D27</f>
        <v>0.45656392887162534</v>
      </c>
      <c r="AH29" s="693">
        <f t="shared" ca="1" si="10"/>
        <v>0.44785311173561215</v>
      </c>
      <c r="AI29" s="659">
        <f ca="1">AI28/$C27</f>
        <v>0.77026279361940986</v>
      </c>
      <c r="AJ29" s="693">
        <f t="shared" ref="AJ29" ca="1" si="11">AJ28/$D27</f>
        <v>0.45833233169201254</v>
      </c>
      <c r="AK29" s="5"/>
      <c r="AL29" s="5"/>
      <c r="AN29" s="5"/>
    </row>
    <row r="30" spans="1:40" x14ac:dyDescent="0.25">
      <c r="B30" s="244" t="s">
        <v>157</v>
      </c>
      <c r="E30" s="450">
        <f ca="1">E28*($Y28/$Y30)</f>
        <v>0.65359185439640077</v>
      </c>
      <c r="F30" s="450">
        <f ca="1">F28*($Z28/$Z30)</f>
        <v>6.5343949841135465E-3</v>
      </c>
      <c r="G30" s="450">
        <f ca="1">G28*($Y28/$Y30)</f>
        <v>6.0242772349869966E-3</v>
      </c>
      <c r="H30" s="450">
        <f ca="1">H28*($Z28/$Z30)</f>
        <v>1.9638452332792777</v>
      </c>
      <c r="I30" s="450">
        <f ca="1">I28*($Y28/$Y30)</f>
        <v>9.2376387181122316E-2</v>
      </c>
      <c r="J30" s="450">
        <f ca="1">J28*($Z28/$Z30)</f>
        <v>4.8322456345224968E-3</v>
      </c>
      <c r="K30" s="450">
        <f ca="1">K28*($Y28/$Y30)</f>
        <v>0.29133093073192728</v>
      </c>
      <c r="L30" s="450">
        <f ca="1">L28*($Z28/$Z30)</f>
        <v>3.6533533335243989E-3</v>
      </c>
      <c r="M30" s="450">
        <f ca="1">M28*($Y28/$Y30)</f>
        <v>0.43741003663098621</v>
      </c>
      <c r="N30" s="450">
        <f ca="1">N28*($Z28/$Z30)</f>
        <v>9.6324363241522513E-3</v>
      </c>
      <c r="O30" s="450">
        <f ca="1">O28*($Y28/$Y30)</f>
        <v>3.2451678717197924E-2</v>
      </c>
      <c r="P30" s="450">
        <f ca="1">P28*($Z28/$Z30)</f>
        <v>4.5225606364678095E-2</v>
      </c>
      <c r="Q30" s="450">
        <f ca="1">Q28*($Y28/$Y30)</f>
        <v>0.35763445853719028</v>
      </c>
      <c r="R30" s="450">
        <f ca="1">R28*($Z28/$Z30)</f>
        <v>-1.8733960018249809E-2</v>
      </c>
      <c r="S30" s="450">
        <f ca="1">S28*($Y28/$Y30)</f>
        <v>3.5020996060869901E-4</v>
      </c>
      <c r="T30" s="450">
        <f ca="1">T28*($Z28/$Z30)</f>
        <v>0</v>
      </c>
      <c r="U30" s="786">
        <f ca="1">U28*($Y28/$Y30)</f>
        <v>0</v>
      </c>
      <c r="V30" s="786">
        <f ca="1">V28*($Z28/$Z30)</f>
        <v>0</v>
      </c>
      <c r="W30" s="450">
        <f ca="1">W28*($Y28/$Y30)</f>
        <v>0</v>
      </c>
      <c r="X30" s="450">
        <f ca="1">X28*($Z28/$Z30)</f>
        <v>0</v>
      </c>
      <c r="Y30" s="450">
        <f ca="1">SUM($E28,$G28,$I28,$K28,$M28,$O28,$Q28,$S28,$W28)</f>
        <v>2.7353394902297952</v>
      </c>
      <c r="Z30" s="450">
        <f ca="1">SUM($F28,$H28,$J28,$L28,$N28,$P28,$R28,$T28,$X28)</f>
        <v>1.9930810693105732</v>
      </c>
      <c r="AA30" s="450">
        <f ca="1">AE28-$Y28</f>
        <v>0.2181979357347219</v>
      </c>
      <c r="AB30" s="450">
        <f ca="1">AF28-$Y28</f>
        <v>0.35156666343297105</v>
      </c>
      <c r="AC30" s="450">
        <f ca="1">AG28-$Z28</f>
        <v>-0.10182061489987193</v>
      </c>
      <c r="AD30" s="450">
        <f ca="1">AH28-$Z28</f>
        <v>-0.13832210264047395</v>
      </c>
      <c r="AE30" s="450">
        <f ca="1">SUM($E28,$G28,$I28,$K28,$M28,$O28,$Q28,$S28,$W28,AA28)</f>
        <v>3.4247085694243067</v>
      </c>
      <c r="AF30" s="450">
        <f ca="1">SUM($E28,$G28,$I28,$K28,$M28,$O28,$Q28,$S28,$W28,AB28)</f>
        <v>3.8745065197500637</v>
      </c>
      <c r="AG30" s="450">
        <f ca="1">SUM($F28,$H28,$J28,$L28,$N28,$P28,$R28,$T28,$X28,AC28)</f>
        <v>1.8542709712731289</v>
      </c>
      <c r="AH30" s="450">
        <f ca="1">SUM($F28,$H28,$J28,$L28,$N28,$P28,$R28,$T28,$X28,AD28)</f>
        <v>1.8055628323791666</v>
      </c>
    </row>
    <row r="31" spans="1:40" x14ac:dyDescent="0.25">
      <c r="Y31" s="659">
        <f ca="1">Y30/$C27</f>
        <v>1.0024173365815496</v>
      </c>
      <c r="Z31" s="659">
        <f ca="1">Z30/$C27</f>
        <v>0.73040257862893976</v>
      </c>
      <c r="AA31" s="839" t="s">
        <v>158</v>
      </c>
      <c r="AB31" s="839"/>
      <c r="AC31" s="839"/>
      <c r="AD31" s="839"/>
      <c r="AE31" s="659">
        <f ca="1">AE30/$C27</f>
        <v>1.2550497863217405</v>
      </c>
      <c r="AF31" s="659">
        <f ca="1">AF30/$C27</f>
        <v>1.4198868257370953</v>
      </c>
      <c r="AG31" s="693">
        <f ca="1">AG30/$D27</f>
        <v>0.4425084113328096</v>
      </c>
      <c r="AH31" s="693">
        <f ca="1">AH30/$D27</f>
        <v>0.4308845648212361</v>
      </c>
    </row>
    <row r="32" spans="1:40" x14ac:dyDescent="0.25">
      <c r="Y32" s="698">
        <f ca="1">SUM($E30,$G30,$I30,$K30,$M30,$O30,$Q30,$S30,$W30)</f>
        <v>1.8711698333904203</v>
      </c>
      <c r="Z32" s="698">
        <f ca="1">SUM($F30,$H30,$J30,$L30,$N30,$P30,$R30,$T30,$X30)</f>
        <v>2.0149893099020186</v>
      </c>
      <c r="AA32" s="838">
        <f ca="1">(AA30*$AJ$4+AB30*$AJ$5)/SUM($AJ$4:$AJ$5)</f>
        <v>0.31053013183350975</v>
      </c>
      <c r="AB32" s="838"/>
      <c r="AC32" s="838">
        <f ca="1">(AC30*$AJ$4+AD30*$AJ$5)/SUM($AJ$4:$AJ$5)</f>
        <v>-0.12709087564336563</v>
      </c>
      <c r="AD32" s="838"/>
    </row>
    <row r="33" spans="2:34" x14ac:dyDescent="0.25">
      <c r="C33" s="450">
        <f ca="1">SUM(C9:C18)</f>
        <v>2.547898076719874</v>
      </c>
      <c r="D33" s="450">
        <f ca="1">SUM(D9:D18)</f>
        <v>9.0182915171004657E-2</v>
      </c>
      <c r="Z33" s="616"/>
      <c r="AA33" s="616"/>
    </row>
    <row r="34" spans="2:34" x14ac:dyDescent="0.25">
      <c r="B34" s="244" t="s">
        <v>159</v>
      </c>
      <c r="E34" s="450">
        <f ca="1">SUMPRODUCT($C9:$C18,E9:E18)</f>
        <v>0.90229508750975262</v>
      </c>
      <c r="F34" s="450">
        <f ca="1">SUMPRODUCT($D9:$D18,F9:F18)</f>
        <v>1.585467292065029E-4</v>
      </c>
      <c r="G34" s="450">
        <f ca="1">SUMPRODUCT($C9:$C18,G9:G18)</f>
        <v>-2.6493731869726412E-2</v>
      </c>
      <c r="H34" s="450">
        <f ca="1">SUMPRODUCT($D9:$D18,H9:H18)</f>
        <v>-9.3774629197365905E-4</v>
      </c>
      <c r="I34" s="450">
        <f ca="1">SUMPRODUCT($C9:$C18,I9:I18)</f>
        <v>0.13503893410008783</v>
      </c>
      <c r="J34" s="450">
        <f ca="1">SUMPRODUCT($D9:$D18,J9:J18)</f>
        <v>4.7797063979926379E-3</v>
      </c>
      <c r="K34" s="450">
        <f ca="1">SUMPRODUCT($C9:$C18,K9:K18)</f>
        <v>0.39791481594204009</v>
      </c>
      <c r="L34" s="450">
        <f ca="1">SUMPRODUCT($D9:$D18,L9:L18)</f>
        <v>8.5238658558215337E-3</v>
      </c>
      <c r="M34" s="450">
        <f ca="1">SUMPRODUCT($C9:$C18,M9:M18)</f>
        <v>0.63942081860719846</v>
      </c>
      <c r="N34" s="450">
        <f ca="1">SUMPRODUCT($D9:$D18,N9:N18)</f>
        <v>9.5277063727652808E-3</v>
      </c>
      <c r="O34" s="450">
        <f ca="1">SUMPRODUCT($C9:$C18,O9:O18)</f>
        <v>0</v>
      </c>
      <c r="P34" s="450">
        <f ca="1">SUMPRODUCT($D9:$D18,P9:P18)</f>
        <v>0</v>
      </c>
      <c r="Q34" s="450">
        <f ca="1">SUMPRODUCT($C9:$C18,Q9:Q18)</f>
        <v>0.52338939264201201</v>
      </c>
      <c r="R34" s="450">
        <f ca="1">SUMPRODUCT($D9:$D18,R9:R18)</f>
        <v>1.8701829356281459E-2</v>
      </c>
      <c r="S34" s="450"/>
      <c r="T34" s="450"/>
      <c r="U34" s="450">
        <f ca="1">SUMPRODUCT($C9:$C18,U9:U18)</f>
        <v>0</v>
      </c>
      <c r="V34" s="450">
        <f ca="1">SUMPRODUCT($D9:$D18,V9:V18)</f>
        <v>0</v>
      </c>
      <c r="W34" s="450">
        <f ca="1">SUMPRODUCT($C9:$C18,W9:W18)</f>
        <v>0</v>
      </c>
      <c r="X34" s="450">
        <f ca="1">SUMPRODUCT($D9:$D18,X9:X18)</f>
        <v>0</v>
      </c>
      <c r="Y34" s="450">
        <f ca="1">SUMPRODUCT($C9:$C18,Y9:Y18)</f>
        <v>1.7527180728843301</v>
      </c>
      <c r="Z34" s="450">
        <f ca="1">SUMPRODUCT($D9:$D18,Z9:Z18)</f>
        <v>3.4615479275095971E-2</v>
      </c>
      <c r="AE34" s="450">
        <f ca="1">SUMPRODUCT($C9:$C18,AE9:AE18)</f>
        <v>1.9612636546898465</v>
      </c>
      <c r="AF34" s="450">
        <f ca="1">SUMPRODUCT($C9:$C18,AF9:AF18)</f>
        <v>2.0946323823880961</v>
      </c>
      <c r="AG34" s="450">
        <f ca="1">SUMPRODUCT($D9:$D18,AG9:AG18)</f>
        <v>-8.1503982343015938E-2</v>
      </c>
      <c r="AH34" s="450">
        <f ca="1">SUMPRODUCT($D9:$D18,AH9:AH18)</f>
        <v>-0.11800547008361784</v>
      </c>
    </row>
    <row r="35" spans="2:34" x14ac:dyDescent="0.25">
      <c r="C35" s="450">
        <f ca="1">SUM(C19:C20)</f>
        <v>7.2658740137555425E-2</v>
      </c>
      <c r="D35" s="450">
        <f ca="1">SUM(D19:D20)</f>
        <v>3.9713720207465486</v>
      </c>
      <c r="AD35" s="244" t="s">
        <v>160</v>
      </c>
      <c r="AE35" s="604">
        <f ca="1">AE34/$C33</f>
        <v>0.76975750035289803</v>
      </c>
      <c r="AF35" s="604">
        <f ca="1">AF34/$C33</f>
        <v>0.82210210899986025</v>
      </c>
      <c r="AG35" s="604">
        <f t="shared" ref="AG35:AH37" ca="1" si="12">AG34/$D33</f>
        <v>-0.9037630042061543</v>
      </c>
      <c r="AH35" s="604">
        <f t="shared" ca="1" si="12"/>
        <v>-1.308512481104166</v>
      </c>
    </row>
    <row r="36" spans="2:34" x14ac:dyDescent="0.25">
      <c r="B36" s="244" t="s">
        <v>161</v>
      </c>
      <c r="E36" s="450">
        <f ca="1">SUMPRODUCT($C19:$C20,E19:E20)</f>
        <v>1.9426860138748094E-2</v>
      </c>
      <c r="F36" s="450">
        <f ca="1">SUMPRODUCT($D19:$D20,F19:F20)</f>
        <v>6.1098395728149211E-3</v>
      </c>
      <c r="G36" s="450">
        <f ca="1">SUMPRODUCT($C19:$C20,G19:G20)</f>
        <v>3.5302903829001503E-2</v>
      </c>
      <c r="H36" s="450">
        <f ca="1">SUMPRODUCT($D19:$D20,H19:H20)</f>
        <v>1.9434308881601567</v>
      </c>
      <c r="I36" s="450">
        <f ca="1">SUMPRODUCT($C19:$C20,I19:I20)</f>
        <v>0</v>
      </c>
      <c r="J36" s="450">
        <f ca="1">SUMPRODUCT($D19:$D20,J19:J20)</f>
        <v>0</v>
      </c>
      <c r="K36" s="450">
        <f ca="1">SUMPRODUCT($C19:$C20,K19:K20)</f>
        <v>-6.0182057528623194E-4</v>
      </c>
      <c r="L36" s="450">
        <f ca="1">SUMPRODUCT($D19:$D20,L19:L20)</f>
        <v>-3.8157948886657141E-2</v>
      </c>
      <c r="M36" s="450">
        <f ca="1">SUMPRODUCT($C19:$C20,M19:M20)</f>
        <v>0</v>
      </c>
      <c r="N36" s="450">
        <f ca="1">SUMPRODUCT($D19:$D20,N19:N20)</f>
        <v>0</v>
      </c>
      <c r="O36" s="450">
        <f ca="1">SUMPRODUCT($C19:$C20,O19:O20)</f>
        <v>-1.6842691772193867E-4</v>
      </c>
      <c r="P36" s="450">
        <f ca="1">SUMPRODUCT($D19:$D20,P19:P20)</f>
        <v>-1.0678973071856739E-2</v>
      </c>
      <c r="Q36" s="450">
        <f ca="1">SUMPRODUCT($C19:$C20,Q19:Q20)</f>
        <v>-5.8721827646674232E-4</v>
      </c>
      <c r="R36" s="450">
        <f ca="1">SUMPRODUCT($D19:$D20,R19:R20)</f>
        <v>-3.723210189028834E-2</v>
      </c>
      <c r="S36" s="450"/>
      <c r="T36" s="450"/>
      <c r="U36" s="450">
        <f ca="1">SUMPRODUCT($C19:$C20,U19:U20)</f>
        <v>0</v>
      </c>
      <c r="V36" s="450">
        <f ca="1">SUMPRODUCT($D19:$D20,V19:V20)</f>
        <v>0</v>
      </c>
      <c r="W36" s="450">
        <f ca="1">SUMPRODUCT($C19:$C20,W19:W20)</f>
        <v>0</v>
      </c>
      <c r="X36" s="450">
        <f ca="1">SUMPRODUCT($D19:$D20,X19:X20)</f>
        <v>0</v>
      </c>
      <c r="Y36" s="450">
        <f ca="1">SUMPRODUCT($C19:$C20,Y19:Y20)</f>
        <v>4.4761211309227507E-2</v>
      </c>
      <c r="Z36" s="450">
        <f ca="1">SUMPRODUCT($D19:$D20,Z19:Z20)</f>
        <v>1.9082688756874171</v>
      </c>
      <c r="AE36" s="450">
        <f ca="1">SUMPRODUCT($C19:$C20,AE19:AE20)</f>
        <v>4.4761211309227507E-2</v>
      </c>
      <c r="AF36" s="450">
        <f ca="1">SUMPRODUCT($C19:$C20,AF19:AF20)</f>
        <v>4.4761211309227507E-2</v>
      </c>
      <c r="AG36" s="450">
        <f ca="1">SUMPRODUCT($D19:$D20,AG19:AG20)</f>
        <v>1.9082688756874171</v>
      </c>
      <c r="AH36" s="450">
        <f ca="1">SUMPRODUCT($D19:$D20,AH19:AH20)</f>
        <v>1.9082688756874171</v>
      </c>
    </row>
    <row r="37" spans="2:34" x14ac:dyDescent="0.25">
      <c r="AD37" s="244" t="s">
        <v>162</v>
      </c>
      <c r="AE37" s="694">
        <f ca="1">AE36/$C35</f>
        <v>0.61604717098709494</v>
      </c>
      <c r="AF37" s="694">
        <f ca="1">AF36/$C35</f>
        <v>0.61604717098709494</v>
      </c>
      <c r="AG37" s="694">
        <f t="shared" ca="1" si="12"/>
        <v>0.48050619929801891</v>
      </c>
      <c r="AH37" s="694">
        <f t="shared" ca="1" si="12"/>
        <v>0.48050619929801891</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9E98-09DF-4274-8007-EE8746CCC36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2026</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0.5</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0.75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2026BSR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0.69288635852664349</v>
      </c>
      <c r="D9" s="5">
        <f ca="1">INDIRECT("'DevSumOut-"&amp;$B$2&amp;"BSR'!P50")</f>
        <v>8.010246919383162E-3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0.5</v>
      </c>
      <c r="L9" s="5">
        <f ca="1">SCCRedFacsFull!L9*K$4/SCCRedFacsFull!K$4</f>
        <v>0.5</v>
      </c>
      <c r="M9" s="5">
        <f ca="1">'BACM-R8'!P153*($B$2-$M$3+1)*$M$4/SCCRedFacsFull!$M$4</f>
        <v>0.3355629877369008</v>
      </c>
      <c r="N9" s="5">
        <f ca="1">'BACM-R8'!O153*($B$2-$M$3+1)*$M$4/SCCRedFacsFull!$M$4</f>
        <v>0.33556298773690085</v>
      </c>
      <c r="O9" s="5">
        <f ca="1">SCCRedFacsFull!O9*O$4/SCCRedFacsFull!O$4</f>
        <v>0</v>
      </c>
      <c r="P9" s="5">
        <f ca="1">SCCRedFacsFull!P9*O$4/SCCRedFacsFull!O$4</f>
        <v>0</v>
      </c>
      <c r="Q9" s="5">
        <f ca="1">IFERROR(OFFSET('STF-22'!$E$173,MATCH($B9,'STF-22'!$A$174:$A$191,0),MATCH($B$2,'STF-22'!$F$172:$AD$172,0))*Q$4/SCCRedFacsFull!Q$4,0)</f>
        <v>0.2335126195663178</v>
      </c>
      <c r="R9" s="5">
        <f ca="1">IFERROR(OFFSET('STF-22'!$E$173,MATCH($B9,'STF-22'!$A$174:$A$191,0),MATCH($B$2,'STF-22'!$F$172:$AD$172,0)-1)*R$4/SCCRedFacsFull!R$4,0)</f>
        <v>0.23351261956631786</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0.84263274875167116</v>
      </c>
      <c r="Z9" s="510">
        <f ca="1">1-(1-F9)*(1-H9)*(1-J9)*(1-L9)*(1-N9)*(1-P9)*(1-R9)*(1-T9)*(1-X9)</f>
        <v>0.75677559149578089</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0.84263274875167116</v>
      </c>
      <c r="AF9" s="510">
        <f ca="1">1-(1-$Y9)*(1-AB9)</f>
        <v>0.91815792521530726</v>
      </c>
      <c r="AG9" s="510">
        <f ca="1">1-(1-$Z9)*(1-AC9)</f>
        <v>0.75677559149578089</v>
      </c>
      <c r="AH9" s="510">
        <f ca="1">1-(1-$Z9)*(1-AD9)</f>
        <v>0.77955160284927061</v>
      </c>
      <c r="AI9" s="530">
        <f ca="1">(Y9*$AJ$3+AE9*$AJ$4+AF9*$AJ$5)/35</f>
        <v>0.88147426807582685</v>
      </c>
      <c r="AJ9" s="530">
        <f ca="1">(Z9*$AJ$3+AG9*$AJ$4+AH9*$AJ$5)/35</f>
        <v>0.76848896876328987</v>
      </c>
    </row>
    <row r="10" spans="1:36" x14ac:dyDescent="0.25">
      <c r="A10" s="812" t="s">
        <v>138</v>
      </c>
      <c r="B10" s="812">
        <v>2104008210</v>
      </c>
      <c r="C10" s="5">
        <f ca="1">INDIRECT("'DevSumOut-"&amp;$B$2&amp;"BSR'!R51")</f>
        <v>5.4075668870109034E-2</v>
      </c>
      <c r="D10" s="5">
        <f ca="1">INDIRECT("'DevSumOut-"&amp;$B$2&amp;"BSR'!P51")</f>
        <v>7.0687148849815737E-4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0.5</v>
      </c>
      <c r="L10" s="5">
        <f ca="1">SCCRedFacsFull!L10*K$4/SCCRedFacsFull!K$4</f>
        <v>0.5</v>
      </c>
      <c r="M10" s="5">
        <f ca="1">'BACM-R8'!P154*($B$2-$M$3+1)*$M$4/SCCRedFacsFull!$M$4</f>
        <v>0.56756756756756754</v>
      </c>
      <c r="N10" s="5">
        <f ca="1">'BACM-R8'!O154*($B$2-$M$3+1)*$M$4/SCCRedFacsFull!$M$4</f>
        <v>0.56756756756756754</v>
      </c>
      <c r="O10" s="5">
        <f ca="1">SCCRedFacsFull!O10*O$4/SCCRedFacsFull!O$4</f>
        <v>0</v>
      </c>
      <c r="P10" s="5">
        <f ca="1">SCCRedFacsFull!P10*O$4/SCCRedFacsFull!O$4</f>
        <v>0</v>
      </c>
      <c r="Q10" s="5">
        <f ca="1">IFERROR(OFFSET('STF-22'!$E$173,MATCH($B10,'STF-22'!$A$174:$A$191,0),MATCH($B$2,'STF-22'!$F$172:$AD$172,0))*Q$4/SCCRedFacsFull!Q$4,0)</f>
        <v>0.22837090230092</v>
      </c>
      <c r="R10" s="5">
        <f ca="1">IFERROR(OFFSET('STF-22'!$E$173,MATCH($B10,'STF-22'!$A$174:$A$191,0),MATCH($B$2,'STF-22'!$F$172:$AD$172,0)-1)*R$4/SCCRedFacsFull!R$4,0)</f>
        <v>0.22837090230092005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0.89689436810103362</v>
      </c>
      <c r="Z10" s="510">
        <f t="shared" ca="1" si="0"/>
        <v>0.84064151764011852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0.94633806366865025</v>
      </c>
      <c r="AF10" s="510">
        <f t="shared" ca="1" si="1"/>
        <v>0.94633806366865025</v>
      </c>
      <c r="AG10" s="510">
        <f t="shared" ref="AG10:AH26" ca="1" si="2">1-(1-$Z10)*(1-AC10)</f>
        <v>0.56530827355696178</v>
      </c>
      <c r="AH10" s="510">
        <f t="shared" ca="1" si="2"/>
        <v>0.56530827355696178</v>
      </c>
      <c r="AI10" s="530">
        <f t="shared" ref="AI10:AI26" ca="1" si="3">(Y10*$AJ$3+AE10*$AJ$4+AF10*$AJ$5)/35</f>
        <v>0.93362397052269164</v>
      </c>
      <c r="AJ10" s="530">
        <f t="shared" ref="AJ10:AJ26" ca="1" si="4">(Z10*$AJ$3+AG10*$AJ$4+AH10*$AJ$5)/35</f>
        <v>0.63610825060691645</v>
      </c>
    </row>
    <row r="11" spans="1:36" x14ac:dyDescent="0.25">
      <c r="A11" s="812" t="s">
        <v>139</v>
      </c>
      <c r="B11" s="812">
        <v>2104008220</v>
      </c>
      <c r="C11" s="5">
        <f ca="1">INDIRECT("'DevSumOut-"&amp;$B$2&amp;"BSR'!R52")</f>
        <v>4.4647762770396462E-2</v>
      </c>
      <c r="D11" s="5">
        <f ca="1">INDIRECT("'DevSumOut-"&amp;$B$2&amp;"BSR'!P52")</f>
        <v>1.4882587590132144E-3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-3.3882200199965726E-2</v>
      </c>
      <c r="L11" s="5">
        <f ca="1">SCCRedFacsFull!L11*K$4/SCCRedFacsFull!K$4</f>
        <v>-3.2853319639896128E-2</v>
      </c>
      <c r="M11" s="5">
        <f ca="1">'BACM-R8'!P155*($B$2-$M$3+1)*$M$4/SCCRedFacsFull!$M$4</f>
        <v>0.23412312721031742</v>
      </c>
      <c r="N11" s="5">
        <f ca="1">'BACM-R8'!O155*($B$2-$M$3+1)*$M$4/SCCRedFacsFull!$M$4</f>
        <v>7.766877915547761E-2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-1.9463411308010561</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2.9121324058608178E-2</v>
      </c>
      <c r="D12" s="5">
        <f ca="1">INDIRECT("'DevSumOut-"&amp;$B$2&amp;"BSR'!P53")</f>
        <v>8.960407402648676E-4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-3.3882200199965733E-2</v>
      </c>
      <c r="L12" s="5">
        <f ca="1">SCCRedFacsFull!L12*K$4/SCCRedFacsFull!K$4</f>
        <v>-3.5591096276554143E-2</v>
      </c>
      <c r="M12" s="5">
        <f ca="1">'BACM-R8'!P156*($B$2-$M$3+1)*$M$4/SCCRedFacsFull!$M$4</f>
        <v>0.2341231272103175</v>
      </c>
      <c r="N12" s="5">
        <f ca="1">'BACM-R8'!O156*($B$2-$M$3+1)*$M$4/SCCRedFacsFull!$M$4</f>
        <v>8.4141177418434118E-2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0.43545585224555539</v>
      </c>
      <c r="D13" s="5">
        <f ca="1">INDIRECT("'DevSumOut-"&amp;$B$2&amp;"BSR'!P54")</f>
        <v>1.4345405975384397E-2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0.5</v>
      </c>
      <c r="L13" s="5">
        <f ca="1">SCCRedFacsFull!L13*K$4/SCCRedFacsFull!K$4</f>
        <v>0.5</v>
      </c>
      <c r="M13" s="5">
        <f ca="1">'BACM-R8'!P157*($B$2-$M$3+1)*$M$4/SCCRedFacsFull!$M$4</f>
        <v>0.54077253218884114</v>
      </c>
      <c r="N13" s="5">
        <f ca="1">'BACM-R8'!O157*($B$2-$M$3+1)*$M$4/SCCRedFacsFull!$M$4</f>
        <v>0.54077253218884114</v>
      </c>
      <c r="O13" s="5">
        <f ca="1">SCCRedFacsFull!O13*O$4/SCCRedFacsFull!O$4</f>
        <v>0</v>
      </c>
      <c r="P13" s="5">
        <f ca="1">SCCRedFacsFull!P13*O$4/SCCRedFacsFull!O$4</f>
        <v>0</v>
      </c>
      <c r="Q13" s="5">
        <f ca="1">IFERROR(OFFSET('STF-22'!$E$173,MATCH($B13,'STF-22'!$A$174:$A$191,0),MATCH($B$2,'STF-22'!$F$172:$AD$172,0))*Q$4/SCCRedFacsFull!Q$4,0)</f>
        <v>3.8571702674788114E-2</v>
      </c>
      <c r="R13" s="5">
        <f ca="1">IFERROR(OFFSET('STF-22'!$E$173,MATCH($B13,'STF-22'!$A$174:$A$191,0),MATCH($B$2,'STF-22'!$F$172:$AD$172,0)-1)*R$4/SCCRedFacsFull!R$4,0)</f>
        <v>3.7843081998518199E-2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0.86357301218336746</v>
      </c>
      <c r="Z13" s="510">
        <f t="shared" ca="1" si="0"/>
        <v>0.78898074096526205</v>
      </c>
      <c r="AA13" s="617">
        <f t="shared" ca="1" si="5"/>
        <v>0.47844886022233368</v>
      </c>
      <c r="AB13" s="617">
        <f t="shared" ca="1" si="6"/>
        <v>0.47844886022233368</v>
      </c>
      <c r="AC13" s="617">
        <f t="shared" ca="1" si="7"/>
        <v>-2.5004762761786772</v>
      </c>
      <c r="AD13" s="617">
        <f t="shared" ca="1" si="8"/>
        <v>-2.5004762761786772</v>
      </c>
      <c r="AE13" s="510">
        <f t="shared" ca="1" si="1"/>
        <v>0.9288463490078015</v>
      </c>
      <c r="AF13" s="510">
        <f t="shared" ca="1" si="1"/>
        <v>0.9288463490078015</v>
      </c>
      <c r="AG13" s="510">
        <f t="shared" ca="1" si="2"/>
        <v>0.26133208993209678</v>
      </c>
      <c r="AH13" s="510">
        <f t="shared" ca="1" si="2"/>
        <v>0.26133208993209678</v>
      </c>
      <c r="AI13" s="530">
        <f t="shared" ca="1" si="3"/>
        <v>0.91206177668151844</v>
      </c>
      <c r="AJ13" s="530">
        <f t="shared" ca="1" si="4"/>
        <v>0.39701317162633926</v>
      </c>
    </row>
    <row r="14" spans="1:36" x14ac:dyDescent="0.25">
      <c r="A14" s="812" t="s">
        <v>142</v>
      </c>
      <c r="B14" s="812">
        <v>2104008320</v>
      </c>
      <c r="C14" s="5">
        <f ca="1">INDIRECT("'DevSumOut-"&amp;$B$2&amp;"BSR'!R55")</f>
        <v>0.59840741945539389</v>
      </c>
      <c r="D14" s="5">
        <f ca="1">INDIRECT("'DevSumOut-"&amp;$B$2&amp;"BSR'!P55")</f>
        <v>3.0203051674677905E-2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-4.4470387762455016E-2</v>
      </c>
      <c r="L14" s="5">
        <f ca="1">SCCRedFacsFull!L14*K$4/SCCRedFacsFull!K$4</f>
        <v>-4.2711341398025196E-2</v>
      </c>
      <c r="M14" s="5">
        <f ca="1">'BACM-R8'!P158*($B$2-$M$3+1)*$M$4/SCCRedFacsFull!$M$4</f>
        <v>0.12089318724803445</v>
      </c>
      <c r="N14" s="5">
        <f ca="1">'BACM-R8'!O158*($B$2-$M$3+1)*$M$4/SCCRedFacsFull!$M$4</f>
        <v>-3.3909381728074603E-2</v>
      </c>
      <c r="O14" s="5">
        <f ca="1">SCCRedFacsFull!O14*O$4/SCCRedFacsFull!O$4</f>
        <v>0</v>
      </c>
      <c r="P14" s="5">
        <f ca="1">SCCRedFacsFull!P14*O$4/SCCRedFacsFull!O$4</f>
        <v>0</v>
      </c>
      <c r="Q14" s="5">
        <f ca="1">IFERROR(OFFSET('STF-22'!$E$173,MATCH($B14,'STF-22'!$A$174:$A$191,0),MATCH($B$2,'STF-22'!$F$172:$AD$172,0))*Q$4/SCCRedFacsFull!Q$4,0)</f>
        <v>0.24013677922407786</v>
      </c>
      <c r="R14" s="5">
        <f ca="1">IFERROR(OFFSET('STF-22'!$E$173,MATCH($B14,'STF-22'!$A$174:$A$191,0),MATCH($B$2,'STF-22'!$F$172:$AD$172,0)-1)*R$4/SCCRedFacsFull!R$4,0)</f>
        <v>0.23063805997034945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0.56881987861653438</v>
      </c>
      <c r="Z14" s="510">
        <f t="shared" ca="1" si="0"/>
        <v>0.20776213157783097</v>
      </c>
      <c r="AA14" s="617">
        <f t="shared" ca="1" si="5"/>
        <v>0.2935430045257772</v>
      </c>
      <c r="AB14" s="617">
        <f t="shared" ca="1" si="6"/>
        <v>0.477007382354388</v>
      </c>
      <c r="AC14" s="617">
        <f t="shared" ca="1" si="7"/>
        <v>-2.0142722140188036</v>
      </c>
      <c r="AD14" s="617">
        <f t="shared" ca="1" si="8"/>
        <v>-3.2731923477805562</v>
      </c>
      <c r="AE14" s="510">
        <f t="shared" ca="1" si="1"/>
        <v>0.69538978693922626</v>
      </c>
      <c r="AF14" s="510">
        <f t="shared" ca="1" si="1"/>
        <v>0.77449597964090855</v>
      </c>
      <c r="AG14" s="510">
        <f t="shared" ca="1" si="2"/>
        <v>-1.3880205936784291</v>
      </c>
      <c r="AH14" s="510">
        <f t="shared" ca="1" si="2"/>
        <v>-2.3853847969635917</v>
      </c>
      <c r="AI14" s="530">
        <f t="shared" ca="1" si="3"/>
        <v>0.70352642390282782</v>
      </c>
      <c r="AJ14" s="530">
        <f t="shared" ca="1" si="4"/>
        <v>-1.4906066260163315</v>
      </c>
    </row>
    <row r="15" spans="1:36" x14ac:dyDescent="0.25">
      <c r="A15" s="812" t="s">
        <v>143</v>
      </c>
      <c r="B15" s="812">
        <v>2104008330</v>
      </c>
      <c r="C15" s="5">
        <f ca="1">INDIRECT("'DevSumOut-"&amp;$B$2&amp;"BSR'!R56")</f>
        <v>0.39976837722643277</v>
      </c>
      <c r="D15" s="5">
        <f ca="1">INDIRECT("'DevSumOut-"&amp;$B$2&amp;"BSR'!P56")</f>
        <v>1.818444851537818E-2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-4.4470387762455051E-2</v>
      </c>
      <c r="L15" s="5">
        <f ca="1">SCCRedFacsFull!L15*K$4/SCCRedFacsFull!K$4</f>
        <v>-4.7392036345754028E-2</v>
      </c>
      <c r="M15" s="5">
        <f ca="1">'BACM-R8'!P159*($B$2-$M$3+1)*$M$4/SCCRedFacsFull!$M$4</f>
        <v>0.12089318724803441</v>
      </c>
      <c r="N15" s="5">
        <f ca="1">'BACM-R8'!O159*($B$2-$M$3+1)*$M$4/SCCRedFacsFull!$M$4</f>
        <v>-3.762547835580881E-2</v>
      </c>
      <c r="O15" s="5">
        <f ca="1">SCCRedFacsFull!O15*O$4/SCCRedFacsFull!O$4</f>
        <v>0</v>
      </c>
      <c r="P15" s="5">
        <f ca="1">SCCRedFacsFull!P15*O$4/SCCRedFacsFull!O$4</f>
        <v>0</v>
      </c>
      <c r="Q15" s="5">
        <f ca="1">IFERROR(OFFSET('STF-22'!$E$173,MATCH($B15,'STF-22'!$A$174:$A$191,0),MATCH($B$2,'STF-22'!$F$172:$AD$172,0))*Q$4/SCCRedFacsFull!Q$4,0)</f>
        <v>0.24013677922407786</v>
      </c>
      <c r="R15" s="5">
        <f ca="1">IFERROR(OFFSET('STF-22'!$E$173,MATCH($B15,'STF-22'!$A$174:$A$191,0),MATCH($B$2,'STF-22'!$F$172:$AD$172,0)-1)*R$4/SCCRedFacsFull!R$4,0)</f>
        <v>0.25591346380271662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0.56881987861653438</v>
      </c>
      <c r="Z15" s="510">
        <f t="shared" ca="1" si="0"/>
        <v>0.22758327873595785</v>
      </c>
      <c r="AA15" s="617">
        <f t="shared" ca="1" si="5"/>
        <v>0.29362726123173721</v>
      </c>
      <c r="AB15" s="617">
        <f t="shared" ca="1" si="6"/>
        <v>0.47714429950157289</v>
      </c>
      <c r="AC15" s="617">
        <f t="shared" ca="1" si="7"/>
        <v>-2.1501343804542987</v>
      </c>
      <c r="AD15" s="617">
        <f t="shared" ca="1" si="8"/>
        <v>-3.4939683682382343</v>
      </c>
      <c r="AE15" s="510">
        <f t="shared" ca="1" si="1"/>
        <v>0.69542611675592947</v>
      </c>
      <c r="AF15" s="510">
        <f t="shared" ca="1" si="1"/>
        <v>0.77455501559305129</v>
      </c>
      <c r="AG15" s="510">
        <f t="shared" ca="1" si="2"/>
        <v>-1.4332164696916441</v>
      </c>
      <c r="AH15" s="510">
        <f t="shared" ca="1" si="2"/>
        <v>-2.4712163124588944</v>
      </c>
      <c r="AI15" s="530">
        <f t="shared" ca="1" si="3"/>
        <v>0.70356508920774763</v>
      </c>
      <c r="AJ15" s="530">
        <f t="shared" ca="1" si="4"/>
        <v>-1.5399821678048466</v>
      </c>
    </row>
    <row r="16" spans="1:36" x14ac:dyDescent="0.25">
      <c r="A16" s="812" t="s">
        <v>144</v>
      </c>
      <c r="B16" s="812">
        <v>2104008410</v>
      </c>
      <c r="C16" s="5">
        <f ca="1">INDIRECT("'DevSumOut-"&amp;$B$2&amp;"BSR'!R57")</f>
        <v>1.4750930889770423E-2</v>
      </c>
      <c r="D16" s="5">
        <f ca="1">INDIRECT("'DevSumOut-"&amp;$B$2&amp;"BSR'!P57")</f>
        <v>1.5946952313265327E-3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0.19526680020184864</v>
      </c>
      <c r="R16" s="5">
        <f ca="1">IFERROR(OFFSET('STF-22'!$E$173,MATCH($B16,'STF-22'!$A$174:$A$191,0),MATCH($B$2,'STF-22'!$F$172:$AD$172,0)-1)*R$4/SCCRedFacsFull!R$4,0)</f>
        <v>0.19526680020184864</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0.5026782561500065</v>
      </c>
      <c r="Z16" s="510">
        <f t="shared" ca="1" si="0"/>
        <v>0.23134714481780727</v>
      </c>
      <c r="AA16" s="617">
        <f t="shared" ca="1" si="5"/>
        <v>0.47369614984746655</v>
      </c>
      <c r="AB16" s="617">
        <f t="shared" ca="1" si="6"/>
        <v>0.47369614984746655</v>
      </c>
      <c r="AC16" s="617">
        <f t="shared" ca="1" si="7"/>
        <v>-3.2110596162013136</v>
      </c>
      <c r="AD16" s="617">
        <f t="shared" ca="1" si="8"/>
        <v>-3.2110596162013136</v>
      </c>
      <c r="AE16" s="510">
        <f t="shared" ca="1" si="1"/>
        <v>0.73825765144717637</v>
      </c>
      <c r="AF16" s="510">
        <f t="shared" ca="1" si="1"/>
        <v>0.73825765144717637</v>
      </c>
      <c r="AG16" s="510">
        <f t="shared" ca="1" si="2"/>
        <v>-2.2368429973355686</v>
      </c>
      <c r="AH16" s="510">
        <f t="shared" ca="1" si="2"/>
        <v>-2.2368429973355686</v>
      </c>
      <c r="AI16" s="530">
        <f t="shared" ca="1" si="3"/>
        <v>0.67768009265647555</v>
      </c>
      <c r="AJ16" s="530">
        <f t="shared" ca="1" si="4"/>
        <v>-1.6021655322104149</v>
      </c>
    </row>
    <row r="17" spans="1:40" x14ac:dyDescent="0.25">
      <c r="A17" s="812" t="s">
        <v>145</v>
      </c>
      <c r="B17" s="812">
        <v>2104008420</v>
      </c>
      <c r="C17" s="5">
        <f ca="1">INDIRECT("'DevSumOut-"&amp;$B$2&amp;"BSR'!R58")</f>
        <v>4.9755348329425367E-2</v>
      </c>
      <c r="D17" s="5">
        <f ca="1">INDIRECT("'DevSumOut-"&amp;$B$2&amp;"BSR'!P58")</f>
        <v>5.3789565761540913E-3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0.29538943971214238</v>
      </c>
      <c r="R17" s="5">
        <f ca="1">IFERROR(OFFSET('STF-22'!$E$173,MATCH($B17,'STF-22'!$A$174:$A$191,0),MATCH($B$2,'STF-22'!$F$172:$AD$172,0)-1)*R$4/SCCRedFacsFull!R$4,0)</f>
        <v>0.29538943971214232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0.56455362763040906</v>
      </c>
      <c r="Z17" s="510">
        <f t="shared" ca="1" si="0"/>
        <v>0.32698076941198106</v>
      </c>
      <c r="AA17" s="617">
        <f t="shared" ca="1" si="5"/>
        <v>0.47121963728754257</v>
      </c>
      <c r="AB17" s="617">
        <f t="shared" ca="1" si="6"/>
        <v>0.47121963728754257</v>
      </c>
      <c r="AC17" s="617">
        <f t="shared" ca="1" si="7"/>
        <v>-4.6611187511375451</v>
      </c>
      <c r="AD17" s="617">
        <f t="shared" ca="1" si="8"/>
        <v>-4.6611187511375451</v>
      </c>
      <c r="AE17" s="510">
        <f t="shared" ca="1" si="1"/>
        <v>0.76974450927658389</v>
      </c>
      <c r="AF17" s="510">
        <f t="shared" ca="1" si="1"/>
        <v>0.76974450927658389</v>
      </c>
      <c r="AG17" s="510">
        <f t="shared" ca="1" si="2"/>
        <v>-2.8100417861579974</v>
      </c>
      <c r="AH17" s="510">
        <f t="shared" ca="1" si="2"/>
        <v>-2.8100417861579974</v>
      </c>
      <c r="AI17" s="530">
        <f t="shared" ca="1" si="3"/>
        <v>0.71698113971042465</v>
      </c>
      <c r="AJ17" s="530">
        <f t="shared" ca="1" si="4"/>
        <v>-2.0033788432971456</v>
      </c>
    </row>
    <row r="18" spans="1:40" x14ac:dyDescent="0.25">
      <c r="A18" s="812" t="s">
        <v>146</v>
      </c>
      <c r="B18" s="812">
        <v>2104008610</v>
      </c>
      <c r="C18" s="5">
        <f ca="1">INDIRECT("'DevSumOut-"&amp;$B$2&amp;"BSR'!R59")</f>
        <v>0.24720357550106578</v>
      </c>
      <c r="D18" s="5">
        <f ca="1">INDIRECT("'DevSumOut-"&amp;$B$2&amp;"BSR'!P59")</f>
        <v>1.0018227622626413E-2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0.50000000000000011</v>
      </c>
      <c r="L18" s="5">
        <f ca="1">SCCRedFacsFull!L18*K$4/SCCRedFacsFull!K$4</f>
        <v>0.5</v>
      </c>
      <c r="M18" s="5">
        <f ca="1">'BACM-R8'!P162*($B$2-$M$3+1)*$M$4/SCCRedFacsFull!$M$4</f>
        <v>0.46393884727505608</v>
      </c>
      <c r="N18" s="5">
        <f ca="1">'BACM-R8'!O162*($B$2-$M$3+1)*$M$4/SCCRedFacsFull!$M$4</f>
        <v>0.18621917467164428</v>
      </c>
      <c r="O18" s="5">
        <f ca="1">SCCRedFacsFull!O18*O$4/SCCRedFacsFull!O$4</f>
        <v>0</v>
      </c>
      <c r="P18" s="5">
        <f ca="1">SCCRedFacsFull!P18*O$4/SCCRedFacsFull!O$4</f>
        <v>0</v>
      </c>
      <c r="Q18" s="5">
        <f ca="1">IFERROR(OFFSET('STF-22'!$E$173,MATCH($B18,'STF-22'!$A$174:$A$191,0),MATCH($B$2,'STF-22'!$F$172:$AD$172,0))*Q$4/SCCRedFacsFull!Q$4,0)</f>
        <v>0.18557423651649271</v>
      </c>
      <c r="R18" s="5">
        <f ca="1">IFERROR(OFFSET('STF-22'!$E$173,MATCH($B18,'STF-22'!$A$174:$A$191,0),MATCH($B$2,'STF-22'!$F$172:$AD$172,0)-1)*R$4/SCCRedFacsFull!R$4,0)</f>
        <v>0.18557423651649274</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0.86509707292893301</v>
      </c>
      <c r="Z18" s="510">
        <f t="shared" ca="1" si="0"/>
        <v>0.68347553274350936</v>
      </c>
      <c r="AA18" s="617">
        <f t="shared" ca="1" si="5"/>
        <v>0.44183095446472742</v>
      </c>
      <c r="AB18" s="617">
        <f t="shared" ca="1" si="6"/>
        <v>0.47848052672447428</v>
      </c>
      <c r="AC18" s="617">
        <f t="shared" ca="1" si="7"/>
        <v>-1.7483202626495844</v>
      </c>
      <c r="AD18" s="617">
        <f t="shared" ca="1" si="8"/>
        <v>-1.8933422199200569</v>
      </c>
      <c r="AE18" s="510">
        <f t="shared" ca="1" si="1"/>
        <v>0.92470136195682806</v>
      </c>
      <c r="AF18" s="510">
        <f t="shared" ca="1" si="1"/>
        <v>0.92964549653057049</v>
      </c>
      <c r="AG18" s="510">
        <f t="shared" ca="1" si="2"/>
        <v>0.13008939301462186</v>
      </c>
      <c r="AH18" s="510">
        <f t="shared" ca="1" si="2"/>
        <v>8.4186395249091994E-2</v>
      </c>
      <c r="AI18" s="530">
        <f t="shared" ca="1" si="3"/>
        <v>0.9119172425590083</v>
      </c>
      <c r="AJ18" s="530">
        <f t="shared" ca="1" si="4"/>
        <v>0.24878143009406328</v>
      </c>
    </row>
    <row r="19" spans="1:40" x14ac:dyDescent="0.25">
      <c r="A19" s="812" t="s">
        <v>147</v>
      </c>
      <c r="B19" s="812">
        <v>2104004000</v>
      </c>
      <c r="C19" s="5">
        <f ca="1">INDIRECT("'DevSumOut-"&amp;$B$2&amp;"BSR'!R60")+INDIRECT("'DevSumOut-"&amp;$B$2&amp;"BSR'!R62")+INDIRECT("'DevSumOut-"&amp;$B$2&amp;"BSR'!R63")</f>
        <v>5.5245383171285793E-2</v>
      </c>
      <c r="D19" s="5">
        <f ca="1">INDIRECT("'DevSumOut-"&amp;$B$2&amp;"BSR'!P60")+INDIRECT("'DevSumOut-"&amp;$B$2&amp;"BSR'!P62")+INDIRECT("'DevSumOut-"&amp;$B$2&amp;"BSR'!P63")</f>
        <v>3.4999086433432609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-1.8284357725341555E-2</v>
      </c>
      <c r="L19" s="5">
        <f ca="1">SCCRedFacsFull!L19*K$4/SCCRedFacsFull!K$4</f>
        <v>-1.8299405536201067E-2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-1.2833503376860294E-2</v>
      </c>
      <c r="R19" s="5">
        <f ca="1">IFERROR(OFFSET('STF-22'!$E$173,MATCH($B19,'STF-22'!$A$174:$A$191,0),MATCH($B$2,'STF-22'!$F$172:$AD$172,0)-1)*R$4/SCCRedFacsFull!R$4,0)</f>
        <v>-1.2844065198849427E-2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0.65867716403397569</v>
      </c>
      <c r="Z19" s="510">
        <f t="shared" ca="1" si="0"/>
        <v>0.54792855784945349</v>
      </c>
      <c r="AA19" s="617">
        <f t="shared" ca="1" si="5"/>
        <v>0</v>
      </c>
      <c r="AB19" s="617">
        <f t="shared" ca="1" si="6"/>
        <v>0</v>
      </c>
      <c r="AC19" s="617">
        <f t="shared" ca="1" si="7"/>
        <v>0</v>
      </c>
      <c r="AD19" s="617">
        <f t="shared" ca="1" si="8"/>
        <v>0</v>
      </c>
      <c r="AE19" s="510">
        <f t="shared" ca="1" si="1"/>
        <v>0.65867716403397569</v>
      </c>
      <c r="AF19" s="510">
        <f t="shared" ca="1" si="1"/>
        <v>0.65867716403397569</v>
      </c>
      <c r="AG19" s="510">
        <f t="shared" ca="1" si="2"/>
        <v>0.54792855784945349</v>
      </c>
      <c r="AH19" s="510">
        <f t="shared" ca="1" si="2"/>
        <v>0.54792855784945349</v>
      </c>
      <c r="AI19" s="530">
        <f t="shared" ca="1" si="3"/>
        <v>0.65867716403397558</v>
      </c>
      <c r="AJ19" s="530">
        <f t="shared" ca="1" si="4"/>
        <v>0.54792855784945338</v>
      </c>
    </row>
    <row r="20" spans="1:40" x14ac:dyDescent="0.25">
      <c r="A20" s="812" t="s">
        <v>148</v>
      </c>
      <c r="B20" s="812">
        <v>2103004001</v>
      </c>
      <c r="C20" s="5">
        <f ca="1">INDIRECT("'DevSumOut-"&amp;$B$2&amp;"BSR'!R61")</f>
        <v>1.8035766491007917E-2</v>
      </c>
      <c r="D20" s="5">
        <f ca="1">INDIRECT("'DevSumOut-"&amp;$B$2&amp;"BSR'!P61")</f>
        <v>0.50257144517492502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5.8529310125197171E-6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2" t="s">
        <v>150</v>
      </c>
      <c r="B22" s="812">
        <v>2103006000</v>
      </c>
      <c r="C22" s="5">
        <f ca="1">INDIRECT("'DevSumOut-"&amp;$B$2&amp;"BSR'!R65")</f>
        <v>1.0079518569867288E-2</v>
      </c>
      <c r="D22" s="5">
        <f ca="1">INDIRECT("'DevSumOut-"&amp;$B$2&amp;"BSR'!P65")</f>
        <v>7.9575146604215477E-4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9.5888007629545274E-2</v>
      </c>
      <c r="D23" s="5">
        <f ca="1">INDIRECT("'DevSumOut-"&amp;$B$2&amp;"BSR'!P66")</f>
        <v>0.11160932051999635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0.5</v>
      </c>
      <c r="L23" s="5">
        <f ca="1">SCCRedFacsFull!L23*K$4/SCCRedFacsFull!K$4</f>
        <v>0.5</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0.91926663961531752</v>
      </c>
      <c r="Z23" s="510">
        <f t="shared" ca="1" si="0"/>
        <v>0.8752197571581406</v>
      </c>
      <c r="AA23" s="617">
        <f t="shared" ca="1" si="5"/>
        <v>0.49828210592064914</v>
      </c>
      <c r="AB23" s="617">
        <f t="shared" ca="1" si="6"/>
        <v>0.49828210592064914</v>
      </c>
      <c r="AC23" s="617">
        <f t="shared" ca="1" si="7"/>
        <v>0.41031188577839561</v>
      </c>
      <c r="AD23" s="617">
        <f t="shared" ca="1" si="8"/>
        <v>0.41031188577839561</v>
      </c>
      <c r="AE23" s="510">
        <f t="shared" ca="1" si="1"/>
        <v>0.95949462844584776</v>
      </c>
      <c r="AF23" s="510">
        <f t="shared" ca="1" si="1"/>
        <v>0.95949462844584776</v>
      </c>
      <c r="AG23" s="510">
        <f t="shared" ca="1" si="2"/>
        <v>0.92641857390647009</v>
      </c>
      <c r="AH23" s="510">
        <f t="shared" ca="1" si="2"/>
        <v>0.92641857390647009</v>
      </c>
      <c r="AI23" s="530">
        <f t="shared" ca="1" si="3"/>
        <v>0.94915028846085447</v>
      </c>
      <c r="AJ23" s="530">
        <f t="shared" ca="1" si="4"/>
        <v>0.91325316388547106</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2.7482133759921927</v>
      </c>
      <c r="D27" s="450">
        <f ca="1">INDIRECT("'DevSumOut-"&amp;$B$2&amp;"BSR'!P70")</f>
        <v>4.2228981803869097</v>
      </c>
      <c r="E27" s="450">
        <f ca="1">$C27-E28</f>
        <v>1.7859586701030317</v>
      </c>
      <c r="F27" s="450">
        <f ca="1">$D27-F28</f>
        <v>4.2163891226813561</v>
      </c>
      <c r="G27" s="450">
        <f ca="1">$C27-G28</f>
        <v>2.7392948179149141</v>
      </c>
      <c r="H27" s="450">
        <f ca="1">$D27-H28</f>
        <v>2.2667494643656907</v>
      </c>
      <c r="I27" s="450">
        <f ca="1">$C27-I28</f>
        <v>2.6122111888139874</v>
      </c>
      <c r="J27" s="450">
        <f ca="1">$D27-J28</f>
        <v>4.2180843796224954</v>
      </c>
      <c r="K27" s="450">
        <f ca="1">$C27-K28</f>
        <v>2.0333574946563577</v>
      </c>
      <c r="L27" s="450">
        <f ca="1">$D27-L28</f>
        <v>4.2168319879374376</v>
      </c>
      <c r="M27" s="450">
        <f ca="1">$C27-M28</f>
        <v>1.9969011549875701</v>
      </c>
      <c r="N27" s="450">
        <f ca="1">$D27-N28</f>
        <v>4.2117032332915141</v>
      </c>
      <c r="O27" s="450">
        <f ca="1">$C27-O28</f>
        <v>2.6765517969662094</v>
      </c>
      <c r="P27" s="450">
        <f ca="1">$D27-P28</f>
        <v>4.1553229097598168</v>
      </c>
      <c r="Q27" s="450">
        <f ca="1">$C27-Q28</f>
        <v>2.1810590821372298</v>
      </c>
      <c r="R27" s="450">
        <f ca="1">$D27-R28</f>
        <v>4.247513117299917</v>
      </c>
      <c r="S27" s="450">
        <f ca="1">$C27-S28</f>
        <v>2.7476404864371426</v>
      </c>
      <c r="T27" s="450">
        <f ca="1">$D27-T28</f>
        <v>4.2228981803869097</v>
      </c>
      <c r="U27" s="786">
        <f ca="1">$C27-U28</f>
        <v>2.7482133759921927</v>
      </c>
      <c r="V27" s="786">
        <f ca="1">$D27-V28</f>
        <v>4.2228981803869097</v>
      </c>
      <c r="W27" s="450">
        <f ca="1">$C27-W28</f>
        <v>2.7482133759921927</v>
      </c>
      <c r="X27" s="450">
        <f ca="1">$D27-X28</f>
        <v>4.2228981803869097</v>
      </c>
      <c r="Y27" s="450">
        <f ca="1">$C27-Y28</f>
        <v>0.71583376760860817</v>
      </c>
      <c r="Z27" s="450">
        <f ca="1">$D27-Z28</f>
        <v>2.1808609297116095</v>
      </c>
      <c r="AA27" s="450">
        <f ca="1">$C27-AA28</f>
        <v>2.0117586290434608</v>
      </c>
      <c r="AB27" s="450">
        <f ca="1">$C27-AB28</f>
        <v>1.4734464771982552</v>
      </c>
      <c r="AC27" s="450">
        <f ca="1">$D27-AC28</f>
        <v>4.3666014624488572</v>
      </c>
      <c r="AD27" s="450">
        <f ca="1">$D27-AD28</f>
        <v>4.4327408388775549</v>
      </c>
      <c r="AE27" s="450">
        <f ca="1">$C27-AE28</f>
        <v>0.52610673336355918</v>
      </c>
      <c r="AF27" s="450">
        <f ca="1">$C27-AF28</f>
        <v>0.39358319700481514</v>
      </c>
      <c r="AG27" s="450">
        <f ca="1">$D27-AG28</f>
        <v>2.2876627269920577</v>
      </c>
      <c r="AH27" s="450">
        <f ca="1">$D27-AH28</f>
        <v>2.3369390494675213</v>
      </c>
      <c r="AI27" s="787">
        <f ca="1">$C27-AI28</f>
        <v>0.50673872347064641</v>
      </c>
      <c r="AJ27" s="787">
        <f ca="1">$D27-AJ28</f>
        <v>2.2855415163930388</v>
      </c>
    </row>
    <row r="28" spans="1:40" x14ac:dyDescent="0.25">
      <c r="B28" s="244" t="s">
        <v>156</v>
      </c>
      <c r="E28" s="450">
        <f ca="1">SUMPRODUCT($C9:$C26,E9:E26)</f>
        <v>0.96225470588916118</v>
      </c>
      <c r="F28" s="450">
        <f ca="1">SUMPRODUCT($D9:$D26,F9:F26)</f>
        <v>6.5090577055531935E-3</v>
      </c>
      <c r="G28" s="450">
        <f ca="1">SUMPRODUCT($C9:$C26,G9:G26)</f>
        <v>8.9185580772786679E-3</v>
      </c>
      <c r="H28" s="450">
        <f ca="1">SUMPRODUCT($D9:$D26,H9:H26)</f>
        <v>1.9561487160212192</v>
      </c>
      <c r="I28" s="450">
        <f ca="1">SUMPRODUCT($C9:$C26,I9:I26)</f>
        <v>0.1360021871782055</v>
      </c>
      <c r="J28" s="450">
        <f ca="1">SUMPRODUCT($D9:$D26,J9:J26)</f>
        <v>4.8138007644140486E-3</v>
      </c>
      <c r="K28" s="450">
        <f ca="1">SUMPRODUCT($C9:$C26,K9:K26)</f>
        <v>0.71485588133583489</v>
      </c>
      <c r="L28" s="450">
        <f ca="1">SUMPRODUCT($D9:$D26,L9:L26)</f>
        <v>6.0661924494717218E-3</v>
      </c>
      <c r="M28" s="450">
        <f ca="1">SUMPRODUCT($C9:$C26,M9:M26)</f>
        <v>0.75131222100462258</v>
      </c>
      <c r="N28" s="450">
        <f ca="1">SUMPRODUCT($D9:$D26,N9:N26)</f>
        <v>1.1194947095395672E-2</v>
      </c>
      <c r="O28" s="450">
        <f ca="1">SUMPRODUCT($C9:$C26,O9:O26)</f>
        <v>7.1661579025983427E-2</v>
      </c>
      <c r="P28" s="450">
        <f ca="1">SUMPRODUCT($D9:$D26,P9:P26)</f>
        <v>6.7575270627092759E-2</v>
      </c>
      <c r="Q28" s="450">
        <f ca="1">SUMPRODUCT($C9:$C26,Q9:Q26)</f>
        <v>0.56715429385496274</v>
      </c>
      <c r="R28" s="450">
        <f ca="1">SUMPRODUCT($D9:$D26,R9:R26)</f>
        <v>-2.4614936913007354E-2</v>
      </c>
      <c r="S28" s="450">
        <f ca="1">SUMPRODUCT($C9:$C26,S9:S26)</f>
        <v>5.728895550498619E-4</v>
      </c>
      <c r="T28" s="450">
        <f ca="1">SUMPRODUCT($D9:$D26,T9:T26)</f>
        <v>0</v>
      </c>
      <c r="U28" s="786">
        <f ca="1">SUMPRODUCT($C9:$C26,U9:U26)</f>
        <v>0</v>
      </c>
      <c r="V28" s="786">
        <f ca="1">SUMPRODUCT($D9:$D26,V9:V26)</f>
        <v>0</v>
      </c>
      <c r="W28" s="450">
        <f ca="1">SUMPRODUCT($C9:$C26,W9:W26)</f>
        <v>0</v>
      </c>
      <c r="X28" s="450">
        <f ca="1">SUMPRODUCT($D9:$D26,X9:X26)</f>
        <v>0</v>
      </c>
      <c r="Y28" s="450">
        <f ca="1">SUMPRODUCT($C9:$C26,Y9:Y26)</f>
        <v>2.0323796083835846</v>
      </c>
      <c r="Z28" s="450">
        <f ca="1">SUMPRODUCT($D9:$D26,Z9:Z26)</f>
        <v>2.0420372506753002</v>
      </c>
      <c r="AA28" s="450">
        <f ca="1">SUMPRODUCT($C9:$C26,AA9:AA26)</f>
        <v>0.73645474694873192</v>
      </c>
      <c r="AB28" s="450">
        <f ca="1">SUMPRODUCT($C9:$C26,AB9:AB26)</f>
        <v>1.2747668987939376</v>
      </c>
      <c r="AC28" s="450">
        <f ca="1">SUMPRODUCT($D9:$D26,AC9:AC26)</f>
        <v>-0.1437032820619476</v>
      </c>
      <c r="AD28" s="450">
        <f ca="1">SUMPRODUCT($D9:$D26,AD9:AD26)</f>
        <v>-0.20984265849064507</v>
      </c>
      <c r="AE28" s="450">
        <f ca="1">SUMPRODUCT($C9:$C26,AE9:AE26)</f>
        <v>2.2221066426286336</v>
      </c>
      <c r="AF28" s="450">
        <f ca="1">SUMPRODUCT($C9:$C26,AF9:AF26)</f>
        <v>2.3546301789873776</v>
      </c>
      <c r="AG28" s="450">
        <f ca="1">SUMPRODUCT($D9:$D26,AG9:AG26)</f>
        <v>1.9352354533948517</v>
      </c>
      <c r="AH28" s="450">
        <f ca="1">SUMPRODUCT($D9:$D26,AH9:AH26)</f>
        <v>1.8859591309193884</v>
      </c>
      <c r="AI28" s="450">
        <f ca="1">SUMPRODUCT($C9:$C26,AI9:AI26)</f>
        <v>2.2414746525215463</v>
      </c>
      <c r="AJ28" s="450">
        <f ca="1">SUMPRODUCT($D9:$D26,AJ9:AJ26)</f>
        <v>1.9373566639938711</v>
      </c>
    </row>
    <row r="29" spans="1:40" x14ac:dyDescent="0.25">
      <c r="E29" s="659">
        <f ca="1">E28/$C27</f>
        <v>0.35013828048986789</v>
      </c>
      <c r="F29" s="693">
        <f ca="1">F28/$D27</f>
        <v>1.5413721637391744E-3</v>
      </c>
      <c r="G29" s="659">
        <f ca="1">G28/$C27</f>
        <v>3.2452203876122917E-3</v>
      </c>
      <c r="H29" s="693">
        <f ca="1">H28/$D27</f>
        <v>0.4632242200644282</v>
      </c>
      <c r="I29" s="659">
        <f ca="1">I28/$C27</f>
        <v>4.9487491897933278E-2</v>
      </c>
      <c r="J29" s="693">
        <f ca="1">J28/$D27</f>
        <v>1.1399282101499778E-3</v>
      </c>
      <c r="K29" s="659">
        <f ca="1">K28/$C27</f>
        <v>0.26011658613580146</v>
      </c>
      <c r="L29" s="693">
        <f ca="1">L28/$D27</f>
        <v>1.436499813717016E-3</v>
      </c>
      <c r="M29" s="659">
        <f ca="1">M28/$C27</f>
        <v>0.27338205525376097</v>
      </c>
      <c r="N29" s="693">
        <f ca="1">N28/$D27</f>
        <v>2.6510104239288032E-3</v>
      </c>
      <c r="O29" s="659">
        <f ca="1">O28/$C27</f>
        <v>2.6075696906216864E-2</v>
      </c>
      <c r="P29" s="693">
        <f ca="1">P28/$D27</f>
        <v>1.6002107495971259E-2</v>
      </c>
      <c r="Q29" s="659">
        <f ca="1">Q28/$C27</f>
        <v>0.20637200110060666</v>
      </c>
      <c r="R29" s="693">
        <f ca="1">R28/$D27</f>
        <v>-5.8289202963335692E-3</v>
      </c>
      <c r="S29" s="659">
        <f ca="1">S28/$C27</f>
        <v>2.0845890644973319E-4</v>
      </c>
      <c r="T29" s="693">
        <f ca="1">T28/$D27</f>
        <v>0</v>
      </c>
      <c r="U29" s="700">
        <f ca="1">U28/$C27</f>
        <v>0</v>
      </c>
      <c r="V29" s="700">
        <f ca="1">V28/$D27</f>
        <v>0</v>
      </c>
      <c r="W29" s="659">
        <f ca="1">W28/$C27</f>
        <v>0</v>
      </c>
      <c r="X29" s="693">
        <f ca="1">X28/$D27</f>
        <v>0</v>
      </c>
      <c r="Y29" s="659">
        <f ca="1">Y28/$C27</f>
        <v>0.73952758768224491</v>
      </c>
      <c r="Z29" s="693">
        <f t="shared" ref="Z29" ca="1" si="9">Z28/$D27</f>
        <v>0.48356298528803388</v>
      </c>
      <c r="AA29" s="838">
        <f ca="1">(AA28*$AJ$4+AB28*$AJ$5)/SUM($AJ$4:$AJ$5)</f>
        <v>1.1091323905338744</v>
      </c>
      <c r="AB29" s="838"/>
      <c r="AC29" s="838">
        <f ca="1">(AC28*$AJ$4+AD28*$AJ$5)/SUM($AJ$4:$AJ$5)</f>
        <v>-0.18949208112796892</v>
      </c>
      <c r="AD29" s="838"/>
      <c r="AE29" s="659">
        <f ca="1">AE28/$C27</f>
        <v>0.80856408823291681</v>
      </c>
      <c r="AF29" s="659">
        <f ca="1">AF28/$C27</f>
        <v>0.85678579383861742</v>
      </c>
      <c r="AG29" s="693">
        <f t="shared" ref="AG29:AH29" ca="1" si="10">AG28/$D27</f>
        <v>0.45827187176403622</v>
      </c>
      <c r="AH29" s="693">
        <f t="shared" ca="1" si="10"/>
        <v>0.44660303193637346</v>
      </c>
      <c r="AI29" s="659">
        <f ca="1">AI28/$C27</f>
        <v>0.81561157954567576</v>
      </c>
      <c r="AJ29" s="693">
        <f t="shared" ref="AJ29" ca="1" si="11">AJ28/$D27</f>
        <v>0.45877418333026604</v>
      </c>
      <c r="AK29" s="5"/>
      <c r="AL29" s="5"/>
      <c r="AN29" s="5"/>
    </row>
    <row r="30" spans="1:40" x14ac:dyDescent="0.25">
      <c r="B30" s="244" t="s">
        <v>157</v>
      </c>
      <c r="E30" s="450">
        <f ca="1">E28*($Y28/$Y30)</f>
        <v>0.60872386803865419</v>
      </c>
      <c r="F30" s="450">
        <f ca="1">F28*($Z28/$Z30)</f>
        <v>6.5551037501868394E-3</v>
      </c>
      <c r="G30" s="450">
        <f ca="1">G28*($Y28/$Y30)</f>
        <v>5.6418941231489222E-3</v>
      </c>
      <c r="H30" s="450">
        <f ca="1">H28*($Z28/$Z30)</f>
        <v>1.9699868036773045</v>
      </c>
      <c r="I30" s="450">
        <f ca="1">I28*($Y28/$Y30)</f>
        <v>8.6035201422408378E-2</v>
      </c>
      <c r="J30" s="450">
        <f ca="1">J28*($Z28/$Z30)</f>
        <v>4.8478543087030453E-3</v>
      </c>
      <c r="K30" s="450">
        <f ca="1">K28*($Y28/$Y30)</f>
        <v>0.45221897540613742</v>
      </c>
      <c r="L30" s="450">
        <f ca="1">L28*($Z28/$Z30)</f>
        <v>6.1091055992578049E-3</v>
      </c>
      <c r="M30" s="450">
        <f ca="1">M28*($Y28/$Y30)</f>
        <v>0.47528131426704157</v>
      </c>
      <c r="N30" s="450">
        <f ca="1">N28*($Z28/$Z30)</f>
        <v>1.1274141820184502E-2</v>
      </c>
      <c r="O30" s="450">
        <f ca="1">O28*($Y28/$Y30)</f>
        <v>4.5333229661003088E-2</v>
      </c>
      <c r="P30" s="450">
        <f ca="1">P28*($Z28/$Z30)</f>
        <v>6.805330816619326E-2</v>
      </c>
      <c r="Q30" s="450">
        <f ca="1">Q28*($Y28/$Y30)</f>
        <v>0.35878271461515876</v>
      </c>
      <c r="R30" s="450">
        <f ca="1">R28*($Z28/$Z30)</f>
        <v>-2.478906664652988E-2</v>
      </c>
      <c r="S30" s="450">
        <f ca="1">S28*($Y28/$Y30)</f>
        <v>3.6241085003232461E-4</v>
      </c>
      <c r="T30" s="450">
        <f ca="1">T28*($Z28/$Z30)</f>
        <v>0</v>
      </c>
      <c r="U30" s="786">
        <f ca="1">U28*($Y28/$Y30)</f>
        <v>0</v>
      </c>
      <c r="V30" s="786">
        <f ca="1">V28*($Z28/$Z30)</f>
        <v>0</v>
      </c>
      <c r="W30" s="450">
        <f ca="1">W28*($Y28/$Y30)</f>
        <v>0</v>
      </c>
      <c r="X30" s="450">
        <f ca="1">X28*($Z28/$Z30)</f>
        <v>0</v>
      </c>
      <c r="Y30" s="450">
        <f ca="1">SUM($E28,$G28,$I28,$K28,$M28,$O28,$Q28,$S28,$W28)</f>
        <v>3.212732315921099</v>
      </c>
      <c r="Z30" s="450">
        <f ca="1">SUM($F28,$H28,$J28,$L28,$N28,$P28,$R28,$T28,$X28)</f>
        <v>2.0276930477501391</v>
      </c>
      <c r="AA30" s="450">
        <f ca="1">AE28-$Y28</f>
        <v>0.189727034245049</v>
      </c>
      <c r="AB30" s="450">
        <f ca="1">AF28-$Y28</f>
        <v>0.32225057060379303</v>
      </c>
      <c r="AC30" s="450">
        <f ca="1">AG28-$Z28</f>
        <v>-0.10680179728044847</v>
      </c>
      <c r="AD30" s="450">
        <f ca="1">AH28-$Z28</f>
        <v>-0.15607811975591179</v>
      </c>
      <c r="AE30" s="450">
        <f ca="1">SUM($E28,$G28,$I28,$K28,$M28,$O28,$Q28,$S28,$W28,AA28)</f>
        <v>3.9491870628698309</v>
      </c>
      <c r="AF30" s="450">
        <f ca="1">SUM($E28,$G28,$I28,$K28,$M28,$O28,$Q28,$S28,$W28,AB28)</f>
        <v>4.4874992147150365</v>
      </c>
      <c r="AG30" s="450">
        <f ca="1">SUM($F28,$H28,$J28,$L28,$N28,$P28,$R28,$T28,$X28,AC28)</f>
        <v>1.8839897656881917</v>
      </c>
      <c r="AH30" s="450">
        <f ca="1">SUM($F28,$H28,$J28,$L28,$N28,$P28,$R28,$T28,$X28,AD28)</f>
        <v>1.8178503892594942</v>
      </c>
    </row>
    <row r="31" spans="1:40" x14ac:dyDescent="0.25">
      <c r="Y31" s="659">
        <f ca="1">Y30/$C27</f>
        <v>1.1690257910782491</v>
      </c>
      <c r="Z31" s="659">
        <f ca="1">Z30/$C27</f>
        <v>0.73782227590609739</v>
      </c>
      <c r="AA31" s="839" t="s">
        <v>158</v>
      </c>
      <c r="AB31" s="839"/>
      <c r="AC31" s="839"/>
      <c r="AD31" s="839"/>
      <c r="AE31" s="659">
        <f ca="1">AE30/$C27</f>
        <v>1.4370016161660113</v>
      </c>
      <c r="AF31" s="659">
        <f ca="1">AF30/$C27</f>
        <v>1.6328787473042941</v>
      </c>
      <c r="AG31" s="693">
        <f ca="1">AG30/$D27</f>
        <v>0.44613667799008527</v>
      </c>
      <c r="AH31" s="693">
        <f ca="1">AH30/$D27</f>
        <v>0.43047459626245105</v>
      </c>
    </row>
    <row r="32" spans="1:40" x14ac:dyDescent="0.25">
      <c r="Y32" s="698">
        <f ca="1">SUM($E30,$G30,$I30,$K30,$M30,$O30,$Q30,$S30,$W30)</f>
        <v>2.032379608383585</v>
      </c>
      <c r="Z32" s="698">
        <f ca="1">SUM($F30,$H30,$J30,$L30,$N30,$P30,$R30,$T30,$X30)</f>
        <v>2.0420372506752997</v>
      </c>
      <c r="AA32" s="838">
        <f ca="1">(AA30*$AJ$4+AB30*$AJ$5)/SUM($AJ$4:$AJ$5)</f>
        <v>0.28147409787802563</v>
      </c>
      <c r="AB32" s="838"/>
      <c r="AC32" s="838">
        <f ca="1">(AC30*$AJ$4+AD30*$AJ$5)/SUM($AJ$4:$AJ$5)</f>
        <v>-0.14091617437884615</v>
      </c>
      <c r="AD32" s="838"/>
    </row>
    <row r="33" spans="2:34" x14ac:dyDescent="0.25">
      <c r="C33" s="450">
        <f ca="1">SUM(C9:C18)</f>
        <v>2.566072617873401</v>
      </c>
      <c r="D33" s="450">
        <f ca="1">SUM(D9:D18)</f>
        <v>9.0826203502706912E-2</v>
      </c>
      <c r="Z33" s="616"/>
      <c r="AA33" s="616"/>
    </row>
    <row r="34" spans="2:34" x14ac:dyDescent="0.25">
      <c r="B34" s="244" t="s">
        <v>159</v>
      </c>
      <c r="E34" s="450">
        <f ca="1">SUMPRODUCT($C9:$C18,E9:E18)</f>
        <v>0.908731294417088</v>
      </c>
      <c r="F34" s="450">
        <f ca="1">SUMPRODUCT($D9:$D18,F9:F18)</f>
        <v>1.5967766693162193E-4</v>
      </c>
      <c r="G34" s="450">
        <f ca="1">SUMPRODUCT($C9:$C18,G9:G18)</f>
        <v>-2.6682715653880269E-2</v>
      </c>
      <c r="H34" s="450">
        <f ca="1">SUMPRODUCT($D9:$D18,H9:H18)</f>
        <v>-9.4443537766777138E-4</v>
      </c>
      <c r="I34" s="450">
        <f ca="1">SUMPRODUCT($C9:$C18,I9:I18)</f>
        <v>0.1360021871782055</v>
      </c>
      <c r="J34" s="450">
        <f ca="1">SUMPRODUCT($D9:$D18,J9:J18)</f>
        <v>4.8138007644140486E-3</v>
      </c>
      <c r="K34" s="450">
        <f ca="1">SUMPRODUCT($C9:$C18,K9:K18)</f>
        <v>0.66792200386963962</v>
      </c>
      <c r="L34" s="450">
        <f ca="1">SUMPRODUCT($D9:$D18,L9:L18)</f>
        <v>1.4307779793667189E-2</v>
      </c>
      <c r="M34" s="450">
        <f ca="1">SUMPRODUCT($C9:$C18,M9:M18)</f>
        <v>0.75131222100462258</v>
      </c>
      <c r="N34" s="450">
        <f ca="1">SUMPRODUCT($D9:$D18,N9:N18)</f>
        <v>1.1194947095395672E-2</v>
      </c>
      <c r="O34" s="450">
        <f ca="1">SUMPRODUCT($C9:$C18,O9:O18)</f>
        <v>0</v>
      </c>
      <c r="P34" s="450">
        <f ca="1">SUMPRODUCT($D9:$D18,P9:P18)</f>
        <v>0</v>
      </c>
      <c r="Q34" s="450">
        <f ca="1">SUMPRODUCT($C9:$C18,Q9:Q18)</f>
        <v>0.56786328566644739</v>
      </c>
      <c r="R34" s="450">
        <f ca="1">SUMPRODUCT($D9:$D18,R9:R18)</f>
        <v>2.0338117892110132E-2</v>
      </c>
      <c r="S34" s="450"/>
      <c r="T34" s="450"/>
      <c r="U34" s="450">
        <f ca="1">SUMPRODUCT($C9:$C18,U9:U18)</f>
        <v>0</v>
      </c>
      <c r="V34" s="450">
        <f ca="1">SUMPRODUCT($D9:$D18,V9:V18)</f>
        <v>0</v>
      </c>
      <c r="W34" s="450">
        <f ca="1">SUMPRODUCT($C9:$C18,W9:W18)</f>
        <v>0</v>
      </c>
      <c r="X34" s="450">
        <f ca="1">SUMPRODUCT($D9:$D18,X9:X18)</f>
        <v>0</v>
      </c>
      <c r="Y34" s="450">
        <f ca="1">SUMPRODUCT($C9:$C18,Y9:Y18)</f>
        <v>1.8993077682440214</v>
      </c>
      <c r="Z34" s="450">
        <f ca="1">SUMPRODUCT($D9:$D18,Z9:Z18)</f>
        <v>3.974721722776367E-2</v>
      </c>
      <c r="AE34" s="450">
        <f ca="1">SUMPRODUCT($C9:$C18,AE9:AE18)</f>
        <v>2.0851774207891669</v>
      </c>
      <c r="AF34" s="450">
        <f ca="1">SUMPRODUCT($C9:$C18,AF9:AF18)</f>
        <v>2.2177009571479109</v>
      </c>
      <c r="AG34" s="450">
        <f ca="1">SUMPRODUCT($D9:$D18,AG9:AG18)</f>
        <v>-7.2768845201393553E-2</v>
      </c>
      <c r="AH34" s="450">
        <f ca="1">SUMPRODUCT($D9:$D18,AH9:AH18)</f>
        <v>-0.12204516767685686</v>
      </c>
    </row>
    <row r="35" spans="2:34" x14ac:dyDescent="0.25">
      <c r="C35" s="450">
        <f ca="1">SUM(C19:C20)</f>
        <v>7.328114966229371E-2</v>
      </c>
      <c r="D35" s="450">
        <f ca="1">SUM(D19:D20)</f>
        <v>4.0024800885181859</v>
      </c>
      <c r="AD35" s="244" t="s">
        <v>160</v>
      </c>
      <c r="AE35" s="604">
        <f ca="1">AE34/$C33</f>
        <v>0.81259486043587903</v>
      </c>
      <c r="AF35" s="604">
        <f ca="1">AF34/$C33</f>
        <v>0.86423936006370761</v>
      </c>
      <c r="AG35" s="604">
        <f t="shared" ref="AG35:AH37" ca="1" si="12">AG34/$D33</f>
        <v>-0.80118778937209245</v>
      </c>
      <c r="AH35" s="604">
        <f t="shared" ca="1" si="12"/>
        <v>-1.34372199839025</v>
      </c>
    </row>
    <row r="36" spans="2:34" x14ac:dyDescent="0.25">
      <c r="B36" s="244" t="s">
        <v>161</v>
      </c>
      <c r="E36" s="450">
        <f ca="1">SUMPRODUCT($C19:$C20,E19:E20)</f>
        <v>1.9564219738027449E-2</v>
      </c>
      <c r="F36" s="450">
        <f ca="1">SUMPRODUCT($D19:$D20,F19:F20)</f>
        <v>6.1530398177021047E-3</v>
      </c>
      <c r="G36" s="450">
        <f ca="1">SUMPRODUCT($C19:$C20,G19:G20)</f>
        <v>3.5603953021035556E-2</v>
      </c>
      <c r="H36" s="450">
        <f ca="1">SUMPRODUCT($D19:$D20,H19:H20)</f>
        <v>1.9570932297703394</v>
      </c>
      <c r="I36" s="450">
        <f ca="1">SUMPRODUCT($C19:$C20,I19:I20)</f>
        <v>0</v>
      </c>
      <c r="J36" s="450">
        <f ca="1">SUMPRODUCT($D19:$D20,J19:J20)</f>
        <v>0</v>
      </c>
      <c r="K36" s="450">
        <f ca="1">SUMPRODUCT($C19:$C20,K19:K20)</f>
        <v>-1.0101263485773537E-3</v>
      </c>
      <c r="L36" s="450">
        <f ca="1">SUMPRODUCT($D19:$D20,L19:L20)</f>
        <v>-6.404624760419364E-2</v>
      </c>
      <c r="M36" s="450">
        <f ca="1">SUMPRODUCT($C19:$C20,M19:M20)</f>
        <v>0</v>
      </c>
      <c r="N36" s="450">
        <f ca="1">SUMPRODUCT($D19:$D20,N19:N20)</f>
        <v>0</v>
      </c>
      <c r="O36" s="450">
        <f ca="1">SUMPRODUCT($C19:$C20,O19:O20)</f>
        <v>-2.5442669617554238E-4</v>
      </c>
      <c r="P36" s="450">
        <f ca="1">SUMPRODUCT($D19:$D20,P19:P20)</f>
        <v>-1.6131719762904527E-2</v>
      </c>
      <c r="Q36" s="450">
        <f ca="1">SUMPRODUCT($C19:$C20,Q19:Q20)</f>
        <v>-7.0899181148463715E-4</v>
      </c>
      <c r="R36" s="450">
        <f ca="1">SUMPRODUCT($D19:$D20,R19:R20)</f>
        <v>-4.4953054805117486E-2</v>
      </c>
      <c r="S36" s="450"/>
      <c r="T36" s="450"/>
      <c r="U36" s="450">
        <f ca="1">SUMPRODUCT($C19:$C20,U19:U20)</f>
        <v>0</v>
      </c>
      <c r="V36" s="450">
        <f ca="1">SUMPRODUCT($D19:$D20,V19:V20)</f>
        <v>0</v>
      </c>
      <c r="W36" s="450">
        <f ca="1">SUMPRODUCT($C19:$C20,W19:W20)</f>
        <v>0</v>
      </c>
      <c r="X36" s="450">
        <f ca="1">SUMPRODUCT($D19:$D20,X19:X20)</f>
        <v>0</v>
      </c>
      <c r="Y36" s="450">
        <f ca="1">SUMPRODUCT($C19:$C20,Y19:Y20)</f>
        <v>4.492580015971747E-2</v>
      </c>
      <c r="Z36" s="450">
        <f ca="1">SUMPRODUCT($D19:$D20,Z19:Z20)</f>
        <v>1.9046073047727687</v>
      </c>
      <c r="AE36" s="450">
        <f ca="1">SUMPRODUCT($C19:$C20,AE19:AE20)</f>
        <v>4.492580015971747E-2</v>
      </c>
      <c r="AF36" s="450">
        <f ca="1">SUMPRODUCT($C19:$C20,AF19:AF20)</f>
        <v>4.492580015971747E-2</v>
      </c>
      <c r="AG36" s="450">
        <f ca="1">SUMPRODUCT($D19:$D20,AG19:AG20)</f>
        <v>1.9046073047727687</v>
      </c>
      <c r="AH36" s="450">
        <f ca="1">SUMPRODUCT($D19:$D20,AH19:AH20)</f>
        <v>1.9046073047727687</v>
      </c>
    </row>
    <row r="37" spans="2:34" x14ac:dyDescent="0.25">
      <c r="AD37" s="244" t="s">
        <v>162</v>
      </c>
      <c r="AE37" s="694">
        <f ca="1">AE36/$C35</f>
        <v>0.6130607989469592</v>
      </c>
      <c r="AF37" s="694">
        <f ca="1">AF36/$C35</f>
        <v>0.6130607989469592</v>
      </c>
      <c r="AG37" s="694">
        <f t="shared" ca="1" si="12"/>
        <v>0.47585678445633445</v>
      </c>
      <c r="AH37" s="694">
        <f t="shared" ca="1" si="12"/>
        <v>0.47585678445633445</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E5:F5"/>
    <mergeCell ref="G5:H5"/>
    <mergeCell ref="I5:J5"/>
    <mergeCell ref="K5:L5"/>
    <mergeCell ref="M5:N5"/>
    <mergeCell ref="E3:F3"/>
    <mergeCell ref="G3:H3"/>
    <mergeCell ref="I3:J3"/>
    <mergeCell ref="E4:F4"/>
    <mergeCell ref="G4:H4"/>
    <mergeCell ref="I4:J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U3:V3"/>
    <mergeCell ref="W3:X3"/>
    <mergeCell ref="O4:P4"/>
    <mergeCell ref="S4:T4"/>
    <mergeCell ref="U4:V4"/>
    <mergeCell ref="W4:X4"/>
    <mergeCell ref="K3:L3"/>
    <mergeCell ref="M3:N3"/>
    <mergeCell ref="O3:P3"/>
    <mergeCell ref="Q3:R3"/>
    <mergeCell ref="S3:T3"/>
    <mergeCell ref="G6:H6"/>
    <mergeCell ref="I6:J6"/>
    <mergeCell ref="K6:L6"/>
    <mergeCell ref="M6:N6"/>
    <mergeCell ref="O6:P6"/>
    <mergeCell ref="G7:H7"/>
    <mergeCell ref="I7:J7"/>
    <mergeCell ref="K7:L7"/>
    <mergeCell ref="Y7:Z7"/>
    <mergeCell ref="AE7:AH7"/>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s>
  <pageMargins left="0.7" right="0.7" top="0.75" bottom="0.75" header="0.3" footer="0.3"/>
  <pageSetup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32C5-18EA-4F94-9B8B-1758438142A1}">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2027</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0.7</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0.75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0.3</v>
      </c>
      <c r="X4" s="834"/>
      <c r="AA4" s="833">
        <f ca="1">OFFSET(Summary!$D$5,MATCH("CURT",Summary!$A$6:$A$18,0),MATCH($B$2,Summary!$E$5:$O$5,0))</f>
        <v>0.5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2027BSR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0.69779381576306154</v>
      </c>
      <c r="D9" s="5">
        <f ca="1">INDIRECT("'DevSumOut-"&amp;$B$2&amp;"BSR'!P50")</f>
        <v>8.0669805290527318E-3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0.7</v>
      </c>
      <c r="L9" s="5">
        <f ca="1">SCCRedFacsFull!L9*K$4/SCCRedFacsFull!K$4</f>
        <v>0.7</v>
      </c>
      <c r="M9" s="5">
        <f ca="1">'BACM-R8'!P153*($B$2-$M$3+1)*$M$4/SCCRedFacsFull!$M$4</f>
        <v>0.3835005574136009</v>
      </c>
      <c r="N9" s="5">
        <f ca="1">'BACM-R8'!O153*($B$2-$M$3+1)*$M$4/SCCRedFacsFull!$M$4</f>
        <v>0.38350055741360095</v>
      </c>
      <c r="O9" s="5">
        <f ca="1">SCCRedFacsFull!O9*O$4/SCCRedFacsFull!O$4</f>
        <v>0</v>
      </c>
      <c r="P9" s="5">
        <f ca="1">SCCRedFacsFull!P9*O$4/SCCRedFacsFull!O$4</f>
        <v>0</v>
      </c>
      <c r="Q9" s="5">
        <f ca="1">IFERROR(OFFSET('STF-22'!$E$173,MATCH($B9,'STF-22'!$A$174:$A$191,0),MATCH($B$2,'STF-22'!$F$172:$AD$172,0))*Q$4/SCCRedFacsFull!Q$4,0)</f>
        <v>0.25246468199664113</v>
      </c>
      <c r="R9" s="5">
        <f ca="1">IFERROR(OFFSET('STF-22'!$E$173,MATCH($B9,'STF-22'!$A$174:$A$191,0),MATCH($B$2,'STF-22'!$F$172:$AD$172,0)-1)*R$4/SCCRedFacsFull!R$4,0)</f>
        <v>0.25246468199664113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4.9380786756581321E-2</v>
      </c>
      <c r="X9" s="5">
        <f ca="1">SCCRedFacsFull!X9*W$4/SCCRedFacsFull!W$4</f>
        <v>4.7346818061774452E-2</v>
      </c>
      <c r="Y9" s="510">
        <f ca="1">1-(1-E9)*(1-G9)*(1-I9)*(1-K9)*(1-M9)*(1-O9)*(1-Q9)*(1-S9)*(1-W9)</f>
        <v>0.91877723385961607</v>
      </c>
      <c r="Z9" s="510">
        <f ca="1">1-(1-F9)*(1-H9)*(1-J9)*(1-L9)*(1-N9)*(1-P9)*(1-R9)*(1-T9)*(1-X9)</f>
        <v>0.87419473774673861</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0.91877723385961607</v>
      </c>
      <c r="AF9" s="510">
        <f ca="1">1-(1-$Y9)*(1-AB9)</f>
        <v>0.95775843037258679</v>
      </c>
      <c r="AG9" s="510">
        <f ca="1">1-(1-$Z9)*(1-AC9)</f>
        <v>0.87419473774673861</v>
      </c>
      <c r="AH9" s="510">
        <f ca="1">1-(1-$Z9)*(1-AD9)</f>
        <v>0.88597538961071187</v>
      </c>
      <c r="AI9" s="530">
        <f ca="1">(Y9*$AJ$3+AE9*$AJ$4+AF9*$AJ$5)/35</f>
        <v>0.93882470635200099</v>
      </c>
      <c r="AJ9" s="530">
        <f ca="1">(Z9*$AJ$3+AG9*$AJ$4+AH9*$AJ$5)/35</f>
        <v>0.88025335870535348</v>
      </c>
    </row>
    <row r="10" spans="1:36" x14ac:dyDescent="0.25">
      <c r="A10" s="812" t="s">
        <v>138</v>
      </c>
      <c r="B10" s="812">
        <v>2104008210</v>
      </c>
      <c r="C10" s="5">
        <f ca="1">INDIRECT("'DevSumOut-"&amp;$B$2&amp;"BSR'!R51")</f>
        <v>5.4458666787797955E-2</v>
      </c>
      <c r="D10" s="5">
        <f ca="1">INDIRECT("'DevSumOut-"&amp;$B$2&amp;"BSR'!P51")</f>
        <v>7.1187799722611654E-4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0.7</v>
      </c>
      <c r="L10" s="5">
        <f ca="1">SCCRedFacsFull!L10*K$4/SCCRedFacsFull!K$4</f>
        <v>0.7</v>
      </c>
      <c r="M10" s="5">
        <f ca="1">'BACM-R8'!P154*($B$2-$M$3+1)*$M$4/SCCRedFacsFull!$M$4</f>
        <v>0.64864864864864868</v>
      </c>
      <c r="N10" s="5">
        <f ca="1">'BACM-R8'!O154*($B$2-$M$3+1)*$M$4/SCCRedFacsFull!$M$4</f>
        <v>0.64864864864864868</v>
      </c>
      <c r="O10" s="5">
        <f ca="1">SCCRedFacsFull!O10*O$4/SCCRedFacsFull!O$4</f>
        <v>0</v>
      </c>
      <c r="P10" s="5">
        <f ca="1">SCCRedFacsFull!P10*O$4/SCCRedFacsFull!O$4</f>
        <v>0</v>
      </c>
      <c r="Q10" s="5">
        <f ca="1">IFERROR(OFFSET('STF-22'!$E$173,MATCH($B10,'STF-22'!$A$174:$A$191,0),MATCH($B$2,'STF-22'!$F$172:$AD$172,0))*Q$4/SCCRedFacsFull!Q$4,0)</f>
        <v>0.24638892031893803</v>
      </c>
      <c r="R10" s="5">
        <f ca="1">IFERROR(OFFSET('STF-22'!$E$173,MATCH($B10,'STF-22'!$A$174:$A$191,0),MATCH($B$2,'STF-22'!$F$172:$AD$172,0)-1)*R$4/SCCRedFacsFull!R$4,0)</f>
        <v>0.24638892031893805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4.9380786756581321E-2</v>
      </c>
      <c r="X10" s="5">
        <f ca="1">SCCRedFacsFull!X10*W$4/SCCRedFacsFull!W$4</f>
        <v>4.7346818061774439E-2</v>
      </c>
      <c r="Y10" s="510">
        <f t="shared" ref="Y10:Z26" ca="1" si="0">1-(1-E10)*(1-G10)*(1-I10)*(1-K10)*(1-M10)*(1-O10)*(1-Q10)*(1-S10)*(1-W10)</f>
        <v>0.95333381756059132</v>
      </c>
      <c r="Z10" s="510">
        <f t="shared" ca="1" si="0"/>
        <v>0.92771914083791152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0.97571230916518148</v>
      </c>
      <c r="AF10" s="510">
        <f t="shared" ca="1" si="1"/>
        <v>0.97571230916518148</v>
      </c>
      <c r="AG10" s="510">
        <f t="shared" ref="AG10:AH26" ca="1" si="2">1-(1-$Z10)*(1-AC10)</f>
        <v>0.80283514882503482</v>
      </c>
      <c r="AH10" s="510">
        <f t="shared" ca="1" si="2"/>
        <v>0.80283514882503482</v>
      </c>
      <c r="AI10" s="530">
        <f t="shared" ref="AI10:AI26" ca="1" si="3">(Y10*$AJ$3+AE10*$AJ$4+AF10*$AJ$5)/35</f>
        <v>0.96995783989542972</v>
      </c>
      <c r="AJ10" s="530">
        <f t="shared" ref="AJ10:AJ26" ca="1" si="4">(Z10*$AJ$3+AG10*$AJ$4+AH10*$AJ$5)/35</f>
        <v>0.83494817534263166</v>
      </c>
    </row>
    <row r="11" spans="1:36" x14ac:dyDescent="0.25">
      <c r="A11" s="812" t="s">
        <v>139</v>
      </c>
      <c r="B11" s="812">
        <v>2104008220</v>
      </c>
      <c r="C11" s="5">
        <f ca="1">INDIRECT("'DevSumOut-"&amp;$B$2&amp;"BSR'!R52")</f>
        <v>4.4963986323943307E-2</v>
      </c>
      <c r="D11" s="5">
        <f ca="1">INDIRECT("'DevSumOut-"&amp;$B$2&amp;"BSR'!P52")</f>
        <v>1.4987995441314442E-3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-4.743508027995201E-2</v>
      </c>
      <c r="L11" s="5">
        <f ca="1">SCCRedFacsFull!L11*K$4/SCCRedFacsFull!K$4</f>
        <v>-4.5994647495854579E-2</v>
      </c>
      <c r="M11" s="5">
        <f ca="1">'BACM-R8'!P155*($B$2-$M$3+1)*$M$4/SCCRedFacsFull!$M$4</f>
        <v>0.26756928824036275</v>
      </c>
      <c r="N11" s="5">
        <f ca="1">'BACM-R8'!O155*($B$2-$M$3+1)*$M$4/SCCRedFacsFull!$M$4</f>
        <v>8.8764319034831549E-2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4.9380786756581314E-2</v>
      </c>
      <c r="X11" s="5">
        <f ca="1">SCCRedFacsFull!X11*W$4/SCCRedFacsFull!W$4</f>
        <v>4.7346818061774439E-2</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0.47808172377431768</v>
      </c>
      <c r="AC11" s="617">
        <f t="shared" ref="AC11:AC23" ca="1" si="7">VLOOKUP($B11,INDIRECT("'CurtailCalcs"&amp;$B$2&amp;"-2Stage'!$AS$91:$BE$109"),12,FALSE)</f>
        <v>-1.9463411308010556</v>
      </c>
      <c r="AD11" s="617">
        <f t="shared" ref="AD11:AD23" ca="1" si="8">VLOOKUP($B11,INDIRECT("'CurtailCalcs"&amp;$B$2&amp;"-2Stage'!$AS$91:$BE$109"),13,FALSE)</f>
        <v>-3.162804337551715</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2.9327579602142582E-2</v>
      </c>
      <c r="D12" s="5">
        <f ca="1">INDIRECT("'DevSumOut-"&amp;$B$2&amp;"BSR'!P53")</f>
        <v>9.0238706468131048E-4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-4.7435080279952024E-2</v>
      </c>
      <c r="L12" s="5">
        <f ca="1">SCCRedFacsFull!L12*K$4/SCCRedFacsFull!K$4</f>
        <v>-4.9827534787175796E-2</v>
      </c>
      <c r="M12" s="5">
        <f ca="1">'BACM-R8'!P156*($B$2-$M$3+1)*$M$4/SCCRedFacsFull!$M$4</f>
        <v>0.26756928824036286</v>
      </c>
      <c r="N12" s="5">
        <f ca="1">'BACM-R8'!O156*($B$2-$M$3+1)*$M$4/SCCRedFacsFull!$M$4</f>
        <v>9.6161345621067568E-2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4.9380786756581314E-2</v>
      </c>
      <c r="X12" s="5">
        <f ca="1">SCCRedFacsFull!X12*W$4/SCCRedFacsFull!W$4</f>
        <v>4.7346818061774452E-2</v>
      </c>
      <c r="Y12" s="510">
        <f t="shared" ca="1" si="0"/>
        <v>1</v>
      </c>
      <c r="Z12" s="510">
        <f t="shared" ca="1" si="0"/>
        <v>1</v>
      </c>
      <c r="AA12" s="617">
        <f t="shared" ca="1" si="5"/>
        <v>0.29422890297323068</v>
      </c>
      <c r="AB12" s="617">
        <f t="shared" ca="1" si="6"/>
        <v>0.47812196733149981</v>
      </c>
      <c r="AC12" s="617">
        <f t="shared" ca="1" si="7"/>
        <v>-2.0822032972365507</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0.43854002463103442</v>
      </c>
      <c r="D13" s="5">
        <f ca="1">INDIRECT("'DevSumOut-"&amp;$B$2&amp;"BSR'!P54")</f>
        <v>1.4447009168313388E-2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0.7</v>
      </c>
      <c r="L13" s="5">
        <f ca="1">SCCRedFacsFull!L13*K$4/SCCRedFacsFull!K$4</f>
        <v>0.7</v>
      </c>
      <c r="M13" s="5">
        <f ca="1">'BACM-R8'!P157*($B$2-$M$3+1)*$M$4/SCCRedFacsFull!$M$4</f>
        <v>0.61802575107296132</v>
      </c>
      <c r="N13" s="5">
        <f ca="1">'BACM-R8'!O157*($B$2-$M$3+1)*$M$4/SCCRedFacsFull!$M$4</f>
        <v>0.61802575107296132</v>
      </c>
      <c r="O13" s="5">
        <f ca="1">SCCRedFacsFull!O13*O$4/SCCRedFacsFull!O$4</f>
        <v>0</v>
      </c>
      <c r="P13" s="5">
        <f ca="1">SCCRedFacsFull!P13*O$4/SCCRedFacsFull!O$4</f>
        <v>0</v>
      </c>
      <c r="Q13" s="5">
        <f ca="1">IFERROR(OFFSET('STF-22'!$E$173,MATCH($B13,'STF-22'!$A$174:$A$191,0),MATCH($B$2,'STF-22'!$F$172:$AD$172,0))*Q$4/SCCRedFacsFull!Q$4,0)</f>
        <v>4.161493465739944E-2</v>
      </c>
      <c r="R13" s="5">
        <f ca="1">IFERROR(OFFSET('STF-22'!$E$173,MATCH($B13,'STF-22'!$A$174:$A$191,0),MATCH($B$2,'STF-22'!$F$172:$AD$172,0)-1)*R$4/SCCRedFacsFull!R$4,0)</f>
        <v>4.082882723329493E-2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4.9380786756581321E-2</v>
      </c>
      <c r="X13" s="5">
        <f ca="1">SCCRedFacsFull!X13*W$4/SCCRedFacsFull!W$4</f>
        <v>4.7346818061774452E-2</v>
      </c>
      <c r="Y13" s="510">
        <f t="shared" ca="1" si="0"/>
        <v>0.93548101976127707</v>
      </c>
      <c r="Z13" s="510">
        <f t="shared" ca="1" si="0"/>
        <v>0.89998512269805564</v>
      </c>
      <c r="AA13" s="617">
        <f t="shared" ca="1" si="5"/>
        <v>0.47844886022233379</v>
      </c>
      <c r="AB13" s="617">
        <f t="shared" ca="1" si="6"/>
        <v>0.47844886022233379</v>
      </c>
      <c r="AC13" s="617">
        <f t="shared" ca="1" si="7"/>
        <v>-2.5004762761786763</v>
      </c>
      <c r="AD13" s="617">
        <f t="shared" ca="1" si="8"/>
        <v>-2.5004762761786763</v>
      </c>
      <c r="AE13" s="510">
        <f t="shared" ca="1" si="1"/>
        <v>0.96635005231920135</v>
      </c>
      <c r="AF13" s="510">
        <f t="shared" ca="1" si="1"/>
        <v>0.96635005231920135</v>
      </c>
      <c r="AG13" s="510">
        <f t="shared" ca="1" si="2"/>
        <v>0.64990029473962263</v>
      </c>
      <c r="AH13" s="510">
        <f t="shared" ca="1" si="2"/>
        <v>0.64990029473962263</v>
      </c>
      <c r="AI13" s="530">
        <f t="shared" ca="1" si="3"/>
        <v>0.95841230109002085</v>
      </c>
      <c r="AJ13" s="530">
        <f t="shared" ca="1" si="4"/>
        <v>0.71420782192893395</v>
      </c>
    </row>
    <row r="14" spans="1:36" x14ac:dyDescent="0.25">
      <c r="A14" s="812" t="s">
        <v>142</v>
      </c>
      <c r="B14" s="812">
        <v>2104008320</v>
      </c>
      <c r="C14" s="5">
        <f ca="1">INDIRECT("'DevSumOut-"&amp;$B$2&amp;"BSR'!R55")</f>
        <v>0.60264571738808392</v>
      </c>
      <c r="D14" s="5">
        <f ca="1">INDIRECT("'DevSumOut-"&amp;$B$2&amp;"BSR'!P55")</f>
        <v>3.0416968693939152E-2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-6.2258542867437018E-2</v>
      </c>
      <c r="L14" s="5">
        <f ca="1">SCCRedFacsFull!L14*K$4/SCCRedFacsFull!K$4</f>
        <v>-5.9795877957235267E-2</v>
      </c>
      <c r="M14" s="5">
        <f ca="1">'BACM-R8'!P158*($B$2-$M$3+1)*$M$4/SCCRedFacsFull!$M$4</f>
        <v>0.13816364256918223</v>
      </c>
      <c r="N14" s="5">
        <f ca="1">'BACM-R8'!O158*($B$2-$M$3+1)*$M$4/SCCRedFacsFull!$M$4</f>
        <v>-3.8753579117799544E-2</v>
      </c>
      <c r="O14" s="5">
        <f ca="1">SCCRedFacsFull!O14*O$4/SCCRedFacsFull!O$4</f>
        <v>0</v>
      </c>
      <c r="P14" s="5">
        <f ca="1">SCCRedFacsFull!P14*O$4/SCCRedFacsFull!O$4</f>
        <v>0</v>
      </c>
      <c r="Q14" s="5">
        <f ca="1">IFERROR(OFFSET('STF-22'!$E$173,MATCH($B14,'STF-22'!$A$174:$A$191,0),MATCH($B$2,'STF-22'!$F$172:$AD$172,0))*Q$4/SCCRedFacsFull!Q$4,0)</f>
        <v>0.2601815492688479</v>
      </c>
      <c r="R14" s="5">
        <f ca="1">IFERROR(OFFSET('STF-22'!$E$173,MATCH($B14,'STF-22'!$A$174:$A$191,0),MATCH($B$2,'STF-22'!$F$172:$AD$172,0)-1)*R$4/SCCRedFacsFull!R$4,0)</f>
        <v>0.24988995004156431</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4.9380786756581321E-2</v>
      </c>
      <c r="X14" s="5">
        <f ca="1">SCCRedFacsFull!X14*W$4/SCCRedFacsFull!W$4</f>
        <v>4.7346818061774459E-2</v>
      </c>
      <c r="Y14" s="510">
        <f t="shared" ca="1" si="0"/>
        <v>0.60210148466844737</v>
      </c>
      <c r="Z14" s="510">
        <f t="shared" ca="1" si="0"/>
        <v>0.24859705709537261</v>
      </c>
      <c r="AA14" s="617">
        <f t="shared" ca="1" si="5"/>
        <v>0.2935430045257772</v>
      </c>
      <c r="AB14" s="617">
        <f t="shared" ca="1" si="6"/>
        <v>0.47700738235438811</v>
      </c>
      <c r="AC14" s="617">
        <f t="shared" ca="1" si="7"/>
        <v>-2.0142722140188041</v>
      </c>
      <c r="AD14" s="617">
        <f t="shared" ca="1" si="8"/>
        <v>-3.2731923477805562</v>
      </c>
      <c r="AE14" s="510">
        <f t="shared" ca="1" si="1"/>
        <v>0.71890181035521739</v>
      </c>
      <c r="AF14" s="510">
        <f t="shared" ca="1" si="1"/>
        <v>0.79190201390944859</v>
      </c>
      <c r="AG14" s="510">
        <f t="shared" ca="1" si="2"/>
        <v>-1.2649330123293763</v>
      </c>
      <c r="AH14" s="510">
        <f t="shared" ca="1" si="2"/>
        <v>-2.210889305719844</v>
      </c>
      <c r="AI14" s="530">
        <f t="shared" ca="1" si="3"/>
        <v>0.72641040272079538</v>
      </c>
      <c r="AJ14" s="530">
        <f t="shared" ca="1" si="4"/>
        <v>-1.362231373935253</v>
      </c>
    </row>
    <row r="15" spans="1:36" x14ac:dyDescent="0.25">
      <c r="A15" s="812" t="s">
        <v>143</v>
      </c>
      <c r="B15" s="812">
        <v>2104008330</v>
      </c>
      <c r="C15" s="5">
        <f ca="1">INDIRECT("'DevSumOut-"&amp;$B$2&amp;"BSR'!R56")</f>
        <v>0.40259978845508276</v>
      </c>
      <c r="D15" s="5">
        <f ca="1">INDIRECT("'DevSumOut-"&amp;$B$2&amp;"BSR'!P56")</f>
        <v>1.8313242223551081E-2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-6.2258542867437067E-2</v>
      </c>
      <c r="L15" s="5">
        <f ca="1">SCCRedFacsFull!L15*K$4/SCCRedFacsFull!K$4</f>
        <v>-6.6348850884055635E-2</v>
      </c>
      <c r="M15" s="5">
        <f ca="1">'BACM-R8'!P159*($B$2-$M$3+1)*$M$4/SCCRedFacsFull!$M$4</f>
        <v>0.13816364256918218</v>
      </c>
      <c r="N15" s="5">
        <f ca="1">'BACM-R8'!O159*($B$2-$M$3+1)*$M$4/SCCRedFacsFull!$M$4</f>
        <v>-4.3000546692352926E-2</v>
      </c>
      <c r="O15" s="5">
        <f ca="1">SCCRedFacsFull!O15*O$4/SCCRedFacsFull!O$4</f>
        <v>0</v>
      </c>
      <c r="P15" s="5">
        <f ca="1">SCCRedFacsFull!P15*O$4/SCCRedFacsFull!O$4</f>
        <v>0</v>
      </c>
      <c r="Q15" s="5">
        <f ca="1">IFERROR(OFFSET('STF-22'!$E$173,MATCH($B15,'STF-22'!$A$174:$A$191,0),MATCH($B$2,'STF-22'!$F$172:$AD$172,0))*Q$4/SCCRedFacsFull!Q$4,0)</f>
        <v>0.2601815492688479</v>
      </c>
      <c r="R15" s="5">
        <f ca="1">IFERROR(OFFSET('STF-22'!$E$173,MATCH($B15,'STF-22'!$A$174:$A$191,0),MATCH($B$2,'STF-22'!$F$172:$AD$172,0)-1)*R$4/SCCRedFacsFull!R$4,0)</f>
        <v>0.27727515004611941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4.9380786756581321E-2</v>
      </c>
      <c r="X15" s="5">
        <f ca="1">SCCRedFacsFull!X15*W$4/SCCRedFacsFull!W$4</f>
        <v>4.7346818061774452E-2</v>
      </c>
      <c r="Y15" s="510">
        <f t="shared" ca="1" si="0"/>
        <v>0.60210148466844715</v>
      </c>
      <c r="Z15" s="510">
        <f t="shared" ca="1" si="0"/>
        <v>0.2685747020943664</v>
      </c>
      <c r="AA15" s="617">
        <f t="shared" ca="1" si="5"/>
        <v>0.29362726123173721</v>
      </c>
      <c r="AB15" s="617">
        <f t="shared" ca="1" si="6"/>
        <v>0.47714429950157289</v>
      </c>
      <c r="AC15" s="617">
        <f t="shared" ca="1" si="7"/>
        <v>-2.1501343804542987</v>
      </c>
      <c r="AD15" s="617">
        <f t="shared" ca="1" si="8"/>
        <v>-3.4939683682382352</v>
      </c>
      <c r="AE15" s="510">
        <f t="shared" ca="1" si="1"/>
        <v>0.7189353359734254</v>
      </c>
      <c r="AF15" s="510">
        <f t="shared" ca="1" si="1"/>
        <v>0.79195649303903681</v>
      </c>
      <c r="AG15" s="510">
        <f t="shared" ca="1" si="2"/>
        <v>-1.3040879776665641</v>
      </c>
      <c r="AH15" s="510">
        <f t="shared" ca="1" si="2"/>
        <v>-2.2870021525171453</v>
      </c>
      <c r="AI15" s="530">
        <f t="shared" ca="1" si="3"/>
        <v>0.72644608355731688</v>
      </c>
      <c r="AJ15" s="530">
        <f t="shared" ca="1" si="4"/>
        <v>-1.4051877213654809</v>
      </c>
    </row>
    <row r="16" spans="1:36" x14ac:dyDescent="0.25">
      <c r="A16" s="812" t="s">
        <v>144</v>
      </c>
      <c r="B16" s="812">
        <v>2104008410</v>
      </c>
      <c r="C16" s="5">
        <f ca="1">INDIRECT("'DevSumOut-"&amp;$B$2&amp;"BSR'!R57")</f>
        <v>1.4855406265346921E-2</v>
      </c>
      <c r="D16" s="5">
        <f ca="1">INDIRECT("'DevSumOut-"&amp;$B$2&amp;"BSR'!P57")</f>
        <v>1.6059898665239918E-3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0.20746192215306813</v>
      </c>
      <c r="R16" s="5">
        <f ca="1">IFERROR(OFFSET('STF-22'!$E$173,MATCH($B16,'STF-22'!$A$174:$A$191,0),MATCH($B$2,'STF-22'!$F$172:$AD$172,0)-1)*R$4/SCCRedFacsFull!R$4,0)</f>
        <v>0.20746192215306819</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4.9380786756581314E-2</v>
      </c>
      <c r="X16" s="5">
        <f ca="1">SCCRedFacsFull!X16*W$4/SCCRedFacsFull!W$4</f>
        <v>4.7346818061774452E-2</v>
      </c>
      <c r="Y16" s="510">
        <f t="shared" ca="1" si="0"/>
        <v>0.53440076938334857</v>
      </c>
      <c r="Z16" s="510">
        <f t="shared" ca="1" si="0"/>
        <v>0.27883725098201062</v>
      </c>
      <c r="AA16" s="617">
        <f t="shared" ca="1" si="5"/>
        <v>0.47369614984746644</v>
      </c>
      <c r="AB16" s="617">
        <f t="shared" ca="1" si="6"/>
        <v>0.47369614984746644</v>
      </c>
      <c r="AC16" s="617">
        <f t="shared" ca="1" si="7"/>
        <v>-3.2110596162013127</v>
      </c>
      <c r="AD16" s="617">
        <f t="shared" ca="1" si="8"/>
        <v>-3.2110596162013127</v>
      </c>
      <c r="AE16" s="510">
        <f t="shared" ca="1" si="1"/>
        <v>0.754953332298399</v>
      </c>
      <c r="AF16" s="510">
        <f t="shared" ca="1" si="1"/>
        <v>0.754953332298399</v>
      </c>
      <c r="AG16" s="510">
        <f t="shared" ca="1" si="2"/>
        <v>-2.0368593290983781</v>
      </c>
      <c r="AH16" s="510">
        <f t="shared" ca="1" si="2"/>
        <v>-2.0368593290983781</v>
      </c>
      <c r="AI16" s="530">
        <f t="shared" ca="1" si="3"/>
        <v>0.69823981612024311</v>
      </c>
      <c r="AJ16" s="530">
        <f t="shared" ca="1" si="4"/>
        <v>-1.4413944942205639</v>
      </c>
    </row>
    <row r="17" spans="1:40" x14ac:dyDescent="0.25">
      <c r="A17" s="812" t="s">
        <v>145</v>
      </c>
      <c r="B17" s="812">
        <v>2104008420</v>
      </c>
      <c r="C17" s="5">
        <f ca="1">INDIRECT("'DevSumOut-"&amp;$B$2&amp;"BSR'!R58")</f>
        <v>5.0107747018192914E-2</v>
      </c>
      <c r="D17" s="5">
        <f ca="1">INDIRECT("'DevSumOut-"&amp;$B$2&amp;"BSR'!P58")</f>
        <v>5.417053731696533E-3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0.32471198774045379</v>
      </c>
      <c r="R17" s="5">
        <f ca="1">IFERROR(OFFSET('STF-22'!$E$173,MATCH($B17,'STF-22'!$A$174:$A$191,0),MATCH($B$2,'STF-22'!$F$172:$AD$172,0)-1)*R$4/SCCRedFacsFull!R$4,0)</f>
        <v>0.32471198774045379</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4.9380786756581328E-2</v>
      </c>
      <c r="X17" s="5">
        <f ca="1">SCCRedFacsFull!X17*W$4/SCCRedFacsFull!W$4</f>
        <v>4.7346818061774459E-2</v>
      </c>
      <c r="Y17" s="510">
        <f t="shared" ca="1" si="0"/>
        <v>0.60328268414957176</v>
      </c>
      <c r="Z17" s="510">
        <f t="shared" ca="1" si="0"/>
        <v>0.38552787189356452</v>
      </c>
      <c r="AA17" s="617">
        <f t="shared" ca="1" si="5"/>
        <v>0.47121963728754257</v>
      </c>
      <c r="AB17" s="617">
        <f t="shared" ca="1" si="6"/>
        <v>0.47121963728754257</v>
      </c>
      <c r="AC17" s="617">
        <f t="shared" ca="1" si="7"/>
        <v>-4.6611187511375443</v>
      </c>
      <c r="AD17" s="617">
        <f t="shared" ca="1" si="8"/>
        <v>-4.6611187511375443</v>
      </c>
      <c r="AE17" s="510">
        <f t="shared" ca="1" si="1"/>
        <v>0.79022367383029801</v>
      </c>
      <c r="AF17" s="510">
        <f t="shared" ca="1" si="1"/>
        <v>0.79022367383029801</v>
      </c>
      <c r="AG17" s="510">
        <f t="shared" ca="1" si="2"/>
        <v>-2.4785996864747331</v>
      </c>
      <c r="AH17" s="510">
        <f t="shared" ca="1" si="2"/>
        <v>-2.4785996864747331</v>
      </c>
      <c r="AI17" s="530">
        <f t="shared" ca="1" si="3"/>
        <v>0.74215313362668267</v>
      </c>
      <c r="AJ17" s="530">
        <f t="shared" ca="1" si="4"/>
        <v>-1.7421097428943138</v>
      </c>
    </row>
    <row r="18" spans="1:40" x14ac:dyDescent="0.25">
      <c r="A18" s="812" t="s">
        <v>146</v>
      </c>
      <c r="B18" s="812">
        <v>2104008610</v>
      </c>
      <c r="C18" s="5">
        <f ca="1">INDIRECT("'DevSumOut-"&amp;$B$2&amp;"BSR'!R59")</f>
        <v>0.2489544267922367</v>
      </c>
      <c r="D18" s="5">
        <f ca="1">INDIRECT("'DevSumOut-"&amp;$B$2&amp;"BSR'!P59")</f>
        <v>1.0089183015293234E-2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0.70000000000000007</v>
      </c>
      <c r="L18" s="5">
        <f ca="1">SCCRedFacsFull!L18*K$4/SCCRedFacsFull!K$4</f>
        <v>0.7</v>
      </c>
      <c r="M18" s="5">
        <f ca="1">'BACM-R8'!P162*($B$2-$M$3+1)*$M$4/SCCRedFacsFull!$M$4</f>
        <v>0.53021582545720691</v>
      </c>
      <c r="N18" s="5">
        <f ca="1">'BACM-R8'!O162*($B$2-$M$3+1)*$M$4/SCCRedFacsFull!$M$4</f>
        <v>0.21282191391045061</v>
      </c>
      <c r="O18" s="5">
        <f ca="1">SCCRedFacsFull!O18*O$4/SCCRedFacsFull!O$4</f>
        <v>0</v>
      </c>
      <c r="P18" s="5">
        <f ca="1">SCCRedFacsFull!P18*O$4/SCCRedFacsFull!O$4</f>
        <v>0</v>
      </c>
      <c r="Q18" s="5">
        <f ca="1">IFERROR(OFFSET('STF-22'!$E$173,MATCH($B18,'STF-22'!$A$174:$A$191,0),MATCH($B$2,'STF-22'!$F$172:$AD$172,0))*Q$4/SCCRedFacsFull!Q$4,0)</f>
        <v>0.20038905133130752</v>
      </c>
      <c r="R18" s="5">
        <f ca="1">IFERROR(OFFSET('STF-22'!$E$173,MATCH($B18,'STF-22'!$A$174:$A$191,0),MATCH($B$2,'STF-22'!$F$172:$AD$172,0)-1)*R$4/SCCRedFacsFull!R$4,0)</f>
        <v>0.20038905133130755</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4.9380786756581314E-2</v>
      </c>
      <c r="X18" s="5">
        <f ca="1">SCCRedFacsFull!X18*W$4/SCCRedFacsFull!W$4</f>
        <v>4.7346818061774452E-2</v>
      </c>
      <c r="Y18" s="510">
        <f t="shared" ca="1" si="0"/>
        <v>0.93379504628660026</v>
      </c>
      <c r="Z18" s="510">
        <f t="shared" ca="1" si="0"/>
        <v>0.82817508785254645</v>
      </c>
      <c r="AA18" s="617">
        <f t="shared" ca="1" si="5"/>
        <v>0.44183095446472742</v>
      </c>
      <c r="AB18" s="617">
        <f t="shared" ca="1" si="6"/>
        <v>0.47848052672447428</v>
      </c>
      <c r="AC18" s="617">
        <f t="shared" ca="1" si="7"/>
        <v>-1.7483202626495844</v>
      </c>
      <c r="AD18" s="617">
        <f t="shared" ca="1" si="8"/>
        <v>-1.893342219920056</v>
      </c>
      <c r="AE18" s="510">
        <f t="shared" ca="1" si="1"/>
        <v>0.96304644417608476</v>
      </c>
      <c r="AF18" s="510">
        <f t="shared" ca="1" si="1"/>
        <v>0.96547282741115725</v>
      </c>
      <c r="AG18" s="510">
        <f t="shared" ca="1" si="2"/>
        <v>0.52777011231716875</v>
      </c>
      <c r="AH18" s="510">
        <f t="shared" ca="1" si="2"/>
        <v>0.50285172724971816</v>
      </c>
      <c r="AI18" s="530">
        <f t="shared" ca="1" si="3"/>
        <v>0.95677251038254019</v>
      </c>
      <c r="AJ18" s="530">
        <f t="shared" ca="1" si="4"/>
        <v>0.59220193656300557</v>
      </c>
    </row>
    <row r="19" spans="1:40" x14ac:dyDescent="0.25">
      <c r="A19" s="812" t="s">
        <v>147</v>
      </c>
      <c r="B19" s="812">
        <v>2104004000</v>
      </c>
      <c r="C19" s="5">
        <f ca="1">INDIRECT("'DevSumOut-"&amp;$B$2&amp;"BSR'!R60")+INDIRECT("'DevSumOut-"&amp;$B$2&amp;"BSR'!R62")+INDIRECT("'DevSumOut-"&amp;$B$2&amp;"BSR'!R63")</f>
        <v>5.5633258782787479E-2</v>
      </c>
      <c r="D19" s="5">
        <f ca="1">INDIRECT("'DevSumOut-"&amp;$B$2&amp;"BSR'!P60")+INDIRECT("'DevSumOut-"&amp;$B$2&amp;"BSR'!P62")+INDIRECT("'DevSumOut-"&amp;$B$2&amp;"BSR'!P63")</f>
        <v>3.5244813610494252</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-2.5598100815478177E-2</v>
      </c>
      <c r="L19" s="5">
        <f ca="1">SCCRedFacsFull!L19*K$4/SCCRedFacsFull!K$4</f>
        <v>-2.5619167750681494E-2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-1.4962578087748323E-2</v>
      </c>
      <c r="R19" s="5">
        <f ca="1">IFERROR(OFFSET('STF-22'!$E$173,MATCH($B19,'STF-22'!$A$174:$A$191,0),MATCH($B$2,'STF-22'!$F$172:$AD$172,0)-1)*R$4/SCCRedFacsFull!R$4,0)</f>
        <v>-1.4974892113125542E-2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4.9380786756581314E-2</v>
      </c>
      <c r="X19" s="5">
        <f ca="1">SCCRedFacsFull!X19*W$4/SCCRedFacsFull!W$4</f>
        <v>4.7346818061774452E-2</v>
      </c>
      <c r="Y19" s="510">
        <f t="shared" ca="1" si="0"/>
        <v>0.67251452702608006</v>
      </c>
      <c r="Z19" s="510">
        <f t="shared" ca="1" si="0"/>
        <v>0.56532441696850699</v>
      </c>
      <c r="AA19" s="617">
        <f t="shared" ca="1" si="5"/>
        <v>0</v>
      </c>
      <c r="AB19" s="617">
        <f t="shared" ca="1" si="6"/>
        <v>0</v>
      </c>
      <c r="AC19" s="617">
        <f t="shared" ca="1" si="7"/>
        <v>0</v>
      </c>
      <c r="AD19" s="617">
        <f t="shared" ca="1" si="8"/>
        <v>0</v>
      </c>
      <c r="AE19" s="510">
        <f t="shared" ca="1" si="1"/>
        <v>0.67251452702608006</v>
      </c>
      <c r="AF19" s="510">
        <f t="shared" ca="1" si="1"/>
        <v>0.67251452702608006</v>
      </c>
      <c r="AG19" s="510">
        <f t="shared" ca="1" si="2"/>
        <v>0.56532441696850699</v>
      </c>
      <c r="AH19" s="510">
        <f t="shared" ca="1" si="2"/>
        <v>0.56532441696850699</v>
      </c>
      <c r="AI19" s="530">
        <f t="shared" ca="1" si="3"/>
        <v>0.67251452702608006</v>
      </c>
      <c r="AJ19" s="530">
        <f t="shared" ca="1" si="4"/>
        <v>0.5653244169685071</v>
      </c>
    </row>
    <row r="20" spans="1:40" x14ac:dyDescent="0.25">
      <c r="A20" s="812" t="s">
        <v>148</v>
      </c>
      <c r="B20" s="812">
        <v>2103004001</v>
      </c>
      <c r="C20" s="5">
        <f ca="1">INDIRECT("'DevSumOut-"&amp;$B$2&amp;"BSR'!R61")</f>
        <v>1.8270300404244443E-2</v>
      </c>
      <c r="D20" s="5">
        <f ca="1">INDIRECT("'DevSumOut-"&amp;$B$2&amp;"BSR'!P61")</f>
        <v>0.50910679524039493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4.9380786756581321E-2</v>
      </c>
      <c r="X20" s="5">
        <f ca="1">SCCRedFacsFull!X20*W$4/SCCRedFacsFull!W$4</f>
        <v>4.7346818061774459E-2</v>
      </c>
      <c r="Y20" s="510">
        <f t="shared" ca="1" si="0"/>
        <v>0.4993404619934011</v>
      </c>
      <c r="Z20" s="510">
        <f t="shared" ca="1" si="0"/>
        <v>2.2529056556794935E-2</v>
      </c>
      <c r="AA20" s="617">
        <f t="shared" ca="1" si="5"/>
        <v>0</v>
      </c>
      <c r="AB20" s="617">
        <f t="shared" ca="1" si="6"/>
        <v>0</v>
      </c>
      <c r="AC20" s="617">
        <f t="shared" ca="1" si="7"/>
        <v>0</v>
      </c>
      <c r="AD20" s="617">
        <f t="shared" ca="1" si="8"/>
        <v>0</v>
      </c>
      <c r="AE20" s="510">
        <f t="shared" ca="1" si="1"/>
        <v>0.4993404619934011</v>
      </c>
      <c r="AF20" s="510">
        <f t="shared" ca="1" si="1"/>
        <v>0.4993404619934011</v>
      </c>
      <c r="AG20" s="510">
        <f t="shared" ca="1" si="2"/>
        <v>2.2529056556794935E-2</v>
      </c>
      <c r="AH20" s="510">
        <f t="shared" ca="1" si="2"/>
        <v>2.2529056556794935E-2</v>
      </c>
      <c r="AI20" s="530">
        <f t="shared" ca="1" si="3"/>
        <v>0.49934046199340104</v>
      </c>
      <c r="AJ20" s="530">
        <f t="shared" ca="1" si="4"/>
        <v>2.2529056556794935E-2</v>
      </c>
    </row>
    <row r="21" spans="1:40" x14ac:dyDescent="0.25">
      <c r="A21" s="812" t="s">
        <v>149</v>
      </c>
      <c r="B21" s="812">
        <v>2104006010</v>
      </c>
      <c r="C21" s="5">
        <f ca="1">INDIRECT("'DevSumOut-"&amp;$B$2&amp;"BSR'!R64")</f>
        <v>5.8529310125197205E-6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-5.5905414140708638</v>
      </c>
      <c r="X21" s="5">
        <f ca="1">SCCRedFacsFull!X21*W$4/SCCRedFacsFull!W$4</f>
        <v>-5.5905414140708638</v>
      </c>
      <c r="Y21" s="510">
        <f t="shared" ca="1" si="0"/>
        <v>-3.2566124408988681</v>
      </c>
      <c r="Z21" s="510">
        <f t="shared" ca="1" si="0"/>
        <v>-5.5789548648567511</v>
      </c>
      <c r="AA21" s="617">
        <f t="shared" ca="1" si="5"/>
        <v>0</v>
      </c>
      <c r="AB21" s="617">
        <f t="shared" ca="1" si="6"/>
        <v>0</v>
      </c>
      <c r="AC21" s="617">
        <f t="shared" ca="1" si="7"/>
        <v>0</v>
      </c>
      <c r="AD21" s="617">
        <f t="shared" ca="1" si="8"/>
        <v>0</v>
      </c>
      <c r="AE21" s="510">
        <f t="shared" ca="1" si="1"/>
        <v>-3.2566124408988681</v>
      </c>
      <c r="AF21" s="510">
        <f t="shared" ca="1" si="1"/>
        <v>-3.2566124408988681</v>
      </c>
      <c r="AG21" s="510">
        <f t="shared" ca="1" si="2"/>
        <v>-5.5789548648567511</v>
      </c>
      <c r="AH21" s="510">
        <f t="shared" ca="1" si="2"/>
        <v>-5.5789548648567511</v>
      </c>
      <c r="AI21" s="530">
        <f t="shared" ca="1" si="3"/>
        <v>-3.2566124408988686</v>
      </c>
      <c r="AJ21" s="530">
        <f t="shared" ca="1" si="4"/>
        <v>-5.5789548648567511</v>
      </c>
    </row>
    <row r="22" spans="1:40" x14ac:dyDescent="0.25">
      <c r="A22" s="812" t="s">
        <v>150</v>
      </c>
      <c r="B22" s="812">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9.6561233471416555E-2</v>
      </c>
      <c r="D23" s="5">
        <f ca="1">INDIRECT("'DevSumOut-"&amp;$B$2&amp;"BSR'!P66")</f>
        <v>0.11239292506685528</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0.7</v>
      </c>
      <c r="L23" s="5">
        <f ca="1">SCCRedFacsFull!L23*K$4/SCCRedFacsFull!K$4</f>
        <v>0.7</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0.95155998376919049</v>
      </c>
      <c r="Z23" s="510">
        <f t="shared" ca="1" si="0"/>
        <v>0.92513185429488431</v>
      </c>
      <c r="AA23" s="617">
        <f t="shared" ca="1" si="5"/>
        <v>0.49828210592064903</v>
      </c>
      <c r="AB23" s="617">
        <f t="shared" ca="1" si="6"/>
        <v>0.49828210592064903</v>
      </c>
      <c r="AC23" s="617">
        <f t="shared" ca="1" si="7"/>
        <v>0.41031188577839561</v>
      </c>
      <c r="AD23" s="617">
        <f t="shared" ca="1" si="8"/>
        <v>0.41031188577839561</v>
      </c>
      <c r="AE23" s="510">
        <f t="shared" ca="1" si="1"/>
        <v>0.97569677706750868</v>
      </c>
      <c r="AF23" s="510">
        <f t="shared" ca="1" si="1"/>
        <v>0.97569677706750868</v>
      </c>
      <c r="AG23" s="510">
        <f t="shared" ca="1" si="2"/>
        <v>0.95585114434388196</v>
      </c>
      <c r="AH23" s="510">
        <f t="shared" ca="1" si="2"/>
        <v>0.95585114434388196</v>
      </c>
      <c r="AI23" s="530">
        <f t="shared" ca="1" si="3"/>
        <v>0.96949017307651264</v>
      </c>
      <c r="AJ23" s="530">
        <f t="shared" ca="1" si="4"/>
        <v>0.94795189833128246</v>
      </c>
    </row>
    <row r="24" spans="1:40" x14ac:dyDescent="0.25">
      <c r="A24" s="812" t="s">
        <v>152</v>
      </c>
      <c r="B24" s="812">
        <v>2103002000</v>
      </c>
      <c r="C24" s="5">
        <f ca="1">INDIRECT("'DevSumOut-"&amp;$B$2&amp;"BSR'!R67")</f>
        <v>2.6304953575588086E-4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2.7676835525123242</v>
      </c>
      <c r="D27" s="450">
        <f ca="1">INDIRECT("'DevSumOut-"&amp;$B$2&amp;"BSR'!P70")</f>
        <v>4.2554331410371038</v>
      </c>
      <c r="E27" s="450">
        <f ca="1">$C27-E28</f>
        <v>1.7986168685507753</v>
      </c>
      <c r="F27" s="450">
        <f ca="1">$D27-F28</f>
        <v>4.2488783745272718</v>
      </c>
      <c r="G27" s="450">
        <f ca="1">$C27-G28</f>
        <v>2.7586529290271655</v>
      </c>
      <c r="H27" s="450">
        <f ca="1">$D27-H28</f>
        <v>2.285628772491398</v>
      </c>
      <c r="I27" s="450">
        <f ca="1">$C27-I28</f>
        <v>2.6307181122560013</v>
      </c>
      <c r="J27" s="450">
        <f ca="1">$D27-J28</f>
        <v>4.2505852459062687</v>
      </c>
      <c r="K27" s="450">
        <f ca="1">$C27-K28</f>
        <v>1.759801087879119</v>
      </c>
      <c r="L27" s="450">
        <f ca="1">$D27-L28</f>
        <v>4.2468796096211623</v>
      </c>
      <c r="M27" s="450">
        <f ca="1">$C27-M28</f>
        <v>1.902959567406596</v>
      </c>
      <c r="N27" s="450">
        <f ca="1">$D27-N28</f>
        <v>4.2425482990303625</v>
      </c>
      <c r="O27" s="450">
        <f ca="1">$C27-O28</f>
        <v>2.6955188404245298</v>
      </c>
      <c r="P27" s="450">
        <f ca="1">$D27-P28</f>
        <v>4.1873834271549866</v>
      </c>
      <c r="Q27" s="450">
        <f ca="1">$C27-Q28</f>
        <v>2.155601691398584</v>
      </c>
      <c r="R27" s="450">
        <f ca="1">$D27-R28</f>
        <v>4.2862161739828455</v>
      </c>
      <c r="S27" s="450">
        <f ca="1">$C27-S28</f>
        <v>2.7671066053929163</v>
      </c>
      <c r="T27" s="450">
        <f ca="1">$D27-T28</f>
        <v>4.2554331410371038</v>
      </c>
      <c r="U27" s="786">
        <f ca="1">$C27-U28</f>
        <v>2.7676835525123242</v>
      </c>
      <c r="V27" s="786">
        <f ca="1">$D27-V28</f>
        <v>4.2554331410371038</v>
      </c>
      <c r="W27" s="450">
        <f ca="1">$C27-W28</f>
        <v>2.6364546997825666</v>
      </c>
      <c r="X27" s="450">
        <f ca="1">$D27-X28</f>
        <v>4.0605211496695306</v>
      </c>
      <c r="Y27" s="450">
        <f ca="1">$C27-Y28</f>
        <v>0.57581231721056092</v>
      </c>
      <c r="Z27" s="450">
        <f ca="1">$D27-Z28</f>
        <v>2.1014177168129642</v>
      </c>
      <c r="AA27" s="450">
        <f ca="1">$C27-AA28</f>
        <v>2.0260157161095531</v>
      </c>
      <c r="AB27" s="450">
        <f ca="1">$C27-AB28</f>
        <v>1.483890898835861</v>
      </c>
      <c r="AC27" s="450">
        <f ca="1">$D27-AC28</f>
        <v>4.400157044312726</v>
      </c>
      <c r="AD27" s="450">
        <f ca="1">$D27-AD28</f>
        <v>4.4667648614279418</v>
      </c>
      <c r="AE27" s="450">
        <f ca="1">$C27-AE28</f>
        <v>0.42137327493972476</v>
      </c>
      <c r="AF27" s="450">
        <f ca="1">$C27-AF28</f>
        <v>0.32017681580668711</v>
      </c>
      <c r="AG27" s="450">
        <f ca="1">$D27-AG28</f>
        <v>2.198769474142849</v>
      </c>
      <c r="AH27" s="450">
        <f ca="1">$D27-AH28</f>
        <v>2.2456993143319268</v>
      </c>
      <c r="AI27" s="787">
        <f ca="1">$C27-AI28</f>
        <v>0.40904227825523476</v>
      </c>
      <c r="AJ27" s="787">
        <f ca="1">$D27-AJ28</f>
        <v>2.1978715114981182</v>
      </c>
    </row>
    <row r="28" spans="1:40" x14ac:dyDescent="0.25">
      <c r="B28" s="244" t="s">
        <v>156</v>
      </c>
      <c r="E28" s="450">
        <f ca="1">SUMPRODUCT($C9:$C26,E9:E26)</f>
        <v>0.96906668396154905</v>
      </c>
      <c r="F28" s="450">
        <f ca="1">SUMPRODUCT($D9:$D26,F9:F26)</f>
        <v>6.5547665098320803E-3</v>
      </c>
      <c r="G28" s="450">
        <f ca="1">SUMPRODUCT($C9:$C26,G9:G26)</f>
        <v>9.0306234851588903E-3</v>
      </c>
      <c r="H28" s="450">
        <f ca="1">SUMPRODUCT($D9:$D26,H9:H26)</f>
        <v>1.9698043685457061</v>
      </c>
      <c r="I28" s="450">
        <f ca="1">SUMPRODUCT($C9:$C26,I9:I26)</f>
        <v>0.1369654402563229</v>
      </c>
      <c r="J28" s="450">
        <f ca="1">SUMPRODUCT($D9:$D26,J9:J26)</f>
        <v>4.8478951308354497E-3</v>
      </c>
      <c r="K28" s="450">
        <f ca="1">SUMPRODUCT($C9:$C26,K9:K26)</f>
        <v>1.0078824646332052</v>
      </c>
      <c r="L28" s="450">
        <f ca="1">SUMPRODUCT($D9:$D26,L9:L26)</f>
        <v>8.5535314159410625E-3</v>
      </c>
      <c r="M28" s="450">
        <f ca="1">SUMPRODUCT($C9:$C26,M9:M26)</f>
        <v>0.86472398510572823</v>
      </c>
      <c r="N28" s="450">
        <f ca="1">SUMPRODUCT($D9:$D26,N9:N26)</f>
        <v>1.2884842006741136E-2</v>
      </c>
      <c r="O28" s="450">
        <f ca="1">SUMPRODUCT($C9:$C26,O9:O26)</f>
        <v>7.2164712087794264E-2</v>
      </c>
      <c r="P28" s="450">
        <f ca="1">SUMPRODUCT($D9:$D26,P9:P26)</f>
        <v>6.8049713882117543E-2</v>
      </c>
      <c r="Q28" s="450">
        <f ca="1">SUMPRODUCT($C9:$C26,Q9:Q26)</f>
        <v>0.61208186111374019</v>
      </c>
      <c r="R28" s="450">
        <f ca="1">SUMPRODUCT($D9:$D26,R9:R26)</f>
        <v>-3.0783032945741293E-2</v>
      </c>
      <c r="S28" s="450">
        <f ca="1">SUMPRODUCT($C9:$C26,S9:S26)</f>
        <v>5.7694711940799984E-4</v>
      </c>
      <c r="T28" s="450">
        <f ca="1">SUMPRODUCT($D9:$D26,T9:T26)</f>
        <v>0</v>
      </c>
      <c r="U28" s="786">
        <f ca="1">SUMPRODUCT($C9:$C26,U9:U26)</f>
        <v>0</v>
      </c>
      <c r="V28" s="786">
        <f ca="1">SUMPRODUCT($D9:$D26,V9:V26)</f>
        <v>0</v>
      </c>
      <c r="W28" s="450">
        <f ca="1">SUMPRODUCT($C9:$C26,W9:W26)</f>
        <v>0.13122885272975762</v>
      </c>
      <c r="X28" s="450">
        <f ca="1">SUMPRODUCT($D9:$D26,X9:X26)</f>
        <v>0.19491199136757306</v>
      </c>
      <c r="Y28" s="450">
        <f ca="1">SUMPRODUCT($C9:$C26,Y9:Y26)</f>
        <v>2.1918712353017633</v>
      </c>
      <c r="Z28" s="450">
        <f ca="1">SUMPRODUCT($D9:$D26,Z9:Z26)</f>
        <v>2.1540154242241396</v>
      </c>
      <c r="AA28" s="450">
        <f ca="1">SUMPRODUCT($C9:$C26,AA9:AA26)</f>
        <v>0.74166783640277134</v>
      </c>
      <c r="AB28" s="450">
        <f ca="1">SUMPRODUCT($C9:$C26,AB9:AB26)</f>
        <v>1.2837926536764632</v>
      </c>
      <c r="AC28" s="450">
        <f ca="1">SUMPRODUCT($D9:$D26,AC9:AC26)</f>
        <v>-0.14472390327562246</v>
      </c>
      <c r="AD28" s="450">
        <f ca="1">SUMPRODUCT($D9:$D26,AD9:AD26)</f>
        <v>-0.21133172039083786</v>
      </c>
      <c r="AE28" s="450">
        <f ca="1">SUMPRODUCT($C9:$C26,AE9:AE26)</f>
        <v>2.3463102775725995</v>
      </c>
      <c r="AF28" s="450">
        <f ca="1">SUMPRODUCT($C9:$C26,AF9:AF26)</f>
        <v>2.4475067367056371</v>
      </c>
      <c r="AG28" s="450">
        <f ca="1">SUMPRODUCT($D9:$D26,AG9:AG26)</f>
        <v>2.0566636668942548</v>
      </c>
      <c r="AH28" s="450">
        <f ca="1">SUMPRODUCT($D9:$D26,AH9:AH26)</f>
        <v>2.009733826705177</v>
      </c>
      <c r="AI28" s="450">
        <f ca="1">SUMPRODUCT($C9:$C26,AI9:AI26)</f>
        <v>2.3586412742570895</v>
      </c>
      <c r="AJ28" s="450">
        <f ca="1">SUMPRODUCT($D9:$D26,AJ9:AJ26)</f>
        <v>2.0575616295389856</v>
      </c>
    </row>
    <row r="29" spans="1:40" x14ac:dyDescent="0.25">
      <c r="E29" s="659">
        <f ca="1">E28/$C27</f>
        <v>0.35013637418262394</v>
      </c>
      <c r="F29" s="693">
        <f ca="1">F28/$D27</f>
        <v>1.5403288672594677E-3</v>
      </c>
      <c r="G29" s="659">
        <f ca="1">G28/$C27</f>
        <v>3.2628815086036384E-3</v>
      </c>
      <c r="H29" s="693">
        <f ca="1">H28/$D27</f>
        <v>0.46289162660082106</v>
      </c>
      <c r="I29" s="659">
        <f ca="1">I28/$C27</f>
        <v>4.948739176919071E-2</v>
      </c>
      <c r="J29" s="693">
        <f ca="1">J28/$D27</f>
        <v>1.1392248380276409E-3</v>
      </c>
      <c r="K29" s="659">
        <f ca="1">K28/$C27</f>
        <v>0.36416101967954922</v>
      </c>
      <c r="L29" s="693">
        <f ca="1">L28/$D27</f>
        <v>2.0100260378797673E-3</v>
      </c>
      <c r="M29" s="659">
        <f ca="1">M28/$C27</f>
        <v>0.31243600241826336</v>
      </c>
      <c r="N29" s="693">
        <f ca="1">N28/$D27</f>
        <v>3.0278567609220938E-3</v>
      </c>
      <c r="O29" s="659">
        <f ca="1">O28/$C27</f>
        <v>2.6074047382435683E-2</v>
      </c>
      <c r="P29" s="693">
        <f ca="1">P28/$D27</f>
        <v>1.5991254386276871E-2</v>
      </c>
      <c r="Q29" s="659">
        <f ca="1">Q28/$C27</f>
        <v>0.22115312299996576</v>
      </c>
      <c r="R29" s="693">
        <f ca="1">R28/$D27</f>
        <v>-7.2338189616672184E-3</v>
      </c>
      <c r="S29" s="659">
        <f ca="1">S28/$C27</f>
        <v>2.0845848467187822E-4</v>
      </c>
      <c r="T29" s="693">
        <f ca="1">T28/$D27</f>
        <v>0</v>
      </c>
      <c r="U29" s="700">
        <f ca="1">U28/$C27</f>
        <v>0</v>
      </c>
      <c r="V29" s="700">
        <f ca="1">V28/$D27</f>
        <v>0</v>
      </c>
      <c r="W29" s="659">
        <f ca="1">W28/$C27</f>
        <v>4.7414688218469399E-2</v>
      </c>
      <c r="X29" s="693">
        <f ca="1">X28/$D27</f>
        <v>4.5803090991595394E-2</v>
      </c>
      <c r="Y29" s="659">
        <f ca="1">Y28/$C27</f>
        <v>0.79195153409504648</v>
      </c>
      <c r="Z29" s="693">
        <f t="shared" ref="Z29" ca="1" si="9">Z28/$D27</f>
        <v>0.5061800650683419</v>
      </c>
      <c r="AA29" s="838">
        <f ca="1">(AA28*$AJ$4+AB28*$AJ$5)/SUM($AJ$4:$AJ$5)</f>
        <v>1.1169850175922504</v>
      </c>
      <c r="AB29" s="838"/>
      <c r="AC29" s="838">
        <f ca="1">(AC28*$AJ$4+AD28*$AJ$5)/SUM($AJ$4:$AJ$5)</f>
        <v>-0.19083700743231002</v>
      </c>
      <c r="AD29" s="838"/>
      <c r="AE29" s="659">
        <f ca="1">AE28/$C27</f>
        <v>0.84775236512959395</v>
      </c>
      <c r="AF29" s="659">
        <f ca="1">AF28/$C27</f>
        <v>0.88431595963488985</v>
      </c>
      <c r="AG29" s="693">
        <f t="shared" ref="AG29:AH29" ca="1" si="10">AG28/$D27</f>
        <v>0.48330301492952593</v>
      </c>
      <c r="AH29" s="693">
        <f t="shared" ca="1" si="10"/>
        <v>0.4722747979105551</v>
      </c>
      <c r="AI29" s="659">
        <f ca="1">AI28/$C27</f>
        <v>0.8522077143234339</v>
      </c>
      <c r="AJ29" s="693">
        <f t="shared" ref="AJ29" ca="1" si="11">AJ28/$D27</f>
        <v>0.48351403049832226</v>
      </c>
      <c r="AK29" s="5"/>
      <c r="AL29" s="5"/>
      <c r="AN29" s="5"/>
    </row>
    <row r="30" spans="1:40" x14ac:dyDescent="0.25">
      <c r="B30" s="244" t="s">
        <v>157</v>
      </c>
      <c r="E30" s="450">
        <f ca="1">E28*($Y28/$Y30)</f>
        <v>0.55841873551997934</v>
      </c>
      <c r="F30" s="450">
        <f ca="1">F28*($Z28/$Z30)</f>
        <v>6.3177537402347829E-3</v>
      </c>
      <c r="G30" s="450">
        <f ca="1">G28*($Y28/$Y30)</f>
        <v>5.2038414187599389E-3</v>
      </c>
      <c r="H30" s="450">
        <f ca="1">H28*($Z28/$Z30)</f>
        <v>1.8985785227045804</v>
      </c>
      <c r="I30" s="450">
        <f ca="1">I28*($Y28/$Y30)</f>
        <v>7.8925495245802793E-2</v>
      </c>
      <c r="J30" s="450">
        <f ca="1">J28*($Z28/$Z30)</f>
        <v>4.6726008545323874E-3</v>
      </c>
      <c r="K30" s="450">
        <f ca="1">K28*($Y28/$Y30)</f>
        <v>0.58078609116188185</v>
      </c>
      <c r="L30" s="450">
        <f ca="1">L28*($Z28/$Z30)</f>
        <v>8.244245620987304E-3</v>
      </c>
      <c r="M30" s="450">
        <f ca="1">M28*($Y28/$Y30)</f>
        <v>0.49829189500409865</v>
      </c>
      <c r="N30" s="450">
        <f ca="1">N28*($Z28/$Z30)</f>
        <v>1.2418941034485214E-2</v>
      </c>
      <c r="O30" s="450">
        <f ca="1">O28*($Y28/$Y30)</f>
        <v>4.1584472916239901E-2</v>
      </c>
      <c r="P30" s="450">
        <f ca="1">P28*($Z28/$Z30)</f>
        <v>6.5589114998341663E-2</v>
      </c>
      <c r="Q30" s="450">
        <f ca="1">Q28*($Y28/$Y30)</f>
        <v>0.35270841994131791</v>
      </c>
      <c r="R30" s="450">
        <f ca="1">R28*($Z28/$Z30)</f>
        <v>-2.9669954106986151E-2</v>
      </c>
      <c r="S30" s="450">
        <f ca="1">S28*($Y28/$Y30)</f>
        <v>3.3246224043596704E-4</v>
      </c>
      <c r="T30" s="450">
        <f ca="1">T28*($Z28/$Z30)</f>
        <v>0</v>
      </c>
      <c r="U30" s="786">
        <f ca="1">U28*($Y28/$Y30)</f>
        <v>0</v>
      </c>
      <c r="V30" s="786">
        <f ca="1">V28*($Z28/$Z30)</f>
        <v>0</v>
      </c>
      <c r="W30" s="450">
        <f ca="1">W28*($Y28/$Y30)</f>
        <v>7.5619821853246685E-2</v>
      </c>
      <c r="X30" s="450">
        <f ca="1">X28*($Z28/$Z30)</f>
        <v>0.18786419937796389</v>
      </c>
      <c r="Y30" s="450">
        <f ca="1">SUM($E28,$G28,$I28,$K28,$M28,$O28,$Q28,$S28,$W28)</f>
        <v>3.8037215704926646</v>
      </c>
      <c r="Z30" s="450">
        <f ca="1">SUM($F28,$H28,$J28,$L28,$N28,$P28,$R28,$T28,$X28)</f>
        <v>2.2348240759130054</v>
      </c>
      <c r="AA30" s="450">
        <f ca="1">AE28-$Y28</f>
        <v>0.15443904227083616</v>
      </c>
      <c r="AB30" s="450">
        <f ca="1">AF28-$Y28</f>
        <v>0.25563550140387381</v>
      </c>
      <c r="AC30" s="450">
        <f ca="1">AG28-$Z28</f>
        <v>-9.7351757329884769E-2</v>
      </c>
      <c r="AD30" s="450">
        <f ca="1">AH28-$Z28</f>
        <v>-0.14428159751896263</v>
      </c>
      <c r="AE30" s="450">
        <f ca="1">SUM($E28,$G28,$I28,$K28,$M28,$O28,$Q28,$S28,$W28,AA28)</f>
        <v>4.5453894068954357</v>
      </c>
      <c r="AF30" s="450">
        <f ca="1">SUM($E28,$G28,$I28,$K28,$M28,$O28,$Q28,$S28,$W28,AB28)</f>
        <v>5.0875142241691282</v>
      </c>
      <c r="AG30" s="450">
        <f ca="1">SUM($F28,$H28,$J28,$L28,$N28,$P28,$R28,$T28,$X28,AC28)</f>
        <v>2.0901001726373831</v>
      </c>
      <c r="AH30" s="450">
        <f ca="1">SUM($F28,$H28,$J28,$L28,$N28,$P28,$R28,$T28,$X28,AD28)</f>
        <v>2.0234923555221673</v>
      </c>
    </row>
    <row r="31" spans="1:40" x14ac:dyDescent="0.25">
      <c r="Y31" s="659">
        <f ca="1">Y30/$C27</f>
        <v>1.3743339866437736</v>
      </c>
      <c r="Z31" s="659">
        <f ca="1">Z30/$C27</f>
        <v>0.80747095305905781</v>
      </c>
      <c r="AA31" s="839" t="s">
        <v>158</v>
      </c>
      <c r="AB31" s="839"/>
      <c r="AC31" s="839"/>
      <c r="AD31" s="839"/>
      <c r="AE31" s="659">
        <f ca="1">AE30/$C27</f>
        <v>1.6423082049136091</v>
      </c>
      <c r="AF31" s="659">
        <f ca="1">AF30/$C27</f>
        <v>1.8381849397309211</v>
      </c>
      <c r="AG31" s="693">
        <f ca="1">AG30/$D27</f>
        <v>0.49116038329484807</v>
      </c>
      <c r="AH31" s="693">
        <f ca="1">AH30/$D27</f>
        <v>0.47550796557198788</v>
      </c>
    </row>
    <row r="32" spans="1:40" x14ac:dyDescent="0.25">
      <c r="Y32" s="698">
        <f ca="1">SUM($E30,$G30,$I30,$K30,$M30,$O30,$Q30,$S30,$W30)</f>
        <v>2.1918712353017633</v>
      </c>
      <c r="Z32" s="698">
        <f ca="1">SUM($F30,$H30,$J30,$L30,$N30,$P30,$R30,$T30,$X30)</f>
        <v>2.1540154242241392</v>
      </c>
      <c r="AA32" s="838">
        <f ca="1">(AA30*$AJ$4+AB30*$AJ$5)/SUM($AJ$4:$AJ$5)</f>
        <v>0.22449812936293914</v>
      </c>
      <c r="AB32" s="838"/>
      <c r="AC32" s="838">
        <f ca="1">(AC30*$AJ$4+AD30*$AJ$5)/SUM($AJ$4:$AJ$5)</f>
        <v>-0.12984164669155407</v>
      </c>
      <c r="AD32" s="838"/>
    </row>
    <row r="33" spans="2:34" x14ac:dyDescent="0.25">
      <c r="C33" s="450">
        <f ca="1">SUM(C9:C18)</f>
        <v>2.5842471590269227</v>
      </c>
      <c r="D33" s="450">
        <f ca="1">SUM(D9:D18)</f>
        <v>9.1469491834408972E-2</v>
      </c>
      <c r="Z33" s="616"/>
      <c r="AA33" s="616"/>
    </row>
    <row r="34" spans="2:34" x14ac:dyDescent="0.25">
      <c r="B34" s="244" t="s">
        <v>159</v>
      </c>
      <c r="E34" s="450">
        <f ca="1">SUMPRODUCT($C9:$C18,E9:E18)</f>
        <v>0.91516750132442193</v>
      </c>
      <c r="F34" s="450">
        <f ca="1">SUMPRODUCT($D9:$D18,F9:F18)</f>
        <v>1.6080860465674066E-4</v>
      </c>
      <c r="G34" s="450">
        <f ca="1">SUMPRODUCT($C9:$C18,G9:G18)</f>
        <v>-2.687169943803407E-2</v>
      </c>
      <c r="H34" s="450">
        <f ca="1">SUMPRODUCT($D9:$D18,H9:H18)</f>
        <v>-9.5112446336188176E-4</v>
      </c>
      <c r="I34" s="450">
        <f ca="1">SUMPRODUCT($C9:$C18,I9:I18)</f>
        <v>0.1369654402563229</v>
      </c>
      <c r="J34" s="450">
        <f ca="1">SUMPRODUCT($D9:$D18,J9:J18)</f>
        <v>4.8478951308354497E-3</v>
      </c>
      <c r="K34" s="450">
        <f ca="1">SUMPRODUCT($C9:$C18,K9:K18)</f>
        <v>0.94171370697022894</v>
      </c>
      <c r="L34" s="450">
        <f ca="1">SUMPRODUCT($D9:$D18,L9:L18)</f>
        <v>2.0172763092017834E-2</v>
      </c>
      <c r="M34" s="450">
        <f ca="1">SUMPRODUCT($C9:$C18,M9:M18)</f>
        <v>0.86472398510572823</v>
      </c>
      <c r="N34" s="450">
        <f ca="1">SUMPRODUCT($D9:$D18,N9:N18)</f>
        <v>1.2884842006741136E-2</v>
      </c>
      <c r="O34" s="450">
        <f ca="1">SUMPRODUCT($C9:$C18,O9:O18)</f>
        <v>0</v>
      </c>
      <c r="P34" s="450">
        <f ca="1">SUMPRODUCT($D9:$D18,P9:P18)</f>
        <v>0</v>
      </c>
      <c r="Q34" s="450">
        <f ca="1">SUMPRODUCT($C9:$C18,Q9:Q18)</f>
        <v>0.61291427809255361</v>
      </c>
      <c r="R34" s="450">
        <f ca="1">SUMPRODUCT($D9:$D18,R9:R18)</f>
        <v>2.1995695190695719E-2</v>
      </c>
      <c r="S34" s="450"/>
      <c r="T34" s="450"/>
      <c r="U34" s="450">
        <f ca="1">SUMPRODUCT($C9:$C18,U9:U18)</f>
        <v>0</v>
      </c>
      <c r="V34" s="450">
        <f ca="1">SUMPRODUCT($D9:$D18,V9:V18)</f>
        <v>0</v>
      </c>
      <c r="W34" s="450">
        <f ca="1">SUMPRODUCT($C9:$C18,W9:W18)</f>
        <v>0.12761215788620958</v>
      </c>
      <c r="X34" s="450">
        <f ca="1">SUMPRODUCT($D9:$D18,X9:X18)</f>
        <v>4.3307893880867258E-3</v>
      </c>
      <c r="Y34" s="450">
        <f ca="1">SUMPRODUCT($C9:$C18,Y9:Y18)</f>
        <v>2.0534718946029575</v>
      </c>
      <c r="Z34" s="450">
        <f ca="1">SUMPRODUCT($D9:$D18,Z9:Z18)</f>
        <v>4.6487702204047562E-2</v>
      </c>
      <c r="AE34" s="450">
        <f ca="1">SUMPRODUCT($C9:$C18,AE9:AE18)</f>
        <v>2.2055802583408637</v>
      </c>
      <c r="AF34" s="450">
        <f ca="1">SUMPRODUCT($C9:$C18,AF9:AF18)</f>
        <v>2.3067767174739013</v>
      </c>
      <c r="AG34" s="450">
        <f ca="1">SUMPRODUCT($D9:$D18,AG9:AG18)</f>
        <v>-5.4316685990421075E-2</v>
      </c>
      <c r="AH34" s="450">
        <f ca="1">SUMPRODUCT($D9:$D18,AH9:AH18)</f>
        <v>-0.10124652617949903</v>
      </c>
    </row>
    <row r="35" spans="2:34" x14ac:dyDescent="0.25">
      <c r="C35" s="450">
        <f ca="1">SUM(C19:C20)</f>
        <v>7.3903559187031925E-2</v>
      </c>
      <c r="D35" s="450">
        <f ca="1">SUM(D19:D20)</f>
        <v>4.0335881562898201</v>
      </c>
      <c r="AD35" s="244" t="s">
        <v>160</v>
      </c>
      <c r="AE35" s="604">
        <f ca="1">AE34/$C33</f>
        <v>0.85347109723489334</v>
      </c>
      <c r="AF35" s="604">
        <f ca="1">AF34/$C33</f>
        <v>0.89263006807077205</v>
      </c>
      <c r="AG35" s="604">
        <f t="shared" ref="AG35:AH37" ca="1" si="12">AG34/$D33</f>
        <v>-0.59382297748797852</v>
      </c>
      <c r="AH35" s="604">
        <f t="shared" ca="1" si="12"/>
        <v>-1.1068884734025835</v>
      </c>
    </row>
    <row r="36" spans="2:34" x14ac:dyDescent="0.25">
      <c r="B36" s="244" t="s">
        <v>161</v>
      </c>
      <c r="E36" s="450">
        <f ca="1">SUMPRODUCT($C19:$C20,E19:E20)</f>
        <v>1.9701579337306777E-2</v>
      </c>
      <c r="F36" s="450">
        <f ca="1">SUMPRODUCT($D19:$D20,F19:F20)</f>
        <v>6.1962400625892831E-3</v>
      </c>
      <c r="G36" s="450">
        <f ca="1">SUMPRODUCT($C19:$C20,G19:G20)</f>
        <v>3.5905002213069581E-2</v>
      </c>
      <c r="H36" s="450">
        <f ca="1">SUMPRODUCT($D19:$D20,H19:H20)</f>
        <v>1.9707555713805205</v>
      </c>
      <c r="I36" s="450">
        <f ca="1">SUMPRODUCT($C19:$C20,I19:I20)</f>
        <v>0</v>
      </c>
      <c r="J36" s="450">
        <f ca="1">SUMPRODUCT($D19:$D20,J19:J20)</f>
        <v>0</v>
      </c>
      <c r="K36" s="450">
        <f ca="1">SUMPRODUCT($C19:$C20,K19:K20)</f>
        <v>-1.4241057670153806E-3</v>
      </c>
      <c r="L36" s="450">
        <f ca="1">SUMPRODUCT($D19:$D20,L19:L20)</f>
        <v>-9.0294279222875459E-2</v>
      </c>
      <c r="M36" s="450">
        <f ca="1">SUMPRODUCT($C19:$C20,M19:M20)</f>
        <v>0</v>
      </c>
      <c r="N36" s="450">
        <f ca="1">SUMPRODUCT($D19:$D20,N19:N20)</f>
        <v>0</v>
      </c>
      <c r="O36" s="450">
        <f ca="1">SUMPRODUCT($C19:$C20,O19:O20)</f>
        <v>-2.562130157681764E-4</v>
      </c>
      <c r="P36" s="450">
        <f ca="1">SUMPRODUCT($D19:$D20,P19:P20)</f>
        <v>-1.6244979918023931E-2</v>
      </c>
      <c r="Q36" s="450">
        <f ca="1">SUMPRODUCT($C19:$C20,Q19:Q20)</f>
        <v>-8.3241697881336792E-4</v>
      </c>
      <c r="R36" s="450">
        <f ca="1">SUMPRODUCT($D19:$D20,R19:R20)</f>
        <v>-5.2778728136437011E-2</v>
      </c>
      <c r="S36" s="450"/>
      <c r="T36" s="450"/>
      <c r="U36" s="450">
        <f ca="1">SUMPRODUCT($C19:$C20,U19:U20)</f>
        <v>0</v>
      </c>
      <c r="V36" s="450">
        <f ca="1">SUMPRODUCT($D19:$D20,V19:V20)</f>
        <v>0</v>
      </c>
      <c r="W36" s="450">
        <f ca="1">SUMPRODUCT($C19:$C20,W19:W20)</f>
        <v>3.6494158967672091E-3</v>
      </c>
      <c r="X36" s="450">
        <f ca="1">SUMPRODUCT($D19:$D20,X19:X20)</f>
        <v>0.19097756457198239</v>
      </c>
      <c r="Y36" s="450">
        <f ca="1">SUMPRODUCT($C19:$C20,Y19:Y20)</f>
        <v>4.653727496183948E-2</v>
      </c>
      <c r="Z36" s="450">
        <f ca="1">SUMPRODUCT($D19:$D20,Z19:Z20)</f>
        <v>2.0039450663350555</v>
      </c>
      <c r="AE36" s="450">
        <f ca="1">SUMPRODUCT($C19:$C20,AE19:AE20)</f>
        <v>4.653727496183948E-2</v>
      </c>
      <c r="AF36" s="450">
        <f ca="1">SUMPRODUCT($C19:$C20,AF19:AF20)</f>
        <v>4.653727496183948E-2</v>
      </c>
      <c r="AG36" s="450">
        <f ca="1">SUMPRODUCT($D19:$D20,AG19:AG20)</f>
        <v>2.0039450663350555</v>
      </c>
      <c r="AH36" s="450">
        <f ca="1">SUMPRODUCT($D19:$D20,AH19:AH20)</f>
        <v>2.0039450663350555</v>
      </c>
    </row>
    <row r="37" spans="2:34" x14ac:dyDescent="0.25">
      <c r="AD37" s="244" t="s">
        <v>162</v>
      </c>
      <c r="AE37" s="694">
        <f ca="1">AE36/$C35</f>
        <v>0.62970275685999044</v>
      </c>
      <c r="AF37" s="694">
        <f ca="1">AF36/$C35</f>
        <v>0.62970275685999044</v>
      </c>
      <c r="AG37" s="694">
        <f t="shared" ca="1" si="12"/>
        <v>0.49681449585034648</v>
      </c>
      <c r="AH37" s="694">
        <f t="shared" ca="1" si="12"/>
        <v>0.49681449585034648</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A402-2F10-4F15-84E2-FD3F65570A55}">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2028</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0.9</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0.75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0.6</v>
      </c>
      <c r="X4" s="834"/>
      <c r="AA4" s="833">
        <f ca="1">OFFSET(Summary!$D$5,MATCH("CURT",Summary!$A$6:$A$18,0),MATCH($B$2,Summary!$E$5:$O$5,0))</f>
        <v>0.5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2028BSR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0.70270127299948071</v>
      </c>
      <c r="D9" s="5">
        <f ca="1">INDIRECT("'DevSumOut-"&amp;$B$2&amp;"BSR'!P50")</f>
        <v>8.1237141387223225E-3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0.9</v>
      </c>
      <c r="L9" s="5">
        <f ca="1">SCCRedFacsFull!L9*K$4/SCCRedFacsFull!K$4</f>
        <v>0.9</v>
      </c>
      <c r="M9" s="5">
        <f ca="1">'BACM-R8'!P153*($B$2-$M$3+1)*$M$4/SCCRedFacsFull!$M$4</f>
        <v>0.43143812709030099</v>
      </c>
      <c r="N9" s="5">
        <f ca="1">'BACM-R8'!O153*($B$2-$M$3+1)*$M$4/SCCRedFacsFull!$M$4</f>
        <v>0.43143812709030105</v>
      </c>
      <c r="O9" s="5">
        <f ca="1">SCCRedFacsFull!O9*O$4/SCCRedFacsFull!O$4</f>
        <v>0</v>
      </c>
      <c r="P9" s="5">
        <f ca="1">SCCRedFacsFull!P9*O$4/SCCRedFacsFull!O$4</f>
        <v>0</v>
      </c>
      <c r="Q9" s="5">
        <f ca="1">IFERROR(OFFSET('STF-22'!$E$173,MATCH($B9,'STF-22'!$A$174:$A$191,0),MATCH($B$2,'STF-22'!$F$172:$AD$172,0))*Q$4/SCCRedFacsFull!Q$4,0)</f>
        <v>0.2714167444269644</v>
      </c>
      <c r="R9" s="5">
        <f ca="1">IFERROR(OFFSET('STF-22'!$E$173,MATCH($B9,'STF-22'!$A$174:$A$191,0),MATCH($B$2,'STF-22'!$F$172:$AD$172,0)-1)*R$4/SCCRedFacsFull!R$4,0)</f>
        <v>0.27141674442696445</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9.8761573513162643E-2</v>
      </c>
      <c r="X9" s="5">
        <f ca="1">SCCRedFacsFull!X9*W$4/SCCRedFacsFull!W$4</f>
        <v>9.4693636123548905E-2</v>
      </c>
      <c r="Y9" s="510">
        <f ca="1">1-(1-E9)*(1-G9)*(1-I9)*(1-K9)*(1-M9)*(1-O9)*(1-Q9)*(1-S9)*(1-W9)</f>
        <v>0.97692816438624797</v>
      </c>
      <c r="Z9" s="510">
        <f ca="1">1-(1-F9)*(1-H9)*(1-J9)*(1-L9)*(1-N9)*(1-P9)*(1-R9)*(1-T9)*(1-X9)</f>
        <v>0.96417956808051386</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0.97692816438624797</v>
      </c>
      <c r="AF9" s="510">
        <f ca="1">1-(1-$Y9)*(1-AB9)</f>
        <v>0.98800101748780544</v>
      </c>
      <c r="AG9" s="510">
        <f ca="1">1-(1-$Z9)*(1-AC9)</f>
        <v>0.96417956808051386</v>
      </c>
      <c r="AH9" s="510">
        <f ca="1">1-(1-$Z9)*(1-AD9)</f>
        <v>0.96753386368391325</v>
      </c>
      <c r="AI9" s="530">
        <f ca="1">(Y9*$AJ$3+AE9*$AJ$4+AF9*$AJ$5)/35</f>
        <v>0.98262277455276315</v>
      </c>
      <c r="AJ9" s="530">
        <f ca="1">(Z9*$AJ$3+AG9*$AJ$4+AH9*$AJ$5)/35</f>
        <v>0.96590463439083352</v>
      </c>
    </row>
    <row r="10" spans="1:36" x14ac:dyDescent="0.25">
      <c r="A10" s="812" t="s">
        <v>138</v>
      </c>
      <c r="B10" s="812">
        <v>2104008210</v>
      </c>
      <c r="C10" s="5">
        <f ca="1">INDIRECT("'DevSumOut-"&amp;$B$2&amp;"BSR'!R51")</f>
        <v>5.484166470548698E-2</v>
      </c>
      <c r="D10" s="5">
        <f ca="1">INDIRECT("'DevSumOut-"&amp;$B$2&amp;"BSR'!P51")</f>
        <v>7.1688450595407821E-4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0.9</v>
      </c>
      <c r="L10" s="5">
        <f ca="1">SCCRedFacsFull!L10*K$4/SCCRedFacsFull!K$4</f>
        <v>0.9</v>
      </c>
      <c r="M10" s="5">
        <f ca="1">'BACM-R8'!P154*($B$2-$M$3+1)*$M$4/SCCRedFacsFull!$M$4</f>
        <v>0.72972972972972983</v>
      </c>
      <c r="N10" s="5">
        <f ca="1">'BACM-R8'!O154*($B$2-$M$3+1)*$M$4/SCCRedFacsFull!$M$4</f>
        <v>0.72972972972972983</v>
      </c>
      <c r="O10" s="5">
        <f ca="1">SCCRedFacsFull!O10*O$4/SCCRedFacsFull!O$4</f>
        <v>0</v>
      </c>
      <c r="P10" s="5">
        <f ca="1">SCCRedFacsFull!P10*O$4/SCCRedFacsFull!O$4</f>
        <v>0</v>
      </c>
      <c r="Q10" s="5">
        <f ca="1">IFERROR(OFFSET('STF-22'!$E$173,MATCH($B10,'STF-22'!$A$174:$A$191,0),MATCH($B$2,'STF-22'!$F$172:$AD$172,0))*Q$4/SCCRedFacsFull!Q$4,0)</f>
        <v>0.26440693833695605</v>
      </c>
      <c r="R10" s="5">
        <f ca="1">IFERROR(OFFSET('STF-22'!$E$173,MATCH($B10,'STF-22'!$A$174:$A$191,0),MATCH($B$2,'STF-22'!$F$172:$AD$172,0)-1)*R$4/SCCRedFacsFull!R$4,0)</f>
        <v>0.26440693833695611</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9.8761573513162643E-2</v>
      </c>
      <c r="X10" s="5">
        <f ca="1">SCCRedFacsFull!X10*W$4/SCCRedFacsFull!W$4</f>
        <v>9.4693636123548877E-2</v>
      </c>
      <c r="Y10" s="510">
        <f t="shared" ref="Y10:Z26" ca="1" si="0">1-(1-E10)*(1-G10)*(1-I10)*(1-K10)*(1-M10)*(1-O10)*(1-Q10)*(1-S10)*(1-W10)</f>
        <v>0.98892710632316883</v>
      </c>
      <c r="Z10" s="510">
        <f t="shared" ca="1" si="0"/>
        <v>0.98280865724154931</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0.99423704695324333</v>
      </c>
      <c r="AF10" s="510">
        <f t="shared" ca="1" si="1"/>
        <v>0.99423704695324333</v>
      </c>
      <c r="AG10" s="510">
        <f t="shared" ref="AG10:AH26" ca="1" si="2">1-(1-$Z10)*(1-AC10)</f>
        <v>0.95310613936025868</v>
      </c>
      <c r="AH10" s="510">
        <f t="shared" ca="1" si="2"/>
        <v>0.95310613936025868</v>
      </c>
      <c r="AI10" s="530">
        <f t="shared" ref="AI10:AI26" ca="1" si="3">(Y10*$AJ$3+AE10*$AJ$4+AF10*$AJ$5)/35</f>
        <v>0.99287163364836706</v>
      </c>
      <c r="AJ10" s="530">
        <f t="shared" ref="AJ10:AJ26" ca="1" si="4">(Z10*$AJ$3+AG10*$AJ$4+AH10*$AJ$5)/35</f>
        <v>0.96074392967259059</v>
      </c>
    </row>
    <row r="11" spans="1:36" x14ac:dyDescent="0.25">
      <c r="A11" s="812" t="s">
        <v>139</v>
      </c>
      <c r="B11" s="812">
        <v>2104008220</v>
      </c>
      <c r="C11" s="5">
        <f ca="1">INDIRECT("'DevSumOut-"&amp;$B$2&amp;"BSR'!R52")</f>
        <v>4.5280209877490284E-2</v>
      </c>
      <c r="D11" s="5">
        <f ca="1">INDIRECT("'DevSumOut-"&amp;$B$2&amp;"BSR'!P52")</f>
        <v>1.5093403292496762E-3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-6.0987960359938309E-2</v>
      </c>
      <c r="L11" s="5">
        <f ca="1">SCCRedFacsFull!L11*K$4/SCCRedFacsFull!K$4</f>
        <v>-5.913597535181303E-2</v>
      </c>
      <c r="M11" s="5">
        <f ca="1">'BACM-R8'!P155*($B$2-$M$3+1)*$M$4/SCCRedFacsFull!$M$4</f>
        <v>0.30101544927040808</v>
      </c>
      <c r="N11" s="5">
        <f ca="1">'BACM-R8'!O155*($B$2-$M$3+1)*$M$4/SCCRedFacsFull!$M$4</f>
        <v>9.9859858914185487E-2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9.8761573513162629E-2</v>
      </c>
      <c r="X11" s="5">
        <f ca="1">SCCRedFacsFull!X11*W$4/SCCRedFacsFull!W$4</f>
        <v>9.4693636123548877E-2</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-1.9463411308010556</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2.9533835145677052E-2</v>
      </c>
      <c r="D12" s="5">
        <f ca="1">INDIRECT("'DevSumOut-"&amp;$B$2&amp;"BSR'!P53")</f>
        <v>9.0873338909775564E-4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-6.0987960359938323E-2</v>
      </c>
      <c r="L12" s="5">
        <f ca="1">SCCRedFacsFull!L12*K$4/SCCRedFacsFull!K$4</f>
        <v>-6.4063973297797464E-2</v>
      </c>
      <c r="M12" s="5">
        <f ca="1">'BACM-R8'!P156*($B$2-$M$3+1)*$M$4/SCCRedFacsFull!$M$4</f>
        <v>0.30101544927040824</v>
      </c>
      <c r="N12" s="5">
        <f ca="1">'BACM-R8'!O156*($B$2-$M$3+1)*$M$4/SCCRedFacsFull!$M$4</f>
        <v>0.10818151382370102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9.8761573513162629E-2</v>
      </c>
      <c r="X12" s="5">
        <f ca="1">SCCRedFacsFull!X12*W$4/SCCRedFacsFull!W$4</f>
        <v>9.4693636123548905E-2</v>
      </c>
      <c r="Y12" s="510">
        <f t="shared" ca="1" si="0"/>
        <v>1</v>
      </c>
      <c r="Z12" s="510">
        <f t="shared" ca="1" si="0"/>
        <v>1</v>
      </c>
      <c r="AA12" s="617">
        <f t="shared" ca="1" si="5"/>
        <v>0.29422890297323068</v>
      </c>
      <c r="AB12" s="617">
        <f t="shared" ca="1" si="6"/>
        <v>0.4781219673314997</v>
      </c>
      <c r="AC12" s="617">
        <f t="shared" ca="1" si="7"/>
        <v>-2.0822032972365507</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0.4416241970165144</v>
      </c>
      <c r="D13" s="5">
        <f ca="1">INDIRECT("'DevSumOut-"&amp;$B$2&amp;"BSR'!P54")</f>
        <v>1.4548612361242427E-2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0.9</v>
      </c>
      <c r="L13" s="5">
        <f ca="1">SCCRedFacsFull!L13*K$4/SCCRedFacsFull!K$4</f>
        <v>0.9</v>
      </c>
      <c r="M13" s="5">
        <f ca="1">'BACM-R8'!P157*($B$2-$M$3+1)*$M$4/SCCRedFacsFull!$M$4</f>
        <v>0.69527896995708149</v>
      </c>
      <c r="N13" s="5">
        <f ca="1">'BACM-R8'!O157*($B$2-$M$3+1)*$M$4/SCCRedFacsFull!$M$4</f>
        <v>0.69527896995708149</v>
      </c>
      <c r="O13" s="5">
        <f ca="1">SCCRedFacsFull!O13*O$4/SCCRedFacsFull!O$4</f>
        <v>0</v>
      </c>
      <c r="P13" s="5">
        <f ca="1">SCCRedFacsFull!P13*O$4/SCCRedFacsFull!O$4</f>
        <v>0</v>
      </c>
      <c r="Q13" s="5">
        <f ca="1">IFERROR(OFFSET('STF-22'!$E$173,MATCH($B13,'STF-22'!$A$174:$A$191,0),MATCH($B$2,'STF-22'!$F$172:$AD$172,0))*Q$4/SCCRedFacsFull!Q$4,0)</f>
        <v>4.4658166640010759E-2</v>
      </c>
      <c r="R13" s="5">
        <f ca="1">IFERROR(OFFSET('STF-22'!$E$173,MATCH($B13,'STF-22'!$A$174:$A$191,0),MATCH($B$2,'STF-22'!$F$172:$AD$172,0)-1)*R$4/SCCRedFacsFull!R$4,0)</f>
        <v>4.3814572468071661E-2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9.8761573513162643E-2</v>
      </c>
      <c r="X13" s="5">
        <f ca="1">SCCRedFacsFull!X13*W$4/SCCRedFacsFull!W$4</f>
        <v>9.4693636123548905E-2</v>
      </c>
      <c r="Y13" s="510">
        <f t="shared" ca="1" si="0"/>
        <v>0.98378613872857712</v>
      </c>
      <c r="Z13" s="510">
        <f t="shared" ca="1" si="0"/>
        <v>0.97480476302154273</v>
      </c>
      <c r="AA13" s="617">
        <f t="shared" ca="1" si="5"/>
        <v>0.47844886022233368</v>
      </c>
      <c r="AB13" s="617">
        <f t="shared" ca="1" si="6"/>
        <v>0.47844886022233368</v>
      </c>
      <c r="AC13" s="617">
        <f t="shared" ca="1" si="7"/>
        <v>-2.5004762761786758</v>
      </c>
      <c r="AD13" s="617">
        <f t="shared" ca="1" si="8"/>
        <v>-2.5004762761786758</v>
      </c>
      <c r="AE13" s="510">
        <f t="shared" ca="1" si="1"/>
        <v>0.9915436421736924</v>
      </c>
      <c r="AF13" s="510">
        <f t="shared" ca="1" si="1"/>
        <v>0.9915436421736924</v>
      </c>
      <c r="AG13" s="510">
        <f t="shared" ca="1" si="2"/>
        <v>0.91180467068421067</v>
      </c>
      <c r="AH13" s="510">
        <f t="shared" ca="1" si="2"/>
        <v>0.91180467068421067</v>
      </c>
      <c r="AI13" s="530">
        <f t="shared" ca="1" si="3"/>
        <v>0.9895488555735199</v>
      </c>
      <c r="AJ13" s="530">
        <f t="shared" ca="1" si="4"/>
        <v>0.92800469442809608</v>
      </c>
    </row>
    <row r="14" spans="1:36" x14ac:dyDescent="0.25">
      <c r="A14" s="812" t="s">
        <v>142</v>
      </c>
      <c r="B14" s="812">
        <v>2104008320</v>
      </c>
      <c r="C14" s="5">
        <f ca="1">INDIRECT("'DevSumOut-"&amp;$B$2&amp;"BSR'!R55")</f>
        <v>0.60688401532077529</v>
      </c>
      <c r="D14" s="5">
        <f ca="1">INDIRECT("'DevSumOut-"&amp;$B$2&amp;"BSR'!P55")</f>
        <v>3.0630885713200481E-2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-8.0046697972419034E-2</v>
      </c>
      <c r="L14" s="5">
        <f ca="1">SCCRedFacsFull!L14*K$4/SCCRedFacsFull!K$4</f>
        <v>-7.6880414516445353E-2</v>
      </c>
      <c r="M14" s="5">
        <f ca="1">'BACM-R8'!P158*($B$2-$M$3+1)*$M$4/SCCRedFacsFull!$M$4</f>
        <v>0.15543409789033003</v>
      </c>
      <c r="N14" s="5">
        <f ca="1">'BACM-R8'!O158*($B$2-$M$3+1)*$M$4/SCCRedFacsFull!$M$4</f>
        <v>-4.3597776507524486E-2</v>
      </c>
      <c r="O14" s="5">
        <f ca="1">SCCRedFacsFull!O14*O$4/SCCRedFacsFull!O$4</f>
        <v>0</v>
      </c>
      <c r="P14" s="5">
        <f ca="1">SCCRedFacsFull!P14*O$4/SCCRedFacsFull!O$4</f>
        <v>0</v>
      </c>
      <c r="Q14" s="5">
        <f ca="1">IFERROR(OFFSET('STF-22'!$E$173,MATCH($B14,'STF-22'!$A$174:$A$191,0),MATCH($B$2,'STF-22'!$F$172:$AD$172,0))*Q$4/SCCRedFacsFull!Q$4,0)</f>
        <v>0.28022631931361797</v>
      </c>
      <c r="R14" s="5">
        <f ca="1">IFERROR(OFFSET('STF-22'!$E$173,MATCH($B14,'STF-22'!$A$174:$A$191,0),MATCH($B$2,'STF-22'!$F$172:$AD$172,0)-1)*R$4/SCCRedFacsFull!R$4,0)</f>
        <v>0.26914184011277914</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9.8761573513162643E-2</v>
      </c>
      <c r="X14" s="5">
        <f ca="1">SCCRedFacsFull!X14*W$4/SCCRedFacsFull!W$4</f>
        <v>9.4693636123548919E-2</v>
      </c>
      <c r="Y14" s="510">
        <f t="shared" ca="1" si="0"/>
        <v>0.63432331701695044</v>
      </c>
      <c r="Z14" s="510">
        <f t="shared" ca="1" si="0"/>
        <v>0.28975591940739565</v>
      </c>
      <c r="AA14" s="617">
        <f t="shared" ca="1" si="5"/>
        <v>0.29354300452577731</v>
      </c>
      <c r="AB14" s="617">
        <f t="shared" ca="1" si="6"/>
        <v>0.47700738235438811</v>
      </c>
      <c r="AC14" s="617">
        <f t="shared" ca="1" si="7"/>
        <v>-2.0142722140188041</v>
      </c>
      <c r="AD14" s="617">
        <f t="shared" ca="1" si="8"/>
        <v>-3.2731923477805562</v>
      </c>
      <c r="AE14" s="510">
        <f t="shared" ca="1" si="1"/>
        <v>0.74166514922481497</v>
      </c>
      <c r="AF14" s="510">
        <f t="shared" ca="1" si="1"/>
        <v>0.80875379435473027</v>
      </c>
      <c r="AG14" s="510">
        <f t="shared" ca="1" si="2"/>
        <v>-1.1408689973016193</v>
      </c>
      <c r="AH14" s="510">
        <f t="shared" ca="1" si="2"/>
        <v>-2.0350095702447537</v>
      </c>
      <c r="AI14" s="530">
        <f t="shared" ca="1" si="3"/>
        <v>0.74856569558103492</v>
      </c>
      <c r="AJ14" s="530">
        <f t="shared" ca="1" si="4"/>
        <v>-1.232837741947199</v>
      </c>
    </row>
    <row r="15" spans="1:36" x14ac:dyDescent="0.25">
      <c r="A15" s="812" t="s">
        <v>143</v>
      </c>
      <c r="B15" s="812">
        <v>2104008330</v>
      </c>
      <c r="C15" s="5">
        <f ca="1">INDIRECT("'DevSumOut-"&amp;$B$2&amp;"BSR'!R56")</f>
        <v>0.40543119968373398</v>
      </c>
      <c r="D15" s="5">
        <f ca="1">INDIRECT("'DevSumOut-"&amp;$B$2&amp;"BSR'!P56")</f>
        <v>1.8442035931724016E-2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-8.004669797241909E-2</v>
      </c>
      <c r="L15" s="5">
        <f ca="1">SCCRedFacsFull!L15*K$4/SCCRedFacsFull!K$4</f>
        <v>-8.5305665422357249E-2</v>
      </c>
      <c r="M15" s="5">
        <f ca="1">'BACM-R8'!P159*($B$2-$M$3+1)*$M$4/SCCRedFacsFull!$M$4</f>
        <v>0.15543409789032994</v>
      </c>
      <c r="N15" s="5">
        <f ca="1">'BACM-R8'!O159*($B$2-$M$3+1)*$M$4/SCCRedFacsFull!$M$4</f>
        <v>-4.8375615028897041E-2</v>
      </c>
      <c r="O15" s="5">
        <f ca="1">SCCRedFacsFull!O15*O$4/SCCRedFacsFull!O$4</f>
        <v>0</v>
      </c>
      <c r="P15" s="5">
        <f ca="1">SCCRedFacsFull!P15*O$4/SCCRedFacsFull!O$4</f>
        <v>0</v>
      </c>
      <c r="Q15" s="5">
        <f ca="1">IFERROR(OFFSET('STF-22'!$E$173,MATCH($B15,'STF-22'!$A$174:$A$191,0),MATCH($B$2,'STF-22'!$F$172:$AD$172,0))*Q$4/SCCRedFacsFull!Q$4,0)</f>
        <v>0.28022631931361797</v>
      </c>
      <c r="R15" s="5">
        <f ca="1">IFERROR(OFFSET('STF-22'!$E$173,MATCH($B15,'STF-22'!$A$174:$A$191,0),MATCH($B$2,'STF-22'!$F$172:$AD$172,0)-1)*R$4/SCCRedFacsFull!R$4,0)</f>
        <v>0.2986368362895222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9.8761573513162643E-2</v>
      </c>
      <c r="X15" s="5">
        <f ca="1">SCCRedFacsFull!X15*W$4/SCCRedFacsFull!W$4</f>
        <v>9.4693636123548905E-2</v>
      </c>
      <c r="Y15" s="510">
        <f t="shared" ca="1" si="0"/>
        <v>0.63432331701695044</v>
      </c>
      <c r="Z15" s="510">
        <f t="shared" ca="1" si="0"/>
        <v>0.30994162259435221</v>
      </c>
      <c r="AA15" s="617">
        <f t="shared" ca="1" si="5"/>
        <v>0.29362726123173721</v>
      </c>
      <c r="AB15" s="617">
        <f t="shared" ca="1" si="6"/>
        <v>0.47714429950157289</v>
      </c>
      <c r="AC15" s="617">
        <f t="shared" ca="1" si="7"/>
        <v>-2.1501343804542987</v>
      </c>
      <c r="AD15" s="617">
        <f t="shared" ca="1" si="8"/>
        <v>-3.4939683682382352</v>
      </c>
      <c r="AE15" s="510">
        <f t="shared" ca="1" si="1"/>
        <v>0.74169595993756943</v>
      </c>
      <c r="AF15" s="510">
        <f t="shared" ca="1" si="1"/>
        <v>0.80880386176295638</v>
      </c>
      <c r="AG15" s="510">
        <f t="shared" ca="1" si="2"/>
        <v>-1.173776619186039</v>
      </c>
      <c r="AH15" s="510">
        <f t="shared" ca="1" si="2"/>
        <v>-2.1011005202987834</v>
      </c>
      <c r="AI15" s="530">
        <f t="shared" ca="1" si="3"/>
        <v>0.74859848698246645</v>
      </c>
      <c r="AJ15" s="530">
        <f t="shared" ca="1" si="4"/>
        <v>-1.2691585061576356</v>
      </c>
    </row>
    <row r="16" spans="1:36" x14ac:dyDescent="0.25">
      <c r="A16" s="812" t="s">
        <v>144</v>
      </c>
      <c r="B16" s="812">
        <v>2104008410</v>
      </c>
      <c r="C16" s="5">
        <f ca="1">INDIRECT("'DevSumOut-"&amp;$B$2&amp;"BSR'!R57")</f>
        <v>1.4959881640923456E-2</v>
      </c>
      <c r="D16" s="5">
        <f ca="1">INDIRECT("'DevSumOut-"&amp;$B$2&amp;"BSR'!P57")</f>
        <v>1.6172845017214546E-3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0.21965704410428766</v>
      </c>
      <c r="R16" s="5">
        <f ca="1">IFERROR(OFFSET('STF-22'!$E$173,MATCH($B16,'STF-22'!$A$174:$A$191,0),MATCH($B$2,'STF-22'!$F$172:$AD$172,0)-1)*R$4/SCCRedFacsFull!R$4,0)</f>
        <v>0.21965704410428769</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9.8761573513162629E-2</v>
      </c>
      <c r="X16" s="5">
        <f ca="1">SCCRedFacsFull!X16*W$4/SCCRedFacsFull!W$4</f>
        <v>9.4693636123548905E-2</v>
      </c>
      <c r="Y16" s="510">
        <f t="shared" ca="1" si="0"/>
        <v>0.56537896263620202</v>
      </c>
      <c r="Z16" s="510">
        <f t="shared" ca="1" si="0"/>
        <v>0.32522433237228576</v>
      </c>
      <c r="AA16" s="617">
        <f t="shared" ca="1" si="5"/>
        <v>0.47369614984746655</v>
      </c>
      <c r="AB16" s="617">
        <f t="shared" ca="1" si="6"/>
        <v>0.47369614984746655</v>
      </c>
      <c r="AC16" s="617">
        <f t="shared" ca="1" si="7"/>
        <v>-3.2110596162013127</v>
      </c>
      <c r="AD16" s="617">
        <f t="shared" ca="1" si="8"/>
        <v>-3.2110596162013127</v>
      </c>
      <c r="AE16" s="510">
        <f t="shared" ca="1" si="1"/>
        <v>0.77125727467814498</v>
      </c>
      <c r="AF16" s="510">
        <f t="shared" ca="1" si="1"/>
        <v>0.77125727467814498</v>
      </c>
      <c r="AG16" s="510">
        <f t="shared" ca="1" si="2"/>
        <v>-1.8415205639423471</v>
      </c>
      <c r="AH16" s="510">
        <f t="shared" ca="1" si="2"/>
        <v>-1.8415205639423471</v>
      </c>
      <c r="AI16" s="530">
        <f t="shared" ca="1" si="3"/>
        <v>0.71831713729593105</v>
      </c>
      <c r="AJ16" s="530">
        <f t="shared" ca="1" si="4"/>
        <v>-1.2843575906042985</v>
      </c>
    </row>
    <row r="17" spans="1:40" x14ac:dyDescent="0.25">
      <c r="A17" s="812" t="s">
        <v>145</v>
      </c>
      <c r="B17" s="812">
        <v>2104008420</v>
      </c>
      <c r="C17" s="5">
        <f ca="1">INDIRECT("'DevSumOut-"&amp;$B$2&amp;"BSR'!R58")</f>
        <v>5.0460145706960634E-2</v>
      </c>
      <c r="D17" s="5">
        <f ca="1">INDIRECT("'DevSumOut-"&amp;$B$2&amp;"BSR'!P58")</f>
        <v>5.455150887238986E-3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0.3540345357687652</v>
      </c>
      <c r="R17" s="5">
        <f ca="1">IFERROR(OFFSET('STF-22'!$E$173,MATCH($B17,'STF-22'!$A$174:$A$191,0),MATCH($B$2,'STF-22'!$F$172:$AD$172,0)-1)*R$4/SCCRedFacsFull!R$4,0)</f>
        <v>0.3540345357687652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9.8761573513162657E-2</v>
      </c>
      <c r="X17" s="5">
        <f ca="1">SCCRedFacsFull!X17*W$4/SCCRedFacsFull!W$4</f>
        <v>9.4693636123548919E-2</v>
      </c>
      <c r="Y17" s="510">
        <f t="shared" ca="1" si="0"/>
        <v>0.64022206128187686</v>
      </c>
      <c r="Z17" s="510">
        <f t="shared" ca="1" si="0"/>
        <v>0.44142280762853381</v>
      </c>
      <c r="AA17" s="617">
        <f t="shared" ca="1" si="5"/>
        <v>0.47121963728754257</v>
      </c>
      <c r="AB17" s="617">
        <f t="shared" ca="1" si="6"/>
        <v>0.47121963728754257</v>
      </c>
      <c r="AC17" s="617">
        <f t="shared" ca="1" si="7"/>
        <v>-4.6611187511375451</v>
      </c>
      <c r="AD17" s="617">
        <f t="shared" ca="1" si="8"/>
        <v>-4.6611187511375451</v>
      </c>
      <c r="AE17" s="510">
        <f t="shared" ca="1" si="1"/>
        <v>0.80975649106869052</v>
      </c>
      <c r="AF17" s="510">
        <f t="shared" ca="1" si="1"/>
        <v>0.80975649106869052</v>
      </c>
      <c r="AG17" s="510">
        <f t="shared" ca="1" si="2"/>
        <v>-2.1621718176918709</v>
      </c>
      <c r="AH17" s="510">
        <f t="shared" ca="1" si="2"/>
        <v>-2.1621718176918709</v>
      </c>
      <c r="AI17" s="530">
        <f t="shared" ca="1" si="3"/>
        <v>0.76616192340922429</v>
      </c>
      <c r="AJ17" s="530">
        <f t="shared" ca="1" si="4"/>
        <v>-1.4926760568951956</v>
      </c>
    </row>
    <row r="18" spans="1:40" x14ac:dyDescent="0.25">
      <c r="A18" s="812" t="s">
        <v>146</v>
      </c>
      <c r="B18" s="812">
        <v>2104008610</v>
      </c>
      <c r="C18" s="5">
        <f ca="1">INDIRECT("'DevSumOut-"&amp;$B$2&amp;"BSR'!R59")</f>
        <v>0.25070527808340831</v>
      </c>
      <c r="D18" s="5">
        <f ca="1">INDIRECT("'DevSumOut-"&amp;$B$2&amp;"BSR'!P59")</f>
        <v>1.0160138407960075E-2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0.90000000000000024</v>
      </c>
      <c r="L18" s="5">
        <f ca="1">SCCRedFacsFull!L18*K$4/SCCRedFacsFull!K$4</f>
        <v>0.9</v>
      </c>
      <c r="M18" s="5">
        <f ca="1">'BACM-R8'!P162*($B$2-$M$3+1)*$M$4/SCCRedFacsFull!$M$4</f>
        <v>0.59649280363935775</v>
      </c>
      <c r="N18" s="5">
        <f ca="1">'BACM-R8'!O162*($B$2-$M$3+1)*$M$4/SCCRedFacsFull!$M$4</f>
        <v>0.23942465314925693</v>
      </c>
      <c r="O18" s="5">
        <f ca="1">SCCRedFacsFull!O18*O$4/SCCRedFacsFull!O$4</f>
        <v>0</v>
      </c>
      <c r="P18" s="5">
        <f ca="1">SCCRedFacsFull!P18*O$4/SCCRedFacsFull!O$4</f>
        <v>0</v>
      </c>
      <c r="Q18" s="5">
        <f ca="1">IFERROR(OFFSET('STF-22'!$E$173,MATCH($B18,'STF-22'!$A$174:$A$191,0),MATCH($B$2,'STF-22'!$F$172:$AD$172,0))*Q$4/SCCRedFacsFull!Q$4,0)</f>
        <v>0.21520386614612233</v>
      </c>
      <c r="R18" s="5">
        <f ca="1">IFERROR(OFFSET('STF-22'!$E$173,MATCH($B18,'STF-22'!$A$174:$A$191,0),MATCH($B$2,'STF-22'!$F$172:$AD$172,0)-1)*R$4/SCCRedFacsFull!R$4,0)</f>
        <v>0.21520386614612236</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9.8761573513162629E-2</v>
      </c>
      <c r="X18" s="5">
        <f ca="1">SCCRedFacsFull!X18*W$4/SCCRedFacsFull!W$4</f>
        <v>9.4693636123548905E-2</v>
      </c>
      <c r="Y18" s="510">
        <f t="shared" ca="1" si="0"/>
        <v>0.98236264854200606</v>
      </c>
      <c r="Z18" s="510">
        <f t="shared" ca="1" si="0"/>
        <v>0.94838534862975066</v>
      </c>
      <c r="AA18" s="617">
        <f t="shared" ca="1" si="5"/>
        <v>0.4418309544647272</v>
      </c>
      <c r="AB18" s="617">
        <f t="shared" ca="1" si="6"/>
        <v>0.47848052672447428</v>
      </c>
      <c r="AC18" s="617">
        <f t="shared" ca="1" si="7"/>
        <v>-1.7483202626495844</v>
      </c>
      <c r="AD18" s="617">
        <f t="shared" ca="1" si="8"/>
        <v>-1.8933422199200565</v>
      </c>
      <c r="AE18" s="510">
        <f t="shared" ca="1" si="1"/>
        <v>0.99015537637092133</v>
      </c>
      <c r="AF18" s="510">
        <f t="shared" ca="1" si="1"/>
        <v>0.99080177775765166</v>
      </c>
      <c r="AG18" s="510">
        <f t="shared" ca="1" si="2"/>
        <v>0.85814640778954954</v>
      </c>
      <c r="AH18" s="510">
        <f t="shared" ca="1" si="2"/>
        <v>0.850661150024003</v>
      </c>
      <c r="AI18" s="530">
        <f t="shared" ca="1" si="3"/>
        <v>0.98848396707094743</v>
      </c>
      <c r="AJ18" s="530">
        <f t="shared" ca="1" si="4"/>
        <v>0.87750114572617732</v>
      </c>
    </row>
    <row r="19" spans="1:40" x14ac:dyDescent="0.25">
      <c r="A19" s="812" t="s">
        <v>147</v>
      </c>
      <c r="B19" s="812">
        <v>2104004000</v>
      </c>
      <c r="C19" s="5">
        <f ca="1">INDIRECT("'DevSumOut-"&amp;$B$2&amp;"BSR'!R60")+INDIRECT("'DevSumOut-"&amp;$B$2&amp;"BSR'!R62")+INDIRECT("'DevSumOut-"&amp;$B$2&amp;"BSR'!R63")</f>
        <v>5.602113439428931E-2</v>
      </c>
      <c r="D19" s="5">
        <f ca="1">INDIRECT("'DevSumOut-"&amp;$B$2&amp;"BSR'!P60")+INDIRECT("'DevSumOut-"&amp;$B$2&amp;"BSR'!P62")+INDIRECT("'DevSumOut-"&amp;$B$2&amp;"BSR'!P63")</f>
        <v>3.549054078755598</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-3.2911843905614802E-2</v>
      </c>
      <c r="L19" s="5">
        <f ca="1">SCCRedFacsFull!L19*K$4/SCCRedFacsFull!K$4</f>
        <v>-3.2938929965161921E-2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-1.709165279863635E-2</v>
      </c>
      <c r="R19" s="5">
        <f ca="1">IFERROR(OFFSET('STF-22'!$E$173,MATCH($B19,'STF-22'!$A$174:$A$191,0),MATCH($B$2,'STF-22'!$F$172:$AD$172,0)-1)*R$4/SCCRedFacsFull!R$4,0)</f>
        <v>-1.7105719027401656E-2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9.8761573513162629E-2</v>
      </c>
      <c r="X19" s="5">
        <f ca="1">SCCRedFacsFull!X19*W$4/SCCRedFacsFull!W$4</f>
        <v>9.4693636123548905E-2</v>
      </c>
      <c r="Y19" s="510">
        <f t="shared" ca="1" si="0"/>
        <v>0.6866560872860451</v>
      </c>
      <c r="Z19" s="510">
        <f t="shared" ca="1" si="0"/>
        <v>0.58310632099428283</v>
      </c>
      <c r="AA19" s="617">
        <f t="shared" ca="1" si="5"/>
        <v>0</v>
      </c>
      <c r="AB19" s="617">
        <f t="shared" ca="1" si="6"/>
        <v>0</v>
      </c>
      <c r="AC19" s="617">
        <f t="shared" ca="1" si="7"/>
        <v>0</v>
      </c>
      <c r="AD19" s="617">
        <f t="shared" ca="1" si="8"/>
        <v>0</v>
      </c>
      <c r="AE19" s="510">
        <f t="shared" ca="1" si="1"/>
        <v>0.6866560872860451</v>
      </c>
      <c r="AF19" s="510">
        <f t="shared" ca="1" si="1"/>
        <v>0.6866560872860451</v>
      </c>
      <c r="AG19" s="510">
        <f t="shared" ca="1" si="2"/>
        <v>0.58310632099428283</v>
      </c>
      <c r="AH19" s="510">
        <f t="shared" ca="1" si="2"/>
        <v>0.58310632099428283</v>
      </c>
      <c r="AI19" s="530">
        <f t="shared" ca="1" si="3"/>
        <v>0.6866560872860451</v>
      </c>
      <c r="AJ19" s="530">
        <f t="shared" ca="1" si="4"/>
        <v>0.58310632099428283</v>
      </c>
    </row>
    <row r="20" spans="1:40" x14ac:dyDescent="0.25">
      <c r="A20" s="812" t="s">
        <v>148</v>
      </c>
      <c r="B20" s="812">
        <v>2103004001</v>
      </c>
      <c r="C20" s="5">
        <f ca="1">INDIRECT("'DevSumOut-"&amp;$B$2&amp;"BSR'!R61")</f>
        <v>1.8504834317480963E-2</v>
      </c>
      <c r="D20" s="5">
        <f ca="1">INDIRECT("'DevSumOut-"&amp;$B$2&amp;"BSR'!P61")</f>
        <v>0.51564214530586516</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9.8761573513162643E-2</v>
      </c>
      <c r="X20" s="5">
        <f ca="1">SCCRedFacsFull!X20*W$4/SCCRedFacsFull!W$4</f>
        <v>9.4693636123548919E-2</v>
      </c>
      <c r="Y20" s="510">
        <f t="shared" ca="1" si="0"/>
        <v>0.5253476808035491</v>
      </c>
      <c r="Z20" s="510">
        <f t="shared" ca="1" si="0"/>
        <v>7.1109316190964167E-2</v>
      </c>
      <c r="AA20" s="617">
        <f t="shared" ca="1" si="5"/>
        <v>0</v>
      </c>
      <c r="AB20" s="617">
        <f t="shared" ca="1" si="6"/>
        <v>0</v>
      </c>
      <c r="AC20" s="617">
        <f t="shared" ca="1" si="7"/>
        <v>0</v>
      </c>
      <c r="AD20" s="617">
        <f t="shared" ca="1" si="8"/>
        <v>0</v>
      </c>
      <c r="AE20" s="510">
        <f t="shared" ca="1" si="1"/>
        <v>0.5253476808035491</v>
      </c>
      <c r="AF20" s="510">
        <f t="shared" ca="1" si="1"/>
        <v>0.5253476808035491</v>
      </c>
      <c r="AG20" s="510">
        <f t="shared" ca="1" si="2"/>
        <v>7.1109316190964167E-2</v>
      </c>
      <c r="AH20" s="510">
        <f t="shared" ca="1" si="2"/>
        <v>7.1109316190964167E-2</v>
      </c>
      <c r="AI20" s="530">
        <f t="shared" ca="1" si="3"/>
        <v>0.5253476808035491</v>
      </c>
      <c r="AJ20" s="530">
        <f t="shared" ca="1" si="4"/>
        <v>7.1109316190964167E-2</v>
      </c>
    </row>
    <row r="21" spans="1:40" x14ac:dyDescent="0.25">
      <c r="A21" s="812" t="s">
        <v>149</v>
      </c>
      <c r="B21" s="812">
        <v>2104006010</v>
      </c>
      <c r="C21" s="5">
        <f ca="1">INDIRECT("'DevSumOut-"&amp;$B$2&amp;"BSR'!R64")</f>
        <v>5.8529310125197163E-6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-11.181082828141728</v>
      </c>
      <c r="X21" s="5">
        <f ca="1">SCCRedFacsFull!X21*W$4/SCCRedFacsFull!W$4</f>
        <v>-11.181082828141728</v>
      </c>
      <c r="Y21" s="510">
        <f t="shared" ca="1" si="0"/>
        <v>-6.8673579987202755</v>
      </c>
      <c r="Z21" s="510">
        <f t="shared" ca="1" si="0"/>
        <v>-11.159667786978627</v>
      </c>
      <c r="AA21" s="617">
        <f t="shared" ca="1" si="5"/>
        <v>0</v>
      </c>
      <c r="AB21" s="617">
        <f t="shared" ca="1" si="6"/>
        <v>0</v>
      </c>
      <c r="AC21" s="617">
        <f t="shared" ca="1" si="7"/>
        <v>0</v>
      </c>
      <c r="AD21" s="617">
        <f t="shared" ca="1" si="8"/>
        <v>0</v>
      </c>
      <c r="AE21" s="510">
        <f t="shared" ca="1" si="1"/>
        <v>-6.8673579987202755</v>
      </c>
      <c r="AF21" s="510">
        <f t="shared" ca="1" si="1"/>
        <v>-6.8673579987202755</v>
      </c>
      <c r="AG21" s="510">
        <f t="shared" ca="1" si="2"/>
        <v>-11.159667786978627</v>
      </c>
      <c r="AH21" s="510">
        <f t="shared" ca="1" si="2"/>
        <v>-11.159667786978627</v>
      </c>
      <c r="AI21" s="530">
        <f t="shared" ca="1" si="3"/>
        <v>-6.8673579987202755</v>
      </c>
      <c r="AJ21" s="530">
        <f t="shared" ca="1" si="4"/>
        <v>-11.159667786978625</v>
      </c>
    </row>
    <row r="22" spans="1:40" x14ac:dyDescent="0.25">
      <c r="A22" s="812" t="s">
        <v>150</v>
      </c>
      <c r="B22" s="812">
        <v>2103006000</v>
      </c>
      <c r="C22" s="5">
        <f ca="1">INDIRECT("'DevSumOut-"&amp;$B$2&amp;"BSR'!R65")</f>
        <v>1.0079518569867291E-2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9.7234459313288044E-2</v>
      </c>
      <c r="D23" s="5">
        <f ca="1">INDIRECT("'DevSumOut-"&amp;$B$2&amp;"BSR'!P66")</f>
        <v>0.11317652961371445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0.9</v>
      </c>
      <c r="L23" s="5">
        <f ca="1">SCCRedFacsFull!L23*K$4/SCCRedFacsFull!K$4</f>
        <v>0.9</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0.98385332792306346</v>
      </c>
      <c r="Z23" s="510">
        <f t="shared" ca="1" si="0"/>
        <v>0.97504395143162814</v>
      </c>
      <c r="AA23" s="617">
        <f t="shared" ca="1" si="5"/>
        <v>0.49828210592064903</v>
      </c>
      <c r="AB23" s="617">
        <f t="shared" ca="1" si="6"/>
        <v>0.49828210592064903</v>
      </c>
      <c r="AC23" s="617">
        <f t="shared" ca="1" si="7"/>
        <v>0.4103118857783955</v>
      </c>
      <c r="AD23" s="617">
        <f t="shared" ca="1" si="8"/>
        <v>0.4103118857783955</v>
      </c>
      <c r="AE23" s="510">
        <f t="shared" ca="1" si="1"/>
        <v>0.99189892568916949</v>
      </c>
      <c r="AF23" s="510">
        <f t="shared" ca="1" si="1"/>
        <v>0.99189892568916949</v>
      </c>
      <c r="AG23" s="510">
        <f t="shared" ca="1" si="2"/>
        <v>0.98528371478129406</v>
      </c>
      <c r="AH23" s="510">
        <f t="shared" ca="1" si="2"/>
        <v>0.98528371478129406</v>
      </c>
      <c r="AI23" s="530">
        <f t="shared" ca="1" si="3"/>
        <v>0.9898300576921707</v>
      </c>
      <c r="AJ23" s="530">
        <f t="shared" ca="1" si="4"/>
        <v>0.9826506327770943</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2.7871537290324624</v>
      </c>
      <c r="D27" s="450">
        <f ca="1">INDIRECT("'DevSumOut-"&amp;$B$2&amp;"BSR'!P70")</f>
        <v>4.2879681016873104</v>
      </c>
      <c r="E27" s="450">
        <f ca="1">$C27-E28</f>
        <v>1.8112750669985234</v>
      </c>
      <c r="F27" s="450">
        <f ca="1">$D27-F28</f>
        <v>4.281367626373199</v>
      </c>
      <c r="G27" s="450">
        <f ca="1">$C27-G28</f>
        <v>2.7780110401394231</v>
      </c>
      <c r="H27" s="450">
        <f ca="1">$D27-H28</f>
        <v>2.3045080806171123</v>
      </c>
      <c r="I27" s="450">
        <f ca="1">$C27-I28</f>
        <v>2.6492250356980218</v>
      </c>
      <c r="J27" s="450">
        <f ca="1">$D27-J28</f>
        <v>4.2830861121900536</v>
      </c>
      <c r="K27" s="450">
        <f ca="1">$C27-K28</f>
        <v>1.4821965492372922</v>
      </c>
      <c r="L27" s="450">
        <f ca="1">$D27-L28</f>
        <v>4.2768924530267967</v>
      </c>
      <c r="M27" s="450">
        <f ca="1">$C27-M28</f>
        <v>1.8074976181219438</v>
      </c>
      <c r="N27" s="450">
        <f ca="1">$D27-N28</f>
        <v>4.273370710580509</v>
      </c>
      <c r="O27" s="450">
        <f ca="1">$C27-O28</f>
        <v>2.7144858838828574</v>
      </c>
      <c r="P27" s="450">
        <f ca="1">$D27-P28</f>
        <v>4.2194439445501679</v>
      </c>
      <c r="Q27" s="450">
        <f ca="1">$C27-Q28</f>
        <v>2.1295688528905825</v>
      </c>
      <c r="R27" s="450">
        <f ca="1">$D27-R28</f>
        <v>4.3250026623195188</v>
      </c>
      <c r="S27" s="450">
        <f ca="1">$C27-S28</f>
        <v>2.7865727243486962</v>
      </c>
      <c r="T27" s="450">
        <f ca="1">$D27-T28</f>
        <v>4.2879681016873104</v>
      </c>
      <c r="U27" s="786">
        <f ca="1">$C27-U28</f>
        <v>2.7871537290324624</v>
      </c>
      <c r="V27" s="786">
        <f ca="1">$D27-V28</f>
        <v>4.2879681016873104</v>
      </c>
      <c r="W27" s="450">
        <f ca="1">$C27-W28</f>
        <v>2.5228396071467123</v>
      </c>
      <c r="X27" s="450">
        <f ca="1">$D27-X28</f>
        <v>3.8951374675908848</v>
      </c>
      <c r="Y27" s="450">
        <f ca="1">$C27-Y28</f>
        <v>0.46416020237809308</v>
      </c>
      <c r="Z27" s="450">
        <f ca="1">$D27-Z28</f>
        <v>2.0199658895511123</v>
      </c>
      <c r="AA27" s="450">
        <f ca="1">$C27-AA28</f>
        <v>2.0402728031756499</v>
      </c>
      <c r="AB27" s="450">
        <f ca="1">$C27-AB28</f>
        <v>1.4943353204734704</v>
      </c>
      <c r="AC27" s="450">
        <f ca="1">$D27-AC28</f>
        <v>4.4337126261766082</v>
      </c>
      <c r="AD27" s="450">
        <f ca="1">$D27-AD28</f>
        <v>4.5007888839783412</v>
      </c>
      <c r="AE27" s="450">
        <f ca="1">$C27-AE28</f>
        <v>0.33739619903394757</v>
      </c>
      <c r="AF27" s="450">
        <f ca="1">$C27-AF28</f>
        <v>0.26153057134013435</v>
      </c>
      <c r="AG27" s="450">
        <f ca="1">$D27-AG28</f>
        <v>2.1095530239168108</v>
      </c>
      <c r="AH27" s="450">
        <f ca="1">$D27-AH28</f>
        <v>2.1540918842391337</v>
      </c>
      <c r="AI27" s="787">
        <f ca="1">$C27-AI28</f>
        <v>0.33097604850848095</v>
      </c>
      <c r="AJ27" s="787">
        <f ca="1">$D27-AJ28</f>
        <v>2.1094220318171115</v>
      </c>
    </row>
    <row r="28" spans="1:40" x14ac:dyDescent="0.25">
      <c r="B28" s="244" t="s">
        <v>156</v>
      </c>
      <c r="E28" s="450">
        <f ca="1">SUMPRODUCT($C9:$C26,E9:E26)</f>
        <v>0.97587866203393914</v>
      </c>
      <c r="F28" s="450">
        <f ca="1">SUMPRODUCT($D9:$D26,F9:F26)</f>
        <v>6.6004753141109844E-3</v>
      </c>
      <c r="G28" s="450">
        <f ca="1">SUMPRODUCT($C9:$C26,G9:G26)</f>
        <v>9.1426888930391109E-3</v>
      </c>
      <c r="H28" s="450">
        <f ca="1">SUMPRODUCT($D9:$D26,H9:H26)</f>
        <v>1.983460021070198</v>
      </c>
      <c r="I28" s="450">
        <f ca="1">SUMPRODUCT($C9:$C26,I9:I26)</f>
        <v>0.13792869333444061</v>
      </c>
      <c r="J28" s="450">
        <f ca="1">SUMPRODUCT($D9:$D26,J9:J26)</f>
        <v>4.8819894972568631E-3</v>
      </c>
      <c r="K28" s="450">
        <f ca="1">SUMPRODUCT($C9:$C26,K9:K26)</f>
        <v>1.3049571797951702</v>
      </c>
      <c r="L28" s="450">
        <f ca="1">SUMPRODUCT($D9:$D26,L9:L26)</f>
        <v>1.1075648660513679E-2</v>
      </c>
      <c r="M28" s="450">
        <f ca="1">SUMPRODUCT($C9:$C26,M9:M26)</f>
        <v>0.97965611091051863</v>
      </c>
      <c r="N28" s="450">
        <f ca="1">SUMPRODUCT($D9:$D26,N9:N26)</f>
        <v>1.4597391106801732E-2</v>
      </c>
      <c r="O28" s="450">
        <f ca="1">SUMPRODUCT($C9:$C26,O9:O26)</f>
        <v>7.2667845149605226E-2</v>
      </c>
      <c r="P28" s="450">
        <f ca="1">SUMPRODUCT($D9:$D26,P9:P26)</f>
        <v>6.852415713714248E-2</v>
      </c>
      <c r="Q28" s="450">
        <f ca="1">SUMPRODUCT($C9:$C26,Q9:Q26)</f>
        <v>0.65758487614187999</v>
      </c>
      <c r="R28" s="450">
        <f ca="1">SUMPRODUCT($D9:$D26,R9:R26)</f>
        <v>-3.7034560632208766E-2</v>
      </c>
      <c r="S28" s="450">
        <f ca="1">SUMPRODUCT($C9:$C26,S9:S26)</f>
        <v>5.8100468376613896E-4</v>
      </c>
      <c r="T28" s="450">
        <f ca="1">SUMPRODUCT($D9:$D26,T9:T26)</f>
        <v>0</v>
      </c>
      <c r="U28" s="786">
        <f ca="1">SUMPRODUCT($C9:$C26,U9:U26)</f>
        <v>0</v>
      </c>
      <c r="V28" s="786">
        <f ca="1">SUMPRODUCT($D9:$D26,V9:V26)</f>
        <v>0</v>
      </c>
      <c r="W28" s="450">
        <f ca="1">SUMPRODUCT($C9:$C26,W9:W26)</f>
        <v>0.2643141218857501</v>
      </c>
      <c r="X28" s="450">
        <f ca="1">SUMPRODUCT($D9:$D26,X9:X26)</f>
        <v>0.39283063409642544</v>
      </c>
      <c r="Y28" s="450">
        <f ca="1">SUMPRODUCT($C9:$C26,Y9:Y26)</f>
        <v>2.3229935266543693</v>
      </c>
      <c r="Z28" s="450">
        <f ca="1">SUMPRODUCT($D9:$D26,Z9:Z26)</f>
        <v>2.268002212136198</v>
      </c>
      <c r="AA28" s="450">
        <f ca="1">SUMPRODUCT($C9:$C26,AA9:AA26)</f>
        <v>0.74688092585681243</v>
      </c>
      <c r="AB28" s="450">
        <f ca="1">SUMPRODUCT($C9:$C26,AB9:AB26)</f>
        <v>1.292818408558992</v>
      </c>
      <c r="AC28" s="450">
        <f ca="1">SUMPRODUCT($D9:$D26,AC9:AC26)</f>
        <v>-0.14574452448929764</v>
      </c>
      <c r="AD28" s="450">
        <f ca="1">SUMPRODUCT($D9:$D26,AD9:AD26)</f>
        <v>-0.21282078229103124</v>
      </c>
      <c r="AE28" s="450">
        <f ca="1">SUMPRODUCT($C9:$C26,AE9:AE26)</f>
        <v>2.4497575299985148</v>
      </c>
      <c r="AF28" s="450">
        <f ca="1">SUMPRODUCT($C9:$C26,AF9:AF26)</f>
        <v>2.525623157692328</v>
      </c>
      <c r="AG28" s="450">
        <f ca="1">SUMPRODUCT($D9:$D26,AG9:AG26)</f>
        <v>2.1784150777704996</v>
      </c>
      <c r="AH28" s="450">
        <f ca="1">SUMPRODUCT($D9:$D26,AH9:AH26)</f>
        <v>2.1338762174481767</v>
      </c>
      <c r="AI28" s="450">
        <f ca="1">SUMPRODUCT($C9:$C26,AI9:AI26)</f>
        <v>2.4561776805239814</v>
      </c>
      <c r="AJ28" s="450">
        <f ca="1">SUMPRODUCT($D9:$D26,AJ9:AJ26)</f>
        <v>2.1785460698701988</v>
      </c>
    </row>
    <row r="29" spans="1:40" x14ac:dyDescent="0.25">
      <c r="E29" s="659">
        <f ca="1">E28/$C27</f>
        <v>0.35013449450910172</v>
      </c>
      <c r="F29" s="693">
        <f ca="1">F28/$D27</f>
        <v>1.5393014028051433E-3</v>
      </c>
      <c r="G29" s="659">
        <f ca="1">G28/$C27</f>
        <v>3.2802958795577165E-3</v>
      </c>
      <c r="H29" s="693">
        <f ca="1">H28/$D27</f>
        <v>0.46256408024343953</v>
      </c>
      <c r="I29" s="659">
        <f ca="1">I28/$C27</f>
        <v>4.9487293039383741E-2</v>
      </c>
      <c r="J29" s="693">
        <f ca="1">J28/$D27</f>
        <v>1.1385321395781386E-3</v>
      </c>
      <c r="K29" s="659">
        <f ca="1">K28/$C27</f>
        <v>0.46820423509548409</v>
      </c>
      <c r="L29" s="693">
        <f ca="1">L28/$D27</f>
        <v>2.5829596671102626E-3</v>
      </c>
      <c r="M29" s="659">
        <f ca="1">M28/$C27</f>
        <v>0.35148980147951803</v>
      </c>
      <c r="N29" s="693">
        <f ca="1">N28/$D27</f>
        <v>3.4042676532639493E-3</v>
      </c>
      <c r="O29" s="659">
        <f ca="1">O28/$C27</f>
        <v>2.6072420904759808E-2</v>
      </c>
      <c r="P29" s="693">
        <f ca="1">P28/$D27</f>
        <v>1.5980565972535641E-2</v>
      </c>
      <c r="Q29" s="659">
        <f ca="1">Q28/$C27</f>
        <v>0.23593419670114688</v>
      </c>
      <c r="R29" s="693">
        <f ca="1">R28/$D27</f>
        <v>-8.63685544154018E-3</v>
      </c>
      <c r="S29" s="659">
        <f ca="1">S28/$C27</f>
        <v>2.0845806878683724E-4</v>
      </c>
      <c r="T29" s="693">
        <f ca="1">T28/$D27</f>
        <v>0</v>
      </c>
      <c r="U29" s="700">
        <f ca="1">U28/$C27</f>
        <v>0</v>
      </c>
      <c r="V29" s="700">
        <f ca="1">V28/$D27</f>
        <v>0</v>
      </c>
      <c r="W29" s="659">
        <f ca="1">W28/$C27</f>
        <v>9.4832990061694433E-2</v>
      </c>
      <c r="X29" s="693">
        <f ca="1">X28/$D27</f>
        <v>9.1612303258936809E-2</v>
      </c>
      <c r="Y29" s="659">
        <f ca="1">Y28/$C27</f>
        <v>0.83346444168358713</v>
      </c>
      <c r="Z29" s="693">
        <f t="shared" ref="Z29" ca="1" si="9">Z28/$D27</f>
        <v>0.52892236097645917</v>
      </c>
      <c r="AA29" s="838">
        <f ca="1">(AA28*$AJ$4+AB28*$AJ$5)/SUM($AJ$4:$AJ$5)</f>
        <v>1.124837644650629</v>
      </c>
      <c r="AB29" s="838"/>
      <c r="AC29" s="838">
        <f ca="1">(AC28*$AJ$4+AD28*$AJ$5)/SUM($AJ$4:$AJ$5)</f>
        <v>-0.19218193373665168</v>
      </c>
      <c r="AD29" s="838"/>
      <c r="AE29" s="659">
        <f ca="1">AE28/$C27</f>
        <v>0.87894596716375883</v>
      </c>
      <c r="AF29" s="659">
        <f ca="1">AF28/$C27</f>
        <v>0.90616571715585903</v>
      </c>
      <c r="AG29" s="693">
        <f t="shared" ref="AG29:AH29" ca="1" si="10">AG28/$D27</f>
        <v>0.50802968354948719</v>
      </c>
      <c r="AH29" s="693">
        <f t="shared" ca="1" si="10"/>
        <v>0.49764274519871055</v>
      </c>
      <c r="AI29" s="659">
        <f ca="1">AI28/$C27</f>
        <v>0.88124944632193769</v>
      </c>
      <c r="AJ29" s="693">
        <f t="shared" ref="AJ29" ca="1" si="11">AJ28/$D27</f>
        <v>0.50806023230745201</v>
      </c>
      <c r="AK29" s="5"/>
      <c r="AL29" s="5"/>
      <c r="AN29" s="5"/>
    </row>
    <row r="30" spans="1:40" x14ac:dyDescent="0.25">
      <c r="B30" s="244" t="s">
        <v>157</v>
      </c>
      <c r="E30" s="450">
        <f ca="1">E28*($Y28/$Y30)</f>
        <v>0.51490086916143607</v>
      </c>
      <c r="F30" s="450">
        <f ca="1">F28*($Z28/$Z30)</f>
        <v>6.1228163461084836E-3</v>
      </c>
      <c r="G30" s="450">
        <f ca="1">G28*($Y28/$Y30)</f>
        <v>4.8239383036481698E-3</v>
      </c>
      <c r="H30" s="450">
        <f ca="1">H28*($Z28/$Z30)</f>
        <v>1.8399222572498941</v>
      </c>
      <c r="I30" s="450">
        <f ca="1">I28*($Y28/$Y30)</f>
        <v>7.2775035302221541E-2</v>
      </c>
      <c r="J30" s="450">
        <f ca="1">J28*($Z28/$Z30)</f>
        <v>4.5286928096571998E-3</v>
      </c>
      <c r="K30" s="450">
        <f ca="1">K28*($Y28/$Y30)</f>
        <v>0.68853189667510262</v>
      </c>
      <c r="L30" s="450">
        <f ca="1">L28*($Z28/$Z30)</f>
        <v>1.0274133215432161E-2</v>
      </c>
      <c r="M30" s="450">
        <f ca="1">M28*($Y28/$Y30)</f>
        <v>0.51689395681201533</v>
      </c>
      <c r="N30" s="450">
        <f ca="1">N28*($Z28/$Z30)</f>
        <v>1.3541016461070188E-2</v>
      </c>
      <c r="O30" s="450">
        <f ca="1">O28*($Y28/$Y30)</f>
        <v>3.8341587005945928E-2</v>
      </c>
      <c r="P30" s="450">
        <f ca="1">P28*($Z28/$Z30)</f>
        <v>6.3565244843145477E-2</v>
      </c>
      <c r="Q30" s="450">
        <f ca="1">Q28*($Y28/$Y30)</f>
        <v>0.3469601677396793</v>
      </c>
      <c r="R30" s="450">
        <f ca="1">R28*($Z28/$Z30)</f>
        <v>-3.4354467279812138E-2</v>
      </c>
      <c r="S30" s="450">
        <f ca="1">S28*($Y28/$Y30)</f>
        <v>3.0655431694196226E-4</v>
      </c>
      <c r="T30" s="450">
        <f ca="1">T28*($Z28/$Z30)</f>
        <v>0</v>
      </c>
      <c r="U30" s="786">
        <f ca="1">U28*($Y28/$Y30)</f>
        <v>0</v>
      </c>
      <c r="V30" s="786">
        <f ca="1">V28*($Z28/$Z30)</f>
        <v>0</v>
      </c>
      <c r="W30" s="450">
        <f ca="1">W28*($Y28/$Y30)</f>
        <v>0.13945952133737846</v>
      </c>
      <c r="X30" s="450">
        <f ca="1">X28*($Z28/$Z30)</f>
        <v>0.36440251849070265</v>
      </c>
      <c r="Y30" s="450">
        <f ca="1">SUM($E28,$G28,$I28,$K28,$M28,$O28,$Q28,$S28,$W28)</f>
        <v>4.4027111828281091</v>
      </c>
      <c r="Z30" s="450">
        <f ca="1">SUM($F28,$H28,$J28,$L28,$N28,$P28,$R28,$T28,$X28)</f>
        <v>2.4449357562502403</v>
      </c>
      <c r="AA30" s="450">
        <f ca="1">AE28-$Y28</f>
        <v>0.1267640033441455</v>
      </c>
      <c r="AB30" s="450">
        <f ca="1">AF28-$Y28</f>
        <v>0.20262963103795872</v>
      </c>
      <c r="AC30" s="450">
        <f ca="1">AG28-$Z28</f>
        <v>-8.9587134365698429E-2</v>
      </c>
      <c r="AD30" s="450">
        <f ca="1">AH28-$Z28</f>
        <v>-0.13412599468802133</v>
      </c>
      <c r="AE30" s="450">
        <f ca="1">SUM($E28,$G28,$I28,$K28,$M28,$O28,$Q28,$S28,$W28,AA28)</f>
        <v>5.1495921086849217</v>
      </c>
      <c r="AF30" s="450">
        <f ca="1">SUM($E28,$G28,$I28,$K28,$M28,$O28,$Q28,$S28,$W28,AB28)</f>
        <v>5.6955295913871016</v>
      </c>
      <c r="AG30" s="450">
        <f ca="1">SUM($F28,$H28,$J28,$L28,$N28,$P28,$R28,$T28,$X28,AC28)</f>
        <v>2.2991912317609424</v>
      </c>
      <c r="AH30" s="450">
        <f ca="1">SUM($F28,$H28,$J28,$L28,$N28,$P28,$R28,$T28,$X28,AD28)</f>
        <v>2.232114973959209</v>
      </c>
    </row>
    <row r="31" spans="1:40" x14ac:dyDescent="0.25">
      <c r="Y31" s="659">
        <f ca="1">Y30/$C27</f>
        <v>1.5796441857394332</v>
      </c>
      <c r="Z31" s="659">
        <f ca="1">Z30/$C27</f>
        <v>0.87721596795415357</v>
      </c>
      <c r="AA31" s="839" t="s">
        <v>158</v>
      </c>
      <c r="AB31" s="839"/>
      <c r="AC31" s="839"/>
      <c r="AD31" s="839"/>
      <c r="AE31" s="659">
        <f ca="1">AE30/$C27</f>
        <v>1.8476168196407883</v>
      </c>
      <c r="AF31" s="659">
        <f ca="1">AF30/$C27</f>
        <v>2.0434931636742757</v>
      </c>
      <c r="AG31" s="693">
        <f ca="1">AG30/$D27</f>
        <v>0.53619597376580608</v>
      </c>
      <c r="AH31" s="693">
        <f ca="1">AH30/$D27</f>
        <v>0.52055307339643553</v>
      </c>
    </row>
    <row r="32" spans="1:40" x14ac:dyDescent="0.25">
      <c r="Y32" s="698">
        <f ca="1">SUM($E30,$G30,$I30,$K30,$M30,$O30,$Q30,$S30,$W30)</f>
        <v>2.3229935266543693</v>
      </c>
      <c r="Z32" s="698">
        <f ca="1">SUM($F30,$H30,$J30,$L30,$N30,$P30,$R30,$T30,$X30)</f>
        <v>2.268002212136198</v>
      </c>
      <c r="AA32" s="838">
        <f ca="1">(AA30*$AJ$4+AB30*$AJ$5)/SUM($AJ$4:$AJ$5)</f>
        <v>0.1792863609783239</v>
      </c>
      <c r="AB32" s="838"/>
      <c r="AC32" s="838">
        <f ca="1">(AC30*$AJ$4+AD30*$AJ$5)/SUM($AJ$4:$AJ$5)</f>
        <v>-0.12042172997346044</v>
      </c>
      <c r="AD32" s="838"/>
    </row>
    <row r="33" spans="2:34" x14ac:dyDescent="0.25">
      <c r="C33" s="450">
        <f ca="1">SUM(C9:C18)</f>
        <v>2.602421700180451</v>
      </c>
      <c r="D33" s="450">
        <f ca="1">SUM(D9:D18)</f>
        <v>9.2112780166111269E-2</v>
      </c>
      <c r="Z33" s="616"/>
      <c r="AA33" s="616"/>
    </row>
    <row r="34" spans="2:34" x14ac:dyDescent="0.25">
      <c r="B34" s="244" t="s">
        <v>159</v>
      </c>
      <c r="E34" s="450">
        <f ca="1">SUMPRODUCT($C9:$C18,E9:E18)</f>
        <v>0.92160370823175786</v>
      </c>
      <c r="F34" s="450">
        <f ca="1">SUMPRODUCT($D9:$D18,F9:F18)</f>
        <v>1.6193954238185977E-4</v>
      </c>
      <c r="G34" s="450">
        <f ca="1">SUMPRODUCT($C9:$C18,G9:G18)</f>
        <v>-2.706068322218794E-2</v>
      </c>
      <c r="H34" s="450">
        <f ca="1">SUMPRODUCT($D9:$D18,H9:H18)</f>
        <v>-9.578135490559941E-4</v>
      </c>
      <c r="I34" s="450">
        <f ca="1">SUMPRODUCT($C9:$C18,I9:I18)</f>
        <v>0.13792869333444061</v>
      </c>
      <c r="J34" s="450">
        <f ca="1">SUMPRODUCT($D9:$D18,J9:J18)</f>
        <v>4.8819894972568631E-3</v>
      </c>
      <c r="K34" s="450">
        <f ca="1">SUMPRODUCT($C9:$C18,K9:K18)</f>
        <v>1.2192899252438114</v>
      </c>
      <c r="L34" s="450">
        <f ca="1">SUMPRODUCT($D9:$D18,L9:L18)</f>
        <v>2.6118815750873575E-2</v>
      </c>
      <c r="M34" s="450">
        <f ca="1">SUMPRODUCT($C9:$C18,M9:M18)</f>
        <v>0.97965611091051863</v>
      </c>
      <c r="N34" s="450">
        <f ca="1">SUMPRODUCT($D9:$D18,N9:N18)</f>
        <v>1.4597391106801732E-2</v>
      </c>
      <c r="O34" s="450">
        <f ca="1">SUMPRODUCT($C9:$C18,O9:O18)</f>
        <v>0</v>
      </c>
      <c r="P34" s="450">
        <f ca="1">SUMPRODUCT($D9:$D18,P9:P18)</f>
        <v>0</v>
      </c>
      <c r="Q34" s="450">
        <f ca="1">SUMPRODUCT($C9:$C18,Q9:Q18)</f>
        <v>0.65854236992033288</v>
      </c>
      <c r="R34" s="450">
        <f ca="1">SUMPRODUCT($D9:$D18,R9:R18)</f>
        <v>2.3674561252038321E-2</v>
      </c>
      <c r="S34" s="450"/>
      <c r="T34" s="450"/>
      <c r="U34" s="450">
        <f ca="1">SUMPRODUCT($C9:$C18,U9:U18)</f>
        <v>0</v>
      </c>
      <c r="V34" s="450">
        <f ca="1">SUMPRODUCT($D9:$D18,V9:V18)</f>
        <v>0</v>
      </c>
      <c r="W34" s="450">
        <f ca="1">SUMPRODUCT($C9:$C18,W9:W18)</f>
        <v>0.25701926205462133</v>
      </c>
      <c r="X34" s="450">
        <f ca="1">SUMPRODUCT($D9:$D18,X9:X18)</f>
        <v>8.722494087378194E-3</v>
      </c>
      <c r="Y34" s="450">
        <f ca="1">SUMPRODUCT($C9:$C18,Y9:Y18)</f>
        <v>2.179183228991822</v>
      </c>
      <c r="Z34" s="450">
        <f ca="1">SUMPRODUCT($D9:$D18,Z9:Z18)</f>
        <v>5.2298579523501115E-2</v>
      </c>
      <c r="AE34" s="450">
        <f ca="1">SUMPRODUCT($C9:$C18,AE9:AE18)</f>
        <v>2.3051649229873283</v>
      </c>
      <c r="AF34" s="450">
        <f ca="1">SUMPRODUCT($C9:$C18,AF9:AF18)</f>
        <v>2.3810305506811416</v>
      </c>
      <c r="AG34" s="450">
        <f ca="1">SUMPRODUCT($D9:$D18,AG9:AG18)</f>
        <v>-3.844745572217842E-2</v>
      </c>
      <c r="AH34" s="450">
        <f ca="1">SUMPRODUCT($D9:$D18,AH9:AH18)</f>
        <v>-8.2986316044501324E-2</v>
      </c>
    </row>
    <row r="35" spans="2:34" x14ac:dyDescent="0.25">
      <c r="C35" s="450">
        <f ca="1">SUM(C19:C20)</f>
        <v>7.452596871177028E-2</v>
      </c>
      <c r="D35" s="450">
        <f ca="1">SUM(D19:D20)</f>
        <v>4.0646962240614632</v>
      </c>
      <c r="AD35" s="244" t="s">
        <v>160</v>
      </c>
      <c r="AE35" s="604">
        <f ca="1">AE34/$C33</f>
        <v>0.88577686038641967</v>
      </c>
      <c r="AF35" s="604">
        <f ca="1">AF34/$C33</f>
        <v>0.91492879517414172</v>
      </c>
      <c r="AG35" s="604">
        <f t="shared" ref="AG35:AH37" ca="1" si="12">AG34/$D33</f>
        <v>-0.4173954542772928</v>
      </c>
      <c r="AH35" s="604">
        <f t="shared" ca="1" si="12"/>
        <v>-0.9009207614279825</v>
      </c>
    </row>
    <row r="36" spans="2:34" x14ac:dyDescent="0.25">
      <c r="B36" s="244" t="s">
        <v>161</v>
      </c>
      <c r="E36" s="450">
        <f ca="1">SUMPRODUCT($C19:$C20,E19:E20)</f>
        <v>1.9838938936586156E-2</v>
      </c>
      <c r="F36" s="450">
        <f ca="1">SUMPRODUCT($D19:$D20,F19:F20)</f>
        <v>6.2394403074764772E-3</v>
      </c>
      <c r="G36" s="450">
        <f ca="1">SUMPRODUCT($C19:$C20,G19:G20)</f>
        <v>3.6206051405103676E-2</v>
      </c>
      <c r="H36" s="450">
        <f ca="1">SUMPRODUCT($D19:$D20,H19:H20)</f>
        <v>1.9844179129907065</v>
      </c>
      <c r="I36" s="450">
        <f ca="1">SUMPRODUCT($C19:$C20,I19:I20)</f>
        <v>0</v>
      </c>
      <c r="J36" s="450">
        <f ca="1">SUMPRODUCT($D19:$D20,J19:J20)</f>
        <v>0</v>
      </c>
      <c r="K36" s="450">
        <f ca="1">SUMPRODUCT($C19:$C20,K19:K20)</f>
        <v>-1.8437588306003184E-3</v>
      </c>
      <c r="L36" s="450">
        <f ca="1">SUMPRODUCT($D19:$D20,L19:L20)</f>
        <v>-0.11690204374270291</v>
      </c>
      <c r="M36" s="450">
        <f ca="1">SUMPRODUCT($C19:$C20,M19:M20)</f>
        <v>0</v>
      </c>
      <c r="N36" s="450">
        <f ca="1">SUMPRODUCT($D19:$D20,N19:N20)</f>
        <v>0</v>
      </c>
      <c r="O36" s="450">
        <f ca="1">SUMPRODUCT($C19:$C20,O19:O20)</f>
        <v>-2.5799933536081108E-4</v>
      </c>
      <c r="P36" s="450">
        <f ca="1">SUMPRODUCT($D19:$D20,P19:P20)</f>
        <v>-1.6358240073143376E-2</v>
      </c>
      <c r="Q36" s="450">
        <f ca="1">SUMPRODUCT($C19:$C20,Q19:Q20)</f>
        <v>-9.5749377845293798E-4</v>
      </c>
      <c r="R36" s="450">
        <f ca="1">SUMPRODUCT($D19:$D20,R19:R20)</f>
        <v>-6.070912188424709E-2</v>
      </c>
      <c r="S36" s="450"/>
      <c r="T36" s="450"/>
      <c r="U36" s="450">
        <f ca="1">SUMPRODUCT($C19:$C20,U19:U20)</f>
        <v>0</v>
      </c>
      <c r="V36" s="450">
        <f ca="1">SUMPRODUCT($D19:$D20,V19:V20)</f>
        <v>0</v>
      </c>
      <c r="W36" s="450">
        <f ca="1">SUMPRODUCT($C19:$C20,W19:W20)</f>
        <v>7.3603019375671581E-3</v>
      </c>
      <c r="X36" s="450">
        <f ca="1">SUMPRODUCT($D19:$D20,X19:X20)</f>
        <v>0.38490086519403938</v>
      </c>
      <c r="Y36" s="450">
        <f ca="1">SUMPRODUCT($C19:$C20,Y19:Y20)</f>
        <v>4.8188724740850931E-2</v>
      </c>
      <c r="Z36" s="450">
        <f ca="1">SUMPRODUCT($D19:$D20,Z19:Z20)</f>
        <v>2.1061428272248723</v>
      </c>
      <c r="AE36" s="450">
        <f ca="1">SUMPRODUCT($C19:$C20,AE19:AE20)</f>
        <v>4.8188724740850931E-2</v>
      </c>
      <c r="AF36" s="450">
        <f ca="1">SUMPRODUCT($C19:$C20,AF19:AF20)</f>
        <v>4.8188724740850931E-2</v>
      </c>
      <c r="AG36" s="450">
        <f ca="1">SUMPRODUCT($D19:$D20,AG19:AG20)</f>
        <v>2.1061428272248723</v>
      </c>
      <c r="AH36" s="450">
        <f ca="1">SUMPRODUCT($D19:$D20,AH19:AH20)</f>
        <v>2.1061428272248723</v>
      </c>
    </row>
    <row r="37" spans="2:34" x14ac:dyDescent="0.25">
      <c r="AD37" s="244" t="s">
        <v>162</v>
      </c>
      <c r="AE37" s="694">
        <f ca="1">AE36/$C35</f>
        <v>0.64660313141612658</v>
      </c>
      <c r="AF37" s="694">
        <f ca="1">AF36/$C35</f>
        <v>0.64660313141612658</v>
      </c>
      <c r="AG37" s="694">
        <f t="shared" ca="1" si="12"/>
        <v>0.51815503819382713</v>
      </c>
      <c r="AH37" s="694">
        <f t="shared" ca="1" si="12"/>
        <v>0.51815503819382713</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2029</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1</v>
      </c>
      <c r="J4" s="834"/>
      <c r="K4" s="836">
        <f ca="1">IF(OFFSET(Summary!$D$5,MATCH(K6,Summary!$A$6:$A$18,0),MATCH($B$2,Summary!$E$5:$O$5,0))="n/a",0,OFFSET(Summary!$D$5,MATCH(K6,Summary!$A$6:$A$18,0),MATCH($B$2,Summary!$E$5:$O$5,0)))</f>
        <v>1</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0.8</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1</v>
      </c>
      <c r="X4" s="834"/>
      <c r="AA4" s="833">
        <f ca="1">OFFSET(Summary!$D$5,MATCH("CURT",Summary!$A$6:$A$18,0),MATCH($B$2,Summary!$E$5:$O$5,0))</f>
        <v>0.5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0.70760873023590076</v>
      </c>
      <c r="D9" s="5">
        <f ca="1">INDIRECT("'DevSumOut-"&amp;$B$2&amp;"BSR'!P50")</f>
        <v>8.1804477483919183E-3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7.0666842515634043E-2</v>
      </c>
      <c r="J9" s="5">
        <f ca="1">SCCRedFacsFull!J9*I$4/SCCRedFacsFull!I$4</f>
        <v>7.0666842515634251E-2</v>
      </c>
      <c r="K9" s="5">
        <f ca="1">SCCRedFacsFull!K9*K$4/SCCRedFacsFull!K$4</f>
        <v>1</v>
      </c>
      <c r="L9" s="5">
        <f ca="1">SCCRedFacsFull!L9*K$4/SCCRedFacsFull!K$4</f>
        <v>1</v>
      </c>
      <c r="M9" s="5">
        <f ca="1">'BACM-R8'!P153*($B$2-$M$3+1)*$M$4/SCCRedFacsFull!$M$4</f>
        <v>0.47937569676700109</v>
      </c>
      <c r="N9" s="5">
        <f ca="1">'BACM-R8'!O153*($B$2-$M$3+1)*$M$4/SCCRedFacsFull!$M$4</f>
        <v>0.4793756967670012</v>
      </c>
      <c r="O9" s="5">
        <f ca="1">SCCRedFacsFull!O9*O$4/SCCRedFacsFull!O$4</f>
        <v>0</v>
      </c>
      <c r="P9" s="5">
        <f ca="1">SCCRedFacsFull!P9*O$4/SCCRedFacsFull!O$4</f>
        <v>0</v>
      </c>
      <c r="Q9" s="5">
        <f ca="1">IFERROR(OFFSET('STF-22'!$E$173,MATCH($B9,'STF-22'!$A$174:$A$191,0),MATCH($B$2,'STF-22'!$F$172:$AD$172,0))*Q$4/SCCRedFacsFull!Q$4,0)</f>
        <v>0.29036880685728772</v>
      </c>
      <c r="R9" s="5">
        <f ca="1">IFERROR(OFFSET('STF-22'!$E$173,MATCH($B9,'STF-22'!$A$174:$A$191,0),MATCH($B$2,'STF-22'!$F$172:$AD$172,0)-1)*R$4/SCCRedFacsFull!R$4,0)</f>
        <v>0.29036880685728778</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0.16460262252193775</v>
      </c>
      <c r="X9" s="5">
        <f ca="1">SCCRedFacsFull!X9*W$4/SCCRedFacsFull!W$4</f>
        <v>0.1578227268725815</v>
      </c>
      <c r="Y9" s="510">
        <f ca="1">1-(1-E9)*(1-G9)*(1-I9)*(1-K9)*(1-M9)*(1-O9)*(1-Q9)*(1-S9)*(1-W9)</f>
        <v>1</v>
      </c>
      <c r="Z9" s="510">
        <f ca="1">1-(1-F9)*(1-H9)*(1-J9)*(1-L9)*(1-N9)*(1-P9)*(1-R9)*(1-T9)*(1-X9)</f>
        <v>1</v>
      </c>
      <c r="AA9" s="617">
        <f ca="1">VLOOKUP($B9,INDIRECT("'CurtailCalcs"&amp;$B$2&amp;"-2Stage'!$AS$91:$BE$109"),10,FALSE)</f>
        <v>0</v>
      </c>
      <c r="AB9" s="617">
        <f ca="1">VLOOKUP($B9,INDIRECT("'CurtailCalcs"&amp;$B$2&amp;"-2Stage'!$AS$91:$BE$109"),11,FALSE)</f>
        <v>0.47992943807892907</v>
      </c>
      <c r="AC9" s="617">
        <f ca="1">VLOOKUP($B9,INDIRECT("'CurtailCalcs"&amp;$B$2&amp;"-2Stage'!$AS$91:$BE$109"),12,FALSE)</f>
        <v>0</v>
      </c>
      <c r="AD9" s="617">
        <f ca="1">VLOOKUP($B9,INDIRECT("'CurtailCalcs"&amp;$B$2&amp;"-2Stage'!$AS$91:$BE$109"),13,FALSE)</f>
        <v>9.3641964199060457E-2</v>
      </c>
      <c r="AE9" s="510">
        <f ca="1">1-(1-$Y9)*(1-AA9)</f>
        <v>1</v>
      </c>
      <c r="AF9" s="510">
        <f ca="1">1-(1-$Y9)*(1-AB9)</f>
        <v>1</v>
      </c>
      <c r="AG9" s="510">
        <f ca="1">1-(1-$Z9)*(1-AC9)</f>
        <v>1</v>
      </c>
      <c r="AH9" s="510">
        <f ca="1">1-(1-$Z9)*(1-AD9)</f>
        <v>1</v>
      </c>
      <c r="AI9" s="530">
        <f ca="1">(Y9*$AJ$3+AE9*$AJ$4+AF9*$AJ$5)/35</f>
        <v>1</v>
      </c>
      <c r="AJ9" s="530">
        <f ca="1">(Z9*$AJ$3+AG9*$AJ$4+AH9*$AJ$5)/35</f>
        <v>1</v>
      </c>
    </row>
    <row r="10" spans="1:36" x14ac:dyDescent="0.25">
      <c r="A10" s="812" t="s">
        <v>138</v>
      </c>
      <c r="B10" s="812">
        <v>2104008210</v>
      </c>
      <c r="C10" s="5">
        <f ca="1">INDIRECT("'DevSumOut-"&amp;$B$2&amp;"BSR'!R51")</f>
        <v>5.5224662623176032E-2</v>
      </c>
      <c r="D10" s="5">
        <f ca="1">INDIRECT("'DevSumOut-"&amp;$B$2&amp;"BSR'!P51")</f>
        <v>7.2189101468203944E-4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7.0666842515634209E-2</v>
      </c>
      <c r="J10" s="5">
        <f ca="1">SCCRedFacsFull!J10*I$4/SCCRedFacsFull!I$4</f>
        <v>7.0666842515634209E-2</v>
      </c>
      <c r="K10" s="5">
        <f ca="1">SCCRedFacsFull!K10*K$4/SCCRedFacsFull!K$4</f>
        <v>1</v>
      </c>
      <c r="L10" s="5">
        <f ca="1">SCCRedFacsFull!L10*K$4/SCCRedFacsFull!K$4</f>
        <v>1</v>
      </c>
      <c r="M10" s="5">
        <f ca="1">'BACM-R8'!P154*($B$2-$M$3+1)*$M$4/SCCRedFacsFull!$M$4</f>
        <v>0.81081081081081086</v>
      </c>
      <c r="N10" s="5">
        <f ca="1">'BACM-R8'!O154*($B$2-$M$3+1)*$M$4/SCCRedFacsFull!$M$4</f>
        <v>0.81081081081081086</v>
      </c>
      <c r="O10" s="5">
        <f ca="1">SCCRedFacsFull!O10*O$4/SCCRedFacsFull!O$4</f>
        <v>0</v>
      </c>
      <c r="P10" s="5">
        <f ca="1">SCCRedFacsFull!P10*O$4/SCCRedFacsFull!O$4</f>
        <v>0</v>
      </c>
      <c r="Q10" s="5">
        <f ca="1">IFERROR(OFFSET('STF-22'!$E$173,MATCH($B10,'STF-22'!$A$174:$A$191,0),MATCH($B$2,'STF-22'!$F$172:$AD$172,0))*Q$4/SCCRedFacsFull!Q$4,0)</f>
        <v>0.28242495635497405</v>
      </c>
      <c r="R10" s="5">
        <f ca="1">IFERROR(OFFSET('STF-22'!$E$173,MATCH($B10,'STF-22'!$A$174:$A$191,0),MATCH($B$2,'STF-22'!$F$172:$AD$172,0)-1)*R$4/SCCRedFacsFull!R$4,0)</f>
        <v>0.28242495635497411</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0.16460262252193775</v>
      </c>
      <c r="X10" s="5">
        <f ca="1">SCCRedFacsFull!X10*W$4/SCCRedFacsFull!W$4</f>
        <v>0.15782272687258148</v>
      </c>
      <c r="Y10" s="510">
        <f t="shared" ref="Y10:Z26" ca="1" si="0">1-(1-E10)*(1-G10)*(1-I10)*(1-K10)*(1-M10)*(1-O10)*(1-Q10)*(1-S10)*(1-W10)</f>
        <v>1</v>
      </c>
      <c r="Z10" s="510">
        <f t="shared" ca="1" si="0"/>
        <v>1</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1</v>
      </c>
      <c r="AF10" s="510">
        <f t="shared" ca="1" si="1"/>
        <v>1</v>
      </c>
      <c r="AG10" s="510">
        <f t="shared" ref="AG10:AH26" ca="1" si="2">1-(1-$Z10)*(1-AC10)</f>
        <v>1</v>
      </c>
      <c r="AH10" s="510">
        <f t="shared" ca="1" si="2"/>
        <v>1</v>
      </c>
      <c r="AI10" s="530">
        <f t="shared" ref="AI10:AI26" ca="1" si="3">(Y10*$AJ$3+AE10*$AJ$4+AF10*$AJ$5)/35</f>
        <v>1</v>
      </c>
      <c r="AJ10" s="530">
        <f t="shared" ref="AJ10:AJ26" ca="1" si="4">(Z10*$AJ$3+AG10*$AJ$4+AH10*$AJ$5)/35</f>
        <v>1</v>
      </c>
    </row>
    <row r="11" spans="1:36" x14ac:dyDescent="0.25">
      <c r="A11" s="812" t="s">
        <v>139</v>
      </c>
      <c r="B11" s="812">
        <v>2104008220</v>
      </c>
      <c r="C11" s="5">
        <f ca="1">INDIRECT("'DevSumOut-"&amp;$B$2&amp;"BSR'!R52")</f>
        <v>4.5596433431037281E-2</v>
      </c>
      <c r="D11" s="5">
        <f ca="1">INDIRECT("'DevSumOut-"&amp;$B$2&amp;"BSR'!P52")</f>
        <v>1.5198811143679099E-3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7.0666842515634251E-2</v>
      </c>
      <c r="J11" s="5">
        <f ca="1">SCCRedFacsFull!J11*I$4/SCCRedFacsFull!I$4</f>
        <v>7.0666842515634182E-2</v>
      </c>
      <c r="K11" s="5">
        <f ca="1">SCCRedFacsFull!K11*K$4/SCCRedFacsFull!K$4</f>
        <v>-6.7764400399931451E-2</v>
      </c>
      <c r="L11" s="5">
        <f ca="1">SCCRedFacsFull!L11*K$4/SCCRedFacsFull!K$4</f>
        <v>-6.5706639279792256E-2</v>
      </c>
      <c r="M11" s="5">
        <f ca="1">'BACM-R8'!P155*($B$2-$M$3+1)*$M$4/SCCRedFacsFull!$M$4</f>
        <v>0.3344616103004534</v>
      </c>
      <c r="N11" s="5">
        <f ca="1">'BACM-R8'!O155*($B$2-$M$3+1)*$M$4/SCCRedFacsFull!$M$4</f>
        <v>0.11095539879353944</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0.16460262252193772</v>
      </c>
      <c r="X11" s="5">
        <f ca="1">SCCRedFacsFull!X11*W$4/SCCRedFacsFull!W$4</f>
        <v>0.15782272687258148</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-1.9463411308010556</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2.9740090689211549E-2</v>
      </c>
      <c r="D12" s="5">
        <f ca="1">INDIRECT("'DevSumOut-"&amp;$B$2&amp;"BSR'!P53")</f>
        <v>9.1507971351420146E-4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7.0666842515634237E-2</v>
      </c>
      <c r="J12" s="5">
        <f ca="1">SCCRedFacsFull!J12*I$4/SCCRedFacsFull!I$4</f>
        <v>7.0666842515634209E-2</v>
      </c>
      <c r="K12" s="5">
        <f ca="1">SCCRedFacsFull!K12*K$4/SCCRedFacsFull!K$4</f>
        <v>-6.7764400399931465E-2</v>
      </c>
      <c r="L12" s="5">
        <f ca="1">SCCRedFacsFull!L12*K$4/SCCRedFacsFull!K$4</f>
        <v>-7.1182192553108287E-2</v>
      </c>
      <c r="M12" s="5">
        <f ca="1">'BACM-R8'!P156*($B$2-$M$3+1)*$M$4/SCCRedFacsFull!$M$4</f>
        <v>0.33446161030045357</v>
      </c>
      <c r="N12" s="5">
        <f ca="1">'BACM-R8'!O156*($B$2-$M$3+1)*$M$4/SCCRedFacsFull!$M$4</f>
        <v>0.12020168202633447</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0.16460262252193772</v>
      </c>
      <c r="X12" s="5">
        <f ca="1">SCCRedFacsFull!X12*W$4/SCCRedFacsFull!W$4</f>
        <v>0.1578227268725815</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0.44470836940199449</v>
      </c>
      <c r="D13" s="5">
        <f ca="1">INDIRECT("'DevSumOut-"&amp;$B$2&amp;"BSR'!P54")</f>
        <v>1.465021555417146E-2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7.0666842515634182E-2</v>
      </c>
      <c r="J13" s="5">
        <f ca="1">SCCRedFacsFull!J13*I$4/SCCRedFacsFull!I$4</f>
        <v>7.0666842515634154E-2</v>
      </c>
      <c r="K13" s="5">
        <f ca="1">SCCRedFacsFull!K13*K$4/SCCRedFacsFull!K$4</f>
        <v>1</v>
      </c>
      <c r="L13" s="5">
        <f ca="1">SCCRedFacsFull!L13*K$4/SCCRedFacsFull!K$4</f>
        <v>1</v>
      </c>
      <c r="M13" s="5">
        <f ca="1">'BACM-R8'!P157*($B$2-$M$3+1)*$M$4/SCCRedFacsFull!$M$4</f>
        <v>0.77253218884120167</v>
      </c>
      <c r="N13" s="5">
        <f ca="1">'BACM-R8'!O157*($B$2-$M$3+1)*$M$4/SCCRedFacsFull!$M$4</f>
        <v>0.77253218884120167</v>
      </c>
      <c r="O13" s="5">
        <f ca="1">SCCRedFacsFull!O13*O$4/SCCRedFacsFull!O$4</f>
        <v>0</v>
      </c>
      <c r="P13" s="5">
        <f ca="1">SCCRedFacsFull!P13*O$4/SCCRedFacsFull!O$4</f>
        <v>0</v>
      </c>
      <c r="Q13" s="5">
        <f ca="1">IFERROR(OFFSET('STF-22'!$E$173,MATCH($B13,'STF-22'!$A$174:$A$191,0),MATCH($B$2,'STF-22'!$F$172:$AD$172,0))*Q$4/SCCRedFacsFull!Q$4,0)</f>
        <v>4.7701398622622092E-2</v>
      </c>
      <c r="R13" s="5">
        <f ca="1">IFERROR(OFFSET('STF-22'!$E$173,MATCH($B13,'STF-22'!$A$174:$A$191,0),MATCH($B$2,'STF-22'!$F$172:$AD$172,0)-1)*R$4/SCCRedFacsFull!R$4,0)</f>
        <v>4.6800317702848392E-2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0.16460262252193775</v>
      </c>
      <c r="X13" s="5">
        <f ca="1">SCCRedFacsFull!X13*W$4/SCCRedFacsFull!W$4</f>
        <v>0.1578227268725815</v>
      </c>
      <c r="Y13" s="510">
        <f t="shared" ca="1" si="0"/>
        <v>1</v>
      </c>
      <c r="Z13" s="510">
        <f t="shared" ca="1" si="0"/>
        <v>1</v>
      </c>
      <c r="AA13" s="617">
        <f t="shared" ca="1" si="5"/>
        <v>0.47844886022233368</v>
      </c>
      <c r="AB13" s="617">
        <f t="shared" ca="1" si="6"/>
        <v>0.47844886022233368</v>
      </c>
      <c r="AC13" s="617">
        <f t="shared" ca="1" si="7"/>
        <v>-2.5004762761786767</v>
      </c>
      <c r="AD13" s="617">
        <f t="shared" ca="1" si="8"/>
        <v>-2.5004762761786767</v>
      </c>
      <c r="AE13" s="510">
        <f t="shared" ca="1" si="1"/>
        <v>1</v>
      </c>
      <c r="AF13" s="510">
        <f t="shared" ca="1" si="1"/>
        <v>1</v>
      </c>
      <c r="AG13" s="510">
        <f t="shared" ca="1" si="2"/>
        <v>1</v>
      </c>
      <c r="AH13" s="510">
        <f t="shared" ca="1" si="2"/>
        <v>1</v>
      </c>
      <c r="AI13" s="530">
        <f t="shared" ca="1" si="3"/>
        <v>1</v>
      </c>
      <c r="AJ13" s="530">
        <f t="shared" ca="1" si="4"/>
        <v>1</v>
      </c>
    </row>
    <row r="14" spans="1:36" x14ac:dyDescent="0.25">
      <c r="A14" s="812" t="s">
        <v>142</v>
      </c>
      <c r="B14" s="812">
        <v>2104008320</v>
      </c>
      <c r="C14" s="5">
        <f ca="1">INDIRECT("'DevSumOut-"&amp;$B$2&amp;"BSR'!R55")</f>
        <v>0.61112231325346655</v>
      </c>
      <c r="D14" s="5">
        <f ca="1">INDIRECT("'DevSumOut-"&amp;$B$2&amp;"BSR'!P55")</f>
        <v>3.0844802732461808E-2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7.0666842515634209E-2</v>
      </c>
      <c r="J14" s="5">
        <f ca="1">SCCRedFacsFull!J14*I$4/SCCRedFacsFull!I$4</f>
        <v>7.0666842515634168E-2</v>
      </c>
      <c r="K14" s="5">
        <f ca="1">SCCRedFacsFull!K14*K$4/SCCRedFacsFull!K$4</f>
        <v>-8.8940775524910032E-2</v>
      </c>
      <c r="L14" s="5">
        <f ca="1">SCCRedFacsFull!L14*K$4/SCCRedFacsFull!K$4</f>
        <v>-8.5422682796050392E-2</v>
      </c>
      <c r="M14" s="5">
        <f ca="1">'BACM-R8'!P158*($B$2-$M$3+1)*$M$4/SCCRedFacsFull!$M$4</f>
        <v>0.17270455321147779</v>
      </c>
      <c r="N14" s="5">
        <f ca="1">'BACM-R8'!O158*($B$2-$M$3+1)*$M$4/SCCRedFacsFull!$M$4</f>
        <v>-4.8441973897249427E-2</v>
      </c>
      <c r="O14" s="5">
        <f ca="1">SCCRedFacsFull!O14*O$4/SCCRedFacsFull!O$4</f>
        <v>0</v>
      </c>
      <c r="P14" s="5">
        <f ca="1">SCCRedFacsFull!P14*O$4/SCCRedFacsFull!O$4</f>
        <v>0</v>
      </c>
      <c r="Q14" s="5">
        <f ca="1">IFERROR(OFFSET('STF-22'!$E$173,MATCH($B14,'STF-22'!$A$174:$A$191,0),MATCH($B$2,'STF-22'!$F$172:$AD$172,0))*Q$4/SCCRedFacsFull!Q$4,0)</f>
        <v>0.30027108935838803</v>
      </c>
      <c r="R14" s="5">
        <f ca="1">IFERROR(OFFSET('STF-22'!$E$173,MATCH($B14,'STF-22'!$A$174:$A$191,0),MATCH($B$2,'STF-22'!$F$172:$AD$172,0)-1)*R$4/SCCRedFacsFull!R$4,0)</f>
        <v>0.288393730183994</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0.16460262252193775</v>
      </c>
      <c r="X14" s="5">
        <f ca="1">SCCRedFacsFull!X14*W$4/SCCRedFacsFull!W$4</f>
        <v>0.15782272687258153</v>
      </c>
      <c r="Y14" s="510">
        <f t="shared" ca="1" si="0"/>
        <v>0.68062945235006289</v>
      </c>
      <c r="Z14" s="510">
        <f t="shared" ca="1" si="0"/>
        <v>0.36072692115321059</v>
      </c>
      <c r="AA14" s="617">
        <f t="shared" ca="1" si="5"/>
        <v>0.2935430045257772</v>
      </c>
      <c r="AB14" s="617">
        <f t="shared" ca="1" si="6"/>
        <v>0.477007382354388</v>
      </c>
      <c r="AC14" s="617">
        <f t="shared" ca="1" si="7"/>
        <v>-2.0142722140188036</v>
      </c>
      <c r="AD14" s="617">
        <f t="shared" ca="1" si="8"/>
        <v>-3.2731923477805553</v>
      </c>
      <c r="AE14" s="510">
        <f t="shared" ca="1" si="1"/>
        <v>0.77437844246426835</v>
      </c>
      <c r="AF14" s="510">
        <f t="shared" ca="1" si="1"/>
        <v>0.83297156128564676</v>
      </c>
      <c r="AG14" s="510">
        <f t="shared" ca="1" si="2"/>
        <v>-0.9269430787381292</v>
      </c>
      <c r="AH14" s="510">
        <f t="shared" ca="1" si="2"/>
        <v>-1.7317368286702162</v>
      </c>
      <c r="AI14" s="530">
        <f t="shared" ca="1" si="3"/>
        <v>0.78040516325732445</v>
      </c>
      <c r="AJ14" s="530">
        <f t="shared" ca="1" si="4"/>
        <v>-1.0097218644454293</v>
      </c>
    </row>
    <row r="15" spans="1:36" x14ac:dyDescent="0.25">
      <c r="A15" s="812" t="s">
        <v>143</v>
      </c>
      <c r="B15" s="812">
        <v>2104008330</v>
      </c>
      <c r="C15" s="5">
        <f ca="1">INDIRECT("'DevSumOut-"&amp;$B$2&amp;"BSR'!R56")</f>
        <v>0.4082626109123853</v>
      </c>
      <c r="D15" s="5">
        <f ca="1">INDIRECT("'DevSumOut-"&amp;$B$2&amp;"BSR'!P56")</f>
        <v>1.8570829639896966E-2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7.0666842515634182E-2</v>
      </c>
      <c r="J15" s="5">
        <f ca="1">SCCRedFacsFull!J15*I$4/SCCRedFacsFull!I$4</f>
        <v>7.0666842515634223E-2</v>
      </c>
      <c r="K15" s="5">
        <f ca="1">SCCRedFacsFull!K15*K$4/SCCRedFacsFull!K$4</f>
        <v>-8.8940775524910101E-2</v>
      </c>
      <c r="L15" s="5">
        <f ca="1">SCCRedFacsFull!L15*K$4/SCCRedFacsFull!K$4</f>
        <v>-9.4784072691508056E-2</v>
      </c>
      <c r="M15" s="5">
        <f ca="1">'BACM-R8'!P159*($B$2-$M$3+1)*$M$4/SCCRedFacsFull!$M$4</f>
        <v>0.17270455321147771</v>
      </c>
      <c r="N15" s="5">
        <f ca="1">'BACM-R8'!O159*($B$2-$M$3+1)*$M$4/SCCRedFacsFull!$M$4</f>
        <v>-5.3750683365441157E-2</v>
      </c>
      <c r="O15" s="5">
        <f ca="1">SCCRedFacsFull!O15*O$4/SCCRedFacsFull!O$4</f>
        <v>0</v>
      </c>
      <c r="P15" s="5">
        <f ca="1">SCCRedFacsFull!P15*O$4/SCCRedFacsFull!O$4</f>
        <v>0</v>
      </c>
      <c r="Q15" s="5">
        <f ca="1">IFERROR(OFFSET('STF-22'!$E$173,MATCH($B15,'STF-22'!$A$174:$A$191,0),MATCH($B$2,'STF-22'!$F$172:$AD$172,0))*Q$4/SCCRedFacsFull!Q$4,0)</f>
        <v>0.30027108935838798</v>
      </c>
      <c r="R15" s="5">
        <f ca="1">IFERROR(OFFSET('STF-22'!$E$173,MATCH($B15,'STF-22'!$A$174:$A$191,0),MATCH($B$2,'STF-22'!$F$172:$AD$172,0)-1)*R$4/SCCRedFacsFull!R$4,0)</f>
        <v>0.31999852253292499</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0.16460262252193775</v>
      </c>
      <c r="X15" s="5">
        <f ca="1">SCCRedFacsFull!X15*W$4/SCCRedFacsFull!W$4</f>
        <v>0.1578227268725815</v>
      </c>
      <c r="Y15" s="510">
        <f t="shared" ca="1" si="0"/>
        <v>0.68062945235006289</v>
      </c>
      <c r="Z15" s="510">
        <f t="shared" ca="1" si="0"/>
        <v>0.38073069589246233</v>
      </c>
      <c r="AA15" s="617">
        <f t="shared" ca="1" si="5"/>
        <v>0.29362726123173721</v>
      </c>
      <c r="AB15" s="617">
        <f t="shared" ca="1" si="6"/>
        <v>0.47714429950157289</v>
      </c>
      <c r="AC15" s="617">
        <f t="shared" ca="1" si="7"/>
        <v>-2.1501343804542987</v>
      </c>
      <c r="AD15" s="617">
        <f t="shared" ca="1" si="8"/>
        <v>-3.4939683682382343</v>
      </c>
      <c r="AE15" s="510">
        <f t="shared" ca="1" si="1"/>
        <v>0.77440535157459389</v>
      </c>
      <c r="AF15" s="510">
        <f t="shared" ca="1" si="1"/>
        <v>0.8330152885899258</v>
      </c>
      <c r="AG15" s="510">
        <f t="shared" ca="1" si="2"/>
        <v>-0.95078152562916296</v>
      </c>
      <c r="AH15" s="510">
        <f t="shared" ca="1" si="2"/>
        <v>-1.7829766640801781</v>
      </c>
      <c r="AI15" s="530">
        <f t="shared" ca="1" si="3"/>
        <v>0.78043380223902814</v>
      </c>
      <c r="AJ15" s="530">
        <f t="shared" ca="1" si="4"/>
        <v>-1.0363787398698383</v>
      </c>
    </row>
    <row r="16" spans="1:36" x14ac:dyDescent="0.25">
      <c r="A16" s="812" t="s">
        <v>144</v>
      </c>
      <c r="B16" s="812">
        <v>2104008410</v>
      </c>
      <c r="C16" s="5">
        <f ca="1">INDIRECT("'DevSumOut-"&amp;$B$2&amp;"BSR'!R57")</f>
        <v>1.50643570165E-2</v>
      </c>
      <c r="D16" s="5">
        <f ca="1">INDIRECT("'DevSumOut-"&amp;$B$2&amp;"BSR'!P57")</f>
        <v>1.6285791369189189E-3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7.0666842515634057E-2</v>
      </c>
      <c r="J16" s="5">
        <f ca="1">SCCRedFacsFull!J16*I$4/SCCRedFacsFull!I$4</f>
        <v>7.0666842515634168E-2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0.23185216605550718</v>
      </c>
      <c r="R16" s="5">
        <f ca="1">IFERROR(OFFSET('STF-22'!$E$173,MATCH($B16,'STF-22'!$A$174:$A$191,0),MATCH($B$2,'STF-22'!$F$172:$AD$172,0)-1)*R$4/SCCRedFacsFull!R$4,0)</f>
        <v>0.23185216605550721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0.16460262252193772</v>
      </c>
      <c r="X16" s="5">
        <f ca="1">SCCRedFacsFull!X16*W$4/SCCRedFacsFull!W$4</f>
        <v>0.1578227268725815</v>
      </c>
      <c r="Y16" s="510">
        <f t="shared" ca="1" si="0"/>
        <v>0.61082497601241381</v>
      </c>
      <c r="Z16" s="510">
        <f t="shared" ca="1" si="0"/>
        <v>0.39361539389220457</v>
      </c>
      <c r="AA16" s="617">
        <f t="shared" ca="1" si="5"/>
        <v>0.47369614984746644</v>
      </c>
      <c r="AB16" s="617">
        <f t="shared" ca="1" si="6"/>
        <v>0.47369614984746644</v>
      </c>
      <c r="AC16" s="617">
        <f t="shared" ca="1" si="7"/>
        <v>-3.2110596162013136</v>
      </c>
      <c r="AD16" s="617">
        <f t="shared" ca="1" si="8"/>
        <v>-3.2110596162013136</v>
      </c>
      <c r="AE16" s="510">
        <f t="shared" ca="1" si="1"/>
        <v>0.79517568649212877</v>
      </c>
      <c r="AF16" s="510">
        <f t="shared" ca="1" si="1"/>
        <v>0.79517568649212877</v>
      </c>
      <c r="AG16" s="510">
        <f t="shared" ca="1" si="2"/>
        <v>-1.5535217266666779</v>
      </c>
      <c r="AH16" s="510">
        <f t="shared" ca="1" si="2"/>
        <v>-1.5535217266666779</v>
      </c>
      <c r="AI16" s="530">
        <f t="shared" ca="1" si="3"/>
        <v>0.74777121808305913</v>
      </c>
      <c r="AJ16" s="530">
        <f t="shared" ca="1" si="4"/>
        <v>-1.0528293242372508</v>
      </c>
    </row>
    <row r="17" spans="1:40" x14ac:dyDescent="0.25">
      <c r="A17" s="812" t="s">
        <v>145</v>
      </c>
      <c r="B17" s="812">
        <v>2104008420</v>
      </c>
      <c r="C17" s="5">
        <f ca="1">INDIRECT("'DevSumOut-"&amp;$B$2&amp;"BSR'!R58")</f>
        <v>5.0812544395728347E-2</v>
      </c>
      <c r="D17" s="5">
        <f ca="1">INDIRECT("'DevSumOut-"&amp;$B$2&amp;"BSR'!P58")</f>
        <v>5.4932480427814434E-3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7.0666842515634182E-2</v>
      </c>
      <c r="J17" s="5">
        <f ca="1">SCCRedFacsFull!J17*I$4/SCCRedFacsFull!I$4</f>
        <v>7.0666842515634182E-2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0.38335708379707661</v>
      </c>
      <c r="R17" s="5">
        <f ca="1">IFERROR(OFFSET('STF-22'!$E$173,MATCH($B17,'STF-22'!$A$174:$A$191,0),MATCH($B$2,'STF-22'!$F$172:$AD$172,0)-1)*R$4/SCCRedFacsFull!R$4,0)</f>
        <v>0.38335708379707667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0.16460262252193777</v>
      </c>
      <c r="X17" s="5">
        <f ca="1">SCCRedFacsFull!X17*W$4/SCCRedFacsFull!W$4</f>
        <v>0.15782272687258153</v>
      </c>
      <c r="Y17" s="510">
        <f t="shared" ca="1" si="0"/>
        <v>0.68758354694209933</v>
      </c>
      <c r="Z17" s="510">
        <f t="shared" ca="1" si="0"/>
        <v>0.51321509307557078</v>
      </c>
      <c r="AA17" s="617">
        <f t="shared" ca="1" si="5"/>
        <v>0.47121963728754257</v>
      </c>
      <c r="AB17" s="617">
        <f t="shared" ca="1" si="6"/>
        <v>0.47121963728754257</v>
      </c>
      <c r="AC17" s="617">
        <f t="shared" ca="1" si="7"/>
        <v>-4.6611187511375451</v>
      </c>
      <c r="AD17" s="617">
        <f t="shared" ca="1" si="8"/>
        <v>-4.6611187511375451</v>
      </c>
      <c r="AE17" s="510">
        <f t="shared" ca="1" si="1"/>
        <v>0.83480031463470383</v>
      </c>
      <c r="AF17" s="510">
        <f t="shared" ca="1" si="1"/>
        <v>0.83480031463470383</v>
      </c>
      <c r="AG17" s="510">
        <f t="shared" ca="1" si="2"/>
        <v>-1.7557471643606308</v>
      </c>
      <c r="AH17" s="510">
        <f t="shared" ca="1" si="2"/>
        <v>-1.7557471643606308</v>
      </c>
      <c r="AI17" s="530">
        <f t="shared" ca="1" si="3"/>
        <v>0.79694457437089128</v>
      </c>
      <c r="AJ17" s="530">
        <f t="shared" ca="1" si="4"/>
        <v>-1.172299726734179</v>
      </c>
    </row>
    <row r="18" spans="1:40" x14ac:dyDescent="0.25">
      <c r="A18" s="812" t="s">
        <v>146</v>
      </c>
      <c r="B18" s="812">
        <v>2104008610</v>
      </c>
      <c r="C18" s="5">
        <f ca="1">INDIRECT("'DevSumOut-"&amp;$B$2&amp;"BSR'!R59")</f>
        <v>0.25245612937457973</v>
      </c>
      <c r="D18" s="5">
        <f ca="1">INDIRECT("'DevSumOut-"&amp;$B$2&amp;"BSR'!P59")</f>
        <v>1.0231093800626926E-2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7.066684251563414E-2</v>
      </c>
      <c r="J18" s="5">
        <f ca="1">SCCRedFacsFull!J18*I$4/SCCRedFacsFull!I$4</f>
        <v>7.0666842515634126E-2</v>
      </c>
      <c r="K18" s="5">
        <f ca="1">SCCRedFacsFull!K18*K$4/SCCRedFacsFull!K$4</f>
        <v>1.0000000000000002</v>
      </c>
      <c r="L18" s="5">
        <f ca="1">SCCRedFacsFull!L18*K$4/SCCRedFacsFull!K$4</f>
        <v>1</v>
      </c>
      <c r="M18" s="5">
        <f ca="1">'BACM-R8'!P162*($B$2-$M$3+1)*$M$4/SCCRedFacsFull!$M$4</f>
        <v>0.66276978182150859</v>
      </c>
      <c r="N18" s="5">
        <f ca="1">'BACM-R8'!O162*($B$2-$M$3+1)*$M$4/SCCRedFacsFull!$M$4</f>
        <v>0.26602739238806328</v>
      </c>
      <c r="O18" s="5">
        <f ca="1">SCCRedFacsFull!O18*O$4/SCCRedFacsFull!O$4</f>
        <v>0</v>
      </c>
      <c r="P18" s="5">
        <f ca="1">SCCRedFacsFull!P18*O$4/SCCRedFacsFull!O$4</f>
        <v>0</v>
      </c>
      <c r="Q18" s="5">
        <f ca="1">IFERROR(OFFSET('STF-22'!$E$173,MATCH($B18,'STF-22'!$A$174:$A$191,0),MATCH($B$2,'STF-22'!$F$172:$AD$172,0))*Q$4/SCCRedFacsFull!Q$4,0)</f>
        <v>0.23001868096093714</v>
      </c>
      <c r="R18" s="5">
        <f ca="1">IFERROR(OFFSET('STF-22'!$E$173,MATCH($B18,'STF-22'!$A$174:$A$191,0),MATCH($B$2,'STF-22'!$F$172:$AD$172,0)-1)*R$4/SCCRedFacsFull!R$4,0)</f>
        <v>0.23001868096093719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0.16460262252193772</v>
      </c>
      <c r="X18" s="5">
        <f ca="1">SCCRedFacsFull!X18*W$4/SCCRedFacsFull!W$4</f>
        <v>0.1578227268725815</v>
      </c>
      <c r="Y18" s="510">
        <f t="shared" ca="1" si="0"/>
        <v>1</v>
      </c>
      <c r="Z18" s="510">
        <f t="shared" ca="1" si="0"/>
        <v>1</v>
      </c>
      <c r="AA18" s="617">
        <f t="shared" ca="1" si="5"/>
        <v>0.44183095446472742</v>
      </c>
      <c r="AB18" s="617">
        <f t="shared" ca="1" si="6"/>
        <v>0.47848052672447428</v>
      </c>
      <c r="AC18" s="617">
        <f t="shared" ca="1" si="7"/>
        <v>-1.7483202626495844</v>
      </c>
      <c r="AD18" s="617">
        <f t="shared" ca="1" si="8"/>
        <v>-1.8933422199200565</v>
      </c>
      <c r="AE18" s="510">
        <f t="shared" ca="1" si="1"/>
        <v>1</v>
      </c>
      <c r="AF18" s="510">
        <f t="shared" ca="1" si="1"/>
        <v>1</v>
      </c>
      <c r="AG18" s="510">
        <f t="shared" ca="1" si="2"/>
        <v>1</v>
      </c>
      <c r="AH18" s="510">
        <f t="shared" ca="1" si="2"/>
        <v>1</v>
      </c>
      <c r="AI18" s="530">
        <f t="shared" ca="1" si="3"/>
        <v>1</v>
      </c>
      <c r="AJ18" s="530">
        <f t="shared" ca="1" si="4"/>
        <v>1</v>
      </c>
    </row>
    <row r="19" spans="1:40" x14ac:dyDescent="0.25">
      <c r="A19" s="812" t="s">
        <v>147</v>
      </c>
      <c r="B19" s="812">
        <v>2104004000</v>
      </c>
      <c r="C19" s="5">
        <f ca="1">INDIRECT("'DevSumOut-"&amp;$B$2&amp;"BSR'!R60")+INDIRECT("'DevSumOut-"&amp;$B$2&amp;"BSR'!R62")+INDIRECT("'DevSumOut-"&amp;$B$2&amp;"BSR'!R63")</f>
        <v>5.6409010005791051E-2</v>
      </c>
      <c r="D19" s="5">
        <f ca="1">INDIRECT("'DevSumOut-"&amp;$B$2&amp;"BSR'!P60")+INDIRECT("'DevSumOut-"&amp;$B$2&amp;"BSR'!P62")+INDIRECT("'DevSumOut-"&amp;$B$2&amp;"BSR'!P63")</f>
        <v>3.573626796461765</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-3.6568715450683111E-2</v>
      </c>
      <c r="L19" s="5">
        <f ca="1">SCCRedFacsFull!L19*K$4/SCCRedFacsFull!K$4</f>
        <v>-3.6598811072402135E-2</v>
      </c>
      <c r="M19" s="5">
        <f ca="1">'BACM-R8'!P163*($B$2-$M$3+1)*$M$4/SCCRedFacsFull!$M$4</f>
        <v>0</v>
      </c>
      <c r="N19" s="5">
        <f ca="1">'BACM-R8'!O163*($B$2-$M$3+1)*$M$4/SCCRedFacsFull!$M$4</f>
        <v>0</v>
      </c>
      <c r="O19" s="5">
        <f ca="1">SCCRedFacsFull!O19*O$4/SCCRedFacsFull!O$4</f>
        <v>-4.9124191080212251E-3</v>
      </c>
      <c r="P19" s="5">
        <f ca="1">SCCRedFacsFull!P19*O$4/SCCRedFacsFull!O$4</f>
        <v>-4.9164619710362345E-3</v>
      </c>
      <c r="Q19" s="5">
        <f ca="1">IFERROR(OFFSET('STF-22'!$E$173,MATCH($B19,'STF-22'!$A$174:$A$191,0),MATCH($B$2,'STF-22'!$F$172:$AD$172,0))*Q$4/SCCRedFacsFull!Q$4,0)</f>
        <v>-1.9220727509524374E-2</v>
      </c>
      <c r="R19" s="5">
        <f ca="1">IFERROR(OFFSET('STF-22'!$E$173,MATCH($B19,'STF-22'!$A$174:$A$191,0),MATCH($B$2,'STF-22'!$F$172:$AD$172,0)-1)*R$4/SCCRedFacsFull!R$4,0)</f>
        <v>-1.9236545941677768E-2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0.16460262252193772</v>
      </c>
      <c r="X19" s="5">
        <f ca="1">SCCRedFacsFull!X19*W$4/SCCRedFacsFull!W$4</f>
        <v>0.1578227268725815</v>
      </c>
      <c r="Y19" s="510">
        <f t="shared" ca="1" si="0"/>
        <v>0.70782007424646409</v>
      </c>
      <c r="Z19" s="510">
        <f t="shared" ca="1" si="0"/>
        <v>0.60986849481153982</v>
      </c>
      <c r="AA19" s="617">
        <f t="shared" ca="1" si="5"/>
        <v>0</v>
      </c>
      <c r="AB19" s="617">
        <f t="shared" ca="1" si="6"/>
        <v>0</v>
      </c>
      <c r="AC19" s="617">
        <f t="shared" ca="1" si="7"/>
        <v>0</v>
      </c>
      <c r="AD19" s="617">
        <f t="shared" ca="1" si="8"/>
        <v>0</v>
      </c>
      <c r="AE19" s="510">
        <f t="shared" ca="1" si="1"/>
        <v>0.70782007424646409</v>
      </c>
      <c r="AF19" s="510">
        <f t="shared" ca="1" si="1"/>
        <v>0.70782007424646409</v>
      </c>
      <c r="AG19" s="510">
        <f t="shared" ca="1" si="2"/>
        <v>0.60986849481153982</v>
      </c>
      <c r="AH19" s="510">
        <f t="shared" ca="1" si="2"/>
        <v>0.60986849481153982</v>
      </c>
      <c r="AI19" s="530">
        <f t="shared" ca="1" si="3"/>
        <v>0.70782007424646409</v>
      </c>
      <c r="AJ19" s="530">
        <f t="shared" ca="1" si="4"/>
        <v>0.60986849481153982</v>
      </c>
    </row>
    <row r="20" spans="1:40" x14ac:dyDescent="0.25">
      <c r="A20" s="812" t="s">
        <v>148</v>
      </c>
      <c r="B20" s="812">
        <v>2103004001</v>
      </c>
      <c r="C20" s="5">
        <f ca="1">INDIRECT("'DevSumOut-"&amp;$B$2&amp;"BSR'!R61")</f>
        <v>1.8739368230717493E-2</v>
      </c>
      <c r="D20" s="5">
        <f ca="1">INDIRECT("'DevSumOut-"&amp;$B$2&amp;"BSR'!P61")</f>
        <v>0.52217749537133507</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0.16460262252193775</v>
      </c>
      <c r="X20" s="5">
        <f ca="1">SCCRedFacsFull!X20*W$4/SCCRedFacsFull!W$4</f>
        <v>0.15782272687258153</v>
      </c>
      <c r="Y20" s="510">
        <f t="shared" ca="1" si="0"/>
        <v>0.56002397255041325</v>
      </c>
      <c r="Z20" s="510">
        <f t="shared" ca="1" si="0"/>
        <v>0.13588299570318985</v>
      </c>
      <c r="AA20" s="617">
        <f t="shared" ca="1" si="5"/>
        <v>0</v>
      </c>
      <c r="AB20" s="617">
        <f t="shared" ca="1" si="6"/>
        <v>0</v>
      </c>
      <c r="AC20" s="617">
        <f t="shared" ca="1" si="7"/>
        <v>0</v>
      </c>
      <c r="AD20" s="617">
        <f t="shared" ca="1" si="8"/>
        <v>0</v>
      </c>
      <c r="AE20" s="510">
        <f t="shared" ca="1" si="1"/>
        <v>0.56002397255041325</v>
      </c>
      <c r="AF20" s="510">
        <f t="shared" ca="1" si="1"/>
        <v>0.56002397255041325</v>
      </c>
      <c r="AG20" s="510">
        <f t="shared" ca="1" si="2"/>
        <v>0.13588299570318985</v>
      </c>
      <c r="AH20" s="510">
        <f t="shared" ca="1" si="2"/>
        <v>0.13588299570318985</v>
      </c>
      <c r="AI20" s="530">
        <f t="shared" ca="1" si="3"/>
        <v>0.56002397255041325</v>
      </c>
      <c r="AJ20" s="530">
        <f t="shared" ca="1" si="4"/>
        <v>0.13588299570318985</v>
      </c>
    </row>
    <row r="21" spans="1:40" x14ac:dyDescent="0.25">
      <c r="A21" s="812" t="s">
        <v>149</v>
      </c>
      <c r="B21" s="812">
        <v>2104006010</v>
      </c>
      <c r="C21" s="5">
        <f ca="1">INDIRECT("'DevSumOut-"&amp;$B$2&amp;"BSR'!R64")</f>
        <v>5.8529310125197298E-6</v>
      </c>
      <c r="D21" s="5">
        <f ca="1">INDIRECT("'DevSumOut-"&amp;$B$2&amp;"BSR'!P64")</f>
        <v>7.0898784775737665E-5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-18.635138046902881</v>
      </c>
      <c r="X21" s="5">
        <f ca="1">SCCRedFacsFull!X21*W$4/SCCRedFacsFull!W$4</f>
        <v>-18.635138046902881</v>
      </c>
      <c r="Y21" s="510">
        <f t="shared" ca="1" si="0"/>
        <v>-11.68168540914882</v>
      </c>
      <c r="Z21" s="510">
        <f t="shared" ca="1" si="0"/>
        <v>-18.600618349807796</v>
      </c>
      <c r="AA21" s="617">
        <f t="shared" ca="1" si="5"/>
        <v>0</v>
      </c>
      <c r="AB21" s="617">
        <f t="shared" ca="1" si="6"/>
        <v>0</v>
      </c>
      <c r="AC21" s="617">
        <f t="shared" ca="1" si="7"/>
        <v>0</v>
      </c>
      <c r="AD21" s="617">
        <f t="shared" ca="1" si="8"/>
        <v>0</v>
      </c>
      <c r="AE21" s="510">
        <f t="shared" ca="1" si="1"/>
        <v>-11.68168540914882</v>
      </c>
      <c r="AF21" s="510">
        <f t="shared" ca="1" si="1"/>
        <v>-11.68168540914882</v>
      </c>
      <c r="AG21" s="510">
        <f t="shared" ca="1" si="2"/>
        <v>-18.600618349807796</v>
      </c>
      <c r="AH21" s="510">
        <f t="shared" ca="1" si="2"/>
        <v>-18.600618349807796</v>
      </c>
      <c r="AI21" s="530">
        <f t="shared" ca="1" si="3"/>
        <v>-11.68168540914882</v>
      </c>
      <c r="AJ21" s="530">
        <f t="shared" ca="1" si="4"/>
        <v>-18.600618349807799</v>
      </c>
    </row>
    <row r="22" spans="1:40" x14ac:dyDescent="0.25">
      <c r="A22" s="812" t="s">
        <v>150</v>
      </c>
      <c r="B22" s="812">
        <v>2103006000</v>
      </c>
      <c r="C22" s="5">
        <f ca="1">INDIRECT("'DevSumOut-"&amp;$B$2&amp;"BSR'!R65")</f>
        <v>1.0079518569867291E-2</v>
      </c>
      <c r="D22" s="5">
        <f ca="1">INDIRECT("'DevSumOut-"&amp;$B$2&amp;"BSR'!P65")</f>
        <v>7.9575146604215358E-4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9.7907685155159352E-2</v>
      </c>
      <c r="D23" s="5">
        <f ca="1">INDIRECT("'DevSumOut-"&amp;$B$2&amp;"BSR'!P66")</f>
        <v>0.11396013416057345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1</v>
      </c>
      <c r="L23" s="5">
        <f ca="1">SCCRedFacsFull!L23*K$4/SCCRedFacsFull!K$4</f>
        <v>1</v>
      </c>
      <c r="M23" s="5">
        <f ca="1">'BACM-R8'!P167*($B$2-$M$3+1)*$M$4/SCCRedFacsFull!$M$4</f>
        <v>0</v>
      </c>
      <c r="N23" s="5">
        <f ca="1">'BACM-R8'!O167*($B$2-$M$3+1)*$M$4/SCCRedFacsFull!$M$4</f>
        <v>0</v>
      </c>
      <c r="O23" s="5">
        <f ca="1">SCCRedFacsFull!O23*O$4/SCCRedFacsFull!O$4</f>
        <v>0.80000000000000016</v>
      </c>
      <c r="P23" s="5">
        <f ca="1">SCCRedFacsFull!P23*O$4/SCCRedFacsFull!O$4</f>
        <v>0.80000000000000016</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1</v>
      </c>
      <c r="Z23" s="510">
        <f t="shared" ca="1" si="0"/>
        <v>1</v>
      </c>
      <c r="AA23" s="617">
        <f t="shared" ca="1" si="5"/>
        <v>0.49828210592064903</v>
      </c>
      <c r="AB23" s="617">
        <f t="shared" ca="1" si="6"/>
        <v>0.49828210592064903</v>
      </c>
      <c r="AC23" s="617">
        <f t="shared" ca="1" si="7"/>
        <v>0.4103118857783955</v>
      </c>
      <c r="AD23" s="617">
        <f t="shared" ca="1" si="8"/>
        <v>0.4103118857783955</v>
      </c>
      <c r="AE23" s="510">
        <f t="shared" ca="1" si="1"/>
        <v>1</v>
      </c>
      <c r="AF23" s="510">
        <f t="shared" ca="1" si="1"/>
        <v>1</v>
      </c>
      <c r="AG23" s="510">
        <f t="shared" ca="1" si="2"/>
        <v>1</v>
      </c>
      <c r="AH23" s="510">
        <f t="shared" ca="1" si="2"/>
        <v>1</v>
      </c>
      <c r="AI23" s="530">
        <f t="shared" ca="1" si="3"/>
        <v>1</v>
      </c>
      <c r="AJ23" s="530">
        <f t="shared" ca="1" si="4"/>
        <v>1</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2.806623905552601</v>
      </c>
      <c r="D27" s="450">
        <f ca="1">INDIRECT("'DevSumOut-"&amp;$B$2&amp;"BSR'!P70")</f>
        <v>4.320503062337508</v>
      </c>
      <c r="E27" s="450">
        <f ca="1">$C27-E28</f>
        <v>1.8239332654462717</v>
      </c>
      <c r="F27" s="450">
        <f ca="1">$D27-F28</f>
        <v>4.3138568782191182</v>
      </c>
      <c r="G27" s="450">
        <f ca="1">$C27-G28</f>
        <v>2.7973691512516816</v>
      </c>
      <c r="H27" s="450">
        <f ca="1">$D27-H28</f>
        <v>2.3233873887428214</v>
      </c>
      <c r="I27" s="450">
        <f ca="1">$C27-I28</f>
        <v>2.6214346436691898</v>
      </c>
      <c r="J27" s="450">
        <f ca="1">$D27-J28</f>
        <v>4.3139482838526035</v>
      </c>
      <c r="K27" s="450">
        <f ca="1">$C27-K28</f>
        <v>1.3465511538964834</v>
      </c>
      <c r="L27" s="450">
        <f ca="1">$D27-L28</f>
        <v>4.30810984035279</v>
      </c>
      <c r="M27" s="450">
        <f ca="1">$C27-M28</f>
        <v>1.7105153071336081</v>
      </c>
      <c r="N27" s="450">
        <f ca="1">$D27-N28</f>
        <v>4.3041704679419306</v>
      </c>
      <c r="O27" s="450">
        <f ca="1">$C27-O28</f>
        <v>2.7285748621270907</v>
      </c>
      <c r="P27" s="450">
        <f ca="1">$D27-P28</f>
        <v>4.24690455525253</v>
      </c>
      <c r="Q27" s="450">
        <f ca="1">$C27-Q28</f>
        <v>2.1029605666132198</v>
      </c>
      <c r="R27" s="450">
        <f ca="1">$D27-R28</f>
        <v>4.3638725823099174</v>
      </c>
      <c r="S27" s="450">
        <f ca="1">$C27-S28</f>
        <v>2.8060388433044765</v>
      </c>
      <c r="T27" s="450">
        <f ca="1">$D27-T28</f>
        <v>4.320503062337508</v>
      </c>
      <c r="U27" s="786">
        <f ca="1">$C27-U28</f>
        <v>2.806623905552601</v>
      </c>
      <c r="V27" s="786">
        <f ca="1">$D27-V28</f>
        <v>4.320503062337508</v>
      </c>
      <c r="W27" s="450">
        <f ca="1">$C27-W28</f>
        <v>2.3630063416992924</v>
      </c>
      <c r="X27" s="450">
        <f ca="1">$D27-X28</f>
        <v>3.6607742532413341</v>
      </c>
      <c r="Y27" s="450">
        <f ca="1">$C27-Y28</f>
        <v>0.38506797325317965</v>
      </c>
      <c r="Z27" s="450">
        <f ca="1">$D27-Z28</f>
        <v>1.8995884338641602</v>
      </c>
      <c r="AA27" s="450">
        <f ca="1">$C27-AA28</f>
        <v>2.0545298902417475</v>
      </c>
      <c r="AB27" s="450">
        <f ca="1">$C27-AB28</f>
        <v>1.5047797421110796</v>
      </c>
      <c r="AC27" s="450">
        <f ca="1">$D27-AC28</f>
        <v>4.4672682080404806</v>
      </c>
      <c r="AD27" s="450">
        <f ca="1">$D27-AD28</f>
        <v>4.5348129065287326</v>
      </c>
      <c r="AE27" s="450">
        <f ca="1">$C27-AE28</f>
        <v>0.27923309662825879</v>
      </c>
      <c r="AF27" s="450">
        <f ca="1">$C27-AF28</f>
        <v>0.21949728840211247</v>
      </c>
      <c r="AG27" s="450">
        <f ca="1">$D27-AG28</f>
        <v>1.9796686869957054</v>
      </c>
      <c r="AH27" s="450">
        <f ca="1">$D27-AH28</f>
        <v>2.0199469455960033</v>
      </c>
      <c r="AI27" s="787">
        <f ca="1">$C27-AI28</f>
        <v>0.27572650638693474</v>
      </c>
      <c r="AJ27" s="787">
        <f ca="1">$D27-AJ28</f>
        <v>1.9797911548991758</v>
      </c>
    </row>
    <row r="28" spans="1:40" x14ac:dyDescent="0.25">
      <c r="B28" s="244" t="s">
        <v>156</v>
      </c>
      <c r="E28" s="450">
        <f ca="1">SUMPRODUCT($C9:$C26,E9:E26)</f>
        <v>0.98269064010632934</v>
      </c>
      <c r="F28" s="450">
        <f ca="1">SUMPRODUCT($D9:$D26,F9:F26)</f>
        <v>6.6461841183898772E-3</v>
      </c>
      <c r="G28" s="450">
        <f ca="1">SUMPRODUCT($C9:$C26,G9:G26)</f>
        <v>9.2547543009192865E-3</v>
      </c>
      <c r="H28" s="450">
        <f ca="1">SUMPRODUCT($D9:$D26,H9:H26)</f>
        <v>1.9971156735946867</v>
      </c>
      <c r="I28" s="450">
        <f ca="1">SUMPRODUCT($C9:$C26,I9:I26)</f>
        <v>0.18518926188341117</v>
      </c>
      <c r="J28" s="450">
        <f ca="1">SUMPRODUCT($D9:$D26,J9:J26)</f>
        <v>6.5547784849043708E-3</v>
      </c>
      <c r="K28" s="450">
        <f ca="1">SUMPRODUCT($C9:$C26,K9:K26)</f>
        <v>1.4600727516561176</v>
      </c>
      <c r="L28" s="450">
        <f ca="1">SUMPRODUCT($D9:$D26,L9:L26)</f>
        <v>1.2393221984717789E-2</v>
      </c>
      <c r="M28" s="450">
        <f ca="1">SUMPRODUCT($C9:$C26,M9:M26)</f>
        <v>1.0961085984189929</v>
      </c>
      <c r="N28" s="450">
        <f ca="1">SUMPRODUCT($D9:$D26,N9:N26)</f>
        <v>1.6332594395577431E-2</v>
      </c>
      <c r="O28" s="450">
        <f ca="1">SUMPRODUCT($C9:$C26,O9:O26)</f>
        <v>7.8049043425510486E-2</v>
      </c>
      <c r="P28" s="450">
        <f ca="1">SUMPRODUCT($D9:$D26,P9:P26)</f>
        <v>7.3598507084978462E-2</v>
      </c>
      <c r="Q28" s="450">
        <f ca="1">SUMPRODUCT($C9:$C26,Q9:Q26)</f>
        <v>0.70366333893938127</v>
      </c>
      <c r="R28" s="450">
        <f ca="1">SUMPRODUCT($D9:$D26,R9:R26)</f>
        <v>-4.3369519972409593E-2</v>
      </c>
      <c r="S28" s="450">
        <f ca="1">SUMPRODUCT($C9:$C26,S9:S26)</f>
        <v>5.8506224812427874E-4</v>
      </c>
      <c r="T28" s="450">
        <f ca="1">SUMPRODUCT($D9:$D26,T9:T26)</f>
        <v>0</v>
      </c>
      <c r="U28" s="786">
        <f ca="1">SUMPRODUCT($C9:$C26,U9:U26)</f>
        <v>0</v>
      </c>
      <c r="V28" s="786">
        <f ca="1">SUMPRODUCT($D9:$D26,V9:V26)</f>
        <v>0</v>
      </c>
      <c r="W28" s="450">
        <f ca="1">SUMPRODUCT($C9:$C26,W9:W26)</f>
        <v>0.44361756385330847</v>
      </c>
      <c r="X28" s="450">
        <f ca="1">SUMPRODUCT($D9:$D26,X9:X26)</f>
        <v>0.65972880909617382</v>
      </c>
      <c r="Y28" s="450">
        <f ca="1">SUMPRODUCT($C9:$C26,Y9:Y26)</f>
        <v>2.4215559322994213</v>
      </c>
      <c r="Z28" s="450">
        <f ca="1">SUMPRODUCT($D9:$D26,Z9:Z26)</f>
        <v>2.4209146284733478</v>
      </c>
      <c r="AA28" s="450">
        <f ca="1">SUMPRODUCT($C9:$C26,AA9:AA26)</f>
        <v>0.75209401531085329</v>
      </c>
      <c r="AB28" s="450">
        <f ca="1">SUMPRODUCT($C9:$C26,AB9:AB26)</f>
        <v>1.3018441634415214</v>
      </c>
      <c r="AC28" s="450">
        <f ca="1">SUMPRODUCT($D9:$D26,AC9:AC26)</f>
        <v>-0.14676514570297292</v>
      </c>
      <c r="AD28" s="450">
        <f ca="1">SUMPRODUCT($D9:$D26,AD9:AD26)</f>
        <v>-0.21430984419122467</v>
      </c>
      <c r="AE28" s="450">
        <f ca="1">SUMPRODUCT($C9:$C26,AE9:AE26)</f>
        <v>2.5273908089243422</v>
      </c>
      <c r="AF28" s="450">
        <f ca="1">SUMPRODUCT($C9:$C26,AF9:AF26)</f>
        <v>2.5871266171504885</v>
      </c>
      <c r="AG28" s="450">
        <f ca="1">SUMPRODUCT($D9:$D26,AG9:AG26)</f>
        <v>2.3408343753418026</v>
      </c>
      <c r="AH28" s="450">
        <f ca="1">SUMPRODUCT($D9:$D26,AH9:AH26)</f>
        <v>2.3005561167415047</v>
      </c>
      <c r="AI28" s="450">
        <f ca="1">SUMPRODUCT($C9:$C26,AI9:AI26)</f>
        <v>2.5308973991656663</v>
      </c>
      <c r="AJ28" s="450">
        <f ca="1">SUMPRODUCT($D9:$D26,AJ9:AJ26)</f>
        <v>2.3407119074383322</v>
      </c>
    </row>
    <row r="29" spans="1:40" x14ac:dyDescent="0.25">
      <c r="E29" s="659">
        <f ca="1">E28/$C27</f>
        <v>0.35013264091500912</v>
      </c>
      <c r="F29" s="693">
        <f ca="1">F28/$D27</f>
        <v>1.5382894127134615E-3</v>
      </c>
      <c r="G29" s="659">
        <f ca="1">G28/$C27</f>
        <v>3.2974686357547796E-3</v>
      </c>
      <c r="H29" s="693">
        <f ca="1">H28/$D27</f>
        <v>0.46224146697264312</v>
      </c>
      <c r="I29" s="659">
        <f ca="1">I28/$C27</f>
        <v>6.5982927572530936E-2</v>
      </c>
      <c r="J29" s="693">
        <f ca="1">J28/$D27</f>
        <v>1.5171331648954E-3</v>
      </c>
      <c r="K29" s="659">
        <f ca="1">K28/$C27</f>
        <v>0.52022387066807274</v>
      </c>
      <c r="L29" s="693">
        <f ca="1">L28/$D27</f>
        <v>2.8684673534319226E-3</v>
      </c>
      <c r="M29" s="659">
        <f ca="1">M28/$C27</f>
        <v>0.39054345551980119</v>
      </c>
      <c r="N29" s="693">
        <f ca="1">N28/$D27</f>
        <v>3.7802529381245386E-3</v>
      </c>
      <c r="O29" s="659">
        <f ca="1">O28/$C27</f>
        <v>2.7808871459798698E-2</v>
      </c>
      <c r="P29" s="693">
        <f ca="1">P28/$D27</f>
        <v>1.7034707769691914E-2</v>
      </c>
      <c r="Q29" s="659">
        <f ca="1">Q28/$C27</f>
        <v>0.25071522320723472</v>
      </c>
      <c r="R29" s="693">
        <f ca="1">R28/$D27</f>
        <v>-1.0038071804755421E-2</v>
      </c>
      <c r="S29" s="659">
        <f ca="1">S28/$C27</f>
        <v>2.0845765867197116E-4</v>
      </c>
      <c r="T29" s="693">
        <f ca="1">T28/$D27</f>
        <v>0</v>
      </c>
      <c r="U29" s="700">
        <f ca="1">U28/$C27</f>
        <v>0</v>
      </c>
      <c r="V29" s="700">
        <f ca="1">V28/$D27</f>
        <v>0</v>
      </c>
      <c r="W29" s="659">
        <f ca="1">W28/$C27</f>
        <v>0.15806092258234503</v>
      </c>
      <c r="X29" s="693">
        <f ca="1">X28/$D27</f>
        <v>0.15269722057302346</v>
      </c>
      <c r="Y29" s="659">
        <f ca="1">Y28/$C27</f>
        <v>0.86280029451350271</v>
      </c>
      <c r="Z29" s="693">
        <f t="shared" ref="Z29" ca="1" si="9">Z28/$D27</f>
        <v>0.56033165433368959</v>
      </c>
      <c r="AA29" s="838">
        <f ca="1">(AA28*$AJ$4+AB28*$AJ$5)/SUM($AJ$4:$AJ$5)</f>
        <v>1.1326902717090082</v>
      </c>
      <c r="AB29" s="838"/>
      <c r="AC29" s="838">
        <f ca="1">(AC28*$AJ$4+AD28*$AJ$5)/SUM($AJ$4:$AJ$5)</f>
        <v>-0.19352686004099337</v>
      </c>
      <c r="AD29" s="838"/>
      <c r="AE29" s="659">
        <f ca="1">AE28/$C27</f>
        <v>0.90050925737651333</v>
      </c>
      <c r="AF29" s="659">
        <f ca="1">AF28/$C27</f>
        <v>0.92179312377128231</v>
      </c>
      <c r="AG29" s="693">
        <f t="shared" ref="AG29:AH29" ca="1" si="10">AG28/$D27</f>
        <v>0.54179671708769683</v>
      </c>
      <c r="AH29" s="693">
        <f t="shared" ca="1" si="10"/>
        <v>0.53247413172688329</v>
      </c>
      <c r="AI29" s="659">
        <f ca="1">AI28/$C27</f>
        <v>0.90175865535762034</v>
      </c>
      <c r="AJ29" s="693">
        <f t="shared" ref="AJ29" ca="1" si="11">AJ28/$D27</f>
        <v>0.54176837133681932</v>
      </c>
      <c r="AK29" s="5"/>
      <c r="AL29" s="5"/>
      <c r="AN29" s="5"/>
    </row>
    <row r="30" spans="1:40" x14ac:dyDescent="0.25">
      <c r="B30" s="244" t="s">
        <v>157</v>
      </c>
      <c r="E30" s="450">
        <f ca="1">E28*($Y28/$Y30)</f>
        <v>0.47984059263372819</v>
      </c>
      <c r="F30" s="450">
        <f ca="1">F28*($Z28/$Z30)</f>
        <v>5.8958750051008174E-3</v>
      </c>
      <c r="G30" s="450">
        <f ca="1">G28*($Y28/$Y30)</f>
        <v>4.5190282752180788E-3</v>
      </c>
      <c r="H30" s="450">
        <f ca="1">H28*($Z28/$Z30)</f>
        <v>1.77165485826092</v>
      </c>
      <c r="I30" s="450">
        <f ca="1">I28*($Y28/$Y30)</f>
        <v>9.0426550884746104E-2</v>
      </c>
      <c r="J30" s="450">
        <f ca="1">J28*($Z28/$Z30)</f>
        <v>5.8147884477330438E-3</v>
      </c>
      <c r="K30" s="450">
        <f ca="1">K28*($Y28/$Y30)</f>
        <v>0.71294275721118394</v>
      </c>
      <c r="L30" s="450">
        <f ca="1">L28*($Z28/$Z30)</f>
        <v>1.0994111272088174E-2</v>
      </c>
      <c r="M30" s="450">
        <f ca="1">M28*($Y28/$Y30)</f>
        <v>0.5352217452680581</v>
      </c>
      <c r="N30" s="450">
        <f ca="1">N28*($Z28/$Z30)</f>
        <v>1.4488755254144741E-2</v>
      </c>
      <c r="O30" s="450">
        <f ca="1">O28*($Y28/$Y30)</f>
        <v>3.8110772325805654E-2</v>
      </c>
      <c r="P30" s="450">
        <f ca="1">P28*($Z28/$Z30)</f>
        <v>6.5289734771925706E-2</v>
      </c>
      <c r="Q30" s="450">
        <f ca="1">Q28*($Y28/$Y30)</f>
        <v>0.34359361918290643</v>
      </c>
      <c r="R30" s="450">
        <f ca="1">R28*($Z28/$Z30)</f>
        <v>-3.8473395294757087E-2</v>
      </c>
      <c r="S30" s="450">
        <f ca="1">S28*($Y28/$Y30)</f>
        <v>2.8568158117105798E-4</v>
      </c>
      <c r="T30" s="450">
        <f ca="1">T28*($Z28/$Z30)</f>
        <v>0</v>
      </c>
      <c r="U30" s="786">
        <f ca="1">U28*($Y28/$Y30)</f>
        <v>0</v>
      </c>
      <c r="V30" s="786">
        <f ca="1">V28*($Z28/$Z30)</f>
        <v>0</v>
      </c>
      <c r="W30" s="450">
        <f ca="1">W28*($Y28/$Y30)</f>
        <v>0.216615184936604</v>
      </c>
      <c r="X30" s="450">
        <f ca="1">X28*($Z28/$Z30)</f>
        <v>0.58524990075619276</v>
      </c>
      <c r="Y30" s="450">
        <f ca="1">SUM($E28,$G28,$I28,$K28,$M28,$O28,$Q28,$S28,$W28)</f>
        <v>4.9592310148320946</v>
      </c>
      <c r="Z30" s="450">
        <f ca="1">SUM($F28,$H28,$J28,$L28,$N28,$P28,$R28,$T28,$X28)</f>
        <v>2.7290002487870186</v>
      </c>
      <c r="AA30" s="450">
        <f ca="1">AE28-$Y28</f>
        <v>0.10583487662492086</v>
      </c>
      <c r="AB30" s="450">
        <f ca="1">AF28-$Y28</f>
        <v>0.16557068485106718</v>
      </c>
      <c r="AC30" s="450">
        <f ca="1">AG28-$Z28</f>
        <v>-8.0080253131545209E-2</v>
      </c>
      <c r="AD30" s="450">
        <f ca="1">AH28-$Z28</f>
        <v>-0.12035851173184309</v>
      </c>
      <c r="AE30" s="450">
        <f ca="1">SUM($E28,$G28,$I28,$K28,$M28,$O28,$Q28,$S28,$W28,AA28)</f>
        <v>5.7113250301429481</v>
      </c>
      <c r="AF30" s="450">
        <f ca="1">SUM($E28,$G28,$I28,$K28,$M28,$O28,$Q28,$S28,$W28,AB28)</f>
        <v>6.2610751782736163</v>
      </c>
      <c r="AG30" s="450">
        <f ca="1">SUM($F28,$H28,$J28,$L28,$N28,$P28,$R28,$T28,$X28,AC28)</f>
        <v>2.5822351030840456</v>
      </c>
      <c r="AH30" s="450">
        <f ca="1">SUM($F28,$H28,$J28,$L28,$N28,$P28,$R28,$T28,$X28,AD28)</f>
        <v>2.5146904045957941</v>
      </c>
    </row>
    <row r="31" spans="1:40" x14ac:dyDescent="0.25">
      <c r="Y31" s="659">
        <f ca="1">Y30/$C27</f>
        <v>1.7669738382192191</v>
      </c>
      <c r="Z31" s="659">
        <f ca="1">Z30/$C27</f>
        <v>0.97234269379234872</v>
      </c>
      <c r="AA31" s="839" t="s">
        <v>158</v>
      </c>
      <c r="AB31" s="839"/>
      <c r="AC31" s="839"/>
      <c r="AD31" s="839"/>
      <c r="AE31" s="659">
        <f ca="1">AE30/$C27</f>
        <v>2.0349449097343291</v>
      </c>
      <c r="AF31" s="659">
        <f ca="1">AF30/$C27</f>
        <v>2.2308208684059014</v>
      </c>
      <c r="AG31" s="693">
        <f ca="1">AG30/$D27</f>
        <v>0.59767000875286669</v>
      </c>
      <c r="AH31" s="693">
        <f ca="1">AH30/$D27</f>
        <v>0.58203648239871375</v>
      </c>
    </row>
    <row r="32" spans="1:40" x14ac:dyDescent="0.25">
      <c r="Y32" s="698">
        <f ca="1">SUM($E30,$G30,$I30,$K30,$M30,$O30,$Q30,$S30,$W30)</f>
        <v>2.4215559322994213</v>
      </c>
      <c r="Z32" s="698">
        <f ca="1">SUM($F30,$H30,$J30,$L30,$N30,$P30,$R30,$T30,$X30)</f>
        <v>2.4209146284733483</v>
      </c>
      <c r="AA32" s="838">
        <f ca="1">(AA30*$AJ$4+AB30*$AJ$5)/SUM($AJ$4:$AJ$5)</f>
        <v>0.14719043616609909</v>
      </c>
      <c r="AB32" s="838"/>
      <c r="AC32" s="838">
        <f ca="1">(AC30*$AJ$4+AD30*$AJ$5)/SUM($AJ$4:$AJ$5)</f>
        <v>-0.1079652013932899</v>
      </c>
      <c r="AD32" s="838"/>
    </row>
    <row r="33" spans="2:34" x14ac:dyDescent="0.25">
      <c r="C33" s="450">
        <f ca="1">SUM(C9:C18)</f>
        <v>2.6205962413339803</v>
      </c>
      <c r="D33" s="450">
        <f ca="1">SUM(D9:D18)</f>
        <v>9.2756068497813593E-2</v>
      </c>
      <c r="Z33" s="616"/>
      <c r="AA33" s="616"/>
    </row>
    <row r="34" spans="2:34" x14ac:dyDescent="0.25">
      <c r="B34" s="244" t="s">
        <v>159</v>
      </c>
      <c r="E34" s="450">
        <f ca="1">SUMPRODUCT($C9:$C18,E9:E18)</f>
        <v>0.92803991513909401</v>
      </c>
      <c r="F34" s="450">
        <f ca="1">SUMPRODUCT($D9:$D18,F9:F18)</f>
        <v>1.6307048010697896E-4</v>
      </c>
      <c r="G34" s="450">
        <f ca="1">SUMPRODUCT($C9:$C18,G9:G18)</f>
        <v>-2.7249667006341818E-2</v>
      </c>
      <c r="H34" s="450">
        <f ca="1">SUMPRODUCT($D9:$D18,H9:H18)</f>
        <v>-9.645026347501073E-4</v>
      </c>
      <c r="I34" s="450">
        <f ca="1">SUMPRODUCT($C9:$C18,I9:I18)</f>
        <v>0.18518926188341117</v>
      </c>
      <c r="J34" s="450">
        <f ca="1">SUMPRODUCT($D9:$D18,J9:J18)</f>
        <v>6.5547784849043708E-3</v>
      </c>
      <c r="K34" s="450">
        <f ca="1">SUMPRODUCT($C9:$C18,K9:K18)</f>
        <v>1.3642278715367149</v>
      </c>
      <c r="L34" s="450">
        <f ca="1">SUMPRODUCT($D9:$D18,L9:L18)</f>
        <v>2.922357979112215E-2</v>
      </c>
      <c r="M34" s="450">
        <f ca="1">SUMPRODUCT($C9:$C18,M9:M18)</f>
        <v>1.0961085984189929</v>
      </c>
      <c r="N34" s="450">
        <f ca="1">SUMPRODUCT($D9:$D18,N9:N18)</f>
        <v>1.6332594395577431E-2</v>
      </c>
      <c r="O34" s="450">
        <f ca="1">SUMPRODUCT($C9:$C18,O9:O18)</f>
        <v>0</v>
      </c>
      <c r="P34" s="450">
        <f ca="1">SUMPRODUCT($D9:$D18,P9:P18)</f>
        <v>0</v>
      </c>
      <c r="Q34" s="450">
        <f ca="1">SUMPRODUCT($C9:$C18,Q9:Q18)</f>
        <v>0.70474756114978465</v>
      </c>
      <c r="R34" s="450">
        <f ca="1">SUMPRODUCT($D9:$D18,R9:R18)</f>
        <v>2.537471607613789E-2</v>
      </c>
      <c r="S34" s="450"/>
      <c r="T34" s="450"/>
      <c r="U34" s="450">
        <f ca="1">SUMPRODUCT($C9:$C18,U9:U18)</f>
        <v>0</v>
      </c>
      <c r="V34" s="450">
        <f ca="1">SUMPRODUCT($D9:$D18,V9:V18)</f>
        <v>0</v>
      </c>
      <c r="W34" s="450">
        <f ca="1">SUMPRODUCT($C9:$C18,W9:W18)</f>
        <v>0.43135701389470599</v>
      </c>
      <c r="X34" s="450">
        <f ca="1">SUMPRODUCT($D9:$D18,X9:X18)</f>
        <v>1.4639015664304898E-2</v>
      </c>
      <c r="Y34" s="450">
        <f ca="1">SUMPRODUCT($C9:$C18,Y9:Y18)</f>
        <v>2.2732973734428281</v>
      </c>
      <c r="Z34" s="450">
        <f ca="1">SUMPRODUCT($D9:$D18,Z9:Z18)</f>
        <v>5.7875896185138123E-2</v>
      </c>
      <c r="AE34" s="450">
        <f ca="1">SUMPRODUCT($C9:$C18,AE9:AE18)</f>
        <v>2.379132250067749</v>
      </c>
      <c r="AF34" s="450">
        <f ca="1">SUMPRODUCT($C9:$C18,AF9:AF18)</f>
        <v>2.4388680582938953</v>
      </c>
      <c r="AG34" s="450">
        <f ca="1">SUMPRODUCT($D9:$D18,AG9:AG18)</f>
        <v>-2.220435694640718E-2</v>
      </c>
      <c r="AH34" s="450">
        <f ca="1">SUMPRODUCT($D9:$D18,AH9:AH18)</f>
        <v>-6.2482615546704867E-2</v>
      </c>
    </row>
    <row r="35" spans="2:34" x14ac:dyDescent="0.25">
      <c r="C35" s="450">
        <f ca="1">SUM(C19:C20)</f>
        <v>7.5148378236508551E-2</v>
      </c>
      <c r="D35" s="450">
        <f ca="1">SUM(D19:D20)</f>
        <v>4.0958042918331001</v>
      </c>
      <c r="AD35" s="244" t="s">
        <v>160</v>
      </c>
      <c r="AE35" s="604">
        <f ca="1">AE34/$C33</f>
        <v>0.90785914004695467</v>
      </c>
      <c r="AF35" s="604">
        <f ca="1">AF34/$C33</f>
        <v>0.93065387938296873</v>
      </c>
      <c r="AG35" s="604">
        <f t="shared" ref="AG35:AH37" ca="1" si="12">AG34/$D33</f>
        <v>-0.23938441231940066</v>
      </c>
      <c r="AH35" s="604">
        <f t="shared" ca="1" si="12"/>
        <v>-0.67362293980989163</v>
      </c>
    </row>
    <row r="36" spans="2:34" x14ac:dyDescent="0.25">
      <c r="B36" s="244" t="s">
        <v>161</v>
      </c>
      <c r="E36" s="450">
        <f ca="1">SUMPRODUCT($C19:$C20,E19:E20)</f>
        <v>1.9976298535865505E-2</v>
      </c>
      <c r="F36" s="450">
        <f ca="1">SUMPRODUCT($D19:$D20,F19:F20)</f>
        <v>6.2826405523636608E-3</v>
      </c>
      <c r="G36" s="450">
        <f ca="1">SUMPRODUCT($C19:$C20,G19:G20)</f>
        <v>3.6507100597137729E-2</v>
      </c>
      <c r="H36" s="450">
        <f ca="1">SUMPRODUCT($D19:$D20,H19:H20)</f>
        <v>1.9980802546008891</v>
      </c>
      <c r="I36" s="450">
        <f ca="1">SUMPRODUCT($C19:$C20,I19:I20)</f>
        <v>0</v>
      </c>
      <c r="J36" s="450">
        <f ca="1">SUMPRODUCT($D19:$D20,J19:J20)</f>
        <v>0</v>
      </c>
      <c r="K36" s="450">
        <f ca="1">SUMPRODUCT($C19:$C20,K19:K20)</f>
        <v>-2.0628050357565093E-3</v>
      </c>
      <c r="L36" s="450">
        <f ca="1">SUMPRODUCT($D19:$D20,L19:L20)</f>
        <v>-0.13079049196697781</v>
      </c>
      <c r="M36" s="450">
        <f ca="1">SUMPRODUCT($C19:$C20,M19:M20)</f>
        <v>0</v>
      </c>
      <c r="N36" s="450">
        <f ca="1">SUMPRODUCT($D19:$D20,N19:N20)</f>
        <v>0</v>
      </c>
      <c r="O36" s="450">
        <f ca="1">SUMPRODUCT($C19:$C20,O19:O20)</f>
        <v>-2.7710469861700845E-4</v>
      </c>
      <c r="P36" s="450">
        <f ca="1">SUMPRODUCT($D19:$D20,P19:P20)</f>
        <v>-1.7569600243480313E-2</v>
      </c>
      <c r="Q36" s="450">
        <f ca="1">SUMPRODUCT($C19:$C20,Q19:Q20)</f>
        <v>-1.0842222104033438E-3</v>
      </c>
      <c r="R36" s="450">
        <f ca="1">SUMPRODUCT($D19:$D20,R19:R20)</f>
        <v>-6.8744236048547486E-2</v>
      </c>
      <c r="S36" s="450"/>
      <c r="T36" s="450"/>
      <c r="U36" s="450">
        <f ca="1">SUMPRODUCT($C19:$C20,U19:U20)</f>
        <v>0</v>
      </c>
      <c r="V36" s="450">
        <f ca="1">SUMPRODUCT($D19:$D20,V19:V20)</f>
        <v>0</v>
      </c>
      <c r="W36" s="450">
        <f ca="1">SUMPRODUCT($C19:$C20,W19:W20)</f>
        <v>1.2369620135999817E-2</v>
      </c>
      <c r="X36" s="450">
        <f ca="1">SUMPRODUCT($D19:$D20,X19:X20)</f>
        <v>0.64641100207352253</v>
      </c>
      <c r="Y36" s="450">
        <f ca="1">SUMPRODUCT($C19:$C20,Y19:Y20)</f>
        <v>5.0421925090119973E-2</v>
      </c>
      <c r="Z36" s="450">
        <f ca="1">SUMPRODUCT($D19:$D20,Z19:Z20)</f>
        <v>2.2503974377361673</v>
      </c>
      <c r="AE36" s="450">
        <f ca="1">SUMPRODUCT($C19:$C20,AE19:AE20)</f>
        <v>5.0421925090119973E-2</v>
      </c>
      <c r="AF36" s="450">
        <f ca="1">SUMPRODUCT($C19:$C20,AF19:AF20)</f>
        <v>5.0421925090119973E-2</v>
      </c>
      <c r="AG36" s="450">
        <f ca="1">SUMPRODUCT($D19:$D20,AG19:AG20)</f>
        <v>2.2503974377361673</v>
      </c>
      <c r="AH36" s="450">
        <f ca="1">SUMPRODUCT($D19:$D20,AH19:AH20)</f>
        <v>2.2503974377361673</v>
      </c>
    </row>
    <row r="37" spans="2:34" x14ac:dyDescent="0.25">
      <c r="AD37" s="244" t="s">
        <v>162</v>
      </c>
      <c r="AE37" s="694">
        <f ca="1">AE36/$C35</f>
        <v>0.67096491332695207</v>
      </c>
      <c r="AF37" s="694">
        <f ca="1">AF36/$C35</f>
        <v>0.67096491332695207</v>
      </c>
      <c r="AG37" s="694">
        <f t="shared" ca="1" si="12"/>
        <v>0.54943968934828902</v>
      </c>
      <c r="AH37" s="694">
        <f t="shared" ca="1" si="12"/>
        <v>0.54943968934828902</v>
      </c>
    </row>
    <row r="38" spans="2:34" x14ac:dyDescent="0.25">
      <c r="Z38" s="133"/>
      <c r="AA38" s="133"/>
    </row>
    <row r="39" spans="2:34" x14ac:dyDescent="0.25">
      <c r="V39" s="1" t="s">
        <v>163</v>
      </c>
      <c r="W39" s="45">
        <v>6617</v>
      </c>
      <c r="X39" t="s">
        <v>164</v>
      </c>
      <c r="Z39" s="133"/>
      <c r="AA39" s="133"/>
    </row>
    <row r="40" spans="2:34" x14ac:dyDescent="0.25">
      <c r="B40" s="812"/>
      <c r="V40" s="1" t="s">
        <v>165</v>
      </c>
      <c r="W40" s="45">
        <v>38476.182928384085</v>
      </c>
      <c r="X40" t="s">
        <v>166</v>
      </c>
    </row>
    <row r="41" spans="2:34" x14ac:dyDescent="0.25">
      <c r="B41" s="812"/>
      <c r="V41" s="1" t="s">
        <v>167</v>
      </c>
      <c r="W41" s="251">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29:AB29"/>
    <mergeCell ref="AC29:AD29"/>
    <mergeCell ref="AA32:AB32"/>
    <mergeCell ref="AC32:AD32"/>
    <mergeCell ref="S7:T7"/>
    <mergeCell ref="Y7:Z7"/>
    <mergeCell ref="AA7:AD7"/>
    <mergeCell ref="W5:X5"/>
    <mergeCell ref="I5:J5"/>
    <mergeCell ref="K5:L5"/>
    <mergeCell ref="M5:N5"/>
    <mergeCell ref="O5:P5"/>
    <mergeCell ref="Q5:R5"/>
    <mergeCell ref="S5:T5"/>
    <mergeCell ref="Q6:R6"/>
    <mergeCell ref="U6:V6"/>
    <mergeCell ref="U5:V5"/>
    <mergeCell ref="S6:T6"/>
    <mergeCell ref="O6:P6"/>
    <mergeCell ref="M4:N4"/>
    <mergeCell ref="O4:P4"/>
    <mergeCell ref="U4:V4"/>
    <mergeCell ref="W4:X4"/>
    <mergeCell ref="I3:J3"/>
    <mergeCell ref="K3:L3"/>
    <mergeCell ref="M3:N3"/>
    <mergeCell ref="O3:P3"/>
    <mergeCell ref="Q3:R3"/>
    <mergeCell ref="S3:T3"/>
    <mergeCell ref="S4:T4"/>
    <mergeCell ref="U3:V3"/>
    <mergeCell ref="A1:AJ1"/>
    <mergeCell ref="AI6:AJ6"/>
    <mergeCell ref="G6:H6"/>
    <mergeCell ref="C7:D7"/>
    <mergeCell ref="E7:F7"/>
    <mergeCell ref="G7:H7"/>
    <mergeCell ref="E3:F3"/>
    <mergeCell ref="E4:F4"/>
    <mergeCell ref="E5:F5"/>
    <mergeCell ref="G3:H3"/>
    <mergeCell ref="G4:H4"/>
    <mergeCell ref="G5:H5"/>
    <mergeCell ref="O7:P7"/>
    <mergeCell ref="W3:X3"/>
    <mergeCell ref="I4:J4"/>
    <mergeCell ref="K4:L4"/>
    <mergeCell ref="AI7:AJ7"/>
    <mergeCell ref="AA4:AD4"/>
    <mergeCell ref="AA31:AD31"/>
    <mergeCell ref="I6:J6"/>
    <mergeCell ref="I7:J7"/>
    <mergeCell ref="M6:N6"/>
    <mergeCell ref="K6:L6"/>
    <mergeCell ref="M7:N7"/>
    <mergeCell ref="K7:L7"/>
    <mergeCell ref="AE7:AH7"/>
    <mergeCell ref="Q7:R7"/>
    <mergeCell ref="U7:V7"/>
    <mergeCell ref="W7:X7"/>
    <mergeCell ref="W6:X6"/>
    <mergeCell ref="Y6:Z6"/>
    <mergeCell ref="AE6:AH6"/>
  </mergeCells>
  <pageMargins left="0.7" right="0.7" top="0.75" bottom="0.75" header="0.3" footer="0.3"/>
  <pageSetup orientation="portrait" verticalDpi="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Q204"/>
  <sheetViews>
    <sheetView zoomScaleNormal="100" workbookViewId="0">
      <selection sqref="A1:I1"/>
    </sheetView>
  </sheetViews>
  <sheetFormatPr defaultColWidth="8.85546875" defaultRowHeight="15" x14ac:dyDescent="0.25"/>
  <cols>
    <col min="1" max="1" width="27.7109375" customWidth="1"/>
    <col min="9" max="9" width="18.140625" customWidth="1"/>
    <col min="13" max="13" width="11.42578125" customWidth="1"/>
    <col min="25" max="25" width="11.140625" customWidth="1"/>
  </cols>
  <sheetData>
    <row r="1" spans="1:9" ht="18.75" x14ac:dyDescent="0.3">
      <c r="A1" s="828" t="s">
        <v>174</v>
      </c>
      <c r="B1" s="828"/>
      <c r="C1" s="828"/>
      <c r="D1" s="828"/>
      <c r="E1" s="828"/>
      <c r="F1" s="828"/>
      <c r="G1" s="828"/>
      <c r="H1" s="828"/>
      <c r="I1" s="828"/>
    </row>
    <row r="3" spans="1:9" x14ac:dyDescent="0.25">
      <c r="A3" s="244" t="s">
        <v>175</v>
      </c>
      <c r="B3" s="84" t="s">
        <v>176</v>
      </c>
    </row>
    <row r="4" spans="1:9" x14ac:dyDescent="0.25">
      <c r="A4" s="244" t="s">
        <v>177</v>
      </c>
      <c r="B4" s="703">
        <f>Summary!$C$8</f>
        <v>2023</v>
      </c>
    </row>
    <row r="6" spans="1:9" ht="15.75" x14ac:dyDescent="0.25">
      <c r="A6" s="831" t="s">
        <v>178</v>
      </c>
      <c r="B6" s="831"/>
      <c r="C6" s="831"/>
      <c r="D6" s="831"/>
      <c r="E6" s="831"/>
      <c r="F6" s="831"/>
      <c r="G6" s="831"/>
      <c r="H6" s="831"/>
    </row>
    <row r="7" spans="1:9" x14ac:dyDescent="0.25">
      <c r="A7" s="812"/>
      <c r="B7" s="812"/>
      <c r="C7" s="812"/>
      <c r="D7" s="812"/>
      <c r="E7" s="812"/>
      <c r="F7" s="812"/>
      <c r="G7" s="812"/>
      <c r="H7" s="812"/>
    </row>
    <row r="8" spans="1:9" x14ac:dyDescent="0.25">
      <c r="A8" s="245" t="s">
        <v>179</v>
      </c>
      <c r="B8" s="812"/>
      <c r="C8" s="812"/>
      <c r="D8" s="812"/>
      <c r="E8" s="812"/>
      <c r="F8" s="812"/>
      <c r="G8" s="812"/>
      <c r="H8" s="812"/>
    </row>
    <row r="9" spans="1:9" ht="15" customHeight="1" x14ac:dyDescent="0.25">
      <c r="A9" s="246" t="s">
        <v>180</v>
      </c>
      <c r="B9" s="812"/>
      <c r="C9" s="812"/>
      <c r="D9" s="812"/>
      <c r="E9" s="812"/>
      <c r="F9" s="812"/>
      <c r="G9" s="812"/>
      <c r="H9" s="812"/>
    </row>
    <row r="10" spans="1:9" ht="15" customHeight="1" x14ac:dyDescent="0.25">
      <c r="A10" s="246" t="s">
        <v>181</v>
      </c>
      <c r="B10" s="812"/>
      <c r="C10" s="812"/>
      <c r="D10" s="812"/>
      <c r="E10" s="812"/>
      <c r="F10" s="812"/>
      <c r="G10" s="812"/>
      <c r="H10" s="812"/>
    </row>
    <row r="11" spans="1:9" ht="15" customHeight="1" x14ac:dyDescent="0.25">
      <c r="A11" s="246" t="s">
        <v>182</v>
      </c>
      <c r="B11" s="812"/>
      <c r="C11" s="812"/>
      <c r="D11" s="812"/>
      <c r="E11" s="812"/>
      <c r="F11" s="812"/>
      <c r="G11" s="812"/>
      <c r="H11" s="812"/>
    </row>
    <row r="12" spans="1:9" ht="15" customHeight="1" x14ac:dyDescent="0.25">
      <c r="A12" s="246" t="s">
        <v>183</v>
      </c>
      <c r="B12" s="812"/>
      <c r="C12" s="812"/>
      <c r="D12" s="812"/>
      <c r="E12" s="812"/>
      <c r="F12" s="812"/>
      <c r="G12" s="812"/>
      <c r="H12" s="812"/>
    </row>
    <row r="13" spans="1:9" ht="15" customHeight="1" x14ac:dyDescent="0.25">
      <c r="A13" s="246" t="s">
        <v>184</v>
      </c>
      <c r="B13" s="812"/>
      <c r="C13" s="812"/>
      <c r="D13" s="812"/>
      <c r="E13" s="812"/>
      <c r="F13" s="812"/>
      <c r="G13" s="812"/>
      <c r="H13" s="812"/>
    </row>
    <row r="14" spans="1:9" x14ac:dyDescent="0.25">
      <c r="A14" s="812"/>
      <c r="B14" s="812"/>
      <c r="C14" s="812"/>
      <c r="D14" s="812"/>
      <c r="E14" s="812"/>
      <c r="F14" s="812"/>
      <c r="G14" s="812"/>
      <c r="H14" s="812"/>
    </row>
    <row r="15" spans="1:9" x14ac:dyDescent="0.25">
      <c r="A15" s="84"/>
      <c r="B15" s="845" t="s">
        <v>185</v>
      </c>
      <c r="C15" s="845"/>
      <c r="D15" s="812" t="s">
        <v>186</v>
      </c>
      <c r="F15" s="845" t="s">
        <v>187</v>
      </c>
      <c r="G15" s="845"/>
      <c r="H15" t="s">
        <v>188</v>
      </c>
    </row>
    <row r="16" spans="1:9" x14ac:dyDescent="0.25">
      <c r="A16" s="3" t="s">
        <v>189</v>
      </c>
      <c r="B16" s="813" t="s">
        <v>190</v>
      </c>
      <c r="C16" s="813" t="s">
        <v>191</v>
      </c>
      <c r="D16" s="813" t="s">
        <v>192</v>
      </c>
      <c r="F16" s="848" t="s">
        <v>193</v>
      </c>
      <c r="G16" s="848"/>
      <c r="H16" s="813" t="s">
        <v>194</v>
      </c>
    </row>
    <row r="17" spans="1:13" x14ac:dyDescent="0.25">
      <c r="A17" t="s">
        <v>195</v>
      </c>
      <c r="B17" s="247">
        <v>0.31772881708698097</v>
      </c>
      <c r="C17" s="247">
        <v>0.68227118291301903</v>
      </c>
      <c r="D17" s="248">
        <f>SUMPRODUCT(B17:C17,B$19:C$19)</f>
        <v>2035.3928754647418</v>
      </c>
      <c r="G17" s="1" t="s">
        <v>196</v>
      </c>
      <c r="H17" s="247">
        <v>0.78390298205494036</v>
      </c>
    </row>
    <row r="18" spans="1:13" x14ac:dyDescent="0.25">
      <c r="A18" t="s">
        <v>197</v>
      </c>
      <c r="B18" s="176">
        <v>1</v>
      </c>
      <c r="C18" s="176">
        <v>0</v>
      </c>
      <c r="D18" s="248">
        <f>SUMPRODUCT(B18:C18,B$19:C$19)</f>
        <v>896</v>
      </c>
      <c r="G18" s="1" t="s">
        <v>198</v>
      </c>
      <c r="H18" s="176">
        <v>0.89751772975716571</v>
      </c>
    </row>
    <row r="19" spans="1:13" x14ac:dyDescent="0.25">
      <c r="A19" t="s">
        <v>199</v>
      </c>
      <c r="B19" s="249">
        <v>896</v>
      </c>
      <c r="C19" s="249">
        <v>2566</v>
      </c>
      <c r="G19" s="250"/>
    </row>
    <row r="21" spans="1:13" x14ac:dyDescent="0.25">
      <c r="B21" s="841" t="str">
        <f>$B$4&amp;" Baseline Space Heating Emission Factors (lb/mmBTU)"</f>
        <v>2023 Baseline Space Heating Emission Factors (lb/mmBTU)</v>
      </c>
      <c r="C21" s="841"/>
      <c r="D21" s="841"/>
      <c r="E21" s="841"/>
      <c r="F21" s="841"/>
      <c r="G21" s="841"/>
      <c r="H21" s="841"/>
      <c r="J21" s="251"/>
      <c r="K21" s="251"/>
      <c r="L21" s="251"/>
      <c r="M21" s="90"/>
    </row>
    <row r="22" spans="1:13" x14ac:dyDescent="0.25">
      <c r="A22" s="3" t="s">
        <v>200</v>
      </c>
      <c r="B22" s="813" t="s">
        <v>201</v>
      </c>
      <c r="C22" s="813" t="s">
        <v>202</v>
      </c>
      <c r="D22" s="813" t="s">
        <v>132</v>
      </c>
      <c r="E22" s="813" t="s">
        <v>203</v>
      </c>
      <c r="F22" s="813" t="s">
        <v>204</v>
      </c>
      <c r="G22" s="813" t="s">
        <v>205</v>
      </c>
      <c r="H22" s="813" t="s">
        <v>206</v>
      </c>
      <c r="J22" s="251"/>
      <c r="K22" s="251"/>
      <c r="L22" s="251"/>
      <c r="M22" s="90"/>
    </row>
    <row r="23" spans="1:13" x14ac:dyDescent="0.25">
      <c r="A23" t="s">
        <v>207</v>
      </c>
      <c r="B23" s="133">
        <f ca="1">INDIRECT("'DevSumOut-"&amp;$B$4&amp;"BSR'!Y76")</f>
        <v>5.3200107774711587E-3</v>
      </c>
      <c r="C23" s="133">
        <f ca="1">INDIRECT("'DevSumOut-"&amp;$B$4&amp;"BSR'!Z76")</f>
        <v>8.3692180519276627E-2</v>
      </c>
      <c r="D23" s="133">
        <f ca="1">INDIRECT("'DevSumOut-"&amp;$B$4&amp;"BSR'!AA76")</f>
        <v>0.21565502227323741</v>
      </c>
      <c r="E23" s="133">
        <f ca="1">INDIRECT("'DevSumOut-"&amp;$B$4&amp;"BSR'!AB76")</f>
        <v>3.4040786781299502E-3</v>
      </c>
      <c r="F23" s="133">
        <f ca="1">INDIRECT("'DevSumOut-"&amp;$B$4&amp;"BSR'!AC76")</f>
        <v>3.4040786781299502E-3</v>
      </c>
      <c r="G23" s="133">
        <f ca="1">INDIRECT("'DevSumOut-"&amp;$B$4&amp;"BSR'!AD76")</f>
        <v>1.8277881485102382E-4</v>
      </c>
      <c r="H23" s="133">
        <f ca="1">INDIRECT("'DevSumOut-"&amp;$B$4&amp;"BSR'!AE76")</f>
        <v>3.3415760341667443E-3</v>
      </c>
      <c r="J23" s="251"/>
      <c r="K23" s="251"/>
      <c r="L23" s="251"/>
      <c r="M23" s="90"/>
    </row>
    <row r="24" spans="1:13" x14ac:dyDescent="0.25">
      <c r="A24" t="s">
        <v>208</v>
      </c>
      <c r="B24" s="133">
        <f ca="1">INDIRECT("'DevSumOut-"&amp;$B$4&amp;"BSR'!Y77")</f>
        <v>5.1480144404332118E-3</v>
      </c>
      <c r="C24" s="133">
        <f ca="1">INDIRECT("'DevSumOut-"&amp;$B$4&amp;"BSR'!Z77")</f>
        <v>0.12996389891696747</v>
      </c>
      <c r="D24" s="133">
        <f ca="1">INDIRECT("'DevSumOut-"&amp;$B$4&amp;"BSR'!AA77")</f>
        <v>9.1864259927797814E-2</v>
      </c>
      <c r="E24" s="133">
        <f ca="1">INDIRECT("'DevSumOut-"&amp;$B$4&amp;"BSR'!AB77")</f>
        <v>3.2967299611507722E-3</v>
      </c>
      <c r="F24" s="133">
        <f ca="1">INDIRECT("'DevSumOut-"&amp;$B$4&amp;"BSR'!AC77")</f>
        <v>3.2967299611507722E-3</v>
      </c>
      <c r="G24" s="133">
        <f ca="1">INDIRECT("'DevSumOut-"&amp;$B$4&amp;"BSR'!AD77")</f>
        <v>1.7686956241573894E-4</v>
      </c>
      <c r="H24" s="133">
        <f ca="1">INDIRECT("'DevSumOut-"&amp;$B$4&amp;"BSR'!AE77")</f>
        <v>3.2335426368953818E-3</v>
      </c>
    </row>
    <row r="25" spans="1:13" x14ac:dyDescent="0.25">
      <c r="A25" t="s">
        <v>209</v>
      </c>
      <c r="B25" s="133">
        <f ca="1">INDIRECT("'DevSumOut-"&amp;$B$4&amp;"BSR'!Y78")</f>
        <v>2.5471588234521456</v>
      </c>
      <c r="C25" s="133">
        <f ca="1">INDIRECT("'DevSumOut-"&amp;$B$4&amp;"BSR'!Z78")</f>
        <v>0.11968997240805068</v>
      </c>
      <c r="D25" s="133">
        <f ca="1">INDIRECT("'DevSumOut-"&amp;$B$4&amp;"BSR'!AA78")</f>
        <v>2.4523823403017283E-2</v>
      </c>
      <c r="E25" s="133">
        <f ca="1">INDIRECT("'DevSumOut-"&amp;$B$4&amp;"BSR'!AB78")</f>
        <v>0.69287170673481513</v>
      </c>
      <c r="F25" s="133">
        <f ca="1">INDIRECT("'DevSumOut-"&amp;$B$4&amp;"BSR'!AC78")</f>
        <v>0.69287170673481513</v>
      </c>
      <c r="G25" s="133">
        <f ca="1">INDIRECT("'DevSumOut-"&amp;$B$4&amp;"BSR'!AD78")</f>
        <v>2.6066045606575109E-2</v>
      </c>
      <c r="H25" s="133">
        <f ca="1">INDIRECT("'DevSumOut-"&amp;$B$4&amp;"BSR'!AE78")</f>
        <v>7.3618375295226377</v>
      </c>
    </row>
    <row r="26" spans="1:13" x14ac:dyDescent="0.25">
      <c r="A26" s="252"/>
    </row>
    <row r="27" spans="1:13" ht="15.75" x14ac:dyDescent="0.25">
      <c r="A27" s="831" t="s">
        <v>210</v>
      </c>
      <c r="B27" s="831"/>
      <c r="C27" s="831"/>
      <c r="D27" s="831"/>
      <c r="E27" s="831"/>
      <c r="F27" s="831"/>
      <c r="G27" s="831"/>
      <c r="H27" s="831"/>
    </row>
    <row r="28" spans="1:13" x14ac:dyDescent="0.25">
      <c r="A28" s="252"/>
    </row>
    <row r="29" spans="1:13" x14ac:dyDescent="0.25">
      <c r="A29" s="245" t="s">
        <v>179</v>
      </c>
    </row>
    <row r="30" spans="1:13" ht="15" customHeight="1" x14ac:dyDescent="0.35">
      <c r="A30" s="246" t="s">
        <v>211</v>
      </c>
    </row>
    <row r="31" spans="1:13" ht="15" customHeight="1" x14ac:dyDescent="0.35">
      <c r="A31" s="246" t="s">
        <v>212</v>
      </c>
    </row>
    <row r="32" spans="1:13" ht="15" customHeight="1" x14ac:dyDescent="0.25">
      <c r="A32" s="246" t="s">
        <v>213</v>
      </c>
    </row>
    <row r="33" spans="1:7" ht="15" customHeight="1" x14ac:dyDescent="0.25">
      <c r="A33" s="246" t="s">
        <v>214</v>
      </c>
    </row>
    <row r="34" spans="1:7" ht="15" customHeight="1" x14ac:dyDescent="0.25">
      <c r="A34" s="246" t="s">
        <v>215</v>
      </c>
    </row>
    <row r="35" spans="1:7" ht="15" customHeight="1" x14ac:dyDescent="0.25">
      <c r="A35" s="246" t="s">
        <v>216</v>
      </c>
    </row>
    <row r="36" spans="1:7" x14ac:dyDescent="0.25">
      <c r="A36" s="246"/>
    </row>
    <row r="37" spans="1:7" x14ac:dyDescent="0.25">
      <c r="A37" s="840" t="s">
        <v>217</v>
      </c>
      <c r="B37" s="840"/>
      <c r="C37" s="840"/>
      <c r="D37" s="840"/>
      <c r="E37" s="840"/>
      <c r="F37" s="840"/>
      <c r="G37" s="840"/>
    </row>
    <row r="51" spans="1:8" x14ac:dyDescent="0.25">
      <c r="A51" s="252" t="s">
        <v>218</v>
      </c>
    </row>
    <row r="52" spans="1:8" x14ac:dyDescent="0.25">
      <c r="A52" s="252"/>
    </row>
    <row r="53" spans="1:8" x14ac:dyDescent="0.25">
      <c r="A53" s="252"/>
      <c r="B53" s="168" t="s">
        <v>219</v>
      </c>
    </row>
    <row r="54" spans="1:8" x14ac:dyDescent="0.25">
      <c r="A54" s="252"/>
      <c r="B54" s="253" t="s">
        <v>220</v>
      </c>
      <c r="C54" s="254">
        <v>1.942443864412639E-6</v>
      </c>
      <c r="D54" s="255" t="s">
        <v>221</v>
      </c>
      <c r="E54" s="254">
        <v>5.9763082405351123E-4</v>
      </c>
    </row>
    <row r="56" spans="1:8" x14ac:dyDescent="0.25">
      <c r="E56" t="s">
        <v>222</v>
      </c>
    </row>
    <row r="57" spans="1:8" x14ac:dyDescent="0.25">
      <c r="C57" s="812" t="s">
        <v>186</v>
      </c>
      <c r="E57" s="812" t="s">
        <v>131</v>
      </c>
    </row>
    <row r="58" spans="1:8" x14ac:dyDescent="0.25">
      <c r="A58" s="3" t="s">
        <v>223</v>
      </c>
      <c r="B58" s="3"/>
      <c r="C58" s="813" t="s">
        <v>192</v>
      </c>
      <c r="D58" s="3"/>
      <c r="E58" s="3" t="s">
        <v>224</v>
      </c>
      <c r="F58" s="3"/>
    </row>
    <row r="59" spans="1:8" x14ac:dyDescent="0.25">
      <c r="A59" t="s">
        <v>225</v>
      </c>
      <c r="C59" s="12">
        <f>D17</f>
        <v>2035.3928754647418</v>
      </c>
      <c r="E59" s="256">
        <f>C59*C$54+E$54</f>
        <v>4.5512672266691976E-3</v>
      </c>
    </row>
    <row r="60" spans="1:8" x14ac:dyDescent="0.25">
      <c r="A60" s="3" t="s">
        <v>226</v>
      </c>
      <c r="B60" s="3"/>
      <c r="C60" s="516">
        <f>B19</f>
        <v>896</v>
      </c>
      <c r="D60" s="3"/>
      <c r="E60" s="257">
        <f>C60*C$54+E$54</f>
        <v>2.3380605265672359E-3</v>
      </c>
      <c r="F60" s="3"/>
    </row>
    <row r="61" spans="1:8" x14ac:dyDescent="0.25">
      <c r="D61" s="244" t="s">
        <v>227</v>
      </c>
      <c r="E61" s="258">
        <f>1-E60/E59</f>
        <v>0.48628361945727283</v>
      </c>
    </row>
    <row r="63" spans="1:8" x14ac:dyDescent="0.25">
      <c r="A63" s="845" t="s">
        <v>228</v>
      </c>
      <c r="B63" s="845"/>
      <c r="C63" s="845"/>
      <c r="D63" s="845"/>
      <c r="E63" s="845"/>
      <c r="F63" s="845"/>
      <c r="G63" s="845"/>
      <c r="H63" s="845"/>
    </row>
    <row r="65" spans="1:8" x14ac:dyDescent="0.25">
      <c r="A65" s="1" t="s">
        <v>229</v>
      </c>
      <c r="B65">
        <v>139600</v>
      </c>
      <c r="C65" t="s">
        <v>230</v>
      </c>
      <c r="D65" t="s">
        <v>231</v>
      </c>
    </row>
    <row r="66" spans="1:8" x14ac:dyDescent="0.25">
      <c r="A66" s="1" t="s">
        <v>232</v>
      </c>
      <c r="B66">
        <v>137400</v>
      </c>
      <c r="C66" t="s">
        <v>230</v>
      </c>
      <c r="D66" t="s">
        <v>231</v>
      </c>
    </row>
    <row r="67" spans="1:8" x14ac:dyDescent="0.25">
      <c r="A67" s="1" t="s">
        <v>233</v>
      </c>
      <c r="B67" s="251">
        <f>1-B66/B65</f>
        <v>1.5759312320916874E-2</v>
      </c>
    </row>
    <row r="69" spans="1:8" x14ac:dyDescent="0.25">
      <c r="B69" s="841" t="s">
        <v>234</v>
      </c>
      <c r="C69" s="841"/>
      <c r="D69" s="841"/>
      <c r="E69" s="841"/>
      <c r="F69" s="841"/>
      <c r="G69" s="841"/>
      <c r="H69" s="841"/>
    </row>
    <row r="70" spans="1:8" x14ac:dyDescent="0.25">
      <c r="A70" s="252"/>
      <c r="B70" s="813" t="s">
        <v>201</v>
      </c>
      <c r="C70" s="813" t="s">
        <v>202</v>
      </c>
      <c r="D70" s="813" t="s">
        <v>132</v>
      </c>
      <c r="E70" s="813" t="s">
        <v>203</v>
      </c>
      <c r="F70" s="813" t="s">
        <v>204</v>
      </c>
      <c r="G70" s="813" t="s">
        <v>205</v>
      </c>
      <c r="H70" s="813" t="s">
        <v>206</v>
      </c>
    </row>
    <row r="71" spans="1:8" x14ac:dyDescent="0.25">
      <c r="A71" t="s">
        <v>226</v>
      </c>
      <c r="B71" s="133">
        <f ca="1">B23</f>
        <v>5.3200107774711587E-3</v>
      </c>
      <c r="C71" s="133">
        <f ca="1">AVERAGE(C23:C24)*(1-25%)</f>
        <v>8.0121029788591536E-2</v>
      </c>
      <c r="D71" s="133">
        <f ca="1">D23*C60/D17</f>
        <v>9.4933465811951001E-2</v>
      </c>
      <c r="E71" s="133">
        <f ca="1">F71</f>
        <v>1.7487309776115891E-3</v>
      </c>
      <c r="F71" s="133">
        <f ca="1">F23*(1-E61)</f>
        <v>1.7487309776115891E-3</v>
      </c>
      <c r="G71" s="133">
        <f ca="1">G23</f>
        <v>1.8277881485102382E-4</v>
      </c>
      <c r="H71" s="133">
        <f ca="1">H23</f>
        <v>3.3415760341667443E-3</v>
      </c>
    </row>
    <row r="72" spans="1:8" x14ac:dyDescent="0.25">
      <c r="A72" s="252"/>
    </row>
    <row r="73" spans="1:8" ht="15.75" thickBot="1" x14ac:dyDescent="0.3">
      <c r="A73" s="252"/>
    </row>
    <row r="74" spans="1:8" ht="16.5" thickBot="1" x14ac:dyDescent="0.3">
      <c r="A74" s="842" t="s">
        <v>235</v>
      </c>
      <c r="B74" s="843"/>
      <c r="C74" s="844"/>
    </row>
    <row r="76" spans="1:8" x14ac:dyDescent="0.25">
      <c r="A76" s="245" t="s">
        <v>179</v>
      </c>
    </row>
    <row r="77" spans="1:8" x14ac:dyDescent="0.25">
      <c r="A77" s="246" t="s">
        <v>236</v>
      </c>
    </row>
    <row r="78" spans="1:8" x14ac:dyDescent="0.25">
      <c r="A78" s="246" t="s">
        <v>237</v>
      </c>
    </row>
    <row r="79" spans="1:8" x14ac:dyDescent="0.25">
      <c r="A79" s="246" t="s">
        <v>238</v>
      </c>
    </row>
    <row r="80" spans="1:8" x14ac:dyDescent="0.25">
      <c r="A80" s="246" t="s">
        <v>239</v>
      </c>
    </row>
    <row r="82" spans="1:8" x14ac:dyDescent="0.25">
      <c r="B82" s="845" t="str">
        <f>$B$4&amp;" Nonattainment Area Heating Energy by"</f>
        <v>2023 Nonattainment Area Heating Energy by</v>
      </c>
      <c r="C82" s="845"/>
      <c r="D82" s="845"/>
      <c r="E82" s="845"/>
      <c r="F82" s="845"/>
    </row>
    <row r="83" spans="1:8" x14ac:dyDescent="0.25">
      <c r="B83" s="845" t="s">
        <v>240</v>
      </c>
      <c r="C83" s="845"/>
      <c r="D83" s="845"/>
      <c r="E83" s="845"/>
      <c r="F83" s="845"/>
    </row>
    <row r="84" spans="1:8" x14ac:dyDescent="0.25">
      <c r="C84" s="812"/>
      <c r="D84" s="812" t="s">
        <v>241</v>
      </c>
      <c r="E84" s="812" t="s">
        <v>242</v>
      </c>
    </row>
    <row r="85" spans="1:8" x14ac:dyDescent="0.25">
      <c r="A85" s="3" t="s">
        <v>200</v>
      </c>
      <c r="B85" s="3"/>
      <c r="C85" s="813" t="s">
        <v>243</v>
      </c>
      <c r="D85" s="813" t="s">
        <v>244</v>
      </c>
      <c r="E85" s="813" t="s">
        <v>245</v>
      </c>
      <c r="F85" s="3"/>
    </row>
    <row r="86" spans="1:8" x14ac:dyDescent="0.25">
      <c r="A86" t="s">
        <v>246</v>
      </c>
      <c r="C86" s="45">
        <f ca="1">INDIRECT("'DevSumOut-"&amp;$B$4&amp;"BSR'!U76")</f>
        <v>31814.937945704958</v>
      </c>
      <c r="D86" s="846">
        <f>H$17</f>
        <v>0.78390298205494036</v>
      </c>
      <c r="E86" s="45">
        <f ca="1">C86/D86/2</f>
        <v>20292.650158253375</v>
      </c>
    </row>
    <row r="87" spans="1:8" x14ac:dyDescent="0.25">
      <c r="A87" t="s">
        <v>247</v>
      </c>
      <c r="C87" s="45">
        <f ca="1">INDIRECT("'DevSumOut-"&amp;$B$4&amp;"BSR'!U77")</f>
        <v>10506.185446242012</v>
      </c>
      <c r="D87" s="847"/>
      <c r="E87" s="45">
        <f ca="1">C87/D86/2</f>
        <v>6701.2026275884737</v>
      </c>
    </row>
    <row r="88" spans="1:8" x14ac:dyDescent="0.25">
      <c r="A88" s="3" t="s">
        <v>248</v>
      </c>
      <c r="B88" s="3"/>
      <c r="C88" s="88">
        <f ca="1">INDIRECT("'DevSumOut-"&amp;$B$4&amp;"BSR'!U78")</f>
        <v>7188.7456812464579</v>
      </c>
      <c r="D88" s="259">
        <f>H$18</f>
        <v>0.89751772975716571</v>
      </c>
      <c r="E88" s="88">
        <f ca="1">C88/D88/2</f>
        <v>4004.7931327169772</v>
      </c>
      <c r="F88" s="3"/>
    </row>
    <row r="89" spans="1:8" x14ac:dyDescent="0.25">
      <c r="A89" s="84" t="s">
        <v>249</v>
      </c>
      <c r="C89" s="87">
        <f ca="1">SUM(C86:C88)</f>
        <v>49509.869073193426</v>
      </c>
      <c r="D89" s="84"/>
      <c r="E89" s="87">
        <f ca="1">SUM(E86:E88)</f>
        <v>30998.645918558825</v>
      </c>
    </row>
    <row r="91" spans="1:8" x14ac:dyDescent="0.25">
      <c r="B91" s="841" t="s">
        <v>250</v>
      </c>
      <c r="C91" s="841"/>
      <c r="D91" s="841"/>
      <c r="E91" s="841"/>
      <c r="F91" s="841"/>
      <c r="G91" s="841"/>
      <c r="H91" s="841"/>
    </row>
    <row r="92" spans="1:8" x14ac:dyDescent="0.25">
      <c r="A92" s="3" t="s">
        <v>200</v>
      </c>
      <c r="B92" s="813" t="s">
        <v>201</v>
      </c>
      <c r="C92" s="813" t="s">
        <v>202</v>
      </c>
      <c r="D92" s="813" t="s">
        <v>132</v>
      </c>
      <c r="E92" s="813" t="s">
        <v>203</v>
      </c>
      <c r="F92" s="813" t="s">
        <v>204</v>
      </c>
      <c r="G92" s="813" t="s">
        <v>205</v>
      </c>
      <c r="H92" s="813" t="s">
        <v>206</v>
      </c>
    </row>
    <row r="93" spans="1:8" x14ac:dyDescent="0.25">
      <c r="A93" t="s">
        <v>251</v>
      </c>
      <c r="B93" s="133">
        <f t="shared" ref="B93:H95" ca="1" si="0">B23</f>
        <v>5.3200107774711587E-3</v>
      </c>
      <c r="C93" s="133">
        <f t="shared" ca="1" si="0"/>
        <v>8.3692180519276627E-2</v>
      </c>
      <c r="D93" s="133">
        <f t="shared" ca="1" si="0"/>
        <v>0.21565502227323741</v>
      </c>
      <c r="E93" s="133">
        <f t="shared" ca="1" si="0"/>
        <v>3.4040786781299502E-3</v>
      </c>
      <c r="F93" s="133">
        <f t="shared" ca="1" si="0"/>
        <v>3.4040786781299502E-3</v>
      </c>
      <c r="G93" s="133">
        <f t="shared" ca="1" si="0"/>
        <v>1.8277881485102382E-4</v>
      </c>
      <c r="H93" s="133">
        <f t="shared" ca="1" si="0"/>
        <v>3.3415760341667443E-3</v>
      </c>
    </row>
    <row r="94" spans="1:8" x14ac:dyDescent="0.25">
      <c r="A94" t="s">
        <v>252</v>
      </c>
      <c r="B94" s="133">
        <f t="shared" ca="1" si="0"/>
        <v>5.1480144404332118E-3</v>
      </c>
      <c r="C94" s="133">
        <f t="shared" ca="1" si="0"/>
        <v>0.12996389891696747</v>
      </c>
      <c r="D94" s="133">
        <f t="shared" ca="1" si="0"/>
        <v>9.1864259927797814E-2</v>
      </c>
      <c r="E94" s="133">
        <f t="shared" ca="1" si="0"/>
        <v>3.2967299611507722E-3</v>
      </c>
      <c r="F94" s="133">
        <f t="shared" ca="1" si="0"/>
        <v>3.2967299611507722E-3</v>
      </c>
      <c r="G94" s="133">
        <f t="shared" ca="1" si="0"/>
        <v>1.7686956241573894E-4</v>
      </c>
      <c r="H94" s="133">
        <f t="shared" ca="1" si="0"/>
        <v>3.2335426368953818E-3</v>
      </c>
    </row>
    <row r="95" spans="1:8" x14ac:dyDescent="0.25">
      <c r="A95" s="3" t="s">
        <v>248</v>
      </c>
      <c r="B95" s="135">
        <f t="shared" ca="1" si="0"/>
        <v>2.5471588234521456</v>
      </c>
      <c r="C95" s="135">
        <f t="shared" ca="1" si="0"/>
        <v>0.11968997240805068</v>
      </c>
      <c r="D95" s="135">
        <f t="shared" ca="1" si="0"/>
        <v>2.4523823403017283E-2</v>
      </c>
      <c r="E95" s="135">
        <f t="shared" ca="1" si="0"/>
        <v>0.69287170673481513</v>
      </c>
      <c r="F95" s="135">
        <f t="shared" ca="1" si="0"/>
        <v>0.69287170673481513</v>
      </c>
      <c r="G95" s="135">
        <f t="shared" ca="1" si="0"/>
        <v>2.6066045606575109E-2</v>
      </c>
      <c r="H95" s="135">
        <f t="shared" ca="1" si="0"/>
        <v>7.3618375295226377</v>
      </c>
    </row>
    <row r="96" spans="1:8" x14ac:dyDescent="0.25">
      <c r="B96" s="5"/>
      <c r="C96" s="5"/>
      <c r="D96" s="5"/>
      <c r="E96" s="5"/>
      <c r="F96" s="5"/>
      <c r="G96" s="5"/>
      <c r="H96" s="5"/>
    </row>
    <row r="97" spans="1:13" x14ac:dyDescent="0.25">
      <c r="B97" s="845" t="str">
        <f>$B$4&amp;" Baseline Emissions by Affected Fuel Type (tons/winter day)"</f>
        <v>2023 Baseline Emissions by Affected Fuel Type (tons/winter day)</v>
      </c>
      <c r="C97" s="845"/>
      <c r="D97" s="845"/>
      <c r="E97" s="845"/>
      <c r="F97" s="845"/>
      <c r="G97" s="845"/>
      <c r="H97" s="845"/>
    </row>
    <row r="98" spans="1:13" x14ac:dyDescent="0.25">
      <c r="A98" s="3" t="s">
        <v>253</v>
      </c>
      <c r="B98" s="813" t="s">
        <v>201</v>
      </c>
      <c r="C98" s="813" t="s">
        <v>202</v>
      </c>
      <c r="D98" s="816" t="s">
        <v>132</v>
      </c>
      <c r="E98" s="813" t="s">
        <v>203</v>
      </c>
      <c r="F98" s="453" t="s">
        <v>204</v>
      </c>
      <c r="G98" s="813" t="s">
        <v>205</v>
      </c>
      <c r="H98" s="813" t="s">
        <v>206</v>
      </c>
    </row>
    <row r="99" spans="1:13" x14ac:dyDescent="0.25">
      <c r="A99" t="s">
        <v>251</v>
      </c>
      <c r="B99" s="456">
        <f ca="1">B93*$C86/2000</f>
        <v>8.4627906377863257E-2</v>
      </c>
      <c r="C99" s="456">
        <f t="shared" ref="C99:H99" ca="1" si="1">C93*$C86/2000</f>
        <v>1.3313307648807615</v>
      </c>
      <c r="D99" s="457">
        <f t="shared" ca="1" si="1"/>
        <v>3.4305255756513344</v>
      </c>
      <c r="E99" s="456">
        <f t="shared" ca="1" si="1"/>
        <v>5.4150275953500866E-2</v>
      </c>
      <c r="F99" s="458">
        <f t="shared" ca="1" si="1"/>
        <v>5.4150275953500866E-2</v>
      </c>
      <c r="G99" s="456">
        <f t="shared" ca="1" si="1"/>
        <v>2.9075483261374094E-3</v>
      </c>
      <c r="H99" s="456">
        <f t="shared" ca="1" si="1"/>
        <v>5.3156017083934921E-2</v>
      </c>
    </row>
    <row r="100" spans="1:13" x14ac:dyDescent="0.25">
      <c r="A100" t="s">
        <v>252</v>
      </c>
      <c r="B100" s="5">
        <f t="shared" ref="B100:H101" ca="1" si="2">B94*$C87/2000</f>
        <v>2.7042997195561566E-2</v>
      </c>
      <c r="C100" s="5">
        <f t="shared" ca="1" si="2"/>
        <v>0.68271241166915586</v>
      </c>
      <c r="D100" s="459">
        <f t="shared" ca="1" si="2"/>
        <v>0.48257147534161132</v>
      </c>
      <c r="E100" s="5">
        <f t="shared" ca="1" si="2"/>
        <v>1.731802816901612E-2</v>
      </c>
      <c r="F100" s="460">
        <f t="shared" ca="1" si="2"/>
        <v>1.731802816901612E-2</v>
      </c>
      <c r="G100" s="5">
        <f t="shared" ca="1" si="2"/>
        <v>9.2911221126771486E-4</v>
      </c>
      <c r="H100" s="5">
        <f t="shared" ca="1" si="2"/>
        <v>1.698609929577664E-2</v>
      </c>
    </row>
    <row r="101" spans="1:13" x14ac:dyDescent="0.25">
      <c r="A101" s="3" t="s">
        <v>248</v>
      </c>
      <c r="B101" s="360">
        <f t="shared" ca="1" si="2"/>
        <v>9.1554384957702091</v>
      </c>
      <c r="C101" s="360">
        <f t="shared" ca="1" si="2"/>
        <v>0.43021038611844103</v>
      </c>
      <c r="D101" s="461">
        <f t="shared" ca="1" si="2"/>
        <v>8.8147764788045646E-2</v>
      </c>
      <c r="E101" s="360">
        <f t="shared" ca="1" si="2"/>
        <v>2.4904392447238823</v>
      </c>
      <c r="F101" s="462">
        <f t="shared" ca="1" si="2"/>
        <v>2.4904392447238823</v>
      </c>
      <c r="G101" s="360">
        <f t="shared" ca="1" si="2"/>
        <v>9.3691086390720019E-2</v>
      </c>
      <c r="H101" s="360">
        <f t="shared" ca="1" si="2"/>
        <v>26.461188873196978</v>
      </c>
    </row>
    <row r="102" spans="1:13" x14ac:dyDescent="0.25">
      <c r="A102" s="84" t="s">
        <v>249</v>
      </c>
      <c r="B102" s="450">
        <f ca="1">SUM(B99:B101)</f>
        <v>9.2671093993436333</v>
      </c>
      <c r="C102" s="450">
        <f t="shared" ref="C102:H102" ca="1" si="3">SUM(C99:C101)</f>
        <v>2.4442535626683584</v>
      </c>
      <c r="D102" s="357">
        <f t="shared" ca="1" si="3"/>
        <v>4.0012448157809919</v>
      </c>
      <c r="E102" s="450">
        <f t="shared" ca="1" si="3"/>
        <v>2.5619075488463992</v>
      </c>
      <c r="F102" s="463">
        <f t="shared" ca="1" si="3"/>
        <v>2.5619075488463992</v>
      </c>
      <c r="G102" s="450">
        <f t="shared" ca="1" si="3"/>
        <v>9.7527746928125145E-2</v>
      </c>
      <c r="H102" s="450">
        <f t="shared" ca="1" si="3"/>
        <v>26.531330989576688</v>
      </c>
    </row>
    <row r="103" spans="1:13" x14ac:dyDescent="0.25">
      <c r="A103" s="84"/>
      <c r="B103" s="260"/>
      <c r="C103" s="260"/>
      <c r="D103" s="260"/>
      <c r="E103" s="260"/>
      <c r="F103" s="260"/>
      <c r="G103" s="260"/>
      <c r="H103" s="260"/>
    </row>
    <row r="104" spans="1:13" ht="15.75" thickBot="1" x14ac:dyDescent="0.3"/>
    <row r="105" spans="1:13" ht="16.5" thickBot="1" x14ac:dyDescent="0.3">
      <c r="A105" s="842" t="s">
        <v>254</v>
      </c>
      <c r="B105" s="843"/>
      <c r="C105" s="844"/>
      <c r="H105" s="250"/>
    </row>
    <row r="106" spans="1:13" x14ac:dyDescent="0.25">
      <c r="M106" s="252"/>
    </row>
    <row r="107" spans="1:13" x14ac:dyDescent="0.25">
      <c r="A107" s="245" t="s">
        <v>179</v>
      </c>
      <c r="M107" s="252"/>
    </row>
    <row r="108" spans="1:13" ht="15" customHeight="1" x14ac:dyDescent="0.35">
      <c r="A108" s="246" t="s">
        <v>255</v>
      </c>
      <c r="M108" s="252"/>
    </row>
    <row r="109" spans="1:13" x14ac:dyDescent="0.25">
      <c r="A109" s="246" t="s">
        <v>256</v>
      </c>
      <c r="M109" s="252"/>
    </row>
    <row r="110" spans="1:13" x14ac:dyDescent="0.25">
      <c r="A110" s="246" t="s">
        <v>257</v>
      </c>
      <c r="M110" s="252"/>
    </row>
    <row r="111" spans="1:13" x14ac:dyDescent="0.25">
      <c r="A111" s="246" t="s">
        <v>258</v>
      </c>
      <c r="M111" s="252"/>
    </row>
    <row r="112" spans="1:13" x14ac:dyDescent="0.25">
      <c r="A112" s="246" t="s">
        <v>259</v>
      </c>
      <c r="M112" s="252"/>
    </row>
    <row r="113" spans="2:13" x14ac:dyDescent="0.25">
      <c r="M113" s="252"/>
    </row>
    <row r="114" spans="2:13" x14ac:dyDescent="0.25">
      <c r="B114" s="840" t="s">
        <v>260</v>
      </c>
      <c r="C114" s="840"/>
      <c r="D114" s="840"/>
      <c r="E114" s="840"/>
      <c r="F114" s="840"/>
      <c r="G114" s="840"/>
      <c r="H114" s="840"/>
      <c r="M114" s="252"/>
    </row>
    <row r="115" spans="2:13" x14ac:dyDescent="0.25">
      <c r="B115" s="1"/>
      <c r="D115" s="60"/>
      <c r="E115" s="60"/>
      <c r="F115" s="261"/>
      <c r="M115" s="252"/>
    </row>
    <row r="116" spans="2:13" x14ac:dyDescent="0.25">
      <c r="B116" s="1"/>
      <c r="C116" s="262" t="s">
        <v>261</v>
      </c>
      <c r="D116" s="60">
        <f>D135</f>
        <v>0.81</v>
      </c>
      <c r="E116" s="261"/>
      <c r="M116" s="252"/>
    </row>
    <row r="117" spans="2:13" x14ac:dyDescent="0.25">
      <c r="B117" s="1"/>
      <c r="C117" s="262" t="s">
        <v>262</v>
      </c>
      <c r="D117" s="60">
        <v>0.12</v>
      </c>
      <c r="E117" s="13" t="s">
        <v>263</v>
      </c>
      <c r="M117" s="252"/>
    </row>
    <row r="118" spans="2:13" x14ac:dyDescent="0.25">
      <c r="B118" s="1"/>
      <c r="C118" s="262" t="s">
        <v>264</v>
      </c>
      <c r="D118" s="60">
        <f>1-1/(1+D117)</f>
        <v>0.10714285714285721</v>
      </c>
      <c r="F118" s="261"/>
      <c r="M118" s="252"/>
    </row>
    <row r="119" spans="2:13" x14ac:dyDescent="0.25">
      <c r="B119" s="1"/>
      <c r="D119" s="262"/>
      <c r="E119" s="60"/>
      <c r="F119" s="261"/>
      <c r="M119" s="252"/>
    </row>
    <row r="120" spans="2:13" x14ac:dyDescent="0.25">
      <c r="B120" s="840" t="s">
        <v>265</v>
      </c>
      <c r="C120" s="840"/>
      <c r="D120" s="840"/>
      <c r="E120" s="840"/>
      <c r="F120" s="840"/>
      <c r="G120" s="840"/>
      <c r="H120" s="840"/>
      <c r="M120" s="252"/>
    </row>
    <row r="121" spans="2:13" x14ac:dyDescent="0.25">
      <c r="B121" s="1"/>
      <c r="D121" s="60"/>
      <c r="E121" s="262"/>
      <c r="F121" s="261"/>
      <c r="M121" s="252"/>
    </row>
    <row r="122" spans="2:13" x14ac:dyDescent="0.25">
      <c r="B122" s="1"/>
      <c r="C122" s="262" t="s">
        <v>266</v>
      </c>
      <c r="D122" s="263">
        <v>-0.29399999999999998</v>
      </c>
      <c r="E122" s="264" t="str">
        <f>"("&amp;TEXT(-D122,"0%")&amp;" decrease in oil demand per 100% increase in oil price -- UAF estimate)"</f>
        <v>(29% decrease in oil demand per 100% increase in oil price -- UAF estimate)</v>
      </c>
      <c r="F122" s="261"/>
      <c r="M122" s="252"/>
    </row>
    <row r="123" spans="2:13" x14ac:dyDescent="0.25">
      <c r="B123" s="1"/>
      <c r="C123" s="262" t="s">
        <v>267</v>
      </c>
      <c r="D123" s="464">
        <v>7.0000000000000007E-2</v>
      </c>
      <c r="E123" s="60"/>
      <c r="F123" s="1" t="s">
        <v>268</v>
      </c>
      <c r="G123" s="464">
        <v>2.89</v>
      </c>
      <c r="H123" t="s">
        <v>269</v>
      </c>
      <c r="M123" s="252"/>
    </row>
    <row r="124" spans="2:13" x14ac:dyDescent="0.25">
      <c r="B124" s="1"/>
      <c r="C124" s="262" t="s">
        <v>270</v>
      </c>
      <c r="D124" s="517">
        <f>D123/G123</f>
        <v>2.4221453287197232E-2</v>
      </c>
      <c r="E124" s="60"/>
      <c r="F124" s="261"/>
      <c r="M124" s="252"/>
    </row>
    <row r="125" spans="2:13" x14ac:dyDescent="0.25">
      <c r="B125" s="1"/>
      <c r="C125" s="262" t="s">
        <v>271</v>
      </c>
      <c r="D125" s="265">
        <f>-D122*D124</f>
        <v>7.1211072664359859E-3</v>
      </c>
      <c r="E125" s="264"/>
      <c r="F125" s="261"/>
      <c r="M125" s="252"/>
    </row>
    <row r="126" spans="2:13" x14ac:dyDescent="0.25">
      <c r="B126" s="1"/>
      <c r="C126" s="262" t="s">
        <v>272</v>
      </c>
      <c r="D126" s="263">
        <v>0.318</v>
      </c>
      <c r="E126" s="264" t="str">
        <f>"("&amp;TEXT(D126,"0%")&amp;" wood use increase per 100% increase in oil price)"</f>
        <v>(32% wood use increase per 100% increase in oil price)</v>
      </c>
      <c r="F126" s="261"/>
      <c r="M126" s="252"/>
    </row>
    <row r="127" spans="2:13" x14ac:dyDescent="0.25">
      <c r="B127" s="1"/>
      <c r="C127" s="262" t="s">
        <v>273</v>
      </c>
      <c r="D127" s="265">
        <f>D124*D126</f>
        <v>7.70242214532872E-3</v>
      </c>
      <c r="E127" s="264"/>
      <c r="F127" s="261"/>
      <c r="M127" s="252"/>
    </row>
    <row r="128" spans="2:13" x14ac:dyDescent="0.25">
      <c r="B128" s="1"/>
      <c r="D128" s="60"/>
      <c r="E128" s="264"/>
      <c r="F128" s="261"/>
      <c r="M128" s="252"/>
    </row>
    <row r="129" spans="1:13" x14ac:dyDescent="0.25">
      <c r="B129" s="840" t="s">
        <v>274</v>
      </c>
      <c r="C129" s="840"/>
      <c r="D129" s="840"/>
      <c r="E129" s="840"/>
      <c r="F129" s="840"/>
      <c r="G129" s="840"/>
      <c r="H129" s="840"/>
      <c r="M129" s="252"/>
    </row>
    <row r="130" spans="1:13" x14ac:dyDescent="0.25">
      <c r="B130" s="845" t="s">
        <v>275</v>
      </c>
      <c r="C130" s="845"/>
      <c r="D130" s="845"/>
      <c r="E130" s="845"/>
      <c r="F130" s="845"/>
      <c r="G130" s="845"/>
      <c r="H130" s="845"/>
      <c r="M130" s="252"/>
    </row>
    <row r="131" spans="1:13" x14ac:dyDescent="0.25">
      <c r="B131" s="812"/>
      <c r="C131" s="812"/>
      <c r="D131" s="812"/>
      <c r="E131" s="812"/>
      <c r="F131" s="812"/>
      <c r="G131" s="812"/>
      <c r="H131" s="812"/>
      <c r="M131" s="252"/>
    </row>
    <row r="132" spans="1:13" x14ac:dyDescent="0.25">
      <c r="D132" s="845" t="s">
        <v>276</v>
      </c>
      <c r="E132" s="845"/>
      <c r="F132" s="812" t="s">
        <v>277</v>
      </c>
      <c r="M132" s="252"/>
    </row>
    <row r="133" spans="1:13" x14ac:dyDescent="0.25">
      <c r="D133" s="812" t="s">
        <v>278</v>
      </c>
      <c r="E133" s="812" t="s">
        <v>279</v>
      </c>
      <c r="F133" s="812" t="s">
        <v>280</v>
      </c>
      <c r="M133" s="252"/>
    </row>
    <row r="134" spans="1:13" x14ac:dyDescent="0.25">
      <c r="D134" s="813" t="s">
        <v>36</v>
      </c>
      <c r="E134" s="813" t="s">
        <v>36</v>
      </c>
      <c r="F134" s="813" t="s">
        <v>281</v>
      </c>
      <c r="M134" s="252"/>
    </row>
    <row r="135" spans="1:13" x14ac:dyDescent="0.25">
      <c r="B135" s="1"/>
      <c r="D135" s="60">
        <f>'EFs-BTU'!D54</f>
        <v>0.81</v>
      </c>
      <c r="E135" s="60">
        <v>0.6</v>
      </c>
      <c r="F135" s="261">
        <f>E135/D135</f>
        <v>0.7407407407407407</v>
      </c>
      <c r="M135" s="252"/>
    </row>
    <row r="136" spans="1:13" x14ac:dyDescent="0.25">
      <c r="B136" s="1"/>
      <c r="D136" s="60"/>
      <c r="E136" s="264"/>
      <c r="F136" s="261"/>
      <c r="M136" s="252"/>
    </row>
    <row r="137" spans="1:13" x14ac:dyDescent="0.25">
      <c r="B137" s="845" t="str">
        <f>$B$4&amp;" Nonattainment Area Heating Energy by"</f>
        <v>2023 Nonattainment Area Heating Energy by</v>
      </c>
      <c r="C137" s="845"/>
      <c r="D137" s="845"/>
      <c r="E137" s="845"/>
      <c r="F137" s="845"/>
      <c r="G137" s="845"/>
      <c r="M137" s="252"/>
    </row>
    <row r="138" spans="1:13" x14ac:dyDescent="0.25">
      <c r="B138" s="845" t="s">
        <v>282</v>
      </c>
      <c r="C138" s="845"/>
      <c r="D138" s="845"/>
      <c r="E138" s="845"/>
      <c r="F138" s="845"/>
      <c r="G138" s="845"/>
      <c r="M138" s="252"/>
    </row>
    <row r="139" spans="1:13" x14ac:dyDescent="0.25">
      <c r="B139" s="812" t="s">
        <v>283</v>
      </c>
      <c r="C139" s="812" t="s">
        <v>284</v>
      </c>
      <c r="D139" s="812" t="s">
        <v>285</v>
      </c>
      <c r="E139" s="812" t="s">
        <v>286</v>
      </c>
      <c r="F139" s="812" t="s">
        <v>280</v>
      </c>
      <c r="G139" s="812" t="s">
        <v>287</v>
      </c>
      <c r="H139" s="812" t="s">
        <v>283</v>
      </c>
      <c r="M139" s="252"/>
    </row>
    <row r="140" spans="1:13" x14ac:dyDescent="0.25">
      <c r="B140" s="812" t="s">
        <v>243</v>
      </c>
      <c r="C140" s="812" t="s">
        <v>288</v>
      </c>
      <c r="D140" s="812" t="s">
        <v>288</v>
      </c>
      <c r="E140" s="812" t="s">
        <v>289</v>
      </c>
      <c r="F140" s="812" t="s">
        <v>290</v>
      </c>
      <c r="G140" s="812" t="s">
        <v>291</v>
      </c>
      <c r="H140" s="812" t="s">
        <v>243</v>
      </c>
      <c r="M140" s="252"/>
    </row>
    <row r="141" spans="1:13" x14ac:dyDescent="0.25">
      <c r="A141" s="3" t="s">
        <v>200</v>
      </c>
      <c r="B141" s="813" t="s">
        <v>101</v>
      </c>
      <c r="C141" s="813" t="s">
        <v>292</v>
      </c>
      <c r="D141" s="813" t="s">
        <v>292</v>
      </c>
      <c r="E141" s="813" t="s">
        <v>293</v>
      </c>
      <c r="F141" s="813" t="s">
        <v>294</v>
      </c>
      <c r="G141" s="813" t="s">
        <v>294</v>
      </c>
      <c r="H141" s="3" t="s">
        <v>295</v>
      </c>
      <c r="M141" s="252"/>
    </row>
    <row r="142" spans="1:13" x14ac:dyDescent="0.25">
      <c r="A142" t="s">
        <v>246</v>
      </c>
      <c r="B142" s="45">
        <f ca="1">C86</f>
        <v>31814.937945704958</v>
      </c>
      <c r="C142" s="267"/>
      <c r="D142" s="45">
        <f ca="1">B142+C142</f>
        <v>31814.937945704958</v>
      </c>
      <c r="E142" s="266">
        <f ca="1">-D142*$D$125</f>
        <v>-226.55758578636954</v>
      </c>
      <c r="F142" s="267"/>
      <c r="G142" s="266">
        <f ca="1">B142*$B$67</f>
        <v>501.38154355695394</v>
      </c>
      <c r="H142" s="45">
        <f ca="1">D142+E142+F142</f>
        <v>31588.380359918589</v>
      </c>
      <c r="I142" s="13"/>
      <c r="M142" s="252"/>
    </row>
    <row r="143" spans="1:13" x14ac:dyDescent="0.25">
      <c r="A143" t="s">
        <v>247</v>
      </c>
      <c r="B143" s="45">
        <f t="shared" ref="B143:B144" ca="1" si="4">C87</f>
        <v>10506.185446242012</v>
      </c>
      <c r="C143" s="267"/>
      <c r="D143" s="45">
        <f ca="1">B143+C143</f>
        <v>10506.185446242012</v>
      </c>
      <c r="E143" s="266">
        <f ca="1">-D143*$D$125</f>
        <v>-74.815673523757994</v>
      </c>
      <c r="F143" s="267"/>
      <c r="H143" s="45">
        <f ca="1">D143+E143</f>
        <v>10431.369772718255</v>
      </c>
      <c r="I143" s="13"/>
      <c r="M143" s="252"/>
    </row>
    <row r="144" spans="1:13" x14ac:dyDescent="0.25">
      <c r="A144" s="3" t="s">
        <v>248</v>
      </c>
      <c r="B144" s="88">
        <f t="shared" ca="1" si="4"/>
        <v>7188.7456812464579</v>
      </c>
      <c r="C144" s="268"/>
      <c r="D144" s="88">
        <f ca="1">B144+C144</f>
        <v>7188.7456812464579</v>
      </c>
      <c r="E144" s="269">
        <f ca="1">D144*D127</f>
        <v>55.370753932368913</v>
      </c>
      <c r="F144" s="269">
        <f ca="1">E144/F135</f>
        <v>74.750517808698035</v>
      </c>
      <c r="G144" s="3"/>
      <c r="H144" s="88">
        <f ca="1">D144+F144</f>
        <v>7263.4961990551556</v>
      </c>
      <c r="M144" s="252"/>
    </row>
    <row r="145" spans="1:13" x14ac:dyDescent="0.25">
      <c r="A145" t="s">
        <v>249</v>
      </c>
      <c r="B145" s="87">
        <f ca="1">SUM(B142:B144)</f>
        <v>49509.869073193426</v>
      </c>
      <c r="C145" s="87">
        <f>SUM(C142:C144)</f>
        <v>0</v>
      </c>
      <c r="D145" s="87">
        <f ca="1">SUM(D142:D144)</f>
        <v>49509.869073193426</v>
      </c>
      <c r="E145" s="87">
        <f ca="1">SUM(E142:E144)</f>
        <v>-246.00250537775861</v>
      </c>
      <c r="F145" s="87">
        <f ca="1">SUM(F142:F144)</f>
        <v>74.750517808698035</v>
      </c>
      <c r="H145" s="87">
        <f t="shared" ref="H145" ca="1" si="5">SUM(H142:H144)</f>
        <v>49283.246331691997</v>
      </c>
      <c r="M145" s="252"/>
    </row>
    <row r="146" spans="1:13" x14ac:dyDescent="0.25">
      <c r="B146" s="1"/>
      <c r="D146" s="60"/>
      <c r="E146" s="264"/>
      <c r="F146" s="261"/>
      <c r="M146" s="252"/>
    </row>
    <row r="147" spans="1:13" x14ac:dyDescent="0.25">
      <c r="B147" s="841" t="s">
        <v>250</v>
      </c>
      <c r="C147" s="841"/>
      <c r="D147" s="841"/>
      <c r="E147" s="841"/>
      <c r="F147" s="841"/>
      <c r="G147" s="841"/>
      <c r="H147" s="841"/>
      <c r="M147" s="252"/>
    </row>
    <row r="148" spans="1:13" x14ac:dyDescent="0.25">
      <c r="A148" s="3" t="s">
        <v>200</v>
      </c>
      <c r="B148" s="813" t="s">
        <v>201</v>
      </c>
      <c r="C148" s="813" t="s">
        <v>202</v>
      </c>
      <c r="D148" s="813" t="s">
        <v>132</v>
      </c>
      <c r="E148" s="813" t="s">
        <v>203</v>
      </c>
      <c r="F148" s="813" t="s">
        <v>204</v>
      </c>
      <c r="G148" s="813" t="s">
        <v>205</v>
      </c>
      <c r="H148" s="813" t="s">
        <v>206</v>
      </c>
      <c r="M148" s="252"/>
    </row>
    <row r="149" spans="1:13" x14ac:dyDescent="0.25">
      <c r="A149" t="s">
        <v>296</v>
      </c>
      <c r="B149" s="133">
        <f ca="1">B$71</f>
        <v>5.3200107774711587E-3</v>
      </c>
      <c r="C149" s="133">
        <f t="shared" ref="C149:H150" ca="1" si="6">C$71</f>
        <v>8.0121029788591536E-2</v>
      </c>
      <c r="D149" s="133">
        <f t="shared" ca="1" si="6"/>
        <v>9.4933465811951001E-2</v>
      </c>
      <c r="E149" s="133">
        <f t="shared" ca="1" si="6"/>
        <v>1.7487309776115891E-3</v>
      </c>
      <c r="F149" s="133">
        <f t="shared" ca="1" si="6"/>
        <v>1.7487309776115891E-3</v>
      </c>
      <c r="G149" s="133">
        <f t="shared" ca="1" si="6"/>
        <v>1.8277881485102382E-4</v>
      </c>
      <c r="H149" s="133">
        <f t="shared" ca="1" si="6"/>
        <v>3.3415760341667443E-3</v>
      </c>
      <c r="M149" s="252"/>
    </row>
    <row r="150" spans="1:13" x14ac:dyDescent="0.25">
      <c r="A150" t="s">
        <v>297</v>
      </c>
      <c r="B150" s="133">
        <f ca="1">B$71</f>
        <v>5.3200107774711587E-3</v>
      </c>
      <c r="C150" s="133">
        <f t="shared" ca="1" si="6"/>
        <v>8.0121029788591536E-2</v>
      </c>
      <c r="D150" s="133">
        <f t="shared" ca="1" si="6"/>
        <v>9.4933465811951001E-2</v>
      </c>
      <c r="E150" s="133">
        <f t="shared" ca="1" si="6"/>
        <v>1.7487309776115891E-3</v>
      </c>
      <c r="F150" s="133">
        <f t="shared" ca="1" si="6"/>
        <v>1.7487309776115891E-3</v>
      </c>
      <c r="G150" s="133">
        <f t="shared" ca="1" si="6"/>
        <v>1.8277881485102382E-4</v>
      </c>
      <c r="H150" s="133">
        <f t="shared" ca="1" si="6"/>
        <v>3.3415760341667443E-3</v>
      </c>
      <c r="M150" s="252"/>
    </row>
    <row r="151" spans="1:13" x14ac:dyDescent="0.25">
      <c r="A151" s="3" t="s">
        <v>248</v>
      </c>
      <c r="B151" s="135">
        <f t="shared" ref="B151:H151" ca="1" si="7">B25</f>
        <v>2.5471588234521456</v>
      </c>
      <c r="C151" s="135">
        <f t="shared" ca="1" si="7"/>
        <v>0.11968997240805068</v>
      </c>
      <c r="D151" s="135">
        <f t="shared" ca="1" si="7"/>
        <v>2.4523823403017283E-2</v>
      </c>
      <c r="E151" s="135">
        <f t="shared" ca="1" si="7"/>
        <v>0.69287170673481513</v>
      </c>
      <c r="F151" s="135">
        <f t="shared" ca="1" si="7"/>
        <v>0.69287170673481513</v>
      </c>
      <c r="G151" s="135">
        <f t="shared" ca="1" si="7"/>
        <v>2.6066045606575109E-2</v>
      </c>
      <c r="H151" s="135">
        <f t="shared" ca="1" si="7"/>
        <v>7.3618375295226377</v>
      </c>
      <c r="M151" s="252"/>
    </row>
    <row r="152" spans="1:13" x14ac:dyDescent="0.25">
      <c r="B152" s="1"/>
      <c r="D152" s="60"/>
      <c r="E152" s="264"/>
      <c r="F152" s="261"/>
      <c r="M152" s="252"/>
    </row>
    <row r="153" spans="1:13" x14ac:dyDescent="0.25">
      <c r="B153" s="845" t="str">
        <f>$B$4&amp;" #1 Emissions by Fuel Type (tons/winter day), with EC Adjustment"</f>
        <v>2023 #1 Emissions by Fuel Type (tons/winter day), with EC Adjustment</v>
      </c>
      <c r="C153" s="845"/>
      <c r="D153" s="845"/>
      <c r="E153" s="845"/>
      <c r="F153" s="845"/>
      <c r="G153" s="845"/>
      <c r="H153" s="845"/>
    </row>
    <row r="154" spans="1:13" x14ac:dyDescent="0.25">
      <c r="A154" s="3" t="s">
        <v>253</v>
      </c>
      <c r="B154" s="813" t="s">
        <v>201</v>
      </c>
      <c r="C154" s="813" t="s">
        <v>202</v>
      </c>
      <c r="D154" s="816" t="s">
        <v>132</v>
      </c>
      <c r="E154" s="813" t="s">
        <v>203</v>
      </c>
      <c r="F154" s="453" t="s">
        <v>204</v>
      </c>
      <c r="G154" s="813" t="s">
        <v>205</v>
      </c>
      <c r="H154" s="813" t="s">
        <v>206</v>
      </c>
    </row>
    <row r="155" spans="1:13" x14ac:dyDescent="0.25">
      <c r="A155" t="s">
        <v>296</v>
      </c>
      <c r="B155" s="456">
        <f t="shared" ref="B155:H157" ca="1" si="8">B149*$H142/2000</f>
        <v>8.4025261978812577E-2</v>
      </c>
      <c r="C155" s="456">
        <f t="shared" ca="1" si="8"/>
        <v>1.2654467818951984</v>
      </c>
      <c r="D155" s="457">
        <f t="shared" ca="1" si="8"/>
        <v>1.499397213476618</v>
      </c>
      <c r="E155" s="456">
        <f t="shared" ca="1" si="8"/>
        <v>2.7619789633983576E-2</v>
      </c>
      <c r="F155" s="458">
        <f t="shared" ca="1" si="8"/>
        <v>2.7619789633983576E-2</v>
      </c>
      <c r="G155" s="456">
        <f t="shared" ca="1" si="8"/>
        <v>2.8868433626246387E-3</v>
      </c>
      <c r="H155" s="456">
        <f t="shared" ca="1" si="8"/>
        <v>5.2777487384423713E-2</v>
      </c>
    </row>
    <row r="156" spans="1:13" x14ac:dyDescent="0.25">
      <c r="A156" t="s">
        <v>297</v>
      </c>
      <c r="B156" s="5">
        <f t="shared" ca="1" si="8"/>
        <v>2.7747499807323994E-2</v>
      </c>
      <c r="C156" s="5">
        <f t="shared" ca="1" si="8"/>
        <v>0.41788604414788633</v>
      </c>
      <c r="D156" s="459">
        <f t="shared" ca="1" si="8"/>
        <v>0.49514304284508381</v>
      </c>
      <c r="E156" s="5">
        <f t="shared" ca="1" si="8"/>
        <v>9.1208297302367864E-3</v>
      </c>
      <c r="F156" s="460">
        <f t="shared" ca="1" si="8"/>
        <v>9.1208297302367864E-3</v>
      </c>
      <c r="G156" s="5">
        <f t="shared" ca="1" si="8"/>
        <v>9.5331670216511821E-4</v>
      </c>
      <c r="H156" s="5">
        <f t="shared" ca="1" si="8"/>
        <v>1.742860761802336E-2</v>
      </c>
    </row>
    <row r="157" spans="1:13" x14ac:dyDescent="0.25">
      <c r="A157" s="3" t="s">
        <v>248</v>
      </c>
      <c r="B157" s="360">
        <f t="shared" ca="1" si="8"/>
        <v>9.2506392162672313</v>
      </c>
      <c r="C157" s="360">
        <f t="shared" ca="1" si="8"/>
        <v>0.43468382982544629</v>
      </c>
      <c r="D157" s="461">
        <f t="shared" ca="1" si="8"/>
        <v>8.9064349037057955E-2</v>
      </c>
      <c r="E157" s="360">
        <f t="shared" ca="1" si="8"/>
        <v>2.5163355041505944</v>
      </c>
      <c r="F157" s="462">
        <f t="shared" ca="1" si="8"/>
        <v>2.5163355041505944</v>
      </c>
      <c r="G157" s="360">
        <f t="shared" ca="1" si="8"/>
        <v>9.466531159387831E-2</v>
      </c>
      <c r="H157" s="360">
        <f t="shared" ca="1" si="8"/>
        <v>26.736339456874639</v>
      </c>
    </row>
    <row r="158" spans="1:13" x14ac:dyDescent="0.25">
      <c r="A158" s="84" t="s">
        <v>249</v>
      </c>
      <c r="B158" s="450">
        <f ca="1">SUM(B155:B157)</f>
        <v>9.3624119780533679</v>
      </c>
      <c r="C158" s="450">
        <f t="shared" ref="C158:H158" ca="1" si="9">SUM(C155:C157)</f>
        <v>2.1180166558685309</v>
      </c>
      <c r="D158" s="357">
        <f t="shared" ca="1" si="9"/>
        <v>2.0836046053587598</v>
      </c>
      <c r="E158" s="450">
        <f t="shared" ca="1" si="9"/>
        <v>2.5530761235148147</v>
      </c>
      <c r="F158" s="463">
        <f t="shared" ca="1" si="9"/>
        <v>2.5530761235148147</v>
      </c>
      <c r="G158" s="450">
        <f t="shared" ca="1" si="9"/>
        <v>9.8505471658668062E-2</v>
      </c>
      <c r="H158" s="450">
        <f t="shared" ca="1" si="9"/>
        <v>26.806545551877086</v>
      </c>
    </row>
    <row r="159" spans="1:13" x14ac:dyDescent="0.25">
      <c r="B159" s="1"/>
      <c r="D159" s="60"/>
      <c r="E159" s="264"/>
      <c r="F159" s="261"/>
      <c r="M159" s="252"/>
    </row>
    <row r="160" spans="1:13" ht="15.75" thickBot="1" x14ac:dyDescent="0.3">
      <c r="M160" s="252"/>
    </row>
    <row r="161" spans="1:15" ht="16.5" thickBot="1" x14ac:dyDescent="0.3">
      <c r="A161" s="270" t="s">
        <v>298</v>
      </c>
      <c r="B161" s="271"/>
      <c r="C161" s="272"/>
      <c r="M161" s="252"/>
    </row>
    <row r="162" spans="1:15" ht="15.75" x14ac:dyDescent="0.25">
      <c r="A162" s="273"/>
    </row>
    <row r="163" spans="1:15" ht="15.75" x14ac:dyDescent="0.25">
      <c r="A163" s="273"/>
      <c r="B163" s="845" t="s">
        <v>299</v>
      </c>
      <c r="C163" s="845"/>
      <c r="D163" s="845"/>
      <c r="E163" s="845"/>
      <c r="F163" s="845"/>
      <c r="G163" s="845"/>
      <c r="H163" s="845"/>
      <c r="I163" s="812" t="s">
        <v>300</v>
      </c>
    </row>
    <row r="164" spans="1:15" x14ac:dyDescent="0.25">
      <c r="A164" s="813" t="s">
        <v>301</v>
      </c>
      <c r="B164" s="813" t="s">
        <v>201</v>
      </c>
      <c r="C164" s="813" t="s">
        <v>202</v>
      </c>
      <c r="D164" s="363" t="s">
        <v>132</v>
      </c>
      <c r="E164" s="813" t="s">
        <v>203</v>
      </c>
      <c r="F164" s="454" t="s">
        <v>204</v>
      </c>
      <c r="G164" s="813" t="s">
        <v>205</v>
      </c>
      <c r="H164" s="813" t="s">
        <v>206</v>
      </c>
      <c r="I164" s="813" t="s">
        <v>302</v>
      </c>
    </row>
    <row r="165" spans="1:15" x14ac:dyDescent="0.25">
      <c r="A165" s="812">
        <f>$B$4+I165-1</f>
        <v>2023</v>
      </c>
      <c r="B165" s="452">
        <f ca="1">(B$102-B$158)*$I165</f>
        <v>-9.5302578709734576E-2</v>
      </c>
      <c r="C165" s="452">
        <f t="shared" ref="C165:H165" ca="1" si="10">(C$102-C$158)*$I165</f>
        <v>0.32623690679982742</v>
      </c>
      <c r="D165" s="465">
        <f t="shared" ca="1" si="10"/>
        <v>1.9176402104222321</v>
      </c>
      <c r="E165" s="452">
        <f t="shared" ca="1" si="10"/>
        <v>8.8314253315844304E-3</v>
      </c>
      <c r="F165" s="455">
        <f t="shared" ca="1" si="10"/>
        <v>8.8314253315844304E-3</v>
      </c>
      <c r="G165" s="452">
        <f t="shared" ca="1" si="10"/>
        <v>-9.7772473054291709E-4</v>
      </c>
      <c r="H165" s="452">
        <f t="shared" ca="1" si="10"/>
        <v>-0.27521456230039831</v>
      </c>
      <c r="I165" s="812">
        <v>1</v>
      </c>
      <c r="K165" s="252" t="s">
        <v>303</v>
      </c>
    </row>
    <row r="166" spans="1:15" x14ac:dyDescent="0.25">
      <c r="A166" s="812">
        <f t="shared" ref="A166:A171" si="11">$B$4+I166-1</f>
        <v>2024</v>
      </c>
      <c r="B166" s="452">
        <f t="shared" ref="B166:B171" ca="1" si="12">B165</f>
        <v>-9.5302578709734576E-2</v>
      </c>
      <c r="C166" s="452">
        <f t="shared" ref="C166:H171" ca="1" si="13">C165</f>
        <v>0.32623690679982742</v>
      </c>
      <c r="D166" s="465">
        <f t="shared" ca="1" si="13"/>
        <v>1.9176402104222321</v>
      </c>
      <c r="E166" s="452">
        <f t="shared" ca="1" si="13"/>
        <v>8.8314253315844304E-3</v>
      </c>
      <c r="F166" s="455">
        <f t="shared" ca="1" si="13"/>
        <v>8.8314253315844304E-3</v>
      </c>
      <c r="G166" s="452">
        <f t="shared" ca="1" si="13"/>
        <v>-9.7772473054291709E-4</v>
      </c>
      <c r="H166" s="452">
        <f t="shared" ca="1" si="13"/>
        <v>-0.27521456230039831</v>
      </c>
      <c r="I166" s="812">
        <v>2</v>
      </c>
      <c r="O166" s="252"/>
    </row>
    <row r="167" spans="1:15" x14ac:dyDescent="0.25">
      <c r="A167" s="812">
        <f t="shared" si="11"/>
        <v>2025</v>
      </c>
      <c r="B167" s="452">
        <f t="shared" ca="1" si="12"/>
        <v>-9.5302578709734576E-2</v>
      </c>
      <c r="C167" s="452">
        <f t="shared" ca="1" si="13"/>
        <v>0.32623690679982742</v>
      </c>
      <c r="D167" s="465">
        <f t="shared" ca="1" si="13"/>
        <v>1.9176402104222321</v>
      </c>
      <c r="E167" s="452">
        <f t="shared" ca="1" si="13"/>
        <v>8.8314253315844304E-3</v>
      </c>
      <c r="F167" s="455">
        <f t="shared" ca="1" si="13"/>
        <v>8.8314253315844304E-3</v>
      </c>
      <c r="G167" s="452">
        <f t="shared" ca="1" si="13"/>
        <v>-9.7772473054291709E-4</v>
      </c>
      <c r="H167" s="452">
        <f t="shared" ca="1" si="13"/>
        <v>-0.27521456230039831</v>
      </c>
      <c r="I167" s="812">
        <v>3</v>
      </c>
      <c r="O167" s="252"/>
    </row>
    <row r="168" spans="1:15" x14ac:dyDescent="0.25">
      <c r="A168" s="812">
        <f t="shared" si="11"/>
        <v>2026</v>
      </c>
      <c r="B168" s="452">
        <f t="shared" ca="1" si="12"/>
        <v>-9.5302578709734576E-2</v>
      </c>
      <c r="C168" s="452">
        <f t="shared" ca="1" si="13"/>
        <v>0.32623690679982742</v>
      </c>
      <c r="D168" s="465">
        <f t="shared" ca="1" si="13"/>
        <v>1.9176402104222321</v>
      </c>
      <c r="E168" s="452">
        <f t="shared" ca="1" si="13"/>
        <v>8.8314253315844304E-3</v>
      </c>
      <c r="F168" s="455">
        <f t="shared" ca="1" si="13"/>
        <v>8.8314253315844304E-3</v>
      </c>
      <c r="G168" s="452">
        <f t="shared" ca="1" si="13"/>
        <v>-9.7772473054291709E-4</v>
      </c>
      <c r="H168" s="452">
        <f t="shared" ca="1" si="13"/>
        <v>-0.27521456230039831</v>
      </c>
      <c r="I168" s="812">
        <v>4</v>
      </c>
      <c r="O168" s="252"/>
    </row>
    <row r="169" spans="1:15" x14ac:dyDescent="0.25">
      <c r="A169" s="812">
        <f t="shared" si="11"/>
        <v>2027</v>
      </c>
      <c r="B169" s="452">
        <f t="shared" ca="1" si="12"/>
        <v>-9.5302578709734576E-2</v>
      </c>
      <c r="C169" s="452">
        <f t="shared" ca="1" si="13"/>
        <v>0.32623690679982742</v>
      </c>
      <c r="D169" s="465">
        <f t="shared" ca="1" si="13"/>
        <v>1.9176402104222321</v>
      </c>
      <c r="E169" s="452">
        <f t="shared" ca="1" si="13"/>
        <v>8.8314253315844304E-3</v>
      </c>
      <c r="F169" s="455">
        <f t="shared" ca="1" si="13"/>
        <v>8.8314253315844304E-3</v>
      </c>
      <c r="G169" s="452">
        <f t="shared" ca="1" si="13"/>
        <v>-9.7772473054291709E-4</v>
      </c>
      <c r="H169" s="452">
        <f t="shared" ca="1" si="13"/>
        <v>-0.27521456230039831</v>
      </c>
      <c r="I169" s="812">
        <v>5</v>
      </c>
    </row>
    <row r="170" spans="1:15" x14ac:dyDescent="0.25">
      <c r="A170" s="812">
        <f t="shared" si="11"/>
        <v>2028</v>
      </c>
      <c r="B170" s="452">
        <f t="shared" ca="1" si="12"/>
        <v>-9.5302578709734576E-2</v>
      </c>
      <c r="C170" s="452">
        <f t="shared" ca="1" si="13"/>
        <v>0.32623690679982742</v>
      </c>
      <c r="D170" s="465">
        <f t="shared" ca="1" si="13"/>
        <v>1.9176402104222321</v>
      </c>
      <c r="E170" s="452">
        <f t="shared" ca="1" si="13"/>
        <v>8.8314253315844304E-3</v>
      </c>
      <c r="F170" s="455">
        <f t="shared" ca="1" si="13"/>
        <v>8.8314253315844304E-3</v>
      </c>
      <c r="G170" s="452">
        <f t="shared" ca="1" si="13"/>
        <v>-9.7772473054291709E-4</v>
      </c>
      <c r="H170" s="452">
        <f t="shared" ca="1" si="13"/>
        <v>-0.27521456230039831</v>
      </c>
      <c r="I170" s="812">
        <v>6</v>
      </c>
    </row>
    <row r="171" spans="1:15" x14ac:dyDescent="0.25">
      <c r="A171" s="812">
        <f t="shared" si="11"/>
        <v>2029</v>
      </c>
      <c r="B171" s="452">
        <f t="shared" ca="1" si="12"/>
        <v>-9.5302578709734576E-2</v>
      </c>
      <c r="C171" s="452">
        <f t="shared" ca="1" si="13"/>
        <v>0.32623690679982742</v>
      </c>
      <c r="D171" s="465">
        <f t="shared" ca="1" si="13"/>
        <v>1.9176402104222321</v>
      </c>
      <c r="E171" s="452">
        <f t="shared" ca="1" si="13"/>
        <v>8.8314253315844304E-3</v>
      </c>
      <c r="F171" s="455">
        <f t="shared" ca="1" si="13"/>
        <v>8.8314253315844304E-3</v>
      </c>
      <c r="G171" s="452">
        <f t="shared" ca="1" si="13"/>
        <v>-9.7772473054291709E-4</v>
      </c>
      <c r="H171" s="452">
        <f t="shared" ca="1" si="13"/>
        <v>-0.27521456230039831</v>
      </c>
      <c r="I171" s="812">
        <v>7</v>
      </c>
    </row>
    <row r="174" spans="1:15" ht="15.75" x14ac:dyDescent="0.25">
      <c r="A174" s="273" t="s">
        <v>304</v>
      </c>
    </row>
    <row r="176" spans="1:15" x14ac:dyDescent="0.25">
      <c r="A176" s="252"/>
      <c r="B176" s="845" t="s">
        <v>299</v>
      </c>
      <c r="C176" s="845"/>
      <c r="D176" s="845"/>
      <c r="E176" s="845"/>
      <c r="F176" s="845"/>
      <c r="G176" s="845"/>
      <c r="H176" s="845"/>
      <c r="N176" s="845" t="s">
        <v>305</v>
      </c>
      <c r="O176" s="845"/>
    </row>
    <row r="177" spans="1:17" x14ac:dyDescent="0.25">
      <c r="A177" s="813" t="s">
        <v>130</v>
      </c>
      <c r="B177" s="813" t="s">
        <v>201</v>
      </c>
      <c r="C177" s="813" t="s">
        <v>202</v>
      </c>
      <c r="D177" s="363" t="s">
        <v>132</v>
      </c>
      <c r="E177" s="813" t="s">
        <v>203</v>
      </c>
      <c r="F177" s="454" t="s">
        <v>204</v>
      </c>
      <c r="G177" s="813" t="s">
        <v>205</v>
      </c>
      <c r="H177" s="813" t="s">
        <v>206</v>
      </c>
      <c r="M177" s="813" t="s">
        <v>130</v>
      </c>
      <c r="N177" s="363" t="s">
        <v>132</v>
      </c>
      <c r="O177" s="454" t="s">
        <v>204</v>
      </c>
    </row>
    <row r="178" spans="1:17" x14ac:dyDescent="0.25">
      <c r="A178" s="812">
        <v>2104004000</v>
      </c>
      <c r="B178" s="5">
        <f t="shared" ref="B178:H180" ca="1" si="14">B99-B155</f>
        <v>6.0264439905068079E-4</v>
      </c>
      <c r="C178" s="5">
        <f t="shared" ca="1" si="14"/>
        <v>6.5883982985563083E-2</v>
      </c>
      <c r="D178" s="357">
        <f t="shared" ca="1" si="14"/>
        <v>1.9311283621747164</v>
      </c>
      <c r="E178" s="5">
        <f t="shared" ca="1" si="14"/>
        <v>2.653048631951729E-2</v>
      </c>
      <c r="F178" s="463">
        <f t="shared" ca="1" si="14"/>
        <v>2.653048631951729E-2</v>
      </c>
      <c r="G178" s="5">
        <f t="shared" ca="1" si="14"/>
        <v>2.0704963512770732E-5</v>
      </c>
      <c r="H178" s="5">
        <f t="shared" ca="1" si="14"/>
        <v>3.7852969951120835E-4</v>
      </c>
      <c r="M178" s="812">
        <v>2104004000</v>
      </c>
      <c r="N178" s="357">
        <f ca="1">D178/D99</f>
        <v>0.56292492785396708</v>
      </c>
      <c r="O178" s="463">
        <f ca="1">F178/F99</f>
        <v>0.48994184890764292</v>
      </c>
    </row>
    <row r="179" spans="1:17" x14ac:dyDescent="0.25">
      <c r="A179" s="812">
        <v>2103004001</v>
      </c>
      <c r="B179" s="5">
        <f t="shared" ca="1" si="14"/>
        <v>-7.0450261176242812E-4</v>
      </c>
      <c r="C179" s="5">
        <f t="shared" ca="1" si="14"/>
        <v>0.26482636752126953</v>
      </c>
      <c r="D179" s="357">
        <f t="shared" ca="1" si="14"/>
        <v>-1.2571567503472492E-2</v>
      </c>
      <c r="E179" s="5">
        <f t="shared" ca="1" si="14"/>
        <v>8.1971984387793333E-3</v>
      </c>
      <c r="F179" s="463">
        <f t="shared" ca="1" si="14"/>
        <v>8.1971984387793333E-3</v>
      </c>
      <c r="G179" s="5">
        <f t="shared" ca="1" si="14"/>
        <v>-2.4204490897403348E-5</v>
      </c>
      <c r="H179" s="5">
        <f t="shared" ca="1" si="14"/>
        <v>-4.4250832224672007E-4</v>
      </c>
      <c r="M179" s="812">
        <v>2103004001</v>
      </c>
      <c r="N179" s="357">
        <f ca="1">D179/D100</f>
        <v>-2.6051203077374404E-2</v>
      </c>
      <c r="O179" s="463">
        <f ca="1">F179/F100</f>
        <v>0.47333324318325304</v>
      </c>
    </row>
    <row r="180" spans="1:17" x14ac:dyDescent="0.25">
      <c r="A180" s="518" t="s">
        <v>306</v>
      </c>
      <c r="B180" s="360">
        <f t="shared" ca="1" si="14"/>
        <v>-9.5200720497022218E-2</v>
      </c>
      <c r="C180" s="360">
        <f t="shared" ca="1" si="14"/>
        <v>-4.4734437070052535E-3</v>
      </c>
      <c r="D180" s="361">
        <f t="shared" ca="1" si="14"/>
        <v>-9.1658424901230884E-4</v>
      </c>
      <c r="E180" s="360">
        <f t="shared" ca="1" si="14"/>
        <v>-2.5896259426712032E-2</v>
      </c>
      <c r="F180" s="519">
        <f t="shared" ca="1" si="14"/>
        <v>-2.5896259426712032E-2</v>
      </c>
      <c r="G180" s="360">
        <f t="shared" ca="1" si="14"/>
        <v>-9.7422520315829098E-4</v>
      </c>
      <c r="H180" s="360">
        <f t="shared" ca="1" si="14"/>
        <v>-0.27515058367766088</v>
      </c>
      <c r="M180" s="518" t="s">
        <v>306</v>
      </c>
      <c r="N180" s="361">
        <f ca="1">D180/D101</f>
        <v>-1.0398269896193822E-2</v>
      </c>
      <c r="O180" s="519">
        <f ca="1">F180/F101</f>
        <v>-1.0398269896193826E-2</v>
      </c>
    </row>
    <row r="181" spans="1:17" x14ac:dyDescent="0.25">
      <c r="A181" s="812" t="s">
        <v>249</v>
      </c>
      <c r="B181" s="5">
        <f t="shared" ref="B181:H181" ca="1" si="15">SUM(B178:B180)</f>
        <v>-9.5302578709733965E-2</v>
      </c>
      <c r="C181" s="5">
        <f t="shared" ca="1" si="15"/>
        <v>0.32623690679982736</v>
      </c>
      <c r="D181" s="357">
        <f t="shared" ca="1" si="15"/>
        <v>1.9176402104222317</v>
      </c>
      <c r="E181" s="5">
        <f t="shared" ca="1" si="15"/>
        <v>8.83142533158459E-3</v>
      </c>
      <c r="F181" s="463">
        <f t="shared" ca="1" si="15"/>
        <v>8.83142533158459E-3</v>
      </c>
      <c r="G181" s="5">
        <f t="shared" ca="1" si="15"/>
        <v>-9.7772473054292359E-4</v>
      </c>
      <c r="H181" s="5">
        <f t="shared" ca="1" si="15"/>
        <v>-0.27521456230039637</v>
      </c>
      <c r="M181" s="812" t="s">
        <v>249</v>
      </c>
      <c r="N181" s="357">
        <f ca="1">D181/D102</f>
        <v>0.47926090472120558</v>
      </c>
      <c r="O181" s="463">
        <f ca="1">F181/F102</f>
        <v>3.4472068812792605E-3</v>
      </c>
    </row>
    <row r="183" spans="1:17" x14ac:dyDescent="0.25">
      <c r="N183" s="840" t="s">
        <v>305</v>
      </c>
      <c r="O183" s="840"/>
      <c r="P183" s="840"/>
      <c r="Q183" s="840"/>
    </row>
    <row r="184" spans="1:17" x14ac:dyDescent="0.25">
      <c r="A184" s="252"/>
      <c r="K184" s="845" t="str">
        <f>$B$4&amp;" Base Emissions"</f>
        <v>2023 Base Emissions</v>
      </c>
      <c r="L184" s="845"/>
      <c r="N184" s="244" t="s">
        <v>307</v>
      </c>
      <c r="O184" s="664">
        <f>$B$4</f>
        <v>2023</v>
      </c>
      <c r="P184" s="244" t="s">
        <v>308</v>
      </c>
      <c r="Q184" s="664">
        <v>2024</v>
      </c>
    </row>
    <row r="185" spans="1:17" x14ac:dyDescent="0.25">
      <c r="A185" s="813" t="s">
        <v>130</v>
      </c>
      <c r="B185" s="3"/>
      <c r="C185" s="3"/>
      <c r="D185" s="3"/>
      <c r="E185" s="3"/>
      <c r="F185" s="3"/>
      <c r="G185" s="3"/>
      <c r="H185" s="3"/>
      <c r="I185" s="813" t="s">
        <v>309</v>
      </c>
      <c r="J185" s="813" t="s">
        <v>310</v>
      </c>
      <c r="K185" s="813" t="s">
        <v>132</v>
      </c>
      <c r="L185" s="813" t="s">
        <v>204</v>
      </c>
      <c r="M185" s="813" t="s">
        <v>130</v>
      </c>
      <c r="N185" s="363" t="s">
        <v>132</v>
      </c>
      <c r="O185" s="454" t="s">
        <v>204</v>
      </c>
      <c r="P185" s="363" t="s">
        <v>132</v>
      </c>
      <c r="Q185" s="454" t="s">
        <v>204</v>
      </c>
    </row>
    <row r="186" spans="1:17" x14ac:dyDescent="0.25">
      <c r="A186" s="812">
        <v>2104008100</v>
      </c>
      <c r="I186" s="812" t="s">
        <v>137</v>
      </c>
      <c r="J186" s="812" t="s">
        <v>311</v>
      </c>
      <c r="K186" s="133">
        <f t="shared" ref="K186:K204" ca="1" si="16">OFFSET(INDIRECT("'DevSumOut-"&amp;$B$4&amp;"BSR'!P49"),MATCH($M186,INDIRECT("'DevSumOut-"&amp;$B$4&amp;"BSR'!B50:B70"),0),0)</f>
        <v>7.7732793967159328E-3</v>
      </c>
      <c r="L186" s="133">
        <f t="shared" ref="L186:L204" ca="1" si="17">OFFSET(INDIRECT("'DevSumOut-"&amp;$B$4&amp;"BSR'!R49"),MATCH($M186,INDIRECT("'DevSumOut-"&amp;$B$4&amp;"BSR'!B50:B70"),0),0)</f>
        <v>0.67238866781592821</v>
      </c>
      <c r="M186" s="812">
        <f>A186</f>
        <v>2104008100</v>
      </c>
      <c r="N186" s="357">
        <f ca="1">N$180</f>
        <v>-1.0398269896193822E-2</v>
      </c>
      <c r="O186" s="463">
        <f ca="1">O$180</f>
        <v>-1.0398269896193826E-2</v>
      </c>
      <c r="P186" s="357">
        <f ca="1">N186</f>
        <v>-1.0398269896193822E-2</v>
      </c>
      <c r="Q186" s="463">
        <f ca="1">O186</f>
        <v>-1.0398269896193826E-2</v>
      </c>
    </row>
    <row r="187" spans="1:17" x14ac:dyDescent="0.25">
      <c r="A187" s="812">
        <v>2104008210</v>
      </c>
      <c r="I187" s="812" t="s">
        <v>138</v>
      </c>
      <c r="J187" s="812" t="s">
        <v>311</v>
      </c>
      <c r="K187" s="133">
        <f t="shared" ca="1" si="16"/>
        <v>6.8596834008126406E-4</v>
      </c>
      <c r="L187" s="133">
        <f t="shared" ca="1" si="17"/>
        <v>5.2476578016216698E-2</v>
      </c>
      <c r="M187" s="812">
        <f t="shared" ref="M187:M203" si="18">A187</f>
        <v>2104008210</v>
      </c>
      <c r="N187" s="357">
        <f t="shared" ref="N187:O195" ca="1" si="19">N$180</f>
        <v>-1.0398269896193822E-2</v>
      </c>
      <c r="O187" s="463">
        <f t="shared" ca="1" si="19"/>
        <v>-1.0398269896193826E-2</v>
      </c>
      <c r="P187" s="357">
        <f t="shared" ref="P187:P204" ca="1" si="20">N187</f>
        <v>-1.0398269896193822E-2</v>
      </c>
      <c r="Q187" s="463">
        <f t="shared" ref="Q187:Q204" ca="1" si="21">O187</f>
        <v>-1.0398269896193826E-2</v>
      </c>
    </row>
    <row r="188" spans="1:17" x14ac:dyDescent="0.25">
      <c r="A188" s="812">
        <v>2104008220</v>
      </c>
      <c r="I188" s="812" t="s">
        <v>139</v>
      </c>
      <c r="J188" s="812" t="s">
        <v>311</v>
      </c>
      <c r="K188" s="133">
        <f t="shared" ca="1" si="16"/>
        <v>1.4442489294634467E-3</v>
      </c>
      <c r="L188" s="133">
        <f t="shared" ca="1" si="17"/>
        <v>4.3327467883903403E-2</v>
      </c>
      <c r="M188" s="812">
        <f t="shared" si="18"/>
        <v>2104008220</v>
      </c>
      <c r="N188" s="357">
        <f t="shared" ca="1" si="19"/>
        <v>-1.0398269896193822E-2</v>
      </c>
      <c r="O188" s="463">
        <f t="shared" ca="1" si="19"/>
        <v>-1.0398269896193826E-2</v>
      </c>
      <c r="P188" s="357">
        <f t="shared" ca="1" si="20"/>
        <v>-1.0398269896193822E-2</v>
      </c>
      <c r="Q188" s="463">
        <f t="shared" ca="1" si="21"/>
        <v>-1.0398269896193826E-2</v>
      </c>
    </row>
    <row r="189" spans="1:17" x14ac:dyDescent="0.25">
      <c r="A189" s="812">
        <v>2104008230</v>
      </c>
      <c r="I189" s="812" t="s">
        <v>140</v>
      </c>
      <c r="J189" s="812" t="s">
        <v>311</v>
      </c>
      <c r="K189" s="133">
        <f t="shared" ca="1" si="16"/>
        <v>8.6954360056393763E-4</v>
      </c>
      <c r="L189" s="133">
        <f t="shared" ca="1" si="17"/>
        <v>2.8260167018327988E-2</v>
      </c>
      <c r="M189" s="812">
        <f t="shared" si="18"/>
        <v>2104008230</v>
      </c>
      <c r="N189" s="357">
        <f t="shared" ca="1" si="19"/>
        <v>-1.0398269896193822E-2</v>
      </c>
      <c r="O189" s="463">
        <f t="shared" ca="1" si="19"/>
        <v>-1.0398269896193826E-2</v>
      </c>
      <c r="P189" s="357">
        <f t="shared" ca="1" si="20"/>
        <v>-1.0398269896193822E-2</v>
      </c>
      <c r="Q189" s="463">
        <f t="shared" ca="1" si="21"/>
        <v>-1.0398269896193826E-2</v>
      </c>
    </row>
    <row r="190" spans="1:17" x14ac:dyDescent="0.25">
      <c r="A190" s="812">
        <v>2104008310</v>
      </c>
      <c r="I190" s="812" t="s">
        <v>141</v>
      </c>
      <c r="J190" s="812" t="s">
        <v>311</v>
      </c>
      <c r="K190" s="133">
        <f t="shared" ca="1" si="16"/>
        <v>1.3921192868641121E-2</v>
      </c>
      <c r="L190" s="133">
        <f t="shared" ca="1" si="17"/>
        <v>0.4225788322262124</v>
      </c>
      <c r="M190" s="812">
        <f t="shared" si="18"/>
        <v>2104008310</v>
      </c>
      <c r="N190" s="357">
        <f t="shared" ca="1" si="19"/>
        <v>-1.0398269896193822E-2</v>
      </c>
      <c r="O190" s="463">
        <f t="shared" ca="1" si="19"/>
        <v>-1.0398269896193826E-2</v>
      </c>
      <c r="P190" s="357">
        <f t="shared" ca="1" si="20"/>
        <v>-1.0398269896193822E-2</v>
      </c>
      <c r="Q190" s="463">
        <f t="shared" ca="1" si="21"/>
        <v>-1.0398269896193826E-2</v>
      </c>
    </row>
    <row r="191" spans="1:17" x14ac:dyDescent="0.25">
      <c r="A191" s="812">
        <v>2104008320</v>
      </c>
      <c r="I191" s="812" t="s">
        <v>142</v>
      </c>
      <c r="J191" s="812" t="s">
        <v>311</v>
      </c>
      <c r="K191" s="133">
        <f t="shared" ca="1" si="16"/>
        <v>2.930990648199195E-2</v>
      </c>
      <c r="L191" s="133">
        <f t="shared" ca="1" si="17"/>
        <v>0.58071170063495825</v>
      </c>
      <c r="M191" s="812">
        <f t="shared" si="18"/>
        <v>2104008320</v>
      </c>
      <c r="N191" s="357">
        <f t="shared" ca="1" si="19"/>
        <v>-1.0398269896193822E-2</v>
      </c>
      <c r="O191" s="463">
        <f t="shared" ca="1" si="19"/>
        <v>-1.0398269896193826E-2</v>
      </c>
      <c r="P191" s="357">
        <f t="shared" ca="1" si="20"/>
        <v>-1.0398269896193822E-2</v>
      </c>
      <c r="Q191" s="463">
        <f t="shared" ca="1" si="21"/>
        <v>-1.0398269896193826E-2</v>
      </c>
    </row>
    <row r="192" spans="1:17" x14ac:dyDescent="0.25">
      <c r="A192" s="812">
        <v>2104008330</v>
      </c>
      <c r="I192" s="812" t="s">
        <v>143</v>
      </c>
      <c r="J192" s="812" t="s">
        <v>311</v>
      </c>
      <c r="K192" s="133">
        <f t="shared" ca="1" si="16"/>
        <v>1.7646709715071065E-2</v>
      </c>
      <c r="L192" s="133">
        <f t="shared" ca="1" si="17"/>
        <v>0.38794668423482676</v>
      </c>
      <c r="M192" s="812">
        <f t="shared" si="18"/>
        <v>2104008330</v>
      </c>
      <c r="N192" s="357">
        <f t="shared" ca="1" si="19"/>
        <v>-1.0398269896193822E-2</v>
      </c>
      <c r="O192" s="463">
        <f t="shared" ca="1" si="19"/>
        <v>-1.0398269896193826E-2</v>
      </c>
      <c r="P192" s="357">
        <f t="shared" ca="1" si="20"/>
        <v>-1.0398269896193822E-2</v>
      </c>
      <c r="Q192" s="463">
        <f t="shared" ca="1" si="21"/>
        <v>-1.0398269896193826E-2</v>
      </c>
    </row>
    <row r="193" spans="1:17" x14ac:dyDescent="0.25">
      <c r="A193" s="812">
        <v>2104008410</v>
      </c>
      <c r="I193" s="812" t="s">
        <v>144</v>
      </c>
      <c r="J193" s="812" t="s">
        <v>311</v>
      </c>
      <c r="K193" s="133">
        <f t="shared" ca="1" si="16"/>
        <v>1.5475379309649723E-3</v>
      </c>
      <c r="L193" s="133">
        <f t="shared" ca="1" si="17"/>
        <v>1.4314725861425995E-2</v>
      </c>
      <c r="M193" s="812">
        <f t="shared" si="18"/>
        <v>2104008410</v>
      </c>
      <c r="N193" s="357">
        <f t="shared" ca="1" si="19"/>
        <v>-1.0398269896193822E-2</v>
      </c>
      <c r="O193" s="463">
        <f t="shared" ca="1" si="19"/>
        <v>-1.0398269896193826E-2</v>
      </c>
      <c r="P193" s="357">
        <f t="shared" ca="1" si="20"/>
        <v>-1.0398269896193822E-2</v>
      </c>
      <c r="Q193" s="463">
        <f t="shared" ca="1" si="21"/>
        <v>-1.0398269896193826E-2</v>
      </c>
    </row>
    <row r="194" spans="1:17" x14ac:dyDescent="0.25">
      <c r="A194" s="812">
        <v>2104008420</v>
      </c>
      <c r="I194" s="812" t="s">
        <v>145</v>
      </c>
      <c r="J194" s="812" t="s">
        <v>311</v>
      </c>
      <c r="K194" s="133">
        <f t="shared" ca="1" si="16"/>
        <v>5.2198935364518393E-3</v>
      </c>
      <c r="L194" s="133">
        <f t="shared" ca="1" si="17"/>
        <v>4.8284015212179503E-2</v>
      </c>
      <c r="M194" s="812">
        <f t="shared" si="18"/>
        <v>2104008420</v>
      </c>
      <c r="N194" s="357">
        <f t="shared" ca="1" si="19"/>
        <v>-1.0398269896193822E-2</v>
      </c>
      <c r="O194" s="463">
        <f t="shared" ca="1" si="19"/>
        <v>-1.0398269896193826E-2</v>
      </c>
      <c r="P194" s="357">
        <f t="shared" ca="1" si="20"/>
        <v>-1.0398269896193822E-2</v>
      </c>
      <c r="Q194" s="463">
        <f t="shared" ca="1" si="21"/>
        <v>-1.0398269896193826E-2</v>
      </c>
    </row>
    <row r="195" spans="1:17" x14ac:dyDescent="0.25">
      <c r="A195" s="812">
        <v>2104008610</v>
      </c>
      <c r="I195" s="812" t="s">
        <v>146</v>
      </c>
      <c r="J195" s="812" t="s">
        <v>311</v>
      </c>
      <c r="K195" s="133">
        <f t="shared" ca="1" si="16"/>
        <v>9.7219470176879395E-3</v>
      </c>
      <c r="L195" s="133">
        <f t="shared" ca="1" si="17"/>
        <v>0.239892738928837</v>
      </c>
      <c r="M195" s="812">
        <f t="shared" si="18"/>
        <v>2104008610</v>
      </c>
      <c r="N195" s="357">
        <f t="shared" ca="1" si="19"/>
        <v>-1.0398269896193822E-2</v>
      </c>
      <c r="O195" s="463">
        <f t="shared" ca="1" si="19"/>
        <v>-1.0398269896193826E-2</v>
      </c>
      <c r="P195" s="357">
        <f t="shared" ca="1" si="20"/>
        <v>-1.0398269896193822E-2</v>
      </c>
      <c r="Q195" s="463">
        <f t="shared" ca="1" si="21"/>
        <v>-1.0398269896193826E-2</v>
      </c>
    </row>
    <row r="196" spans="1:17" x14ac:dyDescent="0.25">
      <c r="A196" s="812">
        <v>2104004000</v>
      </c>
      <c r="I196" s="812" t="s">
        <v>312</v>
      </c>
      <c r="K196" s="133">
        <f t="shared" ca="1" si="16"/>
        <v>3.3307874389924792</v>
      </c>
      <c r="L196" s="133">
        <f t="shared" ca="1" si="17"/>
        <v>5.2619106860800471E-2</v>
      </c>
      <c r="M196" s="812">
        <f>A196</f>
        <v>2104004000</v>
      </c>
      <c r="N196" s="357">
        <f ca="1">N178</f>
        <v>0.56292492785396708</v>
      </c>
      <c r="O196" s="463">
        <f ca="1">O178</f>
        <v>0.48994184890764292</v>
      </c>
      <c r="P196" s="357">
        <f t="shared" ca="1" si="20"/>
        <v>0.56292492785396708</v>
      </c>
      <c r="Q196" s="463">
        <f t="shared" ca="1" si="21"/>
        <v>0.48994184890764292</v>
      </c>
    </row>
    <row r="197" spans="1:17" x14ac:dyDescent="0.25">
      <c r="A197" s="812">
        <v>2103004001</v>
      </c>
      <c r="I197" s="812" t="s">
        <v>148</v>
      </c>
      <c r="K197" s="133">
        <f t="shared" ca="1" si="16"/>
        <v>0.48257147534161138</v>
      </c>
      <c r="L197" s="133">
        <f t="shared" ca="1" si="17"/>
        <v>1.731802816901612E-2</v>
      </c>
      <c r="M197" s="812">
        <f t="shared" si="18"/>
        <v>2103004001</v>
      </c>
      <c r="N197" s="357">
        <f ca="1">N179</f>
        <v>-2.6051203077374404E-2</v>
      </c>
      <c r="O197" s="463">
        <f ca="1">O179</f>
        <v>0.47333324318325304</v>
      </c>
      <c r="P197" s="357">
        <f t="shared" ca="1" si="20"/>
        <v>-2.6051203077374404E-2</v>
      </c>
      <c r="Q197" s="463">
        <f t="shared" ca="1" si="21"/>
        <v>0.47333324318325304</v>
      </c>
    </row>
    <row r="198" spans="1:17" x14ac:dyDescent="0.25">
      <c r="A198" s="812">
        <v>2104006010</v>
      </c>
      <c r="I198" s="812" t="s">
        <v>149</v>
      </c>
      <c r="K198" s="133">
        <f t="shared" ca="1" si="16"/>
        <v>7.0898784775737624E-5</v>
      </c>
      <c r="L198" s="133">
        <f t="shared" ca="1" si="17"/>
        <v>5.8529310125197163E-6</v>
      </c>
      <c r="M198" s="812">
        <f t="shared" si="18"/>
        <v>2104006010</v>
      </c>
      <c r="N198" s="357">
        <v>0</v>
      </c>
      <c r="O198" s="463">
        <v>0</v>
      </c>
      <c r="P198" s="357">
        <f t="shared" si="20"/>
        <v>0</v>
      </c>
      <c r="Q198" s="463">
        <f t="shared" si="21"/>
        <v>0</v>
      </c>
    </row>
    <row r="199" spans="1:17" x14ac:dyDescent="0.25">
      <c r="A199" s="812">
        <v>2103006000</v>
      </c>
      <c r="I199" s="812" t="s">
        <v>150</v>
      </c>
      <c r="K199" s="133">
        <f t="shared" ca="1" si="16"/>
        <v>7.9575146604215379E-4</v>
      </c>
      <c r="L199" s="133">
        <f t="shared" ca="1" si="17"/>
        <v>1.007951856986729E-2</v>
      </c>
      <c r="M199" s="812">
        <f t="shared" si="18"/>
        <v>2103006000</v>
      </c>
      <c r="N199" s="357">
        <v>0</v>
      </c>
      <c r="O199" s="463">
        <v>0</v>
      </c>
      <c r="P199" s="357">
        <f t="shared" si="20"/>
        <v>0</v>
      </c>
      <c r="Q199" s="463">
        <f t="shared" si="21"/>
        <v>0</v>
      </c>
    </row>
    <row r="200" spans="1:17" x14ac:dyDescent="0.25">
      <c r="A200" s="812">
        <v>2104002000</v>
      </c>
      <c r="I200" s="812" t="s">
        <v>151</v>
      </c>
      <c r="K200" s="133">
        <f t="shared" ca="1" si="16"/>
        <v>0.10917239035956829</v>
      </c>
      <c r="L200" s="133">
        <f t="shared" ca="1" si="17"/>
        <v>9.37943439755861E-2</v>
      </c>
      <c r="M200" s="812">
        <f t="shared" si="18"/>
        <v>2104002000</v>
      </c>
      <c r="N200" s="357">
        <v>0</v>
      </c>
      <c r="O200" s="463">
        <v>0</v>
      </c>
      <c r="P200" s="357">
        <f t="shared" si="20"/>
        <v>0</v>
      </c>
      <c r="Q200" s="463">
        <f t="shared" si="21"/>
        <v>0</v>
      </c>
    </row>
    <row r="201" spans="1:17" x14ac:dyDescent="0.25">
      <c r="A201" s="812">
        <v>2103002000</v>
      </c>
      <c r="I201" s="812" t="s">
        <v>152</v>
      </c>
      <c r="K201" s="133">
        <f t="shared" ca="1" si="16"/>
        <v>3.0617780757568117E-4</v>
      </c>
      <c r="L201" s="133">
        <f t="shared" ca="1" si="17"/>
        <v>2.6304953575588091E-4</v>
      </c>
      <c r="M201" s="812">
        <f t="shared" si="18"/>
        <v>2103002000</v>
      </c>
      <c r="N201" s="357">
        <v>0</v>
      </c>
      <c r="O201" s="463">
        <v>0</v>
      </c>
      <c r="P201" s="357">
        <f t="shared" si="20"/>
        <v>0</v>
      </c>
      <c r="Q201" s="463">
        <f t="shared" si="21"/>
        <v>0</v>
      </c>
    </row>
    <row r="202" spans="1:17" x14ac:dyDescent="0.25">
      <c r="A202" s="812">
        <v>2103008000</v>
      </c>
      <c r="I202" s="812" t="s">
        <v>153</v>
      </c>
      <c r="J202" s="812" t="s">
        <v>311</v>
      </c>
      <c r="K202" s="133">
        <f t="shared" ca="1" si="16"/>
        <v>7.5369704121824456E-6</v>
      </c>
      <c r="L202" s="133">
        <f t="shared" ca="1" si="17"/>
        <v>2.5766689106639578E-4</v>
      </c>
      <c r="M202" s="812">
        <f t="shared" si="18"/>
        <v>2103008000</v>
      </c>
      <c r="N202" s="357">
        <f t="shared" ref="N202:O202" ca="1" si="22">N$180</f>
        <v>-1.0398269896193822E-2</v>
      </c>
      <c r="O202" s="463">
        <f t="shared" ca="1" si="22"/>
        <v>-1.0398269896193826E-2</v>
      </c>
      <c r="P202" s="357">
        <f t="shared" ca="1" si="20"/>
        <v>-1.0398269896193822E-2</v>
      </c>
      <c r="Q202" s="463">
        <f t="shared" ca="1" si="21"/>
        <v>-1.0398269896193826E-2</v>
      </c>
    </row>
    <row r="203" spans="1:17" x14ac:dyDescent="0.25">
      <c r="A203" s="813">
        <v>2102012000</v>
      </c>
      <c r="B203" s="3"/>
      <c r="C203" s="3"/>
      <c r="D203" s="3"/>
      <c r="E203" s="3"/>
      <c r="F203" s="3"/>
      <c r="G203" s="3"/>
      <c r="H203" s="3"/>
      <c r="I203" s="813" t="s">
        <v>154</v>
      </c>
      <c r="J203" s="3"/>
      <c r="K203" s="135">
        <f t="shared" ca="1" si="16"/>
        <v>1.6802202817214628E-2</v>
      </c>
      <c r="L203" s="135">
        <f t="shared" ca="1" si="17"/>
        <v>2.3655128992506407E-3</v>
      </c>
      <c r="M203" s="813">
        <f t="shared" si="18"/>
        <v>2102012000</v>
      </c>
      <c r="N203" s="361">
        <v>0</v>
      </c>
      <c r="O203" s="519">
        <v>0</v>
      </c>
      <c r="P203" s="361">
        <f t="shared" si="20"/>
        <v>0</v>
      </c>
      <c r="Q203" s="519">
        <f t="shared" si="21"/>
        <v>0</v>
      </c>
    </row>
    <row r="204" spans="1:17" x14ac:dyDescent="0.25">
      <c r="A204" s="810" t="s">
        <v>249</v>
      </c>
      <c r="I204" s="87"/>
      <c r="K204" s="137" t="e">
        <f t="shared" ca="1" si="16"/>
        <v>#N/A</v>
      </c>
      <c r="L204" s="137" t="e">
        <f t="shared" ca="1" si="17"/>
        <v>#N/A</v>
      </c>
      <c r="M204" s="810" t="s">
        <v>249</v>
      </c>
      <c r="N204" s="357">
        <f ca="1">N181</f>
        <v>0.47926090472120558</v>
      </c>
      <c r="O204" s="463">
        <f ca="1">O181</f>
        <v>3.4472068812792605E-3</v>
      </c>
      <c r="P204" s="357">
        <f t="shared" ca="1" si="20"/>
        <v>0.47926090472120558</v>
      </c>
      <c r="Q204" s="463">
        <f t="shared" ca="1" si="21"/>
        <v>3.4472068812792605E-3</v>
      </c>
    </row>
  </sheetData>
  <mergeCells count="31">
    <mergeCell ref="N183:Q183"/>
    <mergeCell ref="K184:L184"/>
    <mergeCell ref="B153:H153"/>
    <mergeCell ref="B163:H163"/>
    <mergeCell ref="B129:H129"/>
    <mergeCell ref="B130:H130"/>
    <mergeCell ref="D132:E132"/>
    <mergeCell ref="B137:G137"/>
    <mergeCell ref="B138:G138"/>
    <mergeCell ref="B147:H147"/>
    <mergeCell ref="B176:H176"/>
    <mergeCell ref="N176:O176"/>
    <mergeCell ref="B21:H21"/>
    <mergeCell ref="A1:I1"/>
    <mergeCell ref="A6:H6"/>
    <mergeCell ref="B15:C15"/>
    <mergeCell ref="F15:G15"/>
    <mergeCell ref="F16:G16"/>
    <mergeCell ref="B120:H120"/>
    <mergeCell ref="A27:H27"/>
    <mergeCell ref="A37:G37"/>
    <mergeCell ref="B69:H69"/>
    <mergeCell ref="A74:C74"/>
    <mergeCell ref="B82:F82"/>
    <mergeCell ref="B83:F83"/>
    <mergeCell ref="D86:D87"/>
    <mergeCell ref="B91:H91"/>
    <mergeCell ref="B97:H97"/>
    <mergeCell ref="A105:C105"/>
    <mergeCell ref="B114:H114"/>
    <mergeCell ref="A63:H63"/>
  </mergeCells>
  <printOptions horizontalCentered="1"/>
  <pageMargins left="0.7" right="0.7" top="0.75" bottom="0.75" header="0.3" footer="0.3"/>
  <pageSetup scale="87" fitToHeight="5" orientation="portrait" r:id="rId1"/>
  <rowBreaks count="1" manualBreakCount="1">
    <brk id="104"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Q92"/>
  <sheetViews>
    <sheetView zoomScaleNormal="100" workbookViewId="0">
      <selection sqref="A1:K1"/>
    </sheetView>
  </sheetViews>
  <sheetFormatPr defaultRowHeight="15" x14ac:dyDescent="0.25"/>
  <cols>
    <col min="1" max="1" width="42.5703125" customWidth="1"/>
    <col min="7" max="7" width="8.85546875" customWidth="1"/>
    <col min="8" max="8" width="9.140625" customWidth="1"/>
    <col min="13" max="13" width="12.28515625" customWidth="1"/>
    <col min="21" max="21" width="10.85546875" customWidth="1"/>
    <col min="25" max="25" width="11.42578125" customWidth="1"/>
  </cols>
  <sheetData>
    <row r="1" spans="1:11" ht="18.75" x14ac:dyDescent="0.3">
      <c r="A1" s="828" t="s">
        <v>313</v>
      </c>
      <c r="B1" s="828"/>
      <c r="C1" s="828"/>
      <c r="D1" s="828"/>
      <c r="E1" s="828"/>
      <c r="F1" s="828"/>
      <c r="G1" s="828"/>
      <c r="H1" s="828"/>
      <c r="I1" s="828"/>
      <c r="J1" s="828"/>
      <c r="K1" s="828"/>
    </row>
    <row r="3" spans="1:11" x14ac:dyDescent="0.25">
      <c r="A3" s="244" t="s">
        <v>314</v>
      </c>
      <c r="B3" s="84" t="s">
        <v>315</v>
      </c>
    </row>
    <row r="4" spans="1:11" x14ac:dyDescent="0.25">
      <c r="A4" s="244" t="s">
        <v>316</v>
      </c>
      <c r="B4" s="703">
        <f>Summary!$C$9</f>
        <v>2022</v>
      </c>
    </row>
    <row r="5" spans="1:11" x14ac:dyDescent="0.25">
      <c r="A5" s="244" t="s">
        <v>317</v>
      </c>
      <c r="B5" s="4">
        <v>1</v>
      </c>
    </row>
    <row r="6" spans="1:11" x14ac:dyDescent="0.25">
      <c r="A6" s="244" t="s">
        <v>318</v>
      </c>
      <c r="B6" s="4">
        <v>0.2</v>
      </c>
      <c r="C6" t="s">
        <v>319</v>
      </c>
    </row>
    <row r="7" spans="1:11" x14ac:dyDescent="0.25">
      <c r="A7" s="244" t="s">
        <v>320</v>
      </c>
      <c r="B7" s="489">
        <f>Moisture!C59</f>
        <v>0.36479259535587566</v>
      </c>
      <c r="C7" t="s">
        <v>321</v>
      </c>
    </row>
    <row r="9" spans="1:11" x14ac:dyDescent="0.25">
      <c r="A9" s="354" t="s">
        <v>322</v>
      </c>
    </row>
    <row r="10" spans="1:11" x14ac:dyDescent="0.25">
      <c r="A10" s="246" t="str">
        <f>"- Get "&amp;$B$4&amp;" projected wood device episodic daily fuel use from SIP inventory"</f>
        <v>- Get 2022 projected wood device episodic daily fuel use from SIP inventory</v>
      </c>
    </row>
    <row r="11" spans="1:11" x14ac:dyDescent="0.25">
      <c r="A11" s="246" t="s">
        <v>323</v>
      </c>
    </row>
    <row r="12" spans="1:11" x14ac:dyDescent="0.25">
      <c r="A12" s="246" t="s">
        <v>324</v>
      </c>
    </row>
    <row r="13" spans="1:11" x14ac:dyDescent="0.25">
      <c r="A13" s="246" t="s">
        <v>325</v>
      </c>
    </row>
    <row r="14" spans="1:11" x14ac:dyDescent="0.25">
      <c r="A14" s="246" t="s">
        <v>326</v>
      </c>
    </row>
    <row r="17" spans="1:11" x14ac:dyDescent="0.25">
      <c r="A17" s="84" t="s">
        <v>327</v>
      </c>
    </row>
    <row r="18" spans="1:11" ht="15.75" x14ac:dyDescent="0.25">
      <c r="D18" s="807"/>
    </row>
    <row r="19" spans="1:11" ht="14.45" customHeight="1" x14ac:dyDescent="0.25">
      <c r="B19" s="845" t="s">
        <v>101</v>
      </c>
      <c r="C19" s="845"/>
      <c r="D19" s="845"/>
      <c r="F19" s="845" t="s">
        <v>328</v>
      </c>
      <c r="G19" s="845"/>
      <c r="H19" s="845"/>
    </row>
    <row r="20" spans="1:11" x14ac:dyDescent="0.25">
      <c r="A20" s="3" t="s">
        <v>68</v>
      </c>
      <c r="B20" s="813" t="s">
        <v>329</v>
      </c>
      <c r="C20" s="813" t="s">
        <v>330</v>
      </c>
      <c r="D20" s="813" t="s">
        <v>331</v>
      </c>
      <c r="E20" s="813" t="s">
        <v>332</v>
      </c>
      <c r="F20" s="813" t="s">
        <v>329</v>
      </c>
      <c r="G20" s="813" t="s">
        <v>330</v>
      </c>
      <c r="H20" s="813" t="s">
        <v>331</v>
      </c>
    </row>
    <row r="21" spans="1:11" x14ac:dyDescent="0.25">
      <c r="A21" s="1" t="s">
        <v>333</v>
      </c>
      <c r="B21" s="97">
        <f>B7</f>
        <v>0.36479259535587566</v>
      </c>
      <c r="C21" s="97">
        <f>Moisture!C55</f>
        <v>0.26600000000000001</v>
      </c>
      <c r="D21" s="97">
        <f>Moisture!C61</f>
        <v>0.64284753550418072</v>
      </c>
      <c r="E21" s="264">
        <f>B6</f>
        <v>0.2</v>
      </c>
      <c r="F21" s="251">
        <f>SUMPRODUCT(C$26:D$26,G21:H21)</f>
        <v>0.24869774728720379</v>
      </c>
      <c r="G21" s="97">
        <f>C21</f>
        <v>0.26600000000000001</v>
      </c>
      <c r="H21" s="97">
        <f>B6</f>
        <v>0.2</v>
      </c>
      <c r="J21" s="90"/>
    </row>
    <row r="22" spans="1:11" x14ac:dyDescent="0.25">
      <c r="A22" s="1" t="s">
        <v>334</v>
      </c>
      <c r="B22" s="45">
        <f>Moisture!$M$34</f>
        <v>6054.9499851816927</v>
      </c>
      <c r="C22" s="45">
        <f>Moisture!$M$40</f>
        <v>6527.4493720585651</v>
      </c>
      <c r="D22" s="45">
        <f>Moisture!$M$41</f>
        <v>5030.1386625570494</v>
      </c>
      <c r="E22" s="45">
        <f>Moisture!$M$37</f>
        <v>6886.4590875217855</v>
      </c>
      <c r="F22" s="45">
        <f>SUMPRODUCT(C$26:D$26,G22:H22)</f>
        <v>6621.5656875630157</v>
      </c>
      <c r="G22" s="45">
        <f>Moisture!$M$39</f>
        <v>6527.4493720585651</v>
      </c>
      <c r="H22" s="45">
        <f>Moisture!$M$37</f>
        <v>6886.4590875217855</v>
      </c>
    </row>
    <row r="23" spans="1:11" x14ac:dyDescent="0.25">
      <c r="A23" s="1" t="s">
        <v>335</v>
      </c>
      <c r="B23" s="1" t="s">
        <v>336</v>
      </c>
      <c r="E23" s="13"/>
      <c r="F23" s="467">
        <f>F22/$B22</f>
        <v>1.0935789236522191</v>
      </c>
      <c r="G23" s="467">
        <f>G22/$C22</f>
        <v>1</v>
      </c>
      <c r="H23" s="467">
        <f>H22/$D22</f>
        <v>1.3690396129201503</v>
      </c>
    </row>
    <row r="25" spans="1:11" x14ac:dyDescent="0.25">
      <c r="A25" s="3" t="s">
        <v>68</v>
      </c>
      <c r="B25" s="3"/>
      <c r="C25" s="813" t="s">
        <v>330</v>
      </c>
      <c r="D25" s="813" t="s">
        <v>331</v>
      </c>
    </row>
    <row r="26" spans="1:11" x14ac:dyDescent="0.25">
      <c r="A26" t="s">
        <v>337</v>
      </c>
      <c r="C26" s="251">
        <f>Moisture!$H$74</f>
        <v>0.73784465586672365</v>
      </c>
      <c r="D26" s="251">
        <f>Moisture!$H$73</f>
        <v>0.2621553441332764</v>
      </c>
      <c r="E26" t="s">
        <v>338</v>
      </c>
    </row>
    <row r="28" spans="1:11" ht="15.75" thickBot="1" x14ac:dyDescent="0.3"/>
    <row r="29" spans="1:11" ht="16.5" thickBot="1" x14ac:dyDescent="0.3">
      <c r="A29" s="842" t="s">
        <v>235</v>
      </c>
      <c r="B29" s="843"/>
      <c r="C29" s="844"/>
    </row>
    <row r="31" spans="1:11" x14ac:dyDescent="0.25">
      <c r="B31" s="845" t="str">
        <f>$B$4&amp;" Baseline Wood Device Emissions (tons/winter day)"</f>
        <v>2022 Baseline Wood Device Emissions (tons/winter day)</v>
      </c>
      <c r="C31" s="845"/>
      <c r="D31" s="845"/>
      <c r="E31" s="845"/>
      <c r="F31" s="845"/>
      <c r="G31" s="845"/>
      <c r="H31" s="845"/>
      <c r="I31" s="845" t="s">
        <v>339</v>
      </c>
      <c r="J31" s="845"/>
      <c r="K31" s="845"/>
    </row>
    <row r="32" spans="1:11" x14ac:dyDescent="0.25">
      <c r="A32" s="3" t="s">
        <v>340</v>
      </c>
      <c r="B32" s="813" t="s">
        <v>201</v>
      </c>
      <c r="C32" s="813" t="s">
        <v>202</v>
      </c>
      <c r="D32" s="813" t="s">
        <v>132</v>
      </c>
      <c r="E32" s="813" t="s">
        <v>203</v>
      </c>
      <c r="F32" s="348" t="s">
        <v>204</v>
      </c>
      <c r="G32" s="813" t="s">
        <v>205</v>
      </c>
      <c r="H32" s="813" t="s">
        <v>206</v>
      </c>
      <c r="I32" s="813" t="s">
        <v>341</v>
      </c>
      <c r="J32" s="813" t="s">
        <v>330</v>
      </c>
      <c r="K32" s="813" t="s">
        <v>331</v>
      </c>
    </row>
    <row r="33" spans="1:12" x14ac:dyDescent="0.25">
      <c r="A33" t="s">
        <v>342</v>
      </c>
      <c r="B33" s="5">
        <f ca="1">INDIRECT("'DevSumOut-"&amp;$B$4&amp;"BSR'!N50")</f>
        <v>4.3956616310533372</v>
      </c>
      <c r="C33" s="5">
        <f ca="1">INDIRECT("'DevSumOut-"&amp;$B$4&amp;"BSR'!O50")</f>
        <v>4.9907075287068461E-2</v>
      </c>
      <c r="D33" s="5">
        <f ca="1">INDIRECT("'DevSumOut-"&amp;$B$4&amp;"BSR'!P50")</f>
        <v>7.6780115826259165E-3</v>
      </c>
      <c r="E33" s="5">
        <f ca="1">INDIRECT("'DevSumOut-"&amp;$B$4&amp;"BSR'!Q50")</f>
        <v>0.66414800189714196</v>
      </c>
      <c r="F33" s="450">
        <f ca="1">INDIRECT("'DevSumOut-"&amp;$B$4&amp;"BSR'!R50")</f>
        <v>0.66414800189714196</v>
      </c>
      <c r="G33" s="5">
        <f ca="1">INDIRECT("'DevSumOut-"&amp;$B$4&amp;"BSR'!S50")</f>
        <v>3.4551052121816618E-2</v>
      </c>
      <c r="H33" s="5">
        <f ca="1">INDIRECT("'DevSumOut-"&amp;$B$4&amp;"BSR'!T50")</f>
        <v>4.8486643144282651</v>
      </c>
      <c r="I33" s="134">
        <f ca="1">INDIRECT("'DevSumOut-"&amp;$B$4&amp;"BSR'!V50")</f>
        <v>54.843392887019242</v>
      </c>
      <c r="J33" s="38">
        <f t="shared" ref="J33:J42" ca="1" si="0">$I33*C$26</f>
        <v>40.465904351286234</v>
      </c>
      <c r="K33" s="38">
        <f t="shared" ref="K33:K42" ca="1" si="1">$I33*D$26</f>
        <v>14.377488535733013</v>
      </c>
    </row>
    <row r="34" spans="1:12" x14ac:dyDescent="0.25">
      <c r="A34" t="s">
        <v>343</v>
      </c>
      <c r="B34" s="5">
        <f ca="1">INDIRECT("'DevSumOut-"&amp;$B$4&amp;"BSR'!N51")</f>
        <v>8.9777555977346921E-2</v>
      </c>
      <c r="C34" s="5">
        <f ca="1">INDIRECT("'DevSumOut-"&amp;$B$4&amp;"BSR'!O51")</f>
        <v>4.7429652214447428E-3</v>
      </c>
      <c r="D34" s="5">
        <f ca="1">INDIRECT("'DevSumOut-"&amp;$B$4&amp;"BSR'!P51")</f>
        <v>6.7756646020639209E-4</v>
      </c>
      <c r="E34" s="5">
        <f ca="1">INDIRECT("'DevSumOut-"&amp;$B$4&amp;"BSR'!Q51")</f>
        <v>5.1833834205788992E-2</v>
      </c>
      <c r="F34" s="450">
        <f ca="1">INDIRECT("'DevSumOut-"&amp;$B$4&amp;"BSR'!R51")</f>
        <v>5.1833834205788992E-2</v>
      </c>
      <c r="G34" s="5">
        <f ca="1">INDIRECT("'DevSumOut-"&amp;$B$4&amp;"BSR'!S51")</f>
        <v>2.8796574558771662E-3</v>
      </c>
      <c r="H34" s="5">
        <f ca="1">INDIRECT("'DevSumOut-"&amp;$B$4&amp;"BSR'!T51")</f>
        <v>0.39095584753908824</v>
      </c>
      <c r="I34" s="134">
        <f ca="1">INDIRECT("'DevSumOut-"&amp;$B$4&amp;"BSR'!V51")</f>
        <v>4.8398004072113059</v>
      </c>
      <c r="J34" s="38">
        <f t="shared" ca="1" si="0"/>
        <v>3.5710208659224549</v>
      </c>
      <c r="K34" s="38">
        <f t="shared" ca="1" si="1"/>
        <v>1.2687795412888512</v>
      </c>
    </row>
    <row r="35" spans="1:12" x14ac:dyDescent="0.25">
      <c r="A35" t="s">
        <v>344</v>
      </c>
      <c r="B35" s="5">
        <f ca="1">INDIRECT("'DevSumOut-"&amp;$B$4&amp;"BSR'!N52")</f>
        <v>4.2796784236900379E-2</v>
      </c>
      <c r="C35" s="5">
        <f ca="1">INDIRECT("'DevSumOut-"&amp;$B$4&amp;"BSR'!O52")</f>
        <v>7.1327973728167321E-3</v>
      </c>
      <c r="D35" s="5">
        <f ca="1">INDIRECT("'DevSumOut-"&amp;$B$4&amp;"BSR'!P52")</f>
        <v>1.4265594745633456E-3</v>
      </c>
      <c r="E35" s="5">
        <f ca="1">INDIRECT("'DevSumOut-"&amp;$B$4&amp;"BSR'!Q52")</f>
        <v>4.2796784236900379E-2</v>
      </c>
      <c r="F35" s="450">
        <f ca="1">INDIRECT("'DevSumOut-"&amp;$B$4&amp;"BSR'!R52")</f>
        <v>4.2796784236900379E-2</v>
      </c>
      <c r="G35" s="5">
        <f ca="1">INDIRECT("'DevSumOut-"&amp;$B$4&amp;"BSR'!S52")</f>
        <v>3.2097588177675282E-3</v>
      </c>
      <c r="H35" s="5">
        <f ca="1">INDIRECT("'DevSumOut-"&amp;$B$4&amp;"BSR'!T52")</f>
        <v>0.50214893504629776</v>
      </c>
      <c r="I35" s="134">
        <f ca="1">INDIRECT("'DevSumOut-"&amp;$B$4&amp;"BSR'!V52")</f>
        <v>10.189794701171804</v>
      </c>
      <c r="J35" s="38">
        <f t="shared" ca="1" si="0"/>
        <v>7.5184855646386737</v>
      </c>
      <c r="K35" s="38">
        <f t="shared" ca="1" si="1"/>
        <v>2.6713091365331305</v>
      </c>
    </row>
    <row r="36" spans="1:12" x14ac:dyDescent="0.25">
      <c r="A36" t="s">
        <v>345</v>
      </c>
      <c r="B36" s="5">
        <f ca="1">INDIRECT("'DevSumOut-"&amp;$B$4&amp;"BSR'!N53")</f>
        <v>3.2208497007279777E-2</v>
      </c>
      <c r="C36" s="5">
        <f ca="1">INDIRECT("'DevSumOut-"&amp;$B$4&amp;"BSR'!O53")</f>
        <v>4.2944662676373041E-3</v>
      </c>
      <c r="D36" s="5">
        <f ca="1">INDIRECT("'DevSumOut-"&amp;$B$4&amp;"BSR'!P53")</f>
        <v>8.5889325352746042E-4</v>
      </c>
      <c r="E36" s="5">
        <f ca="1">INDIRECT("'DevSumOut-"&amp;$B$4&amp;"BSR'!Q53")</f>
        <v>2.7914030739642468E-2</v>
      </c>
      <c r="F36" s="450">
        <f ca="1">INDIRECT("'DevSumOut-"&amp;$B$4&amp;"BSR'!R53")</f>
        <v>2.7914030739642468E-2</v>
      </c>
      <c r="G36" s="5">
        <f ca="1">INDIRECT("'DevSumOut-"&amp;$B$4&amp;"BSR'!S53")</f>
        <v>1.9325098204367864E-3</v>
      </c>
      <c r="H36" s="5">
        <f ca="1">INDIRECT("'DevSumOut-"&amp;$B$4&amp;"BSR'!T53")</f>
        <v>0.22975394531859569</v>
      </c>
      <c r="I36" s="134">
        <f ca="1">INDIRECT("'DevSumOut-"&amp;$B$4&amp;"BSR'!V53")</f>
        <v>6.1350024865561279</v>
      </c>
      <c r="J36" s="38">
        <f t="shared" ca="1" si="0"/>
        <v>4.5266787984345003</v>
      </c>
      <c r="K36" s="38">
        <f t="shared" ca="1" si="1"/>
        <v>1.6083236881216281</v>
      </c>
    </row>
    <row r="37" spans="1:12" x14ac:dyDescent="0.25">
      <c r="A37" t="s">
        <v>346</v>
      </c>
      <c r="B37" s="5">
        <f ca="1">INDIRECT("'DevSumOut-"&amp;$B$4&amp;"BSR'!N54")</f>
        <v>1.8219655325314446</v>
      </c>
      <c r="C37" s="5">
        <f ca="1">INDIRECT("'DevSumOut-"&amp;$B$4&amp;"BSR'!O54")</f>
        <v>4.9919883512392266E-2</v>
      </c>
      <c r="D37" s="5">
        <f ca="1">INDIRECT("'DevSumOut-"&amp;$B$4&amp;"BSR'!P54")</f>
        <v>1.3750683264388261E-2</v>
      </c>
      <c r="E37" s="5">
        <f ca="1">INDIRECT("'DevSumOut-"&amp;$B$4&amp;"BSR'!Q54")</f>
        <v>0.41740300066289604</v>
      </c>
      <c r="F37" s="450">
        <f ca="1">INDIRECT("'DevSumOut-"&amp;$B$4&amp;"BSR'!R54")</f>
        <v>0.41740300066289604</v>
      </c>
      <c r="G37" s="5">
        <f ca="1">INDIRECT("'DevSumOut-"&amp;$B$4&amp;"BSR'!S54")</f>
        <v>1.3648534431089442E-2</v>
      </c>
      <c r="H37" s="5">
        <f ca="1">INDIRECT("'DevSumOut-"&amp;$B$4&amp;"BSR'!T54")</f>
        <v>4.1654477873527913</v>
      </c>
      <c r="I37" s="134">
        <f ca="1">INDIRECT("'DevSumOut-"&amp;$B$4&amp;"BSR'!V54")</f>
        <v>98.219977479623466</v>
      </c>
      <c r="J37" s="38">
        <f t="shared" ca="1" si="0"/>
        <v>72.471085482690128</v>
      </c>
      <c r="K37" s="38">
        <f t="shared" ca="1" si="1"/>
        <v>25.748891996933349</v>
      </c>
    </row>
    <row r="38" spans="1:12" x14ac:dyDescent="0.25">
      <c r="A38" t="s">
        <v>347</v>
      </c>
      <c r="B38" s="5">
        <f ca="1">INDIRECT("'DevSumOut-"&amp;$B$4&amp;"BSR'!N55")</f>
        <v>0.86852738341966362</v>
      </c>
      <c r="C38" s="5">
        <f ca="1">INDIRECT("'DevSumOut-"&amp;$B$4&amp;"BSR'!O55")</f>
        <v>0.11644343996693705</v>
      </c>
      <c r="D38" s="5">
        <f ca="1">INDIRECT("'DevSumOut-"&amp;$B$4&amp;"BSR'!P55")</f>
        <v>2.8950912780655459E-2</v>
      </c>
      <c r="E38" s="5">
        <f ca="1">INDIRECT("'DevSumOut-"&amp;$B$4&amp;"BSR'!Q55")</f>
        <v>0.57359902550757647</v>
      </c>
      <c r="F38" s="450">
        <f ca="1">INDIRECT("'DevSumOut-"&amp;$B$4&amp;"BSR'!R55")</f>
        <v>0.57359902550757647</v>
      </c>
      <c r="G38" s="5">
        <f ca="1">INDIRECT("'DevSumOut-"&amp;$B$4&amp;"BSR'!S55")</f>
        <v>1.807562806877782E-2</v>
      </c>
      <c r="H38" s="5">
        <f ca="1">INDIRECT("'DevSumOut-"&amp;$B$4&amp;"BSR'!T55")</f>
        <v>8.9487957897817871</v>
      </c>
      <c r="I38" s="134">
        <f ca="1">INDIRECT("'DevSumOut-"&amp;$B$4&amp;"BSR'!V55")</f>
        <v>206.79394228320376</v>
      </c>
      <c r="J38" s="38">
        <f t="shared" ca="1" si="0"/>
        <v>152.5818051792736</v>
      </c>
      <c r="K38" s="38">
        <f t="shared" ca="1" si="1"/>
        <v>54.212137103930182</v>
      </c>
    </row>
    <row r="39" spans="1:12" x14ac:dyDescent="0.25">
      <c r="A39" t="s">
        <v>348</v>
      </c>
      <c r="B39" s="5">
        <f ca="1">INDIRECT("'DevSumOut-"&amp;$B$4&amp;"BSR'!N56")</f>
        <v>0.65364634582738013</v>
      </c>
      <c r="C39" s="5">
        <f ca="1">INDIRECT("'DevSumOut-"&amp;$B$4&amp;"BSR'!O56")</f>
        <v>7.010747661659518E-2</v>
      </c>
      <c r="D39" s="5">
        <f ca="1">INDIRECT("'DevSumOut-"&amp;$B$4&amp;"BSR'!P56")</f>
        <v>1.7430569222063472E-2</v>
      </c>
      <c r="E39" s="5">
        <f ca="1">INDIRECT("'DevSumOut-"&amp;$B$4&amp;"BSR'!Q56")</f>
        <v>0.38319503427032575</v>
      </c>
      <c r="F39" s="450">
        <f ca="1">INDIRECT("'DevSumOut-"&amp;$B$4&amp;"BSR'!R56")</f>
        <v>0.38319503427032575</v>
      </c>
      <c r="G39" s="5">
        <f ca="1">INDIRECT("'DevSumOut-"&amp;$B$4&amp;"BSR'!S56")</f>
        <v>1.0882851558850649E-2</v>
      </c>
      <c r="H39" s="5">
        <f ca="1">INDIRECT("'DevSumOut-"&amp;$B$4&amp;"BSR'!T56")</f>
        <v>5.3878302784334551</v>
      </c>
      <c r="I39" s="134">
        <f ca="1">INDIRECT("'DevSumOut-"&amp;$B$4&amp;"BSR'!V56")</f>
        <v>124.50509429461843</v>
      </c>
      <c r="J39" s="38">
        <f t="shared" ca="1" si="0"/>
        <v>91.865418453466717</v>
      </c>
      <c r="K39" s="38">
        <f t="shared" ca="1" si="1"/>
        <v>32.639675841151721</v>
      </c>
    </row>
    <row r="40" spans="1:12" x14ac:dyDescent="0.25">
      <c r="A40" t="s">
        <v>349</v>
      </c>
      <c r="B40" s="5">
        <f ca="1">INDIRECT("'DevSumOut-"&amp;$B$4&amp;"BSR'!N57")</f>
        <v>1.0952455680676938E-2</v>
      </c>
      <c r="C40" s="5">
        <f ca="1">INDIRECT("'DevSumOut-"&amp;$B$4&amp;"BSR'!O57")</f>
        <v>1.9126399433985471E-2</v>
      </c>
      <c r="D40" s="5">
        <f ca="1">INDIRECT("'DevSumOut-"&amp;$B$4&amp;"BSR'!P57")</f>
        <v>1.5285833713474901E-3</v>
      </c>
      <c r="E40" s="5">
        <f ca="1">INDIRECT("'DevSumOut-"&amp;$B$4&amp;"BSR'!Q57")</f>
        <v>1.4139396184964282E-2</v>
      </c>
      <c r="F40" s="450">
        <f ca="1">INDIRECT("'DevSumOut-"&amp;$B$4&amp;"BSR'!R57")</f>
        <v>1.4139396184964282E-2</v>
      </c>
      <c r="G40" s="5">
        <f ca="1">INDIRECT("'DevSumOut-"&amp;$B$4&amp;"BSR'!S57")</f>
        <v>3.4335803978893006E-4</v>
      </c>
      <c r="H40" s="5">
        <f ca="1">INDIRECT("'DevSumOut-"&amp;$B$4&amp;"BSR'!T57")</f>
        <v>4.7443406388197731E-2</v>
      </c>
      <c r="I40" s="134">
        <f ca="1">INDIRECT("'DevSumOut-"&amp;$B$4&amp;"BSR'!V57")</f>
        <v>13.038745416244851</v>
      </c>
      <c r="J40" s="38">
        <f t="shared" ca="1" si="0"/>
        <v>9.6205686245830027</v>
      </c>
      <c r="K40" s="38">
        <f t="shared" ca="1" si="1"/>
        <v>3.4181767916618493</v>
      </c>
    </row>
    <row r="41" spans="1:12" x14ac:dyDescent="0.25">
      <c r="A41" t="s">
        <v>350</v>
      </c>
      <c r="B41" s="5">
        <f ca="1">INDIRECT("'DevSumOut-"&amp;$B$4&amp;"BSR'!N58")</f>
        <v>3.6942973397874543E-2</v>
      </c>
      <c r="C41" s="5">
        <f ca="1">INDIRECT("'DevSumOut-"&amp;$B$4&amp;"BSR'!O58")</f>
        <v>6.4513939712484258E-2</v>
      </c>
      <c r="D41" s="5">
        <f ca="1">INDIRECT("'DevSumOut-"&amp;$B$4&amp;"BSR'!P58")</f>
        <v>5.1559592177809607E-3</v>
      </c>
      <c r="E41" s="5">
        <f ca="1">INDIRECT("'DevSumOut-"&amp;$B$4&amp;"BSR'!Q58")</f>
        <v>4.769262276447387E-2</v>
      </c>
      <c r="F41" s="450">
        <f ca="1">INDIRECT("'DevSumOut-"&amp;$B$4&amp;"BSR'!R58")</f>
        <v>4.769262276447387E-2</v>
      </c>
      <c r="G41" s="5">
        <f ca="1">INDIRECT("'DevSumOut-"&amp;$B$4&amp;"BSR'!S58")</f>
        <v>1.1581573392940483E-3</v>
      </c>
      <c r="H41" s="5">
        <f ca="1">INDIRECT("'DevSumOut-"&amp;$B$4&amp;"BSR'!T58")</f>
        <v>0.16002808422187662</v>
      </c>
      <c r="I41" s="134">
        <f ca="1">INDIRECT("'DevSumOut-"&amp;$B$4&amp;"BSR'!V58")</f>
        <v>43.980093514902059</v>
      </c>
      <c r="J41" s="38">
        <f t="shared" ca="1" si="0"/>
        <v>32.450476964489233</v>
      </c>
      <c r="K41" s="38">
        <f t="shared" ca="1" si="1"/>
        <v>11.529616550412827</v>
      </c>
    </row>
    <row r="42" spans="1:12" x14ac:dyDescent="0.25">
      <c r="A42" s="3" t="s">
        <v>351</v>
      </c>
      <c r="B42" s="360">
        <f ca="1">INDIRECT("'DevSumOut-"&amp;$B$4&amp;"BSR'!N59")</f>
        <v>1.0899238092674248</v>
      </c>
      <c r="C42" s="360">
        <f ca="1">INDIRECT("'DevSumOut-"&amp;$B$4&amp;"BSR'!O59")</f>
        <v>3.8717106832144702E-2</v>
      </c>
      <c r="D42" s="360">
        <f ca="1">INDIRECT("'DevSumOut-"&amp;$B$4&amp;"BSR'!P59")</f>
        <v>9.6028529450874461E-3</v>
      </c>
      <c r="E42" s="360">
        <f ca="1">INDIRECT("'DevSumOut-"&amp;$B$4&amp;"BSR'!Q59")</f>
        <v>0.23695404740806003</v>
      </c>
      <c r="F42" s="451">
        <f ca="1">INDIRECT("'DevSumOut-"&amp;$B$4&amp;"BSR'!R59")</f>
        <v>0.23695404740806003</v>
      </c>
      <c r="G42" s="360">
        <f ca="1">INDIRECT("'DevSumOut-"&amp;$B$4&amp;"BSR'!S59")</f>
        <v>5.851944244527796E-3</v>
      </c>
      <c r="H42" s="360">
        <f ca="1">INDIRECT("'DevSumOut-"&amp;$B$4&amp;"BSR'!T59")</f>
        <v>1.4541280076515433</v>
      </c>
      <c r="I42" s="136">
        <f ca="1">INDIRECT("'DevSumOut-"&amp;$B$4&amp;"BSR'!V59")</f>
        <v>68.592373329499807</v>
      </c>
      <c r="J42" s="492">
        <f t="shared" ca="1" si="0"/>
        <v>50.610516094386618</v>
      </c>
      <c r="K42" s="492">
        <f t="shared" ca="1" si="1"/>
        <v>17.981857235113193</v>
      </c>
    </row>
    <row r="43" spans="1:12" x14ac:dyDescent="0.25">
      <c r="A43" s="84" t="s">
        <v>249</v>
      </c>
      <c r="B43" s="450">
        <f t="shared" ref="B43:I43" ca="1" si="2">SUM(B33:B42)</f>
        <v>9.0424029683993279</v>
      </c>
      <c r="C43" s="450">
        <f t="shared" ca="1" si="2"/>
        <v>0.42490555022350612</v>
      </c>
      <c r="D43" s="450">
        <f t="shared" ca="1" si="2"/>
        <v>8.7060591572246215E-2</v>
      </c>
      <c r="E43" s="450">
        <f t="shared" ca="1" si="2"/>
        <v>2.45967577787777</v>
      </c>
      <c r="F43" s="450">
        <f t="shared" ca="1" si="2"/>
        <v>2.45967577787777</v>
      </c>
      <c r="G43" s="450">
        <f t="shared" ca="1" si="2"/>
        <v>9.253345189822676E-2</v>
      </c>
      <c r="H43" s="450">
        <f t="shared" ca="1" si="2"/>
        <v>26.135196396161898</v>
      </c>
      <c r="I43" s="490">
        <f t="shared" ca="1" si="2"/>
        <v>631.13821680005083</v>
      </c>
      <c r="J43" s="490">
        <f t="shared" ref="J43:K43" ca="1" si="3">SUM(J33:J42)</f>
        <v>465.68196037917119</v>
      </c>
      <c r="K43" s="490">
        <f t="shared" ca="1" si="3"/>
        <v>165.45625642087973</v>
      </c>
    </row>
    <row r="44" spans="1:12" x14ac:dyDescent="0.25">
      <c r="A44" s="84"/>
      <c r="B44" s="450"/>
      <c r="C44" s="450"/>
      <c r="D44" s="450"/>
      <c r="E44" s="450"/>
      <c r="F44" s="450"/>
      <c r="G44" s="450"/>
      <c r="H44" s="450"/>
      <c r="I44" s="490"/>
      <c r="K44" s="490"/>
    </row>
    <row r="45" spans="1:12" x14ac:dyDescent="0.25">
      <c r="A45" s="84"/>
      <c r="B45" s="450"/>
      <c r="C45" s="450"/>
      <c r="D45" s="450"/>
      <c r="E45" s="490">
        <f ca="1">I43/Lookup!B37</f>
        <v>375.06233121683903</v>
      </c>
      <c r="F45" s="490" t="s">
        <v>352</v>
      </c>
      <c r="J45" s="490">
        <f ca="1">J43/Lookup!$B$37</f>
        <v>276.73773670525975</v>
      </c>
      <c r="K45" s="490">
        <f ca="1">K43/Lookup!$B$37</f>
        <v>98.324594511579335</v>
      </c>
      <c r="L45" s="490" t="s">
        <v>352</v>
      </c>
    </row>
    <row r="46" spans="1:12" x14ac:dyDescent="0.25">
      <c r="B46" s="5"/>
      <c r="C46" s="5"/>
      <c r="D46" s="5"/>
      <c r="E46" s="5"/>
      <c r="F46" s="5"/>
      <c r="G46" s="497"/>
      <c r="H46" s="498"/>
      <c r="I46" s="45"/>
      <c r="J46" s="134"/>
      <c r="K46" s="134"/>
    </row>
    <row r="47" spans="1:12" ht="15.75" thickBot="1" x14ac:dyDescent="0.3"/>
    <row r="48" spans="1:12" ht="16.5" thickBot="1" x14ac:dyDescent="0.3">
      <c r="A48" s="842" t="s">
        <v>254</v>
      </c>
      <c r="B48" s="843"/>
      <c r="C48" s="844"/>
      <c r="D48" s="807"/>
      <c r="J48" s="250"/>
    </row>
    <row r="49" spans="1:13" x14ac:dyDescent="0.25">
      <c r="M49" s="252"/>
    </row>
    <row r="50" spans="1:13" x14ac:dyDescent="0.25">
      <c r="B50" s="845" t="str">
        <f>$B$4&amp;" With Control Wood Device Emissions (tons/winter day)"</f>
        <v>2022 With Control Wood Device Emissions (tons/winter day)</v>
      </c>
      <c r="C50" s="845"/>
      <c r="D50" s="845"/>
      <c r="E50" s="845"/>
      <c r="F50" s="845"/>
      <c r="G50" s="845"/>
      <c r="H50" s="845"/>
      <c r="I50" s="845" t="s">
        <v>339</v>
      </c>
      <c r="J50" s="845"/>
      <c r="K50" s="845"/>
    </row>
    <row r="51" spans="1:13" x14ac:dyDescent="0.25">
      <c r="A51" s="3" t="s">
        <v>340</v>
      </c>
      <c r="B51" s="813" t="s">
        <v>201</v>
      </c>
      <c r="C51" s="813" t="s">
        <v>202</v>
      </c>
      <c r="D51" s="813" t="s">
        <v>132</v>
      </c>
      <c r="E51" s="813" t="s">
        <v>203</v>
      </c>
      <c r="F51" s="348" t="s">
        <v>204</v>
      </c>
      <c r="G51" s="813" t="s">
        <v>205</v>
      </c>
      <c r="H51" s="813" t="s">
        <v>206</v>
      </c>
      <c r="I51" s="813" t="s">
        <v>341</v>
      </c>
      <c r="J51" s="813" t="s">
        <v>330</v>
      </c>
      <c r="K51" s="813" t="s">
        <v>331</v>
      </c>
    </row>
    <row r="52" spans="1:13" x14ac:dyDescent="0.25">
      <c r="A52" t="s">
        <v>342</v>
      </c>
      <c r="B52" s="5">
        <f t="shared" ref="B52:H61" ca="1" si="4">B33*$I52/$I33</f>
        <v>4.0850341028196757</v>
      </c>
      <c r="C52" s="5">
        <f t="shared" ca="1" si="4"/>
        <v>4.6380299857341295E-2</v>
      </c>
      <c r="D52" s="5">
        <f t="shared" ca="1" si="4"/>
        <v>7.1354307472832751E-3</v>
      </c>
      <c r="E52" s="5">
        <f t="shared" ca="1" si="4"/>
        <v>0.61721475964000361</v>
      </c>
      <c r="F52" s="450">
        <f t="shared" ca="1" si="4"/>
        <v>0.61721475964000361</v>
      </c>
      <c r="G52" s="5">
        <f t="shared" ca="1" si="4"/>
        <v>3.2109438362774731E-2</v>
      </c>
      <c r="H52" s="5">
        <f t="shared" ca="1" si="4"/>
        <v>4.5060245169093873</v>
      </c>
      <c r="I52" s="499">
        <f ca="1">SUM(J52:K52)</f>
        <v>50.967783478849199</v>
      </c>
      <c r="J52" s="493">
        <f t="shared" ref="J52:J61" ca="1" si="5">J33/$G$23</f>
        <v>40.465904351286234</v>
      </c>
      <c r="K52" s="493">
        <f t="shared" ref="K52:K61" ca="1" si="6">K33/$H$23</f>
        <v>10.501879127562969</v>
      </c>
    </row>
    <row r="53" spans="1:13" x14ac:dyDescent="0.25">
      <c r="A53" t="s">
        <v>343</v>
      </c>
      <c r="B53" s="5">
        <f t="shared" ca="1" si="4"/>
        <v>8.3433259567657209E-2</v>
      </c>
      <c r="C53" s="5">
        <f t="shared" ca="1" si="4"/>
        <v>4.4077948450837769E-3</v>
      </c>
      <c r="D53" s="5">
        <f t="shared" ca="1" si="4"/>
        <v>6.2968497786911124E-4</v>
      </c>
      <c r="E53" s="5">
        <f t="shared" ca="1" si="4"/>
        <v>4.8170900806987008E-2</v>
      </c>
      <c r="F53" s="450">
        <f t="shared" ca="1" si="4"/>
        <v>4.8170900806987008E-2</v>
      </c>
      <c r="G53" s="5">
        <f t="shared" ca="1" si="4"/>
        <v>2.6761611559437226E-3</v>
      </c>
      <c r="H53" s="5">
        <f t="shared" ca="1" si="4"/>
        <v>0.36332823223047717</v>
      </c>
      <c r="I53" s="499">
        <f t="shared" ref="I53:I61" ca="1" si="7">SUM(J53:K53)</f>
        <v>4.4977869940278019</v>
      </c>
      <c r="J53" s="493">
        <f t="shared" ca="1" si="5"/>
        <v>3.5710208659224549</v>
      </c>
      <c r="K53" s="493">
        <f t="shared" ca="1" si="6"/>
        <v>0.92676612810534731</v>
      </c>
    </row>
    <row r="54" spans="1:13" x14ac:dyDescent="0.25">
      <c r="A54" t="s">
        <v>344</v>
      </c>
      <c r="B54" s="5">
        <f t="shared" ca="1" si="4"/>
        <v>3.9772470625055761E-2</v>
      </c>
      <c r="C54" s="5">
        <f t="shared" ca="1" si="4"/>
        <v>6.6287451041759631E-3</v>
      </c>
      <c r="D54" s="5">
        <f t="shared" ca="1" si="4"/>
        <v>1.3257490208351918E-3</v>
      </c>
      <c r="E54" s="5">
        <f t="shared" ca="1" si="4"/>
        <v>3.9772470625055761E-2</v>
      </c>
      <c r="F54" s="450">
        <f t="shared" ca="1" si="4"/>
        <v>3.9772470625055761E-2</v>
      </c>
      <c r="G54" s="5">
        <f t="shared" ca="1" si="4"/>
        <v>2.9829352968791822E-3</v>
      </c>
      <c r="H54" s="5">
        <f t="shared" ca="1" si="4"/>
        <v>0.46666365533398757</v>
      </c>
      <c r="I54" s="499">
        <f t="shared" ca="1" si="7"/>
        <v>9.4697140837574523</v>
      </c>
      <c r="J54" s="493">
        <f t="shared" ca="1" si="5"/>
        <v>7.5184855646386737</v>
      </c>
      <c r="K54" s="493">
        <f t="shared" ca="1" si="6"/>
        <v>1.9512285191187784</v>
      </c>
    </row>
    <row r="55" spans="1:13" x14ac:dyDescent="0.25">
      <c r="A55" t="s">
        <v>345</v>
      </c>
      <c r="B55" s="5">
        <f t="shared" ca="1" si="4"/>
        <v>2.9932424221601056E-2</v>
      </c>
      <c r="C55" s="5">
        <f t="shared" ca="1" si="4"/>
        <v>3.9909898962134753E-3</v>
      </c>
      <c r="D55" s="5">
        <f t="shared" ca="1" si="4"/>
        <v>7.9819797924269469E-4</v>
      </c>
      <c r="E55" s="5">
        <f t="shared" ca="1" si="4"/>
        <v>2.5941434325387581E-2</v>
      </c>
      <c r="F55" s="450">
        <f t="shared" ca="1" si="4"/>
        <v>2.5941434325387581E-2</v>
      </c>
      <c r="G55" s="5">
        <f t="shared" ca="1" si="4"/>
        <v>1.7959454532960634E-3</v>
      </c>
      <c r="H55" s="5">
        <f t="shared" ca="1" si="4"/>
        <v>0.21351795944742086</v>
      </c>
      <c r="I55" s="499">
        <f t="shared" ca="1" si="7"/>
        <v>5.7014612320056415</v>
      </c>
      <c r="J55" s="493">
        <f t="shared" ca="1" si="5"/>
        <v>4.5266787984345003</v>
      </c>
      <c r="K55" s="493">
        <f t="shared" ca="1" si="6"/>
        <v>1.1747824335711416</v>
      </c>
    </row>
    <row r="56" spans="1:13" x14ac:dyDescent="0.25">
      <c r="A56" t="s">
        <v>346</v>
      </c>
      <c r="B56" s="5">
        <f t="shared" ca="1" si="4"/>
        <v>1.6932129811751315</v>
      </c>
      <c r="C56" s="5">
        <f t="shared" ca="1" si="4"/>
        <v>4.6392202965823234E-2</v>
      </c>
      <c r="D56" s="5">
        <f t="shared" ca="1" si="4"/>
        <v>1.2778965895661369E-2</v>
      </c>
      <c r="E56" s="5">
        <f t="shared" ca="1" si="4"/>
        <v>0.38790644854949802</v>
      </c>
      <c r="F56" s="450">
        <f t="shared" ca="1" si="4"/>
        <v>0.38790644854949802</v>
      </c>
      <c r="G56" s="5">
        <f t="shared" ca="1" si="4"/>
        <v>1.2684035597878434E-2</v>
      </c>
      <c r="H56" s="5">
        <f t="shared" ca="1" si="4"/>
        <v>3.8710887445568347</v>
      </c>
      <c r="I56" s="499">
        <f t="shared" ca="1" si="7"/>
        <v>91.279081799181782</v>
      </c>
      <c r="J56" s="493">
        <f t="shared" ca="1" si="5"/>
        <v>72.471085482690128</v>
      </c>
      <c r="K56" s="493">
        <f t="shared" ca="1" si="6"/>
        <v>18.807996316491657</v>
      </c>
    </row>
    <row r="57" spans="1:13" x14ac:dyDescent="0.25">
      <c r="A57" t="s">
        <v>347</v>
      </c>
      <c r="B57" s="5">
        <f t="shared" ca="1" si="4"/>
        <v>0.8071512955950304</v>
      </c>
      <c r="C57" s="5">
        <f t="shared" ca="1" si="4"/>
        <v>0.10821474973281481</v>
      </c>
      <c r="D57" s="5">
        <f t="shared" ca="1" si="4"/>
        <v>2.690504318650102E-2</v>
      </c>
      <c r="E57" s="5">
        <f t="shared" ca="1" si="4"/>
        <v>0.53306459350491131</v>
      </c>
      <c r="F57" s="450">
        <f t="shared" ca="1" si="4"/>
        <v>0.53306459350491131</v>
      </c>
      <c r="G57" s="5">
        <f t="shared" ca="1" si="4"/>
        <v>1.6798280506670323E-2</v>
      </c>
      <c r="H57" s="5">
        <f t="shared" ca="1" si="4"/>
        <v>8.3164126470007069</v>
      </c>
      <c r="I57" s="499">
        <f t="shared" ca="1" si="7"/>
        <v>192.18046733068945</v>
      </c>
      <c r="J57" s="493">
        <f t="shared" ca="1" si="5"/>
        <v>152.5818051792736</v>
      </c>
      <c r="K57" s="493">
        <f t="shared" ca="1" si="6"/>
        <v>39.598662151415866</v>
      </c>
    </row>
    <row r="58" spans="1:13" x14ac:dyDescent="0.25">
      <c r="A58" t="s">
        <v>348</v>
      </c>
      <c r="B58" s="5">
        <f t="shared" ca="1" si="4"/>
        <v>0.60745522244587691</v>
      </c>
      <c r="C58" s="5">
        <f t="shared" ca="1" si="4"/>
        <v>6.5153202607361752E-2</v>
      </c>
      <c r="D58" s="5">
        <f t="shared" ca="1" si="4"/>
        <v>1.6198805931890051E-2</v>
      </c>
      <c r="E58" s="5">
        <f t="shared" ca="1" si="4"/>
        <v>0.3561158511307716</v>
      </c>
      <c r="F58" s="450">
        <f t="shared" ca="1" si="4"/>
        <v>0.3561158511307716</v>
      </c>
      <c r="G58" s="5">
        <f t="shared" ca="1" si="4"/>
        <v>1.0113794801620326E-2</v>
      </c>
      <c r="H58" s="5">
        <f t="shared" ca="1" si="4"/>
        <v>5.007089324646433</v>
      </c>
      <c r="I58" s="499">
        <f t="shared" ca="1" si="7"/>
        <v>115.70671240370645</v>
      </c>
      <c r="J58" s="493">
        <f t="shared" ca="1" si="5"/>
        <v>91.865418453466717</v>
      </c>
      <c r="K58" s="493">
        <f t="shared" ca="1" si="6"/>
        <v>23.841293950239731</v>
      </c>
    </row>
    <row r="59" spans="1:13" x14ac:dyDescent="0.25">
      <c r="A59" t="s">
        <v>349</v>
      </c>
      <c r="B59" s="5">
        <f t="shared" ca="1" si="4"/>
        <v>1.0178480219931079E-2</v>
      </c>
      <c r="C59" s="5">
        <f t="shared" ca="1" si="4"/>
        <v>1.7774797177292908E-2</v>
      </c>
      <c r="D59" s="5">
        <f t="shared" ca="1" si="4"/>
        <v>1.4205632109724599E-3</v>
      </c>
      <c r="E59" s="5">
        <f t="shared" ca="1" si="4"/>
        <v>1.3140209701495254E-2</v>
      </c>
      <c r="F59" s="450">
        <f t="shared" ca="1" si="4"/>
        <v>1.3140209701495254E-2</v>
      </c>
      <c r="G59" s="5">
        <f t="shared" ca="1" si="4"/>
        <v>3.1909401126468891E-4</v>
      </c>
      <c r="H59" s="5">
        <f t="shared" ca="1" si="4"/>
        <v>4.4090730660557735E-2</v>
      </c>
      <c r="I59" s="499">
        <f t="shared" ca="1" si="7"/>
        <v>12.11733844731363</v>
      </c>
      <c r="J59" s="493">
        <f t="shared" ca="1" si="5"/>
        <v>9.6205686245830027</v>
      </c>
      <c r="K59" s="493">
        <f t="shared" ca="1" si="6"/>
        <v>2.4967698227306268</v>
      </c>
    </row>
    <row r="60" spans="1:13" x14ac:dyDescent="0.25">
      <c r="A60" t="s">
        <v>350</v>
      </c>
      <c r="B60" s="5">
        <f t="shared" ca="1" si="4"/>
        <v>3.4332330114707675E-2</v>
      </c>
      <c r="C60" s="5">
        <f t="shared" ca="1" si="4"/>
        <v>5.9954943294759019E-2</v>
      </c>
      <c r="D60" s="5">
        <f t="shared" ca="1" si="4"/>
        <v>4.7916038597210012E-3</v>
      </c>
      <c r="E60" s="5">
        <f t="shared" ca="1" si="4"/>
        <v>4.4322335702419245E-2</v>
      </c>
      <c r="F60" s="450">
        <f t="shared" ca="1" si="4"/>
        <v>4.4322335702419245E-2</v>
      </c>
      <c r="G60" s="5">
        <f t="shared" ca="1" si="4"/>
        <v>1.07631401698983E-3</v>
      </c>
      <c r="H60" s="5">
        <f t="shared" ca="1" si="4"/>
        <v>0.14871940479609064</v>
      </c>
      <c r="I60" s="499">
        <f t="shared" ca="1" si="7"/>
        <v>40.872159172661611</v>
      </c>
      <c r="J60" s="493">
        <f t="shared" ca="1" si="5"/>
        <v>32.450476964489233</v>
      </c>
      <c r="K60" s="493">
        <f t="shared" ca="1" si="6"/>
        <v>8.4216822081723759</v>
      </c>
    </row>
    <row r="61" spans="1:13" x14ac:dyDescent="0.25">
      <c r="A61" s="3" t="s">
        <v>351</v>
      </c>
      <c r="B61" s="360">
        <f t="shared" ca="1" si="4"/>
        <v>1.0129023350838835</v>
      </c>
      <c r="C61" s="360">
        <f t="shared" ca="1" si="4"/>
        <v>3.5981091140976543E-2</v>
      </c>
      <c r="D61" s="360">
        <f t="shared" ca="1" si="4"/>
        <v>8.9242496483161581E-3</v>
      </c>
      <c r="E61" s="360">
        <f t="shared" ca="1" si="4"/>
        <v>0.22020925305643255</v>
      </c>
      <c r="F61" s="451">
        <f t="shared" ca="1" si="4"/>
        <v>0.22020925305643255</v>
      </c>
      <c r="G61" s="360">
        <f t="shared" ca="1" si="4"/>
        <v>5.4384058221894783E-3</v>
      </c>
      <c r="H61" s="360">
        <f t="shared" ca="1" si="4"/>
        <v>1.3513693727372587</v>
      </c>
      <c r="I61" s="500">
        <f t="shared" ca="1" si="7"/>
        <v>63.745166885650455</v>
      </c>
      <c r="J61" s="494">
        <f t="shared" ca="1" si="5"/>
        <v>50.610516094386618</v>
      </c>
      <c r="K61" s="494">
        <f t="shared" ca="1" si="6"/>
        <v>13.134650791263839</v>
      </c>
    </row>
    <row r="62" spans="1:13" x14ac:dyDescent="0.25">
      <c r="A62" s="84" t="s">
        <v>249</v>
      </c>
      <c r="B62" s="450">
        <f ca="1">SUM(B52:B61)</f>
        <v>8.4034049018685515</v>
      </c>
      <c r="C62" s="450">
        <f t="shared" ref="C62" ca="1" si="8">SUM(C52:C61)</f>
        <v>0.39487881662184277</v>
      </c>
      <c r="D62" s="450">
        <f t="shared" ref="D62:I62" ca="1" si="9">SUM(D52:D61)</f>
        <v>8.0908294458292326E-2</v>
      </c>
      <c r="E62" s="450">
        <f t="shared" ca="1" si="9"/>
        <v>2.2858582570429617</v>
      </c>
      <c r="F62" s="450">
        <f t="shared" ca="1" si="9"/>
        <v>2.2858582570429617</v>
      </c>
      <c r="G62" s="450">
        <f t="shared" ca="1" si="9"/>
        <v>8.5994405025506759E-2</v>
      </c>
      <c r="H62" s="450">
        <f t="shared" ca="1" si="9"/>
        <v>24.288304588319154</v>
      </c>
      <c r="I62" s="495">
        <f t="shared" ca="1" si="9"/>
        <v>586.53767182784338</v>
      </c>
      <c r="J62" s="495">
        <f t="shared" ref="J62" ca="1" si="10">SUM(J52:J61)</f>
        <v>465.68196037917119</v>
      </c>
      <c r="K62" s="495">
        <f t="shared" ref="K62" ca="1" si="11">SUM(K52:K61)</f>
        <v>120.85571144867232</v>
      </c>
    </row>
    <row r="63" spans="1:13" x14ac:dyDescent="0.25">
      <c r="H63" s="1" t="s">
        <v>353</v>
      </c>
      <c r="I63" s="496">
        <f ca="1">I62/I43-1</f>
        <v>-7.0666842515634265E-2</v>
      </c>
      <c r="J63" s="496">
        <f ca="1">J62/J43-1</f>
        <v>0</v>
      </c>
      <c r="K63" s="496">
        <f ca="1">K62/K43-1</f>
        <v>-0.26956094581733236</v>
      </c>
    </row>
    <row r="65" spans="1:17" ht="15.75" x14ac:dyDescent="0.25">
      <c r="A65" s="273" t="s">
        <v>354</v>
      </c>
    </row>
    <row r="66" spans="1:17" ht="15.75" x14ac:dyDescent="0.25">
      <c r="A66" s="273"/>
    </row>
    <row r="67" spans="1:17" ht="15.75" x14ac:dyDescent="0.25">
      <c r="A67" s="273"/>
      <c r="B67" s="845" t="s">
        <v>299</v>
      </c>
      <c r="C67" s="845"/>
      <c r="D67" s="845"/>
      <c r="E67" s="845"/>
      <c r="F67" s="845"/>
      <c r="G67" s="845"/>
      <c r="H67" s="845"/>
      <c r="I67" s="812" t="s">
        <v>300</v>
      </c>
    </row>
    <row r="68" spans="1:17" x14ac:dyDescent="0.25">
      <c r="A68" s="813" t="s">
        <v>301</v>
      </c>
      <c r="B68" s="813" t="s">
        <v>201</v>
      </c>
      <c r="C68" s="813" t="s">
        <v>202</v>
      </c>
      <c r="D68" s="813" t="s">
        <v>132</v>
      </c>
      <c r="E68" s="813" t="s">
        <v>203</v>
      </c>
      <c r="F68" s="454" t="s">
        <v>204</v>
      </c>
      <c r="G68" s="813" t="s">
        <v>205</v>
      </c>
      <c r="H68" s="813" t="s">
        <v>206</v>
      </c>
      <c r="I68" s="813" t="s">
        <v>302</v>
      </c>
    </row>
    <row r="69" spans="1:17" x14ac:dyDescent="0.25">
      <c r="A69" s="812">
        <f t="shared" ref="A69:A75" si="12">$B$4+I69-1</f>
        <v>2022</v>
      </c>
      <c r="B69" s="452">
        <f t="shared" ref="B69:H69" ca="1" si="13">(B$43-B$62)*$I69</f>
        <v>0.6389980665307764</v>
      </c>
      <c r="C69" s="452">
        <f t="shared" ca="1" si="13"/>
        <v>3.0026733601663358E-2</v>
      </c>
      <c r="D69" s="452">
        <f t="shared" ca="1" si="13"/>
        <v>6.152297113953889E-3</v>
      </c>
      <c r="E69" s="452">
        <f t="shared" ca="1" si="13"/>
        <v>0.17381752083480828</v>
      </c>
      <c r="F69" s="455">
        <f t="shared" ca="1" si="13"/>
        <v>0.17381752083480828</v>
      </c>
      <c r="G69" s="452">
        <f t="shared" ca="1" si="13"/>
        <v>6.5390468727200002E-3</v>
      </c>
      <c r="H69" s="452">
        <f t="shared" ca="1" si="13"/>
        <v>1.846891807842745</v>
      </c>
      <c r="I69" s="812">
        <v>1</v>
      </c>
      <c r="K69" s="252" t="s">
        <v>303</v>
      </c>
    </row>
    <row r="70" spans="1:17" x14ac:dyDescent="0.25">
      <c r="A70" s="812">
        <f t="shared" si="12"/>
        <v>2023</v>
      </c>
      <c r="B70" s="452">
        <f ca="1">B69</f>
        <v>0.6389980665307764</v>
      </c>
      <c r="C70" s="452">
        <f t="shared" ref="C70:H70" ca="1" si="14">C69</f>
        <v>3.0026733601663358E-2</v>
      </c>
      <c r="D70" s="452">
        <f t="shared" ca="1" si="14"/>
        <v>6.152297113953889E-3</v>
      </c>
      <c r="E70" s="452">
        <f t="shared" ca="1" si="14"/>
        <v>0.17381752083480828</v>
      </c>
      <c r="F70" s="455">
        <f t="shared" ca="1" si="14"/>
        <v>0.17381752083480828</v>
      </c>
      <c r="G70" s="452">
        <f t="shared" ca="1" si="14"/>
        <v>6.5390468727200002E-3</v>
      </c>
      <c r="H70" s="452">
        <f t="shared" ca="1" si="14"/>
        <v>1.846891807842745</v>
      </c>
      <c r="I70" s="812">
        <v>2</v>
      </c>
      <c r="M70" s="252"/>
    </row>
    <row r="71" spans="1:17" x14ac:dyDescent="0.25">
      <c r="A71" s="812">
        <f t="shared" si="12"/>
        <v>2024</v>
      </c>
      <c r="B71" s="452">
        <f t="shared" ref="B71:B75" ca="1" si="15">B70</f>
        <v>0.6389980665307764</v>
      </c>
      <c r="C71" s="452">
        <f t="shared" ref="C71:C75" ca="1" si="16">C70</f>
        <v>3.0026733601663358E-2</v>
      </c>
      <c r="D71" s="452">
        <f t="shared" ref="D71:D75" ca="1" si="17">D70</f>
        <v>6.152297113953889E-3</v>
      </c>
      <c r="E71" s="452">
        <f t="shared" ref="E71:E75" ca="1" si="18">E70</f>
        <v>0.17381752083480828</v>
      </c>
      <c r="F71" s="455">
        <f t="shared" ref="F71:F75" ca="1" si="19">F70</f>
        <v>0.17381752083480828</v>
      </c>
      <c r="G71" s="452">
        <f t="shared" ref="G71:G75" ca="1" si="20">G70</f>
        <v>6.5390468727200002E-3</v>
      </c>
      <c r="H71" s="452">
        <f t="shared" ref="H71:H75" ca="1" si="21">H70</f>
        <v>1.846891807842745</v>
      </c>
      <c r="I71" s="812">
        <v>3</v>
      </c>
      <c r="M71" s="252"/>
    </row>
    <row r="72" spans="1:17" x14ac:dyDescent="0.25">
      <c r="A72" s="812">
        <f t="shared" si="12"/>
        <v>2025</v>
      </c>
      <c r="B72" s="452">
        <f t="shared" ca="1" si="15"/>
        <v>0.6389980665307764</v>
      </c>
      <c r="C72" s="452">
        <f t="shared" ca="1" si="16"/>
        <v>3.0026733601663358E-2</v>
      </c>
      <c r="D72" s="452">
        <f t="shared" ca="1" si="17"/>
        <v>6.152297113953889E-3</v>
      </c>
      <c r="E72" s="452">
        <f t="shared" ca="1" si="18"/>
        <v>0.17381752083480828</v>
      </c>
      <c r="F72" s="455">
        <f t="shared" ca="1" si="19"/>
        <v>0.17381752083480828</v>
      </c>
      <c r="G72" s="452">
        <f t="shared" ca="1" si="20"/>
        <v>6.5390468727200002E-3</v>
      </c>
      <c r="H72" s="452">
        <f t="shared" ca="1" si="21"/>
        <v>1.846891807842745</v>
      </c>
      <c r="I72" s="812">
        <v>4</v>
      </c>
      <c r="M72" s="252"/>
    </row>
    <row r="73" spans="1:17" x14ac:dyDescent="0.25">
      <c r="A73" s="812">
        <f t="shared" si="12"/>
        <v>2026</v>
      </c>
      <c r="B73" s="452">
        <f t="shared" ca="1" si="15"/>
        <v>0.6389980665307764</v>
      </c>
      <c r="C73" s="452">
        <f t="shared" ca="1" si="16"/>
        <v>3.0026733601663358E-2</v>
      </c>
      <c r="D73" s="452">
        <f t="shared" ca="1" si="17"/>
        <v>6.152297113953889E-3</v>
      </c>
      <c r="E73" s="452">
        <f t="shared" ca="1" si="18"/>
        <v>0.17381752083480828</v>
      </c>
      <c r="F73" s="455">
        <f t="shared" ca="1" si="19"/>
        <v>0.17381752083480828</v>
      </c>
      <c r="G73" s="452">
        <f t="shared" ca="1" si="20"/>
        <v>6.5390468727200002E-3</v>
      </c>
      <c r="H73" s="452">
        <f t="shared" ca="1" si="21"/>
        <v>1.846891807842745</v>
      </c>
      <c r="I73" s="812">
        <v>5</v>
      </c>
    </row>
    <row r="74" spans="1:17" x14ac:dyDescent="0.25">
      <c r="A74" s="812">
        <f t="shared" si="12"/>
        <v>2027</v>
      </c>
      <c r="B74" s="452">
        <f t="shared" ca="1" si="15"/>
        <v>0.6389980665307764</v>
      </c>
      <c r="C74" s="452">
        <f t="shared" ca="1" si="16"/>
        <v>3.0026733601663358E-2</v>
      </c>
      <c r="D74" s="452">
        <f t="shared" ca="1" si="17"/>
        <v>6.152297113953889E-3</v>
      </c>
      <c r="E74" s="452">
        <f t="shared" ca="1" si="18"/>
        <v>0.17381752083480828</v>
      </c>
      <c r="F74" s="455">
        <f t="shared" ca="1" si="19"/>
        <v>0.17381752083480828</v>
      </c>
      <c r="G74" s="452">
        <f t="shared" ca="1" si="20"/>
        <v>6.5390468727200002E-3</v>
      </c>
      <c r="H74" s="452">
        <f t="shared" ca="1" si="21"/>
        <v>1.846891807842745</v>
      </c>
      <c r="I74" s="812">
        <v>6</v>
      </c>
    </row>
    <row r="75" spans="1:17" x14ac:dyDescent="0.25">
      <c r="A75" s="812">
        <f t="shared" si="12"/>
        <v>2028</v>
      </c>
      <c r="B75" s="452">
        <f t="shared" ca="1" si="15"/>
        <v>0.6389980665307764</v>
      </c>
      <c r="C75" s="452">
        <f t="shared" ca="1" si="16"/>
        <v>3.0026733601663358E-2</v>
      </c>
      <c r="D75" s="452">
        <f t="shared" ca="1" si="17"/>
        <v>6.152297113953889E-3</v>
      </c>
      <c r="E75" s="452">
        <f t="shared" ca="1" si="18"/>
        <v>0.17381752083480828</v>
      </c>
      <c r="F75" s="455">
        <f t="shared" ca="1" si="19"/>
        <v>0.17381752083480828</v>
      </c>
      <c r="G75" s="452">
        <f t="shared" ca="1" si="20"/>
        <v>6.5390468727200002E-3</v>
      </c>
      <c r="H75" s="452">
        <f t="shared" ca="1" si="21"/>
        <v>1.846891807842745</v>
      </c>
      <c r="I75" s="812">
        <v>7</v>
      </c>
    </row>
    <row r="78" spans="1:17" ht="15.75" x14ac:dyDescent="0.25">
      <c r="A78" s="273" t="s">
        <v>304</v>
      </c>
    </row>
    <row r="79" spans="1:17" x14ac:dyDescent="0.25">
      <c r="N79" s="840" t="s">
        <v>305</v>
      </c>
      <c r="O79" s="840"/>
      <c r="P79" s="840"/>
      <c r="Q79" s="840"/>
    </row>
    <row r="80" spans="1:17" x14ac:dyDescent="0.25">
      <c r="A80" s="252"/>
      <c r="B80" s="845" t="s">
        <v>355</v>
      </c>
      <c r="C80" s="845"/>
      <c r="D80" s="845"/>
      <c r="E80" s="845"/>
      <c r="F80" s="845"/>
      <c r="G80" s="845"/>
      <c r="H80" s="845"/>
      <c r="K80" s="845" t="str">
        <f>$B$4&amp;" Base Emissions"</f>
        <v>2022 Base Emissions</v>
      </c>
      <c r="L80" s="845"/>
      <c r="N80" s="244" t="s">
        <v>307</v>
      </c>
      <c r="O80" s="664">
        <f>$B$4</f>
        <v>2022</v>
      </c>
      <c r="P80" s="244" t="s">
        <v>308</v>
      </c>
      <c r="Q80" s="664">
        <v>2024</v>
      </c>
    </row>
    <row r="81" spans="1:17" x14ac:dyDescent="0.25">
      <c r="A81" s="813" t="s">
        <v>130</v>
      </c>
      <c r="B81" s="813" t="s">
        <v>201</v>
      </c>
      <c r="C81" s="813" t="s">
        <v>202</v>
      </c>
      <c r="D81" s="363" t="s">
        <v>132</v>
      </c>
      <c r="E81" s="813" t="s">
        <v>203</v>
      </c>
      <c r="F81" s="454" t="s">
        <v>204</v>
      </c>
      <c r="G81" s="813" t="s">
        <v>205</v>
      </c>
      <c r="H81" s="813" t="s">
        <v>206</v>
      </c>
      <c r="I81" s="3" t="s">
        <v>356</v>
      </c>
      <c r="J81" s="3"/>
      <c r="K81" s="813" t="s">
        <v>132</v>
      </c>
      <c r="L81" s="813" t="s">
        <v>204</v>
      </c>
      <c r="M81" s="813" t="s">
        <v>130</v>
      </c>
      <c r="N81" s="363" t="s">
        <v>132</v>
      </c>
      <c r="O81" s="454" t="s">
        <v>204</v>
      </c>
      <c r="P81" s="363" t="s">
        <v>132</v>
      </c>
      <c r="Q81" s="454" t="s">
        <v>204</v>
      </c>
    </row>
    <row r="82" spans="1:17" x14ac:dyDescent="0.25">
      <c r="A82" s="812">
        <v>2104008100</v>
      </c>
      <c r="B82" s="133">
        <f t="shared" ref="B82:H92" ca="1" si="22">B33-B52</f>
        <v>0.31062752823366147</v>
      </c>
      <c r="C82" s="133">
        <f t="shared" ca="1" si="22"/>
        <v>3.5267754297271664E-3</v>
      </c>
      <c r="D82" s="511">
        <f t="shared" ca="1" si="22"/>
        <v>5.4258083534264138E-4</v>
      </c>
      <c r="E82" s="133">
        <f t="shared" ca="1" si="22"/>
        <v>4.6933242257138352E-2</v>
      </c>
      <c r="F82" s="525">
        <f t="shared" ca="1" si="22"/>
        <v>4.6933242257138352E-2</v>
      </c>
      <c r="G82" s="133">
        <f t="shared" ca="1" si="22"/>
        <v>2.4416137590418871E-3</v>
      </c>
      <c r="H82" s="133">
        <f t="shared" ca="1" si="22"/>
        <v>0.34263979751887774</v>
      </c>
      <c r="I82" t="s">
        <v>137</v>
      </c>
      <c r="K82" s="5">
        <f t="shared" ref="K82:K92" ca="1" si="23">D33</f>
        <v>7.6780115826259165E-3</v>
      </c>
      <c r="L82" s="5">
        <f t="shared" ref="L82:L92" ca="1" si="24">F33</f>
        <v>0.66414800189714196</v>
      </c>
      <c r="M82" s="812">
        <v>2104008100</v>
      </c>
      <c r="N82" s="357">
        <f ca="1">D82/K82</f>
        <v>7.0666842515634251E-2</v>
      </c>
      <c r="O82" s="463">
        <f ca="1">F82/L82</f>
        <v>7.0666842515634043E-2</v>
      </c>
      <c r="P82" s="357">
        <f ca="1">N82</f>
        <v>7.0666842515634251E-2</v>
      </c>
      <c r="Q82" s="463">
        <f ca="1">O82</f>
        <v>7.0666842515634043E-2</v>
      </c>
    </row>
    <row r="83" spans="1:17" x14ac:dyDescent="0.25">
      <c r="A83" s="812">
        <v>2104008210</v>
      </c>
      <c r="B83" s="133">
        <f t="shared" ca="1" si="22"/>
        <v>6.344296409689712E-3</v>
      </c>
      <c r="C83" s="133">
        <f t="shared" ca="1" si="22"/>
        <v>3.3517037636096592E-4</v>
      </c>
      <c r="D83" s="511">
        <f t="shared" ca="1" si="22"/>
        <v>4.7881482337280845E-5</v>
      </c>
      <c r="E83" s="133">
        <f t="shared" ca="1" si="22"/>
        <v>3.6629333988019847E-3</v>
      </c>
      <c r="F83" s="525">
        <f t="shared" ca="1" si="22"/>
        <v>3.6629333988019847E-3</v>
      </c>
      <c r="G83" s="133">
        <f t="shared" ca="1" si="22"/>
        <v>2.0349629993344359E-4</v>
      </c>
      <c r="H83" s="133">
        <f t="shared" ca="1" si="22"/>
        <v>2.7627615308611075E-2</v>
      </c>
      <c r="I83" t="s">
        <v>138</v>
      </c>
      <c r="J83" s="812"/>
      <c r="K83" s="5">
        <f t="shared" ca="1" si="23"/>
        <v>6.7756646020639209E-4</v>
      </c>
      <c r="L83" s="5">
        <f t="shared" ca="1" si="24"/>
        <v>5.1833834205788992E-2</v>
      </c>
      <c r="M83" s="812">
        <v>2104008210</v>
      </c>
      <c r="N83" s="357">
        <f t="shared" ref="N83:N92" ca="1" si="25">D83/K83</f>
        <v>7.0666842515634209E-2</v>
      </c>
      <c r="O83" s="463">
        <f t="shared" ref="O83:O92" ca="1" si="26">F83/L83</f>
        <v>7.0666842515634209E-2</v>
      </c>
      <c r="P83" s="357">
        <f t="shared" ref="P83:P92" ca="1" si="27">N83</f>
        <v>7.0666842515634209E-2</v>
      </c>
      <c r="Q83" s="463">
        <f t="shared" ref="Q83:Q92" ca="1" si="28">O83</f>
        <v>7.0666842515634209E-2</v>
      </c>
    </row>
    <row r="84" spans="1:17" x14ac:dyDescent="0.25">
      <c r="A84" s="812">
        <v>2104008220</v>
      </c>
      <c r="B84" s="133">
        <f t="shared" ca="1" si="22"/>
        <v>3.0243136118446173E-3</v>
      </c>
      <c r="C84" s="133">
        <f t="shared" ca="1" si="22"/>
        <v>5.0405226864076898E-4</v>
      </c>
      <c r="D84" s="511">
        <f t="shared" ca="1" si="22"/>
        <v>1.008104537281538E-4</v>
      </c>
      <c r="E84" s="133">
        <f t="shared" ca="1" si="22"/>
        <v>3.0243136118446173E-3</v>
      </c>
      <c r="F84" s="525">
        <f t="shared" ca="1" si="22"/>
        <v>3.0243136118446173E-3</v>
      </c>
      <c r="G84" s="133">
        <f t="shared" ca="1" si="22"/>
        <v>2.2682352088834604E-4</v>
      </c>
      <c r="H84" s="133">
        <f t="shared" ca="1" si="22"/>
        <v>3.5485279712310192E-2</v>
      </c>
      <c r="I84" t="s">
        <v>139</v>
      </c>
      <c r="J84" s="812"/>
      <c r="K84" s="5">
        <f t="shared" ca="1" si="23"/>
        <v>1.4265594745633456E-3</v>
      </c>
      <c r="L84" s="5">
        <f t="shared" ca="1" si="24"/>
        <v>4.2796784236900379E-2</v>
      </c>
      <c r="M84" s="812">
        <v>2104008220</v>
      </c>
      <c r="N84" s="357">
        <f t="shared" ca="1" si="25"/>
        <v>7.0666842515634182E-2</v>
      </c>
      <c r="O84" s="463">
        <f t="shared" ca="1" si="26"/>
        <v>7.0666842515634251E-2</v>
      </c>
      <c r="P84" s="357">
        <f t="shared" ca="1" si="27"/>
        <v>7.0666842515634182E-2</v>
      </c>
      <c r="Q84" s="463">
        <f t="shared" ca="1" si="28"/>
        <v>7.0666842515634251E-2</v>
      </c>
    </row>
    <row r="85" spans="1:17" x14ac:dyDescent="0.25">
      <c r="A85" s="812">
        <v>2104008230</v>
      </c>
      <c r="B85" s="133">
        <f t="shared" ca="1" si="22"/>
        <v>2.2760727856787205E-3</v>
      </c>
      <c r="C85" s="133">
        <f t="shared" ca="1" si="22"/>
        <v>3.0347637142382877E-4</v>
      </c>
      <c r="D85" s="511">
        <f t="shared" ca="1" si="22"/>
        <v>6.0695274284765731E-5</v>
      </c>
      <c r="E85" s="133">
        <f t="shared" ca="1" si="22"/>
        <v>1.9725964142548874E-3</v>
      </c>
      <c r="F85" s="525">
        <f t="shared" ca="1" si="22"/>
        <v>1.9725964142548874E-3</v>
      </c>
      <c r="G85" s="133">
        <f t="shared" ca="1" si="22"/>
        <v>1.3656436714072303E-4</v>
      </c>
      <c r="H85" s="133">
        <f t="shared" ca="1" si="22"/>
        <v>1.6235985871174835E-2</v>
      </c>
      <c r="I85" t="s">
        <v>140</v>
      </c>
      <c r="J85" s="812"/>
      <c r="K85" s="5">
        <f t="shared" ca="1" si="23"/>
        <v>8.5889325352746042E-4</v>
      </c>
      <c r="L85" s="5">
        <f t="shared" ca="1" si="24"/>
        <v>2.7914030739642468E-2</v>
      </c>
      <c r="M85" s="812">
        <v>2104008230</v>
      </c>
      <c r="N85" s="357">
        <f t="shared" ca="1" si="25"/>
        <v>7.0666842515634209E-2</v>
      </c>
      <c r="O85" s="463">
        <f t="shared" ca="1" si="26"/>
        <v>7.0666842515634237E-2</v>
      </c>
      <c r="P85" s="357">
        <f t="shared" ca="1" si="27"/>
        <v>7.0666842515634209E-2</v>
      </c>
      <c r="Q85" s="463">
        <f t="shared" ca="1" si="28"/>
        <v>7.0666842515634237E-2</v>
      </c>
    </row>
    <row r="86" spans="1:17" x14ac:dyDescent="0.25">
      <c r="A86" s="812">
        <v>2104008310</v>
      </c>
      <c r="B86" s="133">
        <f t="shared" ca="1" si="22"/>
        <v>0.12875255135631303</v>
      </c>
      <c r="C86" s="133">
        <f t="shared" ca="1" si="22"/>
        <v>3.5276805465690314E-3</v>
      </c>
      <c r="D86" s="511">
        <f t="shared" ca="1" si="22"/>
        <v>9.7171736872689145E-4</v>
      </c>
      <c r="E86" s="133">
        <f t="shared" ca="1" si="22"/>
        <v>2.9496552113398022E-2</v>
      </c>
      <c r="F86" s="525">
        <f t="shared" ca="1" si="22"/>
        <v>2.9496552113398022E-2</v>
      </c>
      <c r="G86" s="133">
        <f t="shared" ca="1" si="22"/>
        <v>9.6449883321100827E-4</v>
      </c>
      <c r="H86" s="133">
        <f t="shared" ca="1" si="22"/>
        <v>0.29435904279595659</v>
      </c>
      <c r="I86" t="s">
        <v>141</v>
      </c>
      <c r="J86" s="812"/>
      <c r="K86" s="5">
        <f t="shared" ca="1" si="23"/>
        <v>1.3750683264388261E-2</v>
      </c>
      <c r="L86" s="5">
        <f t="shared" ca="1" si="24"/>
        <v>0.41740300066289604</v>
      </c>
      <c r="M86" s="812">
        <v>2104008310</v>
      </c>
      <c r="N86" s="357">
        <f t="shared" ca="1" si="25"/>
        <v>7.0666842515634154E-2</v>
      </c>
      <c r="O86" s="463">
        <f t="shared" ca="1" si="26"/>
        <v>7.0666842515634182E-2</v>
      </c>
      <c r="P86" s="357">
        <f t="shared" ca="1" si="27"/>
        <v>7.0666842515634154E-2</v>
      </c>
      <c r="Q86" s="463">
        <f t="shared" ca="1" si="28"/>
        <v>7.0666842515634182E-2</v>
      </c>
    </row>
    <row r="87" spans="1:17" x14ac:dyDescent="0.25">
      <c r="A87" s="812">
        <v>2104008320</v>
      </c>
      <c r="B87" s="133">
        <f t="shared" ca="1" si="22"/>
        <v>6.1376087824633219E-2</v>
      </c>
      <c r="C87" s="133">
        <f t="shared" ca="1" si="22"/>
        <v>8.2286902341222462E-3</v>
      </c>
      <c r="D87" s="511">
        <f t="shared" ca="1" si="22"/>
        <v>2.0458695941544397E-3</v>
      </c>
      <c r="E87" s="133">
        <f t="shared" ca="1" si="22"/>
        <v>4.0534432002665155E-2</v>
      </c>
      <c r="F87" s="525">
        <f t="shared" ca="1" si="22"/>
        <v>4.0534432002665155E-2</v>
      </c>
      <c r="G87" s="133">
        <f t="shared" ca="1" si="22"/>
        <v>1.2773475621074976E-3</v>
      </c>
      <c r="H87" s="133">
        <f t="shared" ca="1" si="22"/>
        <v>0.63238314278108021</v>
      </c>
      <c r="I87" t="s">
        <v>142</v>
      </c>
      <c r="J87" s="812"/>
      <c r="K87" s="5">
        <f t="shared" ca="1" si="23"/>
        <v>2.8950912780655459E-2</v>
      </c>
      <c r="L87" s="5">
        <f t="shared" ca="1" si="24"/>
        <v>0.57359902550757647</v>
      </c>
      <c r="M87" s="812">
        <v>2104008320</v>
      </c>
      <c r="N87" s="357">
        <f t="shared" ca="1" si="25"/>
        <v>7.0666842515634168E-2</v>
      </c>
      <c r="O87" s="463">
        <f t="shared" ca="1" si="26"/>
        <v>7.0666842515634209E-2</v>
      </c>
      <c r="P87" s="357">
        <f t="shared" ca="1" si="27"/>
        <v>7.0666842515634168E-2</v>
      </c>
      <c r="Q87" s="463">
        <f t="shared" ca="1" si="28"/>
        <v>7.0666842515634209E-2</v>
      </c>
    </row>
    <row r="88" spans="1:17" x14ac:dyDescent="0.25">
      <c r="A88" s="812">
        <v>2104008330</v>
      </c>
      <c r="B88" s="133">
        <f t="shared" ca="1" si="22"/>
        <v>4.6191123381503219E-2</v>
      </c>
      <c r="C88" s="133">
        <f t="shared" ca="1" si="22"/>
        <v>4.9542740092334281E-3</v>
      </c>
      <c r="D88" s="511">
        <f t="shared" ca="1" si="22"/>
        <v>1.2317632901734203E-3</v>
      </c>
      <c r="E88" s="133">
        <f t="shared" ca="1" si="22"/>
        <v>2.7079183139554153E-2</v>
      </c>
      <c r="F88" s="525">
        <f t="shared" ca="1" si="22"/>
        <v>2.7079183139554153E-2</v>
      </c>
      <c r="G88" s="133">
        <f t="shared" ca="1" si="22"/>
        <v>7.6905675723032245E-4</v>
      </c>
      <c r="H88" s="133">
        <f t="shared" ca="1" si="22"/>
        <v>0.38074095378702211</v>
      </c>
      <c r="I88" t="s">
        <v>143</v>
      </c>
      <c r="J88" s="812"/>
      <c r="K88" s="5">
        <f t="shared" ca="1" si="23"/>
        <v>1.7430569222063472E-2</v>
      </c>
      <c r="L88" s="5">
        <f t="shared" ca="1" si="24"/>
        <v>0.38319503427032575</v>
      </c>
      <c r="M88" s="812">
        <v>2104008330</v>
      </c>
      <c r="N88" s="357">
        <f t="shared" ca="1" si="25"/>
        <v>7.0666842515634223E-2</v>
      </c>
      <c r="O88" s="463">
        <f t="shared" ca="1" si="26"/>
        <v>7.0666842515634182E-2</v>
      </c>
      <c r="P88" s="357">
        <f t="shared" ca="1" si="27"/>
        <v>7.0666842515634223E-2</v>
      </c>
      <c r="Q88" s="463">
        <f t="shared" ca="1" si="28"/>
        <v>7.0666842515634182E-2</v>
      </c>
    </row>
    <row r="89" spans="1:17" x14ac:dyDescent="0.25">
      <c r="A89" s="812">
        <v>2104008410</v>
      </c>
      <c r="B89" s="133">
        <f t="shared" ca="1" si="22"/>
        <v>7.7397546074585953E-4</v>
      </c>
      <c r="C89" s="133">
        <f t="shared" ca="1" si="22"/>
        <v>1.3516022566925634E-3</v>
      </c>
      <c r="D89" s="511">
        <f t="shared" ca="1" si="22"/>
        <v>1.0802016037503022E-4</v>
      </c>
      <c r="E89" s="133">
        <f t="shared" ca="1" si="22"/>
        <v>9.9918648346902783E-4</v>
      </c>
      <c r="F89" s="525">
        <f t="shared" ca="1" si="22"/>
        <v>9.9918648346902783E-4</v>
      </c>
      <c r="G89" s="133">
        <f t="shared" ca="1" si="22"/>
        <v>2.4264028524241153E-5</v>
      </c>
      <c r="H89" s="133">
        <f t="shared" ca="1" si="22"/>
        <v>3.3526757276399963E-3</v>
      </c>
      <c r="I89" t="s">
        <v>144</v>
      </c>
      <c r="J89" s="812"/>
      <c r="K89" s="5">
        <f t="shared" ca="1" si="23"/>
        <v>1.5285833713474901E-3</v>
      </c>
      <c r="L89" s="5">
        <f t="shared" ca="1" si="24"/>
        <v>1.4139396184964282E-2</v>
      </c>
      <c r="M89" s="812">
        <v>2104008410</v>
      </c>
      <c r="N89" s="357">
        <f t="shared" ca="1" si="25"/>
        <v>7.0666842515634168E-2</v>
      </c>
      <c r="O89" s="463">
        <f t="shared" ca="1" si="26"/>
        <v>7.0666842515634057E-2</v>
      </c>
      <c r="P89" s="357">
        <f t="shared" ca="1" si="27"/>
        <v>7.0666842515634168E-2</v>
      </c>
      <c r="Q89" s="463">
        <f t="shared" ca="1" si="28"/>
        <v>7.0666842515634057E-2</v>
      </c>
    </row>
    <row r="90" spans="1:17" x14ac:dyDescent="0.25">
      <c r="A90" s="812">
        <v>2104008420</v>
      </c>
      <c r="B90" s="133">
        <f t="shared" ca="1" si="22"/>
        <v>2.6106432831668677E-3</v>
      </c>
      <c r="C90" s="133">
        <f t="shared" ca="1" si="22"/>
        <v>4.558996417725239E-3</v>
      </c>
      <c r="D90" s="511">
        <f t="shared" ca="1" si="22"/>
        <v>3.6435535805995952E-4</v>
      </c>
      <c r="E90" s="133">
        <f t="shared" ca="1" si="22"/>
        <v>3.3702870620546249E-3</v>
      </c>
      <c r="F90" s="525">
        <f t="shared" ca="1" si="22"/>
        <v>3.3702870620546249E-3</v>
      </c>
      <c r="G90" s="133">
        <f t="shared" ca="1" si="22"/>
        <v>8.1843322304218317E-5</v>
      </c>
      <c r="H90" s="133">
        <f t="shared" ca="1" si="22"/>
        <v>1.1308679425785978E-2</v>
      </c>
      <c r="I90" t="s">
        <v>145</v>
      </c>
      <c r="J90" s="812"/>
      <c r="K90" s="5">
        <f t="shared" ca="1" si="23"/>
        <v>5.1559592177809607E-3</v>
      </c>
      <c r="L90" s="5">
        <f t="shared" ca="1" si="24"/>
        <v>4.769262276447387E-2</v>
      </c>
      <c r="M90" s="812">
        <v>2104008420</v>
      </c>
      <c r="N90" s="357">
        <f t="shared" ca="1" si="25"/>
        <v>7.0666842515634182E-2</v>
      </c>
      <c r="O90" s="463">
        <f t="shared" ca="1" si="26"/>
        <v>7.0666842515634182E-2</v>
      </c>
      <c r="P90" s="357">
        <f t="shared" ca="1" si="27"/>
        <v>7.0666842515634182E-2</v>
      </c>
      <c r="Q90" s="463">
        <f t="shared" ca="1" si="28"/>
        <v>7.0666842515634182E-2</v>
      </c>
    </row>
    <row r="91" spans="1:17" x14ac:dyDescent="0.25">
      <c r="A91" s="813">
        <v>2104008610</v>
      </c>
      <c r="B91" s="135">
        <f t="shared" ca="1" si="22"/>
        <v>7.7021474183541327E-2</v>
      </c>
      <c r="C91" s="135">
        <f t="shared" ca="1" si="22"/>
        <v>2.7360156911681588E-3</v>
      </c>
      <c r="D91" s="524">
        <f t="shared" ca="1" si="22"/>
        <v>6.7860329677128794E-4</v>
      </c>
      <c r="E91" s="135">
        <f t="shared" ca="1" si="22"/>
        <v>1.6744794351627484E-2</v>
      </c>
      <c r="F91" s="526">
        <f t="shared" ca="1" si="22"/>
        <v>1.6744794351627484E-2</v>
      </c>
      <c r="G91" s="135">
        <f t="shared" ca="1" si="22"/>
        <v>4.1353842233831772E-4</v>
      </c>
      <c r="H91" s="135">
        <f t="shared" ca="1" si="22"/>
        <v>0.10275863491428461</v>
      </c>
      <c r="I91" s="3" t="s">
        <v>146</v>
      </c>
      <c r="J91" s="813"/>
      <c r="K91" s="360">
        <f t="shared" ca="1" si="23"/>
        <v>9.6028529450874461E-3</v>
      </c>
      <c r="L91" s="360">
        <f t="shared" ca="1" si="24"/>
        <v>0.23695404740806003</v>
      </c>
      <c r="M91" s="813">
        <v>2104008610</v>
      </c>
      <c r="N91" s="361">
        <f t="shared" ca="1" si="25"/>
        <v>7.0666842515634126E-2</v>
      </c>
      <c r="O91" s="519">
        <f t="shared" ca="1" si="26"/>
        <v>7.066684251563414E-2</v>
      </c>
      <c r="P91" s="361">
        <f t="shared" ca="1" si="27"/>
        <v>7.0666842515634126E-2</v>
      </c>
      <c r="Q91" s="519">
        <f t="shared" ca="1" si="28"/>
        <v>7.066684251563414E-2</v>
      </c>
    </row>
    <row r="92" spans="1:17" x14ac:dyDescent="0.25">
      <c r="A92" s="810" t="s">
        <v>249</v>
      </c>
      <c r="B92" s="137">
        <f t="shared" ca="1" si="22"/>
        <v>0.6389980665307764</v>
      </c>
      <c r="C92" s="137">
        <f t="shared" ca="1" si="22"/>
        <v>3.0026733601663358E-2</v>
      </c>
      <c r="D92" s="511">
        <f t="shared" ca="1" si="22"/>
        <v>6.152297113953889E-3</v>
      </c>
      <c r="E92" s="137">
        <f t="shared" ca="1" si="22"/>
        <v>0.17381752083480828</v>
      </c>
      <c r="F92" s="525">
        <f t="shared" ca="1" si="22"/>
        <v>0.17381752083480828</v>
      </c>
      <c r="G92" s="137">
        <f t="shared" ca="1" si="22"/>
        <v>6.5390468727200002E-3</v>
      </c>
      <c r="H92" s="137">
        <f t="shared" ca="1" si="22"/>
        <v>1.846891807842745</v>
      </c>
      <c r="K92" s="5">
        <f t="shared" ca="1" si="23"/>
        <v>8.7060591572246215E-2</v>
      </c>
      <c r="L92" s="5">
        <f t="shared" ca="1" si="24"/>
        <v>2.45967577787777</v>
      </c>
      <c r="M92" s="810" t="s">
        <v>249</v>
      </c>
      <c r="N92" s="357">
        <f t="shared" ca="1" si="25"/>
        <v>7.0666842515634376E-2</v>
      </c>
      <c r="O92" s="463">
        <f t="shared" ca="1" si="26"/>
        <v>7.066684251563414E-2</v>
      </c>
      <c r="P92" s="357">
        <f t="shared" ca="1" si="27"/>
        <v>7.0666842515634376E-2</v>
      </c>
      <c r="Q92" s="463">
        <f t="shared" ca="1" si="28"/>
        <v>7.066684251563414E-2</v>
      </c>
    </row>
  </sheetData>
  <mergeCells count="13">
    <mergeCell ref="N79:Q79"/>
    <mergeCell ref="B80:H80"/>
    <mergeCell ref="K80:L80"/>
    <mergeCell ref="B67:H67"/>
    <mergeCell ref="A1:K1"/>
    <mergeCell ref="A29:C29"/>
    <mergeCell ref="B31:H31"/>
    <mergeCell ref="I31:K31"/>
    <mergeCell ref="A48:C48"/>
    <mergeCell ref="B50:H50"/>
    <mergeCell ref="I50:K50"/>
    <mergeCell ref="B19:D19"/>
    <mergeCell ref="F19:H1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R132"/>
  <sheetViews>
    <sheetView zoomScaleNormal="100" workbookViewId="0">
      <selection activeCell="A5" sqref="A5"/>
    </sheetView>
  </sheetViews>
  <sheetFormatPr defaultRowHeight="15" x14ac:dyDescent="0.25"/>
  <cols>
    <col min="1" max="1" width="37.7109375" customWidth="1"/>
    <col min="7" max="7" width="8.85546875" customWidth="1"/>
    <col min="10" max="10" width="20.42578125" customWidth="1"/>
    <col min="12" max="12" width="8.85546875" customWidth="1"/>
    <col min="14" max="14" width="13" customWidth="1"/>
    <col min="21" max="21" width="17.85546875" customWidth="1"/>
    <col min="25" max="25" width="11.42578125" customWidth="1"/>
    <col min="26" max="27" width="8.85546875" customWidth="1"/>
  </cols>
  <sheetData>
    <row r="1" spans="1:12" ht="18.75" x14ac:dyDescent="0.3">
      <c r="A1" s="828" t="s">
        <v>357</v>
      </c>
      <c r="B1" s="828"/>
      <c r="C1" s="828"/>
      <c r="D1" s="828"/>
      <c r="E1" s="828"/>
      <c r="F1" s="828"/>
      <c r="G1" s="828"/>
      <c r="H1" s="828"/>
      <c r="I1" s="828"/>
      <c r="J1" s="828"/>
      <c r="K1" s="828"/>
      <c r="L1" s="828"/>
    </row>
    <row r="3" spans="1:12" x14ac:dyDescent="0.25">
      <c r="A3" s="244" t="s">
        <v>314</v>
      </c>
      <c r="B3" s="84" t="s">
        <v>358</v>
      </c>
    </row>
    <row r="4" spans="1:12" x14ac:dyDescent="0.25">
      <c r="A4" s="244" t="s">
        <v>316</v>
      </c>
      <c r="B4" s="703">
        <f>Summary!$C$10</f>
        <v>2024</v>
      </c>
    </row>
    <row r="5" spans="1:12" x14ac:dyDescent="0.25">
      <c r="A5" s="244" t="s">
        <v>317</v>
      </c>
      <c r="B5" s="4">
        <v>1</v>
      </c>
    </row>
    <row r="7" spans="1:12" x14ac:dyDescent="0.25">
      <c r="A7" s="354" t="s">
        <v>322</v>
      </c>
    </row>
    <row r="8" spans="1:12" x14ac:dyDescent="0.25">
      <c r="A8" s="246" t="str">
        <f>"- Use "&amp;$B$4&amp;" projected uncertified device counts in nonattainment area from 2011-2015 Home Heating Survey"</f>
        <v>- Use 2024 projected uncertified device counts in nonattainment area from 2011-2015 Home Heating Survey</v>
      </c>
    </row>
    <row r="9" spans="1:12" x14ac:dyDescent="0.25">
      <c r="A9" s="246" t="s">
        <v>359</v>
      </c>
    </row>
    <row r="10" spans="1:12" x14ac:dyDescent="0.25">
      <c r="A10" s="246" t="s">
        <v>360</v>
      </c>
    </row>
    <row r="11" spans="1:12" x14ac:dyDescent="0.25">
      <c r="A11" s="246" t="s">
        <v>361</v>
      </c>
    </row>
    <row r="12" spans="1:12" x14ac:dyDescent="0.25">
      <c r="A12" s="246" t="s">
        <v>362</v>
      </c>
    </row>
    <row r="13" spans="1:12" x14ac:dyDescent="0.25">
      <c r="A13" s="246" t="s">
        <v>363</v>
      </c>
    </row>
    <row r="16" spans="1:12" x14ac:dyDescent="0.25">
      <c r="A16" t="str">
        <f>$B$4&amp;" Projected Solid Fuel Device Counts in Fairbanks Nonattainment Area:"</f>
        <v>2024 Projected Solid Fuel Device Counts in Fairbanks Nonattainment Area:</v>
      </c>
      <c r="H16" s="250"/>
      <c r="I16" s="250"/>
    </row>
    <row r="18" spans="1:14" x14ac:dyDescent="0.25">
      <c r="A18" s="3" t="s">
        <v>356</v>
      </c>
      <c r="B18" s="813" t="s">
        <v>36</v>
      </c>
    </row>
    <row r="19" spans="1:14" x14ac:dyDescent="0.25">
      <c r="A19" t="s">
        <v>342</v>
      </c>
      <c r="B19" s="45">
        <f ca="1">ROUND(OFFSET(Devices!$B$51,0,MATCH($B$4,Devices!$C$49:$R$49,0)),0)</f>
        <v>853</v>
      </c>
    </row>
    <row r="20" spans="1:14" x14ac:dyDescent="0.25">
      <c r="A20" t="s">
        <v>364</v>
      </c>
      <c r="B20" s="45">
        <f ca="1">ROUND(OFFSET(Devices!$B$53,0,MATCH($B$4,Devices!$C$49:$R$49,0)),0)</f>
        <v>119</v>
      </c>
    </row>
    <row r="21" spans="1:14" x14ac:dyDescent="0.25">
      <c r="A21" t="s">
        <v>365</v>
      </c>
      <c r="B21" s="45">
        <f ca="1">ROUND(OFFSET(Devices!$B$59,0,MATCH($B$4,Devices!$C$49:$R$49,0)),0)</f>
        <v>1752</v>
      </c>
    </row>
    <row r="22" spans="1:14" x14ac:dyDescent="0.25">
      <c r="A22" t="s">
        <v>366</v>
      </c>
      <c r="B22" s="45">
        <f ca="1">ROUND(OFFSET(Devices!$B$54,0,MATCH($B$4,Devices!$C$49:$R$49,0)),0)+ROUND(OFFSET(Devices!$B$55,0,MATCH($B$4,Devices!$C$49:$R$49,0)),0)</f>
        <v>622</v>
      </c>
    </row>
    <row r="23" spans="1:14" x14ac:dyDescent="0.25">
      <c r="A23" t="s">
        <v>367</v>
      </c>
      <c r="B23" s="45">
        <f ca="1">ROUND(OFFSET(Devices!$B$60,0,MATCH($B$4,Devices!$C$49:$R$49,0)),0)+ROUND(OFFSET(Devices!$B$61,0,MATCH($B$4,Devices!$C$49:$R$49,0)),0)</f>
        <v>9145</v>
      </c>
    </row>
    <row r="24" spans="1:14" x14ac:dyDescent="0.25">
      <c r="A24" t="s">
        <v>368</v>
      </c>
      <c r="B24" s="45">
        <f ca="1">ROUND(OFFSET(Devices!$B$70,0,MATCH($B$4,Devices!$C$49:$R$49,0)),0)</f>
        <v>389</v>
      </c>
    </row>
    <row r="25" spans="1:14" x14ac:dyDescent="0.25">
      <c r="A25" t="s">
        <v>369</v>
      </c>
      <c r="B25" s="45">
        <f ca="1">ROUND(OFFSET(Devices!$B$71,0,MATCH($B$4,Devices!$C$49:$R$49,0)),0)</f>
        <v>97</v>
      </c>
    </row>
    <row r="26" spans="1:14" x14ac:dyDescent="0.25">
      <c r="A26" s="3" t="s">
        <v>370</v>
      </c>
      <c r="B26" s="88">
        <f ca="1">ROUND(OFFSET(Devices!$B$76,0,MATCH($B$4,Devices!$C$49:$R$49,0)),0)</f>
        <v>505</v>
      </c>
    </row>
    <row r="27" spans="1:14" x14ac:dyDescent="0.25">
      <c r="A27" t="s">
        <v>371</v>
      </c>
      <c r="B27" s="45">
        <f ca="1">SUM(B19:B26)</f>
        <v>13482</v>
      </c>
      <c r="M27" s="251"/>
      <c r="N27" s="90"/>
    </row>
    <row r="28" spans="1:14" ht="15.75" thickBot="1" x14ac:dyDescent="0.3"/>
    <row r="29" spans="1:14" ht="16.5" thickBot="1" x14ac:dyDescent="0.3">
      <c r="A29" s="842" t="s">
        <v>235</v>
      </c>
      <c r="B29" s="843"/>
      <c r="C29" s="844"/>
      <c r="D29" s="807"/>
    </row>
    <row r="31" spans="1:14" x14ac:dyDescent="0.25">
      <c r="B31" s="841" t="str">
        <f>$B$4&amp;" Space Heating Emission Factors (lb/mmBTU)"</f>
        <v>2024 Space Heating Emission Factors (lb/mmBTU)</v>
      </c>
      <c r="C31" s="841"/>
      <c r="D31" s="841"/>
      <c r="E31" s="841"/>
      <c r="F31" s="841"/>
      <c r="G31" s="841"/>
      <c r="H31" s="841"/>
      <c r="I31" s="90"/>
      <c r="J31" s="90"/>
      <c r="K31" s="90"/>
    </row>
    <row r="32" spans="1:14" x14ac:dyDescent="0.25">
      <c r="A32" s="3" t="s">
        <v>372</v>
      </c>
      <c r="B32" s="813" t="s">
        <v>201</v>
      </c>
      <c r="C32" s="813" t="s">
        <v>202</v>
      </c>
      <c r="D32" s="813" t="s">
        <v>132</v>
      </c>
      <c r="E32" s="813" t="s">
        <v>203</v>
      </c>
      <c r="F32" s="813" t="s">
        <v>204</v>
      </c>
      <c r="G32" s="813" t="s">
        <v>205</v>
      </c>
      <c r="H32" s="813" t="s">
        <v>206</v>
      </c>
    </row>
    <row r="33" spans="1:11" x14ac:dyDescent="0.25">
      <c r="A33" t="s">
        <v>342</v>
      </c>
      <c r="B33" s="5">
        <f ca="1">INDIRECT("'DevSumOut-"&amp;$B$4&amp;"BSR'!Y50")</f>
        <v>14.260810498505002</v>
      </c>
      <c r="C33" s="5">
        <f ca="1">INDIRECT("'DevSumOut-"&amp;$B$4&amp;"BSR'!Z50")</f>
        <v>0.16191313229743673</v>
      </c>
      <c r="D33" s="5">
        <f ca="1">INDIRECT("'DevSumOut-"&amp;$B$4&amp;"BSR'!AA50")</f>
        <v>2.4909712661144123E-2</v>
      </c>
      <c r="E33" s="5">
        <f ca="1">INDIRECT("'DevSumOut-"&amp;$B$4&amp;"BSR'!AB50")</f>
        <v>2.1546901451889671</v>
      </c>
      <c r="F33" s="5">
        <f ca="1">INDIRECT("'DevSumOut-"&amp;$B$4&amp;"BSR'!AC50")</f>
        <v>2.1546901451889671</v>
      </c>
      <c r="G33" s="5">
        <f ca="1">INDIRECT("'DevSumOut-"&amp;$B$4&amp;"BSR'!AD50")</f>
        <v>0.11209370697514853</v>
      </c>
      <c r="H33" s="5">
        <f ca="1">INDIRECT("'DevSumOut-"&amp;$B$4&amp;"BSR'!AE50")</f>
        <v>15.730483545512513</v>
      </c>
    </row>
    <row r="34" spans="1:11" x14ac:dyDescent="0.25">
      <c r="A34" t="s">
        <v>364</v>
      </c>
      <c r="B34" s="5">
        <f ca="1">INDIRECT("'DevSumOut-"&amp;$B$4&amp;"BSR'!Y51")</f>
        <v>3.3011250634997609</v>
      </c>
      <c r="C34" s="5">
        <f ca="1">INDIRECT("'DevSumOut-"&amp;$B$4&amp;"BSR'!Z51")</f>
        <v>0.17439905995847793</v>
      </c>
      <c r="D34" s="5">
        <f ca="1">INDIRECT("'DevSumOut-"&amp;$B$4&amp;"BSR'!AA51")</f>
        <v>2.4914151422639707E-2</v>
      </c>
      <c r="E34" s="5">
        <f ca="1">INDIRECT("'DevSumOut-"&amp;$B$4&amp;"BSR'!AB51")</f>
        <v>1.905932583831937</v>
      </c>
      <c r="F34" s="5">
        <f ca="1">INDIRECT("'DevSumOut-"&amp;$B$4&amp;"BSR'!AC51")</f>
        <v>1.905932583831937</v>
      </c>
      <c r="G34" s="5">
        <f ca="1">INDIRECT("'DevSumOut-"&amp;$B$4&amp;"BSR'!AD51")</f>
        <v>0.10588514354621874</v>
      </c>
      <c r="H34" s="5">
        <f ca="1">INDIRECT("'DevSumOut-"&amp;$B$4&amp;"BSR'!AE51")</f>
        <v>14.375465370863111</v>
      </c>
    </row>
    <row r="35" spans="1:11" x14ac:dyDescent="0.25">
      <c r="A35" t="s">
        <v>365</v>
      </c>
      <c r="B35" s="5">
        <f ca="1">INDIRECT("'DevSumOut-"&amp;$B$4&amp;"BSR'!Y54")</f>
        <v>3.3011250634997604</v>
      </c>
      <c r="C35" s="5">
        <f ca="1">INDIRECT("'DevSumOut-"&amp;$B$4&amp;"BSR'!Z54")</f>
        <v>9.0447253632062061E-2</v>
      </c>
      <c r="D35" s="5">
        <f ca="1">INDIRECT("'DevSumOut-"&amp;$B$4&amp;"BSR'!AA54")</f>
        <v>2.49141514226397E-2</v>
      </c>
      <c r="E35" s="5">
        <f ca="1">INDIRECT("'DevSumOut-"&amp;$B$4&amp;"BSR'!AB54")</f>
        <v>0.75627089671330672</v>
      </c>
      <c r="F35" s="5">
        <f ca="1">INDIRECT("'DevSumOut-"&amp;$B$4&amp;"BSR'!AC54")</f>
        <v>0.75627089671330672</v>
      </c>
      <c r="G35" s="5">
        <f ca="1">INDIRECT("'DevSumOut-"&amp;$B$4&amp;"BSR'!AD54")</f>
        <v>2.4729073237685525E-2</v>
      </c>
      <c r="H35" s="5">
        <f ca="1">INDIRECT("'DevSumOut-"&amp;$B$4&amp;"BSR'!AE54")</f>
        <v>7.5471592881478404</v>
      </c>
    </row>
    <row r="36" spans="1:11" x14ac:dyDescent="0.25">
      <c r="A36" t="s">
        <v>366</v>
      </c>
      <c r="B36" s="5">
        <f ca="1">SUMPRODUCT(INDIRECT("'DevSumOut-"&amp;$B$4&amp;"BSR'!Y52:Y53"),INDIRECT("'DevSumOut-"&amp;$B$4&amp;"BSR'!U52:U53"))/SUM(INDIRECT("'DevSumOut-"&amp;$B$4&amp;"BSR'!U52:U53"))</f>
        <v>0.81764672331517807</v>
      </c>
      <c r="C36" s="5">
        <f ca="1">SUMPRODUCT(INDIRECT("'DevSumOut-"&amp;$B$4&amp;"BSR'!Z52:Z53"),INDIRECT("'DevSumOut-"&amp;$B$4&amp;"BSR'!U52:U53"))/SUM(INDIRECT("'DevSumOut-"&amp;$B$4&amp;"BSR'!U52:U53"))</f>
        <v>0.12457075711319854</v>
      </c>
      <c r="D36" s="5">
        <f ca="1">SUMPRODUCT(INDIRECT("'DevSumOut-"&amp;$B$4&amp;"BSR'!AA52:AA53"),INDIRECT("'DevSumOut-"&amp;$B$4&amp;"BSR'!U52:U53"))/SUM(INDIRECT("'DevSumOut-"&amp;$B$4&amp;"BSR'!U52:U53"))</f>
        <v>2.49141514226397E-2</v>
      </c>
      <c r="E36" s="5">
        <f ca="1">SUMPRODUCT(INDIRECT("'DevSumOut-"&amp;$B$4&amp;"BSR'!AB52:AB53"),INDIRECT("'DevSumOut-"&amp;$B$4&amp;"BSR'!U52:U53"))/SUM(INDIRECT("'DevSumOut-"&amp;$B$4&amp;"BSR'!U52:U53"))</f>
        <v>0.77083193622451984</v>
      </c>
      <c r="F36" s="5">
        <f ca="1">SUMPRODUCT(INDIRECT("'DevSumOut-"&amp;$B$4&amp;"BSR'!AC52:AC53"),INDIRECT("'DevSumOut-"&amp;$B$4&amp;"BSR'!U52:U53"))/SUM(INDIRECT("'DevSumOut-"&amp;$B$4&amp;"BSR'!U52:U53"))</f>
        <v>0.77083193622451984</v>
      </c>
      <c r="G36" s="5">
        <f ca="1">SUMPRODUCT(INDIRECT("'DevSumOut-"&amp;$B$4&amp;"BSR'!AD52:AD53"),INDIRECT("'DevSumOut-"&amp;$B$4&amp;"BSR'!U52:U53"))/SUM(INDIRECT("'DevSumOut-"&amp;$B$4&amp;"BSR'!U52:U53"))</f>
        <v>5.6056840700939338E-2</v>
      </c>
      <c r="H36" s="5">
        <f ca="1">SUMPRODUCT(INDIRECT("'DevSumOut-"&amp;$B$4&amp;"BSR'!AE52:AE53"),INDIRECT("'DevSumOut-"&amp;$B$4&amp;"BSR'!U52:U53"))/SUM(INDIRECT("'DevSumOut-"&amp;$B$4&amp;"BSR'!U52:U53"))</f>
        <v>7.9786113989370584</v>
      </c>
    </row>
    <row r="37" spans="1:11" x14ac:dyDescent="0.25">
      <c r="A37" t="s">
        <v>373</v>
      </c>
      <c r="B37" s="5">
        <f ca="1">SUMPRODUCT(INDIRECT("'DevSumOut-"&amp;$B$4&amp;"BSR'!Y55:Y56"),INDIRECT("'DevSumOut-"&amp;$B$4&amp;"BSR'!U55:U56"))/SUM(INDIRECT("'DevSumOut-"&amp;$B$4&amp;"BSR'!U55:U56"))</f>
        <v>0.81764672331517785</v>
      </c>
      <c r="C37" s="5">
        <f ca="1">SUMPRODUCT(INDIRECT("'DevSumOut-"&amp;$B$4&amp;"BSR'!Z55:Z56"),INDIRECT("'DevSumOut-"&amp;$B$4&amp;"BSR'!U55:U56"))/SUM(INDIRECT("'DevSumOut-"&amp;$B$4&amp;"BSR'!U55:U56"))</f>
        <v>0.1002071857799174</v>
      </c>
      <c r="D37" s="5">
        <f ca="1">SUMPRODUCT(INDIRECT("'DevSumOut-"&amp;$B$4&amp;"BSR'!AA55:AA56"),INDIRECT("'DevSumOut-"&amp;$B$4&amp;"BSR'!U55:U56"))/SUM(INDIRECT("'DevSumOut-"&amp;$B$4&amp;"BSR'!U55:U56"))</f>
        <v>2.4914151422639714E-2</v>
      </c>
      <c r="E37" s="5">
        <f ca="1">SUMPRODUCT(INDIRECT("'DevSumOut-"&amp;$B$4&amp;"BSR'!AB55:AB56"),INDIRECT("'DevSumOut-"&amp;$B$4&amp;"BSR'!U55:U56"))/SUM(INDIRECT("'DevSumOut-"&amp;$B$4&amp;"BSR'!U55:U56"))</f>
        <v>0.51394890926925219</v>
      </c>
      <c r="F37" s="5">
        <f ca="1">SUMPRODUCT(INDIRECT("'DevSumOut-"&amp;$B$4&amp;"BSR'!AC55:AC56"),INDIRECT("'DevSumOut-"&amp;$B$4&amp;"BSR'!U55:U56"))/SUM(INDIRECT("'DevSumOut-"&amp;$B$4&amp;"BSR'!U55:U56"))</f>
        <v>0.51394890926925219</v>
      </c>
      <c r="G37" s="5">
        <f ca="1">SUMPRODUCT(INDIRECT("'DevSumOut-"&amp;$B$4&amp;"BSR'!AD55:AD56"),INDIRECT("'DevSumOut-"&amp;$B$4&amp;"BSR'!U55:U56"))/SUM(INDIRECT("'DevSumOut-"&amp;$B$4&amp;"BSR'!U55:U56"))</f>
        <v>1.5555258591561807E-2</v>
      </c>
      <c r="H37" s="5">
        <f ca="1">SUMPRODUCT(INDIRECT("'DevSumOut-"&amp;$B$4&amp;"BSR'!AE55:AE56"),INDIRECT("'DevSumOut-"&amp;$B$4&amp;"BSR'!U55:U56"))/SUM(INDIRECT("'DevSumOut-"&amp;$B$4&amp;"BSR'!U55:U56"))</f>
        <v>7.7010232819283315</v>
      </c>
    </row>
    <row r="38" spans="1:11" x14ac:dyDescent="0.25">
      <c r="A38" t="s">
        <v>368</v>
      </c>
      <c r="B38" s="5">
        <f>'EFs-BTU'!H47*'EFs-BTU'!$C$4/'EFs-BTU'!$C$6</f>
        <v>4.1811565060035498</v>
      </c>
      <c r="C38" s="5">
        <f>'EFs-BTU'!I47*'EFs-BTU'!$C$4/'EFs-BTU'!$C$6</f>
        <v>0.11643366199974399</v>
      </c>
      <c r="D38" s="5">
        <f>'EFs-BTU'!J47*'EFs-BTU'!$C$4/'EFs-BTU'!$C$6</f>
        <v>3.1555898158517351E-2</v>
      </c>
      <c r="E38" s="5">
        <f>'EFs-BTU'!K47*'EFs-BTU'!$C$4/'EFs-BTU'!$C$6</f>
        <v>0.87141539194556972</v>
      </c>
      <c r="F38" s="5">
        <f>'EFs-BTU'!L47*'EFs-BTU'!$C$4/'EFs-BTU'!$C$6</f>
        <v>0.87141539194556972</v>
      </c>
      <c r="G38" s="5">
        <f>'EFs-BTU'!M47*'EFs-BTU'!$C$4/'EFs-BTU'!$C$6</f>
        <v>2.1560871736264649E-2</v>
      </c>
      <c r="H38" s="5">
        <f>'EFs-BTU'!N47*'EFs-BTU'!$C$4/'EFs-BTU'!$C$6</f>
        <v>4.3625463570542369</v>
      </c>
    </row>
    <row r="39" spans="1:11" x14ac:dyDescent="0.25">
      <c r="A39" t="s">
        <v>374</v>
      </c>
      <c r="B39" s="5">
        <f>'EFs-BTU'!H49*'EFs-BTU'!$C$4/'EFs-BTU'!$C$6</f>
        <v>1.183346180944401</v>
      </c>
      <c r="C39" s="5">
        <f>'EFs-BTU'!I49*'EFs-BTU'!$C$4/'EFs-BTU'!$C$6</f>
        <v>0.17040603184586645</v>
      </c>
      <c r="D39" s="5">
        <f>'EFs-BTU'!J49*'EFs-BTU'!$C$4/'EFs-BTU'!$C$6</f>
        <v>3.1555898158517351E-2</v>
      </c>
      <c r="E39" s="5">
        <f>'EFs-BTU'!K49*'EFs-BTU'!$C$4/'EFs-BTU'!$C$6</f>
        <v>0.40760735501342799</v>
      </c>
      <c r="F39" s="5">
        <f>'EFs-BTU'!L49*'EFs-BTU'!$C$4/'EFs-BTU'!$C$6</f>
        <v>0.40760735501342799</v>
      </c>
      <c r="G39" s="5">
        <f>'EFs-BTU'!M49*'EFs-BTU'!$C$4/'EFs-BTU'!$C$6</f>
        <v>9.9067705178080036E-3</v>
      </c>
      <c r="H39" s="5">
        <f>'EFs-BTU'!N49*'EFs-BTU'!$C$4/'EFs-BTU'!$C$6</f>
        <v>6.4418368600000191</v>
      </c>
    </row>
    <row r="40" spans="1:11" x14ac:dyDescent="0.25">
      <c r="A40" t="s">
        <v>370</v>
      </c>
      <c r="B40" s="5">
        <f ca="1">INDIRECT("'DevSumOut-"&amp;$B$4&amp;"BSR'!Y66")</f>
        <v>0.65789473684210542</v>
      </c>
      <c r="C40" s="5">
        <f ca="1">INDIRECT("'DevSumOut-"&amp;$B$4&amp;"BSR'!Z66")</f>
        <v>0.31052631578947382</v>
      </c>
      <c r="D40" s="5">
        <f ca="1">INDIRECT("'DevSumOut-"&amp;$B$4&amp;"BSR'!AA66")</f>
        <v>0.61184210526315785</v>
      </c>
      <c r="E40" s="5">
        <f ca="1">INDIRECT("'DevSumOut-"&amp;$B$4&amp;"BSR'!AB66")</f>
        <v>0.52565789473684188</v>
      </c>
      <c r="F40" s="5">
        <f ca="1">INDIRECT("'DevSumOut-"&amp;$B$4&amp;"BSR'!AC66")</f>
        <v>0.52565789473684188</v>
      </c>
      <c r="G40" s="5">
        <f ca="1">INDIRECT("'DevSumOut-"&amp;$B$4&amp;"BSR'!AD66")</f>
        <v>8.3286184210526332E-2</v>
      </c>
      <c r="H40" s="5">
        <f ca="1">INDIRECT("'DevSumOut-"&amp;$B$4&amp;"BSR'!AE66")</f>
        <v>8.5904605263157912</v>
      </c>
    </row>
    <row r="41" spans="1:11" x14ac:dyDescent="0.25">
      <c r="A41" t="s">
        <v>375</v>
      </c>
      <c r="B41" s="5">
        <f ca="1">INDIRECT("'DevSumOut-"&amp;$B$4&amp;"BSR'!Y76")</f>
        <v>5.3200059065116444E-3</v>
      </c>
      <c r="C41" s="5">
        <f ca="1">INDIRECT("'DevSumOut-"&amp;$B$4&amp;"BSR'!Z76")</f>
        <v>8.3692795073115958E-2</v>
      </c>
      <c r="D41" s="5">
        <f ca="1">INDIRECT("'DevSumOut-"&amp;$B$4&amp;"BSR'!AA76")</f>
        <v>0.21565482482121576</v>
      </c>
      <c r="E41" s="5">
        <f ca="1">INDIRECT("'DevSumOut-"&amp;$B$4&amp;"BSR'!AB76")</f>
        <v>3.4040698326925126E-3</v>
      </c>
      <c r="F41" s="5">
        <f ca="1">INDIRECT("'DevSumOut-"&amp;$B$4&amp;"BSR'!AC76")</f>
        <v>3.4040698326925126E-3</v>
      </c>
      <c r="G41" s="5">
        <f ca="1">INDIRECT("'DevSumOut-"&amp;$B$4&amp;"BSR'!AD76")</f>
        <v>1.8277864750019591E-4</v>
      </c>
      <c r="H41" s="5">
        <f ca="1">INDIRECT("'DevSumOut-"&amp;$B$4&amp;"BSR'!AE76")</f>
        <v>3.3415729746463282E-3</v>
      </c>
    </row>
    <row r="43" spans="1:11" x14ac:dyDescent="0.25">
      <c r="B43" s="845" t="str">
        <f>$B$4&amp;" Baseline Emissions (tons/episode day)"</f>
        <v>2024 Baseline Emissions (tons/episode day)</v>
      </c>
      <c r="C43" s="845"/>
      <c r="D43" s="845"/>
      <c r="E43" s="845"/>
      <c r="F43" s="845"/>
      <c r="G43" s="845"/>
      <c r="H43" s="845"/>
      <c r="I43" s="812" t="s">
        <v>376</v>
      </c>
    </row>
    <row r="44" spans="1:11" x14ac:dyDescent="0.25">
      <c r="A44" s="3" t="s">
        <v>372</v>
      </c>
      <c r="B44" s="813" t="s">
        <v>201</v>
      </c>
      <c r="C44" s="813" t="s">
        <v>202</v>
      </c>
      <c r="D44" s="813" t="s">
        <v>132</v>
      </c>
      <c r="E44" s="813" t="s">
        <v>203</v>
      </c>
      <c r="F44" s="348" t="s">
        <v>204</v>
      </c>
      <c r="G44" s="813" t="s">
        <v>205</v>
      </c>
      <c r="H44" s="813" t="s">
        <v>206</v>
      </c>
      <c r="I44" s="813" t="s">
        <v>377</v>
      </c>
    </row>
    <row r="45" spans="1:11" x14ac:dyDescent="0.25">
      <c r="A45" t="s">
        <v>342</v>
      </c>
      <c r="B45" s="133">
        <f ca="1">INDIRECT("'DevSumOut-"&amp;$B$4&amp;"BSR'!N50")</f>
        <v>4.5187146203678008</v>
      </c>
      <c r="C45" s="133">
        <f ca="1">INDIRECT("'DevSumOut-"&amp;$B$4&amp;"BSR'!O50")</f>
        <v>5.1304183462691194E-2</v>
      </c>
      <c r="D45" s="133">
        <f ca="1">INDIRECT("'DevSumOut-"&amp;$B$4&amp;"BSR'!P50")</f>
        <v>7.8929513019524947E-3</v>
      </c>
      <c r="E45" s="133">
        <f ca="1">INDIRECT("'DevSumOut-"&amp;$B$4&amp;"BSR'!Q50")</f>
        <v>0.68274028761889094</v>
      </c>
      <c r="F45" s="137">
        <f ca="1">INDIRECT("'DevSumOut-"&amp;$B$4&amp;"BSR'!R50")</f>
        <v>0.68274028761889094</v>
      </c>
      <c r="G45" s="133">
        <f ca="1">INDIRECT("'DevSumOut-"&amp;$B$4&amp;"BSR'!S50")</f>
        <v>3.5518280858786222E-2</v>
      </c>
      <c r="H45" s="133">
        <f ca="1">INDIRECT("'DevSumOut-"&amp;$B$4&amp;"BSR'!T50")</f>
        <v>4.9843987471830014</v>
      </c>
      <c r="I45" s="45">
        <f ca="1">INDIRECT("'DevSumOut-"&amp;$B$4&amp;"BSR'!U50")</f>
        <v>633.72479717636099</v>
      </c>
    </row>
    <row r="46" spans="1:11" x14ac:dyDescent="0.25">
      <c r="A46" t="s">
        <v>364</v>
      </c>
      <c r="B46" s="133">
        <f ca="1">INDIRECT("'DevSumOut-"&amp;$B$4&amp;"BSR'!N51")</f>
        <v>9.2288983552914705E-2</v>
      </c>
      <c r="C46" s="133">
        <f ca="1">INDIRECT("'DevSumOut-"&amp;$B$4&amp;"BSR'!O51")</f>
        <v>4.8756444141162484E-3</v>
      </c>
      <c r="D46" s="133">
        <f ca="1">INDIRECT("'DevSumOut-"&amp;$B$4&amp;"BSR'!P51")</f>
        <v>6.9652063058803562E-4</v>
      </c>
      <c r="E46" s="133">
        <f ca="1">INDIRECT("'DevSumOut-"&amp;$B$4&amp;"BSR'!Q51")</f>
        <v>5.3283828239984704E-2</v>
      </c>
      <c r="F46" s="137">
        <f ca="1">INDIRECT("'DevSumOut-"&amp;$B$4&amp;"BSR'!R51")</f>
        <v>5.3283828239984704E-2</v>
      </c>
      <c r="G46" s="133">
        <f ca="1">INDIRECT("'DevSumOut-"&amp;$B$4&amp;"BSR'!S51")</f>
        <v>2.960212679999151E-3</v>
      </c>
      <c r="H46" s="133">
        <f ca="1">INDIRECT("'DevSumOut-"&amp;$B$4&amp;"BSR'!T51")</f>
        <v>0.40189240384929653</v>
      </c>
      <c r="I46" s="45">
        <f ca="1">INDIRECT("'DevSumOut-"&amp;$B$4&amp;"BSR'!U51")</f>
        <v>55.913654755674415</v>
      </c>
    </row>
    <row r="47" spans="1:11" x14ac:dyDescent="0.25">
      <c r="A47" t="s">
        <v>365</v>
      </c>
      <c r="B47" s="133">
        <f ca="1">INDIRECT("'DevSumOut-"&amp;$B$4&amp;"BSR'!N54")</f>
        <v>1.87293299795552</v>
      </c>
      <c r="C47" s="133">
        <f ca="1">INDIRECT("'DevSumOut-"&amp;$B$4&amp;"BSR'!O54")</f>
        <v>5.1316336898289579E-2</v>
      </c>
      <c r="D47" s="133">
        <f ca="1">INDIRECT("'DevSumOut-"&amp;$B$4&amp;"BSR'!P54")</f>
        <v>1.4135343380796375E-2</v>
      </c>
      <c r="E47" s="133">
        <f ca="1">INDIRECT("'DevSumOut-"&amp;$B$4&amp;"BSR'!Q54")</f>
        <v>0.42907938675491686</v>
      </c>
      <c r="F47" s="137">
        <f ca="1">INDIRECT("'DevSumOut-"&amp;$B$4&amp;"BSR'!R54")</f>
        <v>0.42907938675491686</v>
      </c>
      <c r="G47" s="133">
        <f ca="1">INDIRECT("'DevSumOut-"&amp;$B$4&amp;"BSR'!S54")</f>
        <v>1.4030337047157235E-2</v>
      </c>
      <c r="H47" s="133">
        <f ca="1">INDIRECT("'DevSumOut-"&amp;$B$4&amp;"BSR'!T54")</f>
        <v>4.2819715702054344</v>
      </c>
      <c r="I47" s="45">
        <f ca="1">INDIRECT("'DevSumOut-"&amp;$B$4&amp;"BSR'!U54")</f>
        <v>1134.7240482733416</v>
      </c>
    </row>
    <row r="48" spans="1:11" x14ac:dyDescent="0.25">
      <c r="A48" t="s">
        <v>366</v>
      </c>
      <c r="B48" s="133">
        <f ca="1">SUM(INDIRECT("'DevSumOut-"&amp;$B$4&amp;"BSR'!N52:N53"))</f>
        <v>7.7103470814827185E-2</v>
      </c>
      <c r="C48" s="133">
        <f ca="1">SUM(INDIRECT("'DevSumOut-"&amp;$B$4&amp;"BSR'!O52:O53"))</f>
        <v>1.174692866928552E-2</v>
      </c>
      <c r="D48" s="133">
        <f ca="1">SUM(INDIRECT("'DevSumOut-"&amp;$B$4&amp;"BSR'!P52:P53"))</f>
        <v>2.3493857338571034E-3</v>
      </c>
      <c r="E48" s="133">
        <f ca="1">SUM(INDIRECT("'DevSumOut-"&amp;$B$4&amp;"BSR'!Q52:Q53"))</f>
        <v>7.2688871615417788E-2</v>
      </c>
      <c r="F48" s="137">
        <f ca="1">SUM(INDIRECT("'DevSumOut-"&amp;$B$4&amp;"BSR'!R52:R53"))</f>
        <v>7.2688871615417788E-2</v>
      </c>
      <c r="G48" s="133">
        <f ca="1">SUM(INDIRECT("'DevSumOut-"&amp;$B$4&amp;"BSR'!S52:S53"))</f>
        <v>5.2861179011784842E-3</v>
      </c>
      <c r="H48" s="133">
        <f ca="1">SUM(INDIRECT("'DevSumOut-"&amp;$B$4&amp;"BSR'!T52:T53"))</f>
        <v>0.752377051847682</v>
      </c>
      <c r="I48" s="45">
        <f ca="1">SUM(INDIRECT("'DevSumOut-"&amp;$B$4&amp;"BSR'!U52:U53"))</f>
        <v>188.59849520880704</v>
      </c>
      <c r="K48" s="45"/>
    </row>
    <row r="49" spans="1:14" x14ac:dyDescent="0.25">
      <c r="A49" t="s">
        <v>373</v>
      </c>
      <c r="B49" s="133">
        <f ca="1">SUM(INDIRECT("'DevSumOut-"&amp;$B$4&amp;"BSR'!N55:N56"))</f>
        <v>1.5647548514085829</v>
      </c>
      <c r="C49" s="133">
        <f ca="1">SUM(INDIRECT("'DevSumOut-"&amp;$B$4&amp;"BSR'!O55:O56"))</f>
        <v>0.19176947161162344</v>
      </c>
      <c r="D49" s="133">
        <f ca="1">SUM(INDIRECT("'DevSumOut-"&amp;$B$4&amp;"BSR'!P55:P56"))</f>
        <v>4.767895253006009E-2</v>
      </c>
      <c r="E49" s="133">
        <f ca="1">SUM(INDIRECT("'DevSumOut-"&amp;$B$4&amp;"BSR'!Q55:Q56"))</f>
        <v>0.98355931262653118</v>
      </c>
      <c r="F49" s="137">
        <f ca="1">SUM(INDIRECT("'DevSumOut-"&amp;$B$4&amp;"BSR'!R55:R56"))</f>
        <v>0.98355931262653118</v>
      </c>
      <c r="G49" s="133">
        <f ca="1">SUM(INDIRECT("'DevSumOut-"&amp;$B$4&amp;"BSR'!S55:S56"))</f>
        <v>2.976856098361564E-2</v>
      </c>
      <c r="H49" s="133">
        <f ca="1">SUM(INDIRECT("'DevSumOut-"&amp;$B$4&amp;"BSR'!T55:T56"))</f>
        <v>14.737677284817803</v>
      </c>
      <c r="I49" s="45">
        <f ca="1">SUM(INDIRECT("'DevSumOut-"&amp;$B$4&amp;"BSR'!U55:U56"))</f>
        <v>3827.4594804568615</v>
      </c>
    </row>
    <row r="50" spans="1:14" x14ac:dyDescent="0.25">
      <c r="A50" t="s">
        <v>368</v>
      </c>
      <c r="B50" s="133">
        <f ca="1">INDIRECT("'DevSumOut-"&amp;$B$4&amp;"BSR'!N59")*0.8</f>
        <v>0.89633481047705499</v>
      </c>
      <c r="C50" s="133">
        <f ca="1">INDIRECT("'DevSumOut-"&amp;$B$4&amp;"BSR'!O59")*0.8</f>
        <v>3.184029041253416E-2</v>
      </c>
      <c r="D50" s="133">
        <f ca="1">INDIRECT("'DevSumOut-"&amp;$B$4&amp;"BSR'!P59")*0.8</f>
        <v>7.8972229997978389E-3</v>
      </c>
      <c r="E50" s="133">
        <f ca="1">INDIRECT("'DevSumOut-"&amp;$B$4&amp;"BSR'!Q59")*0.8</f>
        <v>0.1948669800304933</v>
      </c>
      <c r="F50" s="137">
        <f ca="1">INDIRECT("'DevSumOut-"&amp;$B$4&amp;"BSR'!R59")*0.8</f>
        <v>0.1948669800304933</v>
      </c>
      <c r="G50" s="133">
        <f ca="1">INDIRECT("'DevSumOut-"&amp;$B$4&amp;"BSR'!S59")*0.8</f>
        <v>4.812539455273171E-3</v>
      </c>
      <c r="H50" s="133">
        <f ca="1">INDIRECT("'DevSumOut-"&amp;$B$4&amp;"BSR'!T59")*0.8</f>
        <v>1.1958501512355924</v>
      </c>
      <c r="I50" s="45">
        <f ca="1">INDIRECT("'DevSumOut-"&amp;$B$4&amp;"BSR'!U59")*0.8</f>
        <v>633.73718747980365</v>
      </c>
      <c r="K50" s="45"/>
    </row>
    <row r="51" spans="1:14" x14ac:dyDescent="0.25">
      <c r="A51" t="s">
        <v>374</v>
      </c>
      <c r="B51" s="133">
        <f ca="1">INDIRECT("'DevSumOut-"&amp;$B$4&amp;"BSR'!N59")*0.2</f>
        <v>0.22408370261926375</v>
      </c>
      <c r="C51" s="133">
        <f ca="1">INDIRECT("'DevSumOut-"&amp;$B$4&amp;"BSR'!O59")*0.2</f>
        <v>7.96007260313354E-3</v>
      </c>
      <c r="D51" s="133">
        <f ca="1">INDIRECT("'DevSumOut-"&amp;$B$4&amp;"BSR'!P59")*0.2</f>
        <v>1.9743057499494597E-3</v>
      </c>
      <c r="E51" s="133">
        <f ca="1">INDIRECT("'DevSumOut-"&amp;$B$4&amp;"BSR'!Q59")*0.2</f>
        <v>4.8716745007623324E-2</v>
      </c>
      <c r="F51" s="137">
        <f ca="1">INDIRECT("'DevSumOut-"&amp;$B$4&amp;"BSR'!R59")*0.2</f>
        <v>4.8716745007623324E-2</v>
      </c>
      <c r="G51" s="133">
        <f ca="1">INDIRECT("'DevSumOut-"&amp;$B$4&amp;"BSR'!S59")*0.2</f>
        <v>1.2031348638182927E-3</v>
      </c>
      <c r="H51" s="133">
        <f ca="1">INDIRECT("'DevSumOut-"&amp;$B$4&amp;"BSR'!T59")*0.2</f>
        <v>0.29896253780889809</v>
      </c>
      <c r="I51" s="45">
        <f ca="1">INDIRECT("'DevSumOut-"&amp;$B$4&amp;"BSR'!U59")*0.2</f>
        <v>158.43429686995091</v>
      </c>
    </row>
    <row r="52" spans="1:14" x14ac:dyDescent="0.25">
      <c r="A52" t="s">
        <v>370</v>
      </c>
      <c r="B52" s="133">
        <f ca="1">INDIRECT("'DevSumOut-"&amp;$B$4&amp;"BSR'!N66")</f>
        <v>0.11826398048530015</v>
      </c>
      <c r="C52" s="133">
        <f ca="1">INDIRECT("'DevSumOut-"&amp;$B$4&amp;"BSR'!O66")</f>
        <v>5.5820598789061676E-2</v>
      </c>
      <c r="D52" s="133">
        <f ca="1">INDIRECT("'DevSumOut-"&amp;$B$4&amp;"BSR'!P66")</f>
        <v>0.10998550185132909</v>
      </c>
      <c r="E52" s="133">
        <f ca="1">INDIRECT("'DevSumOut-"&amp;$B$4&amp;"BSR'!Q66")</f>
        <v>9.4492920407754755E-2</v>
      </c>
      <c r="F52" s="137">
        <f ca="1">INDIRECT("'DevSumOut-"&amp;$B$4&amp;"BSR'!R66")</f>
        <v>9.4492920407754755E-2</v>
      </c>
      <c r="G52" s="133">
        <f ca="1">INDIRECT("'DevSumOut-"&amp;$B$4&amp;"BSR'!S66")</f>
        <v>1.4971628609536571E-2</v>
      </c>
      <c r="H52" s="133">
        <f ca="1">INDIRECT("'DevSumOut-"&amp;$B$4&amp;"BSR'!T66")</f>
        <v>1.5442319251868066</v>
      </c>
      <c r="I52" s="45">
        <f ca="1">INDIRECT("'DevSumOut-"&amp;$B$4&amp;"BSR'!U66")</f>
        <v>359.52250067531236</v>
      </c>
    </row>
    <row r="53" spans="1:14" x14ac:dyDescent="0.25">
      <c r="A53" s="3" t="s">
        <v>375</v>
      </c>
      <c r="B53" s="135">
        <f ca="1">INDIRECT("'DevSumOut-"&amp;$B$4&amp;"BSR'!N76")</f>
        <v>8.5083357694050094E-2</v>
      </c>
      <c r="C53" s="135">
        <f ca="1">INDIRECT("'DevSumOut-"&amp;$B$4&amp;"BSR'!O76")</f>
        <v>1.3385067882922608</v>
      </c>
      <c r="D53" s="135">
        <f ca="1">INDIRECT("'DevSumOut-"&amp;$B$4&amp;"BSR'!P76")</f>
        <v>3.4489880126359695</v>
      </c>
      <c r="E53" s="135">
        <f ca="1">INDIRECT("'DevSumOut-"&amp;$B$4&amp;"BSR'!Q76")</f>
        <v>5.4441610832799622E-2</v>
      </c>
      <c r="F53" s="466">
        <f ca="1">INDIRECT("'DevSumOut-"&amp;$B$4&amp;"BSR'!R76")</f>
        <v>5.4441610832799622E-2</v>
      </c>
      <c r="G53" s="135">
        <f ca="1">INDIRECT("'DevSumOut-"&amp;$B$4&amp;"BSR'!S76")</f>
        <v>2.9231961989100524E-3</v>
      </c>
      <c r="H53" s="135">
        <f ca="1">INDIRECT("'DevSumOut-"&amp;$B$4&amp;"BSR'!T76")</f>
        <v>5.3442092670349974E-2</v>
      </c>
      <c r="I53" s="88">
        <f ca="1">INDIRECT("'DevSumOut-"&amp;$B$4&amp;"BSR'!U76")</f>
        <v>31986.189184455136</v>
      </c>
    </row>
    <row r="54" spans="1:14" x14ac:dyDescent="0.25">
      <c r="A54" s="84" t="s">
        <v>249</v>
      </c>
      <c r="B54" s="137">
        <f t="shared" ref="B54:I54" ca="1" si="0">SUM(B45:B53)</f>
        <v>9.4495607753753159</v>
      </c>
      <c r="C54" s="137">
        <f t="shared" ca="1" si="0"/>
        <v>1.7451403151529963</v>
      </c>
      <c r="D54" s="137">
        <f t="shared" ca="1" si="0"/>
        <v>3.6415981968143001</v>
      </c>
      <c r="E54" s="137">
        <f t="shared" ca="1" si="0"/>
        <v>2.6138699431344126</v>
      </c>
      <c r="F54" s="137">
        <f t="shared" ca="1" si="0"/>
        <v>2.6138699431344126</v>
      </c>
      <c r="G54" s="137">
        <f t="shared" ca="1" si="0"/>
        <v>0.11147400859827483</v>
      </c>
      <c r="H54" s="137">
        <f t="shared" ca="1" si="0"/>
        <v>28.250803764804864</v>
      </c>
      <c r="I54" s="87">
        <f t="shared" ca="1" si="0"/>
        <v>38978.303645351247</v>
      </c>
    </row>
    <row r="55" spans="1:14" ht="15.75" thickBot="1" x14ac:dyDescent="0.3"/>
    <row r="56" spans="1:14" ht="16.5" thickBot="1" x14ac:dyDescent="0.3">
      <c r="A56" s="842" t="s">
        <v>254</v>
      </c>
      <c r="B56" s="843"/>
      <c r="C56" s="844"/>
      <c r="D56" s="807"/>
      <c r="J56" s="250"/>
      <c r="K56" s="250"/>
    </row>
    <row r="57" spans="1:14" x14ac:dyDescent="0.25">
      <c r="I57" s="812" t="s">
        <v>378</v>
      </c>
      <c r="N57" s="252"/>
    </row>
    <row r="58" spans="1:14" x14ac:dyDescent="0.25">
      <c r="I58" s="812" t="s">
        <v>379</v>
      </c>
    </row>
    <row r="59" spans="1:14" x14ac:dyDescent="0.25">
      <c r="B59" s="848" t="s">
        <v>380</v>
      </c>
      <c r="C59" s="848"/>
      <c r="D59" s="848"/>
      <c r="F59" s="3" t="s">
        <v>381</v>
      </c>
      <c r="G59" s="3"/>
      <c r="H59" s="3"/>
      <c r="I59" s="813" t="s">
        <v>382</v>
      </c>
      <c r="N59" s="252"/>
    </row>
    <row r="60" spans="1:14" x14ac:dyDescent="0.25">
      <c r="C60" s="1" t="s">
        <v>383</v>
      </c>
      <c r="D60" s="467">
        <f>'EFs-BTU'!$D$54/'EFs-BTU'!$D$37</f>
        <v>11.571428571428571</v>
      </c>
      <c r="F60" t="s">
        <v>384</v>
      </c>
      <c r="I60" s="175">
        <v>0.4</v>
      </c>
      <c r="J60" t="s">
        <v>385</v>
      </c>
    </row>
    <row r="61" spans="1:14" x14ac:dyDescent="0.25">
      <c r="C61" s="1" t="s">
        <v>386</v>
      </c>
      <c r="D61" s="467">
        <f>'EFs-BTU'!$D$54/'EFs-BTU'!$D$38</f>
        <v>2.0249999999999999</v>
      </c>
      <c r="F61" t="s">
        <v>387</v>
      </c>
      <c r="I61" s="175">
        <v>0.4</v>
      </c>
    </row>
    <row r="62" spans="1:14" x14ac:dyDescent="0.25">
      <c r="C62" s="1" t="s">
        <v>388</v>
      </c>
      <c r="D62" s="467">
        <f>'EFs-BTU'!$D$54/'EFs-BTU'!$D$41</f>
        <v>1.5</v>
      </c>
      <c r="F62" t="s">
        <v>389</v>
      </c>
      <c r="I62" s="175">
        <f>1-SUM(I60:I61)</f>
        <v>0.19999999999999996</v>
      </c>
    </row>
    <row r="63" spans="1:14" x14ac:dyDescent="0.25">
      <c r="C63" s="1" t="s">
        <v>390</v>
      </c>
      <c r="D63" s="467">
        <f>'EFs-BTU'!$D$54/'EFs-BTU'!$D$46</f>
        <v>1.8837209302325584</v>
      </c>
      <c r="F63" t="s">
        <v>391</v>
      </c>
      <c r="I63" s="132">
        <f>SUM(I61:I62)</f>
        <v>0.6</v>
      </c>
      <c r="N63" s="252"/>
    </row>
    <row r="64" spans="1:14" x14ac:dyDescent="0.25">
      <c r="C64" s="1" t="s">
        <v>392</v>
      </c>
      <c r="D64" s="467">
        <f>'EFs-BTU'!$D$54/'EFs-BTU'!$D$62</f>
        <v>1.8837209302325584</v>
      </c>
      <c r="N64" s="252"/>
    </row>
    <row r="65" spans="1:14" x14ac:dyDescent="0.25">
      <c r="C65" s="1" t="s">
        <v>393</v>
      </c>
      <c r="D65" s="467">
        <f>'EFs-BTU'!$D$40/'EFs-BTU'!$D$38</f>
        <v>1.7499999999999998</v>
      </c>
      <c r="N65" s="252"/>
    </row>
    <row r="66" spans="1:14" x14ac:dyDescent="0.25">
      <c r="C66" s="1" t="s">
        <v>394</v>
      </c>
      <c r="D66" s="467">
        <f>'EFs-BTU'!$D$43/'EFs-BTU'!$D$41</f>
        <v>1.3333333333333333</v>
      </c>
      <c r="N66" s="252"/>
    </row>
    <row r="67" spans="1:14" x14ac:dyDescent="0.25">
      <c r="C67" s="1" t="s">
        <v>395</v>
      </c>
      <c r="D67" s="467">
        <f>'EFs-BTU'!$D$40/'EFs-BTU'!$D$39</f>
        <v>1.0606060606060606</v>
      </c>
      <c r="N67" s="252"/>
    </row>
    <row r="68" spans="1:14" x14ac:dyDescent="0.25">
      <c r="C68" s="1" t="s">
        <v>396</v>
      </c>
      <c r="D68" s="467">
        <f>'EFs-BTU'!$D$43/'EFs-BTU'!$D$42</f>
        <v>1.0588235294117645</v>
      </c>
      <c r="N68" s="252"/>
    </row>
    <row r="69" spans="1:14" x14ac:dyDescent="0.25">
      <c r="C69" s="1" t="s">
        <v>397</v>
      </c>
      <c r="D69" s="467">
        <f>'EFs-BTU'!$D$54/'EFs-BTU'!$D$40</f>
        <v>1.1571428571428573</v>
      </c>
      <c r="N69" s="252"/>
    </row>
    <row r="70" spans="1:14" x14ac:dyDescent="0.25">
      <c r="C70" s="1" t="s">
        <v>398</v>
      </c>
      <c r="D70" s="467">
        <f>'EFs-BTU'!$D$54/'EFs-BTU'!$D$43</f>
        <v>1.1250000000000002</v>
      </c>
      <c r="N70" s="252"/>
    </row>
    <row r="71" spans="1:14" x14ac:dyDescent="0.25">
      <c r="C71" s="1" t="s">
        <v>399</v>
      </c>
      <c r="D71" s="467">
        <f>'EFs-BTU'!$D$47/'EFs-BTU'!$D$49</f>
        <v>1</v>
      </c>
      <c r="N71" s="252"/>
    </row>
    <row r="73" spans="1:14" x14ac:dyDescent="0.25">
      <c r="B73" s="845" t="str">
        <f>$B$4&amp;" With Control Emissions (tons/episode day)"</f>
        <v>2024 With Control Emissions (tons/episode day)</v>
      </c>
      <c r="C73" s="845"/>
      <c r="D73" s="845"/>
      <c r="E73" s="845"/>
      <c r="F73" s="845"/>
      <c r="G73" s="845"/>
      <c r="H73" s="845"/>
      <c r="I73" s="812" t="s">
        <v>376</v>
      </c>
    </row>
    <row r="74" spans="1:14" x14ac:dyDescent="0.25">
      <c r="A74" s="3" t="s">
        <v>372</v>
      </c>
      <c r="B74" s="813" t="s">
        <v>201</v>
      </c>
      <c r="C74" s="813" t="s">
        <v>202</v>
      </c>
      <c r="D74" s="813" t="s">
        <v>132</v>
      </c>
      <c r="E74" s="813" t="s">
        <v>203</v>
      </c>
      <c r="F74" s="348" t="s">
        <v>204</v>
      </c>
      <c r="G74" s="813" t="s">
        <v>205</v>
      </c>
      <c r="H74" s="813" t="s">
        <v>206</v>
      </c>
      <c r="I74" s="813" t="s">
        <v>377</v>
      </c>
    </row>
    <row r="75" spans="1:14" x14ac:dyDescent="0.25">
      <c r="A75" s="267" t="s">
        <v>342</v>
      </c>
      <c r="B75" s="521">
        <f t="shared" ref="B75:H75" ca="1" si="1">(1-$B$5)*$I45*B33/2000</f>
        <v>0</v>
      </c>
      <c r="C75" s="521">
        <f t="shared" ca="1" si="1"/>
        <v>0</v>
      </c>
      <c r="D75" s="521">
        <f t="shared" ca="1" si="1"/>
        <v>0</v>
      </c>
      <c r="E75" s="521">
        <f t="shared" ca="1" si="1"/>
        <v>0</v>
      </c>
      <c r="F75" s="522">
        <f t="shared" ca="1" si="1"/>
        <v>0</v>
      </c>
      <c r="G75" s="521">
        <f t="shared" ca="1" si="1"/>
        <v>0</v>
      </c>
      <c r="H75" s="521">
        <f t="shared" ca="1" si="1"/>
        <v>0</v>
      </c>
      <c r="I75" s="508">
        <f ca="1">(1-$B$5)*I45</f>
        <v>0</v>
      </c>
    </row>
    <row r="76" spans="1:14" x14ac:dyDescent="0.25">
      <c r="A76" t="s">
        <v>400</v>
      </c>
      <c r="B76" s="133">
        <f t="shared" ref="B76:H76" ca="1" si="2">$B$5*$I45/$D60*B$41/2000</f>
        <v>1.4567862746029596E-4</v>
      </c>
      <c r="C76" s="133">
        <f t="shared" ca="1" si="2"/>
        <v>2.291774056048346E-3</v>
      </c>
      <c r="D76" s="133">
        <f t="shared" ca="1" si="2"/>
        <v>5.9053127829598786E-3</v>
      </c>
      <c r="E76" s="133">
        <f t="shared" ca="1" si="2"/>
        <v>9.3214223765929769E-5</v>
      </c>
      <c r="F76" s="137">
        <f t="shared" ca="1" si="2"/>
        <v>9.3214223765929769E-5</v>
      </c>
      <c r="G76" s="133">
        <f t="shared" ca="1" si="2"/>
        <v>5.0050588222630779E-6</v>
      </c>
      <c r="H76" s="133">
        <f t="shared" ca="1" si="2"/>
        <v>9.1502861662063429E-5</v>
      </c>
      <c r="I76" s="45">
        <f ca="1">$B$5*I45/D60</f>
        <v>54.766340496722556</v>
      </c>
    </row>
    <row r="77" spans="1:14" x14ac:dyDescent="0.25">
      <c r="A77" s="267" t="s">
        <v>364</v>
      </c>
      <c r="B77" s="521">
        <f t="shared" ref="B77:H78" ca="1" si="3">(1-$B$5)*$I46*B34/2000</f>
        <v>0</v>
      </c>
      <c r="C77" s="521">
        <f t="shared" ca="1" si="3"/>
        <v>0</v>
      </c>
      <c r="D77" s="521">
        <f t="shared" ca="1" si="3"/>
        <v>0</v>
      </c>
      <c r="E77" s="521">
        <f t="shared" ca="1" si="3"/>
        <v>0</v>
      </c>
      <c r="F77" s="522">
        <f t="shared" ca="1" si="3"/>
        <v>0</v>
      </c>
      <c r="G77" s="521">
        <f t="shared" ca="1" si="3"/>
        <v>0</v>
      </c>
      <c r="H77" s="521">
        <f t="shared" ca="1" si="3"/>
        <v>0</v>
      </c>
      <c r="I77" s="508">
        <f ca="1">(1-$B$5)*I46</f>
        <v>0</v>
      </c>
      <c r="J77" s="669">
        <f ca="1">INDIRECT("'DevSumOut-"&amp;Year&amp;"BSR'!R$52")/SUM(INDIRECT("'DevSumOut-"&amp;Year&amp;"BSR'!R$52:R$53"))</f>
        <v>0.60523675552456169</v>
      </c>
    </row>
    <row r="78" spans="1:14" x14ac:dyDescent="0.25">
      <c r="A78" s="267" t="s">
        <v>365</v>
      </c>
      <c r="B78" s="521">
        <f t="shared" ca="1" si="3"/>
        <v>0</v>
      </c>
      <c r="C78" s="521">
        <f t="shared" ca="1" si="3"/>
        <v>0</v>
      </c>
      <c r="D78" s="521">
        <f t="shared" ca="1" si="3"/>
        <v>0</v>
      </c>
      <c r="E78" s="521">
        <f t="shared" ca="1" si="3"/>
        <v>0</v>
      </c>
      <c r="F78" s="522">
        <f t="shared" ca="1" si="3"/>
        <v>0</v>
      </c>
      <c r="G78" s="521">
        <f t="shared" ca="1" si="3"/>
        <v>0</v>
      </c>
      <c r="H78" s="521">
        <f t="shared" ca="1" si="3"/>
        <v>0</v>
      </c>
      <c r="I78" s="508">
        <f ca="1">(1-$B$5)*I47</f>
        <v>0</v>
      </c>
      <c r="J78" s="669">
        <f ca="1">1-J77</f>
        <v>0.39476324447543831</v>
      </c>
    </row>
    <row r="79" spans="1:14" x14ac:dyDescent="0.25">
      <c r="A79" t="s">
        <v>401</v>
      </c>
      <c r="B79" s="133">
        <f t="shared" ref="B79:H79" ca="1" si="4">$I$60*$B$5*$I46/$D65*B$36/2000</f>
        <v>5.22487046852038E-3</v>
      </c>
      <c r="C79" s="133">
        <f t="shared" ca="1" si="4"/>
        <v>7.9602357781489812E-4</v>
      </c>
      <c r="D79" s="133">
        <f t="shared" ca="1" si="4"/>
        <v>1.5920471556297956E-4</v>
      </c>
      <c r="E79" s="133">
        <f t="shared" ca="1" si="4"/>
        <v>4.9257178007663834E-3</v>
      </c>
      <c r="F79" s="137">
        <f t="shared" ca="1" si="4"/>
        <v>4.9257178007663834E-3</v>
      </c>
      <c r="G79" s="133">
        <f t="shared" ca="1" si="4"/>
        <v>3.5821061001670406E-4</v>
      </c>
      <c r="H79" s="133">
        <f t="shared" ca="1" si="4"/>
        <v>5.0984379793126318E-2</v>
      </c>
      <c r="I79" s="45">
        <f ca="1">$I$60*$B$5*I46/D65</f>
        <v>12.780263944154155</v>
      </c>
      <c r="J79" s="812"/>
    </row>
    <row r="80" spans="1:14" x14ac:dyDescent="0.25">
      <c r="A80" t="s">
        <v>402</v>
      </c>
      <c r="B80" s="133">
        <f t="shared" ref="B80:H80" ca="1" si="5">$I$60*$B$5*$I47/$D66*B$37/2000</f>
        <v>0.13917050999064476</v>
      </c>
      <c r="C80" s="133">
        <f t="shared" ca="1" si="5"/>
        <v>1.7056125527140007E-2</v>
      </c>
      <c r="D80" s="133">
        <f t="shared" ca="1" si="5"/>
        <v>4.2406030142389164E-3</v>
      </c>
      <c r="E80" s="133">
        <f t="shared" ca="1" si="5"/>
        <v>8.7478528039751147E-2</v>
      </c>
      <c r="F80" s="137">
        <f t="shared" ca="1" si="5"/>
        <v>8.7478528039751147E-2</v>
      </c>
      <c r="G80" s="133">
        <f t="shared" ca="1" si="5"/>
        <v>2.6476389001433543E-3</v>
      </c>
      <c r="H80" s="133">
        <f t="shared" ca="1" si="5"/>
        <v>1.3107804471475459</v>
      </c>
      <c r="I80" s="45">
        <f ca="1">$I$60*$B$5*I47/D66</f>
        <v>340.41721448200252</v>
      </c>
      <c r="J80" s="669">
        <f ca="1">INDIRECT("'DevSumOut-"&amp;Year&amp;"BSR'!R$55")/SUM(INDIRECT("'DevSumOut-"&amp;Year&amp;"BSR'!R$55:R$56"))</f>
        <v>0.59950103122580434</v>
      </c>
    </row>
    <row r="81" spans="1:14" x14ac:dyDescent="0.25">
      <c r="A81" t="s">
        <v>403</v>
      </c>
      <c r="B81" s="133">
        <f t="shared" ref="B81:H82" ca="1" si="6">$I$63*$B$5*$I46/$D61*B$41/2000</f>
        <v>4.4068292378494929E-5</v>
      </c>
      <c r="C81" s="133">
        <f t="shared" ca="1" si="6"/>
        <v>6.9326963692675769E-4</v>
      </c>
      <c r="D81" s="133">
        <f t="shared" ca="1" si="6"/>
        <v>1.7863776920665042E-3</v>
      </c>
      <c r="E81" s="133">
        <f t="shared" ca="1" si="6"/>
        <v>2.8197627465092672E-5</v>
      </c>
      <c r="F81" s="137">
        <f t="shared" ca="1" si="6"/>
        <v>2.8197627465092672E-5</v>
      </c>
      <c r="G81" s="133">
        <f t="shared" ca="1" si="6"/>
        <v>1.5140477323014914E-6</v>
      </c>
      <c r="H81" s="133">
        <f t="shared" ca="1" si="6"/>
        <v>2.7679934465965447E-5</v>
      </c>
      <c r="I81" s="45">
        <f ca="1">$I$63*$B$5*I46/D61</f>
        <v>16.567008816496124</v>
      </c>
      <c r="J81" s="669">
        <f ca="1">1-J80</f>
        <v>0.40049896877419566</v>
      </c>
    </row>
    <row r="82" spans="1:14" x14ac:dyDescent="0.25">
      <c r="A82" t="s">
        <v>404</v>
      </c>
      <c r="B82" s="133">
        <f t="shared" ca="1" si="6"/>
        <v>1.2073477278149963E-3</v>
      </c>
      <c r="C82" s="133">
        <f t="shared" ca="1" si="6"/>
        <v>1.8993645447335464E-2</v>
      </c>
      <c r="D82" s="133">
        <f t="shared" ca="1" si="6"/>
        <v>4.8941743170161651E-2</v>
      </c>
      <c r="E82" s="133">
        <f t="shared" ca="1" si="6"/>
        <v>7.7253598023160083E-4</v>
      </c>
      <c r="F82" s="137">
        <f t="shared" ca="1" si="6"/>
        <v>7.7253598023160083E-4</v>
      </c>
      <c r="G82" s="133">
        <f t="shared" ca="1" si="6"/>
        <v>4.1480665365869676E-5</v>
      </c>
      <c r="H82" s="133">
        <f t="shared" ca="1" si="6"/>
        <v>7.583526426782947E-4</v>
      </c>
      <c r="I82" s="45">
        <f ca="1">$I$63*$B$5*I47/D62</f>
        <v>453.88961930933664</v>
      </c>
    </row>
    <row r="83" spans="1:14" x14ac:dyDescent="0.25">
      <c r="A83" s="267" t="s">
        <v>366</v>
      </c>
      <c r="B83" s="521">
        <f ca="1">B48</f>
        <v>7.7103470814827185E-2</v>
      </c>
      <c r="C83" s="521">
        <f t="shared" ref="C83:I83" ca="1" si="7">C48</f>
        <v>1.174692866928552E-2</v>
      </c>
      <c r="D83" s="521">
        <f t="shared" ca="1" si="7"/>
        <v>2.3493857338571034E-3</v>
      </c>
      <c r="E83" s="521">
        <f t="shared" ca="1" si="7"/>
        <v>7.2688871615417788E-2</v>
      </c>
      <c r="F83" s="522">
        <f t="shared" ca="1" si="7"/>
        <v>7.2688871615417788E-2</v>
      </c>
      <c r="G83" s="521">
        <f t="shared" ca="1" si="7"/>
        <v>5.2861179011784842E-3</v>
      </c>
      <c r="H83" s="521">
        <f t="shared" ca="1" si="7"/>
        <v>0.752377051847682</v>
      </c>
      <c r="I83" s="508">
        <f t="shared" ca="1" si="7"/>
        <v>188.59849520880704</v>
      </c>
    </row>
    <row r="84" spans="1:14" x14ac:dyDescent="0.25">
      <c r="A84" s="267" t="s">
        <v>367</v>
      </c>
      <c r="B84" s="521">
        <f ca="1">B49</f>
        <v>1.5647548514085829</v>
      </c>
      <c r="C84" s="521">
        <f t="shared" ref="C84:I84" ca="1" si="8">C49</f>
        <v>0.19176947161162344</v>
      </c>
      <c r="D84" s="521">
        <f t="shared" ca="1" si="8"/>
        <v>4.767895253006009E-2</v>
      </c>
      <c r="E84" s="521">
        <f t="shared" ca="1" si="8"/>
        <v>0.98355931262653118</v>
      </c>
      <c r="F84" s="522">
        <f t="shared" ca="1" si="8"/>
        <v>0.98355931262653118</v>
      </c>
      <c r="G84" s="521">
        <f t="shared" ca="1" si="8"/>
        <v>2.976856098361564E-2</v>
      </c>
      <c r="H84" s="521">
        <f t="shared" ca="1" si="8"/>
        <v>14.737677284817803</v>
      </c>
      <c r="I84" s="508">
        <f t="shared" ca="1" si="8"/>
        <v>3827.4594804568615</v>
      </c>
    </row>
    <row r="85" spans="1:14" x14ac:dyDescent="0.25">
      <c r="A85" s="267" t="s">
        <v>368</v>
      </c>
      <c r="B85" s="521">
        <f ca="1">(1-$B$5)*B50</f>
        <v>0</v>
      </c>
      <c r="C85" s="521">
        <f t="shared" ref="C85:H85" ca="1" si="9">(1-$B$5)*C50</f>
        <v>0</v>
      </c>
      <c r="D85" s="521">
        <f t="shared" ca="1" si="9"/>
        <v>0</v>
      </c>
      <c r="E85" s="521">
        <f t="shared" ca="1" si="9"/>
        <v>0</v>
      </c>
      <c r="F85" s="522">
        <f t="shared" ca="1" si="9"/>
        <v>0</v>
      </c>
      <c r="G85" s="521">
        <f t="shared" ca="1" si="9"/>
        <v>0</v>
      </c>
      <c r="H85" s="521">
        <f t="shared" ca="1" si="9"/>
        <v>0</v>
      </c>
      <c r="I85" s="508">
        <f ca="1">(1-$B$5)*I50</f>
        <v>0</v>
      </c>
    </row>
    <row r="86" spans="1:14" x14ac:dyDescent="0.25">
      <c r="A86" t="s">
        <v>405</v>
      </c>
      <c r="B86" s="133">
        <f ca="1">$B$5*$I50/$D63*B$41/2000</f>
        <v>8.9490049360772339E-4</v>
      </c>
      <c r="C86" s="133">
        <f t="shared" ref="C86:H86" ca="1" si="10">$B$5*$I50/$D63*C$41/2000</f>
        <v>1.4078315877557304E-2</v>
      </c>
      <c r="D86" s="133">
        <f t="shared" ca="1" si="10"/>
        <v>3.6276202051801369E-2</v>
      </c>
      <c r="E86" s="133">
        <f t="shared" ca="1" si="10"/>
        <v>5.7261285552766749E-4</v>
      </c>
      <c r="F86" s="137">
        <f t="shared" ca="1" si="10"/>
        <v>5.7261285552766749E-4</v>
      </c>
      <c r="G86" s="133">
        <f t="shared" ca="1" si="10"/>
        <v>3.0745962456295513E-5</v>
      </c>
      <c r="H86" s="133">
        <f t="shared" ca="1" si="10"/>
        <v>5.62099997065235E-4</v>
      </c>
      <c r="I86" s="45">
        <f ca="1">$B$5*I50/D63</f>
        <v>336.42838347693277</v>
      </c>
    </row>
    <row r="87" spans="1:14" x14ac:dyDescent="0.25">
      <c r="A87" s="267" t="s">
        <v>374</v>
      </c>
      <c r="B87" s="521">
        <f ca="1">(1-$B$5)*B51</f>
        <v>0</v>
      </c>
      <c r="C87" s="521">
        <f t="shared" ref="C87:H87" ca="1" si="11">(1-$B$5)*C51</f>
        <v>0</v>
      </c>
      <c r="D87" s="521">
        <f t="shared" ca="1" si="11"/>
        <v>0</v>
      </c>
      <c r="E87" s="521">
        <f t="shared" ca="1" si="11"/>
        <v>0</v>
      </c>
      <c r="F87" s="522">
        <f t="shared" ca="1" si="11"/>
        <v>0</v>
      </c>
      <c r="G87" s="521">
        <f t="shared" ca="1" si="11"/>
        <v>0</v>
      </c>
      <c r="H87" s="521">
        <f t="shared" ca="1" si="11"/>
        <v>0</v>
      </c>
      <c r="I87" s="508">
        <f ca="1">(1-$B$5)*$I51</f>
        <v>0</v>
      </c>
    </row>
    <row r="88" spans="1:14" x14ac:dyDescent="0.25">
      <c r="A88" t="s">
        <v>406</v>
      </c>
      <c r="B88" s="133">
        <f ca="1">$B$5*$I51/$D63*B$41/2000</f>
        <v>2.2372512340193085E-4</v>
      </c>
      <c r="C88" s="133">
        <f t="shared" ref="C88:H88" ca="1" si="12">$B$5*$I51/$D63*C$41/2000</f>
        <v>3.519578969389326E-3</v>
      </c>
      <c r="D88" s="133">
        <f t="shared" ca="1" si="12"/>
        <v>9.0690505129503423E-3</v>
      </c>
      <c r="E88" s="133">
        <f t="shared" ca="1" si="12"/>
        <v>1.4315321388191687E-4</v>
      </c>
      <c r="F88" s="137">
        <f t="shared" ca="1" si="12"/>
        <v>1.4315321388191687E-4</v>
      </c>
      <c r="G88" s="133">
        <f t="shared" ca="1" si="12"/>
        <v>7.6864906140738783E-6</v>
      </c>
      <c r="H88" s="133">
        <f t="shared" ca="1" si="12"/>
        <v>1.4052499926630875E-4</v>
      </c>
      <c r="I88" s="45">
        <f ca="1">$B$5*$I51/$D63</f>
        <v>84.107095869233191</v>
      </c>
    </row>
    <row r="89" spans="1:14" x14ac:dyDescent="0.25">
      <c r="A89" s="267" t="s">
        <v>370</v>
      </c>
      <c r="B89" s="521">
        <f t="shared" ref="B89:H89" ca="1" si="13">(1-$B$5)*$I52*B40/2000</f>
        <v>0</v>
      </c>
      <c r="C89" s="521">
        <f t="shared" ca="1" si="13"/>
        <v>0</v>
      </c>
      <c r="D89" s="521">
        <f t="shared" ca="1" si="13"/>
        <v>0</v>
      </c>
      <c r="E89" s="521">
        <f t="shared" ca="1" si="13"/>
        <v>0</v>
      </c>
      <c r="F89" s="522">
        <f t="shared" ca="1" si="13"/>
        <v>0</v>
      </c>
      <c r="G89" s="521">
        <f t="shared" ca="1" si="13"/>
        <v>0</v>
      </c>
      <c r="H89" s="521">
        <f t="shared" ca="1" si="13"/>
        <v>0</v>
      </c>
      <c r="I89" s="508">
        <f ca="1">(1-$B$5)*I52</f>
        <v>0</v>
      </c>
    </row>
    <row r="90" spans="1:14" x14ac:dyDescent="0.25">
      <c r="A90" t="s">
        <v>407</v>
      </c>
      <c r="B90" s="133">
        <f t="shared" ref="B90:H90" ca="1" si="14">$B$5*$I52/$D64*B$41/2000</f>
        <v>5.0768184300005817E-4</v>
      </c>
      <c r="C90" s="133">
        <f t="shared" ca="1" si="14"/>
        <v>7.98670399905743E-3</v>
      </c>
      <c r="D90" s="133">
        <f t="shared" ca="1" si="14"/>
        <v>2.0579683714839852E-2</v>
      </c>
      <c r="E90" s="133">
        <f t="shared" ca="1" si="14"/>
        <v>3.248463397845011E-4</v>
      </c>
      <c r="F90" s="137">
        <f t="shared" ca="1" si="14"/>
        <v>3.248463397845011E-4</v>
      </c>
      <c r="G90" s="133">
        <f t="shared" ca="1" si="14"/>
        <v>1.7442349173029876E-5</v>
      </c>
      <c r="H90" s="133">
        <f t="shared" ca="1" si="14"/>
        <v>3.18882338873193E-4</v>
      </c>
      <c r="I90" s="45">
        <f ca="1">$B$5*I52/D64</f>
        <v>190.85762381528926</v>
      </c>
    </row>
    <row r="91" spans="1:14" x14ac:dyDescent="0.25">
      <c r="A91" s="3" t="s">
        <v>408</v>
      </c>
      <c r="B91" s="135">
        <f t="shared" ref="B91:I91" ca="1" si="15">B53</f>
        <v>8.5083357694050094E-2</v>
      </c>
      <c r="C91" s="135">
        <f t="shared" ca="1" si="15"/>
        <v>1.3385067882922608</v>
      </c>
      <c r="D91" s="135">
        <f t="shared" ca="1" si="15"/>
        <v>3.4489880126359695</v>
      </c>
      <c r="E91" s="135">
        <f t="shared" ca="1" si="15"/>
        <v>5.4441610832799622E-2</v>
      </c>
      <c r="F91" s="466">
        <f t="shared" ca="1" si="15"/>
        <v>5.4441610832799622E-2</v>
      </c>
      <c r="G91" s="135">
        <f t="shared" ca="1" si="15"/>
        <v>2.9231961989100524E-3</v>
      </c>
      <c r="H91" s="135">
        <f t="shared" ca="1" si="15"/>
        <v>5.3442092670349974E-2</v>
      </c>
      <c r="I91" s="88">
        <f t="shared" ca="1" si="15"/>
        <v>31986.189184455136</v>
      </c>
    </row>
    <row r="92" spans="1:14" x14ac:dyDescent="0.25">
      <c r="A92" s="84" t="s">
        <v>249</v>
      </c>
      <c r="B92" s="137">
        <f t="shared" ref="B92:I92" ca="1" si="16">SUM(B75:B91)</f>
        <v>1.8743604624842889</v>
      </c>
      <c r="C92" s="137">
        <f t="shared" ca="1" si="16"/>
        <v>1.6074386256644393</v>
      </c>
      <c r="D92" s="137">
        <f t="shared" ca="1" si="16"/>
        <v>3.625974528554468</v>
      </c>
      <c r="E92" s="137">
        <f t="shared" ca="1" si="16"/>
        <v>1.2050286011559226</v>
      </c>
      <c r="F92" s="137">
        <f t="shared" ca="1" si="16"/>
        <v>1.2050286011559226</v>
      </c>
      <c r="G92" s="137">
        <f t="shared" ca="1" si="16"/>
        <v>4.1087599168028066E-2</v>
      </c>
      <c r="H92" s="137">
        <f t="shared" ca="1" si="16"/>
        <v>16.907160299050517</v>
      </c>
      <c r="I92" s="87">
        <f t="shared" ca="1" si="16"/>
        <v>37492.060710330974</v>
      </c>
    </row>
    <row r="94" spans="1:14" x14ac:dyDescent="0.25">
      <c r="B94" s="137">
        <f t="shared" ref="B94:I94" ca="1" si="17">B54-B92</f>
        <v>7.5752003128910275</v>
      </c>
      <c r="C94" s="137">
        <f t="shared" ca="1" si="17"/>
        <v>0.13770168948855699</v>
      </c>
      <c r="D94" s="137">
        <f t="shared" ca="1" si="17"/>
        <v>1.562366825983208E-2</v>
      </c>
      <c r="E94" s="137">
        <f t="shared" ca="1" si="17"/>
        <v>1.40884134197849</v>
      </c>
      <c r="F94" s="137">
        <f t="shared" ca="1" si="17"/>
        <v>1.40884134197849</v>
      </c>
      <c r="G94" s="137">
        <f t="shared" ca="1" si="17"/>
        <v>7.0386409430246766E-2</v>
      </c>
      <c r="H94" s="137">
        <f t="shared" ca="1" si="17"/>
        <v>11.343643465754347</v>
      </c>
      <c r="I94" s="87">
        <f t="shared" ca="1" si="17"/>
        <v>1486.2429350202729</v>
      </c>
    </row>
    <row r="96" spans="1:14" x14ac:dyDescent="0.25">
      <c r="B96" s="137"/>
      <c r="C96" s="137"/>
      <c r="D96" s="137"/>
      <c r="E96" s="137"/>
      <c r="F96" s="137"/>
      <c r="G96" s="137"/>
      <c r="H96" s="137"/>
      <c r="I96" s="87"/>
      <c r="N96" s="252"/>
    </row>
    <row r="97" spans="1:18" ht="15.75" x14ac:dyDescent="0.25">
      <c r="A97" s="273" t="s">
        <v>354</v>
      </c>
    </row>
    <row r="98" spans="1:18" ht="15.75" x14ac:dyDescent="0.25">
      <c r="A98" s="273"/>
    </row>
    <row r="99" spans="1:18" ht="15.75" x14ac:dyDescent="0.25">
      <c r="A99" s="273"/>
      <c r="B99" s="845" t="s">
        <v>299</v>
      </c>
      <c r="C99" s="845"/>
      <c r="D99" s="845"/>
      <c r="E99" s="845"/>
      <c r="F99" s="845"/>
      <c r="G99" s="845"/>
      <c r="H99" s="845"/>
      <c r="I99" s="812" t="s">
        <v>300</v>
      </c>
    </row>
    <row r="100" spans="1:18" x14ac:dyDescent="0.25">
      <c r="A100" s="813" t="s">
        <v>301</v>
      </c>
      <c r="B100" s="813" t="s">
        <v>201</v>
      </c>
      <c r="C100" s="813" t="s">
        <v>202</v>
      </c>
      <c r="D100" s="363" t="s">
        <v>132</v>
      </c>
      <c r="E100" s="813" t="s">
        <v>203</v>
      </c>
      <c r="F100" s="454" t="s">
        <v>204</v>
      </c>
      <c r="G100" s="813" t="s">
        <v>205</v>
      </c>
      <c r="H100" s="813" t="s">
        <v>206</v>
      </c>
      <c r="I100" s="813" t="s">
        <v>302</v>
      </c>
    </row>
    <row r="101" spans="1:18" x14ac:dyDescent="0.25">
      <c r="A101" s="812">
        <f t="shared" ref="A101:A107" si="18">$B$4+I101-1</f>
        <v>2024</v>
      </c>
      <c r="B101" s="452">
        <f t="shared" ref="B101:H101" ca="1" si="19">(B$54-B$92)*$I101</f>
        <v>7.5752003128910275</v>
      </c>
      <c r="C101" s="452">
        <f t="shared" ca="1" si="19"/>
        <v>0.13770168948855699</v>
      </c>
      <c r="D101" s="465">
        <f t="shared" ca="1" si="19"/>
        <v>1.562366825983208E-2</v>
      </c>
      <c r="E101" s="452">
        <f t="shared" ca="1" si="19"/>
        <v>1.40884134197849</v>
      </c>
      <c r="F101" s="455">
        <f t="shared" ca="1" si="19"/>
        <v>1.40884134197849</v>
      </c>
      <c r="G101" s="452">
        <f t="shared" ca="1" si="19"/>
        <v>7.0386409430246766E-2</v>
      </c>
      <c r="H101" s="452">
        <f t="shared" ca="1" si="19"/>
        <v>11.343643465754347</v>
      </c>
      <c r="I101" s="812">
        <v>1</v>
      </c>
      <c r="K101" s="252" t="s">
        <v>303</v>
      </c>
    </row>
    <row r="102" spans="1:18" x14ac:dyDescent="0.25">
      <c r="A102" s="812">
        <f t="shared" si="18"/>
        <v>2025</v>
      </c>
      <c r="B102" s="452">
        <f t="shared" ref="B102:B107" ca="1" si="20">B101</f>
        <v>7.5752003128910275</v>
      </c>
      <c r="C102" s="452">
        <f t="shared" ref="C102:H107" ca="1" si="21">C101</f>
        <v>0.13770168948855699</v>
      </c>
      <c r="D102" s="465">
        <f t="shared" ca="1" si="21"/>
        <v>1.562366825983208E-2</v>
      </c>
      <c r="E102" s="452">
        <f t="shared" ca="1" si="21"/>
        <v>1.40884134197849</v>
      </c>
      <c r="F102" s="455">
        <f t="shared" ca="1" si="21"/>
        <v>1.40884134197849</v>
      </c>
      <c r="G102" s="452">
        <f t="shared" ca="1" si="21"/>
        <v>7.0386409430246766E-2</v>
      </c>
      <c r="H102" s="452">
        <f t="shared" ca="1" si="21"/>
        <v>11.343643465754347</v>
      </c>
      <c r="I102" s="812">
        <v>2</v>
      </c>
      <c r="N102" s="252"/>
    </row>
    <row r="103" spans="1:18" x14ac:dyDescent="0.25">
      <c r="A103" s="812">
        <f t="shared" si="18"/>
        <v>2026</v>
      </c>
      <c r="B103" s="452">
        <f t="shared" ca="1" si="20"/>
        <v>7.5752003128910275</v>
      </c>
      <c r="C103" s="452">
        <f t="shared" ca="1" si="21"/>
        <v>0.13770168948855699</v>
      </c>
      <c r="D103" s="465">
        <f t="shared" ca="1" si="21"/>
        <v>1.562366825983208E-2</v>
      </c>
      <c r="E103" s="452">
        <f t="shared" ca="1" si="21"/>
        <v>1.40884134197849</v>
      </c>
      <c r="F103" s="455">
        <f t="shared" ca="1" si="21"/>
        <v>1.40884134197849</v>
      </c>
      <c r="G103" s="452">
        <f t="shared" ca="1" si="21"/>
        <v>7.0386409430246766E-2</v>
      </c>
      <c r="H103" s="452">
        <f t="shared" ca="1" si="21"/>
        <v>11.343643465754347</v>
      </c>
      <c r="I103" s="812">
        <v>3</v>
      </c>
      <c r="N103" s="252"/>
    </row>
    <row r="104" spans="1:18" x14ac:dyDescent="0.25">
      <c r="A104" s="812">
        <f t="shared" si="18"/>
        <v>2027</v>
      </c>
      <c r="B104" s="452">
        <f t="shared" ca="1" si="20"/>
        <v>7.5752003128910275</v>
      </c>
      <c r="C104" s="452">
        <f t="shared" ca="1" si="21"/>
        <v>0.13770168948855699</v>
      </c>
      <c r="D104" s="465">
        <f t="shared" ca="1" si="21"/>
        <v>1.562366825983208E-2</v>
      </c>
      <c r="E104" s="452">
        <f t="shared" ca="1" si="21"/>
        <v>1.40884134197849</v>
      </c>
      <c r="F104" s="455">
        <f t="shared" ca="1" si="21"/>
        <v>1.40884134197849</v>
      </c>
      <c r="G104" s="452">
        <f t="shared" ca="1" si="21"/>
        <v>7.0386409430246766E-2</v>
      </c>
      <c r="H104" s="452">
        <f t="shared" ca="1" si="21"/>
        <v>11.343643465754347</v>
      </c>
      <c r="I104" s="812">
        <v>4</v>
      </c>
      <c r="N104" s="252"/>
    </row>
    <row r="105" spans="1:18" x14ac:dyDescent="0.25">
      <c r="A105" s="812">
        <f t="shared" si="18"/>
        <v>2028</v>
      </c>
      <c r="B105" s="452">
        <f t="shared" ca="1" si="20"/>
        <v>7.5752003128910275</v>
      </c>
      <c r="C105" s="452">
        <f t="shared" ca="1" si="21"/>
        <v>0.13770168948855699</v>
      </c>
      <c r="D105" s="465">
        <f t="shared" ca="1" si="21"/>
        <v>1.562366825983208E-2</v>
      </c>
      <c r="E105" s="452">
        <f t="shared" ca="1" si="21"/>
        <v>1.40884134197849</v>
      </c>
      <c r="F105" s="455">
        <f t="shared" ca="1" si="21"/>
        <v>1.40884134197849</v>
      </c>
      <c r="G105" s="452">
        <f t="shared" ca="1" si="21"/>
        <v>7.0386409430246766E-2</v>
      </c>
      <c r="H105" s="452">
        <f t="shared" ca="1" si="21"/>
        <v>11.343643465754347</v>
      </c>
      <c r="I105" s="812">
        <v>5</v>
      </c>
    </row>
    <row r="106" spans="1:18" x14ac:dyDescent="0.25">
      <c r="A106" s="812">
        <f t="shared" si="18"/>
        <v>2029</v>
      </c>
      <c r="B106" s="452">
        <f t="shared" ca="1" si="20"/>
        <v>7.5752003128910275</v>
      </c>
      <c r="C106" s="452">
        <f t="shared" ca="1" si="21"/>
        <v>0.13770168948855699</v>
      </c>
      <c r="D106" s="465">
        <f t="shared" ca="1" si="21"/>
        <v>1.562366825983208E-2</v>
      </c>
      <c r="E106" s="452">
        <f t="shared" ca="1" si="21"/>
        <v>1.40884134197849</v>
      </c>
      <c r="F106" s="455">
        <f t="shared" ca="1" si="21"/>
        <v>1.40884134197849</v>
      </c>
      <c r="G106" s="452">
        <f t="shared" ca="1" si="21"/>
        <v>7.0386409430246766E-2</v>
      </c>
      <c r="H106" s="452">
        <f t="shared" ca="1" si="21"/>
        <v>11.343643465754347</v>
      </c>
      <c r="I106" s="812">
        <v>6</v>
      </c>
    </row>
    <row r="107" spans="1:18" x14ac:dyDescent="0.25">
      <c r="A107" s="812">
        <f t="shared" si="18"/>
        <v>2030</v>
      </c>
      <c r="B107" s="452">
        <f t="shared" ca="1" si="20"/>
        <v>7.5752003128910275</v>
      </c>
      <c r="C107" s="452">
        <f t="shared" ca="1" si="21"/>
        <v>0.13770168948855699</v>
      </c>
      <c r="D107" s="465">
        <f t="shared" ca="1" si="21"/>
        <v>1.562366825983208E-2</v>
      </c>
      <c r="E107" s="452">
        <f t="shared" ca="1" si="21"/>
        <v>1.40884134197849</v>
      </c>
      <c r="F107" s="455">
        <f t="shared" ca="1" si="21"/>
        <v>1.40884134197849</v>
      </c>
      <c r="G107" s="452">
        <f t="shared" ca="1" si="21"/>
        <v>7.0386409430246766E-2</v>
      </c>
      <c r="H107" s="452">
        <f t="shared" ca="1" si="21"/>
        <v>11.343643465754347</v>
      </c>
      <c r="I107" s="812">
        <v>7</v>
      </c>
    </row>
    <row r="110" spans="1:18" ht="15.75" x14ac:dyDescent="0.25">
      <c r="A110" s="273" t="s">
        <v>304</v>
      </c>
    </row>
    <row r="111" spans="1:18" x14ac:dyDescent="0.25">
      <c r="C111" s="252"/>
      <c r="O111" s="840" t="s">
        <v>305</v>
      </c>
      <c r="P111" s="840"/>
      <c r="Q111" s="840"/>
      <c r="R111" s="840"/>
    </row>
    <row r="112" spans="1:18" x14ac:dyDescent="0.25">
      <c r="A112" s="252"/>
      <c r="B112" s="845" t="s">
        <v>409</v>
      </c>
      <c r="C112" s="845"/>
      <c r="D112" s="845"/>
      <c r="E112" s="845"/>
      <c r="F112" s="845"/>
      <c r="G112" s="845"/>
      <c r="H112" s="845"/>
      <c r="I112" s="812" t="s">
        <v>376</v>
      </c>
      <c r="L112" s="845" t="str">
        <f>$B$4&amp;" Base Emissions"</f>
        <v>2024 Base Emissions</v>
      </c>
      <c r="M112" s="845"/>
      <c r="O112" s="244" t="s">
        <v>307</v>
      </c>
      <c r="P112" s="664">
        <f>$B$4</f>
        <v>2024</v>
      </c>
      <c r="Q112" s="244" t="s">
        <v>308</v>
      </c>
      <c r="R112" s="664">
        <v>2024</v>
      </c>
    </row>
    <row r="113" spans="1:18" x14ac:dyDescent="0.25">
      <c r="A113" s="813" t="s">
        <v>130</v>
      </c>
      <c r="B113" s="813" t="s">
        <v>201</v>
      </c>
      <c r="C113" s="813" t="s">
        <v>202</v>
      </c>
      <c r="D113" s="363" t="s">
        <v>132</v>
      </c>
      <c r="E113" s="813" t="s">
        <v>203</v>
      </c>
      <c r="F113" s="454" t="s">
        <v>204</v>
      </c>
      <c r="G113" s="813" t="s">
        <v>205</v>
      </c>
      <c r="H113" s="813" t="s">
        <v>206</v>
      </c>
      <c r="I113" s="813" t="s">
        <v>377</v>
      </c>
      <c r="J113" s="813" t="s">
        <v>309</v>
      </c>
      <c r="L113" s="813" t="s">
        <v>132</v>
      </c>
      <c r="M113" s="813" t="s">
        <v>204</v>
      </c>
      <c r="N113" s="813" t="s">
        <v>130</v>
      </c>
      <c r="O113" s="363" t="s">
        <v>132</v>
      </c>
      <c r="P113" s="454" t="s">
        <v>204</v>
      </c>
      <c r="Q113" s="363" t="s">
        <v>132</v>
      </c>
      <c r="R113" s="454" t="s">
        <v>204</v>
      </c>
    </row>
    <row r="114" spans="1:18" x14ac:dyDescent="0.25">
      <c r="A114" s="812">
        <v>2104008100</v>
      </c>
      <c r="B114" s="133">
        <f t="shared" ref="B114:I114" ca="1" si="22">B45-B75</f>
        <v>4.5187146203678008</v>
      </c>
      <c r="C114" s="133">
        <f t="shared" ca="1" si="22"/>
        <v>5.1304183462691194E-2</v>
      </c>
      <c r="D114" s="511">
        <f t="shared" ca="1" si="22"/>
        <v>7.8929513019524947E-3</v>
      </c>
      <c r="E114" s="133">
        <f t="shared" ca="1" si="22"/>
        <v>0.68274028761889094</v>
      </c>
      <c r="F114" s="525">
        <f t="shared" ca="1" si="22"/>
        <v>0.68274028761889094</v>
      </c>
      <c r="G114" s="133">
        <f t="shared" ca="1" si="22"/>
        <v>3.5518280858786222E-2</v>
      </c>
      <c r="H114" s="133">
        <f t="shared" ca="1" si="22"/>
        <v>4.9843987471830014</v>
      </c>
      <c r="I114" s="45">
        <f t="shared" ca="1" si="22"/>
        <v>633.72479717636099</v>
      </c>
      <c r="J114" s="812" t="s">
        <v>137</v>
      </c>
      <c r="L114" s="133">
        <f t="shared" ref="L114:L132" ca="1" si="23">OFFSET(INDIRECT("'DevSumOut-"&amp;$B$4&amp;"BSR'!P49"),MATCH($N114,INDIRECT("'DevSumOut-"&amp;$B$4&amp;"BSR'!B50:B70"),0),0)</f>
        <v>7.8929513019524947E-3</v>
      </c>
      <c r="M114" s="133">
        <f t="shared" ref="M114:M132" ca="1" si="24">OFFSET(INDIRECT("'DevSumOut-"&amp;$B$4&amp;"BSR'!R49"),MATCH($N114,INDIRECT("'DevSumOut-"&amp;$B$4&amp;"BSR'!B50:B70"),0),0)</f>
        <v>0.68274028761889094</v>
      </c>
      <c r="N114" s="812">
        <f>A114</f>
        <v>2104008100</v>
      </c>
      <c r="O114" s="357">
        <f ca="1">D114/L114</f>
        <v>1</v>
      </c>
      <c r="P114" s="463">
        <f ca="1">F114/M114</f>
        <v>1</v>
      </c>
      <c r="Q114" s="357">
        <f ca="1">O114</f>
        <v>1</v>
      </c>
      <c r="R114" s="463">
        <f ca="1">P114</f>
        <v>1</v>
      </c>
    </row>
    <row r="115" spans="1:18" x14ac:dyDescent="0.25">
      <c r="A115" s="812">
        <v>2104008210</v>
      </c>
      <c r="B115" s="133">
        <f t="shared" ref="B115:I115" ca="1" si="25">B46-B77</f>
        <v>9.2288983552914705E-2</v>
      </c>
      <c r="C115" s="133">
        <f t="shared" ca="1" si="25"/>
        <v>4.8756444141162484E-3</v>
      </c>
      <c r="D115" s="511">
        <f t="shared" ca="1" si="25"/>
        <v>6.9652063058803562E-4</v>
      </c>
      <c r="E115" s="133">
        <f t="shared" ca="1" si="25"/>
        <v>5.3283828239984704E-2</v>
      </c>
      <c r="F115" s="525">
        <f t="shared" ca="1" si="25"/>
        <v>5.3283828239984704E-2</v>
      </c>
      <c r="G115" s="133">
        <f t="shared" ca="1" si="25"/>
        <v>2.960212679999151E-3</v>
      </c>
      <c r="H115" s="133">
        <f t="shared" ca="1" si="25"/>
        <v>0.40189240384929653</v>
      </c>
      <c r="I115" s="45">
        <f t="shared" ca="1" si="25"/>
        <v>55.913654755674415</v>
      </c>
      <c r="J115" s="812" t="s">
        <v>138</v>
      </c>
      <c r="L115" s="133">
        <f t="shared" ca="1" si="23"/>
        <v>6.9652063058803562E-4</v>
      </c>
      <c r="M115" s="133">
        <f t="shared" ca="1" si="24"/>
        <v>5.3283828239984704E-2</v>
      </c>
      <c r="N115" s="812">
        <f t="shared" ref="N115:N131" si="26">A115</f>
        <v>2104008210</v>
      </c>
      <c r="O115" s="357">
        <f t="shared" ref="O115:O125" ca="1" si="27">D115/L115</f>
        <v>1</v>
      </c>
      <c r="P115" s="463">
        <f t="shared" ref="P115:P125" ca="1" si="28">F115/M115</f>
        <v>1</v>
      </c>
      <c r="Q115" s="357">
        <f t="shared" ref="Q115:Q132" ca="1" si="29">O115</f>
        <v>1</v>
      </c>
      <c r="R115" s="463">
        <f t="shared" ref="R115:R132" ca="1" si="30">P115</f>
        <v>1</v>
      </c>
    </row>
    <row r="116" spans="1:18" x14ac:dyDescent="0.25">
      <c r="A116" s="812">
        <v>2104008220</v>
      </c>
      <c r="B116" s="133">
        <f t="shared" ref="B116:I117" ca="1" si="31">$J77*(B$48-B$83-B$79)</f>
        <v>-3.1622836504033715E-3</v>
      </c>
      <c r="C116" s="133">
        <f t="shared" ca="1" si="31"/>
        <v>-4.8178272755774239E-4</v>
      </c>
      <c r="D116" s="511">
        <f t="shared" ca="1" si="31"/>
        <v>-9.6356545511548446E-5</v>
      </c>
      <c r="E116" s="133">
        <f t="shared" ca="1" si="31"/>
        <v>-2.9812254603654251E-3</v>
      </c>
      <c r="F116" s="525">
        <f t="shared" ca="1" si="31"/>
        <v>-2.9812254603654251E-3</v>
      </c>
      <c r="G116" s="133">
        <f t="shared" ca="1" si="31"/>
        <v>-2.1680222740098402E-4</v>
      </c>
      <c r="H116" s="133">
        <f t="shared" ca="1" si="31"/>
        <v>-3.0857620608423796E-2</v>
      </c>
      <c r="I116" s="45">
        <f t="shared" ca="1" si="31"/>
        <v>-7.7350854843073993</v>
      </c>
      <c r="J116" s="812" t="s">
        <v>139</v>
      </c>
      <c r="L116" s="133">
        <f t="shared" ca="1" si="23"/>
        <v>1.466465893975229E-3</v>
      </c>
      <c r="M116" s="133">
        <f t="shared" ca="1" si="24"/>
        <v>4.3993976819256868E-2</v>
      </c>
      <c r="N116" s="812">
        <f t="shared" si="26"/>
        <v>2104008220</v>
      </c>
      <c r="O116" s="357">
        <f t="shared" ca="1" si="27"/>
        <v>-6.5706639279792256E-2</v>
      </c>
      <c r="P116" s="463">
        <f t="shared" ca="1" si="28"/>
        <v>-6.7764400399931451E-2</v>
      </c>
      <c r="Q116" s="357">
        <f t="shared" ca="1" si="29"/>
        <v>-6.5706639279792256E-2</v>
      </c>
      <c r="R116" s="463">
        <f t="shared" ca="1" si="30"/>
        <v>-6.7764400399931451E-2</v>
      </c>
    </row>
    <row r="117" spans="1:18" x14ac:dyDescent="0.25">
      <c r="A117" s="812">
        <v>2104008230</v>
      </c>
      <c r="B117" s="133">
        <f t="shared" ca="1" si="31"/>
        <v>-2.0625868181170085E-3</v>
      </c>
      <c r="C117" s="133">
        <f t="shared" ca="1" si="31"/>
        <v>-3.1424085025715573E-4</v>
      </c>
      <c r="D117" s="511">
        <f t="shared" ca="1" si="31"/>
        <v>-6.2848170051431112E-5</v>
      </c>
      <c r="E117" s="133">
        <f t="shared" ca="1" si="31"/>
        <v>-1.9444923404009582E-3</v>
      </c>
      <c r="F117" s="525">
        <f t="shared" ca="1" si="31"/>
        <v>-1.9444923404009582E-3</v>
      </c>
      <c r="G117" s="133">
        <f t="shared" ca="1" si="31"/>
        <v>-1.4140838261572004E-4</v>
      </c>
      <c r="H117" s="133">
        <f t="shared" ca="1" si="31"/>
        <v>-2.0126759184702522E-2</v>
      </c>
      <c r="I117" s="45">
        <f t="shared" ca="1" si="31"/>
        <v>-5.0451784598467562</v>
      </c>
      <c r="J117" s="812" t="s">
        <v>140</v>
      </c>
      <c r="L117" s="133">
        <f t="shared" ca="1" si="23"/>
        <v>8.8291983988187436E-4</v>
      </c>
      <c r="M117" s="133">
        <f t="shared" ca="1" si="24"/>
        <v>2.8694894796160917E-2</v>
      </c>
      <c r="N117" s="812">
        <f t="shared" si="26"/>
        <v>2104008230</v>
      </c>
      <c r="O117" s="357">
        <f t="shared" ca="1" si="27"/>
        <v>-7.1182192553108287E-2</v>
      </c>
      <c r="P117" s="463">
        <f t="shared" ca="1" si="28"/>
        <v>-6.7764400399931465E-2</v>
      </c>
      <c r="Q117" s="357">
        <f t="shared" ca="1" si="29"/>
        <v>-7.1182192553108287E-2</v>
      </c>
      <c r="R117" s="463">
        <f t="shared" ca="1" si="30"/>
        <v>-6.7764400399931465E-2</v>
      </c>
    </row>
    <row r="118" spans="1:18" x14ac:dyDescent="0.25">
      <c r="A118" s="812">
        <v>2104008310</v>
      </c>
      <c r="B118" s="133">
        <f t="shared" ref="B118:I118" ca="1" si="32">B47-B78</f>
        <v>1.87293299795552</v>
      </c>
      <c r="C118" s="133">
        <f t="shared" ca="1" si="32"/>
        <v>5.1316336898289579E-2</v>
      </c>
      <c r="D118" s="511">
        <f t="shared" ca="1" si="32"/>
        <v>1.4135343380796375E-2</v>
      </c>
      <c r="E118" s="133">
        <f t="shared" ca="1" si="32"/>
        <v>0.42907938675491686</v>
      </c>
      <c r="F118" s="525">
        <f t="shared" ca="1" si="32"/>
        <v>0.42907938675491686</v>
      </c>
      <c r="G118" s="133">
        <f t="shared" ca="1" si="32"/>
        <v>1.4030337047157235E-2</v>
      </c>
      <c r="H118" s="133">
        <f t="shared" ca="1" si="32"/>
        <v>4.2819715702054344</v>
      </c>
      <c r="I118" s="45">
        <f t="shared" ca="1" si="32"/>
        <v>1134.7240482733416</v>
      </c>
      <c r="J118" s="812" t="s">
        <v>141</v>
      </c>
      <c r="L118" s="133">
        <f t="shared" ca="1" si="23"/>
        <v>1.4135343380796375E-2</v>
      </c>
      <c r="M118" s="133">
        <f t="shared" ca="1" si="24"/>
        <v>0.42907938675491686</v>
      </c>
      <c r="N118" s="812">
        <f t="shared" si="26"/>
        <v>2104008310</v>
      </c>
      <c r="O118" s="357">
        <f t="shared" ca="1" si="27"/>
        <v>1</v>
      </c>
      <c r="P118" s="463">
        <f t="shared" ca="1" si="28"/>
        <v>1</v>
      </c>
      <c r="Q118" s="357">
        <f t="shared" ca="1" si="29"/>
        <v>1</v>
      </c>
      <c r="R118" s="463">
        <f t="shared" ca="1" si="30"/>
        <v>1</v>
      </c>
    </row>
    <row r="119" spans="1:18" x14ac:dyDescent="0.25">
      <c r="A119" s="812">
        <v>2104008320</v>
      </c>
      <c r="B119" s="133">
        <f t="shared" ref="B119:I120" ca="1" si="33">$J80*(B$49-B$84-B$80)</f>
        <v>-8.3432864255612638E-2</v>
      </c>
      <c r="C119" s="133">
        <f t="shared" ca="1" si="33"/>
        <v>-1.02251648422372E-2</v>
      </c>
      <c r="D119" s="511">
        <f t="shared" ca="1" si="33"/>
        <v>-2.5422458800554845E-3</v>
      </c>
      <c r="E119" s="133">
        <f t="shared" ca="1" si="33"/>
        <v>-5.2443467769946253E-2</v>
      </c>
      <c r="F119" s="525">
        <f t="shared" ca="1" si="33"/>
        <v>-5.2443467769946253E-2</v>
      </c>
      <c r="G119" s="133">
        <f t="shared" ca="1" si="33"/>
        <v>-1.5872622509494952E-3</v>
      </c>
      <c r="H119" s="133">
        <f t="shared" ca="1" si="33"/>
        <v>-0.78581422977557469</v>
      </c>
      <c r="I119" s="45">
        <f t="shared" ca="1" si="33"/>
        <v>-204.08047112897631</v>
      </c>
      <c r="J119" s="812" t="s">
        <v>142</v>
      </c>
      <c r="L119" s="133">
        <f t="shared" ca="1" si="23"/>
        <v>2.9760782462489317E-2</v>
      </c>
      <c r="M119" s="133">
        <f t="shared" ca="1" si="24"/>
        <v>0.58964482219134895</v>
      </c>
      <c r="N119" s="812">
        <f t="shared" si="26"/>
        <v>2104008320</v>
      </c>
      <c r="O119" s="357">
        <f t="shared" ca="1" si="27"/>
        <v>-8.5422682796050392E-2</v>
      </c>
      <c r="P119" s="463">
        <f t="shared" ca="1" si="28"/>
        <v>-8.8940775524910032E-2</v>
      </c>
      <c r="Q119" s="357">
        <f t="shared" ca="1" si="29"/>
        <v>-8.5422682796050392E-2</v>
      </c>
      <c r="R119" s="463">
        <f t="shared" ca="1" si="30"/>
        <v>-8.8940775524910032E-2</v>
      </c>
    </row>
    <row r="120" spans="1:18" x14ac:dyDescent="0.25">
      <c r="A120" s="812">
        <v>2104008330</v>
      </c>
      <c r="B120" s="133">
        <f t="shared" ca="1" si="33"/>
        <v>-5.5737645735032121E-2</v>
      </c>
      <c r="C120" s="133">
        <f t="shared" ca="1" si="33"/>
        <v>-6.8309606849028068E-3</v>
      </c>
      <c r="D120" s="511">
        <f t="shared" ca="1" si="33"/>
        <v>-1.6983571341834317E-3</v>
      </c>
      <c r="E120" s="133">
        <f t="shared" ca="1" si="33"/>
        <v>-3.5035060269804894E-2</v>
      </c>
      <c r="F120" s="525">
        <f t="shared" ca="1" si="33"/>
        <v>-3.5035060269804894E-2</v>
      </c>
      <c r="G120" s="133">
        <f t="shared" ca="1" si="33"/>
        <v>-1.0603766491938591E-3</v>
      </c>
      <c r="H120" s="133">
        <f t="shared" ca="1" si="33"/>
        <v>-0.52496621737197124</v>
      </c>
      <c r="I120" s="45">
        <f t="shared" ca="1" si="33"/>
        <v>-136.33674335302621</v>
      </c>
      <c r="J120" s="812" t="s">
        <v>143</v>
      </c>
      <c r="L120" s="133">
        <f t="shared" ca="1" si="23"/>
        <v>1.7918170067570769E-2</v>
      </c>
      <c r="M120" s="133">
        <f t="shared" ca="1" si="24"/>
        <v>0.39391449043518229</v>
      </c>
      <c r="N120" s="812">
        <f t="shared" si="26"/>
        <v>2104008330</v>
      </c>
      <c r="O120" s="357">
        <f t="shared" ca="1" si="27"/>
        <v>-9.4784072691508056E-2</v>
      </c>
      <c r="P120" s="463">
        <f t="shared" ca="1" si="28"/>
        <v>-8.8940775524910101E-2</v>
      </c>
      <c r="Q120" s="357">
        <f t="shared" ca="1" si="29"/>
        <v>-9.4784072691508056E-2</v>
      </c>
      <c r="R120" s="463">
        <f t="shared" ca="1" si="30"/>
        <v>-8.8940775524910101E-2</v>
      </c>
    </row>
    <row r="121" spans="1:18" x14ac:dyDescent="0.25">
      <c r="A121" s="812">
        <v>2104008410</v>
      </c>
      <c r="B121" s="521"/>
      <c r="C121" s="521"/>
      <c r="D121" s="511"/>
      <c r="E121" s="521"/>
      <c r="F121" s="525"/>
      <c r="G121" s="521"/>
      <c r="H121" s="521"/>
      <c r="I121" s="508"/>
      <c r="J121" s="812" t="s">
        <v>144</v>
      </c>
      <c r="L121" s="133">
        <f t="shared" ca="1" si="23"/>
        <v>1.5713437961392396E-3</v>
      </c>
      <c r="M121" s="133">
        <f t="shared" ca="1" si="24"/>
        <v>1.4534930114287962E-2</v>
      </c>
      <c r="N121" s="812">
        <f t="shared" si="26"/>
        <v>2104008410</v>
      </c>
      <c r="O121" s="357">
        <f t="shared" ca="1" si="27"/>
        <v>0</v>
      </c>
      <c r="P121" s="463">
        <f t="shared" ca="1" si="28"/>
        <v>0</v>
      </c>
      <c r="Q121" s="357">
        <f t="shared" ca="1" si="29"/>
        <v>0</v>
      </c>
      <c r="R121" s="463">
        <f t="shared" ca="1" si="30"/>
        <v>0</v>
      </c>
    </row>
    <row r="122" spans="1:18" x14ac:dyDescent="0.25">
      <c r="A122" s="812">
        <v>2104008420</v>
      </c>
      <c r="B122" s="521"/>
      <c r="C122" s="521"/>
      <c r="D122" s="511"/>
      <c r="E122" s="521"/>
      <c r="F122" s="525"/>
      <c r="G122" s="521"/>
      <c r="H122" s="521"/>
      <c r="I122" s="508"/>
      <c r="J122" s="812" t="s">
        <v>145</v>
      </c>
      <c r="L122" s="133">
        <f t="shared" ca="1" si="23"/>
        <v>5.3001914595375227E-3</v>
      </c>
      <c r="M122" s="133">
        <f t="shared" ca="1" si="24"/>
        <v>4.9026771000722072E-2</v>
      </c>
      <c r="N122" s="812">
        <f t="shared" si="26"/>
        <v>2104008420</v>
      </c>
      <c r="O122" s="357">
        <f t="shared" ca="1" si="27"/>
        <v>0</v>
      </c>
      <c r="P122" s="463">
        <f t="shared" ca="1" si="28"/>
        <v>0</v>
      </c>
      <c r="Q122" s="357">
        <f t="shared" ca="1" si="29"/>
        <v>0</v>
      </c>
      <c r="R122" s="463">
        <f t="shared" ca="1" si="30"/>
        <v>0</v>
      </c>
    </row>
    <row r="123" spans="1:18" x14ac:dyDescent="0.25">
      <c r="A123" s="812">
        <v>2104008610</v>
      </c>
      <c r="B123" s="133">
        <f t="shared" ref="B123:I123" ca="1" si="34">(B50+B51)-(B85+B87)</f>
        <v>1.1204185130963187</v>
      </c>
      <c r="C123" s="133">
        <f t="shared" ca="1" si="34"/>
        <v>3.9800363015667702E-2</v>
      </c>
      <c r="D123" s="511">
        <f t="shared" ca="1" si="34"/>
        <v>9.8715287497472982E-3</v>
      </c>
      <c r="E123" s="133">
        <f t="shared" ca="1" si="34"/>
        <v>0.24358372503811662</v>
      </c>
      <c r="F123" s="525">
        <f t="shared" ca="1" si="34"/>
        <v>0.24358372503811662</v>
      </c>
      <c r="G123" s="133">
        <f t="shared" ca="1" si="34"/>
        <v>6.0156743190914637E-3</v>
      </c>
      <c r="H123" s="133">
        <f t="shared" ca="1" si="34"/>
        <v>1.4948126890444904</v>
      </c>
      <c r="I123" s="45">
        <f t="shared" ca="1" si="34"/>
        <v>792.17148434975456</v>
      </c>
      <c r="J123" s="812" t="s">
        <v>146</v>
      </c>
      <c r="L123" s="133">
        <f t="shared" ca="1" si="23"/>
        <v>9.8715287497472982E-3</v>
      </c>
      <c r="M123" s="133">
        <f t="shared" ca="1" si="24"/>
        <v>0.24358372503811659</v>
      </c>
      <c r="N123" s="812">
        <f t="shared" si="26"/>
        <v>2104008610</v>
      </c>
      <c r="O123" s="357">
        <f t="shared" ca="1" si="27"/>
        <v>1</v>
      </c>
      <c r="P123" s="463">
        <f t="shared" ca="1" si="28"/>
        <v>1.0000000000000002</v>
      </c>
      <c r="Q123" s="357">
        <f t="shared" ca="1" si="29"/>
        <v>1</v>
      </c>
      <c r="R123" s="463">
        <f t="shared" ca="1" si="30"/>
        <v>1.0000000000000002</v>
      </c>
    </row>
    <row r="124" spans="1:18" x14ac:dyDescent="0.25">
      <c r="A124" s="812">
        <v>2104004000</v>
      </c>
      <c r="B124" s="133">
        <f t="shared" ref="B124:I124" ca="1" si="35">B$53-SUM(B$76,B$81:B$82,B$86,B$88,B$90:B$91)</f>
        <v>-3.0234021076634976E-3</v>
      </c>
      <c r="C124" s="133">
        <f t="shared" ca="1" si="35"/>
        <v>-4.7563287986314595E-2</v>
      </c>
      <c r="D124" s="511">
        <f t="shared" ca="1" si="35"/>
        <v>-0.12255836992477942</v>
      </c>
      <c r="E124" s="133">
        <f t="shared" ca="1" si="35"/>
        <v>-1.9345602406567117E-3</v>
      </c>
      <c r="F124" s="525">
        <f t="shared" ca="1" si="35"/>
        <v>-1.9345602406567117E-3</v>
      </c>
      <c r="G124" s="133">
        <f t="shared" ca="1" si="35"/>
        <v>-1.0387457416383356E-4</v>
      </c>
      <c r="H124" s="133">
        <f t="shared" ca="1" si="35"/>
        <v>-1.8990427740110602E-3</v>
      </c>
      <c r="I124" s="45">
        <f t="shared" ca="1" si="35"/>
        <v>-1136.6160717840103</v>
      </c>
      <c r="J124" s="812" t="s">
        <v>312</v>
      </c>
      <c r="L124" s="133">
        <f t="shared" ca="1" si="23"/>
        <v>3.3486981225244321</v>
      </c>
      <c r="M124" s="133">
        <f t="shared" ca="1" si="24"/>
        <v>5.2902056219767318E-2</v>
      </c>
      <c r="N124" s="812">
        <f t="shared" si="26"/>
        <v>2104004000</v>
      </c>
      <c r="O124" s="357">
        <f t="shared" ca="1" si="27"/>
        <v>-3.6598811072402135E-2</v>
      </c>
      <c r="P124" s="463">
        <f t="shared" ca="1" si="28"/>
        <v>-3.6568715450683111E-2</v>
      </c>
      <c r="Q124" s="357">
        <f t="shared" ca="1" si="29"/>
        <v>-3.6598811072402135E-2</v>
      </c>
      <c r="R124" s="463">
        <f t="shared" ca="1" si="30"/>
        <v>-3.6568715450683111E-2</v>
      </c>
    </row>
    <row r="125" spans="1:18" x14ac:dyDescent="0.25">
      <c r="A125" s="812">
        <v>2103004001</v>
      </c>
      <c r="B125" s="521"/>
      <c r="C125" s="521"/>
      <c r="D125" s="511"/>
      <c r="E125" s="521"/>
      <c r="F125" s="525"/>
      <c r="G125" s="521"/>
      <c r="H125" s="521"/>
      <c r="I125" s="508"/>
      <c r="J125" s="812" t="s">
        <v>148</v>
      </c>
      <c r="L125" s="133">
        <f t="shared" ca="1" si="23"/>
        <v>0.48922407287064373</v>
      </c>
      <c r="M125" s="133">
        <f t="shared" ca="1" si="24"/>
        <v>1.7556769738486938E-2</v>
      </c>
      <c r="N125" s="812">
        <f t="shared" si="26"/>
        <v>2103004001</v>
      </c>
      <c r="O125" s="357">
        <f t="shared" ca="1" si="27"/>
        <v>0</v>
      </c>
      <c r="P125" s="463">
        <f t="shared" ca="1" si="28"/>
        <v>0</v>
      </c>
      <c r="Q125" s="357">
        <f t="shared" ca="1" si="29"/>
        <v>0</v>
      </c>
      <c r="R125" s="463">
        <f t="shared" ca="1" si="30"/>
        <v>0</v>
      </c>
    </row>
    <row r="126" spans="1:18" x14ac:dyDescent="0.25">
      <c r="A126" s="812">
        <v>2104006010</v>
      </c>
      <c r="B126" s="521"/>
      <c r="C126" s="521"/>
      <c r="D126" s="511"/>
      <c r="E126" s="521"/>
      <c r="F126" s="525"/>
      <c r="G126" s="521"/>
      <c r="H126" s="521"/>
      <c r="I126" s="508"/>
      <c r="J126" s="812" t="s">
        <v>149</v>
      </c>
      <c r="L126" s="133">
        <f t="shared" ca="1" si="23"/>
        <v>7.0898784775737624E-5</v>
      </c>
      <c r="M126" s="133">
        <f t="shared" ca="1" si="24"/>
        <v>5.8529310125197163E-6</v>
      </c>
      <c r="N126" s="812">
        <f t="shared" si="26"/>
        <v>2104006010</v>
      </c>
      <c r="O126" s="357">
        <f t="shared" ref="O126:O132" ca="1" si="36">D126/L126</f>
        <v>0</v>
      </c>
      <c r="P126" s="463">
        <f t="shared" ref="P126:P132" ca="1" si="37">F126/M126</f>
        <v>0</v>
      </c>
      <c r="Q126" s="357">
        <f t="shared" ca="1" si="29"/>
        <v>0</v>
      </c>
      <c r="R126" s="463">
        <f t="shared" ca="1" si="30"/>
        <v>0</v>
      </c>
    </row>
    <row r="127" spans="1:18" x14ac:dyDescent="0.25">
      <c r="A127" s="812">
        <v>2103006000</v>
      </c>
      <c r="B127" s="521"/>
      <c r="C127" s="521"/>
      <c r="D127" s="511"/>
      <c r="E127" s="521"/>
      <c r="F127" s="525"/>
      <c r="G127" s="521"/>
      <c r="H127" s="521"/>
      <c r="I127" s="508"/>
      <c r="J127" s="812" t="s">
        <v>150</v>
      </c>
      <c r="L127" s="133">
        <f t="shared" ca="1" si="23"/>
        <v>7.9575146604215412E-4</v>
      </c>
      <c r="M127" s="133">
        <f t="shared" ca="1" si="24"/>
        <v>1.0079518569867288E-2</v>
      </c>
      <c r="N127" s="812">
        <f t="shared" si="26"/>
        <v>2103006000</v>
      </c>
      <c r="O127" s="357">
        <f t="shared" ca="1" si="36"/>
        <v>0</v>
      </c>
      <c r="P127" s="463">
        <f t="shared" ca="1" si="37"/>
        <v>0</v>
      </c>
      <c r="Q127" s="357">
        <f t="shared" ca="1" si="29"/>
        <v>0</v>
      </c>
      <c r="R127" s="463">
        <f t="shared" ca="1" si="30"/>
        <v>0</v>
      </c>
    </row>
    <row r="128" spans="1:18" x14ac:dyDescent="0.25">
      <c r="A128" s="812">
        <v>2104002000</v>
      </c>
      <c r="B128" s="133">
        <f t="shared" ref="B128:I128" ca="1" si="38">B52-B89</f>
        <v>0.11826398048530015</v>
      </c>
      <c r="C128" s="133">
        <f t="shared" ca="1" si="38"/>
        <v>5.5820598789061676E-2</v>
      </c>
      <c r="D128" s="511">
        <f t="shared" ca="1" si="38"/>
        <v>0.10998550185132909</v>
      </c>
      <c r="E128" s="133">
        <f t="shared" ca="1" si="38"/>
        <v>9.4492920407754755E-2</v>
      </c>
      <c r="F128" s="525">
        <f t="shared" ca="1" si="38"/>
        <v>9.4492920407754755E-2</v>
      </c>
      <c r="G128" s="133">
        <f t="shared" ca="1" si="38"/>
        <v>1.4971628609536571E-2</v>
      </c>
      <c r="H128" s="133">
        <f t="shared" ca="1" si="38"/>
        <v>1.5442319251868066</v>
      </c>
      <c r="I128" s="45">
        <f t="shared" ca="1" si="38"/>
        <v>359.52250067531236</v>
      </c>
      <c r="J128" s="812" t="s">
        <v>151</v>
      </c>
      <c r="L128" s="133">
        <f t="shared" ca="1" si="23"/>
        <v>0.10998550185132909</v>
      </c>
      <c r="M128" s="133">
        <f t="shared" ca="1" si="24"/>
        <v>9.4492920407754755E-2</v>
      </c>
      <c r="N128" s="812">
        <f t="shared" si="26"/>
        <v>2104002000</v>
      </c>
      <c r="O128" s="357">
        <f t="shared" ca="1" si="36"/>
        <v>1</v>
      </c>
      <c r="P128" s="463">
        <f t="shared" ca="1" si="37"/>
        <v>1</v>
      </c>
      <c r="Q128" s="357">
        <f t="shared" ca="1" si="29"/>
        <v>1</v>
      </c>
      <c r="R128" s="463">
        <f t="shared" ca="1" si="30"/>
        <v>1</v>
      </c>
    </row>
    <row r="129" spans="1:18" x14ac:dyDescent="0.25">
      <c r="A129" s="812">
        <v>2103002000</v>
      </c>
      <c r="B129" s="521"/>
      <c r="C129" s="521"/>
      <c r="D129" s="511"/>
      <c r="E129" s="521"/>
      <c r="F129" s="525"/>
      <c r="G129" s="521"/>
      <c r="H129" s="521"/>
      <c r="I129" s="508"/>
      <c r="J129" s="812" t="s">
        <v>152</v>
      </c>
      <c r="L129" s="133">
        <f t="shared" ca="1" si="23"/>
        <v>3.0617780757568117E-4</v>
      </c>
      <c r="M129" s="133">
        <f t="shared" ca="1" si="24"/>
        <v>2.6304953575588091E-4</v>
      </c>
      <c r="N129" s="812">
        <f t="shared" si="26"/>
        <v>2103002000</v>
      </c>
      <c r="O129" s="357">
        <f t="shared" ca="1" si="36"/>
        <v>0</v>
      </c>
      <c r="P129" s="463">
        <f t="shared" ca="1" si="37"/>
        <v>0</v>
      </c>
      <c r="Q129" s="357">
        <f t="shared" ca="1" si="29"/>
        <v>0</v>
      </c>
      <c r="R129" s="463">
        <f t="shared" ca="1" si="30"/>
        <v>0</v>
      </c>
    </row>
    <row r="130" spans="1:18" x14ac:dyDescent="0.25">
      <c r="A130" s="812">
        <v>2103008000</v>
      </c>
      <c r="B130" s="521"/>
      <c r="C130" s="521"/>
      <c r="D130" s="511"/>
      <c r="E130" s="521"/>
      <c r="F130" s="525"/>
      <c r="G130" s="521"/>
      <c r="H130" s="521"/>
      <c r="I130" s="508"/>
      <c r="J130" s="812" t="s">
        <v>153</v>
      </c>
      <c r="L130" s="133">
        <f t="shared" ca="1" si="23"/>
        <v>7.5369704121824448E-6</v>
      </c>
      <c r="M130" s="133">
        <f t="shared" ca="1" si="24"/>
        <v>2.5766689106639573E-4</v>
      </c>
      <c r="N130" s="812">
        <f t="shared" si="26"/>
        <v>2103008000</v>
      </c>
      <c r="O130" s="357">
        <f t="shared" ca="1" si="36"/>
        <v>0</v>
      </c>
      <c r="P130" s="463">
        <f t="shared" ca="1" si="37"/>
        <v>0</v>
      </c>
      <c r="Q130" s="357">
        <f t="shared" ca="1" si="29"/>
        <v>0</v>
      </c>
      <c r="R130" s="463">
        <f t="shared" ca="1" si="30"/>
        <v>0</v>
      </c>
    </row>
    <row r="131" spans="1:18" x14ac:dyDescent="0.25">
      <c r="A131" s="813">
        <v>2102012000</v>
      </c>
      <c r="B131" s="527"/>
      <c r="C131" s="527"/>
      <c r="D131" s="524"/>
      <c r="E131" s="527"/>
      <c r="F131" s="526"/>
      <c r="G131" s="527"/>
      <c r="H131" s="527"/>
      <c r="I131" s="528"/>
      <c r="J131" s="813" t="s">
        <v>154</v>
      </c>
      <c r="L131" s="135">
        <f t="shared" ca="1" si="23"/>
        <v>1.6802202817214625E-2</v>
      </c>
      <c r="M131" s="135">
        <f t="shared" ca="1" si="24"/>
        <v>2.3655128992506407E-3</v>
      </c>
      <c r="N131" s="813">
        <f t="shared" si="26"/>
        <v>2102012000</v>
      </c>
      <c r="O131" s="361">
        <f t="shared" ca="1" si="36"/>
        <v>0</v>
      </c>
      <c r="P131" s="519">
        <f t="shared" ca="1" si="37"/>
        <v>0</v>
      </c>
      <c r="Q131" s="361">
        <f t="shared" ca="1" si="29"/>
        <v>0</v>
      </c>
      <c r="R131" s="519">
        <f t="shared" ca="1" si="30"/>
        <v>0</v>
      </c>
    </row>
    <row r="132" spans="1:18" x14ac:dyDescent="0.25">
      <c r="A132" s="810" t="s">
        <v>249</v>
      </c>
      <c r="B132" s="137">
        <f ca="1">SUM(B114:B131)</f>
        <v>7.5752003128910248</v>
      </c>
      <c r="C132" s="137">
        <f t="shared" ref="C132:I132" ca="1" si="39">SUM(C114:C131)</f>
        <v>0.13770168948855688</v>
      </c>
      <c r="D132" s="511">
        <f t="shared" ca="1" si="39"/>
        <v>1.5623668259831983E-2</v>
      </c>
      <c r="E132" s="137">
        <f t="shared" ca="1" si="39"/>
        <v>1.4088413419784895</v>
      </c>
      <c r="F132" s="525">
        <f t="shared" ca="1" si="39"/>
        <v>1.4088413419784895</v>
      </c>
      <c r="G132" s="137">
        <f t="shared" ca="1" si="39"/>
        <v>7.0386409430246752E-2</v>
      </c>
      <c r="H132" s="137">
        <f t="shared" ca="1" si="39"/>
        <v>11.343643465754345</v>
      </c>
      <c r="I132" s="87">
        <f t="shared" ca="1" si="39"/>
        <v>1486.2429350202772</v>
      </c>
      <c r="L132" s="137" t="e">
        <f t="shared" ca="1" si="23"/>
        <v>#N/A</v>
      </c>
      <c r="M132" s="137" t="e">
        <f t="shared" ca="1" si="24"/>
        <v>#N/A</v>
      </c>
      <c r="N132" s="810" t="s">
        <v>249</v>
      </c>
      <c r="O132" s="357" t="e">
        <f t="shared" ca="1" si="36"/>
        <v>#N/A</v>
      </c>
      <c r="P132" s="463" t="e">
        <f t="shared" ca="1" si="37"/>
        <v>#N/A</v>
      </c>
      <c r="Q132" s="357" t="e">
        <f t="shared" ca="1" si="29"/>
        <v>#N/A</v>
      </c>
      <c r="R132" s="463" t="e">
        <f t="shared" ca="1" si="30"/>
        <v>#N/A</v>
      </c>
    </row>
  </sheetData>
  <mergeCells count="11">
    <mergeCell ref="A1:L1"/>
    <mergeCell ref="A29:C29"/>
    <mergeCell ref="B31:H31"/>
    <mergeCell ref="B43:H43"/>
    <mergeCell ref="B59:D59"/>
    <mergeCell ref="O111:R111"/>
    <mergeCell ref="B112:H112"/>
    <mergeCell ref="L112:M112"/>
    <mergeCell ref="B99:H99"/>
    <mergeCell ref="A56:C56"/>
    <mergeCell ref="B73:H7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A1:AN171"/>
  <sheetViews>
    <sheetView zoomScaleNormal="100" workbookViewId="0">
      <selection sqref="A1:K1"/>
    </sheetView>
  </sheetViews>
  <sheetFormatPr defaultRowHeight="15" x14ac:dyDescent="0.25"/>
  <cols>
    <col min="1" max="1" width="60.140625" customWidth="1"/>
    <col min="6" max="6" width="8.85546875" customWidth="1"/>
    <col min="9" max="9" width="19.7109375" customWidth="1"/>
    <col min="10" max="11" width="10.7109375" customWidth="1"/>
    <col min="12" max="12" width="11.5703125" customWidth="1"/>
    <col min="14" max="14" width="12.42578125" customWidth="1"/>
    <col min="24" max="24" width="11.5703125" customWidth="1"/>
  </cols>
  <sheetData>
    <row r="1" spans="1:11" ht="18.75" x14ac:dyDescent="0.3">
      <c r="A1" s="828" t="s">
        <v>410</v>
      </c>
      <c r="B1" s="828"/>
      <c r="C1" s="828"/>
      <c r="D1" s="828"/>
      <c r="E1" s="828"/>
      <c r="F1" s="828"/>
      <c r="G1" s="828"/>
      <c r="H1" s="828"/>
      <c r="I1" s="828"/>
      <c r="J1" s="828"/>
      <c r="K1" s="828"/>
    </row>
    <row r="3" spans="1:11" x14ac:dyDescent="0.25">
      <c r="A3" s="244" t="s">
        <v>314</v>
      </c>
      <c r="B3" s="84" t="s">
        <v>411</v>
      </c>
    </row>
    <row r="4" spans="1:11" x14ac:dyDescent="0.25">
      <c r="A4" s="244" t="s">
        <v>316</v>
      </c>
      <c r="B4" s="703">
        <f>Summary!$C$11</f>
        <v>2020</v>
      </c>
      <c r="D4" s="244" t="s">
        <v>412</v>
      </c>
      <c r="E4" s="520">
        <f>Year</f>
        <v>2029</v>
      </c>
    </row>
    <row r="5" spans="1:11" x14ac:dyDescent="0.25">
      <c r="A5" s="244" t="s">
        <v>317</v>
      </c>
      <c r="B5" s="4">
        <v>1</v>
      </c>
    </row>
    <row r="6" spans="1:11" x14ac:dyDescent="0.25">
      <c r="A6" s="244" t="s">
        <v>413</v>
      </c>
      <c r="B6" s="517">
        <f>1/40</f>
        <v>2.5000000000000001E-2</v>
      </c>
      <c r="C6" t="s">
        <v>414</v>
      </c>
    </row>
    <row r="7" spans="1:11" x14ac:dyDescent="0.25">
      <c r="A7" s="244" t="s">
        <v>415</v>
      </c>
      <c r="B7" s="517">
        <f>1/20</f>
        <v>0.05</v>
      </c>
      <c r="C7" t="s">
        <v>414</v>
      </c>
    </row>
    <row r="8" spans="1:11" x14ac:dyDescent="0.25">
      <c r="A8" s="244" t="s">
        <v>416</v>
      </c>
      <c r="B8" s="517">
        <f>1/20</f>
        <v>0.05</v>
      </c>
      <c r="C8" t="s">
        <v>414</v>
      </c>
    </row>
    <row r="9" spans="1:11" x14ac:dyDescent="0.25">
      <c r="A9" s="244" t="s">
        <v>417</v>
      </c>
      <c r="B9" s="517">
        <f>1/30</f>
        <v>3.3333333333333333E-2</v>
      </c>
      <c r="C9" t="s">
        <v>414</v>
      </c>
    </row>
    <row r="11" spans="1:11" x14ac:dyDescent="0.25">
      <c r="A11" s="354" t="s">
        <v>322</v>
      </c>
    </row>
    <row r="12" spans="1:11" x14ac:dyDescent="0.25">
      <c r="A12" s="246" t="s">
        <v>418</v>
      </c>
    </row>
    <row r="13" spans="1:11" x14ac:dyDescent="0.25">
      <c r="A13" s="246" t="s">
        <v>419</v>
      </c>
    </row>
    <row r="14" spans="1:11" x14ac:dyDescent="0.25">
      <c r="A14" s="246" t="s">
        <v>420</v>
      </c>
    </row>
    <row r="15" spans="1:11" x14ac:dyDescent="0.25">
      <c r="A15" s="666" t="s">
        <v>421</v>
      </c>
    </row>
    <row r="16" spans="1:11" x14ac:dyDescent="0.25">
      <c r="A16" s="246" t="s">
        <v>360</v>
      </c>
    </row>
    <row r="17" spans="1:11" x14ac:dyDescent="0.25">
      <c r="A17" s="246" t="s">
        <v>422</v>
      </c>
    </row>
    <row r="18" spans="1:11" x14ac:dyDescent="0.25">
      <c r="A18" s="246" t="s">
        <v>423</v>
      </c>
    </row>
    <row r="19" spans="1:11" x14ac:dyDescent="0.25">
      <c r="A19" s="246" t="s">
        <v>424</v>
      </c>
    </row>
    <row r="22" spans="1:11" x14ac:dyDescent="0.25">
      <c r="A22" t="s">
        <v>425</v>
      </c>
      <c r="G22" s="250"/>
    </row>
    <row r="23" spans="1:11" x14ac:dyDescent="0.25">
      <c r="E23" s="365" t="s">
        <v>426</v>
      </c>
      <c r="F23" s="365" t="s">
        <v>427</v>
      </c>
      <c r="G23" s="365" t="s">
        <v>428</v>
      </c>
      <c r="H23" s="365" t="s">
        <v>429</v>
      </c>
    </row>
    <row r="24" spans="1:11" x14ac:dyDescent="0.25">
      <c r="A24" t="s">
        <v>430</v>
      </c>
      <c r="D24">
        <v>984</v>
      </c>
      <c r="E24" s="671">
        <f ca="1">OFFSET(HHSurveyG2!$N$296,0,MATCH($E$4,HHSurveyG2!$O$278:$AP$278,0))</f>
        <v>0.15161116729596735</v>
      </c>
      <c r="F24" s="97">
        <f ca="1">1-E24</f>
        <v>0.84838883270403265</v>
      </c>
      <c r="G24" s="671">
        <f ca="1">OFFSET(HHSurveyG2!$N$298,0,MATCH($E$4,HHSurveyG2!$O$278:$AP$278,0))</f>
        <v>0.88769240947012995</v>
      </c>
      <c r="H24" s="97">
        <f ca="1">1-G24</f>
        <v>0.11230759052987005</v>
      </c>
      <c r="K24" s="90" t="s">
        <v>431</v>
      </c>
    </row>
    <row r="25" spans="1:11" x14ac:dyDescent="0.25">
      <c r="A25" t="s">
        <v>432</v>
      </c>
      <c r="D25">
        <f>ROUND(D$24*J25,0)</f>
        <v>21</v>
      </c>
      <c r="E25" s="670">
        <f>D25</f>
        <v>21</v>
      </c>
      <c r="F25">
        <f>D25-E25</f>
        <v>0</v>
      </c>
      <c r="G25" s="11"/>
      <c r="H25" s="11"/>
      <c r="J25" s="251">
        <f>TabsAll!$N$21*TabsAll!$N$53</f>
        <v>2.1180764282238692E-2</v>
      </c>
      <c r="K25" s="90" t="s">
        <v>433</v>
      </c>
    </row>
    <row r="26" spans="1:11" x14ac:dyDescent="0.25">
      <c r="A26" t="s">
        <v>434</v>
      </c>
      <c r="D26">
        <f ca="1">ROUND(D$24*J26*$G$24,0)</f>
        <v>18</v>
      </c>
      <c r="E26" s="670">
        <f ca="1">ROUND(E$24*D26,0)</f>
        <v>3</v>
      </c>
      <c r="F26">
        <f ca="1">D26-E26</f>
        <v>15</v>
      </c>
      <c r="I26" s="252"/>
      <c r="J26" s="251">
        <f>TabsAll!$N$21*TabsAll!$N$54</f>
        <v>2.0123337534874289E-2</v>
      </c>
      <c r="K26" s="90" t="s">
        <v>435</v>
      </c>
    </row>
    <row r="27" spans="1:11" x14ac:dyDescent="0.25">
      <c r="A27" t="s">
        <v>436</v>
      </c>
      <c r="D27">
        <f ca="1">ROUND(D$24*J27*$G$24,0)</f>
        <v>290</v>
      </c>
      <c r="E27" s="670">
        <f ca="1">ROUND(E$24*D27,0)</f>
        <v>44</v>
      </c>
      <c r="F27">
        <f ca="1">D27-E27</f>
        <v>246</v>
      </c>
      <c r="J27" s="251">
        <f>TabsAll!$N$21*TabsAll!$N$55</f>
        <v>0.33220321038023365</v>
      </c>
      <c r="K27" s="90" t="s">
        <v>437</v>
      </c>
    </row>
    <row r="28" spans="1:11" x14ac:dyDescent="0.25">
      <c r="A28" t="s">
        <v>438</v>
      </c>
      <c r="D28">
        <f ca="1">ROUND(D$24*J26*$H$24,0)</f>
        <v>2</v>
      </c>
      <c r="E28" s="670">
        <f ca="1">D28</f>
        <v>2</v>
      </c>
      <c r="J28" s="251"/>
      <c r="K28" s="90"/>
    </row>
    <row r="29" spans="1:11" x14ac:dyDescent="0.25">
      <c r="A29" t="s">
        <v>439</v>
      </c>
      <c r="D29">
        <f ca="1">ROUND(D$24*J27*$H$24,0)</f>
        <v>37</v>
      </c>
      <c r="E29" s="670"/>
      <c r="F29">
        <f ca="1">D29</f>
        <v>37</v>
      </c>
      <c r="J29" s="251"/>
      <c r="K29" s="90"/>
    </row>
    <row r="30" spans="1:11" x14ac:dyDescent="0.25">
      <c r="A30" t="s">
        <v>440</v>
      </c>
      <c r="D30">
        <f>ROUND(D$24*J30,0)</f>
        <v>12</v>
      </c>
      <c r="E30" s="670">
        <f>ROUND($D30*0.8,0)</f>
        <v>10</v>
      </c>
      <c r="F30">
        <f>D30-E30</f>
        <v>2</v>
      </c>
      <c r="J30" s="251">
        <f>TabsAll!$N$21*TabsAll!$N$56</f>
        <v>1.1914924747069535E-2</v>
      </c>
      <c r="K30" s="90" t="s">
        <v>441</v>
      </c>
    </row>
    <row r="31" spans="1:11" x14ac:dyDescent="0.25">
      <c r="C31" s="1" t="s">
        <v>442</v>
      </c>
      <c r="D31">
        <f ca="1">SUM(D25:D30)</f>
        <v>380</v>
      </c>
      <c r="E31" s="670"/>
      <c r="J31" s="251"/>
      <c r="K31" s="90"/>
    </row>
    <row r="33" spans="1:9" x14ac:dyDescent="0.25">
      <c r="A33" s="850" t="s">
        <v>443</v>
      </c>
      <c r="B33" s="850"/>
      <c r="F33" s="848" t="s">
        <v>380</v>
      </c>
      <c r="G33" s="848"/>
      <c r="H33" s="848"/>
    </row>
    <row r="34" spans="1:9" x14ac:dyDescent="0.25">
      <c r="A34" s="1" t="s">
        <v>444</v>
      </c>
      <c r="B34" s="264">
        <f>Lookup!D49</f>
        <v>0.64615384615384608</v>
      </c>
      <c r="G34" s="1" t="s">
        <v>445</v>
      </c>
      <c r="H34" s="467">
        <f>'EFs-BTU'!$D$40/'EFs-BTU'!$D$37</f>
        <v>9.9999999999999982</v>
      </c>
    </row>
    <row r="35" spans="1:9" x14ac:dyDescent="0.25">
      <c r="A35" s="1" t="s">
        <v>446</v>
      </c>
      <c r="B35" s="264">
        <f>1-B34</f>
        <v>0.35384615384615392</v>
      </c>
      <c r="G35" s="1" t="s">
        <v>393</v>
      </c>
      <c r="H35" s="467">
        <f>'EFs-BTU'!$D$40/'EFs-BTU'!$D$38</f>
        <v>1.7499999999999998</v>
      </c>
    </row>
    <row r="36" spans="1:9" x14ac:dyDescent="0.25">
      <c r="A36" s="1" t="s">
        <v>447</v>
      </c>
      <c r="B36" s="459">
        <f>Lookup!$I$49</f>
        <v>0.58352402745995413</v>
      </c>
      <c r="G36" s="1" t="s">
        <v>394</v>
      </c>
      <c r="H36" s="467">
        <f>'EFs-BTU'!$D$43/'EFs-BTU'!$D$41</f>
        <v>1.3333333333333333</v>
      </c>
    </row>
    <row r="37" spans="1:9" x14ac:dyDescent="0.25">
      <c r="G37" s="1" t="s">
        <v>448</v>
      </c>
      <c r="H37" s="467">
        <f>0.85/'EFs-BTU'!$D$41</f>
        <v>1.574074074074074</v>
      </c>
      <c r="I37" t="s">
        <v>449</v>
      </c>
    </row>
    <row r="39" spans="1:9" x14ac:dyDescent="0.25">
      <c r="A39" t="str">
        <f>$B$4&amp;" Projected Device Counts in Fairbanks Nonattainment Area:"</f>
        <v>2020 Projected Device Counts in Fairbanks Nonattainment Area:</v>
      </c>
    </row>
    <row r="41" spans="1:9" x14ac:dyDescent="0.25">
      <c r="B41" s="812">
        <f>$E$4</f>
        <v>2029</v>
      </c>
      <c r="C41" s="845" t="s">
        <v>450</v>
      </c>
      <c r="D41" s="845"/>
      <c r="G41" s="812" t="s">
        <v>451</v>
      </c>
      <c r="H41" s="812" t="s">
        <v>341</v>
      </c>
    </row>
    <row r="42" spans="1:9" x14ac:dyDescent="0.25">
      <c r="B42" s="812" t="s">
        <v>101</v>
      </c>
      <c r="C42" s="845" t="s">
        <v>452</v>
      </c>
      <c r="D42" s="845"/>
      <c r="E42" s="849" t="s">
        <v>453</v>
      </c>
      <c r="F42" s="849"/>
      <c r="G42" s="812" t="s">
        <v>454</v>
      </c>
      <c r="H42" s="812" t="s">
        <v>455</v>
      </c>
    </row>
    <row r="43" spans="1:9" x14ac:dyDescent="0.25">
      <c r="A43" s="3" t="s">
        <v>356</v>
      </c>
      <c r="B43" s="813" t="s">
        <v>36</v>
      </c>
      <c r="C43" s="813" t="s">
        <v>456</v>
      </c>
      <c r="D43" s="813" t="s">
        <v>457</v>
      </c>
      <c r="E43" s="813" t="s">
        <v>458</v>
      </c>
      <c r="F43" s="813" t="s">
        <v>36</v>
      </c>
      <c r="G43" s="813" t="s">
        <v>36</v>
      </c>
      <c r="H43" s="813" t="s">
        <v>36</v>
      </c>
    </row>
    <row r="44" spans="1:9" x14ac:dyDescent="0.25">
      <c r="A44" t="s">
        <v>342</v>
      </c>
      <c r="B44" s="45">
        <f ca="1">ROUND(OFFSET(Devices!$B$51,0,MATCH($E$4,Devices!$C$49:$AA$49,0)),0)</f>
        <v>897</v>
      </c>
      <c r="C44" s="45">
        <f ca="1">INDIRECT("'DevSumOut-"&amp;$E$4&amp;"BSR'!U50")</f>
        <v>656.80787728654434</v>
      </c>
      <c r="D44" s="5">
        <f t="shared" ref="D44:D50" ca="1" si="0">C44/B44</f>
        <v>0.73222728794486547</v>
      </c>
      <c r="E44" s="672">
        <f>$B$6</f>
        <v>2.5000000000000001E-2</v>
      </c>
      <c r="F44">
        <f ca="1">ROUND(B44*E44,0)</f>
        <v>22</v>
      </c>
      <c r="G44">
        <f>D25</f>
        <v>21</v>
      </c>
      <c r="H44">
        <f ca="1">F44+G44</f>
        <v>43</v>
      </c>
    </row>
    <row r="45" spans="1:9" x14ac:dyDescent="0.25">
      <c r="A45" t="s">
        <v>364</v>
      </c>
      <c r="B45" s="45">
        <f ca="1">ROUND(OFFSET(Devices!$B$53,0,MATCH($E$4,Devices!$C$49:$AA$49,0)),0)</f>
        <v>111</v>
      </c>
      <c r="C45" s="45">
        <f ca="1">INDIRECT("'DevSumOut-"&amp;$E$4&amp;"BSR'!U51")</f>
        <v>57.950279135419493</v>
      </c>
      <c r="D45" s="5">
        <f t="shared" ca="1" si="0"/>
        <v>0.52207458680558105</v>
      </c>
      <c r="E45" s="672">
        <f>$B$7</f>
        <v>0.05</v>
      </c>
      <c r="F45">
        <f t="shared" ref="F45:F54" ca="1" si="1">ROUND(B45*E45,0)</f>
        <v>6</v>
      </c>
      <c r="G45">
        <f ca="1">E26</f>
        <v>3</v>
      </c>
      <c r="H45">
        <f t="shared" ref="H45:H54" ca="1" si="2">F45+G45</f>
        <v>9</v>
      </c>
    </row>
    <row r="46" spans="1:9" x14ac:dyDescent="0.25">
      <c r="A46" t="s">
        <v>365</v>
      </c>
      <c r="B46" s="45">
        <f ca="1">ROUND(OFFSET(Devices!$B$59,0,MATCH($E$4,Devices!$C$49:$AA$49,0)),0)</f>
        <v>1631</v>
      </c>
      <c r="C46" s="45">
        <f ca="1">INDIRECT("'DevSumOut-"&amp;$E$4&amp;"BSR'!U54")</f>
        <v>1176.0557528649106</v>
      </c>
      <c r="D46" s="5">
        <f t="shared" ca="1" si="0"/>
        <v>0.72106422615874344</v>
      </c>
      <c r="E46" s="672">
        <f t="shared" ref="E46:E50" si="3">$B$7</f>
        <v>0.05</v>
      </c>
      <c r="F46">
        <f ca="1">ROUND(B46*E46,0)</f>
        <v>82</v>
      </c>
      <c r="G46">
        <f ca="1">E27</f>
        <v>44</v>
      </c>
      <c r="H46">
        <f ca="1">F46+G46</f>
        <v>126</v>
      </c>
    </row>
    <row r="47" spans="1:9" x14ac:dyDescent="0.25">
      <c r="A47" t="s">
        <v>459</v>
      </c>
      <c r="B47" s="45">
        <f ca="1">ROUND(OFFSET(Devices!$B$54,0,MATCH($E$4,Devices!$C$49:$AA$49,0))+OFFSET(Devices!$B$55,0,MATCH($E$4,Devices!$C$49:$AA$49,0)),0)*$B34</f>
        <v>431.6307692307692</v>
      </c>
      <c r="C47" s="45">
        <f ca="1">INDIRECT("'DevSumOut-"&amp;$E$4&amp;"BSR'!U52")+INDIRECT("'DevSumOut-"&amp;$E$4&amp;"BSR'!U53")*$B34</f>
        <v>169.47503890291344</v>
      </c>
      <c r="D47" s="5">
        <f t="shared" ca="1" si="0"/>
        <v>0.39263891961396402</v>
      </c>
      <c r="E47" s="672">
        <f t="shared" si="3"/>
        <v>0.05</v>
      </c>
      <c r="F47">
        <f ca="1">ROUND(B47*E47,0)</f>
        <v>22</v>
      </c>
      <c r="G47">
        <f ca="1">ROUND(F$26*$B34,0)</f>
        <v>10</v>
      </c>
      <c r="H47">
        <f ca="1">F47+G47</f>
        <v>32</v>
      </c>
    </row>
    <row r="48" spans="1:9" x14ac:dyDescent="0.25">
      <c r="A48" t="s">
        <v>460</v>
      </c>
      <c r="B48" s="45">
        <f ca="1">ROUND(OFFSET(Devices!$B$54,0,MATCH($E$4,Devices!$C$49:$AA$49,0))+OFFSET(Devices!$B$55,0,MATCH($E$4,Devices!$C$49:$AA$49,0)),0)*$B35</f>
        <v>236.36923076923082</v>
      </c>
      <c r="C48" s="45">
        <f ca="1">INDIRECT("'DevSumOut-"&amp;$E$4&amp;"BSR'!U52")+INDIRECT("'DevSumOut-"&amp;$E$4&amp;"BSR'!U53")*$B35</f>
        <v>148.00251633552995</v>
      </c>
      <c r="D48" s="5">
        <f t="shared" ca="1" si="0"/>
        <v>0.62614967207819872</v>
      </c>
      <c r="E48" s="672">
        <f t="shared" si="3"/>
        <v>0.05</v>
      </c>
      <c r="F48">
        <f ca="1">ROUND(B48*E48,0)</f>
        <v>12</v>
      </c>
      <c r="G48">
        <f ca="1">ROUND(F$26*$B35,0)</f>
        <v>5</v>
      </c>
      <c r="H48">
        <f ca="1">F48+G48</f>
        <v>17</v>
      </c>
    </row>
    <row r="49" spans="1:8" x14ac:dyDescent="0.25">
      <c r="A49" t="s">
        <v>461</v>
      </c>
      <c r="B49" s="45">
        <f ca="1">ROUND(OFFSET(Devices!$B$60,0,MATCH($E$4,Devices!$C$49:$AA$49,0))+OFFSET(Devices!$B$61,0,MATCH($E$4,Devices!$C$49:$AA$49,0)),0)*$B34</f>
        <v>6350.4</v>
      </c>
      <c r="C49" s="45">
        <f ca="1">(INDIRECT("'DevSumOut-"&amp;$E$4&amp;"BSR'!U55")+INDIRECT("'DevSumOut-"&amp;$E$4&amp;"BSR'!U56"))*$B34</f>
        <v>2563.2099906488461</v>
      </c>
      <c r="D49" s="5">
        <f t="shared" ca="1" si="0"/>
        <v>0.40362969114525798</v>
      </c>
      <c r="E49" s="672">
        <f t="shared" si="3"/>
        <v>0.05</v>
      </c>
      <c r="F49">
        <f t="shared" ca="1" si="1"/>
        <v>318</v>
      </c>
      <c r="G49">
        <f ca="1">ROUND(F$27*$B34,0)</f>
        <v>159</v>
      </c>
      <c r="H49">
        <f t="shared" ca="1" si="2"/>
        <v>477</v>
      </c>
    </row>
    <row r="50" spans="1:8" x14ac:dyDescent="0.25">
      <c r="A50" t="s">
        <v>462</v>
      </c>
      <c r="B50" s="45">
        <f ca="1">ROUND(OFFSET(Devices!$B$60,0,MATCH($E$4,Devices!$C$49:$AA$49,0))+OFFSET(Devices!$B$61,0,MATCH($E$4,Devices!$C$49:$AA$49,0)),0)*$B35</f>
        <v>3477.6000000000008</v>
      </c>
      <c r="C50" s="45">
        <f ca="1">(INDIRECT("'DevSumOut-"&amp;$E$4&amp;"BSR'!U55")+INDIRECT("'DevSumOut-"&amp;$E$4&amp;"BSR'!U56"))*$B35</f>
        <v>1403.6626139267496</v>
      </c>
      <c r="D50" s="5">
        <f t="shared" ca="1" si="0"/>
        <v>0.40362969114525804</v>
      </c>
      <c r="E50" s="672">
        <f t="shared" si="3"/>
        <v>0.05</v>
      </c>
      <c r="F50">
        <f t="shared" ref="F50" ca="1" si="4">ROUND(B50*E50,0)</f>
        <v>174</v>
      </c>
      <c r="G50">
        <f ca="1">ROUND(F$27*$B35,0)</f>
        <v>87</v>
      </c>
      <c r="H50">
        <f t="shared" ref="H50" ca="1" si="5">F50+G50</f>
        <v>261</v>
      </c>
    </row>
    <row r="51" spans="1:8" x14ac:dyDescent="0.25">
      <c r="A51" t="s">
        <v>463</v>
      </c>
      <c r="B51" s="45">
        <f ca="1">ROUND(OFFSET(Devices!$B$56,0,MATCH($E$4,Devices!$C$49:$AA$49,0)),0)+ROUND(OFFSET(Devices!$B$62,0,MATCH($E$4,Devices!$C$49:$AA$49,0)),0)</f>
        <v>164</v>
      </c>
      <c r="C51" s="45">
        <f ca="1">INDIRECT("'DevSumOut-"&amp;$E$4&amp;"BSR'!U57")</f>
        <v>156.12192092079189</v>
      </c>
      <c r="D51" s="5">
        <f t="shared" ref="D51:D52" ca="1" si="6">C51/B51</f>
        <v>0.95196293244385299</v>
      </c>
      <c r="E51" s="672">
        <f>$B$8</f>
        <v>0.05</v>
      </c>
      <c r="F51">
        <f t="shared" ca="1" si="1"/>
        <v>8</v>
      </c>
      <c r="G51">
        <f ca="1">D28</f>
        <v>2</v>
      </c>
      <c r="H51">
        <f t="shared" ca="1" si="2"/>
        <v>10</v>
      </c>
    </row>
    <row r="52" spans="1:8" x14ac:dyDescent="0.25">
      <c r="A52" t="s">
        <v>464</v>
      </c>
      <c r="B52" s="45">
        <f ca="1">ROUND(OFFSET(Devices!$B$57,0,MATCH($E$4,Devices!$C$49:$AA$49,0)),0)+ROUND(OFFSET(Devices!$B$63,0,MATCH($E$4,Devices!$C$49:$AA$49,0)),0)</f>
        <v>989</v>
      </c>
      <c r="C52" s="45">
        <f ca="1">INDIRECT("'DevSumOut-"&amp;$E$4&amp;"BSR'!U58")</f>
        <v>526.60409131602216</v>
      </c>
      <c r="D52" s="5">
        <f t="shared" ca="1" si="6"/>
        <v>0.53246116412135713</v>
      </c>
      <c r="E52" s="672">
        <f>$B$8</f>
        <v>0.05</v>
      </c>
      <c r="F52">
        <f t="shared" ca="1" si="1"/>
        <v>49</v>
      </c>
      <c r="G52">
        <f ca="1">D29</f>
        <v>37</v>
      </c>
      <c r="H52">
        <f t="shared" ca="1" si="2"/>
        <v>86</v>
      </c>
    </row>
    <row r="53" spans="1:8" x14ac:dyDescent="0.25">
      <c r="A53" t="s">
        <v>368</v>
      </c>
      <c r="B53" s="45">
        <f ca="1">ROUND(OFFSET(Devices!$B$70,0,MATCH($E$4,Devices!$C$49:$AA$49,0)),0)</f>
        <v>389</v>
      </c>
      <c r="C53" s="45">
        <f ca="1">INDIRECT("'DevSumOut-"&amp;$E$4&amp;"BSR'!U59")*0.8</f>
        <v>656.82071890003238</v>
      </c>
      <c r="D53" s="5">
        <f ca="1">C53/B53</f>
        <v>1.6884851385604946</v>
      </c>
      <c r="E53" s="672">
        <f>$B$9</f>
        <v>3.3333333333333333E-2</v>
      </c>
      <c r="F53">
        <f t="shared" ca="1" si="1"/>
        <v>13</v>
      </c>
      <c r="G53">
        <f>E30</f>
        <v>10</v>
      </c>
      <c r="H53">
        <f t="shared" ca="1" si="2"/>
        <v>23</v>
      </c>
    </row>
    <row r="54" spans="1:8" x14ac:dyDescent="0.25">
      <c r="A54" s="3" t="s">
        <v>465</v>
      </c>
      <c r="B54" s="88">
        <f ca="1">ROUND(OFFSET(Devices!$B$71,0,MATCH($E$4,Devices!$C$49:$AA$49,0)),0)</f>
        <v>97</v>
      </c>
      <c r="C54" s="88">
        <f ca="1">INDIRECT("'DevSumOut-"&amp;$E$4&amp;"BSR'!U59")*0.2</f>
        <v>164.20517972500809</v>
      </c>
      <c r="D54" s="360">
        <f ca="1">C54/B54</f>
        <v>1.6928369043815268</v>
      </c>
      <c r="E54" s="673">
        <f>$B$9</f>
        <v>3.3333333333333333E-2</v>
      </c>
      <c r="F54" s="3">
        <f t="shared" ca="1" si="1"/>
        <v>3</v>
      </c>
      <c r="G54" s="3">
        <f>F30</f>
        <v>2</v>
      </c>
      <c r="H54" s="3">
        <f t="shared" ca="1" si="2"/>
        <v>5</v>
      </c>
    </row>
    <row r="55" spans="1:8" x14ac:dyDescent="0.25">
      <c r="A55" t="s">
        <v>466</v>
      </c>
      <c r="B55" s="45">
        <f ca="1">SUM(B44:B54)</f>
        <v>14774</v>
      </c>
      <c r="C55" s="45">
        <f ca="1">SUM(C44:C54)</f>
        <v>7678.9159799627687</v>
      </c>
      <c r="D55" s="5">
        <f ca="1">C55/B55</f>
        <v>0.51975876404242372</v>
      </c>
      <c r="E55" s="670"/>
      <c r="F55" s="45">
        <f ca="1">SUM(F44:F54)</f>
        <v>709</v>
      </c>
      <c r="G55" s="45">
        <f ca="1">SUM(G44:G54)</f>
        <v>380</v>
      </c>
      <c r="H55" s="45">
        <f ca="1">SUM(H44:H54)</f>
        <v>1089</v>
      </c>
    </row>
    <row r="56" spans="1:8" x14ac:dyDescent="0.25">
      <c r="C56" s="1"/>
      <c r="E56" s="670"/>
    </row>
    <row r="57" spans="1:8" ht="15.75" thickBot="1" x14ac:dyDescent="0.3"/>
    <row r="58" spans="1:8" ht="16.5" thickBot="1" x14ac:dyDescent="0.3">
      <c r="A58" s="270" t="s">
        <v>235</v>
      </c>
      <c r="B58" s="667"/>
      <c r="C58" s="668"/>
    </row>
    <row r="59" spans="1:8" ht="15.75" x14ac:dyDescent="0.25">
      <c r="A59" s="807"/>
      <c r="B59" s="807"/>
      <c r="C59" s="807"/>
    </row>
    <row r="60" spans="1:8" x14ac:dyDescent="0.25">
      <c r="B60" s="841" t="str">
        <f>$E$4&amp;" Space Heating Emission Factors (lb/mmBTU)"</f>
        <v>2029 Space Heating Emission Factors (lb/mmBTU)</v>
      </c>
      <c r="C60" s="841"/>
      <c r="D60" s="841"/>
      <c r="E60" s="841"/>
      <c r="F60" s="841"/>
      <c r="G60" s="841"/>
      <c r="H60" s="841"/>
    </row>
    <row r="61" spans="1:8" x14ac:dyDescent="0.25">
      <c r="A61" s="3" t="s">
        <v>372</v>
      </c>
      <c r="B61" s="813" t="s">
        <v>201</v>
      </c>
      <c r="C61" s="813" t="s">
        <v>202</v>
      </c>
      <c r="D61" s="813" t="s">
        <v>132</v>
      </c>
      <c r="E61" s="813" t="s">
        <v>203</v>
      </c>
      <c r="F61" s="813" t="s">
        <v>204</v>
      </c>
      <c r="G61" s="813" t="s">
        <v>205</v>
      </c>
      <c r="H61" s="813" t="s">
        <v>206</v>
      </c>
    </row>
    <row r="62" spans="1:8" x14ac:dyDescent="0.25">
      <c r="A62" t="s">
        <v>342</v>
      </c>
      <c r="B62" s="5">
        <f ca="1">INDIRECT("'DevSumOut-"&amp;$E$4&amp;"BSR'!Y50")</f>
        <v>14.260810498505007</v>
      </c>
      <c r="C62" s="5">
        <f ca="1">INDIRECT("'DevSumOut-"&amp;$E$4&amp;"BSR'!Z50")</f>
        <v>0.16191313229743687</v>
      </c>
      <c r="D62" s="5">
        <f ca="1">INDIRECT("'DevSumOut-"&amp;$E$4&amp;"BSR'!AA50")</f>
        <v>2.4909712661144136E-2</v>
      </c>
      <c r="E62" s="5">
        <f ca="1">INDIRECT("'DevSumOut-"&amp;$E$4&amp;"BSR'!AB50")</f>
        <v>2.1546901451889671</v>
      </c>
      <c r="F62" s="5">
        <f ca="1">INDIRECT("'DevSumOut-"&amp;$E$4&amp;"BSR'!AC50")</f>
        <v>2.1546901451889671</v>
      </c>
      <c r="G62" s="5">
        <f ca="1">INDIRECT("'DevSumOut-"&amp;$E$4&amp;"BSR'!AD50")</f>
        <v>0.11209370697514855</v>
      </c>
      <c r="H62" s="5">
        <f ca="1">INDIRECT("'DevSumOut-"&amp;$E$4&amp;"BSR'!AE50")</f>
        <v>15.730483545512513</v>
      </c>
    </row>
    <row r="63" spans="1:8" x14ac:dyDescent="0.25">
      <c r="A63" t="s">
        <v>364</v>
      </c>
      <c r="B63" s="5">
        <f ca="1">INDIRECT("'DevSumOut-"&amp;$E$4&amp;"BSR'!Y51")</f>
        <v>3.3011250634997595</v>
      </c>
      <c r="C63" s="5">
        <f ca="1">INDIRECT("'DevSumOut-"&amp;$E$4&amp;"BSR'!z51")</f>
        <v>0.17439905995847779</v>
      </c>
      <c r="D63" s="5">
        <f ca="1">INDIRECT("'DevSumOut-"&amp;$E$4&amp;"BSR'!aa51")</f>
        <v>2.4914151422639693E-2</v>
      </c>
      <c r="E63" s="5">
        <f ca="1">INDIRECT("'DevSumOut-"&amp;$E$4&amp;"BSR'!ab51")</f>
        <v>1.905932583831937</v>
      </c>
      <c r="F63" s="5">
        <f ca="1">INDIRECT("'DevSumOut-"&amp;$E$4&amp;"BSR'!ac51")</f>
        <v>1.905932583831937</v>
      </c>
      <c r="G63" s="5">
        <f ca="1">INDIRECT("'DevSumOut-"&amp;$E$4&amp;"BSR'!ad51")</f>
        <v>0.10588514354621871</v>
      </c>
      <c r="H63" s="5">
        <f ca="1">INDIRECT("'DevSumOut-"&amp;$E$4&amp;"BSR'!ae51")</f>
        <v>14.375465370863106</v>
      </c>
    </row>
    <row r="64" spans="1:8" x14ac:dyDescent="0.25">
      <c r="A64" t="s">
        <v>365</v>
      </c>
      <c r="B64" s="5">
        <f ca="1">INDIRECT("'DevSumOut-"&amp;$E$4&amp;"BSR'!Y54")</f>
        <v>3.3011250634997595</v>
      </c>
      <c r="C64" s="5">
        <f ca="1">INDIRECT("'DevSumOut-"&amp;$E$4&amp;"BSR'!z54")</f>
        <v>9.0447253632062061E-2</v>
      </c>
      <c r="D64" s="5">
        <f ca="1">INDIRECT("'DevSumOut-"&amp;$E$4&amp;"BSR'!aa54")</f>
        <v>2.4914151422639703E-2</v>
      </c>
      <c r="E64" s="5">
        <f ca="1">INDIRECT("'DevSumOut-"&amp;$E$4&amp;"BSR'!ab54")</f>
        <v>0.75627089671330672</v>
      </c>
      <c r="F64" s="5">
        <f ca="1">INDIRECT("'DevSumOut-"&amp;$E$4&amp;"BSR'!ac54")</f>
        <v>0.75627089671330672</v>
      </c>
      <c r="G64" s="5">
        <f ca="1">INDIRECT("'DevSumOut-"&amp;$E$4&amp;"BSR'!ad54")</f>
        <v>2.4729073237685525E-2</v>
      </c>
      <c r="H64" s="5">
        <f ca="1">INDIRECT("'DevSumOut-"&amp;$E$4&amp;"BSR'!ae54")</f>
        <v>7.5471592881478422</v>
      </c>
    </row>
    <row r="65" spans="1:8" x14ac:dyDescent="0.25">
      <c r="A65" t="s">
        <v>366</v>
      </c>
      <c r="B65" s="5">
        <f ca="1">SUMPRODUCT(INDIRECT("'DevSumOut-"&amp;$E$4&amp;"BSR'!Y52:Y53"),INDIRECT("'DevSumOut-"&amp;$E$4&amp;"BSR'!U52:U53"))/SUM(INDIRECT("'DevSumOut-"&amp;$E$4&amp;"BSR'!U52:U53"))</f>
        <v>0.81764672331517796</v>
      </c>
      <c r="C65" s="5">
        <f ca="1">SUMPRODUCT(INDIRECT("'DevSumOut-"&amp;$E$4&amp;"BSR'!Z52:Z53"),INDIRECT("'DevSumOut-"&amp;$E$4&amp;"BSR'!U52:U53"))/SUM(INDIRECT("'DevSumOut-"&amp;$E$4&amp;"BSR'!U52:U53"))</f>
        <v>0.12457075711319857</v>
      </c>
      <c r="D65" s="5">
        <f ca="1">SUMPRODUCT(INDIRECT("'DevSumOut-"&amp;$E$4&amp;"BSR'!AA52:AA53"),INDIRECT("'DevSumOut-"&amp;$E$4&amp;"BSR'!U52:U53"))/SUM(INDIRECT("'DevSumOut-"&amp;$E$4&amp;"BSR'!U52:U53"))</f>
        <v>2.4914151422639714E-2</v>
      </c>
      <c r="E65" s="5">
        <f ca="1">SUMPRODUCT(INDIRECT("'DevSumOut-"&amp;$E$4&amp;"BSR'!AB52:AB53"),INDIRECT("'DevSumOut-"&amp;$E$4&amp;"BSR'!U52:U53"))/SUM(INDIRECT("'DevSumOut-"&amp;$E$4&amp;"BSR'!U52:U53"))</f>
        <v>0.77083193622452018</v>
      </c>
      <c r="F65" s="5">
        <f ca="1">SUMPRODUCT(INDIRECT("'DevSumOut-"&amp;$E$4&amp;"BSR'!AC52:AC53"),INDIRECT("'DevSumOut-"&amp;$E$4&amp;"BSR'!U52:U53"))/SUM(INDIRECT("'DevSumOut-"&amp;$E$4&amp;"BSR'!U52:U53"))</f>
        <v>0.77083193622452018</v>
      </c>
      <c r="G65" s="5">
        <f ca="1">SUMPRODUCT(INDIRECT("'DevSumOut-"&amp;$E$4&amp;"BSR'!AD52:AD53"),INDIRECT("'DevSumOut-"&amp;$E$4&amp;"BSR'!U52:U53"))/SUM(INDIRECT("'DevSumOut-"&amp;$E$4&amp;"BSR'!U52:U53"))</f>
        <v>5.6056840700939352E-2</v>
      </c>
      <c r="H65" s="5">
        <f ca="1">SUMPRODUCT(INDIRECT("'DevSumOut-"&amp;$E$4&amp;"BSR'!AE52:AE53"),INDIRECT("'DevSumOut-"&amp;$E$4&amp;"BSR'!U52:U53"))/SUM(INDIRECT("'DevSumOut-"&amp;$E$4&amp;"BSR'!U52:U53"))</f>
        <v>7.9786113989370611</v>
      </c>
    </row>
    <row r="66" spans="1:8" x14ac:dyDescent="0.25">
      <c r="A66" t="s">
        <v>367</v>
      </c>
      <c r="B66" s="5">
        <f ca="1">SUMPRODUCT(INDIRECT("'DevSumOut-"&amp;$E$4&amp;"BSR'!Y55:Y56"),INDIRECT("'DevSumOut-"&amp;$E$4&amp;"BSR'!U55:U56"))/SUM(INDIRECT("'DevSumOut-"&amp;$E$4&amp;"BSR'!U55:U56"))</f>
        <v>0.81764672331517774</v>
      </c>
      <c r="C66" s="5">
        <f ca="1">SUMPRODUCT(INDIRECT("'DevSumOut-"&amp;$E$4&amp;"BSR'!Z55:Z56"),INDIRECT("'DevSumOut-"&amp;$E$4&amp;"BSR'!U55:U56"))/SUM(INDIRECT("'DevSumOut-"&amp;$E$4&amp;"BSR'!U55:U56"))</f>
        <v>0.10020718577991738</v>
      </c>
      <c r="D66" s="5">
        <f ca="1">SUMPRODUCT(INDIRECT("'DevSumOut-"&amp;$E$4&amp;"BSR'!AA55:AA56"),INDIRECT("'DevSumOut-"&amp;$E$4&amp;"BSR'!U55:U56"))/SUM(INDIRECT("'DevSumOut-"&amp;$E$4&amp;"BSR'!U55:U56"))</f>
        <v>2.4914151422639703E-2</v>
      </c>
      <c r="E66" s="5">
        <f ca="1">SUMPRODUCT(INDIRECT("'DevSumOut-"&amp;$E$4&amp;"BSR'!AB55:AB56"),INDIRECT("'DevSumOut-"&amp;$E$4&amp;"BSR'!U55:U56"))/SUM(INDIRECT("'DevSumOut-"&amp;$E$4&amp;"BSR'!U55:U56"))</f>
        <v>0.51394890926925196</v>
      </c>
      <c r="F66" s="5">
        <f ca="1">SUMPRODUCT(INDIRECT("'DevSumOut-"&amp;$E$4&amp;"BSR'!AC55:AC56"),INDIRECT("'DevSumOut-"&amp;$E$4&amp;"BSR'!U55:U56"))/SUM(INDIRECT("'DevSumOut-"&amp;$E$4&amp;"BSR'!U55:U56"))</f>
        <v>0.51394890926925196</v>
      </c>
      <c r="G66" s="5">
        <f ca="1">SUMPRODUCT(INDIRECT("'DevSumOut-"&amp;$E$4&amp;"BSR'!AD55:AD56"),INDIRECT("'DevSumOut-"&amp;$E$4&amp;"BSR'!U55:U56"))/SUM(INDIRECT("'DevSumOut-"&amp;$E$4&amp;"BSR'!U55:U56"))</f>
        <v>1.55552585915618E-2</v>
      </c>
      <c r="H66" s="5">
        <f ca="1">SUMPRODUCT(INDIRECT("'DevSumOut-"&amp;$E$4&amp;"BSR'!AE55:AE56"),INDIRECT("'DevSumOut-"&amp;$E$4&amp;"BSR'!U55:U56"))/SUM(INDIRECT("'DevSumOut-"&amp;$E$4&amp;"BSR'!U55:U56"))</f>
        <v>7.701023281928328</v>
      </c>
    </row>
    <row r="67" spans="1:8" x14ac:dyDescent="0.25">
      <c r="A67" t="s">
        <v>463</v>
      </c>
      <c r="B67" s="5">
        <f ca="1">INDIRECT("'DevSumOut-"&amp;$E$4&amp;"BSR'!Y57")</f>
        <v>0.14948490853583815</v>
      </c>
      <c r="C67" s="5">
        <f ca="1">INDIRECT("'DevSumOut-"&amp;$E$4&amp;"BSR'!Z57")</f>
        <v>0.26104721656655117</v>
      </c>
      <c r="D67" s="5">
        <f ca="1">INDIRECT("'DevSumOut-"&amp;$E$4&amp;"BSR'!AA57")</f>
        <v>2.0862914410913185E-2</v>
      </c>
      <c r="E67" s="5">
        <f ca="1">INDIRECT("'DevSumOut-"&amp;$E$4&amp;"BSR'!AB57")</f>
        <v>0.19298195830094694</v>
      </c>
      <c r="F67" s="5">
        <f ca="1">INDIRECT("'DevSumOut-"&amp;$E$4&amp;"BSR'!AC57")</f>
        <v>0.19298195830094694</v>
      </c>
      <c r="G67" s="5">
        <f ca="1">INDIRECT("'DevSumOut-"&amp;$E$4&amp;"BSR'!AD57")</f>
        <v>4.6863321495513718E-3</v>
      </c>
      <c r="H67" s="5">
        <f ca="1">INDIRECT("'DevSumOut-"&amp;$E$4&amp;"BSR'!AE57")</f>
        <v>0.64753270602871804</v>
      </c>
    </row>
    <row r="68" spans="1:8" x14ac:dyDescent="0.25">
      <c r="A68" t="s">
        <v>464</v>
      </c>
      <c r="B68" s="5">
        <f ca="1">INDIRECT("'DevSumOut-"&amp;$E$4&amp;"BSR'!Y58")</f>
        <v>0.14948490853583829</v>
      </c>
      <c r="C68" s="5">
        <f ca="1">INDIRECT("'DevSumOut-"&amp;$E$4&amp;"BSR'!Z58")</f>
        <v>0.26104721656655133</v>
      </c>
      <c r="D68" s="5">
        <f ca="1">INDIRECT("'DevSumOut-"&amp;$E$4&amp;"BSR'!AA58")</f>
        <v>2.0862914410913196E-2</v>
      </c>
      <c r="E68" s="5">
        <f ca="1">INDIRECT("'DevSumOut-"&amp;$E$4&amp;"BSR'!AB58")</f>
        <v>0.19298195830094703</v>
      </c>
      <c r="F68" s="5">
        <f ca="1">INDIRECT("'DevSumOut-"&amp;$E$4&amp;"BSR'!AC58")</f>
        <v>0.19298195830094703</v>
      </c>
      <c r="G68" s="5">
        <f ca="1">INDIRECT("'DevSumOut-"&amp;$E$4&amp;"BSR'!AD58")</f>
        <v>4.6863321495513779E-3</v>
      </c>
      <c r="H68" s="5">
        <f ca="1">INDIRECT("'DevSumOut-"&amp;$E$4&amp;"BSR'!AE58")</f>
        <v>0.64753270602871826</v>
      </c>
    </row>
    <row r="69" spans="1:8" x14ac:dyDescent="0.25">
      <c r="A69" t="s">
        <v>368</v>
      </c>
      <c r="B69" s="5">
        <f>'EFs-BTU'!H47*'EFs-BTU'!$C$4/'EFs-BTU'!$C$6</f>
        <v>4.1811565060035498</v>
      </c>
      <c r="C69" s="5">
        <f>'EFs-BTU'!I47*'EFs-BTU'!$C$4/'EFs-BTU'!$C$6</f>
        <v>0.11643366199974399</v>
      </c>
      <c r="D69" s="5">
        <f>'EFs-BTU'!J47*'EFs-BTU'!$C$4/'EFs-BTU'!$C$6</f>
        <v>3.1555898158517351E-2</v>
      </c>
      <c r="E69" s="5">
        <f>'EFs-BTU'!K47*'EFs-BTU'!$C$4/'EFs-BTU'!$C$6</f>
        <v>0.87141539194556972</v>
      </c>
      <c r="F69" s="5">
        <f>'EFs-BTU'!L47*'EFs-BTU'!$C$4/'EFs-BTU'!$C$6</f>
        <v>0.87141539194556972</v>
      </c>
      <c r="G69" s="5">
        <f>'EFs-BTU'!M47*'EFs-BTU'!$C$4/'EFs-BTU'!$C$6</f>
        <v>2.1560871736264649E-2</v>
      </c>
      <c r="H69" s="5">
        <f>'EFs-BTU'!N47*'EFs-BTU'!$C$4/'EFs-BTU'!$C$6</f>
        <v>4.3625463570542369</v>
      </c>
    </row>
    <row r="70" spans="1:8" x14ac:dyDescent="0.25">
      <c r="A70" t="s">
        <v>465</v>
      </c>
      <c r="B70" s="5">
        <f>'EFs-BTU'!H49*'EFs-BTU'!$C$4/'EFs-BTU'!$C$6</f>
        <v>1.183346180944401</v>
      </c>
      <c r="C70" s="5">
        <f>'EFs-BTU'!I49*'EFs-BTU'!$C$4/'EFs-BTU'!$C$6</f>
        <v>0.17040603184586645</v>
      </c>
      <c r="D70" s="5">
        <f>'EFs-BTU'!J49*'EFs-BTU'!$C$4/'EFs-BTU'!$C$6</f>
        <v>3.1555898158517351E-2</v>
      </c>
      <c r="E70" s="5">
        <f>'EFs-BTU'!K49*'EFs-BTU'!$C$4/'EFs-BTU'!$C$6</f>
        <v>0.40760735501342799</v>
      </c>
      <c r="F70" s="5">
        <f>'EFs-BTU'!L49*'EFs-BTU'!$C$4/'EFs-BTU'!$C$6</f>
        <v>0.40760735501342799</v>
      </c>
      <c r="G70" s="5">
        <f>'EFs-BTU'!M49*'EFs-BTU'!$C$4/'EFs-BTU'!$C$6</f>
        <v>9.9067705178080036E-3</v>
      </c>
      <c r="H70" s="5">
        <f>'EFs-BTU'!N49*'EFs-BTU'!$C$4/'EFs-BTU'!$C$6</f>
        <v>6.4418368600000191</v>
      </c>
    </row>
    <row r="71" spans="1:8" x14ac:dyDescent="0.25">
      <c r="A71" t="s">
        <v>467</v>
      </c>
      <c r="B71" s="5">
        <f ca="1">INDIRECT("'DevSumOut-"&amp;$E$4&amp;"BSR'!Y60")</f>
        <v>5.3125436895281979E-3</v>
      </c>
      <c r="C71" s="5">
        <f ca="1">INDIRECT("'DevSumOut-"&amp;$E$4&amp;"BSR'!z60")</f>
        <v>8.3237866177467534E-2</v>
      </c>
      <c r="D71" s="5">
        <f ca="1">INDIRECT("'DevSumOut-"&amp;$E$4&amp;"BSR'!aa60")</f>
        <v>0.215352332093835</v>
      </c>
      <c r="E71" s="5">
        <f ca="1">INDIRECT("'DevSumOut-"&amp;$E$4&amp;"BSR'!ab60")</f>
        <v>3.4020926230572575E-3</v>
      </c>
      <c r="F71" s="5">
        <f ca="1">INDIRECT("'DevSumOut-"&amp;$E$4&amp;"BSR'!ac60")</f>
        <v>3.4020926230572575E-3</v>
      </c>
      <c r="G71" s="5">
        <f ca="1">INDIRECT("'DevSumOut-"&amp;$E$4&amp;"BSR'!ad60")</f>
        <v>1.8252226922702187E-4</v>
      </c>
      <c r="H71" s="5">
        <f ca="1">INDIRECT("'DevSumOut-"&amp;$E$4&amp;"BSR'!ae60")</f>
        <v>3.3368858477819939E-3</v>
      </c>
    </row>
    <row r="73" spans="1:8" x14ac:dyDescent="0.25">
      <c r="B73" s="845" t="str">
        <f>$E$4&amp;" Baseline Emissions in Affected Residences (tons/episodic day)"</f>
        <v>2029 Baseline Emissions in Affected Residences (tons/episodic day)</v>
      </c>
      <c r="C73" s="845"/>
      <c r="D73" s="845"/>
      <c r="E73" s="845"/>
      <c r="F73" s="845"/>
      <c r="G73" s="845"/>
      <c r="H73" s="845"/>
    </row>
    <row r="74" spans="1:8" x14ac:dyDescent="0.25">
      <c r="A74" s="3" t="s">
        <v>356</v>
      </c>
      <c r="B74" s="813" t="s">
        <v>201</v>
      </c>
      <c r="C74" s="813" t="s">
        <v>202</v>
      </c>
      <c r="D74" s="813" t="s">
        <v>132</v>
      </c>
      <c r="E74" s="813" t="s">
        <v>203</v>
      </c>
      <c r="F74" s="813" t="s">
        <v>204</v>
      </c>
      <c r="G74" s="813" t="s">
        <v>205</v>
      </c>
      <c r="H74" s="813" t="s">
        <v>206</v>
      </c>
    </row>
    <row r="75" spans="1:8" x14ac:dyDescent="0.25">
      <c r="A75" t="s">
        <v>342</v>
      </c>
      <c r="B75" s="5">
        <f ca="1">$H44*$D44*B62/2000</f>
        <v>0.22450632379714372</v>
      </c>
      <c r="C75" s="5">
        <f t="shared" ref="C75:H75" ca="1" si="7">$H44*$D44*C62/2000</f>
        <v>2.5489800955134237E-3</v>
      </c>
      <c r="D75" s="5">
        <f t="shared" ca="1" si="7"/>
        <v>3.9215078392514216E-4</v>
      </c>
      <c r="E75" s="5">
        <f t="shared" ca="1" si="7"/>
        <v>3.3921042809524786E-2</v>
      </c>
      <c r="F75" s="5">
        <f t="shared" ca="1" si="7"/>
        <v>3.3921042809524786E-2</v>
      </c>
      <c r="G75" s="5">
        <f t="shared" ca="1" si="7"/>
        <v>1.7646785276631387E-3</v>
      </c>
      <c r="H75" s="5">
        <f t="shared" ca="1" si="7"/>
        <v>0.24764322004872713</v>
      </c>
    </row>
    <row r="76" spans="1:8" x14ac:dyDescent="0.25">
      <c r="A76" t="s">
        <v>364</v>
      </c>
      <c r="B76" s="5">
        <f ca="1">$H45*$D45*B63/2000</f>
        <v>7.7554507658408297E-3</v>
      </c>
      <c r="C76" s="5">
        <f t="shared" ref="C76:H77" ca="1" si="8">$H45*$D45*C63/2000</f>
        <v>4.0972192725196823E-4</v>
      </c>
      <c r="D76" s="5">
        <f t="shared" ca="1" si="8"/>
        <v>5.8531703893138335E-5</v>
      </c>
      <c r="E76" s="5">
        <f t="shared" ca="1" si="8"/>
        <v>4.4776753478250842E-3</v>
      </c>
      <c r="F76" s="5">
        <f t="shared" ca="1" si="8"/>
        <v>4.4776753478250842E-3</v>
      </c>
      <c r="G76" s="5">
        <f t="shared" ca="1" si="8"/>
        <v>2.4875974154583795E-4</v>
      </c>
      <c r="H76" s="5">
        <f t="shared" ca="1" si="8"/>
        <v>3.3772793146340824E-2</v>
      </c>
    </row>
    <row r="77" spans="1:8" x14ac:dyDescent="0.25">
      <c r="A77" t="s">
        <v>365</v>
      </c>
      <c r="B77" s="5">
        <f ca="1">$H46*$D46*B64/2000</f>
        <v>0.14996036093003826</v>
      </c>
      <c r="C77" s="5">
        <f t="shared" ca="1" si="8"/>
        <v>4.1087515737483447E-3</v>
      </c>
      <c r="D77" s="5">
        <f t="shared" ca="1" si="8"/>
        <v>1.1317763089059496E-3</v>
      </c>
      <c r="E77" s="5">
        <f t="shared" ca="1" si="8"/>
        <v>3.4355153001012446E-2</v>
      </c>
      <c r="F77" s="5">
        <f t="shared" ca="1" si="8"/>
        <v>3.4355153001012446E-2</v>
      </c>
      <c r="G77" s="5">
        <f t="shared" ca="1" si="8"/>
        <v>1.1233687536385403E-3</v>
      </c>
      <c r="H77" s="5">
        <f t="shared" ca="1" si="8"/>
        <v>0.34284515402372107</v>
      </c>
    </row>
    <row r="78" spans="1:8" x14ac:dyDescent="0.25">
      <c r="A78" t="s">
        <v>459</v>
      </c>
      <c r="B78" s="5">
        <f ca="1">$H47*$D47*B$65/2000</f>
        <v>5.136638817093908E-3</v>
      </c>
      <c r="C78" s="5">
        <f t="shared" ref="C78:H78" ca="1" si="9">$H47*$D47*C$65/2000</f>
        <v>7.8258123981471699E-4</v>
      </c>
      <c r="D78" s="5">
        <f t="shared" ca="1" si="9"/>
        <v>1.5651624796294338E-4</v>
      </c>
      <c r="E78" s="5">
        <f t="shared" ca="1" si="9"/>
        <v>4.8425378982901697E-3</v>
      </c>
      <c r="F78" s="5">
        <f t="shared" ca="1" si="9"/>
        <v>4.8425378982901697E-3</v>
      </c>
      <c r="G78" s="5">
        <f t="shared" ca="1" si="9"/>
        <v>3.521615579166226E-4</v>
      </c>
      <c r="H78" s="5">
        <f t="shared" ca="1" si="9"/>
        <v>5.0123413755172888E-2</v>
      </c>
    </row>
    <row r="79" spans="1:8" x14ac:dyDescent="0.25">
      <c r="A79" t="s">
        <v>460</v>
      </c>
      <c r="B79" s="5">
        <f ca="1">$H48*$D48*B$65/2000</f>
        <v>4.3517384352767053E-3</v>
      </c>
      <c r="C79" s="5">
        <f t="shared" ref="C79:H79" ca="1" si="10">$H48*$D48*C$65/2000</f>
        <v>6.6299947909417888E-4</v>
      </c>
      <c r="D79" s="5">
        <f t="shared" ca="1" si="10"/>
        <v>1.3259989581883579E-4</v>
      </c>
      <c r="E79" s="5">
        <f t="shared" ca="1" si="10"/>
        <v>4.1025773948022834E-3</v>
      </c>
      <c r="F79" s="5">
        <f t="shared" ca="1" si="10"/>
        <v>4.1025773948022834E-3</v>
      </c>
      <c r="G79" s="5">
        <f t="shared" ca="1" si="10"/>
        <v>2.9834976559238051E-4</v>
      </c>
      <c r="H79" s="5">
        <f t="shared" ca="1" si="10"/>
        <v>4.2464341744212458E-2</v>
      </c>
    </row>
    <row r="80" spans="1:8" x14ac:dyDescent="0.25">
      <c r="A80" t="s">
        <v>461</v>
      </c>
      <c r="B80" s="5">
        <f ca="1">$H49*$D49*B$66/2000</f>
        <v>7.8711318913836523E-2</v>
      </c>
      <c r="C80" s="5">
        <f t="shared" ref="C80:H80" ca="1" si="11">$H49*$D49*C$66/2000</f>
        <v>9.6465130140817243E-3</v>
      </c>
      <c r="D80" s="5">
        <f t="shared" ca="1" si="11"/>
        <v>2.3983777616621012E-3</v>
      </c>
      <c r="E80" s="5">
        <f t="shared" ca="1" si="11"/>
        <v>4.9475641923800509E-2</v>
      </c>
      <c r="F80" s="5">
        <f t="shared" ca="1" si="11"/>
        <v>4.9475641923800509E-2</v>
      </c>
      <c r="G80" s="5">
        <f t="shared" ca="1" si="11"/>
        <v>1.4974375667077156E-3</v>
      </c>
      <c r="H80" s="5">
        <f t="shared" ca="1" si="11"/>
        <v>0.7413442532357406</v>
      </c>
    </row>
    <row r="81" spans="1:8" x14ac:dyDescent="0.25">
      <c r="A81" t="s">
        <v>462</v>
      </c>
      <c r="B81" s="5">
        <f ca="1">$H50*$D50*B$66/2000</f>
        <v>4.3068457518891684E-2</v>
      </c>
      <c r="C81" s="5">
        <f t="shared" ref="C81:H81" ca="1" si="12">$H50*$D50*C$66/2000</f>
        <v>5.2782807058183029E-3</v>
      </c>
      <c r="D81" s="5">
        <f t="shared" ca="1" si="12"/>
        <v>1.3123199073245462E-3</v>
      </c>
      <c r="E81" s="5">
        <f t="shared" ca="1" si="12"/>
        <v>2.7071577656419148E-2</v>
      </c>
      <c r="F81" s="5">
        <f t="shared" ca="1" si="12"/>
        <v>2.7071577656419148E-2</v>
      </c>
      <c r="G81" s="5">
        <f t="shared" ca="1" si="12"/>
        <v>8.193526308400708E-4</v>
      </c>
      <c r="H81" s="5">
        <f t="shared" ca="1" si="12"/>
        <v>0.40564119516672598</v>
      </c>
    </row>
    <row r="82" spans="1:8" x14ac:dyDescent="0.25">
      <c r="A82" t="s">
        <v>463</v>
      </c>
      <c r="B82" s="5">
        <f ca="1">$H51*$D51*B67/2000</f>
        <v>7.1152045942938808E-4</v>
      </c>
      <c r="C82" s="5">
        <f t="shared" ref="C82:H83" ca="1" si="13">$H51*$D51*C67/2000</f>
        <v>1.2425363689449981E-3</v>
      </c>
      <c r="D82" s="5">
        <f t="shared" ca="1" si="13"/>
        <v>9.9303605909690173E-5</v>
      </c>
      <c r="E82" s="5">
        <f t="shared" ca="1" si="13"/>
        <v>9.1855835466463402E-4</v>
      </c>
      <c r="F82" s="5">
        <f t="shared" ca="1" si="13"/>
        <v>9.1855835466463402E-4</v>
      </c>
      <c r="G82" s="5">
        <f t="shared" ca="1" si="13"/>
        <v>2.2306072477464144E-5</v>
      </c>
      <c r="H82" s="5">
        <f t="shared" ca="1" si="13"/>
        <v>3.0821356684220089E-3</v>
      </c>
    </row>
    <row r="83" spans="1:8" x14ac:dyDescent="0.25">
      <c r="A83" t="s">
        <v>464</v>
      </c>
      <c r="B83" s="5">
        <f ca="1">$H52*$D52*B68/2000</f>
        <v>3.4225810619553836E-3</v>
      </c>
      <c r="C83" s="5">
        <f t="shared" ca="1" si="13"/>
        <v>5.9768927074176359E-3</v>
      </c>
      <c r="D83" s="5">
        <f t="shared" ca="1" si="13"/>
        <v>4.7767374285056038E-4</v>
      </c>
      <c r="E83" s="5">
        <f t="shared" ca="1" si="13"/>
        <v>4.4184821213676829E-3</v>
      </c>
      <c r="F83" s="5">
        <f t="shared" ca="1" si="13"/>
        <v>4.4184821213676829E-3</v>
      </c>
      <c r="G83" s="5">
        <f t="shared" ca="1" si="13"/>
        <v>1.0729746448780716E-4</v>
      </c>
      <c r="H83" s="5">
        <f t="shared" ca="1" si="13"/>
        <v>1.4825798793724268E-2</v>
      </c>
    </row>
    <row r="84" spans="1:8" x14ac:dyDescent="0.25">
      <c r="A84" t="s">
        <v>368</v>
      </c>
      <c r="B84" s="5">
        <f t="shared" ref="B84:H85" ca="1" si="14">$H53*$D53*B69/2000</f>
        <v>8.1187937157398943E-2</v>
      </c>
      <c r="C84" s="5">
        <f t="shared" ca="1" si="14"/>
        <v>2.2608598410195505E-3</v>
      </c>
      <c r="D84" s="5">
        <f t="shared" ca="1" si="14"/>
        <v>6.1273914835772785E-4</v>
      </c>
      <c r="E84" s="5">
        <f t="shared" ca="1" si="14"/>
        <v>1.6920777296349075E-2</v>
      </c>
      <c r="F84" s="5">
        <f t="shared" ca="1" si="14"/>
        <v>1.6920777296349075E-2</v>
      </c>
      <c r="G84" s="5">
        <f t="shared" ca="1" si="14"/>
        <v>4.1865993226255648E-4</v>
      </c>
      <c r="H84" s="5">
        <f t="shared" ca="1" si="14"/>
        <v>8.4710088936924E-2</v>
      </c>
    </row>
    <row r="85" spans="1:8" x14ac:dyDescent="0.25">
      <c r="A85" s="3" t="s">
        <v>465</v>
      </c>
      <c r="B85" s="360">
        <f t="shared" ca="1" si="14"/>
        <v>5.0080302144040545E-3</v>
      </c>
      <c r="C85" s="360">
        <f t="shared" ca="1" si="14"/>
        <v>7.2117404859474096E-4</v>
      </c>
      <c r="D85" s="360">
        <f t="shared" ca="1" si="14"/>
        <v>1.3354747238410807E-4</v>
      </c>
      <c r="E85" s="360">
        <f t="shared" ca="1" si="14"/>
        <v>1.7250319326601836E-3</v>
      </c>
      <c r="F85" s="360">
        <f t="shared" ca="1" si="14"/>
        <v>1.7250319326601836E-3</v>
      </c>
      <c r="G85" s="360">
        <f t="shared" ca="1" si="14"/>
        <v>4.1926366839460689E-5</v>
      </c>
      <c r="H85" s="360">
        <f t="shared" ca="1" si="14"/>
        <v>2.7262447921533116E-2</v>
      </c>
    </row>
    <row r="86" spans="1:8" x14ac:dyDescent="0.25">
      <c r="A86" t="s">
        <v>466</v>
      </c>
      <c r="B86" s="450">
        <f ca="1">SUM(B75:B85)</f>
        <v>0.6038203580713094</v>
      </c>
      <c r="C86" s="450">
        <f t="shared" ref="C86:H86" ca="1" si="15">SUM(C75:C85)</f>
        <v>3.3639291001299594E-2</v>
      </c>
      <c r="D86" s="450">
        <f t="shared" ca="1" si="15"/>
        <v>6.9055365789947431E-3</v>
      </c>
      <c r="E86" s="450">
        <f t="shared" ca="1" si="15"/>
        <v>0.18222905573671605</v>
      </c>
      <c r="F86" s="450">
        <f t="shared" ca="1" si="15"/>
        <v>0.18222905573671605</v>
      </c>
      <c r="G86" s="450">
        <f t="shared" ca="1" si="15"/>
        <v>6.6942983799715946E-3</v>
      </c>
      <c r="H86" s="450">
        <f t="shared" ca="1" si="15"/>
        <v>1.9937148424412445</v>
      </c>
    </row>
    <row r="88" spans="1:8" ht="15.75" thickBot="1" x14ac:dyDescent="0.3"/>
    <row r="89" spans="1:8" ht="16.5" thickBot="1" x14ac:dyDescent="0.3">
      <c r="A89" s="270" t="s">
        <v>254</v>
      </c>
      <c r="B89" s="667"/>
      <c r="C89" s="668"/>
    </row>
    <row r="91" spans="1:8" x14ac:dyDescent="0.25">
      <c r="B91" s="812" t="s">
        <v>341</v>
      </c>
      <c r="H91" s="812" t="s">
        <v>468</v>
      </c>
    </row>
    <row r="92" spans="1:8" x14ac:dyDescent="0.25">
      <c r="B92" s="812" t="s">
        <v>455</v>
      </c>
      <c r="G92" s="812" t="s">
        <v>290</v>
      </c>
      <c r="H92" s="812" t="s">
        <v>281</v>
      </c>
    </row>
    <row r="93" spans="1:8" x14ac:dyDescent="0.25">
      <c r="A93" s="3" t="s">
        <v>356</v>
      </c>
      <c r="B93" s="813" t="s">
        <v>36</v>
      </c>
      <c r="C93" s="848" t="s">
        <v>469</v>
      </c>
      <c r="D93" s="848"/>
      <c r="E93" s="848"/>
      <c r="F93" s="848"/>
      <c r="G93" s="813" t="s">
        <v>470</v>
      </c>
      <c r="H93" s="813" t="s">
        <v>470</v>
      </c>
    </row>
    <row r="94" spans="1:8" x14ac:dyDescent="0.25">
      <c r="A94" t="s">
        <v>342</v>
      </c>
      <c r="B94">
        <f ca="1">H44</f>
        <v>43</v>
      </c>
      <c r="C94" s="851" t="s">
        <v>471</v>
      </c>
      <c r="D94" s="851"/>
      <c r="E94" s="851"/>
      <c r="F94" s="851"/>
      <c r="G94" s="13">
        <f>H34</f>
        <v>9.9999999999999982</v>
      </c>
      <c r="H94" s="5">
        <f ca="1">F$65*$B$36/F62</f>
        <v>0.20875342885138551</v>
      </c>
    </row>
    <row r="95" spans="1:8" x14ac:dyDescent="0.25">
      <c r="A95" t="s">
        <v>364</v>
      </c>
      <c r="B95">
        <f t="shared" ref="B95:B104" ca="1" si="16">H45</f>
        <v>9</v>
      </c>
      <c r="C95" s="851" t="s">
        <v>471</v>
      </c>
      <c r="D95" s="851"/>
      <c r="E95" s="851"/>
      <c r="F95" s="851"/>
      <c r="G95" s="13">
        <f>H$35</f>
        <v>1.7499999999999998</v>
      </c>
      <c r="H95" s="5">
        <f ca="1">F$65*$B$36/F63</f>
        <v>0.23599940508711575</v>
      </c>
    </row>
    <row r="96" spans="1:8" x14ac:dyDescent="0.25">
      <c r="A96" t="s">
        <v>365</v>
      </c>
      <c r="B96">
        <f t="shared" ca="1" si="16"/>
        <v>126</v>
      </c>
      <c r="C96" s="851" t="s">
        <v>472</v>
      </c>
      <c r="D96" s="851"/>
      <c r="E96" s="851"/>
      <c r="F96" s="851"/>
      <c r="G96" s="13">
        <f>H$36</f>
        <v>1.3333333333333333</v>
      </c>
      <c r="H96" s="5">
        <f ca="1">F66*$B$36/F64</f>
        <v>0.39655305889568504</v>
      </c>
    </row>
    <row r="97" spans="1:9" x14ac:dyDescent="0.25">
      <c r="A97" t="s">
        <v>459</v>
      </c>
      <c r="B97">
        <f t="shared" ca="1" si="16"/>
        <v>32</v>
      </c>
      <c r="C97" s="851" t="s">
        <v>471</v>
      </c>
      <c r="D97" s="851"/>
      <c r="E97" s="851"/>
      <c r="F97" s="851"/>
      <c r="G97" s="13">
        <f>H$35</f>
        <v>1.7499999999999998</v>
      </c>
      <c r="H97" s="5">
        <f>$B$36</f>
        <v>0.58352402745995413</v>
      </c>
      <c r="I97" t="s">
        <v>473</v>
      </c>
    </row>
    <row r="98" spans="1:9" x14ac:dyDescent="0.25">
      <c r="A98" t="s">
        <v>460</v>
      </c>
      <c r="B98">
        <f t="shared" ca="1" si="16"/>
        <v>17</v>
      </c>
      <c r="C98" s="853" t="s">
        <v>474</v>
      </c>
      <c r="D98" s="853"/>
      <c r="E98" s="853"/>
      <c r="F98" s="853"/>
      <c r="G98" s="554"/>
      <c r="H98" s="554"/>
    </row>
    <row r="99" spans="1:9" x14ac:dyDescent="0.25">
      <c r="A99" t="s">
        <v>461</v>
      </c>
      <c r="B99">
        <f t="shared" ca="1" si="16"/>
        <v>477</v>
      </c>
      <c r="C99" s="851" t="s">
        <v>472</v>
      </c>
      <c r="D99" s="851"/>
      <c r="E99" s="851"/>
      <c r="F99" s="851"/>
      <c r="G99" s="13">
        <f>H$36</f>
        <v>1.3333333333333333</v>
      </c>
      <c r="H99" s="5">
        <f>$B$36</f>
        <v>0.58352402745995413</v>
      </c>
      <c r="I99" t="s">
        <v>473</v>
      </c>
    </row>
    <row r="100" spans="1:9" x14ac:dyDescent="0.25">
      <c r="A100" t="s">
        <v>462</v>
      </c>
      <c r="B100">
        <f t="shared" ca="1" si="16"/>
        <v>261</v>
      </c>
      <c r="C100" s="853" t="s">
        <v>474</v>
      </c>
      <c r="D100" s="853"/>
      <c r="E100" s="853"/>
      <c r="F100" s="853"/>
      <c r="G100" s="554"/>
      <c r="H100" s="554"/>
    </row>
    <row r="101" spans="1:9" x14ac:dyDescent="0.25">
      <c r="A101" t="s">
        <v>463</v>
      </c>
      <c r="B101">
        <f t="shared" ca="1" si="16"/>
        <v>10</v>
      </c>
      <c r="C101" s="853" t="s">
        <v>474</v>
      </c>
      <c r="D101" s="853"/>
      <c r="E101" s="853"/>
      <c r="F101" s="853"/>
      <c r="G101" s="554"/>
      <c r="H101" s="554"/>
    </row>
    <row r="102" spans="1:9" x14ac:dyDescent="0.25">
      <c r="A102" t="s">
        <v>464</v>
      </c>
      <c r="B102">
        <f t="shared" ca="1" si="16"/>
        <v>86</v>
      </c>
      <c r="C102" s="853" t="s">
        <v>474</v>
      </c>
      <c r="D102" s="853"/>
      <c r="E102" s="853"/>
      <c r="F102" s="853"/>
      <c r="G102" s="554"/>
      <c r="H102" s="554"/>
    </row>
    <row r="103" spans="1:9" x14ac:dyDescent="0.25">
      <c r="A103" t="s">
        <v>368</v>
      </c>
      <c r="B103">
        <f t="shared" ca="1" si="16"/>
        <v>23</v>
      </c>
      <c r="C103" s="851" t="s">
        <v>475</v>
      </c>
      <c r="D103" s="851"/>
      <c r="E103" s="851"/>
      <c r="F103" s="851"/>
      <c r="G103" s="13">
        <f>H$37</f>
        <v>1.574074074074074</v>
      </c>
      <c r="H103" s="5">
        <f>(F70/F69)*(0.1/0.32)</f>
        <v>0.14617288106112827</v>
      </c>
      <c r="I103" t="s">
        <v>476</v>
      </c>
    </row>
    <row r="104" spans="1:9" x14ac:dyDescent="0.25">
      <c r="A104" s="3" t="s">
        <v>465</v>
      </c>
      <c r="B104" s="3">
        <f t="shared" ca="1" si="16"/>
        <v>5</v>
      </c>
      <c r="C104" s="852" t="s">
        <v>475</v>
      </c>
      <c r="D104" s="852"/>
      <c r="E104" s="852"/>
      <c r="F104" s="852"/>
      <c r="G104" s="359">
        <f>H$37</f>
        <v>1.574074074074074</v>
      </c>
      <c r="H104" s="360">
        <f>0.1/0.32</f>
        <v>0.3125</v>
      </c>
      <c r="I104" t="s">
        <v>477</v>
      </c>
    </row>
    <row r="105" spans="1:9" x14ac:dyDescent="0.25">
      <c r="A105" t="s">
        <v>466</v>
      </c>
      <c r="B105" s="45">
        <f ca="1">SUM(B94:B104)</f>
        <v>1089</v>
      </c>
    </row>
    <row r="107" spans="1:9" x14ac:dyDescent="0.25">
      <c r="B107" s="845" t="str">
        <f>$E$4&amp;" With Control Emissions in Affected Residences (tons/episodic day)"</f>
        <v>2029 With Control Emissions in Affected Residences (tons/episodic day)</v>
      </c>
      <c r="C107" s="845"/>
      <c r="D107" s="845"/>
      <c r="E107" s="845"/>
      <c r="F107" s="845"/>
      <c r="G107" s="845"/>
      <c r="H107" s="845"/>
    </row>
    <row r="108" spans="1:9" x14ac:dyDescent="0.25">
      <c r="A108" s="3" t="s">
        <v>478</v>
      </c>
      <c r="B108" s="813" t="s">
        <v>201</v>
      </c>
      <c r="C108" s="813" t="s">
        <v>202</v>
      </c>
      <c r="D108" s="813" t="s">
        <v>132</v>
      </c>
      <c r="E108" s="813" t="s">
        <v>203</v>
      </c>
      <c r="F108" s="813" t="s">
        <v>204</v>
      </c>
      <c r="G108" s="813" t="s">
        <v>205</v>
      </c>
      <c r="H108" s="813" t="s">
        <v>206</v>
      </c>
    </row>
    <row r="109" spans="1:9" x14ac:dyDescent="0.25">
      <c r="A109" t="str">
        <f>A75&amp;" --&gt; "&amp;C94</f>
        <v>Fireplaces --&gt; New Certified Insert &lt; 2.0 g/hr</v>
      </c>
      <c r="B109" s="5">
        <f ca="1">$B$5*B75/$G94</f>
        <v>2.2450632379714376E-2</v>
      </c>
      <c r="C109" s="5">
        <f ca="1">$B$5*C75/$G94</f>
        <v>2.5489800955134239E-4</v>
      </c>
      <c r="D109" s="5">
        <f ca="1">$B$5*D75/$G94</f>
        <v>3.9215078392514224E-5</v>
      </c>
      <c r="E109" s="5">
        <f ca="1">$B$5*E75/$G94*$H94</f>
        <v>7.0811339967029351E-4</v>
      </c>
      <c r="F109" s="5">
        <f ca="1">$B$5*F75/$G94*$H94</f>
        <v>7.0811339967029351E-4</v>
      </c>
      <c r="G109" s="5">
        <f ca="1">$B$5*G75/$G94</f>
        <v>1.7646785276631389E-4</v>
      </c>
      <c r="H109" s="5">
        <f ca="1">$B$5*H75/$G94</f>
        <v>2.4764322004872719E-2</v>
      </c>
    </row>
    <row r="110" spans="1:9" x14ac:dyDescent="0.25">
      <c r="A110" s="675" t="str">
        <f>LEFT(A109,FIND(" --&gt;",A109)-1)&amp;", Noncompliant"</f>
        <v>Fireplaces, Noncompliant</v>
      </c>
      <c r="B110" s="677">
        <f ca="1">(1-$B$5)*B75</f>
        <v>0</v>
      </c>
      <c r="C110" s="677">
        <f t="shared" ref="C110:H110" ca="1" si="17">(1-$B$5)*C75</f>
        <v>0</v>
      </c>
      <c r="D110" s="677">
        <f t="shared" ca="1" si="17"/>
        <v>0</v>
      </c>
      <c r="E110" s="677">
        <f t="shared" ca="1" si="17"/>
        <v>0</v>
      </c>
      <c r="F110" s="677">
        <f t="shared" ca="1" si="17"/>
        <v>0</v>
      </c>
      <c r="G110" s="677">
        <f t="shared" ca="1" si="17"/>
        <v>0</v>
      </c>
      <c r="H110" s="677">
        <f t="shared" ca="1" si="17"/>
        <v>0</v>
      </c>
    </row>
    <row r="111" spans="1:9" x14ac:dyDescent="0.25">
      <c r="A111" t="str">
        <f>A76&amp;" --&gt; "&amp;C95</f>
        <v>Uncertified Inserts --&gt; New Certified Insert &lt; 2.0 g/hr</v>
      </c>
      <c r="B111" s="5">
        <f ca="1">$B$5*B76/$G95</f>
        <v>4.4316861519090459E-3</v>
      </c>
      <c r="C111" s="5">
        <f ca="1">$B$5*C76/$G95</f>
        <v>2.3412681557255331E-4</v>
      </c>
      <c r="D111" s="5">
        <f ca="1">$B$5*D76/$G95</f>
        <v>3.3446687938936195E-5</v>
      </c>
      <c r="E111" s="5">
        <f ca="1">$B$5*E76/$G95*$H95</f>
        <v>6.0384498186283667E-4</v>
      </c>
      <c r="F111" s="5">
        <f ca="1">$B$5*F76/$G95*$H95</f>
        <v>6.0384498186283667E-4</v>
      </c>
      <c r="G111" s="5">
        <f ca="1">$B$5*G76/$G95</f>
        <v>1.4214842374047886E-4</v>
      </c>
      <c r="H111" s="5">
        <f ca="1">$B$5*H76/$G95</f>
        <v>1.9298738940766186E-2</v>
      </c>
    </row>
    <row r="112" spans="1:9" x14ac:dyDescent="0.25">
      <c r="A112" s="675" t="str">
        <f>LEFT(A111,FIND(" --&gt;",A111)-1)&amp;", Noncompliant"</f>
        <v>Uncertified Inserts, Noncompliant</v>
      </c>
      <c r="B112" s="677">
        <f ca="1">(1-$B$5)*B76</f>
        <v>0</v>
      </c>
      <c r="C112" s="677">
        <f t="shared" ref="C112:H112" ca="1" si="18">(1-$B$5)*C76</f>
        <v>0</v>
      </c>
      <c r="D112" s="677">
        <f t="shared" ca="1" si="18"/>
        <v>0</v>
      </c>
      <c r="E112" s="677">
        <f t="shared" ca="1" si="18"/>
        <v>0</v>
      </c>
      <c r="F112" s="677">
        <f t="shared" ca="1" si="18"/>
        <v>0</v>
      </c>
      <c r="G112" s="677">
        <f t="shared" ca="1" si="18"/>
        <v>0</v>
      </c>
      <c r="H112" s="677">
        <f t="shared" ca="1" si="18"/>
        <v>0</v>
      </c>
    </row>
    <row r="113" spans="1:8" x14ac:dyDescent="0.25">
      <c r="A113" t="str">
        <f>A77&amp;" --&gt; "&amp;C96</f>
        <v>Uncertified Stoves --&gt; New Certified Stove &lt; 2.0 g/hr</v>
      </c>
      <c r="B113" s="5">
        <f ca="1">$B$5*B77/$G96</f>
        <v>0.1124702706975287</v>
      </c>
      <c r="C113" s="5">
        <f ca="1">$B$5*C77/$G96</f>
        <v>3.0815636803112586E-3</v>
      </c>
      <c r="D113" s="5">
        <f ca="1">$B$5*D77/$G96</f>
        <v>8.4883223167946218E-4</v>
      </c>
      <c r="E113" s="5">
        <f ca="1">$B$5*E77/$G96*$H96</f>
        <v>1.0217730758535571E-2</v>
      </c>
      <c r="F113" s="5">
        <f ca="1">$B$5*F77/$G96*$H96</f>
        <v>1.0217730758535571E-2</v>
      </c>
      <c r="G113" s="5">
        <f ca="1">$B$5*G77/$G96</f>
        <v>8.4252656522890526E-4</v>
      </c>
      <c r="H113" s="5">
        <f ca="1">$B$5*H77/$G96</f>
        <v>0.25713386551779083</v>
      </c>
    </row>
    <row r="114" spans="1:8" x14ac:dyDescent="0.25">
      <c r="A114" s="675" t="str">
        <f>LEFT(A113,FIND(" --&gt;",A113)-1)&amp;", Noncompliant"</f>
        <v>Uncertified Stoves, Noncompliant</v>
      </c>
      <c r="B114" s="677">
        <f ca="1">(1-$B$5)*B77</f>
        <v>0</v>
      </c>
      <c r="C114" s="677">
        <f t="shared" ref="C114:H114" ca="1" si="19">(1-$B$5)*C77</f>
        <v>0</v>
      </c>
      <c r="D114" s="677">
        <f t="shared" ca="1" si="19"/>
        <v>0</v>
      </c>
      <c r="E114" s="677">
        <f t="shared" ca="1" si="19"/>
        <v>0</v>
      </c>
      <c r="F114" s="677">
        <f t="shared" ca="1" si="19"/>
        <v>0</v>
      </c>
      <c r="G114" s="677">
        <f t="shared" ca="1" si="19"/>
        <v>0</v>
      </c>
      <c r="H114" s="677">
        <f t="shared" ca="1" si="19"/>
        <v>0</v>
      </c>
    </row>
    <row r="115" spans="1:8" x14ac:dyDescent="0.25">
      <c r="A115" t="str">
        <f>A78&amp;" --&gt; "&amp;C97</f>
        <v>Certified Inserts &gt; 2.0 g/hr --&gt; New Certified Insert &lt; 2.0 g/hr</v>
      </c>
      <c r="B115" s="5">
        <f ca="1">$B$5*B78/$G97</f>
        <v>2.9352221811965191E-3</v>
      </c>
      <c r="C115" s="5">
        <f ca="1">$B$5*C78/$G97</f>
        <v>4.4718927989412406E-4</v>
      </c>
      <c r="D115" s="5">
        <f ca="1">$B$5*D78/$G97</f>
        <v>8.9437855978824799E-5</v>
      </c>
      <c r="E115" s="5">
        <f ca="1">$B$5*E78/$G97*$H97</f>
        <v>1.6147069814501384E-3</v>
      </c>
      <c r="F115" s="5">
        <f ca="1">$B$5*F78/$G97*$H97</f>
        <v>1.6147069814501384E-3</v>
      </c>
      <c r="G115" s="5">
        <f ca="1">$B$5*G78/$G97</f>
        <v>2.0123517595235579E-4</v>
      </c>
      <c r="H115" s="5">
        <f ca="1">$B$5*H78/$G97</f>
        <v>2.8641950717241654E-2</v>
      </c>
    </row>
    <row r="116" spans="1:8" x14ac:dyDescent="0.25">
      <c r="A116" s="675" t="str">
        <f>LEFT(A115,FIND(" --&gt;",A115)-1)&amp;", Noncompliant"</f>
        <v>Certified Inserts &gt; 2.0 g/hr, Noncompliant</v>
      </c>
      <c r="B116" s="677">
        <f ca="1">(1-$B$5)*B78</f>
        <v>0</v>
      </c>
      <c r="C116" s="677">
        <f t="shared" ref="C116:H116" ca="1" si="20">(1-$B$5)*C78</f>
        <v>0</v>
      </c>
      <c r="D116" s="677">
        <f t="shared" ca="1" si="20"/>
        <v>0</v>
      </c>
      <c r="E116" s="677">
        <f t="shared" ca="1" si="20"/>
        <v>0</v>
      </c>
      <c r="F116" s="677">
        <f t="shared" ca="1" si="20"/>
        <v>0</v>
      </c>
      <c r="G116" s="677">
        <f t="shared" ca="1" si="20"/>
        <v>0</v>
      </c>
      <c r="H116" s="677">
        <f t="shared" ca="1" si="20"/>
        <v>0</v>
      </c>
    </row>
    <row r="117" spans="1:8" x14ac:dyDescent="0.25">
      <c r="A117" s="554" t="str">
        <f>A79&amp;" --&gt; "&amp;C98</f>
        <v>Certified Inserts &lt; 2.0 g/hr --&gt; Not Affected</v>
      </c>
      <c r="B117" s="674">
        <f ca="1">B79</f>
        <v>4.3517384352767053E-3</v>
      </c>
      <c r="C117" s="674">
        <f t="shared" ref="C117:D117" ca="1" si="21">C79</f>
        <v>6.6299947909417888E-4</v>
      </c>
      <c r="D117" s="674">
        <f t="shared" ca="1" si="21"/>
        <v>1.3259989581883579E-4</v>
      </c>
      <c r="E117" s="674">
        <f t="shared" ref="E117:F117" ca="1" si="22">E79</f>
        <v>4.1025773948022834E-3</v>
      </c>
      <c r="F117" s="674">
        <f t="shared" ca="1" si="22"/>
        <v>4.1025773948022834E-3</v>
      </c>
      <c r="G117" s="674">
        <f t="shared" ref="G117:H117" ca="1" si="23">G79</f>
        <v>2.9834976559238051E-4</v>
      </c>
      <c r="H117" s="674">
        <f t="shared" ca="1" si="23"/>
        <v>4.2464341744212458E-2</v>
      </c>
    </row>
    <row r="118" spans="1:8" x14ac:dyDescent="0.25">
      <c r="A118" t="str">
        <f>A80&amp;" --&gt; "&amp;C99</f>
        <v>Certified Stoves &gt; 2.0 g/hr --&gt; New Certified Stove &lt; 2.0 g/hr</v>
      </c>
      <c r="B118" s="5">
        <f ca="1">$B$5*B80/$G99</f>
        <v>5.9033489185377395E-2</v>
      </c>
      <c r="C118" s="5">
        <f ca="1">$B$5*C80/$G99</f>
        <v>7.2348847605612932E-3</v>
      </c>
      <c r="D118" s="5">
        <f ca="1">$B$5*D80/$G99</f>
        <v>1.798783321246576E-3</v>
      </c>
      <c r="E118" s="5">
        <f ca="1">$B$5*E80/$G99*$H99</f>
        <v>2.1652669377406973E-2</v>
      </c>
      <c r="F118" s="5">
        <f ca="1">$B$5*F80/$G99*$H99</f>
        <v>2.1652669377406973E-2</v>
      </c>
      <c r="G118" s="5">
        <f ca="1">$B$5*G80/$G99</f>
        <v>1.1230781750307867E-3</v>
      </c>
      <c r="H118" s="5">
        <f ca="1">$B$5*H80/$G99</f>
        <v>0.55600818992680545</v>
      </c>
    </row>
    <row r="119" spans="1:8" x14ac:dyDescent="0.25">
      <c r="A119" s="675" t="str">
        <f>LEFT(A118,FIND(" --&gt;",A118)-1)&amp;", Noncompliant"</f>
        <v>Certified Stoves &gt; 2.0 g/hr, Noncompliant</v>
      </c>
      <c r="B119" s="677">
        <f ca="1">(1-$B$5)*B80</f>
        <v>0</v>
      </c>
      <c r="C119" s="677">
        <f t="shared" ref="C119:H119" ca="1" si="24">(1-$B$5)*C80</f>
        <v>0</v>
      </c>
      <c r="D119" s="677">
        <f t="shared" ca="1" si="24"/>
        <v>0</v>
      </c>
      <c r="E119" s="677">
        <f t="shared" ca="1" si="24"/>
        <v>0</v>
      </c>
      <c r="F119" s="677">
        <f t="shared" ca="1" si="24"/>
        <v>0</v>
      </c>
      <c r="G119" s="677">
        <f t="shared" ca="1" si="24"/>
        <v>0</v>
      </c>
      <c r="H119" s="677">
        <f t="shared" ca="1" si="24"/>
        <v>0</v>
      </c>
    </row>
    <row r="120" spans="1:8" x14ac:dyDescent="0.25">
      <c r="A120" s="554" t="str">
        <f>A81&amp;" --&gt; "&amp;C100</f>
        <v>Certified Stoves &lt; 2.0 g/hr --&gt; Not Affected</v>
      </c>
      <c r="B120" s="674">
        <f t="shared" ref="B120:D122" ca="1" si="25">B81</f>
        <v>4.3068457518891684E-2</v>
      </c>
      <c r="C120" s="674">
        <f t="shared" ca="1" si="25"/>
        <v>5.2782807058183029E-3</v>
      </c>
      <c r="D120" s="674">
        <f t="shared" ca="1" si="25"/>
        <v>1.3123199073245462E-3</v>
      </c>
      <c r="E120" s="674">
        <f t="shared" ref="E120:F120" ca="1" si="26">E81</f>
        <v>2.7071577656419148E-2</v>
      </c>
      <c r="F120" s="674">
        <f t="shared" ca="1" si="26"/>
        <v>2.7071577656419148E-2</v>
      </c>
      <c r="G120" s="674">
        <f t="shared" ref="G120:H120" ca="1" si="27">G81</f>
        <v>8.193526308400708E-4</v>
      </c>
      <c r="H120" s="674">
        <f t="shared" ca="1" si="27"/>
        <v>0.40564119516672598</v>
      </c>
    </row>
    <row r="121" spans="1:8" x14ac:dyDescent="0.25">
      <c r="A121" s="554" t="str">
        <f>A82&amp;" --&gt; "&amp;C101</f>
        <v>Exempt Pellet Devices (Inserts/Stoves) --&gt; Not Affected</v>
      </c>
      <c r="B121" s="674">
        <f t="shared" ca="1" si="25"/>
        <v>7.1152045942938808E-4</v>
      </c>
      <c r="C121" s="674">
        <f t="shared" ca="1" si="25"/>
        <v>1.2425363689449981E-3</v>
      </c>
      <c r="D121" s="674">
        <f t="shared" ca="1" si="25"/>
        <v>9.9303605909690173E-5</v>
      </c>
      <c r="E121" s="674">
        <f t="shared" ref="E121:F121" ca="1" si="28">E82</f>
        <v>9.1855835466463402E-4</v>
      </c>
      <c r="F121" s="674">
        <f t="shared" ca="1" si="28"/>
        <v>9.1855835466463402E-4</v>
      </c>
      <c r="G121" s="674">
        <f t="shared" ref="G121:H121" ca="1" si="29">G82</f>
        <v>2.2306072477464144E-5</v>
      </c>
      <c r="H121" s="674">
        <f t="shared" ca="1" si="29"/>
        <v>3.0821356684220089E-3</v>
      </c>
    </row>
    <row r="122" spans="1:8" x14ac:dyDescent="0.25">
      <c r="A122" s="554" t="str">
        <f>A83&amp;" --&gt; "&amp;C102</f>
        <v>Certified Pellet Devices (Inserts/Stoves) --&gt; Not Affected</v>
      </c>
      <c r="B122" s="674">
        <f t="shared" ca="1" si="25"/>
        <v>3.4225810619553836E-3</v>
      </c>
      <c r="C122" s="674">
        <f t="shared" ca="1" si="25"/>
        <v>5.9768927074176359E-3</v>
      </c>
      <c r="D122" s="674">
        <f t="shared" ca="1" si="25"/>
        <v>4.7767374285056038E-4</v>
      </c>
      <c r="E122" s="674">
        <f t="shared" ref="E122:F122" ca="1" si="30">E83</f>
        <v>4.4184821213676829E-3</v>
      </c>
      <c r="F122" s="674">
        <f t="shared" ca="1" si="30"/>
        <v>4.4184821213676829E-3</v>
      </c>
      <c r="G122" s="674">
        <f t="shared" ref="G122:H122" ca="1" si="31">G83</f>
        <v>1.0729746448780716E-4</v>
      </c>
      <c r="H122" s="674">
        <f t="shared" ca="1" si="31"/>
        <v>1.4825798793724268E-2</v>
      </c>
    </row>
    <row r="123" spans="1:8" x14ac:dyDescent="0.25">
      <c r="A123" t="str">
        <f>A84&amp;" --&gt; "&amp;C103</f>
        <v>Unqualified OHHs --&gt; New Certified Pellet Stove &lt; 0.10 lb/mmBTU</v>
      </c>
      <c r="B123" s="5">
        <f ca="1">$B$5*B84/$G103</f>
        <v>5.1578218899994629E-2</v>
      </c>
      <c r="C123" s="5">
        <f ca="1">$B$5*C84/$G103</f>
        <v>1.4363109578241851E-3</v>
      </c>
      <c r="D123" s="5">
        <f ca="1">$B$5*D84/$G103</f>
        <v>3.89269576603733E-4</v>
      </c>
      <c r="E123" s="5">
        <f ca="1">$B$5*E84/$G103*$H103</f>
        <v>1.5713102756336232E-3</v>
      </c>
      <c r="F123" s="5">
        <f ca="1">$B$5*F84/$G103*$H103</f>
        <v>1.5713102756336232E-3</v>
      </c>
      <c r="G123" s="5">
        <f ca="1">$B$5*G84/$G103</f>
        <v>2.6597219226091824E-4</v>
      </c>
      <c r="H123" s="5">
        <f ca="1">$B$5*H84/$G103</f>
        <v>5.3815821206987018E-2</v>
      </c>
    </row>
    <row r="124" spans="1:8" x14ac:dyDescent="0.25">
      <c r="A124" s="675" t="str">
        <f>LEFT(A123,FIND(" --&gt;",A123)-1)&amp;", Noncompliant"</f>
        <v>Unqualified OHHs, Noncompliant</v>
      </c>
      <c r="B124" s="677">
        <f ca="1">(1-$B$5)*B84</f>
        <v>0</v>
      </c>
      <c r="C124" s="677">
        <f t="shared" ref="C124:H124" ca="1" si="32">(1-$B$5)*C84</f>
        <v>0</v>
      </c>
      <c r="D124" s="677">
        <f t="shared" ca="1" si="32"/>
        <v>0</v>
      </c>
      <c r="E124" s="677">
        <f t="shared" ca="1" si="32"/>
        <v>0</v>
      </c>
      <c r="F124" s="677">
        <f t="shared" ca="1" si="32"/>
        <v>0</v>
      </c>
      <c r="G124" s="677">
        <f t="shared" ca="1" si="32"/>
        <v>0</v>
      </c>
      <c r="H124" s="677">
        <f t="shared" ca="1" si="32"/>
        <v>0</v>
      </c>
    </row>
    <row r="125" spans="1:8" x14ac:dyDescent="0.25">
      <c r="A125" t="str">
        <f>A85&amp;" --&gt; "&amp;C104</f>
        <v>Phase 2 (Certified) OHHs --&gt; New Certified Pellet Stove &lt; 0.10 lb/mmBTU</v>
      </c>
      <c r="B125" s="5">
        <f ca="1">$B$5*B85/$G104</f>
        <v>3.1815721362096348E-3</v>
      </c>
      <c r="C125" s="5">
        <f ca="1">$B$5*C85/$G104</f>
        <v>4.5815763087195309E-4</v>
      </c>
      <c r="D125" s="5">
        <f ca="1">$B$5*D85/$G104</f>
        <v>8.4841923632256896E-5</v>
      </c>
      <c r="E125" s="5">
        <f ca="1">$B$5*E85/$G104*$H104</f>
        <v>3.4246957486636E-4</v>
      </c>
      <c r="F125" s="5">
        <f ca="1">$B$5*F85/$G104*$H104</f>
        <v>3.4246957486636E-4</v>
      </c>
      <c r="G125" s="5">
        <f ca="1">$B$5*G85/$G104</f>
        <v>2.6635574227422087E-5</v>
      </c>
      <c r="H125" s="5">
        <f ca="1">$B$5*H85/$G104</f>
        <v>1.7319672797209276E-2</v>
      </c>
    </row>
    <row r="126" spans="1:8" x14ac:dyDescent="0.25">
      <c r="A126" s="676" t="str">
        <f>LEFT(A125,FIND(" --&gt;",A125)-1)&amp;", Noncompliant"</f>
        <v>Phase 2 (Certified) OHHs, Noncompliant</v>
      </c>
      <c r="B126" s="678">
        <f ca="1">(1-$B$5)*B85</f>
        <v>0</v>
      </c>
      <c r="C126" s="678">
        <f t="shared" ref="C126:H126" ca="1" si="33">(1-$B$5)*C85</f>
        <v>0</v>
      </c>
      <c r="D126" s="678">
        <f t="shared" ca="1" si="33"/>
        <v>0</v>
      </c>
      <c r="E126" s="678">
        <f t="shared" ca="1" si="33"/>
        <v>0</v>
      </c>
      <c r="F126" s="678">
        <f t="shared" ca="1" si="33"/>
        <v>0</v>
      </c>
      <c r="G126" s="678">
        <f t="shared" ca="1" si="33"/>
        <v>0</v>
      </c>
      <c r="H126" s="678">
        <f t="shared" ca="1" si="33"/>
        <v>0</v>
      </c>
    </row>
    <row r="127" spans="1:8" x14ac:dyDescent="0.25">
      <c r="A127" t="s">
        <v>466</v>
      </c>
      <c r="B127" s="450">
        <f t="shared" ref="B127:H127" ca="1" si="34">SUM(B109:B125)</f>
        <v>0.30763538910748345</v>
      </c>
      <c r="C127" s="450">
        <f t="shared" ca="1" si="34"/>
        <v>2.6307840395861825E-2</v>
      </c>
      <c r="D127" s="450">
        <f t="shared" ca="1" si="34"/>
        <v>5.3057238273759352E-3</v>
      </c>
      <c r="E127" s="450">
        <f t="shared" ca="1" si="34"/>
        <v>7.3222040876679537E-2</v>
      </c>
      <c r="F127" s="450">
        <f t="shared" ca="1" si="34"/>
        <v>7.3222040876679537E-2</v>
      </c>
      <c r="G127" s="450">
        <f t="shared" ca="1" si="34"/>
        <v>4.025369892604904E-3</v>
      </c>
      <c r="H127" s="450">
        <f t="shared" ca="1" si="34"/>
        <v>1.4229960324847581</v>
      </c>
    </row>
    <row r="130" spans="1:11" ht="15.75" x14ac:dyDescent="0.25">
      <c r="A130" s="273" t="s">
        <v>354</v>
      </c>
    </row>
    <row r="131" spans="1:11" ht="15.75" x14ac:dyDescent="0.25">
      <c r="A131" s="273"/>
    </row>
    <row r="132" spans="1:11" ht="15.75" x14ac:dyDescent="0.25">
      <c r="A132" s="273"/>
      <c r="B132" s="845" t="s">
        <v>299</v>
      </c>
      <c r="C132" s="845"/>
      <c r="D132" s="845"/>
      <c r="E132" s="845"/>
      <c r="F132" s="845"/>
      <c r="G132" s="845"/>
      <c r="H132" s="845"/>
      <c r="I132" s="812" t="s">
        <v>300</v>
      </c>
    </row>
    <row r="133" spans="1:11" x14ac:dyDescent="0.25">
      <c r="A133" s="813" t="s">
        <v>301</v>
      </c>
      <c r="B133" s="813" t="s">
        <v>201</v>
      </c>
      <c r="C133" s="813" t="s">
        <v>202</v>
      </c>
      <c r="D133" s="363" t="s">
        <v>132</v>
      </c>
      <c r="E133" s="813" t="s">
        <v>203</v>
      </c>
      <c r="F133" s="454" t="s">
        <v>204</v>
      </c>
      <c r="G133" s="813" t="s">
        <v>205</v>
      </c>
      <c r="H133" s="813" t="s">
        <v>206</v>
      </c>
      <c r="I133" s="813" t="s">
        <v>302</v>
      </c>
      <c r="K133" s="252" t="s">
        <v>479</v>
      </c>
    </row>
    <row r="134" spans="1:11" x14ac:dyDescent="0.25">
      <c r="A134" s="812">
        <f>$B$4+I134-1</f>
        <v>2020</v>
      </c>
      <c r="B134" s="452">
        <f t="shared" ref="B134:B146" ca="1" si="35">(B$86-B$127)*$I134</f>
        <v>0.29618496896382596</v>
      </c>
      <c r="C134" s="452">
        <f t="shared" ref="C134:H134" ca="1" si="36">(C$86-C$127)*$I134</f>
        <v>7.3314506054377691E-3</v>
      </c>
      <c r="D134" s="465">
        <f t="shared" ca="1" si="36"/>
        <v>1.5998127516188079E-3</v>
      </c>
      <c r="E134" s="452">
        <f t="shared" ca="1" si="36"/>
        <v>0.10900701486003651</v>
      </c>
      <c r="F134" s="455">
        <f t="shared" ca="1" si="36"/>
        <v>0.10900701486003651</v>
      </c>
      <c r="G134" s="452">
        <f t="shared" ca="1" si="36"/>
        <v>2.6689284873666905E-3</v>
      </c>
      <c r="H134" s="452">
        <f t="shared" ca="1" si="36"/>
        <v>0.57071880995648638</v>
      </c>
      <c r="I134" s="812">
        <v>1</v>
      </c>
      <c r="K134" s="252" t="s">
        <v>480</v>
      </c>
    </row>
    <row r="135" spans="1:11" x14ac:dyDescent="0.25">
      <c r="A135" s="812">
        <f t="shared" ref="A135:A146" si="37">$B$4+I135-1</f>
        <v>2021</v>
      </c>
      <c r="B135" s="452">
        <f t="shared" ca="1" si="35"/>
        <v>0.59236993792765191</v>
      </c>
      <c r="C135" s="452">
        <f t="shared" ref="C135:H146" ca="1" si="38">(C$86-C$127)*$I135</f>
        <v>1.4662901210875538E-2</v>
      </c>
      <c r="D135" s="465">
        <f t="shared" ca="1" si="38"/>
        <v>3.1996255032376159E-3</v>
      </c>
      <c r="E135" s="452">
        <f t="shared" ca="1" si="38"/>
        <v>0.21801402972007303</v>
      </c>
      <c r="F135" s="455">
        <f t="shared" ca="1" si="38"/>
        <v>0.21801402972007303</v>
      </c>
      <c r="G135" s="452">
        <f t="shared" ca="1" si="38"/>
        <v>5.337856974733381E-3</v>
      </c>
      <c r="H135" s="452">
        <f t="shared" ca="1" si="38"/>
        <v>1.1414376199129728</v>
      </c>
      <c r="I135" s="812">
        <v>2</v>
      </c>
      <c r="K135" s="252" t="s">
        <v>481</v>
      </c>
    </row>
    <row r="136" spans="1:11" x14ac:dyDescent="0.25">
      <c r="A136" s="812">
        <f t="shared" si="37"/>
        <v>2022</v>
      </c>
      <c r="B136" s="452">
        <f t="shared" ca="1" si="35"/>
        <v>0.88855490689147787</v>
      </c>
      <c r="C136" s="452">
        <f t="shared" ca="1" si="38"/>
        <v>2.1994351816313307E-2</v>
      </c>
      <c r="D136" s="465">
        <f t="shared" ca="1" si="38"/>
        <v>4.7994382548564238E-3</v>
      </c>
      <c r="E136" s="452">
        <f t="shared" ca="1" si="38"/>
        <v>0.32702104458010955</v>
      </c>
      <c r="F136" s="455">
        <f t="shared" ca="1" si="38"/>
        <v>0.32702104458010955</v>
      </c>
      <c r="G136" s="452">
        <f t="shared" ca="1" si="38"/>
        <v>8.0067854621000724E-3</v>
      </c>
      <c r="H136" s="452">
        <f t="shared" ca="1" si="38"/>
        <v>1.7121564298694592</v>
      </c>
      <c r="I136" s="812">
        <v>3</v>
      </c>
      <c r="K136" s="252" t="s">
        <v>482</v>
      </c>
    </row>
    <row r="137" spans="1:11" x14ac:dyDescent="0.25">
      <c r="A137" s="812">
        <f t="shared" si="37"/>
        <v>2023</v>
      </c>
      <c r="B137" s="452">
        <f t="shared" ca="1" si="35"/>
        <v>1.1847398758553038</v>
      </c>
      <c r="C137" s="452">
        <f t="shared" ca="1" si="38"/>
        <v>2.9325802421751077E-2</v>
      </c>
      <c r="D137" s="465">
        <f t="shared" ca="1" si="38"/>
        <v>6.3992510064752317E-3</v>
      </c>
      <c r="E137" s="452">
        <f t="shared" ca="1" si="38"/>
        <v>0.43602805944014605</v>
      </c>
      <c r="F137" s="455">
        <f t="shared" ca="1" si="38"/>
        <v>0.43602805944014605</v>
      </c>
      <c r="G137" s="452">
        <f t="shared" ca="1" si="38"/>
        <v>1.0675713949466762E-2</v>
      </c>
      <c r="H137" s="452">
        <f t="shared" ca="1" si="38"/>
        <v>2.2828752398259455</v>
      </c>
      <c r="I137" s="812">
        <v>4</v>
      </c>
      <c r="K137" s="252" t="s">
        <v>483</v>
      </c>
    </row>
    <row r="138" spans="1:11" x14ac:dyDescent="0.25">
      <c r="A138" s="812">
        <f t="shared" si="37"/>
        <v>2024</v>
      </c>
      <c r="B138" s="452">
        <f t="shared" ca="1" si="35"/>
        <v>1.4809248448191297</v>
      </c>
      <c r="C138" s="452">
        <f t="shared" ca="1" si="38"/>
        <v>3.6657253027188849E-2</v>
      </c>
      <c r="D138" s="465">
        <f t="shared" ca="1" si="38"/>
        <v>7.9990637580940396E-3</v>
      </c>
      <c r="E138" s="452">
        <f t="shared" ca="1" si="38"/>
        <v>0.54503507430018261</v>
      </c>
      <c r="F138" s="455">
        <f t="shared" ca="1" si="38"/>
        <v>0.54503507430018261</v>
      </c>
      <c r="G138" s="452">
        <f t="shared" ca="1" si="38"/>
        <v>1.3344642436833452E-2</v>
      </c>
      <c r="H138" s="452">
        <f t="shared" ca="1" si="38"/>
        <v>2.8535940497824317</v>
      </c>
      <c r="I138" s="812">
        <v>5</v>
      </c>
    </row>
    <row r="139" spans="1:11" x14ac:dyDescent="0.25">
      <c r="A139" s="812">
        <f t="shared" si="37"/>
        <v>2025</v>
      </c>
      <c r="B139" s="452">
        <f t="shared" ca="1" si="35"/>
        <v>1.7771098137829557</v>
      </c>
      <c r="C139" s="452">
        <f t="shared" ca="1" si="38"/>
        <v>4.3988703632626615E-2</v>
      </c>
      <c r="D139" s="465">
        <f t="shared" ca="1" si="38"/>
        <v>9.5988765097128476E-3</v>
      </c>
      <c r="E139" s="452">
        <f t="shared" ca="1" si="38"/>
        <v>0.65404208916021911</v>
      </c>
      <c r="F139" s="455">
        <f t="shared" ca="1" si="38"/>
        <v>0.65404208916021911</v>
      </c>
      <c r="G139" s="452">
        <f t="shared" ca="1" si="38"/>
        <v>1.6013570924200145E-2</v>
      </c>
      <c r="H139" s="452">
        <f t="shared" ca="1" si="38"/>
        <v>3.4243128597389183</v>
      </c>
      <c r="I139" s="812">
        <v>6</v>
      </c>
    </row>
    <row r="140" spans="1:11" x14ac:dyDescent="0.25">
      <c r="A140" s="812">
        <f t="shared" si="37"/>
        <v>2026</v>
      </c>
      <c r="B140" s="452">
        <f t="shared" ca="1" si="35"/>
        <v>2.0732947827467818</v>
      </c>
      <c r="C140" s="452">
        <f t="shared" ca="1" si="38"/>
        <v>5.132015423806438E-2</v>
      </c>
      <c r="D140" s="465">
        <f t="shared" ca="1" si="38"/>
        <v>1.1198689261331655E-2</v>
      </c>
      <c r="E140" s="452">
        <f t="shared" ca="1" si="38"/>
        <v>0.76304910402025561</v>
      </c>
      <c r="F140" s="455">
        <f t="shared" ca="1" si="38"/>
        <v>0.76304910402025561</v>
      </c>
      <c r="G140" s="452">
        <f t="shared" ca="1" si="38"/>
        <v>1.8682499411566834E-2</v>
      </c>
      <c r="H140" s="452">
        <f t="shared" ca="1" si="38"/>
        <v>3.9950316696954049</v>
      </c>
      <c r="I140" s="812">
        <v>7</v>
      </c>
    </row>
    <row r="141" spans="1:11" x14ac:dyDescent="0.25">
      <c r="A141" s="812">
        <f t="shared" si="37"/>
        <v>2027</v>
      </c>
      <c r="B141" s="452">
        <f t="shared" ca="1" si="35"/>
        <v>2.3694797517106077</v>
      </c>
      <c r="C141" s="452">
        <f t="shared" ca="1" si="38"/>
        <v>5.8651604843502153E-2</v>
      </c>
      <c r="D141" s="465">
        <f t="shared" ca="1" si="38"/>
        <v>1.2798502012950463E-2</v>
      </c>
      <c r="E141" s="452">
        <f t="shared" ca="1" si="38"/>
        <v>0.87205611888029211</v>
      </c>
      <c r="F141" s="455">
        <f t="shared" ca="1" si="38"/>
        <v>0.87205611888029211</v>
      </c>
      <c r="G141" s="452">
        <f t="shared" ca="1" si="38"/>
        <v>2.1351427898933524E-2</v>
      </c>
      <c r="H141" s="452">
        <f t="shared" ca="1" si="38"/>
        <v>4.5657504796518911</v>
      </c>
      <c r="I141" s="812">
        <v>8</v>
      </c>
    </row>
    <row r="142" spans="1:11" x14ac:dyDescent="0.25">
      <c r="A142" s="812">
        <f t="shared" si="37"/>
        <v>2028</v>
      </c>
      <c r="B142" s="452">
        <f t="shared" ca="1" si="35"/>
        <v>2.6656647206744335</v>
      </c>
      <c r="C142" s="452">
        <f t="shared" ca="1" si="38"/>
        <v>6.5983055448939926E-2</v>
      </c>
      <c r="D142" s="465">
        <f t="shared" ca="1" si="38"/>
        <v>1.4398314764569271E-2</v>
      </c>
      <c r="E142" s="452">
        <f t="shared" ca="1" si="38"/>
        <v>0.98106313374032861</v>
      </c>
      <c r="F142" s="455">
        <f t="shared" ca="1" si="38"/>
        <v>0.98106313374032861</v>
      </c>
      <c r="G142" s="452">
        <f t="shared" ca="1" si="38"/>
        <v>2.4020356386300214E-2</v>
      </c>
      <c r="H142" s="452">
        <f t="shared" ca="1" si="38"/>
        <v>5.1364692896083772</v>
      </c>
      <c r="I142" s="812">
        <v>9</v>
      </c>
    </row>
    <row r="143" spans="1:11" x14ac:dyDescent="0.25">
      <c r="A143" s="812">
        <f t="shared" si="37"/>
        <v>2029</v>
      </c>
      <c r="B143" s="452">
        <f t="shared" ca="1" si="35"/>
        <v>2.9618496896382593</v>
      </c>
      <c r="C143" s="452">
        <f t="shared" ca="1" si="38"/>
        <v>7.3314506054377698E-2</v>
      </c>
      <c r="D143" s="465">
        <f t="shared" ca="1" si="38"/>
        <v>1.5998127516188079E-2</v>
      </c>
      <c r="E143" s="452">
        <f t="shared" ca="1" si="38"/>
        <v>1.0900701486003652</v>
      </c>
      <c r="F143" s="455">
        <f t="shared" ca="1" si="38"/>
        <v>1.0900701486003652</v>
      </c>
      <c r="G143" s="452">
        <f t="shared" ca="1" si="38"/>
        <v>2.6689284873666903E-2</v>
      </c>
      <c r="H143" s="452">
        <f t="shared" ca="1" si="38"/>
        <v>5.7071880995648634</v>
      </c>
      <c r="I143" s="812">
        <v>10</v>
      </c>
    </row>
    <row r="144" spans="1:11" x14ac:dyDescent="0.25">
      <c r="A144" s="812">
        <f t="shared" si="37"/>
        <v>2030</v>
      </c>
      <c r="B144" s="452">
        <f t="shared" ca="1" si="35"/>
        <v>3.2580346586020856</v>
      </c>
      <c r="C144" s="452">
        <f t="shared" ca="1" si="38"/>
        <v>8.0645956659815457E-2</v>
      </c>
      <c r="D144" s="465">
        <f t="shared" ca="1" si="38"/>
        <v>1.7597940267806887E-2</v>
      </c>
      <c r="E144" s="452">
        <f t="shared" ca="1" si="38"/>
        <v>1.1990771634604016</v>
      </c>
      <c r="F144" s="455">
        <f t="shared" ca="1" si="38"/>
        <v>1.1990771634604016</v>
      </c>
      <c r="G144" s="452">
        <f t="shared" ca="1" si="38"/>
        <v>2.9358213361033596E-2</v>
      </c>
      <c r="H144" s="452">
        <f t="shared" ca="1" si="38"/>
        <v>6.2779069095213504</v>
      </c>
      <c r="I144" s="812">
        <v>11</v>
      </c>
    </row>
    <row r="145" spans="1:40" x14ac:dyDescent="0.25">
      <c r="A145" s="812">
        <f t="shared" si="37"/>
        <v>2031</v>
      </c>
      <c r="B145" s="452">
        <f t="shared" ca="1" si="35"/>
        <v>3.5542196275659115</v>
      </c>
      <c r="C145" s="452">
        <f t="shared" ca="1" si="38"/>
        <v>8.797740726525323E-2</v>
      </c>
      <c r="D145" s="465">
        <f t="shared" ca="1" si="38"/>
        <v>1.9197753019425695E-2</v>
      </c>
      <c r="E145" s="452">
        <f t="shared" ca="1" si="38"/>
        <v>1.3080841783204382</v>
      </c>
      <c r="F145" s="455">
        <f t="shared" ca="1" si="38"/>
        <v>1.3080841783204382</v>
      </c>
      <c r="G145" s="452">
        <f t="shared" ca="1" si="38"/>
        <v>3.202714184840029E-2</v>
      </c>
      <c r="H145" s="452">
        <f t="shared" ca="1" si="38"/>
        <v>6.8486257194778366</v>
      </c>
      <c r="I145" s="812">
        <v>12</v>
      </c>
    </row>
    <row r="146" spans="1:40" x14ac:dyDescent="0.25">
      <c r="A146" s="812">
        <f t="shared" si="37"/>
        <v>2032</v>
      </c>
      <c r="B146" s="452">
        <f t="shared" ca="1" si="35"/>
        <v>3.8504045965297373</v>
      </c>
      <c r="C146" s="452">
        <f t="shared" ca="1" si="38"/>
        <v>9.5308857870691002E-2</v>
      </c>
      <c r="D146" s="465">
        <f t="shared" ca="1" si="38"/>
        <v>2.0797565771044503E-2</v>
      </c>
      <c r="E146" s="452">
        <f t="shared" ca="1" si="38"/>
        <v>1.4170911931804746</v>
      </c>
      <c r="F146" s="455">
        <f t="shared" ca="1" si="38"/>
        <v>1.4170911931804746</v>
      </c>
      <c r="G146" s="452">
        <f t="shared" ca="1" si="38"/>
        <v>3.4696070335766979E-2</v>
      </c>
      <c r="H146" s="452">
        <f t="shared" ca="1" si="38"/>
        <v>7.4193445294343228</v>
      </c>
      <c r="I146" s="812">
        <v>13</v>
      </c>
    </row>
    <row r="149" spans="1:40" ht="15.75" x14ac:dyDescent="0.25">
      <c r="A149" s="273" t="s">
        <v>304</v>
      </c>
    </row>
    <row r="150" spans="1:40" x14ac:dyDescent="0.25">
      <c r="C150" s="252"/>
      <c r="O150" s="840" t="s">
        <v>305</v>
      </c>
      <c r="P150" s="840"/>
      <c r="Q150" s="840"/>
      <c r="R150" s="840"/>
      <c r="S150" s="840"/>
      <c r="T150" s="840"/>
      <c r="U150" s="840"/>
      <c r="V150" s="840"/>
      <c r="W150" s="840"/>
      <c r="X150" s="840"/>
      <c r="Y150" s="840"/>
      <c r="Z150" s="840"/>
      <c r="AA150" s="840"/>
      <c r="AB150" s="840"/>
      <c r="AC150" s="840"/>
      <c r="AD150" s="840"/>
      <c r="AE150" s="840"/>
      <c r="AF150" s="840"/>
      <c r="AG150" s="840"/>
      <c r="AH150" s="840"/>
      <c r="AI150" s="840"/>
      <c r="AJ150" s="840"/>
      <c r="AK150" s="840"/>
      <c r="AL150" s="840"/>
      <c r="AM150" s="840"/>
      <c r="AN150" s="840"/>
    </row>
    <row r="151" spans="1:40" x14ac:dyDescent="0.25">
      <c r="A151" s="252"/>
      <c r="B151" s="845" t="s">
        <v>409</v>
      </c>
      <c r="C151" s="845"/>
      <c r="D151" s="845"/>
      <c r="E151" s="845"/>
      <c r="F151" s="845"/>
      <c r="G151" s="845"/>
      <c r="H151" s="845"/>
      <c r="I151" s="812"/>
      <c r="J151" t="s">
        <v>484</v>
      </c>
      <c r="L151" s="845" t="str">
        <f>$E$4&amp;" Base Emissions"</f>
        <v>2029 Base Emissions</v>
      </c>
      <c r="M151" s="845"/>
      <c r="O151" s="244" t="s">
        <v>307</v>
      </c>
      <c r="P151" s="664">
        <f>$B$4</f>
        <v>2020</v>
      </c>
      <c r="Q151" s="244" t="s">
        <v>308</v>
      </c>
      <c r="R151" s="664">
        <f>P151+1</f>
        <v>2021</v>
      </c>
      <c r="S151" s="244" t="s">
        <v>308</v>
      </c>
      <c r="T151" s="664">
        <f>R151+1</f>
        <v>2022</v>
      </c>
      <c r="U151" s="244" t="s">
        <v>308</v>
      </c>
      <c r="V151" s="664">
        <f>T151+1</f>
        <v>2023</v>
      </c>
      <c r="W151" s="244" t="s">
        <v>308</v>
      </c>
      <c r="X151" s="664">
        <f>V151+1</f>
        <v>2024</v>
      </c>
      <c r="Y151" s="244" t="s">
        <v>308</v>
      </c>
      <c r="Z151" s="664">
        <f>X151+1</f>
        <v>2025</v>
      </c>
      <c r="AA151" s="244" t="s">
        <v>308</v>
      </c>
      <c r="AB151" s="664">
        <f>Z151+1</f>
        <v>2026</v>
      </c>
      <c r="AC151" s="244" t="s">
        <v>308</v>
      </c>
      <c r="AD151" s="664">
        <f>AB151+1</f>
        <v>2027</v>
      </c>
      <c r="AE151" s="244" t="s">
        <v>308</v>
      </c>
      <c r="AF151" s="664">
        <f>AD151+1</f>
        <v>2028</v>
      </c>
      <c r="AG151" s="244" t="s">
        <v>308</v>
      </c>
      <c r="AH151" s="664">
        <f>AF151+1</f>
        <v>2029</v>
      </c>
      <c r="AI151" s="244" t="s">
        <v>308</v>
      </c>
      <c r="AJ151" s="664">
        <f>AH151+1</f>
        <v>2030</v>
      </c>
      <c r="AK151" s="244" t="s">
        <v>308</v>
      </c>
      <c r="AL151" s="664">
        <f>AJ151+1</f>
        <v>2031</v>
      </c>
      <c r="AM151" s="244" t="s">
        <v>308</v>
      </c>
      <c r="AN151" s="664">
        <f>AL151+1</f>
        <v>2032</v>
      </c>
    </row>
    <row r="152" spans="1:40" x14ac:dyDescent="0.25">
      <c r="A152" s="813" t="s">
        <v>130</v>
      </c>
      <c r="B152" s="813" t="s">
        <v>201</v>
      </c>
      <c r="C152" s="813" t="s">
        <v>202</v>
      </c>
      <c r="D152" s="363" t="s">
        <v>132</v>
      </c>
      <c r="E152" s="813" t="s">
        <v>203</v>
      </c>
      <c r="F152" s="454" t="s">
        <v>204</v>
      </c>
      <c r="G152" s="813" t="s">
        <v>205</v>
      </c>
      <c r="H152" s="813" t="s">
        <v>206</v>
      </c>
      <c r="I152" s="813" t="s">
        <v>309</v>
      </c>
      <c r="J152" s="813" t="s">
        <v>485</v>
      </c>
      <c r="L152" s="813" t="s">
        <v>132</v>
      </c>
      <c r="M152" s="813" t="s">
        <v>204</v>
      </c>
      <c r="N152" s="813" t="s">
        <v>130</v>
      </c>
      <c r="O152" s="363" t="s">
        <v>132</v>
      </c>
      <c r="P152" s="454" t="s">
        <v>204</v>
      </c>
      <c r="Q152" s="363" t="s">
        <v>132</v>
      </c>
      <c r="R152" s="454" t="s">
        <v>204</v>
      </c>
      <c r="S152" s="363" t="s">
        <v>132</v>
      </c>
      <c r="T152" s="454" t="s">
        <v>204</v>
      </c>
      <c r="U152" s="363" t="s">
        <v>132</v>
      </c>
      <c r="V152" s="454" t="s">
        <v>204</v>
      </c>
      <c r="W152" s="363" t="s">
        <v>132</v>
      </c>
      <c r="X152" s="454" t="s">
        <v>204</v>
      </c>
      <c r="Y152" s="363" t="s">
        <v>132</v>
      </c>
      <c r="Z152" s="454" t="s">
        <v>204</v>
      </c>
      <c r="AA152" s="363" t="s">
        <v>132</v>
      </c>
      <c r="AB152" s="454" t="s">
        <v>204</v>
      </c>
      <c r="AC152" s="363" t="s">
        <v>132</v>
      </c>
      <c r="AD152" s="454" t="s">
        <v>204</v>
      </c>
      <c r="AE152" s="363" t="s">
        <v>132</v>
      </c>
      <c r="AF152" s="454" t="s">
        <v>204</v>
      </c>
      <c r="AG152" s="363" t="s">
        <v>132</v>
      </c>
      <c r="AH152" s="454" t="s">
        <v>204</v>
      </c>
      <c r="AI152" s="363" t="s">
        <v>132</v>
      </c>
      <c r="AJ152" s="454" t="s">
        <v>204</v>
      </c>
      <c r="AK152" s="363" t="s">
        <v>132</v>
      </c>
      <c r="AL152" s="454" t="s">
        <v>204</v>
      </c>
      <c r="AM152" s="363" t="s">
        <v>132</v>
      </c>
      <c r="AN152" s="454" t="s">
        <v>204</v>
      </c>
    </row>
    <row r="153" spans="1:40" x14ac:dyDescent="0.25">
      <c r="A153" s="812">
        <v>2104008100</v>
      </c>
      <c r="B153" s="133">
        <f ca="1">B75-B110</f>
        <v>0.22450632379714372</v>
      </c>
      <c r="C153" s="133">
        <f t="shared" ref="C153:H153" ca="1" si="39">C75-C110</f>
        <v>2.5489800955134237E-3</v>
      </c>
      <c r="D153" s="511">
        <f t="shared" ca="1" si="39"/>
        <v>3.9215078392514216E-4</v>
      </c>
      <c r="E153" s="133">
        <f t="shared" ca="1" si="39"/>
        <v>3.3921042809524786E-2</v>
      </c>
      <c r="F153" s="525">
        <f t="shared" ca="1" si="39"/>
        <v>3.3921042809524786E-2</v>
      </c>
      <c r="G153" s="133">
        <f t="shared" ca="1" si="39"/>
        <v>1.7646785276631387E-3</v>
      </c>
      <c r="H153" s="133">
        <f t="shared" ca="1" si="39"/>
        <v>0.24764322004872713</v>
      </c>
      <c r="I153" s="812" t="s">
        <v>137</v>
      </c>
      <c r="L153" s="133">
        <f t="shared" ref="L153:L171" ca="1" si="40">OFFSET(INDIRECT("'DevSumOut-"&amp;$E$4&amp;"BSR'!P49"),MATCH($N153,INDIRECT("'DevSumOut-"&amp;$E$4&amp;"BSR'!B50:B70"),0),0)</f>
        <v>8.1804477483919183E-3</v>
      </c>
      <c r="M153" s="133">
        <f t="shared" ref="M153:M171" ca="1" si="41">OFFSET(INDIRECT("'DevSumOut-"&amp;$E$4&amp;"BSR'!R49"),MATCH($N153,INDIRECT("'DevSumOut-"&amp;$E$4&amp;"BSR'!B50:B70"),0),0)</f>
        <v>0.70760873023590076</v>
      </c>
      <c r="N153" s="812">
        <f>A153</f>
        <v>2104008100</v>
      </c>
      <c r="O153" s="357">
        <f ca="1">D153/L153</f>
        <v>4.7937569676700119E-2</v>
      </c>
      <c r="P153" s="463">
        <f ca="1">F153/M153</f>
        <v>4.7937569676700112E-2</v>
      </c>
      <c r="Q153" s="357">
        <f ca="1">MIN(1,$O153*OFFSET($I$133,MATCH(R$151,$A$134:$A$146,0),0))</f>
        <v>9.5875139353400238E-2</v>
      </c>
      <c r="R153" s="463">
        <f ca="1">MIN(1,$P153*OFFSET($I$133,MATCH(R$151,$A$134:$A$146,0),0))</f>
        <v>9.5875139353400224E-2</v>
      </c>
      <c r="S153" s="357">
        <f ca="1">MIN(1,$O153*OFFSET($I$133,MATCH(T$151,$A$134:$A$146,0),0))</f>
        <v>0.14381270903010035</v>
      </c>
      <c r="T153" s="463">
        <f ca="1">MIN(1,$P153*OFFSET($I$133,MATCH(T$151,$A$134:$A$146,0),0))</f>
        <v>0.14381270903010035</v>
      </c>
      <c r="U153" s="357">
        <f ca="1">MIN(1,$O153*OFFSET($I$133,MATCH(V$151,$A$134:$A$146,0),0))</f>
        <v>0.19175027870680048</v>
      </c>
      <c r="V153" s="463">
        <f ca="1">MIN(1,$P153*OFFSET($I$133,MATCH(V$151,$A$134:$A$146,0),0))</f>
        <v>0.19175027870680045</v>
      </c>
      <c r="W153" s="357">
        <f ca="1">MIN(1,$O153*OFFSET($I$133,MATCH(X$151,$A$134:$A$146,0),0))</f>
        <v>0.2396878483835006</v>
      </c>
      <c r="X153" s="463">
        <f ca="1">MIN(1,$P153*OFFSET($I$133,MATCH(X$151,$A$134:$A$146,0),0))</f>
        <v>0.23968784838350055</v>
      </c>
      <c r="Y153" s="357">
        <f ca="1">MIN(1,$O153*OFFSET($I$133,MATCH(Z$151,$A$134:$A$146,0),0))</f>
        <v>0.2876254180602007</v>
      </c>
      <c r="Z153" s="463">
        <f ca="1">MIN(1,$P153*OFFSET($I$133,MATCH(Z$151,$A$134:$A$146,0),0))</f>
        <v>0.2876254180602007</v>
      </c>
      <c r="AA153" s="357">
        <f ca="1">MIN(1,$O153*OFFSET($I$133,MATCH(AB$151,$A$134:$A$146,0),0))</f>
        <v>0.33556298773690085</v>
      </c>
      <c r="AB153" s="463">
        <f ca="1">MIN(1,$P153*OFFSET($I$133,MATCH(AB$151,$A$134:$A$146,0),0))</f>
        <v>0.3355629877369008</v>
      </c>
      <c r="AC153" s="357">
        <f ca="1">MIN(1,$O153*OFFSET($I$133,MATCH(AD$151,$A$134:$A$146,0),0))</f>
        <v>0.38350055741360095</v>
      </c>
      <c r="AD153" s="463">
        <f ca="1">MIN(1,$P153*OFFSET($I$133,MATCH(AD$151,$A$134:$A$146,0),0))</f>
        <v>0.3835005574136009</v>
      </c>
      <c r="AE153" s="357">
        <f ca="1">MIN(1,$O153*OFFSET($I$133,MATCH(AF$151,$A$134:$A$146,0),0))</f>
        <v>0.43143812709030105</v>
      </c>
      <c r="AF153" s="463">
        <f ca="1">MIN(1,$P153*OFFSET($I$133,MATCH(AF$151,$A$134:$A$146,0),0))</f>
        <v>0.43143812709030099</v>
      </c>
      <c r="AG153" s="357">
        <f ca="1">MIN(1,$O153*OFFSET($I$133,MATCH(AH$151,$A$134:$A$146,0),0))</f>
        <v>0.4793756967670012</v>
      </c>
      <c r="AH153" s="463">
        <f ca="1">MIN(1,$P153*OFFSET($I$133,MATCH(AH$151,$A$134:$A$146,0),0))</f>
        <v>0.47937569676700109</v>
      </c>
      <c r="AI153" s="357">
        <f ca="1">MIN(1,$O153*OFFSET($I$133,MATCH(AJ$151,$A$134:$A$146,0),0))</f>
        <v>0.52731326644370136</v>
      </c>
      <c r="AJ153" s="463">
        <f ca="1">MIN(1,$P153*OFFSET($I$133,MATCH(AJ$151,$A$134:$A$146,0),0))</f>
        <v>0.52731326644370125</v>
      </c>
      <c r="AK153" s="357">
        <f ca="1">MIN(1,$O153*OFFSET($I$133,MATCH(AL$151,$A$134:$A$146,0),0))</f>
        <v>0.5752508361204014</v>
      </c>
      <c r="AL153" s="463">
        <f ca="1">MIN(1,$P153*OFFSET($I$133,MATCH(AL$151,$A$134:$A$146,0),0))</f>
        <v>0.5752508361204014</v>
      </c>
      <c r="AM153" s="357">
        <f ca="1">MIN(1,$O153*OFFSET($I$133,MATCH(AN$151,$A$134:$A$146,0),0))</f>
        <v>0.62318840579710155</v>
      </c>
      <c r="AN153" s="463">
        <f ca="1">MIN(1,$P153*OFFSET($I$133,MATCH(AN$151,$A$134:$A$146,0),0))</f>
        <v>0.62318840579710144</v>
      </c>
    </row>
    <row r="154" spans="1:40" x14ac:dyDescent="0.25">
      <c r="A154" s="812">
        <v>2104008210</v>
      </c>
      <c r="B154" s="133">
        <f ca="1">B76-B112</f>
        <v>7.7554507658408297E-3</v>
      </c>
      <c r="C154" s="133">
        <f t="shared" ref="C154:H154" ca="1" si="42">C76-C112</f>
        <v>4.0972192725196823E-4</v>
      </c>
      <c r="D154" s="511">
        <f t="shared" ca="1" si="42"/>
        <v>5.8531703893138335E-5</v>
      </c>
      <c r="E154" s="133">
        <f t="shared" ca="1" si="42"/>
        <v>4.4776753478250842E-3</v>
      </c>
      <c r="F154" s="525">
        <f t="shared" ca="1" si="42"/>
        <v>4.4776753478250842E-3</v>
      </c>
      <c r="G154" s="133">
        <f t="shared" ca="1" si="42"/>
        <v>2.4875974154583795E-4</v>
      </c>
      <c r="H154" s="133">
        <f t="shared" ca="1" si="42"/>
        <v>3.3772793146340824E-2</v>
      </c>
      <c r="I154" s="812" t="s">
        <v>138</v>
      </c>
      <c r="L154" s="133">
        <f t="shared" ca="1" si="40"/>
        <v>7.2189101468203944E-4</v>
      </c>
      <c r="M154" s="133">
        <f t="shared" ca="1" si="41"/>
        <v>5.5224662623176032E-2</v>
      </c>
      <c r="N154" s="812">
        <f t="shared" ref="N154:N170" si="43">A154</f>
        <v>2104008210</v>
      </c>
      <c r="O154" s="357">
        <f t="shared" ref="O154:O171" ca="1" si="44">D154/L154</f>
        <v>8.1081081081081086E-2</v>
      </c>
      <c r="P154" s="463">
        <f t="shared" ref="P154:P171" ca="1" si="45">F154/M154</f>
        <v>8.1081081081081086E-2</v>
      </c>
      <c r="Q154" s="357">
        <f t="shared" ref="Q154:S171" ca="1" si="46">MIN(1,$O154*OFFSET($I$133,MATCH(R$151,$A$134:$A$146,0),0))</f>
        <v>0.16216216216216217</v>
      </c>
      <c r="R154" s="463">
        <f t="shared" ref="R154:AN171" ca="1" si="47">MIN(1,$P154*OFFSET($I$133,MATCH(R$151,$A$134:$A$146,0),0))</f>
        <v>0.16216216216216217</v>
      </c>
      <c r="S154" s="357">
        <f t="shared" ca="1" si="46"/>
        <v>0.24324324324324326</v>
      </c>
      <c r="T154" s="463">
        <f t="shared" ca="1" si="47"/>
        <v>0.24324324324324326</v>
      </c>
      <c r="U154" s="357">
        <f t="shared" ref="U154" ca="1" si="48">MIN(1,$O154*OFFSET($I$133,MATCH(V$151,$A$134:$A$146,0),0))</f>
        <v>0.32432432432432434</v>
      </c>
      <c r="V154" s="463">
        <f t="shared" ca="1" si="47"/>
        <v>0.32432432432432434</v>
      </c>
      <c r="W154" s="357">
        <f t="shared" ref="W154" ca="1" si="49">MIN(1,$O154*OFFSET($I$133,MATCH(X$151,$A$134:$A$146,0),0))</f>
        <v>0.40540540540540543</v>
      </c>
      <c r="X154" s="463">
        <f t="shared" ca="1" si="47"/>
        <v>0.40540540540540543</v>
      </c>
      <c r="Y154" s="357">
        <f t="shared" ref="Y154" ca="1" si="50">MIN(1,$O154*OFFSET($I$133,MATCH(Z$151,$A$134:$A$146,0),0))</f>
        <v>0.48648648648648651</v>
      </c>
      <c r="Z154" s="463">
        <f t="shared" ca="1" si="47"/>
        <v>0.48648648648648651</v>
      </c>
      <c r="AA154" s="357">
        <f t="shared" ref="AA154" ca="1" si="51">MIN(1,$O154*OFFSET($I$133,MATCH(AB$151,$A$134:$A$146,0),0))</f>
        <v>0.56756756756756754</v>
      </c>
      <c r="AB154" s="463">
        <f t="shared" ca="1" si="47"/>
        <v>0.56756756756756754</v>
      </c>
      <c r="AC154" s="357">
        <f t="shared" ref="AC154" ca="1" si="52">MIN(1,$O154*OFFSET($I$133,MATCH(AD$151,$A$134:$A$146,0),0))</f>
        <v>0.64864864864864868</v>
      </c>
      <c r="AD154" s="463">
        <f t="shared" ca="1" si="47"/>
        <v>0.64864864864864868</v>
      </c>
      <c r="AE154" s="357">
        <f t="shared" ref="AE154" ca="1" si="53">MIN(1,$O154*OFFSET($I$133,MATCH(AF$151,$A$134:$A$146,0),0))</f>
        <v>0.72972972972972983</v>
      </c>
      <c r="AF154" s="463">
        <f t="shared" ca="1" si="47"/>
        <v>0.72972972972972983</v>
      </c>
      <c r="AG154" s="357">
        <f t="shared" ref="AG154" ca="1" si="54">MIN(1,$O154*OFFSET($I$133,MATCH(AH$151,$A$134:$A$146,0),0))</f>
        <v>0.81081081081081086</v>
      </c>
      <c r="AH154" s="463">
        <f t="shared" ca="1" si="47"/>
        <v>0.81081081081081086</v>
      </c>
      <c r="AI154" s="357">
        <f t="shared" ref="AI154" ca="1" si="55">MIN(1,$O154*OFFSET($I$133,MATCH(AJ$151,$A$134:$A$146,0),0))</f>
        <v>0.89189189189189189</v>
      </c>
      <c r="AJ154" s="463">
        <f t="shared" ca="1" si="47"/>
        <v>0.89189189189189189</v>
      </c>
      <c r="AK154" s="357">
        <f t="shared" ref="AK154" ca="1" si="56">MIN(1,$O154*OFFSET($I$133,MATCH(AL$151,$A$134:$A$146,0),0))</f>
        <v>0.97297297297297303</v>
      </c>
      <c r="AL154" s="463">
        <f t="shared" ca="1" si="47"/>
        <v>0.97297297297297303</v>
      </c>
      <c r="AM154" s="357">
        <f t="shared" ref="AM154" ca="1" si="57">MIN(1,$O154*OFFSET($I$133,MATCH(AN$151,$A$134:$A$146,0),0))</f>
        <v>1</v>
      </c>
      <c r="AN154" s="463">
        <f t="shared" ca="1" si="47"/>
        <v>1</v>
      </c>
    </row>
    <row r="155" spans="1:40" x14ac:dyDescent="0.25">
      <c r="A155" s="812">
        <v>2104008220</v>
      </c>
      <c r="B155" s="133">
        <f ca="1">(SUM(B$78:B$79)-SUM(B$109,B$112,B$115:B$117))*$J155</f>
        <v>-1.2255569638704663E-2</v>
      </c>
      <c r="C155" s="133">
        <f t="shared" ref="C155:H156" ca="1" si="58">(SUM(C$78:C$79)-SUM(C$109,C$112,C$115:C$117))*$J155</f>
        <v>4.8717897360840306E-5</v>
      </c>
      <c r="D155" s="511">
        <f t="shared" ca="1" si="58"/>
        <v>1.6863901516346056E-5</v>
      </c>
      <c r="E155" s="133">
        <f t="shared" ca="1" si="58"/>
        <v>1.5250256549302159E-3</v>
      </c>
      <c r="F155" s="525">
        <f t="shared" ca="1" si="58"/>
        <v>1.5250256549302159E-3</v>
      </c>
      <c r="G155" s="133">
        <f t="shared" ca="1" si="58"/>
        <v>-1.5458636919556311E-5</v>
      </c>
      <c r="H155" s="133">
        <f t="shared" ca="1" si="58"/>
        <v>-1.9869069099963783E-3</v>
      </c>
      <c r="I155" s="812" t="s">
        <v>139</v>
      </c>
      <c r="J155" s="669">
        <f ca="1">INDIRECT("'DevSumOut-"&amp;$B$4&amp;"BSR'!R$52")/SUM(INDIRECT("'DevSumOut-"&amp;$B$4&amp;"BSR'!R$52:R$53"))</f>
        <v>0.60523675552456158</v>
      </c>
      <c r="L155" s="133">
        <f t="shared" ca="1" si="40"/>
        <v>1.5198811143679099E-3</v>
      </c>
      <c r="M155" s="133">
        <f t="shared" ca="1" si="41"/>
        <v>4.5596433431037281E-2</v>
      </c>
      <c r="N155" s="812">
        <f t="shared" si="43"/>
        <v>2104008220</v>
      </c>
      <c r="O155" s="357">
        <f t="shared" ca="1" si="44"/>
        <v>1.1095539879353944E-2</v>
      </c>
      <c r="P155" s="463">
        <f t="shared" ca="1" si="45"/>
        <v>3.3446161030045343E-2</v>
      </c>
      <c r="Q155" s="357">
        <f t="shared" ca="1" si="46"/>
        <v>2.2191079758707887E-2</v>
      </c>
      <c r="R155" s="463">
        <f t="shared" ca="1" si="47"/>
        <v>6.6892322060090686E-2</v>
      </c>
      <c r="S155" s="357">
        <f t="shared" ca="1" si="46"/>
        <v>3.3286619638061829E-2</v>
      </c>
      <c r="T155" s="463">
        <f t="shared" ca="1" si="47"/>
        <v>0.10033848309013603</v>
      </c>
      <c r="U155" s="357">
        <f t="shared" ref="U155" ca="1" si="59">MIN(1,$O155*OFFSET($I$133,MATCH(V$151,$A$134:$A$146,0),0))</f>
        <v>4.4382159517415774E-2</v>
      </c>
      <c r="V155" s="463">
        <f t="shared" ca="1" si="47"/>
        <v>0.13378464412018137</v>
      </c>
      <c r="W155" s="357">
        <f t="shared" ref="W155" ca="1" si="60">MIN(1,$O155*OFFSET($I$133,MATCH(X$151,$A$134:$A$146,0),0))</f>
        <v>5.547769939676972E-2</v>
      </c>
      <c r="X155" s="463">
        <f t="shared" ca="1" si="47"/>
        <v>0.1672308051502267</v>
      </c>
      <c r="Y155" s="357">
        <f t="shared" ref="Y155" ca="1" si="61">MIN(1,$O155*OFFSET($I$133,MATCH(Z$151,$A$134:$A$146,0),0))</f>
        <v>6.6573239276123658E-2</v>
      </c>
      <c r="Z155" s="463">
        <f t="shared" ca="1" si="47"/>
        <v>0.20067696618027206</v>
      </c>
      <c r="AA155" s="357">
        <f t="shared" ref="AA155" ca="1" si="62">MIN(1,$O155*OFFSET($I$133,MATCH(AB$151,$A$134:$A$146,0),0))</f>
        <v>7.766877915547761E-2</v>
      </c>
      <c r="AB155" s="463">
        <f t="shared" ca="1" si="47"/>
        <v>0.23412312721031742</v>
      </c>
      <c r="AC155" s="357">
        <f t="shared" ref="AC155" ca="1" si="63">MIN(1,$O155*OFFSET($I$133,MATCH(AD$151,$A$134:$A$146,0),0))</f>
        <v>8.8764319034831549E-2</v>
      </c>
      <c r="AD155" s="463">
        <f t="shared" ca="1" si="47"/>
        <v>0.26756928824036275</v>
      </c>
      <c r="AE155" s="357">
        <f t="shared" ref="AE155" ca="1" si="64">MIN(1,$O155*OFFSET($I$133,MATCH(AF$151,$A$134:$A$146,0),0))</f>
        <v>9.9859858914185487E-2</v>
      </c>
      <c r="AF155" s="463">
        <f t="shared" ca="1" si="47"/>
        <v>0.30101544927040808</v>
      </c>
      <c r="AG155" s="357">
        <f t="shared" ref="AG155" ca="1" si="65">MIN(1,$O155*OFFSET($I$133,MATCH(AH$151,$A$134:$A$146,0),0))</f>
        <v>0.11095539879353944</v>
      </c>
      <c r="AH155" s="463">
        <f t="shared" ca="1" si="47"/>
        <v>0.3344616103004534</v>
      </c>
      <c r="AI155" s="357">
        <f t="shared" ref="AI155" ca="1" si="66">MIN(1,$O155*OFFSET($I$133,MATCH(AJ$151,$A$134:$A$146,0),0))</f>
        <v>0.12205093867289338</v>
      </c>
      <c r="AJ155" s="463">
        <f t="shared" ca="1" si="47"/>
        <v>0.36790777133049879</v>
      </c>
      <c r="AK155" s="357">
        <f t="shared" ref="AK155" ca="1" si="67">MIN(1,$O155*OFFSET($I$133,MATCH(AL$151,$A$134:$A$146,0),0))</f>
        <v>0.13314647855224732</v>
      </c>
      <c r="AL155" s="463">
        <f t="shared" ca="1" si="47"/>
        <v>0.40135393236054412</v>
      </c>
      <c r="AM155" s="357">
        <f t="shared" ref="AM155" ca="1" si="68">MIN(1,$O155*OFFSET($I$133,MATCH(AN$151,$A$134:$A$146,0),0))</f>
        <v>0.14424201843160125</v>
      </c>
      <c r="AN155" s="463">
        <f t="shared" ca="1" si="47"/>
        <v>0.43480009339058945</v>
      </c>
    </row>
    <row r="156" spans="1:40" x14ac:dyDescent="0.25">
      <c r="A156" s="812">
        <v>2104008230</v>
      </c>
      <c r="B156" s="133">
        <f ca="1">(SUM(B$78:B$79)-SUM(B$109,B$112,B$115:B$117))*$J156</f>
        <v>-7.9936461051123217E-3</v>
      </c>
      <c r="C156" s="133">
        <f t="shared" ca="1" si="58"/>
        <v>3.1776053008410279E-5</v>
      </c>
      <c r="D156" s="511">
        <f t="shared" ca="1" si="58"/>
        <v>1.0999412075258328E-5</v>
      </c>
      <c r="E156" s="133">
        <f t="shared" ca="1" si="58"/>
        <v>9.9469186223952199E-4</v>
      </c>
      <c r="F156" s="525">
        <f t="shared" ca="1" si="58"/>
        <v>9.9469186223952199E-4</v>
      </c>
      <c r="G156" s="133">
        <f t="shared" ca="1" si="58"/>
        <v>-1.0082833882490795E-5</v>
      </c>
      <c r="H156" s="133">
        <f t="shared" ca="1" si="58"/>
        <v>-1.2959520569451066E-3</v>
      </c>
      <c r="I156" s="812" t="s">
        <v>140</v>
      </c>
      <c r="J156" s="669">
        <f ca="1">1-J155</f>
        <v>0.39476324447543842</v>
      </c>
      <c r="L156" s="133">
        <f t="shared" ca="1" si="40"/>
        <v>9.1507971351420146E-4</v>
      </c>
      <c r="M156" s="133">
        <f t="shared" ca="1" si="41"/>
        <v>2.9740090689211549E-2</v>
      </c>
      <c r="N156" s="812">
        <f t="shared" si="43"/>
        <v>2104008230</v>
      </c>
      <c r="O156" s="357">
        <f t="shared" ca="1" si="44"/>
        <v>1.2020168202633446E-2</v>
      </c>
      <c r="P156" s="463">
        <f t="shared" ca="1" si="45"/>
        <v>3.3446161030045357E-2</v>
      </c>
      <c r="Q156" s="357">
        <f t="shared" ca="1" si="46"/>
        <v>2.4040336405266892E-2</v>
      </c>
      <c r="R156" s="463">
        <f t="shared" ca="1" si="47"/>
        <v>6.6892322060090714E-2</v>
      </c>
      <c r="S156" s="357">
        <f t="shared" ca="1" si="46"/>
        <v>3.6060504607900334E-2</v>
      </c>
      <c r="T156" s="463">
        <f t="shared" ca="1" si="47"/>
        <v>0.10033848309013607</v>
      </c>
      <c r="U156" s="357">
        <f t="shared" ref="U156" ca="1" si="69">MIN(1,$O156*OFFSET($I$133,MATCH(V$151,$A$134:$A$146,0),0))</f>
        <v>4.8080672810533784E-2</v>
      </c>
      <c r="V156" s="463">
        <f t="shared" ca="1" si="47"/>
        <v>0.13378464412018143</v>
      </c>
      <c r="W156" s="357">
        <f t="shared" ref="W156" ca="1" si="70">MIN(1,$O156*OFFSET($I$133,MATCH(X$151,$A$134:$A$146,0),0))</f>
        <v>6.0100841013167233E-2</v>
      </c>
      <c r="X156" s="463">
        <f t="shared" ca="1" si="47"/>
        <v>0.16723080515022679</v>
      </c>
      <c r="Y156" s="357">
        <f t="shared" ref="Y156" ca="1" si="71">MIN(1,$O156*OFFSET($I$133,MATCH(Z$151,$A$134:$A$146,0),0))</f>
        <v>7.2121009215800669E-2</v>
      </c>
      <c r="Z156" s="463">
        <f t="shared" ca="1" si="47"/>
        <v>0.20067696618027214</v>
      </c>
      <c r="AA156" s="357">
        <f t="shared" ref="AA156" ca="1" si="72">MIN(1,$O156*OFFSET($I$133,MATCH(AB$151,$A$134:$A$146,0),0))</f>
        <v>8.4141177418434118E-2</v>
      </c>
      <c r="AB156" s="463">
        <f t="shared" ca="1" si="47"/>
        <v>0.2341231272103175</v>
      </c>
      <c r="AC156" s="357">
        <f t="shared" ref="AC156" ca="1" si="73">MIN(1,$O156*OFFSET($I$133,MATCH(AD$151,$A$134:$A$146,0),0))</f>
        <v>9.6161345621067568E-2</v>
      </c>
      <c r="AD156" s="463">
        <f t="shared" ca="1" si="47"/>
        <v>0.26756928824036286</v>
      </c>
      <c r="AE156" s="357">
        <f t="shared" ref="AE156" ca="1" si="74">MIN(1,$O156*OFFSET($I$133,MATCH(AF$151,$A$134:$A$146,0),0))</f>
        <v>0.10818151382370102</v>
      </c>
      <c r="AF156" s="463">
        <f t="shared" ca="1" si="47"/>
        <v>0.30101544927040824</v>
      </c>
      <c r="AG156" s="357">
        <f t="shared" ref="AG156" ca="1" si="75">MIN(1,$O156*OFFSET($I$133,MATCH(AH$151,$A$134:$A$146,0),0))</f>
        <v>0.12020168202633447</v>
      </c>
      <c r="AH156" s="463">
        <f t="shared" ca="1" si="47"/>
        <v>0.33446161030045357</v>
      </c>
      <c r="AI156" s="357">
        <f t="shared" ref="AI156" ca="1" si="76">MIN(1,$O156*OFFSET($I$133,MATCH(AJ$151,$A$134:$A$146,0),0))</f>
        <v>0.1322218502289679</v>
      </c>
      <c r="AJ156" s="463">
        <f t="shared" ca="1" si="47"/>
        <v>0.3679077713304989</v>
      </c>
      <c r="AK156" s="357">
        <f t="shared" ref="AK156" ca="1" si="77">MIN(1,$O156*OFFSET($I$133,MATCH(AL$151,$A$134:$A$146,0),0))</f>
        <v>0.14424201843160134</v>
      </c>
      <c r="AL156" s="463">
        <f t="shared" ca="1" si="47"/>
        <v>0.40135393236054429</v>
      </c>
      <c r="AM156" s="357">
        <f t="shared" ref="AM156" ca="1" si="78">MIN(1,$O156*OFFSET($I$133,MATCH(AN$151,$A$134:$A$146,0),0))</f>
        <v>0.1562621866342348</v>
      </c>
      <c r="AN156" s="463">
        <f t="shared" ca="1" si="47"/>
        <v>0.43480009339058967</v>
      </c>
    </row>
    <row r="157" spans="1:40" x14ac:dyDescent="0.25">
      <c r="A157" s="812">
        <v>2104008310</v>
      </c>
      <c r="B157" s="133">
        <f ca="1">B77-B114</f>
        <v>0.14996036093003826</v>
      </c>
      <c r="C157" s="133">
        <f t="shared" ref="C157:H157" ca="1" si="79">C77-C114</f>
        <v>4.1087515737483447E-3</v>
      </c>
      <c r="D157" s="511">
        <f t="shared" ca="1" si="79"/>
        <v>1.1317763089059496E-3</v>
      </c>
      <c r="E157" s="133">
        <f t="shared" ca="1" si="79"/>
        <v>3.4355153001012446E-2</v>
      </c>
      <c r="F157" s="525">
        <f t="shared" ca="1" si="79"/>
        <v>3.4355153001012446E-2</v>
      </c>
      <c r="G157" s="133">
        <f t="shared" ca="1" si="79"/>
        <v>1.1233687536385403E-3</v>
      </c>
      <c r="H157" s="133">
        <f t="shared" ca="1" si="79"/>
        <v>0.34284515402372107</v>
      </c>
      <c r="I157" s="812" t="s">
        <v>141</v>
      </c>
      <c r="J157" s="812"/>
      <c r="L157" s="133">
        <f t="shared" ca="1" si="40"/>
        <v>1.465021555417146E-2</v>
      </c>
      <c r="M157" s="133">
        <f t="shared" ca="1" si="41"/>
        <v>0.44470836940199449</v>
      </c>
      <c r="N157" s="812">
        <f t="shared" si="43"/>
        <v>2104008310</v>
      </c>
      <c r="O157" s="357">
        <f t="shared" ca="1" si="44"/>
        <v>7.7253218884120164E-2</v>
      </c>
      <c r="P157" s="463">
        <f t="shared" ca="1" si="45"/>
        <v>7.7253218884120164E-2</v>
      </c>
      <c r="Q157" s="357">
        <f t="shared" ca="1" si="46"/>
        <v>0.15450643776824033</v>
      </c>
      <c r="R157" s="463">
        <f t="shared" ca="1" si="47"/>
        <v>0.15450643776824033</v>
      </c>
      <c r="S157" s="357">
        <f t="shared" ca="1" si="46"/>
        <v>0.23175965665236048</v>
      </c>
      <c r="T157" s="463">
        <f t="shared" ca="1" si="47"/>
        <v>0.23175965665236048</v>
      </c>
      <c r="U157" s="357">
        <f t="shared" ref="U157" ca="1" si="80">MIN(1,$O157*OFFSET($I$133,MATCH(V$151,$A$134:$A$146,0),0))</f>
        <v>0.30901287553648066</v>
      </c>
      <c r="V157" s="463">
        <f t="shared" ca="1" si="47"/>
        <v>0.30901287553648066</v>
      </c>
      <c r="W157" s="357">
        <f t="shared" ref="W157" ca="1" si="81">MIN(1,$O157*OFFSET($I$133,MATCH(X$151,$A$134:$A$146,0),0))</f>
        <v>0.38626609442060084</v>
      </c>
      <c r="X157" s="463">
        <f t="shared" ca="1" si="47"/>
        <v>0.38626609442060084</v>
      </c>
      <c r="Y157" s="357">
        <f t="shared" ref="Y157" ca="1" si="82">MIN(1,$O157*OFFSET($I$133,MATCH(Z$151,$A$134:$A$146,0),0))</f>
        <v>0.46351931330472096</v>
      </c>
      <c r="Z157" s="463">
        <f t="shared" ca="1" si="47"/>
        <v>0.46351931330472096</v>
      </c>
      <c r="AA157" s="357">
        <f t="shared" ref="AA157" ca="1" si="83">MIN(1,$O157*OFFSET($I$133,MATCH(AB$151,$A$134:$A$146,0),0))</f>
        <v>0.54077253218884114</v>
      </c>
      <c r="AB157" s="463">
        <f t="shared" ca="1" si="47"/>
        <v>0.54077253218884114</v>
      </c>
      <c r="AC157" s="357">
        <f t="shared" ref="AC157" ca="1" si="84">MIN(1,$O157*OFFSET($I$133,MATCH(AD$151,$A$134:$A$146,0),0))</f>
        <v>0.61802575107296132</v>
      </c>
      <c r="AD157" s="463">
        <f t="shared" ca="1" si="47"/>
        <v>0.61802575107296132</v>
      </c>
      <c r="AE157" s="357">
        <f t="shared" ref="AE157" ca="1" si="85">MIN(1,$O157*OFFSET($I$133,MATCH(AF$151,$A$134:$A$146,0),0))</f>
        <v>0.69527896995708149</v>
      </c>
      <c r="AF157" s="463">
        <f t="shared" ca="1" si="47"/>
        <v>0.69527896995708149</v>
      </c>
      <c r="AG157" s="357">
        <f t="shared" ref="AG157" ca="1" si="86">MIN(1,$O157*OFFSET($I$133,MATCH(AH$151,$A$134:$A$146,0),0))</f>
        <v>0.77253218884120167</v>
      </c>
      <c r="AH157" s="463">
        <f t="shared" ca="1" si="47"/>
        <v>0.77253218884120167</v>
      </c>
      <c r="AI157" s="357">
        <f t="shared" ref="AI157" ca="1" si="87">MIN(1,$O157*OFFSET($I$133,MATCH(AJ$151,$A$134:$A$146,0),0))</f>
        <v>0.84978540772532185</v>
      </c>
      <c r="AJ157" s="463">
        <f t="shared" ca="1" si="47"/>
        <v>0.84978540772532185</v>
      </c>
      <c r="AK157" s="357">
        <f t="shared" ref="AK157" ca="1" si="88">MIN(1,$O157*OFFSET($I$133,MATCH(AL$151,$A$134:$A$146,0),0))</f>
        <v>0.92703862660944192</v>
      </c>
      <c r="AL157" s="463">
        <f t="shared" ca="1" si="47"/>
        <v>0.92703862660944192</v>
      </c>
      <c r="AM157" s="357">
        <f t="shared" ref="AM157" ca="1" si="89">MIN(1,$O157*OFFSET($I$133,MATCH(AN$151,$A$134:$A$146,0),0))</f>
        <v>1</v>
      </c>
      <c r="AN157" s="463">
        <f t="shared" ca="1" si="47"/>
        <v>1</v>
      </c>
    </row>
    <row r="158" spans="1:40" x14ac:dyDescent="0.25">
      <c r="A158" s="812">
        <v>2104008320</v>
      </c>
      <c r="B158" s="133">
        <f ca="1">(SUM(B$80:B$81)-SUM(B$113,B$118:B$120))*$J158</f>
        <v>-5.5629164050916786E-2</v>
      </c>
      <c r="C158" s="133">
        <f t="shared" ref="C158:H159" ca="1" si="90">(SUM(C$80:C$81)-SUM(C$113,C$118:C$120))*$J158</f>
        <v>-4.0162697921580103E-4</v>
      </c>
      <c r="D158" s="511">
        <f t="shared" ca="1" si="90"/>
        <v>-1.4941831288317229E-4</v>
      </c>
      <c r="E158" s="133">
        <f t="shared" ca="1" si="90"/>
        <v>1.0554360606800471E-2</v>
      </c>
      <c r="F158" s="525">
        <f t="shared" ca="1" si="90"/>
        <v>1.0554360606800471E-2</v>
      </c>
      <c r="G158" s="133">
        <f t="shared" ca="1" si="90"/>
        <v>-2.8066670333048028E-4</v>
      </c>
      <c r="H158" s="133">
        <f t="shared" ca="1" si="90"/>
        <v>-4.3042856463955316E-2</v>
      </c>
      <c r="I158" s="812" t="s">
        <v>142</v>
      </c>
      <c r="J158" s="669">
        <f ca="1">INDIRECT("'DevSumOut-"&amp;$B$4&amp;"BSR'!R$55")/SUM(INDIRECT("'DevSumOut-"&amp;$B$4&amp;"BSR'!R$55:R$56"))</f>
        <v>0.59950103122580445</v>
      </c>
      <c r="L158" s="133">
        <f t="shared" ca="1" si="40"/>
        <v>3.0844802732461808E-2</v>
      </c>
      <c r="M158" s="133">
        <f t="shared" ca="1" si="41"/>
        <v>0.61112231325346655</v>
      </c>
      <c r="N158" s="812">
        <f t="shared" si="43"/>
        <v>2104008320</v>
      </c>
      <c r="O158" s="357">
        <f t="shared" ca="1" si="44"/>
        <v>-4.844197389724943E-3</v>
      </c>
      <c r="P158" s="463">
        <f t="shared" ca="1" si="45"/>
        <v>1.7270455321147779E-2</v>
      </c>
      <c r="Q158" s="357">
        <f t="shared" ca="1" si="46"/>
        <v>-9.6883947794498861E-3</v>
      </c>
      <c r="R158" s="463">
        <f t="shared" ca="1" si="47"/>
        <v>3.4540910642295558E-2</v>
      </c>
      <c r="S158" s="357">
        <f t="shared" ca="1" si="46"/>
        <v>-1.4532592169174829E-2</v>
      </c>
      <c r="T158" s="463">
        <f t="shared" ca="1" si="47"/>
        <v>5.1811365963443337E-2</v>
      </c>
      <c r="U158" s="357">
        <f t="shared" ref="U158" ca="1" si="91">MIN(1,$O158*OFFSET($I$133,MATCH(V$151,$A$134:$A$146,0),0))</f>
        <v>-1.9376789558899772E-2</v>
      </c>
      <c r="V158" s="463">
        <f t="shared" ca="1" si="47"/>
        <v>6.9081821284591116E-2</v>
      </c>
      <c r="W158" s="357">
        <f t="shared" ref="W158" ca="1" si="92">MIN(1,$O158*OFFSET($I$133,MATCH(X$151,$A$134:$A$146,0),0))</f>
        <v>-2.4220986948624713E-2</v>
      </c>
      <c r="X158" s="463">
        <f t="shared" ca="1" si="47"/>
        <v>8.6352276605738895E-2</v>
      </c>
      <c r="Y158" s="357">
        <f t="shared" ref="Y158" ca="1" si="93">MIN(1,$O158*OFFSET($I$133,MATCH(Z$151,$A$134:$A$146,0),0))</f>
        <v>-2.9065184338349658E-2</v>
      </c>
      <c r="Z158" s="463">
        <f t="shared" ca="1" si="47"/>
        <v>0.10362273192688667</v>
      </c>
      <c r="AA158" s="357">
        <f t="shared" ref="AA158" ca="1" si="94">MIN(1,$O158*OFFSET($I$133,MATCH(AB$151,$A$134:$A$146,0),0))</f>
        <v>-3.3909381728074603E-2</v>
      </c>
      <c r="AB158" s="463">
        <f t="shared" ca="1" si="47"/>
        <v>0.12089318724803445</v>
      </c>
      <c r="AC158" s="357">
        <f t="shared" ref="AC158" ca="1" si="95">MIN(1,$O158*OFFSET($I$133,MATCH(AD$151,$A$134:$A$146,0),0))</f>
        <v>-3.8753579117799544E-2</v>
      </c>
      <c r="AD158" s="463">
        <f t="shared" ca="1" si="47"/>
        <v>0.13816364256918223</v>
      </c>
      <c r="AE158" s="357">
        <f t="shared" ref="AE158" ca="1" si="96">MIN(1,$O158*OFFSET($I$133,MATCH(AF$151,$A$134:$A$146,0),0))</f>
        <v>-4.3597776507524486E-2</v>
      </c>
      <c r="AF158" s="463">
        <f t="shared" ca="1" si="47"/>
        <v>0.15543409789033003</v>
      </c>
      <c r="AG158" s="357">
        <f t="shared" ref="AG158" ca="1" si="97">MIN(1,$O158*OFFSET($I$133,MATCH(AH$151,$A$134:$A$146,0),0))</f>
        <v>-4.8441973897249427E-2</v>
      </c>
      <c r="AH158" s="463">
        <f t="shared" ca="1" si="47"/>
        <v>0.17270455321147779</v>
      </c>
      <c r="AI158" s="357">
        <f t="shared" ref="AI158" ca="1" si="98">MIN(1,$O158*OFFSET($I$133,MATCH(AJ$151,$A$134:$A$146,0),0))</f>
        <v>-5.3286171286974375E-2</v>
      </c>
      <c r="AJ158" s="463">
        <f t="shared" ca="1" si="47"/>
        <v>0.18997500853262556</v>
      </c>
      <c r="AK158" s="357">
        <f t="shared" ref="AK158" ca="1" si="99">MIN(1,$O158*OFFSET($I$133,MATCH(AL$151,$A$134:$A$146,0),0))</f>
        <v>-5.8130368676699316E-2</v>
      </c>
      <c r="AL158" s="463">
        <f t="shared" ca="1" si="47"/>
        <v>0.20724546385377335</v>
      </c>
      <c r="AM158" s="357">
        <f t="shared" ref="AM158" ca="1" si="100">MIN(1,$O158*OFFSET($I$133,MATCH(AN$151,$A$134:$A$146,0),0))</f>
        <v>-6.2974566066424265E-2</v>
      </c>
      <c r="AN158" s="463">
        <f t="shared" ca="1" si="47"/>
        <v>0.22451591917492114</v>
      </c>
    </row>
    <row r="159" spans="1:40" x14ac:dyDescent="0.25">
      <c r="A159" s="812">
        <v>2104008330</v>
      </c>
      <c r="B159" s="133">
        <f ca="1">(SUM(B$80:B$81)-SUM(B$113,B$118:B$120))*$J159</f>
        <v>-3.7163276918152778E-2</v>
      </c>
      <c r="C159" s="133">
        <f t="shared" ca="1" si="90"/>
        <v>-2.6830844757502731E-4</v>
      </c>
      <c r="D159" s="511">
        <f t="shared" ca="1" si="90"/>
        <v>-9.9819478380765151E-5</v>
      </c>
      <c r="E159" s="133">
        <f t="shared" ca="1" si="90"/>
        <v>7.0508811810574877E-3</v>
      </c>
      <c r="F159" s="525">
        <f t="shared" ca="1" si="90"/>
        <v>7.0508811810574877E-3</v>
      </c>
      <c r="G159" s="133">
        <f t="shared" ca="1" si="90"/>
        <v>-1.8750047022149656E-4</v>
      </c>
      <c r="H159" s="133">
        <f t="shared" ca="1" si="90"/>
        <v>-2.8754945744900357E-2</v>
      </c>
      <c r="I159" s="812" t="s">
        <v>143</v>
      </c>
      <c r="J159" s="669">
        <f ca="1">1-J158</f>
        <v>0.40049896877419555</v>
      </c>
      <c r="L159" s="133">
        <f t="shared" ca="1" si="40"/>
        <v>1.8570829639896966E-2</v>
      </c>
      <c r="M159" s="133">
        <f t="shared" ca="1" si="41"/>
        <v>0.4082626109123853</v>
      </c>
      <c r="N159" s="812">
        <f t="shared" si="43"/>
        <v>2104008330</v>
      </c>
      <c r="O159" s="357">
        <f t="shared" ca="1" si="44"/>
        <v>-5.3750683365441157E-3</v>
      </c>
      <c r="P159" s="463">
        <f t="shared" ca="1" si="45"/>
        <v>1.7270455321147772E-2</v>
      </c>
      <c r="Q159" s="357">
        <f t="shared" ca="1" si="46"/>
        <v>-1.0750136673088231E-2</v>
      </c>
      <c r="R159" s="463">
        <f t="shared" ca="1" si="47"/>
        <v>3.4540910642295544E-2</v>
      </c>
      <c r="S159" s="357">
        <f t="shared" ca="1" si="46"/>
        <v>-1.6125205009632347E-2</v>
      </c>
      <c r="T159" s="463">
        <f t="shared" ca="1" si="47"/>
        <v>5.1811365963443316E-2</v>
      </c>
      <c r="U159" s="357">
        <f t="shared" ref="U159" ca="1" si="101">MIN(1,$O159*OFFSET($I$133,MATCH(V$151,$A$134:$A$146,0),0))</f>
        <v>-2.1500273346176463E-2</v>
      </c>
      <c r="V159" s="463">
        <f t="shared" ca="1" si="47"/>
        <v>6.9081821284591088E-2</v>
      </c>
      <c r="W159" s="357">
        <f t="shared" ref="W159" ca="1" si="102">MIN(1,$O159*OFFSET($I$133,MATCH(X$151,$A$134:$A$146,0),0))</f>
        <v>-2.6875341682720578E-2</v>
      </c>
      <c r="X159" s="463">
        <f t="shared" ca="1" si="47"/>
        <v>8.6352276605738854E-2</v>
      </c>
      <c r="Y159" s="357">
        <f t="shared" ref="Y159" ca="1" si="103">MIN(1,$O159*OFFSET($I$133,MATCH(Z$151,$A$134:$A$146,0),0))</f>
        <v>-3.2250410019264694E-2</v>
      </c>
      <c r="Z159" s="463">
        <f t="shared" ca="1" si="47"/>
        <v>0.10362273192688663</v>
      </c>
      <c r="AA159" s="357">
        <f t="shared" ref="AA159" ca="1" si="104">MIN(1,$O159*OFFSET($I$133,MATCH(AB$151,$A$134:$A$146,0),0))</f>
        <v>-3.762547835580881E-2</v>
      </c>
      <c r="AB159" s="463">
        <f t="shared" ca="1" si="47"/>
        <v>0.12089318724803441</v>
      </c>
      <c r="AC159" s="357">
        <f t="shared" ref="AC159" ca="1" si="105">MIN(1,$O159*OFFSET($I$133,MATCH(AD$151,$A$134:$A$146,0),0))</f>
        <v>-4.3000546692352926E-2</v>
      </c>
      <c r="AD159" s="463">
        <f t="shared" ca="1" si="47"/>
        <v>0.13816364256918218</v>
      </c>
      <c r="AE159" s="357">
        <f t="shared" ref="AE159" ca="1" si="106">MIN(1,$O159*OFFSET($I$133,MATCH(AF$151,$A$134:$A$146,0),0))</f>
        <v>-4.8375615028897041E-2</v>
      </c>
      <c r="AF159" s="463">
        <f t="shared" ca="1" si="47"/>
        <v>0.15543409789032994</v>
      </c>
      <c r="AG159" s="357">
        <f t="shared" ref="AG159" ca="1" si="107">MIN(1,$O159*OFFSET($I$133,MATCH(AH$151,$A$134:$A$146,0),0))</f>
        <v>-5.3750683365441157E-2</v>
      </c>
      <c r="AH159" s="463">
        <f t="shared" ca="1" si="47"/>
        <v>0.17270455321147771</v>
      </c>
      <c r="AI159" s="357">
        <f t="shared" ref="AI159" ca="1" si="108">MIN(1,$O159*OFFSET($I$133,MATCH(AJ$151,$A$134:$A$146,0),0))</f>
        <v>-5.9125751701985273E-2</v>
      </c>
      <c r="AJ159" s="463">
        <f t="shared" ca="1" si="47"/>
        <v>0.1899750085326255</v>
      </c>
      <c r="AK159" s="357">
        <f t="shared" ref="AK159" ca="1" si="109">MIN(1,$O159*OFFSET($I$133,MATCH(AL$151,$A$134:$A$146,0),0))</f>
        <v>-6.4500820038529388E-2</v>
      </c>
      <c r="AL159" s="463">
        <f t="shared" ca="1" si="47"/>
        <v>0.20724546385377327</v>
      </c>
      <c r="AM159" s="357">
        <f t="shared" ref="AM159" ca="1" si="110">MIN(1,$O159*OFFSET($I$133,MATCH(AN$151,$A$134:$A$146,0),0))</f>
        <v>-6.9875888375073497E-2</v>
      </c>
      <c r="AN159" s="463">
        <f t="shared" ca="1" si="47"/>
        <v>0.22451591917492103</v>
      </c>
    </row>
    <row r="160" spans="1:40" x14ac:dyDescent="0.25">
      <c r="A160" s="812">
        <v>2104008410</v>
      </c>
      <c r="B160" s="521"/>
      <c r="C160" s="521"/>
      <c r="D160" s="511"/>
      <c r="E160" s="521"/>
      <c r="F160" s="525"/>
      <c r="G160" s="521"/>
      <c r="H160" s="521"/>
      <c r="I160" s="812" t="s">
        <v>144</v>
      </c>
      <c r="L160" s="133">
        <f t="shared" ca="1" si="40"/>
        <v>1.6285791369189189E-3</v>
      </c>
      <c r="M160" s="133">
        <f t="shared" ca="1" si="41"/>
        <v>1.50643570165E-2</v>
      </c>
      <c r="N160" s="812">
        <f t="shared" si="43"/>
        <v>2104008410</v>
      </c>
      <c r="O160" s="357">
        <f t="shared" ca="1" si="44"/>
        <v>0</v>
      </c>
      <c r="P160" s="463">
        <f t="shared" ca="1" si="45"/>
        <v>0</v>
      </c>
      <c r="Q160" s="357">
        <f t="shared" ca="1" si="46"/>
        <v>0</v>
      </c>
      <c r="R160" s="463">
        <f t="shared" ca="1" si="47"/>
        <v>0</v>
      </c>
      <c r="S160" s="357">
        <f t="shared" ca="1" si="46"/>
        <v>0</v>
      </c>
      <c r="T160" s="463">
        <f t="shared" ca="1" si="47"/>
        <v>0</v>
      </c>
      <c r="U160" s="357">
        <f t="shared" ref="U160" ca="1" si="111">MIN(1,$O160*OFFSET($I$133,MATCH(V$151,$A$134:$A$146,0),0))</f>
        <v>0</v>
      </c>
      <c r="V160" s="463">
        <f t="shared" ca="1" si="47"/>
        <v>0</v>
      </c>
      <c r="W160" s="357">
        <f t="shared" ref="W160" ca="1" si="112">MIN(1,$O160*OFFSET($I$133,MATCH(X$151,$A$134:$A$146,0),0))</f>
        <v>0</v>
      </c>
      <c r="X160" s="463">
        <f t="shared" ca="1" si="47"/>
        <v>0</v>
      </c>
      <c r="Y160" s="357">
        <f t="shared" ref="Y160" ca="1" si="113">MIN(1,$O160*OFFSET($I$133,MATCH(Z$151,$A$134:$A$146,0),0))</f>
        <v>0</v>
      </c>
      <c r="Z160" s="463">
        <f t="shared" ca="1" si="47"/>
        <v>0</v>
      </c>
      <c r="AA160" s="357">
        <f t="shared" ref="AA160" ca="1" si="114">MIN(1,$O160*OFFSET($I$133,MATCH(AB$151,$A$134:$A$146,0),0))</f>
        <v>0</v>
      </c>
      <c r="AB160" s="463">
        <f t="shared" ca="1" si="47"/>
        <v>0</v>
      </c>
      <c r="AC160" s="357">
        <f t="shared" ref="AC160" ca="1" si="115">MIN(1,$O160*OFFSET($I$133,MATCH(AD$151,$A$134:$A$146,0),0))</f>
        <v>0</v>
      </c>
      <c r="AD160" s="463">
        <f t="shared" ca="1" si="47"/>
        <v>0</v>
      </c>
      <c r="AE160" s="357">
        <f t="shared" ref="AE160" ca="1" si="116">MIN(1,$O160*OFFSET($I$133,MATCH(AF$151,$A$134:$A$146,0),0))</f>
        <v>0</v>
      </c>
      <c r="AF160" s="463">
        <f t="shared" ca="1" si="47"/>
        <v>0</v>
      </c>
      <c r="AG160" s="357">
        <f t="shared" ref="AG160" ca="1" si="117">MIN(1,$O160*OFFSET($I$133,MATCH(AH$151,$A$134:$A$146,0),0))</f>
        <v>0</v>
      </c>
      <c r="AH160" s="463">
        <f t="shared" ca="1" si="47"/>
        <v>0</v>
      </c>
      <c r="AI160" s="357">
        <f t="shared" ref="AI160" ca="1" si="118">MIN(1,$O160*OFFSET($I$133,MATCH(AJ$151,$A$134:$A$146,0),0))</f>
        <v>0</v>
      </c>
      <c r="AJ160" s="463">
        <f t="shared" ca="1" si="47"/>
        <v>0</v>
      </c>
      <c r="AK160" s="357">
        <f t="shared" ref="AK160" ca="1" si="119">MIN(1,$O160*OFFSET($I$133,MATCH(AL$151,$A$134:$A$146,0),0))</f>
        <v>0</v>
      </c>
      <c r="AL160" s="463">
        <f t="shared" ca="1" si="47"/>
        <v>0</v>
      </c>
      <c r="AM160" s="357">
        <f t="shared" ref="AM160" ca="1" si="120">MIN(1,$O160*OFFSET($I$133,MATCH(AN$151,$A$134:$A$146,0),0))</f>
        <v>0</v>
      </c>
      <c r="AN160" s="463">
        <f t="shared" ca="1" si="47"/>
        <v>0</v>
      </c>
    </row>
    <row r="161" spans="1:40" x14ac:dyDescent="0.25">
      <c r="A161" s="812">
        <v>2104008420</v>
      </c>
      <c r="B161" s="521"/>
      <c r="C161" s="521"/>
      <c r="D161" s="511"/>
      <c r="E161" s="521"/>
      <c r="F161" s="525"/>
      <c r="G161" s="521"/>
      <c r="H161" s="521"/>
      <c r="I161" s="812" t="s">
        <v>145</v>
      </c>
      <c r="L161" s="133">
        <f t="shared" ca="1" si="40"/>
        <v>5.4932480427814434E-3</v>
      </c>
      <c r="M161" s="133">
        <f t="shared" ca="1" si="41"/>
        <v>5.0812544395728347E-2</v>
      </c>
      <c r="N161" s="812">
        <f t="shared" si="43"/>
        <v>2104008420</v>
      </c>
      <c r="O161" s="357">
        <f t="shared" ca="1" si="44"/>
        <v>0</v>
      </c>
      <c r="P161" s="463">
        <f t="shared" ca="1" si="45"/>
        <v>0</v>
      </c>
      <c r="Q161" s="357">
        <f t="shared" ca="1" si="46"/>
        <v>0</v>
      </c>
      <c r="R161" s="463">
        <f t="shared" ca="1" si="47"/>
        <v>0</v>
      </c>
      <c r="S161" s="357">
        <f t="shared" ca="1" si="46"/>
        <v>0</v>
      </c>
      <c r="T161" s="463">
        <f t="shared" ca="1" si="47"/>
        <v>0</v>
      </c>
      <c r="U161" s="357">
        <f t="shared" ref="U161" ca="1" si="121">MIN(1,$O161*OFFSET($I$133,MATCH(V$151,$A$134:$A$146,0),0))</f>
        <v>0</v>
      </c>
      <c r="V161" s="463">
        <f t="shared" ca="1" si="47"/>
        <v>0</v>
      </c>
      <c r="W161" s="357">
        <f t="shared" ref="W161" ca="1" si="122">MIN(1,$O161*OFFSET($I$133,MATCH(X$151,$A$134:$A$146,0),0))</f>
        <v>0</v>
      </c>
      <c r="X161" s="463">
        <f t="shared" ca="1" si="47"/>
        <v>0</v>
      </c>
      <c r="Y161" s="357">
        <f t="shared" ref="Y161" ca="1" si="123">MIN(1,$O161*OFFSET($I$133,MATCH(Z$151,$A$134:$A$146,0),0))</f>
        <v>0</v>
      </c>
      <c r="Z161" s="463">
        <f t="shared" ca="1" si="47"/>
        <v>0</v>
      </c>
      <c r="AA161" s="357">
        <f t="shared" ref="AA161" ca="1" si="124">MIN(1,$O161*OFFSET($I$133,MATCH(AB$151,$A$134:$A$146,0),0))</f>
        <v>0</v>
      </c>
      <c r="AB161" s="463">
        <f t="shared" ca="1" si="47"/>
        <v>0</v>
      </c>
      <c r="AC161" s="357">
        <f t="shared" ref="AC161" ca="1" si="125">MIN(1,$O161*OFFSET($I$133,MATCH(AD$151,$A$134:$A$146,0),0))</f>
        <v>0</v>
      </c>
      <c r="AD161" s="463">
        <f t="shared" ca="1" si="47"/>
        <v>0</v>
      </c>
      <c r="AE161" s="357">
        <f t="shared" ref="AE161" ca="1" si="126">MIN(1,$O161*OFFSET($I$133,MATCH(AF$151,$A$134:$A$146,0),0))</f>
        <v>0</v>
      </c>
      <c r="AF161" s="463">
        <f t="shared" ca="1" si="47"/>
        <v>0</v>
      </c>
      <c r="AG161" s="357">
        <f t="shared" ref="AG161" ca="1" si="127">MIN(1,$O161*OFFSET($I$133,MATCH(AH$151,$A$134:$A$146,0),0))</f>
        <v>0</v>
      </c>
      <c r="AH161" s="463">
        <f t="shared" ca="1" si="47"/>
        <v>0</v>
      </c>
      <c r="AI161" s="357">
        <f t="shared" ref="AI161" ca="1" si="128">MIN(1,$O161*OFFSET($I$133,MATCH(AJ$151,$A$134:$A$146,0),0))</f>
        <v>0</v>
      </c>
      <c r="AJ161" s="463">
        <f t="shared" ca="1" si="47"/>
        <v>0</v>
      </c>
      <c r="AK161" s="357">
        <f t="shared" ref="AK161" ca="1" si="129">MIN(1,$O161*OFFSET($I$133,MATCH(AL$151,$A$134:$A$146,0),0))</f>
        <v>0</v>
      </c>
      <c r="AL161" s="463">
        <f t="shared" ca="1" si="47"/>
        <v>0</v>
      </c>
      <c r="AM161" s="357">
        <f t="shared" ref="AM161" ca="1" si="130">MIN(1,$O161*OFFSET($I$133,MATCH(AN$151,$A$134:$A$146,0),0))</f>
        <v>0</v>
      </c>
      <c r="AN161" s="463">
        <f t="shared" ca="1" si="47"/>
        <v>0</v>
      </c>
    </row>
    <row r="162" spans="1:40" x14ac:dyDescent="0.25">
      <c r="A162" s="812">
        <v>2104008610</v>
      </c>
      <c r="B162" s="133">
        <f ca="1">SUM(B84:B85)-SUM(B123:B126)</f>
        <v>3.1436176335598739E-2</v>
      </c>
      <c r="C162" s="133">
        <f t="shared" ref="C162:H162" ca="1" si="131">SUM(C84:C85)-SUM(C123:C126)</f>
        <v>1.0875653009181532E-3</v>
      </c>
      <c r="D162" s="511">
        <f t="shared" ca="1" si="131"/>
        <v>2.7217512050584607E-4</v>
      </c>
      <c r="E162" s="133">
        <f t="shared" ca="1" si="131"/>
        <v>1.6732029378509275E-2</v>
      </c>
      <c r="F162" s="525">
        <f t="shared" ca="1" si="131"/>
        <v>1.6732029378509275E-2</v>
      </c>
      <c r="G162" s="133">
        <f t="shared" ca="1" si="131"/>
        <v>1.6797853261367685E-4</v>
      </c>
      <c r="H162" s="133">
        <f t="shared" ca="1" si="131"/>
        <v>4.0837042854260833E-2</v>
      </c>
      <c r="I162" s="812" t="s">
        <v>146</v>
      </c>
      <c r="L162" s="133">
        <f t="shared" ca="1" si="40"/>
        <v>1.0231093800626926E-2</v>
      </c>
      <c r="M162" s="133">
        <f t="shared" ca="1" si="41"/>
        <v>0.25245612937457973</v>
      </c>
      <c r="N162" s="812">
        <f t="shared" si="43"/>
        <v>2104008610</v>
      </c>
      <c r="O162" s="357">
        <f t="shared" ca="1" si="44"/>
        <v>2.6602739238806326E-2</v>
      </c>
      <c r="P162" s="463">
        <f t="shared" ca="1" si="45"/>
        <v>6.6276978182150864E-2</v>
      </c>
      <c r="Q162" s="357">
        <f t="shared" ca="1" si="46"/>
        <v>5.3205478477612651E-2</v>
      </c>
      <c r="R162" s="463">
        <f t="shared" ca="1" si="47"/>
        <v>0.13255395636430173</v>
      </c>
      <c r="S162" s="357">
        <f t="shared" ca="1" si="46"/>
        <v>7.980821771641898E-2</v>
      </c>
      <c r="T162" s="463">
        <f t="shared" ca="1" si="47"/>
        <v>0.19883093454645259</v>
      </c>
      <c r="U162" s="357">
        <f t="shared" ref="U162" ca="1" si="132">MIN(1,$O162*OFFSET($I$133,MATCH(V$151,$A$134:$A$146,0),0))</f>
        <v>0.1064109569552253</v>
      </c>
      <c r="V162" s="463">
        <f t="shared" ca="1" si="47"/>
        <v>0.26510791272860346</v>
      </c>
      <c r="W162" s="357">
        <f t="shared" ref="W162" ca="1" si="133">MIN(1,$O162*OFFSET($I$133,MATCH(X$151,$A$134:$A$146,0),0))</f>
        <v>0.13301369619403164</v>
      </c>
      <c r="X162" s="463">
        <f t="shared" ca="1" si="47"/>
        <v>0.33138489091075429</v>
      </c>
      <c r="Y162" s="357">
        <f t="shared" ref="Y162" ca="1" si="134">MIN(1,$O162*OFFSET($I$133,MATCH(Z$151,$A$134:$A$146,0),0))</f>
        <v>0.15961643543283796</v>
      </c>
      <c r="Z162" s="463">
        <f t="shared" ca="1" si="47"/>
        <v>0.39766186909290518</v>
      </c>
      <c r="AA162" s="357">
        <f t="shared" ref="AA162" ca="1" si="135">MIN(1,$O162*OFFSET($I$133,MATCH(AB$151,$A$134:$A$146,0),0))</f>
        <v>0.18621917467164428</v>
      </c>
      <c r="AB162" s="463">
        <f t="shared" ca="1" si="47"/>
        <v>0.46393884727505608</v>
      </c>
      <c r="AC162" s="357">
        <f t="shared" ref="AC162" ca="1" si="136">MIN(1,$O162*OFFSET($I$133,MATCH(AD$151,$A$134:$A$146,0),0))</f>
        <v>0.21282191391045061</v>
      </c>
      <c r="AD162" s="463">
        <f t="shared" ca="1" si="47"/>
        <v>0.53021582545720691</v>
      </c>
      <c r="AE162" s="357">
        <f t="shared" ref="AE162" ca="1" si="137">MIN(1,$O162*OFFSET($I$133,MATCH(AF$151,$A$134:$A$146,0),0))</f>
        <v>0.23942465314925693</v>
      </c>
      <c r="AF162" s="463">
        <f t="shared" ca="1" si="47"/>
        <v>0.59649280363935775</v>
      </c>
      <c r="AG162" s="357">
        <f t="shared" ref="AG162" ca="1" si="138">MIN(1,$O162*OFFSET($I$133,MATCH(AH$151,$A$134:$A$146,0),0))</f>
        <v>0.26602739238806328</v>
      </c>
      <c r="AH162" s="463">
        <f t="shared" ca="1" si="47"/>
        <v>0.66276978182150859</v>
      </c>
      <c r="AI162" s="357">
        <f t="shared" ref="AI162" ca="1" si="139">MIN(1,$O162*OFFSET($I$133,MATCH(AJ$151,$A$134:$A$146,0),0))</f>
        <v>0.29263013162686957</v>
      </c>
      <c r="AJ162" s="463">
        <f t="shared" ca="1" si="47"/>
        <v>0.72904676000365953</v>
      </c>
      <c r="AK162" s="357">
        <f t="shared" ref="AK162" ca="1" si="140">MIN(1,$O162*OFFSET($I$133,MATCH(AL$151,$A$134:$A$146,0),0))</f>
        <v>0.31923287086567592</v>
      </c>
      <c r="AL162" s="463">
        <f t="shared" ca="1" si="47"/>
        <v>0.79532373818581037</v>
      </c>
      <c r="AM162" s="357">
        <f t="shared" ref="AM162" ca="1" si="141">MIN(1,$O162*OFFSET($I$133,MATCH(AN$151,$A$134:$A$146,0),0))</f>
        <v>0.34583561010448222</v>
      </c>
      <c r="AN162" s="463">
        <f t="shared" ca="1" si="47"/>
        <v>0.86160071636796121</v>
      </c>
    </row>
    <row r="163" spans="1:40" x14ac:dyDescent="0.25">
      <c r="A163" s="812">
        <v>2104004000</v>
      </c>
      <c r="B163" s="521"/>
      <c r="C163" s="521"/>
      <c r="D163" s="511"/>
      <c r="E163" s="521"/>
      <c r="F163" s="525"/>
      <c r="G163" s="521"/>
      <c r="H163" s="521"/>
      <c r="I163" s="812" t="s">
        <v>312</v>
      </c>
      <c r="L163" s="133">
        <f t="shared" ca="1" si="40"/>
        <v>3.4697126519638024</v>
      </c>
      <c r="M163" s="133">
        <f t="shared" ca="1" si="41"/>
        <v>5.4813819300693851E-2</v>
      </c>
      <c r="N163" s="812">
        <f t="shared" si="43"/>
        <v>2104004000</v>
      </c>
      <c r="O163" s="357">
        <f t="shared" ca="1" si="44"/>
        <v>0</v>
      </c>
      <c r="P163" s="463">
        <f t="shared" ca="1" si="45"/>
        <v>0</v>
      </c>
      <c r="Q163" s="357">
        <f t="shared" ca="1" si="46"/>
        <v>0</v>
      </c>
      <c r="R163" s="463">
        <f t="shared" ca="1" si="47"/>
        <v>0</v>
      </c>
      <c r="S163" s="357">
        <f t="shared" ca="1" si="46"/>
        <v>0</v>
      </c>
      <c r="T163" s="463">
        <f t="shared" ca="1" si="47"/>
        <v>0</v>
      </c>
      <c r="U163" s="357">
        <f t="shared" ref="U163" ca="1" si="142">MIN(1,$O163*OFFSET($I$133,MATCH(V$151,$A$134:$A$146,0),0))</f>
        <v>0</v>
      </c>
      <c r="V163" s="463">
        <f t="shared" ca="1" si="47"/>
        <v>0</v>
      </c>
      <c r="W163" s="357">
        <f t="shared" ref="W163" ca="1" si="143">MIN(1,$O163*OFFSET($I$133,MATCH(X$151,$A$134:$A$146,0),0))</f>
        <v>0</v>
      </c>
      <c r="X163" s="463">
        <f t="shared" ca="1" si="47"/>
        <v>0</v>
      </c>
      <c r="Y163" s="357">
        <f t="shared" ref="Y163" ca="1" si="144">MIN(1,$O163*OFFSET($I$133,MATCH(Z$151,$A$134:$A$146,0),0))</f>
        <v>0</v>
      </c>
      <c r="Z163" s="463">
        <f t="shared" ca="1" si="47"/>
        <v>0</v>
      </c>
      <c r="AA163" s="357">
        <f t="shared" ref="AA163" ca="1" si="145">MIN(1,$O163*OFFSET($I$133,MATCH(AB$151,$A$134:$A$146,0),0))</f>
        <v>0</v>
      </c>
      <c r="AB163" s="463">
        <f t="shared" ca="1" si="47"/>
        <v>0</v>
      </c>
      <c r="AC163" s="357">
        <f t="shared" ref="AC163" ca="1" si="146">MIN(1,$O163*OFFSET($I$133,MATCH(AD$151,$A$134:$A$146,0),0))</f>
        <v>0</v>
      </c>
      <c r="AD163" s="463">
        <f t="shared" ca="1" si="47"/>
        <v>0</v>
      </c>
      <c r="AE163" s="357">
        <f t="shared" ref="AE163" ca="1" si="147">MIN(1,$O163*OFFSET($I$133,MATCH(AF$151,$A$134:$A$146,0),0))</f>
        <v>0</v>
      </c>
      <c r="AF163" s="463">
        <f t="shared" ca="1" si="47"/>
        <v>0</v>
      </c>
      <c r="AG163" s="357">
        <f t="shared" ref="AG163" ca="1" si="148">MIN(1,$O163*OFFSET($I$133,MATCH(AH$151,$A$134:$A$146,0),0))</f>
        <v>0</v>
      </c>
      <c r="AH163" s="463">
        <f t="shared" ca="1" si="47"/>
        <v>0</v>
      </c>
      <c r="AI163" s="357">
        <f t="shared" ref="AI163" ca="1" si="149">MIN(1,$O163*OFFSET($I$133,MATCH(AJ$151,$A$134:$A$146,0),0))</f>
        <v>0</v>
      </c>
      <c r="AJ163" s="463">
        <f t="shared" ca="1" si="47"/>
        <v>0</v>
      </c>
      <c r="AK163" s="357">
        <f t="shared" ref="AK163" ca="1" si="150">MIN(1,$O163*OFFSET($I$133,MATCH(AL$151,$A$134:$A$146,0),0))</f>
        <v>0</v>
      </c>
      <c r="AL163" s="463">
        <f t="shared" ca="1" si="47"/>
        <v>0</v>
      </c>
      <c r="AM163" s="357">
        <f t="shared" ref="AM163" ca="1" si="151">MIN(1,$O163*OFFSET($I$133,MATCH(AN$151,$A$134:$A$146,0),0))</f>
        <v>0</v>
      </c>
      <c r="AN163" s="463">
        <f t="shared" ca="1" si="47"/>
        <v>0</v>
      </c>
    </row>
    <row r="164" spans="1:40" x14ac:dyDescent="0.25">
      <c r="A164" s="812">
        <v>2103004001</v>
      </c>
      <c r="B164" s="521"/>
      <c r="C164" s="521"/>
      <c r="D164" s="511"/>
      <c r="E164" s="521"/>
      <c r="F164" s="525"/>
      <c r="G164" s="521"/>
      <c r="H164" s="521"/>
      <c r="I164" s="812" t="s">
        <v>148</v>
      </c>
      <c r="L164" s="133">
        <f t="shared" ca="1" si="40"/>
        <v>0.52217749537133507</v>
      </c>
      <c r="M164" s="133">
        <f t="shared" ca="1" si="41"/>
        <v>1.8739368230717493E-2</v>
      </c>
      <c r="N164" s="812">
        <f t="shared" si="43"/>
        <v>2103004001</v>
      </c>
      <c r="O164" s="357">
        <f t="shared" ca="1" si="44"/>
        <v>0</v>
      </c>
      <c r="P164" s="463">
        <f t="shared" ca="1" si="45"/>
        <v>0</v>
      </c>
      <c r="Q164" s="357">
        <f t="shared" ca="1" si="46"/>
        <v>0</v>
      </c>
      <c r="R164" s="463">
        <f t="shared" ca="1" si="47"/>
        <v>0</v>
      </c>
      <c r="S164" s="357">
        <f t="shared" ca="1" si="46"/>
        <v>0</v>
      </c>
      <c r="T164" s="463">
        <f t="shared" ca="1" si="47"/>
        <v>0</v>
      </c>
      <c r="U164" s="357">
        <f t="shared" ref="U164" ca="1" si="152">MIN(1,$O164*OFFSET($I$133,MATCH(V$151,$A$134:$A$146,0),0))</f>
        <v>0</v>
      </c>
      <c r="V164" s="463">
        <f t="shared" ca="1" si="47"/>
        <v>0</v>
      </c>
      <c r="W164" s="357">
        <f t="shared" ref="W164" ca="1" si="153">MIN(1,$O164*OFFSET($I$133,MATCH(X$151,$A$134:$A$146,0),0))</f>
        <v>0</v>
      </c>
      <c r="X164" s="463">
        <f t="shared" ca="1" si="47"/>
        <v>0</v>
      </c>
      <c r="Y164" s="357">
        <f t="shared" ref="Y164" ca="1" si="154">MIN(1,$O164*OFFSET($I$133,MATCH(Z$151,$A$134:$A$146,0),0))</f>
        <v>0</v>
      </c>
      <c r="Z164" s="463">
        <f t="shared" ca="1" si="47"/>
        <v>0</v>
      </c>
      <c r="AA164" s="357">
        <f t="shared" ref="AA164" ca="1" si="155">MIN(1,$O164*OFFSET($I$133,MATCH(AB$151,$A$134:$A$146,0),0))</f>
        <v>0</v>
      </c>
      <c r="AB164" s="463">
        <f t="shared" ca="1" si="47"/>
        <v>0</v>
      </c>
      <c r="AC164" s="357">
        <f t="shared" ref="AC164" ca="1" si="156">MIN(1,$O164*OFFSET($I$133,MATCH(AD$151,$A$134:$A$146,0),0))</f>
        <v>0</v>
      </c>
      <c r="AD164" s="463">
        <f t="shared" ca="1" si="47"/>
        <v>0</v>
      </c>
      <c r="AE164" s="357">
        <f t="shared" ref="AE164" ca="1" si="157">MIN(1,$O164*OFFSET($I$133,MATCH(AF$151,$A$134:$A$146,0),0))</f>
        <v>0</v>
      </c>
      <c r="AF164" s="463">
        <f t="shared" ca="1" si="47"/>
        <v>0</v>
      </c>
      <c r="AG164" s="357">
        <f t="shared" ref="AG164" ca="1" si="158">MIN(1,$O164*OFFSET($I$133,MATCH(AH$151,$A$134:$A$146,0),0))</f>
        <v>0</v>
      </c>
      <c r="AH164" s="463">
        <f t="shared" ca="1" si="47"/>
        <v>0</v>
      </c>
      <c r="AI164" s="357">
        <f t="shared" ref="AI164" ca="1" si="159">MIN(1,$O164*OFFSET($I$133,MATCH(AJ$151,$A$134:$A$146,0),0))</f>
        <v>0</v>
      </c>
      <c r="AJ164" s="463">
        <f t="shared" ca="1" si="47"/>
        <v>0</v>
      </c>
      <c r="AK164" s="357">
        <f t="shared" ref="AK164" ca="1" si="160">MIN(1,$O164*OFFSET($I$133,MATCH(AL$151,$A$134:$A$146,0),0))</f>
        <v>0</v>
      </c>
      <c r="AL164" s="463">
        <f t="shared" ca="1" si="47"/>
        <v>0</v>
      </c>
      <c r="AM164" s="357">
        <f t="shared" ref="AM164" ca="1" si="161">MIN(1,$O164*OFFSET($I$133,MATCH(AN$151,$A$134:$A$146,0),0))</f>
        <v>0</v>
      </c>
      <c r="AN164" s="463">
        <f t="shared" ca="1" si="47"/>
        <v>0</v>
      </c>
    </row>
    <row r="165" spans="1:40" x14ac:dyDescent="0.25">
      <c r="A165" s="812">
        <v>2104006010</v>
      </c>
      <c r="B165" s="521"/>
      <c r="C165" s="521"/>
      <c r="D165" s="511"/>
      <c r="E165" s="521"/>
      <c r="F165" s="525"/>
      <c r="G165" s="521"/>
      <c r="H165" s="521"/>
      <c r="I165" s="812" t="s">
        <v>149</v>
      </c>
      <c r="L165" s="133">
        <f t="shared" ca="1" si="40"/>
        <v>7.0898784775737665E-5</v>
      </c>
      <c r="M165" s="133">
        <f t="shared" ca="1" si="41"/>
        <v>5.8529310125197298E-6</v>
      </c>
      <c r="N165" s="812">
        <f t="shared" si="43"/>
        <v>2104006010</v>
      </c>
      <c r="O165" s="357">
        <f t="shared" ca="1" si="44"/>
        <v>0</v>
      </c>
      <c r="P165" s="463">
        <f t="shared" ca="1" si="45"/>
        <v>0</v>
      </c>
      <c r="Q165" s="357">
        <f t="shared" ca="1" si="46"/>
        <v>0</v>
      </c>
      <c r="R165" s="463">
        <f t="shared" ca="1" si="47"/>
        <v>0</v>
      </c>
      <c r="S165" s="357">
        <f t="shared" ca="1" si="46"/>
        <v>0</v>
      </c>
      <c r="T165" s="463">
        <f t="shared" ca="1" si="47"/>
        <v>0</v>
      </c>
      <c r="U165" s="357">
        <f t="shared" ref="U165" ca="1" si="162">MIN(1,$O165*OFFSET($I$133,MATCH(V$151,$A$134:$A$146,0),0))</f>
        <v>0</v>
      </c>
      <c r="V165" s="463">
        <f t="shared" ca="1" si="47"/>
        <v>0</v>
      </c>
      <c r="W165" s="357">
        <f t="shared" ref="W165" ca="1" si="163">MIN(1,$O165*OFFSET($I$133,MATCH(X$151,$A$134:$A$146,0),0))</f>
        <v>0</v>
      </c>
      <c r="X165" s="463">
        <f t="shared" ca="1" si="47"/>
        <v>0</v>
      </c>
      <c r="Y165" s="357">
        <f t="shared" ref="Y165" ca="1" si="164">MIN(1,$O165*OFFSET($I$133,MATCH(Z$151,$A$134:$A$146,0),0))</f>
        <v>0</v>
      </c>
      <c r="Z165" s="463">
        <f t="shared" ca="1" si="47"/>
        <v>0</v>
      </c>
      <c r="AA165" s="357">
        <f t="shared" ref="AA165" ca="1" si="165">MIN(1,$O165*OFFSET($I$133,MATCH(AB$151,$A$134:$A$146,0),0))</f>
        <v>0</v>
      </c>
      <c r="AB165" s="463">
        <f t="shared" ca="1" si="47"/>
        <v>0</v>
      </c>
      <c r="AC165" s="357">
        <f t="shared" ref="AC165" ca="1" si="166">MIN(1,$O165*OFFSET($I$133,MATCH(AD$151,$A$134:$A$146,0),0))</f>
        <v>0</v>
      </c>
      <c r="AD165" s="463">
        <f t="shared" ca="1" si="47"/>
        <v>0</v>
      </c>
      <c r="AE165" s="357">
        <f t="shared" ref="AE165" ca="1" si="167">MIN(1,$O165*OFFSET($I$133,MATCH(AF$151,$A$134:$A$146,0),0))</f>
        <v>0</v>
      </c>
      <c r="AF165" s="463">
        <f t="shared" ca="1" si="47"/>
        <v>0</v>
      </c>
      <c r="AG165" s="357">
        <f t="shared" ref="AG165" ca="1" si="168">MIN(1,$O165*OFFSET($I$133,MATCH(AH$151,$A$134:$A$146,0),0))</f>
        <v>0</v>
      </c>
      <c r="AH165" s="463">
        <f t="shared" ca="1" si="47"/>
        <v>0</v>
      </c>
      <c r="AI165" s="357">
        <f t="shared" ref="AI165" ca="1" si="169">MIN(1,$O165*OFFSET($I$133,MATCH(AJ$151,$A$134:$A$146,0),0))</f>
        <v>0</v>
      </c>
      <c r="AJ165" s="463">
        <f t="shared" ca="1" si="47"/>
        <v>0</v>
      </c>
      <c r="AK165" s="357">
        <f t="shared" ref="AK165" ca="1" si="170">MIN(1,$O165*OFFSET($I$133,MATCH(AL$151,$A$134:$A$146,0),0))</f>
        <v>0</v>
      </c>
      <c r="AL165" s="463">
        <f t="shared" ca="1" si="47"/>
        <v>0</v>
      </c>
      <c r="AM165" s="357">
        <f t="shared" ref="AM165" ca="1" si="171">MIN(1,$O165*OFFSET($I$133,MATCH(AN$151,$A$134:$A$146,0),0))</f>
        <v>0</v>
      </c>
      <c r="AN165" s="463">
        <f t="shared" ca="1" si="47"/>
        <v>0</v>
      </c>
    </row>
    <row r="166" spans="1:40" x14ac:dyDescent="0.25">
      <c r="A166" s="812">
        <v>2103006000</v>
      </c>
      <c r="B166" s="521"/>
      <c r="C166" s="521"/>
      <c r="D166" s="511"/>
      <c r="E166" s="521"/>
      <c r="F166" s="525"/>
      <c r="G166" s="521"/>
      <c r="H166" s="521"/>
      <c r="I166" s="812" t="s">
        <v>150</v>
      </c>
      <c r="L166" s="133">
        <f t="shared" ca="1" si="40"/>
        <v>7.9575146604215358E-4</v>
      </c>
      <c r="M166" s="133">
        <f t="shared" ca="1" si="41"/>
        <v>1.0079518569867291E-2</v>
      </c>
      <c r="N166" s="812">
        <f t="shared" si="43"/>
        <v>2103006000</v>
      </c>
      <c r="O166" s="357">
        <f t="shared" ca="1" si="44"/>
        <v>0</v>
      </c>
      <c r="P166" s="463">
        <f t="shared" ca="1" si="45"/>
        <v>0</v>
      </c>
      <c r="Q166" s="357">
        <f t="shared" ca="1" si="46"/>
        <v>0</v>
      </c>
      <c r="R166" s="463">
        <f t="shared" ca="1" si="47"/>
        <v>0</v>
      </c>
      <c r="S166" s="357">
        <f t="shared" ca="1" si="46"/>
        <v>0</v>
      </c>
      <c r="T166" s="463">
        <f t="shared" ca="1" si="47"/>
        <v>0</v>
      </c>
      <c r="U166" s="357">
        <f t="shared" ref="U166" ca="1" si="172">MIN(1,$O166*OFFSET($I$133,MATCH(V$151,$A$134:$A$146,0),0))</f>
        <v>0</v>
      </c>
      <c r="V166" s="463">
        <f t="shared" ca="1" si="47"/>
        <v>0</v>
      </c>
      <c r="W166" s="357">
        <f t="shared" ref="W166" ca="1" si="173">MIN(1,$O166*OFFSET($I$133,MATCH(X$151,$A$134:$A$146,0),0))</f>
        <v>0</v>
      </c>
      <c r="X166" s="463">
        <f t="shared" ca="1" si="47"/>
        <v>0</v>
      </c>
      <c r="Y166" s="357">
        <f t="shared" ref="Y166" ca="1" si="174">MIN(1,$O166*OFFSET($I$133,MATCH(Z$151,$A$134:$A$146,0),0))</f>
        <v>0</v>
      </c>
      <c r="Z166" s="463">
        <f t="shared" ca="1" si="47"/>
        <v>0</v>
      </c>
      <c r="AA166" s="357">
        <f t="shared" ref="AA166" ca="1" si="175">MIN(1,$O166*OFFSET($I$133,MATCH(AB$151,$A$134:$A$146,0),0))</f>
        <v>0</v>
      </c>
      <c r="AB166" s="463">
        <f t="shared" ca="1" si="47"/>
        <v>0</v>
      </c>
      <c r="AC166" s="357">
        <f t="shared" ref="AC166" ca="1" si="176">MIN(1,$O166*OFFSET($I$133,MATCH(AD$151,$A$134:$A$146,0),0))</f>
        <v>0</v>
      </c>
      <c r="AD166" s="463">
        <f t="shared" ca="1" si="47"/>
        <v>0</v>
      </c>
      <c r="AE166" s="357">
        <f t="shared" ref="AE166" ca="1" si="177">MIN(1,$O166*OFFSET($I$133,MATCH(AF$151,$A$134:$A$146,0),0))</f>
        <v>0</v>
      </c>
      <c r="AF166" s="463">
        <f t="shared" ca="1" si="47"/>
        <v>0</v>
      </c>
      <c r="AG166" s="357">
        <f t="shared" ref="AG166" ca="1" si="178">MIN(1,$O166*OFFSET($I$133,MATCH(AH$151,$A$134:$A$146,0),0))</f>
        <v>0</v>
      </c>
      <c r="AH166" s="463">
        <f t="shared" ca="1" si="47"/>
        <v>0</v>
      </c>
      <c r="AI166" s="357">
        <f t="shared" ref="AI166" ca="1" si="179">MIN(1,$O166*OFFSET($I$133,MATCH(AJ$151,$A$134:$A$146,0),0))</f>
        <v>0</v>
      </c>
      <c r="AJ166" s="463">
        <f t="shared" ca="1" si="47"/>
        <v>0</v>
      </c>
      <c r="AK166" s="357">
        <f t="shared" ref="AK166" ca="1" si="180">MIN(1,$O166*OFFSET($I$133,MATCH(AL$151,$A$134:$A$146,0),0))</f>
        <v>0</v>
      </c>
      <c r="AL166" s="463">
        <f t="shared" ca="1" si="47"/>
        <v>0</v>
      </c>
      <c r="AM166" s="357">
        <f t="shared" ref="AM166" ca="1" si="181">MIN(1,$O166*OFFSET($I$133,MATCH(AN$151,$A$134:$A$146,0),0))</f>
        <v>0</v>
      </c>
      <c r="AN166" s="463">
        <f t="shared" ca="1" si="47"/>
        <v>0</v>
      </c>
    </row>
    <row r="167" spans="1:40" x14ac:dyDescent="0.25">
      <c r="A167" s="812">
        <v>2104002000</v>
      </c>
      <c r="B167" s="521"/>
      <c r="C167" s="521"/>
      <c r="D167" s="511"/>
      <c r="E167" s="521"/>
      <c r="F167" s="525"/>
      <c r="G167" s="521"/>
      <c r="H167" s="521"/>
      <c r="I167" s="812" t="s">
        <v>151</v>
      </c>
      <c r="L167" s="133">
        <f t="shared" ca="1" si="40"/>
        <v>0.11396013416057345</v>
      </c>
      <c r="M167" s="133">
        <f t="shared" ca="1" si="41"/>
        <v>9.7907685155159352E-2</v>
      </c>
      <c r="N167" s="812">
        <f t="shared" si="43"/>
        <v>2104002000</v>
      </c>
      <c r="O167" s="357">
        <f t="shared" ca="1" si="44"/>
        <v>0</v>
      </c>
      <c r="P167" s="463">
        <f t="shared" ca="1" si="45"/>
        <v>0</v>
      </c>
      <c r="Q167" s="357">
        <f t="shared" ca="1" si="46"/>
        <v>0</v>
      </c>
      <c r="R167" s="463">
        <f t="shared" ca="1" si="47"/>
        <v>0</v>
      </c>
      <c r="S167" s="357">
        <f t="shared" ca="1" si="46"/>
        <v>0</v>
      </c>
      <c r="T167" s="463">
        <f t="shared" ca="1" si="47"/>
        <v>0</v>
      </c>
      <c r="U167" s="357">
        <f t="shared" ref="U167" ca="1" si="182">MIN(1,$O167*OFFSET($I$133,MATCH(V$151,$A$134:$A$146,0),0))</f>
        <v>0</v>
      </c>
      <c r="V167" s="463">
        <f t="shared" ca="1" si="47"/>
        <v>0</v>
      </c>
      <c r="W167" s="357">
        <f t="shared" ref="W167" ca="1" si="183">MIN(1,$O167*OFFSET($I$133,MATCH(X$151,$A$134:$A$146,0),0))</f>
        <v>0</v>
      </c>
      <c r="X167" s="463">
        <f t="shared" ca="1" si="47"/>
        <v>0</v>
      </c>
      <c r="Y167" s="357">
        <f t="shared" ref="Y167" ca="1" si="184">MIN(1,$O167*OFFSET($I$133,MATCH(Z$151,$A$134:$A$146,0),0))</f>
        <v>0</v>
      </c>
      <c r="Z167" s="463">
        <f t="shared" ca="1" si="47"/>
        <v>0</v>
      </c>
      <c r="AA167" s="357">
        <f t="shared" ref="AA167" ca="1" si="185">MIN(1,$O167*OFFSET($I$133,MATCH(AB$151,$A$134:$A$146,0),0))</f>
        <v>0</v>
      </c>
      <c r="AB167" s="463">
        <f t="shared" ca="1" si="47"/>
        <v>0</v>
      </c>
      <c r="AC167" s="357">
        <f t="shared" ref="AC167" ca="1" si="186">MIN(1,$O167*OFFSET($I$133,MATCH(AD$151,$A$134:$A$146,0),0))</f>
        <v>0</v>
      </c>
      <c r="AD167" s="463">
        <f t="shared" ca="1" si="47"/>
        <v>0</v>
      </c>
      <c r="AE167" s="357">
        <f t="shared" ref="AE167" ca="1" si="187">MIN(1,$O167*OFFSET($I$133,MATCH(AF$151,$A$134:$A$146,0),0))</f>
        <v>0</v>
      </c>
      <c r="AF167" s="463">
        <f t="shared" ca="1" si="47"/>
        <v>0</v>
      </c>
      <c r="AG167" s="357">
        <f t="shared" ref="AG167" ca="1" si="188">MIN(1,$O167*OFFSET($I$133,MATCH(AH$151,$A$134:$A$146,0),0))</f>
        <v>0</v>
      </c>
      <c r="AH167" s="463">
        <f t="shared" ca="1" si="47"/>
        <v>0</v>
      </c>
      <c r="AI167" s="357">
        <f t="shared" ref="AI167" ca="1" si="189">MIN(1,$O167*OFFSET($I$133,MATCH(AJ$151,$A$134:$A$146,0),0))</f>
        <v>0</v>
      </c>
      <c r="AJ167" s="463">
        <f t="shared" ca="1" si="47"/>
        <v>0</v>
      </c>
      <c r="AK167" s="357">
        <f t="shared" ref="AK167" ca="1" si="190">MIN(1,$O167*OFFSET($I$133,MATCH(AL$151,$A$134:$A$146,0),0))</f>
        <v>0</v>
      </c>
      <c r="AL167" s="463">
        <f t="shared" ca="1" si="47"/>
        <v>0</v>
      </c>
      <c r="AM167" s="357">
        <f t="shared" ref="AM167" ca="1" si="191">MIN(1,$O167*OFFSET($I$133,MATCH(AN$151,$A$134:$A$146,0),0))</f>
        <v>0</v>
      </c>
      <c r="AN167" s="463">
        <f t="shared" ca="1" si="47"/>
        <v>0</v>
      </c>
    </row>
    <row r="168" spans="1:40" x14ac:dyDescent="0.25">
      <c r="A168" s="812">
        <v>2103002000</v>
      </c>
      <c r="B168" s="521"/>
      <c r="C168" s="521"/>
      <c r="D168" s="511"/>
      <c r="E168" s="521"/>
      <c r="F168" s="525"/>
      <c r="G168" s="521"/>
      <c r="H168" s="521"/>
      <c r="I168" s="812" t="s">
        <v>152</v>
      </c>
      <c r="L168" s="133">
        <f t="shared" ca="1" si="40"/>
        <v>3.0617780757568117E-4</v>
      </c>
      <c r="M168" s="133">
        <f t="shared" ca="1" si="41"/>
        <v>2.6304953575588091E-4</v>
      </c>
      <c r="N168" s="812">
        <f t="shared" si="43"/>
        <v>2103002000</v>
      </c>
      <c r="O168" s="357">
        <f t="shared" ca="1" si="44"/>
        <v>0</v>
      </c>
      <c r="P168" s="463">
        <f t="shared" ca="1" si="45"/>
        <v>0</v>
      </c>
      <c r="Q168" s="357">
        <f t="shared" ca="1" si="46"/>
        <v>0</v>
      </c>
      <c r="R168" s="463">
        <f t="shared" ca="1" si="47"/>
        <v>0</v>
      </c>
      <c r="S168" s="357">
        <f t="shared" ca="1" si="46"/>
        <v>0</v>
      </c>
      <c r="T168" s="463">
        <f t="shared" ca="1" si="47"/>
        <v>0</v>
      </c>
      <c r="U168" s="357">
        <f t="shared" ref="U168" ca="1" si="192">MIN(1,$O168*OFFSET($I$133,MATCH(V$151,$A$134:$A$146,0),0))</f>
        <v>0</v>
      </c>
      <c r="V168" s="463">
        <f t="shared" ca="1" si="47"/>
        <v>0</v>
      </c>
      <c r="W168" s="357">
        <f t="shared" ref="W168" ca="1" si="193">MIN(1,$O168*OFFSET($I$133,MATCH(X$151,$A$134:$A$146,0),0))</f>
        <v>0</v>
      </c>
      <c r="X168" s="463">
        <f t="shared" ca="1" si="47"/>
        <v>0</v>
      </c>
      <c r="Y168" s="357">
        <f t="shared" ref="Y168" ca="1" si="194">MIN(1,$O168*OFFSET($I$133,MATCH(Z$151,$A$134:$A$146,0),0))</f>
        <v>0</v>
      </c>
      <c r="Z168" s="463">
        <f t="shared" ca="1" si="47"/>
        <v>0</v>
      </c>
      <c r="AA168" s="357">
        <f t="shared" ref="AA168" ca="1" si="195">MIN(1,$O168*OFFSET($I$133,MATCH(AB$151,$A$134:$A$146,0),0))</f>
        <v>0</v>
      </c>
      <c r="AB168" s="463">
        <f t="shared" ca="1" si="47"/>
        <v>0</v>
      </c>
      <c r="AC168" s="357">
        <f t="shared" ref="AC168" ca="1" si="196">MIN(1,$O168*OFFSET($I$133,MATCH(AD$151,$A$134:$A$146,0),0))</f>
        <v>0</v>
      </c>
      <c r="AD168" s="463">
        <f t="shared" ca="1" si="47"/>
        <v>0</v>
      </c>
      <c r="AE168" s="357">
        <f t="shared" ref="AE168" ca="1" si="197">MIN(1,$O168*OFFSET($I$133,MATCH(AF$151,$A$134:$A$146,0),0))</f>
        <v>0</v>
      </c>
      <c r="AF168" s="463">
        <f t="shared" ca="1" si="47"/>
        <v>0</v>
      </c>
      <c r="AG168" s="357">
        <f t="shared" ref="AG168" ca="1" si="198">MIN(1,$O168*OFFSET($I$133,MATCH(AH$151,$A$134:$A$146,0),0))</f>
        <v>0</v>
      </c>
      <c r="AH168" s="463">
        <f t="shared" ca="1" si="47"/>
        <v>0</v>
      </c>
      <c r="AI168" s="357">
        <f t="shared" ref="AI168" ca="1" si="199">MIN(1,$O168*OFFSET($I$133,MATCH(AJ$151,$A$134:$A$146,0),0))</f>
        <v>0</v>
      </c>
      <c r="AJ168" s="463">
        <f t="shared" ca="1" si="47"/>
        <v>0</v>
      </c>
      <c r="AK168" s="357">
        <f t="shared" ref="AK168" ca="1" si="200">MIN(1,$O168*OFFSET($I$133,MATCH(AL$151,$A$134:$A$146,0),0))</f>
        <v>0</v>
      </c>
      <c r="AL168" s="463">
        <f t="shared" ca="1" si="47"/>
        <v>0</v>
      </c>
      <c r="AM168" s="357">
        <f t="shared" ref="AM168" ca="1" si="201">MIN(1,$O168*OFFSET($I$133,MATCH(AN$151,$A$134:$A$146,0),0))</f>
        <v>0</v>
      </c>
      <c r="AN168" s="463">
        <f t="shared" ca="1" si="47"/>
        <v>0</v>
      </c>
    </row>
    <row r="169" spans="1:40" x14ac:dyDescent="0.25">
      <c r="A169" s="812">
        <v>2103008000</v>
      </c>
      <c r="B169" s="521"/>
      <c r="C169" s="521"/>
      <c r="D169" s="511"/>
      <c r="E169" s="521"/>
      <c r="F169" s="525"/>
      <c r="G169" s="521"/>
      <c r="H169" s="521"/>
      <c r="I169" s="812" t="s">
        <v>153</v>
      </c>
      <c r="L169" s="133">
        <f t="shared" ca="1" si="40"/>
        <v>7.5369704121824448E-6</v>
      </c>
      <c r="M169" s="133">
        <f t="shared" ca="1" si="41"/>
        <v>2.5766689106639578E-4</v>
      </c>
      <c r="N169" s="812">
        <f t="shared" si="43"/>
        <v>2103008000</v>
      </c>
      <c r="O169" s="357">
        <f t="shared" ca="1" si="44"/>
        <v>0</v>
      </c>
      <c r="P169" s="463">
        <f t="shared" ca="1" si="45"/>
        <v>0</v>
      </c>
      <c r="Q169" s="357">
        <f t="shared" ca="1" si="46"/>
        <v>0</v>
      </c>
      <c r="R169" s="463">
        <f t="shared" ca="1" si="47"/>
        <v>0</v>
      </c>
      <c r="S169" s="357">
        <f t="shared" ca="1" si="46"/>
        <v>0</v>
      </c>
      <c r="T169" s="463">
        <f t="shared" ca="1" si="47"/>
        <v>0</v>
      </c>
      <c r="U169" s="357">
        <f t="shared" ref="U169" ca="1" si="202">MIN(1,$O169*OFFSET($I$133,MATCH(V$151,$A$134:$A$146,0),0))</f>
        <v>0</v>
      </c>
      <c r="V169" s="463">
        <f t="shared" ca="1" si="47"/>
        <v>0</v>
      </c>
      <c r="W169" s="357">
        <f t="shared" ref="W169" ca="1" si="203">MIN(1,$O169*OFFSET($I$133,MATCH(X$151,$A$134:$A$146,0),0))</f>
        <v>0</v>
      </c>
      <c r="X169" s="463">
        <f t="shared" ca="1" si="47"/>
        <v>0</v>
      </c>
      <c r="Y169" s="357">
        <f t="shared" ref="Y169" ca="1" si="204">MIN(1,$O169*OFFSET($I$133,MATCH(Z$151,$A$134:$A$146,0),0))</f>
        <v>0</v>
      </c>
      <c r="Z169" s="463">
        <f t="shared" ca="1" si="47"/>
        <v>0</v>
      </c>
      <c r="AA169" s="357">
        <f t="shared" ref="AA169" ca="1" si="205">MIN(1,$O169*OFFSET($I$133,MATCH(AB$151,$A$134:$A$146,0),0))</f>
        <v>0</v>
      </c>
      <c r="AB169" s="463">
        <f t="shared" ca="1" si="47"/>
        <v>0</v>
      </c>
      <c r="AC169" s="357">
        <f t="shared" ref="AC169" ca="1" si="206">MIN(1,$O169*OFFSET($I$133,MATCH(AD$151,$A$134:$A$146,0),0))</f>
        <v>0</v>
      </c>
      <c r="AD169" s="463">
        <f t="shared" ca="1" si="47"/>
        <v>0</v>
      </c>
      <c r="AE169" s="357">
        <f t="shared" ref="AE169" ca="1" si="207">MIN(1,$O169*OFFSET($I$133,MATCH(AF$151,$A$134:$A$146,0),0))</f>
        <v>0</v>
      </c>
      <c r="AF169" s="463">
        <f t="shared" ca="1" si="47"/>
        <v>0</v>
      </c>
      <c r="AG169" s="357">
        <f t="shared" ref="AG169" ca="1" si="208">MIN(1,$O169*OFFSET($I$133,MATCH(AH$151,$A$134:$A$146,0),0))</f>
        <v>0</v>
      </c>
      <c r="AH169" s="463">
        <f t="shared" ca="1" si="47"/>
        <v>0</v>
      </c>
      <c r="AI169" s="357">
        <f t="shared" ref="AI169" ca="1" si="209">MIN(1,$O169*OFFSET($I$133,MATCH(AJ$151,$A$134:$A$146,0),0))</f>
        <v>0</v>
      </c>
      <c r="AJ169" s="463">
        <f t="shared" ca="1" si="47"/>
        <v>0</v>
      </c>
      <c r="AK169" s="357">
        <f t="shared" ref="AK169" ca="1" si="210">MIN(1,$O169*OFFSET($I$133,MATCH(AL$151,$A$134:$A$146,0),0))</f>
        <v>0</v>
      </c>
      <c r="AL169" s="463">
        <f t="shared" ca="1" si="47"/>
        <v>0</v>
      </c>
      <c r="AM169" s="357">
        <f t="shared" ref="AM169" ca="1" si="211">MIN(1,$O169*OFFSET($I$133,MATCH(AN$151,$A$134:$A$146,0),0))</f>
        <v>0</v>
      </c>
      <c r="AN169" s="463">
        <f t="shared" ca="1" si="47"/>
        <v>0</v>
      </c>
    </row>
    <row r="170" spans="1:40" x14ac:dyDescent="0.25">
      <c r="A170" s="813">
        <v>2102012000</v>
      </c>
      <c r="B170" s="527"/>
      <c r="C170" s="527"/>
      <c r="D170" s="524"/>
      <c r="E170" s="527"/>
      <c r="F170" s="526"/>
      <c r="G170" s="527"/>
      <c r="H170" s="527"/>
      <c r="I170" s="813" t="s">
        <v>154</v>
      </c>
      <c r="L170" s="135">
        <f t="shared" ca="1" si="40"/>
        <v>1.6802202817214628E-2</v>
      </c>
      <c r="M170" s="135">
        <f t="shared" ca="1" si="41"/>
        <v>2.3655128992506407E-3</v>
      </c>
      <c r="N170" s="813">
        <f t="shared" si="43"/>
        <v>2102012000</v>
      </c>
      <c r="O170" s="361">
        <f t="shared" ca="1" si="44"/>
        <v>0</v>
      </c>
      <c r="P170" s="519">
        <f t="shared" ca="1" si="45"/>
        <v>0</v>
      </c>
      <c r="Q170" s="361">
        <f t="shared" ca="1" si="46"/>
        <v>0</v>
      </c>
      <c r="R170" s="519">
        <f t="shared" ca="1" si="47"/>
        <v>0</v>
      </c>
      <c r="S170" s="361">
        <f t="shared" ca="1" si="46"/>
        <v>0</v>
      </c>
      <c r="T170" s="519">
        <f t="shared" ca="1" si="47"/>
        <v>0</v>
      </c>
      <c r="U170" s="361">
        <f t="shared" ref="U170" ca="1" si="212">MIN(1,$O170*OFFSET($I$133,MATCH(V$151,$A$134:$A$146,0),0))</f>
        <v>0</v>
      </c>
      <c r="V170" s="519">
        <f t="shared" ca="1" si="47"/>
        <v>0</v>
      </c>
      <c r="W170" s="361">
        <f t="shared" ref="W170" ca="1" si="213">MIN(1,$O170*OFFSET($I$133,MATCH(X$151,$A$134:$A$146,0),0))</f>
        <v>0</v>
      </c>
      <c r="X170" s="519">
        <f t="shared" ca="1" si="47"/>
        <v>0</v>
      </c>
      <c r="Y170" s="361">
        <f t="shared" ref="Y170" ca="1" si="214">MIN(1,$O170*OFFSET($I$133,MATCH(Z$151,$A$134:$A$146,0),0))</f>
        <v>0</v>
      </c>
      <c r="Z170" s="519">
        <f t="shared" ca="1" si="47"/>
        <v>0</v>
      </c>
      <c r="AA170" s="361">
        <f t="shared" ref="AA170" ca="1" si="215">MIN(1,$O170*OFFSET($I$133,MATCH(AB$151,$A$134:$A$146,0),0))</f>
        <v>0</v>
      </c>
      <c r="AB170" s="519">
        <f t="shared" ca="1" si="47"/>
        <v>0</v>
      </c>
      <c r="AC170" s="361">
        <f t="shared" ref="AC170" ca="1" si="216">MIN(1,$O170*OFFSET($I$133,MATCH(AD$151,$A$134:$A$146,0),0))</f>
        <v>0</v>
      </c>
      <c r="AD170" s="519">
        <f t="shared" ca="1" si="47"/>
        <v>0</v>
      </c>
      <c r="AE170" s="361">
        <f t="shared" ref="AE170" ca="1" si="217">MIN(1,$O170*OFFSET($I$133,MATCH(AF$151,$A$134:$A$146,0),0))</f>
        <v>0</v>
      </c>
      <c r="AF170" s="519">
        <f t="shared" ca="1" si="47"/>
        <v>0</v>
      </c>
      <c r="AG170" s="361">
        <f t="shared" ref="AG170" ca="1" si="218">MIN(1,$O170*OFFSET($I$133,MATCH(AH$151,$A$134:$A$146,0),0))</f>
        <v>0</v>
      </c>
      <c r="AH170" s="519">
        <f t="shared" ca="1" si="47"/>
        <v>0</v>
      </c>
      <c r="AI170" s="361">
        <f t="shared" ref="AI170" ca="1" si="219">MIN(1,$O170*OFFSET($I$133,MATCH(AJ$151,$A$134:$A$146,0),0))</f>
        <v>0</v>
      </c>
      <c r="AJ170" s="519">
        <f t="shared" ca="1" si="47"/>
        <v>0</v>
      </c>
      <c r="AK170" s="361">
        <f t="shared" ref="AK170" ca="1" si="220">MIN(1,$O170*OFFSET($I$133,MATCH(AL$151,$A$134:$A$146,0),0))</f>
        <v>0</v>
      </c>
      <c r="AL170" s="519">
        <f t="shared" ca="1" si="47"/>
        <v>0</v>
      </c>
      <c r="AM170" s="361">
        <f t="shared" ref="AM170" ca="1" si="221">MIN(1,$O170*OFFSET($I$133,MATCH(AN$151,$A$134:$A$146,0),0))</f>
        <v>0</v>
      </c>
      <c r="AN170" s="519">
        <f t="shared" ca="1" si="47"/>
        <v>0</v>
      </c>
    </row>
    <row r="171" spans="1:40" x14ac:dyDescent="0.25">
      <c r="A171" s="810" t="s">
        <v>486</v>
      </c>
      <c r="B171" s="137">
        <f ca="1">SUM(B153:B170)</f>
        <v>0.30061665511573499</v>
      </c>
      <c r="C171" s="137">
        <f t="shared" ref="C171:H171" ca="1" si="222">SUM(C153:C170)</f>
        <v>7.5655774210103121E-3</v>
      </c>
      <c r="D171" s="511">
        <f t="shared" ca="1" si="222"/>
        <v>1.6332594395577433E-3</v>
      </c>
      <c r="E171" s="137">
        <f t="shared" ca="1" si="222"/>
        <v>0.10961085984189928</v>
      </c>
      <c r="F171" s="525">
        <f t="shared" ca="1" si="222"/>
        <v>0.10961085984189928</v>
      </c>
      <c r="G171" s="137">
        <f t="shared" ca="1" si="222"/>
        <v>2.8110769111071693E-3</v>
      </c>
      <c r="H171" s="137">
        <f t="shared" ca="1" si="222"/>
        <v>0.59001754889725266</v>
      </c>
      <c r="L171" s="137">
        <f t="shared" ca="1" si="40"/>
        <v>4.320503062337508</v>
      </c>
      <c r="M171" s="137">
        <f t="shared" ca="1" si="41"/>
        <v>2.806623905552601</v>
      </c>
      <c r="N171" s="810" t="s">
        <v>486</v>
      </c>
      <c r="O171" s="357">
        <f t="shared" ca="1" si="44"/>
        <v>3.780252938124539E-4</v>
      </c>
      <c r="P171" s="463">
        <f t="shared" ca="1" si="45"/>
        <v>3.9054345551980112E-2</v>
      </c>
      <c r="Q171" s="357">
        <f t="shared" ca="1" si="46"/>
        <v>7.560505876249078E-4</v>
      </c>
      <c r="R171" s="463">
        <f t="shared" ca="1" si="47"/>
        <v>7.8108691103960223E-2</v>
      </c>
      <c r="S171" s="357">
        <f t="shared" ca="1" si="46"/>
        <v>1.1340758814373617E-3</v>
      </c>
      <c r="T171" s="463">
        <f t="shared" ca="1" si="47"/>
        <v>0.11716303665594033</v>
      </c>
      <c r="U171" s="357">
        <f t="shared" ref="U171" ca="1" si="223">MIN(1,$O171*OFFSET($I$133,MATCH(V$151,$A$134:$A$146,0),0))</f>
        <v>1.5121011752498156E-3</v>
      </c>
      <c r="V171" s="463">
        <f t="shared" ca="1" si="47"/>
        <v>0.15621738220792045</v>
      </c>
      <c r="W171" s="357">
        <f t="shared" ref="W171" ca="1" si="224">MIN(1,$O171*OFFSET($I$133,MATCH(X$151,$A$134:$A$146,0),0))</f>
        <v>1.8901264690622695E-3</v>
      </c>
      <c r="X171" s="463">
        <f t="shared" ca="1" si="47"/>
        <v>0.19527172775990057</v>
      </c>
      <c r="Y171" s="357">
        <f t="shared" ref="Y171" ca="1" si="225">MIN(1,$O171*OFFSET($I$133,MATCH(Z$151,$A$134:$A$146,0),0))</f>
        <v>2.2681517628747234E-3</v>
      </c>
      <c r="Z171" s="463">
        <f t="shared" ca="1" si="47"/>
        <v>0.23432607331188066</v>
      </c>
      <c r="AA171" s="357">
        <f t="shared" ref="AA171" ca="1" si="226">MIN(1,$O171*OFFSET($I$133,MATCH(AB$151,$A$134:$A$146,0),0))</f>
        <v>2.6461770566871771E-3</v>
      </c>
      <c r="AB171" s="463">
        <f t="shared" ca="1" si="47"/>
        <v>0.27338041886386077</v>
      </c>
      <c r="AC171" s="357">
        <f t="shared" ref="AC171" ca="1" si="227">MIN(1,$O171*OFFSET($I$133,MATCH(AD$151,$A$134:$A$146,0),0))</f>
        <v>3.0242023504996312E-3</v>
      </c>
      <c r="AD171" s="463">
        <f t="shared" ca="1" si="47"/>
        <v>0.31243476441584089</v>
      </c>
      <c r="AE171" s="357">
        <f t="shared" ref="AE171" ca="1" si="228">MIN(1,$O171*OFFSET($I$133,MATCH(AF$151,$A$134:$A$146,0),0))</f>
        <v>3.4022276443120853E-3</v>
      </c>
      <c r="AF171" s="463">
        <f t="shared" ca="1" si="47"/>
        <v>0.35148910996782101</v>
      </c>
      <c r="AG171" s="357">
        <f t="shared" ref="AG171" ca="1" si="229">MIN(1,$O171*OFFSET($I$133,MATCH(AH$151,$A$134:$A$146,0),0))</f>
        <v>3.780252938124539E-3</v>
      </c>
      <c r="AH171" s="463">
        <f t="shared" ca="1" si="47"/>
        <v>0.39054345551980113</v>
      </c>
      <c r="AI171" s="357">
        <f t="shared" ref="AI171" ca="1" si="230">MIN(1,$O171*OFFSET($I$133,MATCH(AJ$151,$A$134:$A$146,0),0))</f>
        <v>4.1582782319369927E-3</v>
      </c>
      <c r="AJ171" s="463">
        <f t="shared" ca="1" si="47"/>
        <v>0.42959780107178125</v>
      </c>
      <c r="AK171" s="357">
        <f t="shared" ref="AK171" ca="1" si="231">MIN(1,$O171*OFFSET($I$133,MATCH(AL$151,$A$134:$A$146,0),0))</f>
        <v>4.5363035257494468E-3</v>
      </c>
      <c r="AL171" s="463">
        <f t="shared" ca="1" si="47"/>
        <v>0.46865214662376131</v>
      </c>
      <c r="AM171" s="357">
        <f t="shared" ref="AM171" ca="1" si="232">MIN(1,$O171*OFFSET($I$133,MATCH(AN$151,$A$134:$A$146,0),0))</f>
        <v>4.9143288195619009E-3</v>
      </c>
      <c r="AN171" s="463">
        <f t="shared" ca="1" si="47"/>
        <v>0.50770649217574149</v>
      </c>
    </row>
  </sheetData>
  <mergeCells count="25">
    <mergeCell ref="C97:F97"/>
    <mergeCell ref="C103:F103"/>
    <mergeCell ref="C104:F104"/>
    <mergeCell ref="B107:H107"/>
    <mergeCell ref="C98:F98"/>
    <mergeCell ref="C99:F99"/>
    <mergeCell ref="C100:F100"/>
    <mergeCell ref="C101:F101"/>
    <mergeCell ref="C102:F102"/>
    <mergeCell ref="O150:AN150"/>
    <mergeCell ref="B151:H151"/>
    <mergeCell ref="L151:M151"/>
    <mergeCell ref="A1:K1"/>
    <mergeCell ref="C41:D41"/>
    <mergeCell ref="C42:D42"/>
    <mergeCell ref="E42:F42"/>
    <mergeCell ref="B60:H60"/>
    <mergeCell ref="F33:H33"/>
    <mergeCell ref="A33:B33"/>
    <mergeCell ref="C93:F93"/>
    <mergeCell ref="C94:F94"/>
    <mergeCell ref="B132:H132"/>
    <mergeCell ref="B73:H73"/>
    <mergeCell ref="C95:F95"/>
    <mergeCell ref="C96:F96"/>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R91"/>
  <sheetViews>
    <sheetView workbookViewId="0">
      <selection activeCell="B4" sqref="B4"/>
    </sheetView>
  </sheetViews>
  <sheetFormatPr defaultRowHeight="15" x14ac:dyDescent="0.25"/>
  <cols>
    <col min="1" max="1" width="38.28515625" customWidth="1"/>
    <col min="3" max="3" width="11.28515625" customWidth="1"/>
    <col min="4" max="4" width="10.5703125" customWidth="1"/>
    <col min="5" max="5" width="11.42578125" customWidth="1"/>
    <col min="6" max="6" width="11.5703125" bestFit="1" customWidth="1"/>
    <col min="7" max="7" width="11.7109375" customWidth="1"/>
    <col min="8" max="8" width="10.5703125" bestFit="1" customWidth="1"/>
    <col min="10" max="11" width="10.5703125" customWidth="1"/>
    <col min="12" max="13" width="10.85546875" customWidth="1"/>
    <col min="14" max="14" width="11.7109375" customWidth="1"/>
    <col min="23" max="23" width="11.5703125" bestFit="1" customWidth="1"/>
  </cols>
  <sheetData>
    <row r="1" spans="1:11" ht="18.75" x14ac:dyDescent="0.3">
      <c r="A1" s="828" t="s">
        <v>487</v>
      </c>
      <c r="B1" s="828"/>
      <c r="C1" s="828"/>
      <c r="D1" s="828"/>
      <c r="E1" s="828"/>
      <c r="F1" s="828"/>
      <c r="G1" s="828"/>
      <c r="H1" s="828"/>
      <c r="I1" s="828"/>
      <c r="J1" s="828"/>
      <c r="K1" s="828"/>
    </row>
    <row r="3" spans="1:11" x14ac:dyDescent="0.25">
      <c r="A3" s="244" t="s">
        <v>314</v>
      </c>
      <c r="B3" s="84" t="s">
        <v>488</v>
      </c>
      <c r="I3" s="44"/>
    </row>
    <row r="4" spans="1:11" x14ac:dyDescent="0.25">
      <c r="A4" s="244" t="s">
        <v>316</v>
      </c>
      <c r="B4" s="703">
        <f>Summary!$C$12</f>
        <v>2024</v>
      </c>
    </row>
    <row r="5" spans="1:11" x14ac:dyDescent="0.25">
      <c r="A5" s="244" t="s">
        <v>317</v>
      </c>
      <c r="B5" s="4">
        <v>0.8</v>
      </c>
    </row>
    <row r="7" spans="1:11" x14ac:dyDescent="0.25">
      <c r="A7" s="354" t="s">
        <v>322</v>
      </c>
    </row>
    <row r="8" spans="1:11" x14ac:dyDescent="0.25">
      <c r="A8" s="246" t="str">
        <f>"- Get "&amp;$B$4&amp;" projected solid fuel burning device episodic daily emissions and fuel use from SIP inventory"</f>
        <v>- Get 2024 projected solid fuel burning device episodic daily emissions and fuel use from SIP inventory</v>
      </c>
    </row>
    <row r="9" spans="1:11" x14ac:dyDescent="0.25">
      <c r="A9" s="246" t="s">
        <v>489</v>
      </c>
    </row>
    <row r="10" spans="1:11" x14ac:dyDescent="0.25">
      <c r="A10" s="246" t="s">
        <v>490</v>
      </c>
    </row>
    <row r="11" spans="1:11" x14ac:dyDescent="0.25">
      <c r="A11" s="246" t="s">
        <v>362</v>
      </c>
    </row>
    <row r="12" spans="1:11" x14ac:dyDescent="0.25">
      <c r="A12" s="246" t="s">
        <v>491</v>
      </c>
    </row>
    <row r="15" spans="1:11" x14ac:dyDescent="0.25">
      <c r="A15" t="str">
        <f>$B$4&amp;" Projected Uncertified Device Counts in Fairbanks Nonattainment Area:"</f>
        <v>2024 Projected Uncertified Device Counts in Fairbanks Nonattainment Area:</v>
      </c>
      <c r="H15" s="250"/>
      <c r="I15" s="250"/>
    </row>
    <row r="17" spans="1:10" x14ac:dyDescent="0.25">
      <c r="A17" s="3" t="s">
        <v>356</v>
      </c>
      <c r="B17" s="813" t="s">
        <v>36</v>
      </c>
    </row>
    <row r="18" spans="1:10" x14ac:dyDescent="0.25">
      <c r="A18" t="s">
        <v>342</v>
      </c>
      <c r="B18" s="45">
        <f ca="1">ROUND(OFFSET(Devices!$B$51,0,MATCH($B$4,Devices!$C$49:$R$49,0)),0)</f>
        <v>853</v>
      </c>
    </row>
    <row r="19" spans="1:10" x14ac:dyDescent="0.25">
      <c r="A19" t="s">
        <v>364</v>
      </c>
      <c r="B19" s="45">
        <f ca="1">ROUND(OFFSET(Devices!$B$53,0,MATCH($B$4,Devices!$C$49:$R$49,0)),0)</f>
        <v>119</v>
      </c>
    </row>
    <row r="20" spans="1:10" x14ac:dyDescent="0.25">
      <c r="A20" t="s">
        <v>365</v>
      </c>
      <c r="B20" s="45">
        <f ca="1">ROUND(OFFSET(Devices!$B$59,0,MATCH($B$4,Devices!$C$49:$R$49,0)),0)</f>
        <v>1752</v>
      </c>
    </row>
    <row r="21" spans="1:10" x14ac:dyDescent="0.25">
      <c r="A21" t="s">
        <v>368</v>
      </c>
      <c r="B21" s="45">
        <f ca="1">ROUND(OFFSET(Devices!$B$70,0,MATCH($B$4,Devices!$C$49:$R$49,0)),0)</f>
        <v>389</v>
      </c>
    </row>
    <row r="22" spans="1:10" x14ac:dyDescent="0.25">
      <c r="A22" s="3" t="s">
        <v>370</v>
      </c>
      <c r="B22" s="88">
        <f ca="1">ROUND(OFFSET(Devices!$B$76,0,MATCH($B$4,Devices!$C$49:$R$49,0)),0)</f>
        <v>505</v>
      </c>
    </row>
    <row r="23" spans="1:10" x14ac:dyDescent="0.25">
      <c r="A23" t="s">
        <v>492</v>
      </c>
      <c r="B23" s="45">
        <f ca="1">SUM(B18:B22)</f>
        <v>3618</v>
      </c>
    </row>
    <row r="24" spans="1:10" ht="15.75" thickBot="1" x14ac:dyDescent="0.3"/>
    <row r="25" spans="1:10" ht="16.5" thickBot="1" x14ac:dyDescent="0.3">
      <c r="A25" s="842" t="s">
        <v>235</v>
      </c>
      <c r="B25" s="843"/>
      <c r="C25" s="844"/>
      <c r="D25" s="807"/>
    </row>
    <row r="27" spans="1:10" x14ac:dyDescent="0.25">
      <c r="B27" s="841" t="str">
        <f>$B$4&amp;" Space Heating Emission Factors (lb/mmBTU)"</f>
        <v>2024 Space Heating Emission Factors (lb/mmBTU)</v>
      </c>
      <c r="C27" s="841"/>
      <c r="D27" s="841"/>
      <c r="E27" s="841"/>
      <c r="F27" s="841"/>
      <c r="G27" s="841"/>
      <c r="H27" s="841"/>
      <c r="I27" s="90"/>
      <c r="J27" s="90"/>
    </row>
    <row r="28" spans="1:10" x14ac:dyDescent="0.25">
      <c r="A28" s="3" t="s">
        <v>372</v>
      </c>
      <c r="B28" s="813" t="s">
        <v>201</v>
      </c>
      <c r="C28" s="813" t="s">
        <v>202</v>
      </c>
      <c r="D28" s="813" t="s">
        <v>132</v>
      </c>
      <c r="E28" s="813" t="s">
        <v>203</v>
      </c>
      <c r="F28" s="813" t="s">
        <v>204</v>
      </c>
      <c r="G28" s="813" t="s">
        <v>205</v>
      </c>
      <c r="H28" s="813" t="s">
        <v>206</v>
      </c>
    </row>
    <row r="29" spans="1:10" x14ac:dyDescent="0.25">
      <c r="A29" t="s">
        <v>370</v>
      </c>
      <c r="B29" s="5">
        <f ca="1">INDIRECT("'DevSumOut-"&amp;$B$4&amp;"BSR'!Y66")</f>
        <v>0.65789473684210542</v>
      </c>
      <c r="C29" s="5">
        <f ca="1">INDIRECT("'DevSumOut-"&amp;$B$4&amp;"BSR'!Z66")</f>
        <v>0.31052631578947382</v>
      </c>
      <c r="D29" s="5">
        <f ca="1">INDIRECT("'DevSumOut-"&amp;$B$4&amp;"BSR'!AA66")</f>
        <v>0.61184210526315785</v>
      </c>
      <c r="E29" s="5">
        <f ca="1">INDIRECT("'DevSumOut-"&amp;$B$4&amp;"BSR'!AB66")</f>
        <v>0.52565789473684188</v>
      </c>
      <c r="F29" s="5">
        <f ca="1">INDIRECT("'DevSumOut-"&amp;$B$4&amp;"BSR'!AC66")</f>
        <v>0.52565789473684188</v>
      </c>
      <c r="G29" s="5">
        <f ca="1">INDIRECT("'DevSumOut-"&amp;$B$4&amp;"BSR'!AD66")</f>
        <v>8.3286184210526332E-2</v>
      </c>
      <c r="H29" s="5">
        <f ca="1">INDIRECT("'DevSumOut-"&amp;$B$4&amp;"BSR'!AE66")</f>
        <v>8.5904605263157912</v>
      </c>
    </row>
    <row r="30" spans="1:10" x14ac:dyDescent="0.25">
      <c r="A30" s="55" t="s">
        <v>375</v>
      </c>
      <c r="B30" s="459">
        <f ca="1">INDIRECT("'DevSumOut-"&amp;$B$4&amp;"BSR'!Y76")</f>
        <v>5.3200059065116444E-3</v>
      </c>
      <c r="C30" s="459">
        <f ca="1">INDIRECT("'DevSumOut-"&amp;$B$4&amp;"BSR'!Z76")</f>
        <v>8.3692795073115958E-2</v>
      </c>
      <c r="D30" s="459">
        <f ca="1">INDIRECT("'DevSumOut-"&amp;$B$4&amp;"BSR'!AA76")</f>
        <v>0.21565482482121576</v>
      </c>
      <c r="E30" s="459">
        <f ca="1">INDIRECT("'DevSumOut-"&amp;$B$4&amp;"BSR'!AB76")</f>
        <v>3.4040698326925126E-3</v>
      </c>
      <c r="F30" s="459">
        <f ca="1">INDIRECT("'DevSumOut-"&amp;$B$4&amp;"BSR'!AC76")</f>
        <v>3.4040698326925126E-3</v>
      </c>
      <c r="G30" s="459">
        <f ca="1">INDIRECT("'DevSumOut-"&amp;$B$4&amp;"BSR'!AD76")</f>
        <v>1.8277864750019591E-4</v>
      </c>
      <c r="H30" s="459">
        <f ca="1">INDIRECT("'DevSumOut-"&amp;$B$4&amp;"BSR'!AE76")</f>
        <v>3.3415729746463282E-3</v>
      </c>
    </row>
    <row r="32" spans="1:10" x14ac:dyDescent="0.25">
      <c r="B32" s="845" t="str">
        <f>$B$4&amp;" Baseline Emissions (tons/episodic day)"</f>
        <v>2024 Baseline Emissions (tons/episodic day)</v>
      </c>
      <c r="C32" s="845"/>
      <c r="D32" s="845"/>
      <c r="E32" s="845"/>
      <c r="F32" s="845"/>
      <c r="G32" s="845"/>
      <c r="H32" s="845"/>
      <c r="I32" s="812" t="s">
        <v>376</v>
      </c>
    </row>
    <row r="33" spans="1:10" x14ac:dyDescent="0.25">
      <c r="A33" s="3" t="s">
        <v>372</v>
      </c>
      <c r="B33" s="813" t="s">
        <v>201</v>
      </c>
      <c r="C33" s="813" t="s">
        <v>202</v>
      </c>
      <c r="D33" s="813" t="s">
        <v>132</v>
      </c>
      <c r="E33" s="813" t="s">
        <v>203</v>
      </c>
      <c r="F33" s="348" t="s">
        <v>204</v>
      </c>
      <c r="G33" s="813" t="s">
        <v>205</v>
      </c>
      <c r="H33" s="813" t="s">
        <v>206</v>
      </c>
      <c r="I33" s="813" t="s">
        <v>493</v>
      </c>
    </row>
    <row r="34" spans="1:10" x14ac:dyDescent="0.25">
      <c r="A34" t="s">
        <v>370</v>
      </c>
      <c r="B34" s="133">
        <f ca="1">INDIRECT("'DevSumOut-"&amp;$B$4&amp;"BSR'!N66")</f>
        <v>0.11826398048530015</v>
      </c>
      <c r="C34" s="133">
        <f ca="1">INDIRECT("'DevSumOut-"&amp;$B$4&amp;"BSR'!O66")</f>
        <v>5.5820598789061676E-2</v>
      </c>
      <c r="D34" s="133">
        <f ca="1">INDIRECT("'DevSumOut-"&amp;$B$4&amp;"BSR'!P66")</f>
        <v>0.10998550185132909</v>
      </c>
      <c r="E34" s="133">
        <f ca="1">INDIRECT("'DevSumOut-"&amp;$B$4&amp;"BSR'!Q66")</f>
        <v>9.4492920407754755E-2</v>
      </c>
      <c r="F34" s="137">
        <f ca="1">INDIRECT("'DevSumOut-"&amp;$B$4&amp;"BSR'!R66")</f>
        <v>9.4492920407754755E-2</v>
      </c>
      <c r="G34" s="133">
        <f ca="1">INDIRECT("'DevSumOut-"&amp;$B$4&amp;"BSR'!S66")</f>
        <v>1.4971628609536571E-2</v>
      </c>
      <c r="H34" s="133">
        <f ca="1">INDIRECT("'DevSumOut-"&amp;$B$4&amp;"BSR'!T66")</f>
        <v>1.5442319251868066</v>
      </c>
      <c r="I34" s="45">
        <f ca="1">INDIRECT("'DevSumOut-"&amp;$B$4&amp;"BSR'!U66")</f>
        <v>359.52250067531236</v>
      </c>
    </row>
    <row r="35" spans="1:10" x14ac:dyDescent="0.25">
      <c r="A35" s="3" t="s">
        <v>375</v>
      </c>
      <c r="B35" s="135">
        <f ca="1">INDIRECT("'DevSumOut-"&amp;$B$4&amp;"BSR'!N76")</f>
        <v>8.5083357694050094E-2</v>
      </c>
      <c r="C35" s="135">
        <f ca="1">INDIRECT("'DevSumOut-"&amp;$B$4&amp;"BSR'!O76")</f>
        <v>1.3385067882922608</v>
      </c>
      <c r="D35" s="135">
        <f ca="1">INDIRECT("'DevSumOut-"&amp;$B$4&amp;"BSR'!P76")</f>
        <v>3.4489880126359695</v>
      </c>
      <c r="E35" s="135">
        <f ca="1">INDIRECT("'DevSumOut-"&amp;$B$4&amp;"BSR'!Q76")</f>
        <v>5.4441610832799622E-2</v>
      </c>
      <c r="F35" s="466">
        <f ca="1">INDIRECT("'DevSumOut-"&amp;$B$4&amp;"BSR'!R76")</f>
        <v>5.4441610832799622E-2</v>
      </c>
      <c r="G35" s="135">
        <f ca="1">INDIRECT("'DevSumOut-"&amp;$B$4&amp;"BSR'!S76")</f>
        <v>2.9231961989100524E-3</v>
      </c>
      <c r="H35" s="135">
        <f ca="1">INDIRECT("'DevSumOut-"&amp;$B$4&amp;"BSR'!T76")</f>
        <v>5.3442092670349974E-2</v>
      </c>
      <c r="I35" s="88">
        <f ca="1">INDIRECT("'DevSumOut-"&amp;$B$4&amp;"BSR'!U76")</f>
        <v>31986.189184455136</v>
      </c>
    </row>
    <row r="36" spans="1:10" x14ac:dyDescent="0.25">
      <c r="A36" s="84" t="s">
        <v>249</v>
      </c>
      <c r="B36" s="137">
        <f t="shared" ref="B36:I36" ca="1" si="0">SUM(B34:B35)</f>
        <v>0.20334733817935025</v>
      </c>
      <c r="C36" s="137">
        <f t="shared" ca="1" si="0"/>
        <v>1.3943273870813224</v>
      </c>
      <c r="D36" s="137">
        <f t="shared" ca="1" si="0"/>
        <v>3.5589735144872985</v>
      </c>
      <c r="E36" s="137">
        <f t="shared" ca="1" si="0"/>
        <v>0.14893453124055439</v>
      </c>
      <c r="F36" s="137">
        <f t="shared" ca="1" si="0"/>
        <v>0.14893453124055439</v>
      </c>
      <c r="G36" s="137">
        <f t="shared" ca="1" si="0"/>
        <v>1.7894824808446622E-2</v>
      </c>
      <c r="H36" s="137">
        <f t="shared" ca="1" si="0"/>
        <v>1.5976740178571567</v>
      </c>
      <c r="I36" s="87">
        <f t="shared" ca="1" si="0"/>
        <v>32345.711685130449</v>
      </c>
    </row>
    <row r="37" spans="1:10" ht="15.75" thickBot="1" x14ac:dyDescent="0.3"/>
    <row r="38" spans="1:10" ht="16.5" thickBot="1" x14ac:dyDescent="0.3">
      <c r="A38" s="842" t="s">
        <v>254</v>
      </c>
      <c r="B38" s="843"/>
      <c r="C38" s="844"/>
      <c r="D38" s="807"/>
      <c r="J38" s="250"/>
    </row>
    <row r="40" spans="1:10" x14ac:dyDescent="0.25">
      <c r="B40" s="845" t="s">
        <v>380</v>
      </c>
      <c r="C40" s="845"/>
      <c r="D40" s="845"/>
    </row>
    <row r="41" spans="1:10" x14ac:dyDescent="0.25">
      <c r="B41" s="848" t="s">
        <v>494</v>
      </c>
      <c r="C41" s="848"/>
      <c r="D41" s="848"/>
    </row>
    <row r="42" spans="1:10" x14ac:dyDescent="0.25">
      <c r="C42" s="1" t="s">
        <v>383</v>
      </c>
      <c r="D42" s="509">
        <f>'EFs-BTU'!$D$54/'EFs-BTU'!$D$37</f>
        <v>11.571428571428571</v>
      </c>
    </row>
    <row r="43" spans="1:10" x14ac:dyDescent="0.25">
      <c r="C43" s="1" t="s">
        <v>386</v>
      </c>
      <c r="D43" s="509">
        <f>'EFs-BTU'!$D$54/'EFs-BTU'!$D$38</f>
        <v>2.0249999999999999</v>
      </c>
    </row>
    <row r="44" spans="1:10" x14ac:dyDescent="0.25">
      <c r="C44" s="1" t="s">
        <v>388</v>
      </c>
      <c r="D44" s="509">
        <f>'EFs-BTU'!$D$54/'EFs-BTU'!$D$41</f>
        <v>1.5</v>
      </c>
    </row>
    <row r="45" spans="1:10" x14ac:dyDescent="0.25">
      <c r="C45" s="1" t="s">
        <v>390</v>
      </c>
      <c r="D45" s="509">
        <f>'EFs-BTU'!$D$54/'EFs-BTU'!$D$46</f>
        <v>1.8837209302325584</v>
      </c>
    </row>
    <row r="46" spans="1:10" x14ac:dyDescent="0.25">
      <c r="C46" s="1" t="s">
        <v>392</v>
      </c>
      <c r="D46" s="467">
        <f>'EFs-BTU'!$D$54/'EFs-BTU'!$D$62</f>
        <v>1.8837209302325584</v>
      </c>
    </row>
    <row r="48" spans="1:10" x14ac:dyDescent="0.25">
      <c r="B48" s="845" t="str">
        <f>$B$4&amp;" With Control Emissions in Affected Residences (tons/episodic day)"</f>
        <v>2024 With Control Emissions in Affected Residences (tons/episodic day)</v>
      </c>
      <c r="C48" s="845"/>
      <c r="D48" s="845"/>
      <c r="E48" s="845"/>
      <c r="F48" s="845"/>
      <c r="G48" s="845"/>
      <c r="H48" s="845"/>
      <c r="I48" s="812" t="s">
        <v>376</v>
      </c>
    </row>
    <row r="49" spans="1:13" x14ac:dyDescent="0.25">
      <c r="A49" s="3" t="s">
        <v>372</v>
      </c>
      <c r="B49" s="813" t="s">
        <v>201</v>
      </c>
      <c r="C49" s="813" t="s">
        <v>202</v>
      </c>
      <c r="D49" s="813" t="s">
        <v>132</v>
      </c>
      <c r="E49" s="813" t="s">
        <v>203</v>
      </c>
      <c r="F49" s="348" t="s">
        <v>204</v>
      </c>
      <c r="G49" s="813" t="s">
        <v>205</v>
      </c>
      <c r="H49" s="813" t="s">
        <v>206</v>
      </c>
      <c r="I49" s="813" t="s">
        <v>377</v>
      </c>
    </row>
    <row r="50" spans="1:13" x14ac:dyDescent="0.25">
      <c r="A50" s="55" t="s">
        <v>407</v>
      </c>
      <c r="B50" s="510">
        <f ca="1">$B$5*$I34/$D46*B$30/2000</f>
        <v>4.0614547440004654E-4</v>
      </c>
      <c r="C50" s="510">
        <f t="shared" ref="C50:H50" ca="1" si="1">$B$5*$I34/$D46*C$30/2000</f>
        <v>6.3893631992459447E-3</v>
      </c>
      <c r="D50" s="510">
        <f t="shared" ca="1" si="1"/>
        <v>1.6463746971871883E-2</v>
      </c>
      <c r="E50" s="510">
        <f t="shared" ca="1" si="1"/>
        <v>2.5987707182760088E-4</v>
      </c>
      <c r="F50" s="511">
        <f t="shared" ca="1" si="1"/>
        <v>2.5987707182760088E-4</v>
      </c>
      <c r="G50" s="510">
        <f t="shared" ca="1" si="1"/>
        <v>1.3953879338423901E-5</v>
      </c>
      <c r="H50" s="510">
        <f t="shared" ca="1" si="1"/>
        <v>2.5510587109855445E-4</v>
      </c>
      <c r="I50" s="512">
        <f ca="1">$B$5*I34/D46</f>
        <v>152.68609905223141</v>
      </c>
    </row>
    <row r="51" spans="1:13" x14ac:dyDescent="0.25">
      <c r="A51" s="675" t="s">
        <v>495</v>
      </c>
      <c r="B51" s="679">
        <f ca="1">(1-$B$5)*$I34*B$29/2000</f>
        <v>2.3652796097060023E-2</v>
      </c>
      <c r="C51" s="679">
        <f t="shared" ref="C51:H51" ca="1" si="2">(1-$B$5)*$I34*C$29/2000</f>
        <v>1.1164119757812334E-2</v>
      </c>
      <c r="D51" s="679">
        <f t="shared" ca="1" si="2"/>
        <v>2.1997100370265813E-2</v>
      </c>
      <c r="E51" s="679">
        <f t="shared" ca="1" si="2"/>
        <v>1.8898584081550943E-2</v>
      </c>
      <c r="F51" s="530">
        <f t="shared" ca="1" si="2"/>
        <v>1.8898584081550943E-2</v>
      </c>
      <c r="G51" s="679">
        <f t="shared" ca="1" si="2"/>
        <v>2.9943257219073134E-3</v>
      </c>
      <c r="H51" s="679">
        <f t="shared" ca="1" si="2"/>
        <v>0.30884638503736123</v>
      </c>
      <c r="I51" s="680">
        <f ca="1">(1-$B$5)*I34</f>
        <v>71.904500135062449</v>
      </c>
    </row>
    <row r="52" spans="1:13" x14ac:dyDescent="0.25">
      <c r="A52" s="3" t="s">
        <v>408</v>
      </c>
      <c r="B52" s="135">
        <f t="shared" ref="B52:I52" ca="1" si="3">B35</f>
        <v>8.5083357694050094E-2</v>
      </c>
      <c r="C52" s="135">
        <f t="shared" ca="1" si="3"/>
        <v>1.3385067882922608</v>
      </c>
      <c r="D52" s="135">
        <f t="shared" ca="1" si="3"/>
        <v>3.4489880126359695</v>
      </c>
      <c r="E52" s="135">
        <f t="shared" ca="1" si="3"/>
        <v>5.4441610832799622E-2</v>
      </c>
      <c r="F52" s="466">
        <f t="shared" ca="1" si="3"/>
        <v>5.4441610832799622E-2</v>
      </c>
      <c r="G52" s="135">
        <f t="shared" ca="1" si="3"/>
        <v>2.9231961989100524E-3</v>
      </c>
      <c r="H52" s="135">
        <f t="shared" ca="1" si="3"/>
        <v>5.3442092670349974E-2</v>
      </c>
      <c r="I52" s="88">
        <f t="shared" ca="1" si="3"/>
        <v>31986.189184455136</v>
      </c>
    </row>
    <row r="53" spans="1:13" x14ac:dyDescent="0.25">
      <c r="A53" s="84" t="s">
        <v>249</v>
      </c>
      <c r="B53" s="137">
        <f t="shared" ref="B53:I53" ca="1" si="4">SUM(B50:B52)</f>
        <v>0.10914229926551017</v>
      </c>
      <c r="C53" s="137">
        <f t="shared" ca="1" si="4"/>
        <v>1.356060271249319</v>
      </c>
      <c r="D53" s="137">
        <f t="shared" ca="1" si="4"/>
        <v>3.4874488599781071</v>
      </c>
      <c r="E53" s="137">
        <f t="shared" ca="1" si="4"/>
        <v>7.360007198617817E-2</v>
      </c>
      <c r="F53" s="137">
        <f t="shared" ca="1" si="4"/>
        <v>7.360007198617817E-2</v>
      </c>
      <c r="G53" s="137">
        <f t="shared" ca="1" si="4"/>
        <v>5.9314758001557891E-3</v>
      </c>
      <c r="H53" s="137">
        <f t="shared" ca="1" si="4"/>
        <v>0.36254358357880978</v>
      </c>
      <c r="I53" s="87">
        <f t="shared" ca="1" si="4"/>
        <v>32210.779783642429</v>
      </c>
    </row>
    <row r="56" spans="1:13" ht="15.75" x14ac:dyDescent="0.25">
      <c r="A56" s="273" t="s">
        <v>354</v>
      </c>
    </row>
    <row r="57" spans="1:13" ht="15.75" x14ac:dyDescent="0.25">
      <c r="A57" s="273"/>
    </row>
    <row r="58" spans="1:13" ht="15.75" x14ac:dyDescent="0.25">
      <c r="A58" s="273"/>
      <c r="B58" s="845" t="s">
        <v>496</v>
      </c>
      <c r="C58" s="845"/>
      <c r="D58" s="845"/>
      <c r="E58" s="845"/>
      <c r="F58" s="845"/>
      <c r="G58" s="845"/>
      <c r="H58" s="845"/>
      <c r="I58" s="812" t="s">
        <v>300</v>
      </c>
    </row>
    <row r="59" spans="1:13" x14ac:dyDescent="0.25">
      <c r="A59" s="813" t="s">
        <v>301</v>
      </c>
      <c r="B59" s="813" t="s">
        <v>201</v>
      </c>
      <c r="C59" s="813" t="s">
        <v>202</v>
      </c>
      <c r="D59" s="363" t="s">
        <v>132</v>
      </c>
      <c r="E59" s="813" t="s">
        <v>203</v>
      </c>
      <c r="F59" s="454" t="s">
        <v>204</v>
      </c>
      <c r="G59" s="813" t="s">
        <v>205</v>
      </c>
      <c r="H59" s="813" t="s">
        <v>206</v>
      </c>
      <c r="I59" s="813" t="s">
        <v>302</v>
      </c>
    </row>
    <row r="60" spans="1:13" x14ac:dyDescent="0.25">
      <c r="A60" s="812">
        <f t="shared" ref="A60:A66" si="5">$B$4+I60-1</f>
        <v>2024</v>
      </c>
      <c r="B60" s="452">
        <f t="shared" ref="B60:H60" ca="1" si="6">(B$36-B$53)*$I60</f>
        <v>9.4205038913840078E-2</v>
      </c>
      <c r="C60" s="452">
        <f t="shared" ca="1" si="6"/>
        <v>3.8267115832003373E-2</v>
      </c>
      <c r="D60" s="465">
        <f t="shared" ca="1" si="6"/>
        <v>7.1524654509191432E-2</v>
      </c>
      <c r="E60" s="452">
        <f t="shared" ca="1" si="6"/>
        <v>7.5334459254376221E-2</v>
      </c>
      <c r="F60" s="455">
        <f t="shared" ca="1" si="6"/>
        <v>7.5334459254376221E-2</v>
      </c>
      <c r="G60" s="452">
        <f t="shared" ca="1" si="6"/>
        <v>1.1963349008290833E-2</v>
      </c>
      <c r="H60" s="452">
        <f t="shared" ca="1" si="6"/>
        <v>1.2351304342783469</v>
      </c>
      <c r="I60" s="812">
        <v>1</v>
      </c>
      <c r="K60" s="252" t="s">
        <v>303</v>
      </c>
    </row>
    <row r="61" spans="1:13" x14ac:dyDescent="0.25">
      <c r="A61" s="812">
        <f t="shared" si="5"/>
        <v>2025</v>
      </c>
      <c r="B61" s="452">
        <f t="shared" ref="B61:H66" ca="1" si="7">B60</f>
        <v>9.4205038913840078E-2</v>
      </c>
      <c r="C61" s="452">
        <f t="shared" ca="1" si="7"/>
        <v>3.8267115832003373E-2</v>
      </c>
      <c r="D61" s="465">
        <f t="shared" ca="1" si="7"/>
        <v>7.1524654509191432E-2</v>
      </c>
      <c r="E61" s="452">
        <f t="shared" ca="1" si="7"/>
        <v>7.5334459254376221E-2</v>
      </c>
      <c r="F61" s="455">
        <f t="shared" ca="1" si="7"/>
        <v>7.5334459254376221E-2</v>
      </c>
      <c r="G61" s="452">
        <f t="shared" ca="1" si="7"/>
        <v>1.1963349008290833E-2</v>
      </c>
      <c r="H61" s="452">
        <f t="shared" ca="1" si="7"/>
        <v>1.2351304342783469</v>
      </c>
      <c r="I61" s="812">
        <v>2</v>
      </c>
      <c r="M61" s="252"/>
    </row>
    <row r="62" spans="1:13" x14ac:dyDescent="0.25">
      <c r="A62" s="812">
        <f t="shared" si="5"/>
        <v>2026</v>
      </c>
      <c r="B62" s="452">
        <f t="shared" ca="1" si="7"/>
        <v>9.4205038913840078E-2</v>
      </c>
      <c r="C62" s="452">
        <f t="shared" ca="1" si="7"/>
        <v>3.8267115832003373E-2</v>
      </c>
      <c r="D62" s="465">
        <f t="shared" ca="1" si="7"/>
        <v>7.1524654509191432E-2</v>
      </c>
      <c r="E62" s="452">
        <f t="shared" ca="1" si="7"/>
        <v>7.5334459254376221E-2</v>
      </c>
      <c r="F62" s="455">
        <f t="shared" ca="1" si="7"/>
        <v>7.5334459254376221E-2</v>
      </c>
      <c r="G62" s="452">
        <f t="shared" ca="1" si="7"/>
        <v>1.1963349008290833E-2</v>
      </c>
      <c r="H62" s="452">
        <f t="shared" ca="1" si="7"/>
        <v>1.2351304342783469</v>
      </c>
      <c r="I62" s="812">
        <v>3</v>
      </c>
      <c r="M62" s="252"/>
    </row>
    <row r="63" spans="1:13" x14ac:dyDescent="0.25">
      <c r="A63" s="812">
        <f t="shared" si="5"/>
        <v>2027</v>
      </c>
      <c r="B63" s="452">
        <f t="shared" ca="1" si="7"/>
        <v>9.4205038913840078E-2</v>
      </c>
      <c r="C63" s="452">
        <f t="shared" ca="1" si="7"/>
        <v>3.8267115832003373E-2</v>
      </c>
      <c r="D63" s="465">
        <f t="shared" ca="1" si="7"/>
        <v>7.1524654509191432E-2</v>
      </c>
      <c r="E63" s="452">
        <f t="shared" ca="1" si="7"/>
        <v>7.5334459254376221E-2</v>
      </c>
      <c r="F63" s="455">
        <f t="shared" ca="1" si="7"/>
        <v>7.5334459254376221E-2</v>
      </c>
      <c r="G63" s="452">
        <f t="shared" ca="1" si="7"/>
        <v>1.1963349008290833E-2</v>
      </c>
      <c r="H63" s="452">
        <f t="shared" ca="1" si="7"/>
        <v>1.2351304342783469</v>
      </c>
      <c r="I63" s="812">
        <v>4</v>
      </c>
      <c r="M63" s="252"/>
    </row>
    <row r="64" spans="1:13" x14ac:dyDescent="0.25">
      <c r="A64" s="812">
        <f t="shared" si="5"/>
        <v>2028</v>
      </c>
      <c r="B64" s="452">
        <f t="shared" ca="1" si="7"/>
        <v>9.4205038913840078E-2</v>
      </c>
      <c r="C64" s="452">
        <f t="shared" ca="1" si="7"/>
        <v>3.8267115832003373E-2</v>
      </c>
      <c r="D64" s="465">
        <f t="shared" ca="1" si="7"/>
        <v>7.1524654509191432E-2</v>
      </c>
      <c r="E64" s="452">
        <f t="shared" ca="1" si="7"/>
        <v>7.5334459254376221E-2</v>
      </c>
      <c r="F64" s="455">
        <f t="shared" ca="1" si="7"/>
        <v>7.5334459254376221E-2</v>
      </c>
      <c r="G64" s="452">
        <f t="shared" ca="1" si="7"/>
        <v>1.1963349008290833E-2</v>
      </c>
      <c r="H64" s="452">
        <f t="shared" ca="1" si="7"/>
        <v>1.2351304342783469</v>
      </c>
      <c r="I64" s="812">
        <v>5</v>
      </c>
    </row>
    <row r="65" spans="1:18" x14ac:dyDescent="0.25">
      <c r="A65" s="812">
        <f t="shared" si="5"/>
        <v>2029</v>
      </c>
      <c r="B65" s="452">
        <f t="shared" ca="1" si="7"/>
        <v>9.4205038913840078E-2</v>
      </c>
      <c r="C65" s="452">
        <f t="shared" ca="1" si="7"/>
        <v>3.8267115832003373E-2</v>
      </c>
      <c r="D65" s="465">
        <f t="shared" ca="1" si="7"/>
        <v>7.1524654509191432E-2</v>
      </c>
      <c r="E65" s="452">
        <f t="shared" ca="1" si="7"/>
        <v>7.5334459254376221E-2</v>
      </c>
      <c r="F65" s="455">
        <f t="shared" ca="1" si="7"/>
        <v>7.5334459254376221E-2</v>
      </c>
      <c r="G65" s="452">
        <f t="shared" ca="1" si="7"/>
        <v>1.1963349008290833E-2</v>
      </c>
      <c r="H65" s="452">
        <f t="shared" ca="1" si="7"/>
        <v>1.2351304342783469</v>
      </c>
      <c r="I65" s="812">
        <v>6</v>
      </c>
    </row>
    <row r="66" spans="1:18" x14ac:dyDescent="0.25">
      <c r="A66" s="812">
        <f t="shared" si="5"/>
        <v>2030</v>
      </c>
      <c r="B66" s="452">
        <f t="shared" ca="1" si="7"/>
        <v>9.4205038913840078E-2</v>
      </c>
      <c r="C66" s="452">
        <f t="shared" ca="1" si="7"/>
        <v>3.8267115832003373E-2</v>
      </c>
      <c r="D66" s="465">
        <f t="shared" ca="1" si="7"/>
        <v>7.1524654509191432E-2</v>
      </c>
      <c r="E66" s="452">
        <f t="shared" ca="1" si="7"/>
        <v>7.5334459254376221E-2</v>
      </c>
      <c r="F66" s="455">
        <f t="shared" ca="1" si="7"/>
        <v>7.5334459254376221E-2</v>
      </c>
      <c r="G66" s="452">
        <f t="shared" ca="1" si="7"/>
        <v>1.1963349008290833E-2</v>
      </c>
      <c r="H66" s="452">
        <f t="shared" ca="1" si="7"/>
        <v>1.2351304342783469</v>
      </c>
      <c r="I66" s="812">
        <v>7</v>
      </c>
    </row>
    <row r="69" spans="1:18" ht="15.75" x14ac:dyDescent="0.25">
      <c r="A69" s="273" t="s">
        <v>304</v>
      </c>
    </row>
    <row r="70" spans="1:18" x14ac:dyDescent="0.25">
      <c r="C70" s="252"/>
      <c r="O70" s="840" t="s">
        <v>305</v>
      </c>
      <c r="P70" s="840"/>
      <c r="Q70" s="840"/>
      <c r="R70" s="840"/>
    </row>
    <row r="71" spans="1:18" x14ac:dyDescent="0.25">
      <c r="A71" s="252"/>
      <c r="B71" s="845" t="s">
        <v>409</v>
      </c>
      <c r="C71" s="845"/>
      <c r="D71" s="845"/>
      <c r="E71" s="845"/>
      <c r="F71" s="845"/>
      <c r="G71" s="845"/>
      <c r="H71" s="845"/>
      <c r="I71" s="812"/>
      <c r="L71" s="845" t="str">
        <f>$B$4&amp;" Base Emissions"</f>
        <v>2024 Base Emissions</v>
      </c>
      <c r="M71" s="845"/>
      <c r="O71" s="244" t="s">
        <v>307</v>
      </c>
      <c r="P71" s="664">
        <f>$B$4</f>
        <v>2024</v>
      </c>
      <c r="Q71" s="244" t="s">
        <v>308</v>
      </c>
      <c r="R71" s="664">
        <v>2024</v>
      </c>
    </row>
    <row r="72" spans="1:18" x14ac:dyDescent="0.25">
      <c r="A72" s="813" t="s">
        <v>130</v>
      </c>
      <c r="B72" s="813" t="s">
        <v>201</v>
      </c>
      <c r="C72" s="813" t="s">
        <v>202</v>
      </c>
      <c r="D72" s="363" t="s">
        <v>132</v>
      </c>
      <c r="E72" s="813" t="s">
        <v>203</v>
      </c>
      <c r="F72" s="454" t="s">
        <v>204</v>
      </c>
      <c r="G72" s="813" t="s">
        <v>205</v>
      </c>
      <c r="H72" s="813" t="s">
        <v>206</v>
      </c>
      <c r="I72" s="3" t="s">
        <v>309</v>
      </c>
      <c r="J72" s="3"/>
      <c r="L72" s="813" t="s">
        <v>132</v>
      </c>
      <c r="M72" s="813" t="s">
        <v>204</v>
      </c>
      <c r="N72" s="813" t="s">
        <v>130</v>
      </c>
      <c r="O72" s="363" t="s">
        <v>132</v>
      </c>
      <c r="P72" s="454" t="s">
        <v>204</v>
      </c>
      <c r="Q72" s="363" t="s">
        <v>132</v>
      </c>
      <c r="R72" s="454" t="s">
        <v>204</v>
      </c>
    </row>
    <row r="73" spans="1:18" x14ac:dyDescent="0.25">
      <c r="A73" s="812">
        <v>2104008100</v>
      </c>
      <c r="B73" s="521"/>
      <c r="C73" s="521"/>
      <c r="D73" s="511"/>
      <c r="E73" s="521"/>
      <c r="F73" s="525"/>
      <c r="G73" s="521"/>
      <c r="H73" s="521"/>
      <c r="I73" t="s">
        <v>137</v>
      </c>
      <c r="L73" s="133">
        <f t="shared" ref="L73:L91" ca="1" si="8">OFFSET(INDIRECT("'DevSumOut-"&amp;$B$4&amp;"BSR'!P49"),MATCH($N73,INDIRECT("'DevSumOut-"&amp;$B$4&amp;"BSR'!B50:B70"),0),0)</f>
        <v>7.8929513019524947E-3</v>
      </c>
      <c r="M73" s="133">
        <f t="shared" ref="M73:M91" ca="1" si="9">OFFSET(INDIRECT("'DevSumOut-"&amp;$B$4&amp;"BSR'!R49"),MATCH($N73,INDIRECT("'DevSumOut-"&amp;$B$4&amp;"BSR'!B50:B70"),0),0)</f>
        <v>0.68274028761889094</v>
      </c>
      <c r="N73" s="812">
        <f>A73</f>
        <v>2104008100</v>
      </c>
      <c r="O73" s="357">
        <f ca="1">D73/L73</f>
        <v>0</v>
      </c>
      <c r="P73" s="463">
        <f ca="1">F73/M73</f>
        <v>0</v>
      </c>
      <c r="Q73" s="357">
        <f ca="1">O73</f>
        <v>0</v>
      </c>
      <c r="R73" s="463">
        <f ca="1">P73</f>
        <v>0</v>
      </c>
    </row>
    <row r="74" spans="1:18" x14ac:dyDescent="0.25">
      <c r="A74" s="812">
        <v>2104008210</v>
      </c>
      <c r="B74" s="521"/>
      <c r="C74" s="521"/>
      <c r="D74" s="511"/>
      <c r="E74" s="521"/>
      <c r="F74" s="525"/>
      <c r="G74" s="521"/>
      <c r="H74" s="521"/>
      <c r="I74" t="s">
        <v>138</v>
      </c>
      <c r="L74" s="133">
        <f t="shared" ca="1" si="8"/>
        <v>6.9652063058803562E-4</v>
      </c>
      <c r="M74" s="133">
        <f t="shared" ca="1" si="9"/>
        <v>5.3283828239984704E-2</v>
      </c>
      <c r="N74" s="812">
        <f t="shared" ref="N74:N90" si="10">A74</f>
        <v>2104008210</v>
      </c>
      <c r="O74" s="357">
        <f t="shared" ref="O74:O91" ca="1" si="11">D74/L74</f>
        <v>0</v>
      </c>
      <c r="P74" s="463">
        <f t="shared" ref="P74:P91" ca="1" si="12">F74/M74</f>
        <v>0</v>
      </c>
      <c r="Q74" s="357">
        <f t="shared" ref="Q74:Q91" ca="1" si="13">O74</f>
        <v>0</v>
      </c>
      <c r="R74" s="463">
        <f t="shared" ref="R74:R91" ca="1" si="14">P74</f>
        <v>0</v>
      </c>
    </row>
    <row r="75" spans="1:18" x14ac:dyDescent="0.25">
      <c r="A75" s="812">
        <v>2104008220</v>
      </c>
      <c r="B75" s="521"/>
      <c r="C75" s="521"/>
      <c r="D75" s="511"/>
      <c r="E75" s="521"/>
      <c r="F75" s="525"/>
      <c r="G75" s="521"/>
      <c r="H75" s="521"/>
      <c r="I75" t="s">
        <v>139</v>
      </c>
      <c r="L75" s="133">
        <f t="shared" ca="1" si="8"/>
        <v>1.466465893975229E-3</v>
      </c>
      <c r="M75" s="133">
        <f t="shared" ca="1" si="9"/>
        <v>4.3993976819256868E-2</v>
      </c>
      <c r="N75" s="812">
        <f t="shared" si="10"/>
        <v>2104008220</v>
      </c>
      <c r="O75" s="357">
        <f t="shared" ca="1" si="11"/>
        <v>0</v>
      </c>
      <c r="P75" s="463">
        <f t="shared" ca="1" si="12"/>
        <v>0</v>
      </c>
      <c r="Q75" s="357">
        <f t="shared" ca="1" si="13"/>
        <v>0</v>
      </c>
      <c r="R75" s="463">
        <f t="shared" ca="1" si="14"/>
        <v>0</v>
      </c>
    </row>
    <row r="76" spans="1:18" x14ac:dyDescent="0.25">
      <c r="A76" s="812">
        <v>2104008230</v>
      </c>
      <c r="B76" s="521"/>
      <c r="C76" s="521"/>
      <c r="D76" s="511"/>
      <c r="E76" s="521"/>
      <c r="F76" s="525"/>
      <c r="G76" s="521"/>
      <c r="H76" s="521"/>
      <c r="I76" t="s">
        <v>140</v>
      </c>
      <c r="L76" s="133">
        <f t="shared" ca="1" si="8"/>
        <v>8.8291983988187436E-4</v>
      </c>
      <c r="M76" s="133">
        <f t="shared" ca="1" si="9"/>
        <v>2.8694894796160917E-2</v>
      </c>
      <c r="N76" s="812">
        <f t="shared" si="10"/>
        <v>2104008230</v>
      </c>
      <c r="O76" s="357">
        <f t="shared" ca="1" si="11"/>
        <v>0</v>
      </c>
      <c r="P76" s="463">
        <f t="shared" ca="1" si="12"/>
        <v>0</v>
      </c>
      <c r="Q76" s="357">
        <f t="shared" ca="1" si="13"/>
        <v>0</v>
      </c>
      <c r="R76" s="463">
        <f t="shared" ca="1" si="14"/>
        <v>0</v>
      </c>
    </row>
    <row r="77" spans="1:18" x14ac:dyDescent="0.25">
      <c r="A77" s="812">
        <v>2104008310</v>
      </c>
      <c r="B77" s="521"/>
      <c r="C77" s="521"/>
      <c r="D77" s="511"/>
      <c r="E77" s="521"/>
      <c r="F77" s="525"/>
      <c r="G77" s="521"/>
      <c r="H77" s="521"/>
      <c r="I77" t="s">
        <v>141</v>
      </c>
      <c r="L77" s="133">
        <f t="shared" ca="1" si="8"/>
        <v>1.4135343380796375E-2</v>
      </c>
      <c r="M77" s="133">
        <f t="shared" ca="1" si="9"/>
        <v>0.42907938675491686</v>
      </c>
      <c r="N77" s="812">
        <f t="shared" si="10"/>
        <v>2104008310</v>
      </c>
      <c r="O77" s="357">
        <f t="shared" ca="1" si="11"/>
        <v>0</v>
      </c>
      <c r="P77" s="463">
        <f t="shared" ca="1" si="12"/>
        <v>0</v>
      </c>
      <c r="Q77" s="357">
        <f t="shared" ca="1" si="13"/>
        <v>0</v>
      </c>
      <c r="R77" s="463">
        <f t="shared" ca="1" si="14"/>
        <v>0</v>
      </c>
    </row>
    <row r="78" spans="1:18" x14ac:dyDescent="0.25">
      <c r="A78" s="812">
        <v>2104008320</v>
      </c>
      <c r="B78" s="521"/>
      <c r="C78" s="521"/>
      <c r="D78" s="511"/>
      <c r="E78" s="521"/>
      <c r="F78" s="525"/>
      <c r="G78" s="521"/>
      <c r="H78" s="521"/>
      <c r="I78" t="s">
        <v>142</v>
      </c>
      <c r="L78" s="133">
        <f t="shared" ca="1" si="8"/>
        <v>2.9760782462489317E-2</v>
      </c>
      <c r="M78" s="133">
        <f t="shared" ca="1" si="9"/>
        <v>0.58964482219134895</v>
      </c>
      <c r="N78" s="812">
        <f t="shared" si="10"/>
        <v>2104008320</v>
      </c>
      <c r="O78" s="357">
        <f t="shared" ca="1" si="11"/>
        <v>0</v>
      </c>
      <c r="P78" s="463">
        <f t="shared" ca="1" si="12"/>
        <v>0</v>
      </c>
      <c r="Q78" s="357">
        <f t="shared" ca="1" si="13"/>
        <v>0</v>
      </c>
      <c r="R78" s="463">
        <f t="shared" ca="1" si="14"/>
        <v>0</v>
      </c>
    </row>
    <row r="79" spans="1:18" x14ac:dyDescent="0.25">
      <c r="A79" s="812">
        <v>2104008330</v>
      </c>
      <c r="B79" s="521"/>
      <c r="C79" s="521"/>
      <c r="D79" s="511"/>
      <c r="E79" s="521"/>
      <c r="F79" s="525"/>
      <c r="G79" s="521"/>
      <c r="H79" s="521"/>
      <c r="I79" t="s">
        <v>143</v>
      </c>
      <c r="L79" s="133">
        <f t="shared" ca="1" si="8"/>
        <v>1.7918170067570769E-2</v>
      </c>
      <c r="M79" s="133">
        <f t="shared" ca="1" si="9"/>
        <v>0.39391449043518229</v>
      </c>
      <c r="N79" s="812">
        <f t="shared" si="10"/>
        <v>2104008330</v>
      </c>
      <c r="O79" s="357">
        <f t="shared" ca="1" si="11"/>
        <v>0</v>
      </c>
      <c r="P79" s="463">
        <f t="shared" ca="1" si="12"/>
        <v>0</v>
      </c>
      <c r="Q79" s="357">
        <f t="shared" ca="1" si="13"/>
        <v>0</v>
      </c>
      <c r="R79" s="463">
        <f t="shared" ca="1" si="14"/>
        <v>0</v>
      </c>
    </row>
    <row r="80" spans="1:18" x14ac:dyDescent="0.25">
      <c r="A80" s="812">
        <v>2104008410</v>
      </c>
      <c r="B80" s="521"/>
      <c r="C80" s="521"/>
      <c r="D80" s="511"/>
      <c r="E80" s="521"/>
      <c r="F80" s="525"/>
      <c r="G80" s="521"/>
      <c r="H80" s="521"/>
      <c r="I80" t="s">
        <v>144</v>
      </c>
      <c r="L80" s="133">
        <f t="shared" ca="1" si="8"/>
        <v>1.5713437961392396E-3</v>
      </c>
      <c r="M80" s="133">
        <f t="shared" ca="1" si="9"/>
        <v>1.4534930114287962E-2</v>
      </c>
      <c r="N80" s="812">
        <f t="shared" si="10"/>
        <v>2104008410</v>
      </c>
      <c r="O80" s="357">
        <f t="shared" ca="1" si="11"/>
        <v>0</v>
      </c>
      <c r="P80" s="463">
        <f t="shared" ca="1" si="12"/>
        <v>0</v>
      </c>
      <c r="Q80" s="357">
        <f t="shared" ca="1" si="13"/>
        <v>0</v>
      </c>
      <c r="R80" s="463">
        <f t="shared" ca="1" si="14"/>
        <v>0</v>
      </c>
    </row>
    <row r="81" spans="1:18" x14ac:dyDescent="0.25">
      <c r="A81" s="812">
        <v>2104008420</v>
      </c>
      <c r="B81" s="521"/>
      <c r="C81" s="521"/>
      <c r="D81" s="511"/>
      <c r="E81" s="521"/>
      <c r="F81" s="525"/>
      <c r="G81" s="521"/>
      <c r="H81" s="521"/>
      <c r="I81" t="s">
        <v>145</v>
      </c>
      <c r="L81" s="133">
        <f t="shared" ca="1" si="8"/>
        <v>5.3001914595375227E-3</v>
      </c>
      <c r="M81" s="133">
        <f t="shared" ca="1" si="9"/>
        <v>4.9026771000722072E-2</v>
      </c>
      <c r="N81" s="812">
        <f t="shared" si="10"/>
        <v>2104008420</v>
      </c>
      <c r="O81" s="357">
        <f t="shared" ca="1" si="11"/>
        <v>0</v>
      </c>
      <c r="P81" s="463">
        <f t="shared" ca="1" si="12"/>
        <v>0</v>
      </c>
      <c r="Q81" s="357">
        <f t="shared" ca="1" si="13"/>
        <v>0</v>
      </c>
      <c r="R81" s="463">
        <f t="shared" ca="1" si="14"/>
        <v>0</v>
      </c>
    </row>
    <row r="82" spans="1:18" x14ac:dyDescent="0.25">
      <c r="A82" s="812">
        <v>2104008610</v>
      </c>
      <c r="B82" s="521"/>
      <c r="C82" s="521"/>
      <c r="D82" s="511"/>
      <c r="E82" s="521"/>
      <c r="F82" s="525"/>
      <c r="G82" s="521"/>
      <c r="H82" s="521"/>
      <c r="I82" t="s">
        <v>146</v>
      </c>
      <c r="L82" s="133">
        <f t="shared" ca="1" si="8"/>
        <v>9.8715287497472982E-3</v>
      </c>
      <c r="M82" s="133">
        <f t="shared" ca="1" si="9"/>
        <v>0.24358372503811659</v>
      </c>
      <c r="N82" s="812">
        <f t="shared" si="10"/>
        <v>2104008610</v>
      </c>
      <c r="O82" s="357">
        <f t="shared" ca="1" si="11"/>
        <v>0</v>
      </c>
      <c r="P82" s="463">
        <f t="shared" ca="1" si="12"/>
        <v>0</v>
      </c>
      <c r="Q82" s="357">
        <f t="shared" ca="1" si="13"/>
        <v>0</v>
      </c>
      <c r="R82" s="463">
        <f t="shared" ca="1" si="14"/>
        <v>0</v>
      </c>
    </row>
    <row r="83" spans="1:18" x14ac:dyDescent="0.25">
      <c r="A83" s="812">
        <v>2104004000</v>
      </c>
      <c r="B83" s="133">
        <f ca="1">B35-(B50+B52)</f>
        <v>-4.0614547440004367E-4</v>
      </c>
      <c r="C83" s="133">
        <f t="shared" ref="C83:H83" ca="1" si="15">C35-(C50+C52)</f>
        <v>-6.3893631992459898E-3</v>
      </c>
      <c r="D83" s="511">
        <f t="shared" ca="1" si="15"/>
        <v>-1.6463746971871807E-2</v>
      </c>
      <c r="E83" s="133">
        <f t="shared" ca="1" si="15"/>
        <v>-2.5987707182759806E-4</v>
      </c>
      <c r="F83" s="525">
        <f t="shared" ca="1" si="15"/>
        <v>-2.5987707182759806E-4</v>
      </c>
      <c r="G83" s="133">
        <f t="shared" ca="1" si="15"/>
        <v>-1.3953879338423833E-5</v>
      </c>
      <c r="H83" s="133">
        <f t="shared" ca="1" si="15"/>
        <v>-2.5510587109855293E-4</v>
      </c>
      <c r="I83" t="s">
        <v>312</v>
      </c>
      <c r="L83" s="133">
        <f t="shared" ca="1" si="8"/>
        <v>3.3486981225244321</v>
      </c>
      <c r="M83" s="133">
        <f t="shared" ca="1" si="9"/>
        <v>5.2902056219767318E-2</v>
      </c>
      <c r="N83" s="812">
        <f t="shared" si="10"/>
        <v>2104004000</v>
      </c>
      <c r="O83" s="357">
        <f t="shared" ca="1" si="11"/>
        <v>-4.9164619710362345E-3</v>
      </c>
      <c r="P83" s="463">
        <f t="shared" ca="1" si="12"/>
        <v>-4.9124191080212251E-3</v>
      </c>
      <c r="Q83" s="357">
        <f t="shared" ca="1" si="13"/>
        <v>-4.9164619710362345E-3</v>
      </c>
      <c r="R83" s="463">
        <f t="shared" ca="1" si="14"/>
        <v>-4.9124191080212251E-3</v>
      </c>
    </row>
    <row r="84" spans="1:18" x14ac:dyDescent="0.25">
      <c r="A84" s="812">
        <v>2103004001</v>
      </c>
      <c r="B84" s="521"/>
      <c r="C84" s="521"/>
      <c r="D84" s="511"/>
      <c r="E84" s="521"/>
      <c r="F84" s="525"/>
      <c r="G84" s="521"/>
      <c r="H84" s="521"/>
      <c r="I84" t="s">
        <v>148</v>
      </c>
      <c r="L84" s="133">
        <f t="shared" ca="1" si="8"/>
        <v>0.48922407287064373</v>
      </c>
      <c r="M84" s="133">
        <f t="shared" ca="1" si="9"/>
        <v>1.7556769738486938E-2</v>
      </c>
      <c r="N84" s="812">
        <f t="shared" si="10"/>
        <v>2103004001</v>
      </c>
      <c r="O84" s="357">
        <f t="shared" ca="1" si="11"/>
        <v>0</v>
      </c>
      <c r="P84" s="463">
        <f t="shared" ca="1" si="12"/>
        <v>0</v>
      </c>
      <c r="Q84" s="357">
        <f t="shared" ca="1" si="13"/>
        <v>0</v>
      </c>
      <c r="R84" s="463">
        <f t="shared" ca="1" si="14"/>
        <v>0</v>
      </c>
    </row>
    <row r="85" spans="1:18" x14ac:dyDescent="0.25">
      <c r="A85" s="812">
        <v>2104006010</v>
      </c>
      <c r="B85" s="521"/>
      <c r="C85" s="521"/>
      <c r="D85" s="511"/>
      <c r="E85" s="521"/>
      <c r="F85" s="525"/>
      <c r="G85" s="521"/>
      <c r="H85" s="521"/>
      <c r="I85" t="s">
        <v>149</v>
      </c>
      <c r="L85" s="133">
        <f t="shared" ca="1" si="8"/>
        <v>7.0898784775737624E-5</v>
      </c>
      <c r="M85" s="133">
        <f t="shared" ca="1" si="9"/>
        <v>5.8529310125197163E-6</v>
      </c>
      <c r="N85" s="812">
        <f t="shared" si="10"/>
        <v>2104006010</v>
      </c>
      <c r="O85" s="357">
        <f t="shared" ca="1" si="11"/>
        <v>0</v>
      </c>
      <c r="P85" s="463">
        <f t="shared" ca="1" si="12"/>
        <v>0</v>
      </c>
      <c r="Q85" s="357">
        <f t="shared" ca="1" si="13"/>
        <v>0</v>
      </c>
      <c r="R85" s="463">
        <f t="shared" ca="1" si="14"/>
        <v>0</v>
      </c>
    </row>
    <row r="86" spans="1:18" x14ac:dyDescent="0.25">
      <c r="A86" s="812">
        <v>2103006000</v>
      </c>
      <c r="B86" s="521"/>
      <c r="C86" s="521"/>
      <c r="D86" s="511"/>
      <c r="E86" s="521"/>
      <c r="F86" s="525"/>
      <c r="G86" s="521"/>
      <c r="H86" s="521"/>
      <c r="I86" t="s">
        <v>150</v>
      </c>
      <c r="L86" s="133">
        <f t="shared" ca="1" si="8"/>
        <v>7.9575146604215412E-4</v>
      </c>
      <c r="M86" s="133">
        <f t="shared" ca="1" si="9"/>
        <v>1.0079518569867288E-2</v>
      </c>
      <c r="N86" s="812">
        <f t="shared" si="10"/>
        <v>2103006000</v>
      </c>
      <c r="O86" s="357">
        <f t="shared" ca="1" si="11"/>
        <v>0</v>
      </c>
      <c r="P86" s="463">
        <f t="shared" ca="1" si="12"/>
        <v>0</v>
      </c>
      <c r="Q86" s="357">
        <f t="shared" ca="1" si="13"/>
        <v>0</v>
      </c>
      <c r="R86" s="463">
        <f t="shared" ca="1" si="14"/>
        <v>0</v>
      </c>
    </row>
    <row r="87" spans="1:18" x14ac:dyDescent="0.25">
      <c r="A87" s="812">
        <v>2104002000</v>
      </c>
      <c r="B87" s="133">
        <f ca="1">B34-B51</f>
        <v>9.4611184388240122E-2</v>
      </c>
      <c r="C87" s="521">
        <f t="shared" ref="C87:H87" ca="1" si="16">C34-C51</f>
        <v>4.4656479031249342E-2</v>
      </c>
      <c r="D87" s="511">
        <f t="shared" ca="1" si="16"/>
        <v>8.798840148106328E-2</v>
      </c>
      <c r="E87" s="521">
        <f t="shared" ca="1" si="16"/>
        <v>7.5594336326203812E-2</v>
      </c>
      <c r="F87" s="525">
        <f t="shared" ca="1" si="16"/>
        <v>7.5594336326203812E-2</v>
      </c>
      <c r="G87" s="521">
        <f t="shared" ca="1" si="16"/>
        <v>1.1977302887629257E-2</v>
      </c>
      <c r="H87" s="521">
        <f t="shared" ca="1" si="16"/>
        <v>1.2353855401494453</v>
      </c>
      <c r="I87" t="s">
        <v>151</v>
      </c>
      <c r="L87" s="133">
        <f t="shared" ca="1" si="8"/>
        <v>0.10998550185132909</v>
      </c>
      <c r="M87" s="133">
        <f t="shared" ca="1" si="9"/>
        <v>9.4492920407754755E-2</v>
      </c>
      <c r="N87" s="812">
        <f t="shared" si="10"/>
        <v>2104002000</v>
      </c>
      <c r="O87" s="357">
        <f t="shared" ca="1" si="11"/>
        <v>0.8</v>
      </c>
      <c r="P87" s="463">
        <f t="shared" ca="1" si="12"/>
        <v>0.8</v>
      </c>
      <c r="Q87" s="357">
        <f t="shared" ca="1" si="13"/>
        <v>0.8</v>
      </c>
      <c r="R87" s="463">
        <f t="shared" ca="1" si="14"/>
        <v>0.8</v>
      </c>
    </row>
    <row r="88" spans="1:18" x14ac:dyDescent="0.25">
      <c r="A88" s="812">
        <v>2103002000</v>
      </c>
      <c r="B88" s="521"/>
      <c r="C88" s="521"/>
      <c r="D88" s="511"/>
      <c r="E88" s="521"/>
      <c r="F88" s="525"/>
      <c r="G88" s="521"/>
      <c r="H88" s="521"/>
      <c r="I88" t="s">
        <v>152</v>
      </c>
      <c r="L88" s="133">
        <f t="shared" ca="1" si="8"/>
        <v>3.0617780757568117E-4</v>
      </c>
      <c r="M88" s="133">
        <f t="shared" ca="1" si="9"/>
        <v>2.6304953575588091E-4</v>
      </c>
      <c r="N88" s="812">
        <f t="shared" si="10"/>
        <v>2103002000</v>
      </c>
      <c r="O88" s="357">
        <f t="shared" ca="1" si="11"/>
        <v>0</v>
      </c>
      <c r="P88" s="463">
        <f t="shared" ca="1" si="12"/>
        <v>0</v>
      </c>
      <c r="Q88" s="357">
        <f t="shared" ca="1" si="13"/>
        <v>0</v>
      </c>
      <c r="R88" s="463">
        <f t="shared" ca="1" si="14"/>
        <v>0</v>
      </c>
    </row>
    <row r="89" spans="1:18" x14ac:dyDescent="0.25">
      <c r="A89" s="812">
        <v>2103008000</v>
      </c>
      <c r="B89" s="521"/>
      <c r="C89" s="521"/>
      <c r="D89" s="511"/>
      <c r="E89" s="521"/>
      <c r="F89" s="525"/>
      <c r="G89" s="521"/>
      <c r="H89" s="521"/>
      <c r="I89" t="s">
        <v>153</v>
      </c>
      <c r="L89" s="133">
        <f t="shared" ca="1" si="8"/>
        <v>7.5369704121824448E-6</v>
      </c>
      <c r="M89" s="133">
        <f t="shared" ca="1" si="9"/>
        <v>2.5766689106639573E-4</v>
      </c>
      <c r="N89" s="812">
        <f t="shared" si="10"/>
        <v>2103008000</v>
      </c>
      <c r="O89" s="357">
        <f t="shared" ca="1" si="11"/>
        <v>0</v>
      </c>
      <c r="P89" s="463">
        <f t="shared" ca="1" si="12"/>
        <v>0</v>
      </c>
      <c r="Q89" s="357">
        <f t="shared" ca="1" si="13"/>
        <v>0</v>
      </c>
      <c r="R89" s="463">
        <f t="shared" ca="1" si="14"/>
        <v>0</v>
      </c>
    </row>
    <row r="90" spans="1:18" x14ac:dyDescent="0.25">
      <c r="A90" s="813">
        <v>2102012000</v>
      </c>
      <c r="B90" s="527"/>
      <c r="C90" s="527"/>
      <c r="D90" s="524"/>
      <c r="E90" s="527"/>
      <c r="F90" s="526"/>
      <c r="G90" s="527"/>
      <c r="H90" s="527"/>
      <c r="I90" s="3" t="s">
        <v>154</v>
      </c>
      <c r="L90" s="135">
        <f t="shared" ca="1" si="8"/>
        <v>1.6802202817214625E-2</v>
      </c>
      <c r="M90" s="135">
        <f t="shared" ca="1" si="9"/>
        <v>2.3655128992506407E-3</v>
      </c>
      <c r="N90" s="813">
        <f t="shared" si="10"/>
        <v>2102012000</v>
      </c>
      <c r="O90" s="361">
        <f t="shared" ca="1" si="11"/>
        <v>0</v>
      </c>
      <c r="P90" s="519">
        <f t="shared" ca="1" si="12"/>
        <v>0</v>
      </c>
      <c r="Q90" s="361">
        <f t="shared" ca="1" si="13"/>
        <v>0</v>
      </c>
      <c r="R90" s="519">
        <f t="shared" ca="1" si="14"/>
        <v>0</v>
      </c>
    </row>
    <row r="91" spans="1:18" x14ac:dyDescent="0.25">
      <c r="A91" s="810" t="s">
        <v>249</v>
      </c>
      <c r="B91" s="137">
        <f ca="1">SUM(B73:B90)</f>
        <v>9.4205038913840078E-2</v>
      </c>
      <c r="C91" s="137">
        <f t="shared" ref="C91:H91" ca="1" si="17">SUM(C73:C90)</f>
        <v>3.8267115832003352E-2</v>
      </c>
      <c r="D91" s="511">
        <f t="shared" ca="1" si="17"/>
        <v>7.1524654509191474E-2</v>
      </c>
      <c r="E91" s="137">
        <f t="shared" ca="1" si="17"/>
        <v>7.5334459254376207E-2</v>
      </c>
      <c r="F91" s="525">
        <f t="shared" ca="1" si="17"/>
        <v>7.5334459254376207E-2</v>
      </c>
      <c r="G91" s="137">
        <f t="shared" ca="1" si="17"/>
        <v>1.1963349008290833E-2</v>
      </c>
      <c r="H91" s="137">
        <f t="shared" ca="1" si="17"/>
        <v>1.2351304342783469</v>
      </c>
      <c r="L91" s="137" t="e">
        <f t="shared" ca="1" si="8"/>
        <v>#N/A</v>
      </c>
      <c r="M91" s="137" t="e">
        <f t="shared" ca="1" si="9"/>
        <v>#N/A</v>
      </c>
      <c r="N91" s="810" t="s">
        <v>249</v>
      </c>
      <c r="O91" s="357" t="e">
        <f t="shared" ca="1" si="11"/>
        <v>#N/A</v>
      </c>
      <c r="P91" s="463" t="e">
        <f t="shared" ca="1" si="12"/>
        <v>#N/A</v>
      </c>
      <c r="Q91" s="357" t="e">
        <f t="shared" ca="1" si="13"/>
        <v>#N/A</v>
      </c>
      <c r="R91" s="463" t="e">
        <f t="shared" ca="1" si="14"/>
        <v>#N/A</v>
      </c>
    </row>
  </sheetData>
  <mergeCells count="12">
    <mergeCell ref="B40:D40"/>
    <mergeCell ref="A1:K1"/>
    <mergeCell ref="A25:C25"/>
    <mergeCell ref="B27:H27"/>
    <mergeCell ref="B32:H32"/>
    <mergeCell ref="A38:C38"/>
    <mergeCell ref="O70:R70"/>
    <mergeCell ref="B71:H71"/>
    <mergeCell ref="L71:M71"/>
    <mergeCell ref="B41:D41"/>
    <mergeCell ref="B48:H48"/>
    <mergeCell ref="B58:H5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E2B82-864A-44D2-8BAF-C594A8880917}">
  <sheetPr>
    <tabColor theme="8" tint="0.79998168889431442"/>
    <pageSetUpPr fitToPage="1"/>
  </sheetPr>
  <dimension ref="A1:O59"/>
  <sheetViews>
    <sheetView workbookViewId="0">
      <selection sqref="A1:O1"/>
    </sheetView>
  </sheetViews>
  <sheetFormatPr defaultRowHeight="15" x14ac:dyDescent="0.25"/>
  <cols>
    <col min="1" max="1" width="10.42578125" customWidth="1"/>
    <col min="2" max="2" width="21.28515625" customWidth="1"/>
    <col min="3" max="3" width="13.42578125" customWidth="1"/>
    <col min="4" max="4" width="35.140625" customWidth="1"/>
    <col min="5" max="15" width="9.7109375" customWidth="1"/>
  </cols>
  <sheetData>
    <row r="1" spans="1:15" ht="15.75" x14ac:dyDescent="0.25">
      <c r="A1" s="831" t="s">
        <v>60</v>
      </c>
      <c r="B1" s="831"/>
      <c r="C1" s="831"/>
      <c r="D1" s="831"/>
      <c r="E1" s="831"/>
      <c r="F1" s="831"/>
      <c r="G1" s="831"/>
      <c r="H1" s="831"/>
      <c r="I1" s="831"/>
      <c r="J1" s="831"/>
      <c r="K1" s="831"/>
      <c r="L1" s="831"/>
      <c r="M1" s="831"/>
      <c r="N1" s="831"/>
      <c r="O1" s="831"/>
    </row>
    <row r="2" spans="1:15" x14ac:dyDescent="0.25">
      <c r="A2" s="829" t="s">
        <v>61</v>
      </c>
      <c r="B2" s="829"/>
      <c r="C2" s="829"/>
      <c r="D2" s="829"/>
      <c r="E2" s="829"/>
      <c r="F2" s="829"/>
      <c r="G2" s="829"/>
      <c r="H2" s="829"/>
      <c r="I2" s="829"/>
      <c r="J2" s="829"/>
      <c r="K2" s="829"/>
      <c r="L2" s="829"/>
      <c r="M2" s="829"/>
      <c r="N2" s="829"/>
      <c r="O2" s="829"/>
    </row>
    <row r="4" spans="1:15" x14ac:dyDescent="0.25">
      <c r="A4" s="718" t="s">
        <v>62</v>
      </c>
      <c r="B4" s="719"/>
      <c r="C4" s="718"/>
      <c r="D4" s="718" t="s">
        <v>63</v>
      </c>
      <c r="E4" s="830" t="s">
        <v>64</v>
      </c>
      <c r="F4" s="830"/>
      <c r="G4" s="830"/>
      <c r="H4" s="830"/>
      <c r="I4" s="830"/>
      <c r="J4" s="830"/>
      <c r="K4" s="830"/>
      <c r="L4" s="830"/>
      <c r="M4" s="830"/>
      <c r="N4" s="830"/>
      <c r="O4" s="830"/>
    </row>
    <row r="5" spans="1:15" x14ac:dyDescent="0.25">
      <c r="A5" s="717" t="s">
        <v>65</v>
      </c>
      <c r="B5" s="717" t="s">
        <v>66</v>
      </c>
      <c r="C5" s="717" t="s">
        <v>67</v>
      </c>
      <c r="D5" s="717" t="s">
        <v>68</v>
      </c>
      <c r="E5" s="806">
        <v>2019</v>
      </c>
      <c r="F5" s="788">
        <v>2020</v>
      </c>
      <c r="G5" s="806">
        <v>2021</v>
      </c>
      <c r="H5" s="806">
        <v>2022</v>
      </c>
      <c r="I5" s="788">
        <v>2023</v>
      </c>
      <c r="J5" s="806">
        <v>2024</v>
      </c>
      <c r="K5" s="806">
        <v>2025</v>
      </c>
      <c r="L5" s="788">
        <v>2026</v>
      </c>
      <c r="M5" s="806">
        <v>2027</v>
      </c>
      <c r="N5" s="806">
        <v>2028</v>
      </c>
      <c r="O5" s="788">
        <v>2029</v>
      </c>
    </row>
    <row r="6" spans="1:15" x14ac:dyDescent="0.25">
      <c r="A6" s="714" t="s">
        <v>69</v>
      </c>
      <c r="B6" s="714" t="s">
        <v>70</v>
      </c>
      <c r="C6" s="714" t="s">
        <v>71</v>
      </c>
      <c r="D6" s="714" t="s">
        <v>72</v>
      </c>
      <c r="E6" s="782">
        <f>SUM('WSCOReductions-5PctSIP'!D7:L7)</f>
        <v>2616</v>
      </c>
      <c r="F6" s="789">
        <f>SUM('WSCOReductions-5PctSIP'!D7:M7)</f>
        <v>2791</v>
      </c>
      <c r="G6" s="782">
        <f>F6+'WSCOReductions-5PctSIP'!AB7</f>
        <v>3111</v>
      </c>
      <c r="H6" s="782">
        <f>G6+'WSCOReductions-5PctSIP'!AC7</f>
        <v>3428</v>
      </c>
      <c r="I6" s="789">
        <f>H6+'WSCOReductions-5PctSIP'!AD7</f>
        <v>3645</v>
      </c>
      <c r="J6" s="782">
        <f>I6+'WSCOReductions-5PctSIP'!AE7</f>
        <v>3754</v>
      </c>
      <c r="K6" s="782">
        <f>J6+'WSCOReductions-5PctSIP'!AF7</f>
        <v>3791</v>
      </c>
      <c r="L6" s="789">
        <f>K6</f>
        <v>3791</v>
      </c>
      <c r="M6" s="782">
        <f t="shared" ref="M6:O6" si="0">L6</f>
        <v>3791</v>
      </c>
      <c r="N6" s="782">
        <f t="shared" si="0"/>
        <v>3791</v>
      </c>
      <c r="O6" s="789">
        <f t="shared" si="0"/>
        <v>3791</v>
      </c>
    </row>
    <row r="7" spans="1:15" x14ac:dyDescent="0.25">
      <c r="A7" s="714" t="s">
        <v>73</v>
      </c>
      <c r="B7" s="714" t="s">
        <v>74</v>
      </c>
      <c r="C7" s="715" t="s">
        <v>75</v>
      </c>
      <c r="D7" s="714" t="s">
        <v>76</v>
      </c>
      <c r="E7" s="790">
        <v>0.3</v>
      </c>
      <c r="F7" s="790">
        <v>0.3</v>
      </c>
      <c r="G7" s="781">
        <v>0.3</v>
      </c>
      <c r="H7" s="781">
        <v>0.4</v>
      </c>
      <c r="I7" s="790">
        <v>0.45</v>
      </c>
      <c r="J7" s="781">
        <v>0.45</v>
      </c>
      <c r="K7" s="781">
        <v>0.45</v>
      </c>
      <c r="L7" s="790">
        <v>0.5</v>
      </c>
      <c r="M7" s="781">
        <v>0.5</v>
      </c>
      <c r="N7" s="781">
        <v>0.5</v>
      </c>
      <c r="O7" s="790">
        <v>0.5</v>
      </c>
    </row>
    <row r="8" spans="1:15" x14ac:dyDescent="0.25">
      <c r="A8" s="714" t="s">
        <v>12</v>
      </c>
      <c r="B8" s="714" t="s">
        <v>77</v>
      </c>
      <c r="C8" s="785">
        <v>2023</v>
      </c>
      <c r="D8" s="714" t="s">
        <v>78</v>
      </c>
      <c r="E8" s="714" t="str">
        <f>IF(E$5&lt;$C8,"n/a","")</f>
        <v>n/a</v>
      </c>
      <c r="F8" s="791" t="str">
        <f>IF(F$5&lt;$C8,"n/a","")</f>
        <v>n/a</v>
      </c>
      <c r="G8" s="716" t="str">
        <f t="shared" ref="G8:H8" si="1">IF(G$5&lt;$C8,"n/a","")</f>
        <v>n/a</v>
      </c>
      <c r="H8" s="716" t="str">
        <f t="shared" si="1"/>
        <v>n/a</v>
      </c>
      <c r="I8" s="792">
        <v>1</v>
      </c>
      <c r="J8" s="783">
        <v>1</v>
      </c>
      <c r="K8" s="783">
        <v>1</v>
      </c>
      <c r="L8" s="792">
        <v>1</v>
      </c>
      <c r="M8" s="783">
        <v>1</v>
      </c>
      <c r="N8" s="783">
        <v>1</v>
      </c>
      <c r="O8" s="792">
        <v>1</v>
      </c>
    </row>
    <row r="9" spans="1:15" x14ac:dyDescent="0.25">
      <c r="A9" s="714" t="s">
        <v>14</v>
      </c>
      <c r="B9" s="714" t="s">
        <v>79</v>
      </c>
      <c r="C9" s="785">
        <v>2022</v>
      </c>
      <c r="D9" s="714" t="s">
        <v>78</v>
      </c>
      <c r="E9" s="714" t="str">
        <f t="shared" ref="E9:I16" si="2">IF(E$5&lt;$C9,"n/a","")</f>
        <v>n/a</v>
      </c>
      <c r="F9" s="791" t="str">
        <f t="shared" si="2"/>
        <v>n/a</v>
      </c>
      <c r="G9" s="716" t="str">
        <f t="shared" si="2"/>
        <v>n/a</v>
      </c>
      <c r="H9" s="716">
        <v>0.5</v>
      </c>
      <c r="I9" s="792">
        <v>0.75</v>
      </c>
      <c r="J9" s="783">
        <v>0.75</v>
      </c>
      <c r="K9" s="783">
        <v>0.75</v>
      </c>
      <c r="L9" s="792">
        <v>0.75</v>
      </c>
      <c r="M9" s="783">
        <v>0.75</v>
      </c>
      <c r="N9" s="783">
        <v>0.75</v>
      </c>
      <c r="O9" s="792">
        <v>1</v>
      </c>
    </row>
    <row r="10" spans="1:15" x14ac:dyDescent="0.25">
      <c r="A10" s="714" t="s">
        <v>16</v>
      </c>
      <c r="B10" s="714" t="s">
        <v>80</v>
      </c>
      <c r="C10" s="785">
        <v>2024</v>
      </c>
      <c r="D10" s="714" t="s">
        <v>78</v>
      </c>
      <c r="E10" s="714" t="str">
        <f t="shared" si="2"/>
        <v>n/a</v>
      </c>
      <c r="F10" s="791" t="str">
        <f t="shared" si="2"/>
        <v>n/a</v>
      </c>
      <c r="G10" s="716" t="str">
        <f t="shared" si="2"/>
        <v>n/a</v>
      </c>
      <c r="H10" s="716" t="str">
        <f t="shared" si="2"/>
        <v>n/a</v>
      </c>
      <c r="I10" s="792" t="str">
        <f t="shared" si="2"/>
        <v>n/a</v>
      </c>
      <c r="J10" s="783">
        <v>0.15</v>
      </c>
      <c r="K10" s="783">
        <v>0.3</v>
      </c>
      <c r="L10" s="792">
        <v>0.5</v>
      </c>
      <c r="M10" s="783">
        <v>0.7</v>
      </c>
      <c r="N10" s="783">
        <v>0.9</v>
      </c>
      <c r="O10" s="792">
        <v>1</v>
      </c>
    </row>
    <row r="11" spans="1:15" x14ac:dyDescent="0.25">
      <c r="A11" s="714" t="s">
        <v>18</v>
      </c>
      <c r="B11" s="714" t="s">
        <v>81</v>
      </c>
      <c r="C11" s="785">
        <v>2020</v>
      </c>
      <c r="D11" s="714" t="s">
        <v>78</v>
      </c>
      <c r="E11" s="714" t="str">
        <f t="shared" si="2"/>
        <v>n/a</v>
      </c>
      <c r="F11" s="791">
        <v>1</v>
      </c>
      <c r="G11" s="716">
        <v>1</v>
      </c>
      <c r="H11" s="716">
        <v>1</v>
      </c>
      <c r="I11" s="791">
        <v>1</v>
      </c>
      <c r="J11" s="716">
        <v>1</v>
      </c>
      <c r="K11" s="716">
        <v>1</v>
      </c>
      <c r="L11" s="791">
        <v>1</v>
      </c>
      <c r="M11" s="716">
        <v>1</v>
      </c>
      <c r="N11" s="716">
        <v>1</v>
      </c>
      <c r="O11" s="791">
        <v>1</v>
      </c>
    </row>
    <row r="12" spans="1:15" x14ac:dyDescent="0.25">
      <c r="A12" s="714" t="s">
        <v>20</v>
      </c>
      <c r="B12" s="714" t="s">
        <v>82</v>
      </c>
      <c r="C12" s="785">
        <v>2024</v>
      </c>
      <c r="D12" s="714" t="s">
        <v>78</v>
      </c>
      <c r="E12" s="714" t="str">
        <f t="shared" si="2"/>
        <v>n/a</v>
      </c>
      <c r="F12" s="791" t="str">
        <f t="shared" si="2"/>
        <v>n/a</v>
      </c>
      <c r="G12" s="716" t="str">
        <f t="shared" si="2"/>
        <v>n/a</v>
      </c>
      <c r="H12" s="716" t="str">
        <f t="shared" si="2"/>
        <v>n/a</v>
      </c>
      <c r="I12" s="792" t="str">
        <f t="shared" si="2"/>
        <v>n/a</v>
      </c>
      <c r="J12" s="783">
        <v>0.25</v>
      </c>
      <c r="K12" s="783">
        <v>0.5</v>
      </c>
      <c r="L12" s="792">
        <v>0.75</v>
      </c>
      <c r="M12" s="783">
        <v>0.75</v>
      </c>
      <c r="N12" s="783">
        <v>0.75</v>
      </c>
      <c r="O12" s="792">
        <v>0.8</v>
      </c>
    </row>
    <row r="13" spans="1:15" x14ac:dyDescent="0.25">
      <c r="A13" s="714" t="s">
        <v>22</v>
      </c>
      <c r="B13" s="714" t="s">
        <v>83</v>
      </c>
      <c r="C13" s="785">
        <v>2020</v>
      </c>
      <c r="D13" s="714" t="s">
        <v>78</v>
      </c>
      <c r="E13" s="714" t="str">
        <f t="shared" si="2"/>
        <v>n/a</v>
      </c>
      <c r="F13" s="788" t="s">
        <v>84</v>
      </c>
      <c r="G13" s="714" t="s">
        <v>84</v>
      </c>
      <c r="H13" s="714" t="s">
        <v>84</v>
      </c>
      <c r="I13" s="788" t="s">
        <v>84</v>
      </c>
      <c r="J13" s="714" t="s">
        <v>84</v>
      </c>
      <c r="K13" s="714" t="s">
        <v>84</v>
      </c>
      <c r="L13" s="788" t="s">
        <v>84</v>
      </c>
      <c r="M13" s="714" t="s">
        <v>84</v>
      </c>
      <c r="N13" s="714" t="s">
        <v>84</v>
      </c>
      <c r="O13" s="788" t="s">
        <v>84</v>
      </c>
    </row>
    <row r="14" spans="1:15" x14ac:dyDescent="0.25">
      <c r="A14" s="714" t="s">
        <v>24</v>
      </c>
      <c r="B14" s="714" t="s">
        <v>85</v>
      </c>
      <c r="C14" s="785">
        <v>2020</v>
      </c>
      <c r="D14" s="714" t="s">
        <v>78</v>
      </c>
      <c r="E14" s="714" t="str">
        <f t="shared" si="2"/>
        <v>n/a</v>
      </c>
      <c r="F14" s="791">
        <v>0</v>
      </c>
      <c r="G14" s="716">
        <v>0.1</v>
      </c>
      <c r="H14" s="716">
        <v>0.3</v>
      </c>
      <c r="I14" s="792">
        <v>0.5</v>
      </c>
      <c r="J14" s="783">
        <v>0.7</v>
      </c>
      <c r="K14" s="783">
        <v>0.9</v>
      </c>
      <c r="L14" s="792">
        <v>1</v>
      </c>
      <c r="M14" s="783">
        <v>1</v>
      </c>
      <c r="N14" s="783">
        <v>1</v>
      </c>
      <c r="O14" s="792">
        <v>1</v>
      </c>
    </row>
    <row r="15" spans="1:15" x14ac:dyDescent="0.25">
      <c r="A15" s="714" t="s">
        <v>86</v>
      </c>
      <c r="B15" s="714" t="s">
        <v>87</v>
      </c>
      <c r="C15" s="785">
        <v>2035</v>
      </c>
      <c r="D15" s="714" t="s">
        <v>78</v>
      </c>
      <c r="E15" s="714" t="str">
        <f t="shared" ref="E15:O15" si="3">IF(E$5&lt;$C15,"n/a","")</f>
        <v>n/a</v>
      </c>
      <c r="F15" s="788" t="str">
        <f t="shared" si="3"/>
        <v>n/a</v>
      </c>
      <c r="G15" s="714" t="str">
        <f t="shared" si="3"/>
        <v>n/a</v>
      </c>
      <c r="H15" s="714" t="str">
        <f t="shared" si="3"/>
        <v>n/a</v>
      </c>
      <c r="I15" s="788" t="str">
        <f t="shared" si="3"/>
        <v>n/a</v>
      </c>
      <c r="J15" s="714" t="str">
        <f t="shared" si="3"/>
        <v>n/a</v>
      </c>
      <c r="K15" s="714" t="str">
        <f t="shared" si="3"/>
        <v>n/a</v>
      </c>
      <c r="L15" s="788" t="str">
        <f t="shared" si="3"/>
        <v>n/a</v>
      </c>
      <c r="M15" s="714" t="str">
        <f t="shared" si="3"/>
        <v>n/a</v>
      </c>
      <c r="N15" s="714" t="str">
        <f t="shared" si="3"/>
        <v>n/a</v>
      </c>
      <c r="O15" s="788" t="str">
        <f t="shared" si="3"/>
        <v>n/a</v>
      </c>
    </row>
    <row r="16" spans="1:15" x14ac:dyDescent="0.25">
      <c r="A16" s="714" t="s">
        <v>88</v>
      </c>
      <c r="B16" s="714" t="s">
        <v>89</v>
      </c>
      <c r="C16" s="785">
        <v>2020</v>
      </c>
      <c r="D16" s="714" t="s">
        <v>90</v>
      </c>
      <c r="E16" s="714" t="str">
        <f t="shared" si="2"/>
        <v>n/a</v>
      </c>
      <c r="F16" s="791">
        <v>0</v>
      </c>
      <c r="G16" s="716">
        <v>0</v>
      </c>
      <c r="H16" s="716">
        <v>0</v>
      </c>
      <c r="I16" s="791">
        <v>0</v>
      </c>
      <c r="J16" s="716">
        <v>0</v>
      </c>
      <c r="K16" s="716">
        <v>0</v>
      </c>
      <c r="L16" s="791">
        <v>0</v>
      </c>
      <c r="M16" s="783">
        <v>0.3</v>
      </c>
      <c r="N16" s="783">
        <v>0.6</v>
      </c>
      <c r="O16" s="792">
        <v>1</v>
      </c>
    </row>
    <row r="19" spans="1:15" x14ac:dyDescent="0.25">
      <c r="A19" s="784" t="s">
        <v>91</v>
      </c>
    </row>
    <row r="20" spans="1:15" x14ac:dyDescent="0.25">
      <c r="A20" s="1" t="s">
        <v>92</v>
      </c>
      <c r="B20" t="s">
        <v>93</v>
      </c>
    </row>
    <row r="21" spans="1:15" x14ac:dyDescent="0.25">
      <c r="A21" s="1" t="s">
        <v>94</v>
      </c>
      <c r="B21" t="s">
        <v>95</v>
      </c>
    </row>
    <row r="22" spans="1:15" x14ac:dyDescent="0.25">
      <c r="A22" s="1" t="s">
        <v>96</v>
      </c>
      <c r="B22" t="s">
        <v>97</v>
      </c>
    </row>
    <row r="25" spans="1:15" ht="15.75" x14ac:dyDescent="0.25">
      <c r="A25" s="831" t="s">
        <v>98</v>
      </c>
      <c r="B25" s="831"/>
      <c r="C25" s="831"/>
      <c r="D25" s="831"/>
      <c r="E25" s="831"/>
      <c r="F25" s="831"/>
      <c r="G25" s="831"/>
      <c r="H25" s="831"/>
      <c r="I25" s="831"/>
      <c r="J25" s="831"/>
      <c r="K25" s="831"/>
      <c r="L25" s="831"/>
      <c r="M25" s="831"/>
      <c r="N25" s="831"/>
      <c r="O25" s="831"/>
    </row>
    <row r="27" spans="1:15" x14ac:dyDescent="0.25">
      <c r="C27" s="718" t="s">
        <v>62</v>
      </c>
      <c r="D27" s="719"/>
      <c r="E27" s="830" t="s">
        <v>99</v>
      </c>
      <c r="F27" s="830"/>
      <c r="G27" s="830"/>
      <c r="H27" s="830"/>
      <c r="I27" s="830"/>
      <c r="J27" s="830"/>
      <c r="K27" s="830"/>
      <c r="L27" s="830"/>
      <c r="M27" s="830"/>
      <c r="N27" s="830"/>
      <c r="O27" s="830"/>
    </row>
    <row r="28" spans="1:15" x14ac:dyDescent="0.25">
      <c r="C28" s="717" t="s">
        <v>65</v>
      </c>
      <c r="D28" s="717" t="s">
        <v>66</v>
      </c>
      <c r="E28" s="806">
        <v>2019</v>
      </c>
      <c r="F28" s="788">
        <v>2020</v>
      </c>
      <c r="G28" s="806">
        <v>2021</v>
      </c>
      <c r="H28" s="806">
        <v>2022</v>
      </c>
      <c r="I28" s="788">
        <v>2023</v>
      </c>
      <c r="J28" s="806">
        <v>2024</v>
      </c>
      <c r="K28" s="806">
        <v>2025</v>
      </c>
      <c r="L28" s="788">
        <v>2026</v>
      </c>
      <c r="M28" s="806">
        <v>2027</v>
      </c>
      <c r="N28" s="806">
        <v>2028</v>
      </c>
      <c r="O28" s="788">
        <v>2029</v>
      </c>
    </row>
    <row r="29" spans="1:15" x14ac:dyDescent="0.25">
      <c r="C29" s="793" t="s">
        <v>100</v>
      </c>
      <c r="D29" s="793" t="s">
        <v>101</v>
      </c>
      <c r="E29" s="794">
        <f ca="1">INDIRECT("'DevSumOut-"&amp;E$28&amp;"BSR'!$R$70")</f>
        <v>2.4594859595772975</v>
      </c>
      <c r="F29" s="797">
        <f ca="1">INDIRECT("SCCRedFacs"&amp;F$28&amp;"!C27")</f>
        <v>2.5034373567279267</v>
      </c>
      <c r="G29" s="794">
        <f t="shared" ref="G29:O29" ca="1" si="4">INDIRECT("SCCRedFacs"&amp;G$28&amp;"!C27")</f>
        <v>2.5882506455525549</v>
      </c>
      <c r="H29" s="794">
        <f t="shared" ca="1" si="4"/>
        <v>2.6366777990289929</v>
      </c>
      <c r="I29" s="797">
        <f t="shared" ca="1" si="4"/>
        <v>2.6684158267578719</v>
      </c>
      <c r="J29" s="794">
        <f t="shared" ca="1" si="4"/>
        <v>2.707960014814863</v>
      </c>
      <c r="K29" s="794">
        <f t="shared" ca="1" si="4"/>
        <v>2.7287431994720563</v>
      </c>
      <c r="L29" s="797">
        <f t="shared" ca="1" si="4"/>
        <v>2.7482133759921927</v>
      </c>
      <c r="M29" s="794">
        <f t="shared" ca="1" si="4"/>
        <v>2.7676835525123242</v>
      </c>
      <c r="N29" s="794">
        <f t="shared" ca="1" si="4"/>
        <v>2.7871537290324624</v>
      </c>
      <c r="O29" s="797">
        <f t="shared" ca="1" si="4"/>
        <v>2.806623905552601</v>
      </c>
    </row>
    <row r="30" spans="1:15" x14ac:dyDescent="0.25">
      <c r="C30" s="714" t="str">
        <f t="shared" ref="C30" si="5">A6</f>
        <v>WSCO</v>
      </c>
      <c r="D30" s="714" t="str">
        <f t="shared" ref="D30" si="6">B6</f>
        <v>WSCO Program</v>
      </c>
      <c r="E30" s="794">
        <f>-'WSCOReductions-5PctSIP'!$AW$17</f>
        <v>-0.19796934860198154</v>
      </c>
      <c r="F30" s="797">
        <f ca="1">-INDIRECT("SCCRedFacs"&amp;F$28&amp;"!E30")</f>
        <v>-0.27861919933293988</v>
      </c>
      <c r="G30" s="794">
        <f t="shared" ref="G30:O30" ca="1" si="7">-INDIRECT("SCCRedFacs"&amp;G$28&amp;"!E30")</f>
        <v>-0.42080899260909455</v>
      </c>
      <c r="H30" s="794">
        <f t="shared" ca="1" si="7"/>
        <v>-0.55782327125430076</v>
      </c>
      <c r="I30" s="797">
        <f t="shared" ca="1" si="7"/>
        <v>-0.65828586364330144</v>
      </c>
      <c r="J30" s="794">
        <f t="shared" ca="1" si="7"/>
        <v>-0.67610259765289971</v>
      </c>
      <c r="K30" s="794">
        <f t="shared" ca="1" si="7"/>
        <v>-0.65359185439640077</v>
      </c>
      <c r="L30" s="797">
        <f t="shared" ca="1" si="7"/>
        <v>-0.60872386803865419</v>
      </c>
      <c r="M30" s="794">
        <f t="shared" ca="1" si="7"/>
        <v>-0.55841873551997934</v>
      </c>
      <c r="N30" s="794">
        <f t="shared" ca="1" si="7"/>
        <v>-0.51490086916143607</v>
      </c>
      <c r="O30" s="797">
        <f t="shared" ca="1" si="7"/>
        <v>-0.47984059263372819</v>
      </c>
    </row>
    <row r="31" spans="1:15" x14ac:dyDescent="0.25">
      <c r="C31" s="714" t="str">
        <f t="shared" ref="C31:C40" si="8">A7</f>
        <v>CURT</v>
      </c>
      <c r="D31" s="714" t="str">
        <f t="shared" ref="D31:D40" si="9">B7</f>
        <v>Curtailment Program</v>
      </c>
      <c r="E31" s="794">
        <f ca="1">-(SUM(E29:E30,E32:E40)-E42)</f>
        <v>-0.3520861396152184</v>
      </c>
      <c r="F31" s="794">
        <f t="shared" ref="F31:O31" ca="1" si="10">-(SUM(F29:F30,F32:F40)-F42)</f>
        <v>-0.2865317419469573</v>
      </c>
      <c r="G31" s="794">
        <f t="shared" ca="1" si="10"/>
        <v>-0.31989754122136183</v>
      </c>
      <c r="H31" s="794">
        <f t="shared" ca="1" si="10"/>
        <v>-0.34575562902959689</v>
      </c>
      <c r="I31" s="794">
        <f t="shared" ca="1" si="10"/>
        <v>-0.33369863752007323</v>
      </c>
      <c r="J31" s="794">
        <f t="shared" ca="1" si="10"/>
        <v>-0.27491533525760548</v>
      </c>
      <c r="K31" s="794">
        <f t="shared" ca="1" si="10"/>
        <v>-0.23067952650489243</v>
      </c>
      <c r="L31" s="794">
        <f t="shared" ca="1" si="10"/>
        <v>-0.20909504413796143</v>
      </c>
      <c r="M31" s="794">
        <f t="shared" ca="1" si="10"/>
        <v>-0.16677003895532638</v>
      </c>
      <c r="N31" s="794">
        <f t="shared" ca="1" si="10"/>
        <v>-0.13318415386961202</v>
      </c>
      <c r="O31" s="794">
        <f t="shared" ca="1" si="10"/>
        <v>-0.10934146686624491</v>
      </c>
    </row>
    <row r="32" spans="1:15" x14ac:dyDescent="0.25">
      <c r="C32" s="714" t="str">
        <f t="shared" si="8"/>
        <v>STF-12</v>
      </c>
      <c r="D32" s="714" t="str">
        <f t="shared" si="9"/>
        <v>Shift #2 to #1 Oil</v>
      </c>
      <c r="E32" s="795"/>
      <c r="F32" s="797">
        <f ca="1">-INDIRECT("SCCRedFacs"&amp;F$28&amp;"!G30")</f>
        <v>0</v>
      </c>
      <c r="G32" s="794">
        <f t="shared" ref="G32:O32" ca="1" si="11">-INDIRECT("SCCRedFacs"&amp;G$28&amp;"!G30")</f>
        <v>0</v>
      </c>
      <c r="H32" s="794">
        <f t="shared" ca="1" si="11"/>
        <v>0</v>
      </c>
      <c r="I32" s="797">
        <f t="shared" ca="1" si="11"/>
        <v>-7.0250325093658287E-3</v>
      </c>
      <c r="J32" s="794">
        <f t="shared" ca="1" si="11"/>
        <v>-6.3803289986752339E-3</v>
      </c>
      <c r="K32" s="794">
        <f t="shared" ca="1" si="11"/>
        <v>-6.0242772349869966E-3</v>
      </c>
      <c r="L32" s="797">
        <f t="shared" ca="1" si="11"/>
        <v>-5.6418941231489222E-3</v>
      </c>
      <c r="M32" s="794">
        <f t="shared" ca="1" si="11"/>
        <v>-5.2038414187599389E-3</v>
      </c>
      <c r="N32" s="794">
        <f t="shared" ca="1" si="11"/>
        <v>-4.8239383036481698E-3</v>
      </c>
      <c r="O32" s="797">
        <f t="shared" ca="1" si="11"/>
        <v>-4.5190282752180788E-3</v>
      </c>
    </row>
    <row r="33" spans="3:15" x14ac:dyDescent="0.25">
      <c r="C33" s="714" t="str">
        <f t="shared" si="8"/>
        <v>STF-13</v>
      </c>
      <c r="D33" s="714" t="str">
        <f t="shared" si="9"/>
        <v>Commercial Dry Wood</v>
      </c>
      <c r="E33" s="795"/>
      <c r="F33" s="797">
        <f ca="1">-INDIRECT("SCCRedFacs"&amp;F$28&amp;"!I30")</f>
        <v>0</v>
      </c>
      <c r="G33" s="794">
        <f t="shared" ref="G33:O33" ca="1" si="12">-INDIRECT("SCCRedFacs"&amp;G$28&amp;"!I30")</f>
        <v>0</v>
      </c>
      <c r="H33" s="794">
        <f t="shared" ca="1" si="12"/>
        <v>-7.203949420219985E-2</v>
      </c>
      <c r="I33" s="797">
        <f t="shared" ca="1" si="12"/>
        <v>-0.10498457711000073</v>
      </c>
      <c r="J33" s="794">
        <f t="shared" ca="1" si="12"/>
        <v>-9.8406799654103233E-2</v>
      </c>
      <c r="K33" s="794">
        <f t="shared" ca="1" si="12"/>
        <v>-9.2376387181122316E-2</v>
      </c>
      <c r="L33" s="797">
        <f t="shared" ca="1" si="12"/>
        <v>-8.6035201422408378E-2</v>
      </c>
      <c r="M33" s="794">
        <f t="shared" ca="1" si="12"/>
        <v>-7.8925495245802793E-2</v>
      </c>
      <c r="N33" s="794">
        <f t="shared" ca="1" si="12"/>
        <v>-7.2775035302221541E-2</v>
      </c>
      <c r="O33" s="797">
        <f t="shared" ca="1" si="12"/>
        <v>-9.0426550884746104E-2</v>
      </c>
    </row>
    <row r="34" spans="3:15" x14ac:dyDescent="0.25">
      <c r="C34" s="714" t="str">
        <f t="shared" si="8"/>
        <v>STF-17</v>
      </c>
      <c r="D34" s="714" t="str">
        <f t="shared" si="9"/>
        <v>Wood Device Removal</v>
      </c>
      <c r="E34" s="795"/>
      <c r="F34" s="797">
        <f ca="1">-INDIRECT("SCCRedFacs"&amp;F$28&amp;"!K30")</f>
        <v>0</v>
      </c>
      <c r="G34" s="794">
        <f t="shared" ref="G34:O34" ca="1" si="13">-INDIRECT("SCCRedFacs"&amp;G$28&amp;"!K30")</f>
        <v>0</v>
      </c>
      <c r="H34" s="794">
        <f t="shared" ca="1" si="13"/>
        <v>0</v>
      </c>
      <c r="I34" s="797">
        <f t="shared" ca="1" si="13"/>
        <v>0</v>
      </c>
      <c r="J34" s="794">
        <f t="shared" ca="1" si="13"/>
        <v>-0.15517497591994583</v>
      </c>
      <c r="K34" s="794">
        <f t="shared" ca="1" si="13"/>
        <v>-0.29133093073192728</v>
      </c>
      <c r="L34" s="797">
        <f t="shared" ca="1" si="13"/>
        <v>-0.45221897540613742</v>
      </c>
      <c r="M34" s="794">
        <f t="shared" ca="1" si="13"/>
        <v>-0.58078609116188185</v>
      </c>
      <c r="N34" s="794">
        <f t="shared" ca="1" si="13"/>
        <v>-0.68853189667510262</v>
      </c>
      <c r="O34" s="797">
        <f t="shared" ca="1" si="13"/>
        <v>-0.71294275721118394</v>
      </c>
    </row>
    <row r="35" spans="3:15" x14ac:dyDescent="0.25">
      <c r="C35" s="714" t="str">
        <f t="shared" si="8"/>
        <v>BACM-R8</v>
      </c>
      <c r="D35" s="714" t="str">
        <f t="shared" si="9"/>
        <v>Wood Emission Rates</v>
      </c>
      <c r="E35" s="795"/>
      <c r="F35" s="797">
        <f ca="1">-INDIRECT("SCCRedFacs"&amp;F$28&amp;"!M30")</f>
        <v>-8.9334857420676345E-2</v>
      </c>
      <c r="G35" s="794">
        <f t="shared" ref="G35:O35" ca="1" si="14">-INDIRECT("SCCRedFacs"&amp;G$28&amp;"!M30")</f>
        <v>-0.17826823813099549</v>
      </c>
      <c r="H35" s="794">
        <f t="shared" ca="1" si="14"/>
        <v>-0.25583457386692299</v>
      </c>
      <c r="I35" s="797">
        <f t="shared" ca="1" si="14"/>
        <v>-0.33140704630595463</v>
      </c>
      <c r="J35" s="794">
        <f t="shared" ca="1" si="14"/>
        <v>-0.38830379309165181</v>
      </c>
      <c r="K35" s="794">
        <f t="shared" ca="1" si="14"/>
        <v>-0.43741003663098621</v>
      </c>
      <c r="L35" s="797">
        <f t="shared" ca="1" si="14"/>
        <v>-0.47528131426704157</v>
      </c>
      <c r="M35" s="794">
        <f t="shared" ca="1" si="14"/>
        <v>-0.49829189500409865</v>
      </c>
      <c r="N35" s="794">
        <f t="shared" ca="1" si="14"/>
        <v>-0.51689395681201533</v>
      </c>
      <c r="O35" s="797">
        <f t="shared" ca="1" si="14"/>
        <v>-0.5352217452680581</v>
      </c>
    </row>
    <row r="36" spans="3:15" x14ac:dyDescent="0.25">
      <c r="C36" s="714" t="str">
        <f t="shared" si="8"/>
        <v>BACM-48</v>
      </c>
      <c r="D36" s="714" t="str">
        <f t="shared" si="9"/>
        <v>Remove Coal Devices</v>
      </c>
      <c r="E36" s="795"/>
      <c r="F36" s="797">
        <f ca="1">-INDIRECT("SCCRedFacs"&amp;F$28&amp;"!O30")</f>
        <v>0</v>
      </c>
      <c r="G36" s="794">
        <f t="shared" ref="G36:O36" ca="1" si="15">-INDIRECT("SCCRedFacs"&amp;G$28&amp;"!O30")</f>
        <v>0</v>
      </c>
      <c r="H36" s="794">
        <f t="shared" ca="1" si="15"/>
        <v>0</v>
      </c>
      <c r="I36" s="797">
        <f t="shared" ca="1" si="15"/>
        <v>0</v>
      </c>
      <c r="J36" s="794">
        <f t="shared" ca="1" si="15"/>
        <v>-1.7285653018282943E-2</v>
      </c>
      <c r="K36" s="794">
        <f t="shared" ca="1" si="15"/>
        <v>-3.2451678717197924E-2</v>
      </c>
      <c r="L36" s="797">
        <f t="shared" ca="1" si="15"/>
        <v>-4.5333229661003088E-2</v>
      </c>
      <c r="M36" s="794">
        <f t="shared" ca="1" si="15"/>
        <v>-4.1584472916239901E-2</v>
      </c>
      <c r="N36" s="794">
        <f t="shared" ca="1" si="15"/>
        <v>-3.8341587005945928E-2</v>
      </c>
      <c r="O36" s="797">
        <f t="shared" ca="1" si="15"/>
        <v>-3.8110772325805654E-2</v>
      </c>
    </row>
    <row r="37" spans="3:15" x14ac:dyDescent="0.25">
      <c r="C37" s="714" t="str">
        <f t="shared" si="8"/>
        <v>STF-22</v>
      </c>
      <c r="D37" s="714" t="str">
        <f t="shared" si="9"/>
        <v>No Primary Wood Heat</v>
      </c>
      <c r="E37" s="795"/>
      <c r="F37" s="797">
        <f ca="1">-INDIRECT("SCCRedFacs"&amp;F$28&amp;"!Q30")</f>
        <v>-0.29283716817907368</v>
      </c>
      <c r="G37" s="794">
        <f t="shared" ref="G37:O37" ca="1" si="16">-INDIRECT("SCCRedFacs"&amp;G$28&amp;"!Q30")</f>
        <v>-0.29217972011504478</v>
      </c>
      <c r="H37" s="794">
        <f t="shared" ca="1" si="16"/>
        <v>-0.31924029952811428</v>
      </c>
      <c r="I37" s="797">
        <f t="shared" ca="1" si="16"/>
        <v>-0.34372798463211507</v>
      </c>
      <c r="J37" s="794">
        <f t="shared" ca="1" si="16"/>
        <v>-0.3515877575364334</v>
      </c>
      <c r="K37" s="794">
        <f t="shared" ca="1" si="16"/>
        <v>-0.35763445853719028</v>
      </c>
      <c r="L37" s="797">
        <f t="shared" ca="1" si="16"/>
        <v>-0.35878271461515876</v>
      </c>
      <c r="M37" s="794">
        <f t="shared" ca="1" si="16"/>
        <v>-0.35270841994131791</v>
      </c>
      <c r="N37" s="794">
        <f t="shared" ca="1" si="16"/>
        <v>-0.3469601677396793</v>
      </c>
      <c r="O37" s="797">
        <f t="shared" ca="1" si="16"/>
        <v>-0.34359361918290643</v>
      </c>
    </row>
    <row r="38" spans="3:15" x14ac:dyDescent="0.25">
      <c r="C38" s="714" t="str">
        <f t="shared" si="8"/>
        <v>STF-23</v>
      </c>
      <c r="D38" s="714" t="str">
        <f t="shared" si="9"/>
        <v>NOASH/Exmptn Rqmts</v>
      </c>
      <c r="E38" s="795"/>
      <c r="F38" s="797">
        <f ca="1">-INDIRECT("SCCRedFacs"&amp;F$28&amp;"!S30")</f>
        <v>0</v>
      </c>
      <c r="G38" s="794">
        <f t="shared" ref="G38:O38" ca="1" si="17">-INDIRECT("SCCRedFacs"&amp;G$28&amp;"!S30")</f>
        <v>-4.7576977490900763E-5</v>
      </c>
      <c r="H38" s="794">
        <f t="shared" ca="1" si="17"/>
        <v>-1.3655597063669711E-4</v>
      </c>
      <c r="I38" s="797">
        <f t="shared" ca="1" si="17"/>
        <v>-2.211169588325777E-4</v>
      </c>
      <c r="J38" s="794">
        <f t="shared" ca="1" si="17"/>
        <v>-2.9016709353133196E-4</v>
      </c>
      <c r="K38" s="794">
        <f t="shared" ca="1" si="17"/>
        <v>-3.5020996060869901E-4</v>
      </c>
      <c r="L38" s="797">
        <f t="shared" ca="1" si="17"/>
        <v>-3.6241085003232461E-4</v>
      </c>
      <c r="M38" s="794">
        <f t="shared" ca="1" si="17"/>
        <v>-3.3246224043596704E-4</v>
      </c>
      <c r="N38" s="794">
        <f t="shared" ca="1" si="17"/>
        <v>-3.0655431694196226E-4</v>
      </c>
      <c r="O38" s="797">
        <f t="shared" ca="1" si="17"/>
        <v>-2.8568158117105798E-4</v>
      </c>
    </row>
    <row r="39" spans="3:15" x14ac:dyDescent="0.25">
      <c r="C39" s="714" t="str">
        <f t="shared" si="8"/>
        <v>CM/MSM</v>
      </c>
      <c r="D39" s="714" t="str">
        <f t="shared" si="9"/>
        <v>Remove Old Stoves</v>
      </c>
      <c r="E39" s="795"/>
      <c r="F39" s="798">
        <f ca="1">-INDIRECT("SCCRedFacs"&amp;F$28&amp;"!U30")</f>
        <v>0</v>
      </c>
      <c r="G39" s="795">
        <f t="shared" ref="G39:O39" ca="1" si="18">-INDIRECT("SCCRedFacs"&amp;G$28&amp;"!U30")</f>
        <v>0</v>
      </c>
      <c r="H39" s="795">
        <f t="shared" ca="1" si="18"/>
        <v>0</v>
      </c>
      <c r="I39" s="798">
        <f t="shared" ca="1" si="18"/>
        <v>0</v>
      </c>
      <c r="J39" s="795">
        <f t="shared" ca="1" si="18"/>
        <v>0</v>
      </c>
      <c r="K39" s="795">
        <f t="shared" ca="1" si="18"/>
        <v>0</v>
      </c>
      <c r="L39" s="798">
        <f t="shared" ca="1" si="18"/>
        <v>0</v>
      </c>
      <c r="M39" s="795">
        <f t="shared" ca="1" si="18"/>
        <v>0</v>
      </c>
      <c r="N39" s="795">
        <f t="shared" ca="1" si="18"/>
        <v>0</v>
      </c>
      <c r="O39" s="798">
        <f t="shared" ca="1" si="18"/>
        <v>0</v>
      </c>
    </row>
    <row r="40" spans="3:15" x14ac:dyDescent="0.25">
      <c r="C40" s="714" t="str">
        <f t="shared" si="8"/>
        <v>NG</v>
      </c>
      <c r="D40" s="714" t="str">
        <f t="shared" si="9"/>
        <v>Natural Gas Expansion</v>
      </c>
      <c r="E40" s="795"/>
      <c r="F40" s="797">
        <f ca="1">-INDIRECT("SCCRedFacs"&amp;F$28&amp;"!W30")</f>
        <v>0</v>
      </c>
      <c r="G40" s="794">
        <f t="shared" ref="G40:O40" ca="1" si="19">-INDIRECT("SCCRedFacs"&amp;G$28&amp;"!W30")</f>
        <v>0</v>
      </c>
      <c r="H40" s="794">
        <f t="shared" ca="1" si="19"/>
        <v>0</v>
      </c>
      <c r="I40" s="797">
        <f t="shared" ca="1" si="19"/>
        <v>0</v>
      </c>
      <c r="J40" s="794">
        <f t="shared" ca="1" si="19"/>
        <v>0</v>
      </c>
      <c r="K40" s="794">
        <f t="shared" ca="1" si="19"/>
        <v>0</v>
      </c>
      <c r="L40" s="797">
        <f t="shared" ca="1" si="19"/>
        <v>0</v>
      </c>
      <c r="M40" s="794">
        <f t="shared" ca="1" si="19"/>
        <v>-7.5619821853246685E-2</v>
      </c>
      <c r="N40" s="794">
        <f t="shared" ca="1" si="19"/>
        <v>-0.13945952133737846</v>
      </c>
      <c r="O40" s="797">
        <f t="shared" ca="1" si="19"/>
        <v>-0.216615184936604</v>
      </c>
    </row>
    <row r="42" spans="3:15" x14ac:dyDescent="0.25">
      <c r="C42" s="830" t="s">
        <v>102</v>
      </c>
      <c r="D42" s="830"/>
      <c r="E42" s="796">
        <f t="shared" ref="E42:O42" ca="1" si="20">INDIRECT("SCCRedFacs"&amp;E$28&amp;"!AI27")</f>
        <v>1.9094304713600976</v>
      </c>
      <c r="F42" s="799">
        <f ca="1">INDIRECT("SCCRedFacs"&amp;F$28&amp;"!AI27")</f>
        <v>1.5561143898482794</v>
      </c>
      <c r="G42" s="796">
        <f t="shared" ca="1" si="20"/>
        <v>1.3770485764985674</v>
      </c>
      <c r="H42" s="796">
        <f t="shared" ca="1" si="20"/>
        <v>1.0858479751772214</v>
      </c>
      <c r="I42" s="799">
        <f t="shared" ca="1" si="20"/>
        <v>0.88906556807822823</v>
      </c>
      <c r="J42" s="796">
        <f t="shared" ca="1" si="20"/>
        <v>0.73951260659173412</v>
      </c>
      <c r="K42" s="796">
        <f t="shared" ca="1" si="20"/>
        <v>0.62689383957674361</v>
      </c>
      <c r="L42" s="799">
        <f t="shared" ca="1" si="20"/>
        <v>0.50673872347064641</v>
      </c>
      <c r="M42" s="796">
        <f t="shared" ca="1" si="20"/>
        <v>0.40904227825523476</v>
      </c>
      <c r="N42" s="796">
        <f t="shared" ca="1" si="20"/>
        <v>0.33097604850848095</v>
      </c>
      <c r="O42" s="799">
        <f t="shared" ca="1" si="20"/>
        <v>0.27572650638693474</v>
      </c>
    </row>
    <row r="44" spans="3:15" x14ac:dyDescent="0.25">
      <c r="C44" s="718" t="s">
        <v>62</v>
      </c>
      <c r="D44" s="719"/>
      <c r="E44" s="830" t="s">
        <v>103</v>
      </c>
      <c r="F44" s="830"/>
      <c r="G44" s="830"/>
      <c r="H44" s="830"/>
      <c r="I44" s="830"/>
      <c r="J44" s="830"/>
      <c r="K44" s="830"/>
      <c r="L44" s="830"/>
      <c r="M44" s="830"/>
      <c r="N44" s="830"/>
      <c r="O44" s="830"/>
    </row>
    <row r="45" spans="3:15" x14ac:dyDescent="0.25">
      <c r="C45" s="717" t="s">
        <v>65</v>
      </c>
      <c r="D45" s="717" t="s">
        <v>66</v>
      </c>
      <c r="E45" s="806">
        <v>2019</v>
      </c>
      <c r="F45" s="788">
        <v>2020</v>
      </c>
      <c r="G45" s="806">
        <v>2021</v>
      </c>
      <c r="H45" s="806">
        <v>2022</v>
      </c>
      <c r="I45" s="788">
        <v>2023</v>
      </c>
      <c r="J45" s="806">
        <v>2024</v>
      </c>
      <c r="K45" s="806">
        <v>2025</v>
      </c>
      <c r="L45" s="788">
        <v>2026</v>
      </c>
      <c r="M45" s="806">
        <v>2027</v>
      </c>
      <c r="N45" s="806">
        <v>2028</v>
      </c>
      <c r="O45" s="788">
        <v>2029</v>
      </c>
    </row>
    <row r="46" spans="3:15" x14ac:dyDescent="0.25">
      <c r="C46" s="793" t="str">
        <f>C29</f>
        <v>BASE</v>
      </c>
      <c r="D46" s="793" t="str">
        <f>D29</f>
        <v>Baseline</v>
      </c>
      <c r="E46" s="794">
        <f ca="1">INDIRECT("'DevSumOut-"&amp;E$28&amp;"BSR'!$P$70")</f>
        <v>3.8113418574800706</v>
      </c>
      <c r="F46" s="797">
        <f ca="1">INDIRECT("SCCRedFacs"&amp;F$28&amp;"!D27")</f>
        <v>3.9252055415799574</v>
      </c>
      <c r="G46" s="794">
        <f t="shared" ref="G46:O46" ca="1" si="21">INDIRECT("SCCRedFacs"&amp;G$28&amp;"!D27")</f>
        <v>4.0475646035746573</v>
      </c>
      <c r="H46" s="794">
        <f t="shared" ca="1" si="21"/>
        <v>4.0996975393875967</v>
      </c>
      <c r="I46" s="797">
        <f t="shared" ca="1" si="21"/>
        <v>4.1283922370161692</v>
      </c>
      <c r="J46" s="794">
        <f t="shared" ca="1" si="21"/>
        <v>4.1556763727866413</v>
      </c>
      <c r="K46" s="794">
        <f t="shared" ca="1" si="21"/>
        <v>4.1903632197367111</v>
      </c>
      <c r="L46" s="797">
        <f t="shared" ca="1" si="21"/>
        <v>4.2228981803869097</v>
      </c>
      <c r="M46" s="794">
        <f t="shared" ca="1" si="21"/>
        <v>4.2554331410371038</v>
      </c>
      <c r="N46" s="794">
        <f t="shared" ca="1" si="21"/>
        <v>4.2879681016873104</v>
      </c>
      <c r="O46" s="797">
        <f t="shared" ca="1" si="21"/>
        <v>4.320503062337508</v>
      </c>
    </row>
    <row r="47" spans="3:15" x14ac:dyDescent="0.25">
      <c r="C47" s="793" t="str">
        <f t="shared" ref="C47:D47" si="22">C30</f>
        <v>WSCO</v>
      </c>
      <c r="D47" s="793" t="str">
        <f t="shared" si="22"/>
        <v>WSCO Program</v>
      </c>
      <c r="E47" s="794">
        <f>-'WSCOReductions-5PctSIP'!$AW$27</f>
        <v>2.6125018594833761E-3</v>
      </c>
      <c r="F47" s="797">
        <f ca="1">-INDIRECT("SCCRedFacs"&amp;F$28&amp;"!F30")</f>
        <v>1.3300666348205676E-3</v>
      </c>
      <c r="G47" s="794">
        <f t="shared" ref="G47:O47" ca="1" si="23">-INDIRECT("SCCRedFacs"&amp;G$28&amp;"!F30")</f>
        <v>-1.3341522536727891E-3</v>
      </c>
      <c r="H47" s="794">
        <f t="shared" ca="1" si="23"/>
        <v>-3.0129618161000567E-3</v>
      </c>
      <c r="I47" s="797">
        <f t="shared" ca="1" si="23"/>
        <v>-5.1554155909913774E-3</v>
      </c>
      <c r="J47" s="794">
        <f t="shared" ca="1" si="23"/>
        <v>-6.1554708463324994E-3</v>
      </c>
      <c r="K47" s="794">
        <f t="shared" ca="1" si="23"/>
        <v>-6.5343949841135465E-3</v>
      </c>
      <c r="L47" s="797">
        <f t="shared" ca="1" si="23"/>
        <v>-6.5551037501868394E-3</v>
      </c>
      <c r="M47" s="794">
        <f t="shared" ca="1" si="23"/>
        <v>-6.3177537402347829E-3</v>
      </c>
      <c r="N47" s="794">
        <f t="shared" ca="1" si="23"/>
        <v>-6.1228163461084836E-3</v>
      </c>
      <c r="O47" s="797">
        <f t="shared" ca="1" si="23"/>
        <v>-5.8958750051008174E-3</v>
      </c>
    </row>
    <row r="48" spans="3:15" x14ac:dyDescent="0.25">
      <c r="C48" s="793" t="str">
        <f>C31</f>
        <v>CURT</v>
      </c>
      <c r="D48" s="793" t="str">
        <f>D31</f>
        <v>Curtailment Program</v>
      </c>
      <c r="E48" s="794">
        <f ca="1">-(SUM(E46:E47,E49:E57)-E59)</f>
        <v>6.7312495958451457E-2</v>
      </c>
      <c r="F48" s="794">
        <f t="shared" ref="F48" ca="1" si="24">-(SUM(F46:F47,F49:F57)-F59)</f>
        <v>5.5716847398187941E-2</v>
      </c>
      <c r="G48" s="794">
        <f t="shared" ref="G48" ca="1" si="25">-(SUM(G46:G47,G49:G57)-G59)</f>
        <v>7.0428458393088533E-2</v>
      </c>
      <c r="H48" s="794">
        <f t="shared" ref="H48" ca="1" si="26">-(SUM(H46:H47,H49:H57)-H59)</f>
        <v>8.1170162505223686E-2</v>
      </c>
      <c r="I48" s="794">
        <f t="shared" ref="I48" ca="1" si="27">-(SUM(I46:I47,I49:I57)-I59)</f>
        <v>8.5022195564798952E-2</v>
      </c>
      <c r="J48" s="794">
        <f t="shared" ref="J48" ca="1" si="28">-(SUM(J46:J47,J49:J57)-J59)</f>
        <v>9.0945427835364079E-2</v>
      </c>
      <c r="K48" s="794">
        <f t="shared" ref="K48" ca="1" si="29">-(SUM(K46:K47,K49:K57)-K59)</f>
        <v>9.4410364763642729E-2</v>
      </c>
      <c r="L48" s="794">
        <f t="shared" ref="L48" ca="1" si="30">-(SUM(L46:L47,L49:L57)-L59)</f>
        <v>0.10468058668142977</v>
      </c>
      <c r="M48" s="794">
        <f t="shared" ref="M48" ca="1" si="31">-(SUM(M46:M47,M49:M57)-M59)</f>
        <v>9.645379468515447E-2</v>
      </c>
      <c r="N48" s="794">
        <f t="shared" ref="N48" ca="1" si="32">-(SUM(N46:N47,N49:N57)-N59)</f>
        <v>8.9456142265999183E-2</v>
      </c>
      <c r="O48" s="794">
        <f t="shared" ref="O48" ca="1" si="33">-(SUM(O46:O47,O49:O57)-O59)</f>
        <v>8.0202721035016022E-2</v>
      </c>
    </row>
    <row r="49" spans="3:15" x14ac:dyDescent="0.25">
      <c r="C49" s="793" t="str">
        <f t="shared" ref="C49:D49" si="34">C32</f>
        <v>STF-12</v>
      </c>
      <c r="D49" s="793" t="str">
        <f t="shared" si="34"/>
        <v>Shift #2 to #1 Oil</v>
      </c>
      <c r="E49" s="795"/>
      <c r="F49" s="797">
        <f ca="1">-INDIRECT("SCCRedFacs"&amp;F$28&amp;"!H30")</f>
        <v>0</v>
      </c>
      <c r="G49" s="794">
        <f t="shared" ref="G49:O49" ca="1" si="35">-INDIRECT("SCCRedFacs"&amp;G$28&amp;"!H30")</f>
        <v>0</v>
      </c>
      <c r="H49" s="794">
        <f t="shared" ca="1" si="35"/>
        <v>0</v>
      </c>
      <c r="I49" s="797">
        <f t="shared" ca="1" si="35"/>
        <v>-1.9259388448610593</v>
      </c>
      <c r="J49" s="794">
        <f t="shared" ca="1" si="35"/>
        <v>-1.9468649433395691</v>
      </c>
      <c r="K49" s="794">
        <f t="shared" ca="1" si="35"/>
        <v>-1.9638452332792777</v>
      </c>
      <c r="L49" s="797">
        <f t="shared" ca="1" si="35"/>
        <v>-1.9699868036773045</v>
      </c>
      <c r="M49" s="794">
        <f t="shared" ca="1" si="35"/>
        <v>-1.8985785227045804</v>
      </c>
      <c r="N49" s="794">
        <f t="shared" ca="1" si="35"/>
        <v>-1.8399222572498941</v>
      </c>
      <c r="O49" s="797">
        <f t="shared" ca="1" si="35"/>
        <v>-1.77165485826092</v>
      </c>
    </row>
    <row r="50" spans="3:15" x14ac:dyDescent="0.25">
      <c r="C50" s="793" t="str">
        <f t="shared" ref="C50:D50" si="36">C33</f>
        <v>STF-13</v>
      </c>
      <c r="D50" s="793" t="str">
        <f t="shared" si="36"/>
        <v>Commercial Dry Wood</v>
      </c>
      <c r="E50" s="795"/>
      <c r="F50" s="797">
        <f ca="1">-INDIRECT("SCCRedFacs"&amp;F$28&amp;"!J30")</f>
        <v>0</v>
      </c>
      <c r="G50" s="794">
        <f t="shared" ref="G50:O50" ca="1" si="37">-INDIRECT("SCCRedFacs"&amp;G$28&amp;"!J30")</f>
        <v>0</v>
      </c>
      <c r="H50" s="794">
        <f t="shared" ca="1" si="37"/>
        <v>-2.7726769066310059E-3</v>
      </c>
      <c r="I50" s="797">
        <f t="shared" ca="1" si="37"/>
        <v>-4.6916594845683411E-3</v>
      </c>
      <c r="J50" s="794">
        <f t="shared" ca="1" si="37"/>
        <v>-4.7901065042223129E-3</v>
      </c>
      <c r="K50" s="794">
        <f t="shared" ca="1" si="37"/>
        <v>-4.8322456345224968E-3</v>
      </c>
      <c r="L50" s="797">
        <f t="shared" ca="1" si="37"/>
        <v>-4.8478543087030453E-3</v>
      </c>
      <c r="M50" s="794">
        <f t="shared" ca="1" si="37"/>
        <v>-4.6726008545323874E-3</v>
      </c>
      <c r="N50" s="794">
        <f t="shared" ca="1" si="37"/>
        <v>-4.5286928096571998E-3</v>
      </c>
      <c r="O50" s="797">
        <f t="shared" ca="1" si="37"/>
        <v>-5.8147884477330438E-3</v>
      </c>
    </row>
    <row r="51" spans="3:15" x14ac:dyDescent="0.25">
      <c r="C51" s="793" t="str">
        <f t="shared" ref="C51:D51" si="38">C34</f>
        <v>STF-17</v>
      </c>
      <c r="D51" s="793" t="str">
        <f t="shared" si="38"/>
        <v>Wood Device Removal</v>
      </c>
      <c r="E51" s="795"/>
      <c r="F51" s="797">
        <f ca="1">-INDIRECT("SCCRedFacs"&amp;F$28&amp;"!L30")</f>
        <v>0</v>
      </c>
      <c r="G51" s="794">
        <f t="shared" ref="G51:O51" ca="1" si="39">-INDIRECT("SCCRedFacs"&amp;G$28&amp;"!L30")</f>
        <v>0</v>
      </c>
      <c r="H51" s="794">
        <f t="shared" ca="1" si="39"/>
        <v>0</v>
      </c>
      <c r="I51" s="797">
        <f t="shared" ca="1" si="39"/>
        <v>0</v>
      </c>
      <c r="J51" s="794">
        <f t="shared" ca="1" si="39"/>
        <v>-1.8106652505152918E-3</v>
      </c>
      <c r="K51" s="794">
        <f t="shared" ca="1" si="39"/>
        <v>-3.6533533335243989E-3</v>
      </c>
      <c r="L51" s="797">
        <f t="shared" ca="1" si="39"/>
        <v>-6.1091055992578049E-3</v>
      </c>
      <c r="M51" s="794">
        <f t="shared" ca="1" si="39"/>
        <v>-8.244245620987304E-3</v>
      </c>
      <c r="N51" s="794">
        <f t="shared" ca="1" si="39"/>
        <v>-1.0274133215432161E-2</v>
      </c>
      <c r="O51" s="797">
        <f t="shared" ca="1" si="39"/>
        <v>-1.0994111272088174E-2</v>
      </c>
    </row>
    <row r="52" spans="3:15" x14ac:dyDescent="0.25">
      <c r="C52" s="793" t="str">
        <f t="shared" ref="C52:D52" si="40">C35</f>
        <v>BACM-R8</v>
      </c>
      <c r="D52" s="793" t="str">
        <f t="shared" si="40"/>
        <v>Wood Emission Rates</v>
      </c>
      <c r="E52" s="795"/>
      <c r="F52" s="797">
        <f ca="1">-INDIRECT("SCCRedFacs"&amp;F$28&amp;"!N30")</f>
        <v>-1.4222754130807798E-3</v>
      </c>
      <c r="G52" s="794">
        <f t="shared" ref="G52:O52" ca="1" si="41">-INDIRECT("SCCRedFacs"&amp;G$28&amp;"!N30")</f>
        <v>-2.938949420311524E-3</v>
      </c>
      <c r="H52" s="794">
        <f t="shared" ca="1" si="41"/>
        <v>-4.1452073029201106E-3</v>
      </c>
      <c r="I52" s="797">
        <f t="shared" ca="1" si="41"/>
        <v>-6.2347853151296408E-3</v>
      </c>
      <c r="J52" s="794">
        <f t="shared" ca="1" si="41"/>
        <v>-7.9570313296632809E-3</v>
      </c>
      <c r="K52" s="794">
        <f t="shared" ca="1" si="41"/>
        <v>-9.6324363241522513E-3</v>
      </c>
      <c r="L52" s="797">
        <f t="shared" ca="1" si="41"/>
        <v>-1.1274141820184502E-2</v>
      </c>
      <c r="M52" s="794">
        <f t="shared" ca="1" si="41"/>
        <v>-1.2418941034485214E-2</v>
      </c>
      <c r="N52" s="794">
        <f t="shared" ca="1" si="41"/>
        <v>-1.3541016461070188E-2</v>
      </c>
      <c r="O52" s="797">
        <f t="shared" ca="1" si="41"/>
        <v>-1.4488755254144741E-2</v>
      </c>
    </row>
    <row r="53" spans="3:15" x14ac:dyDescent="0.25">
      <c r="C53" s="793" t="str">
        <f t="shared" ref="C53:D53" si="42">C36</f>
        <v>BACM-48</v>
      </c>
      <c r="D53" s="793" t="str">
        <f t="shared" si="42"/>
        <v>Remove Coal Devices</v>
      </c>
      <c r="E53" s="795"/>
      <c r="F53" s="797">
        <f ca="1">-INDIRECT("SCCRedFacs"&amp;F$28&amp;"!P30")</f>
        <v>0</v>
      </c>
      <c r="G53" s="794">
        <f t="shared" ref="G53:O53" ca="1" si="43">-INDIRECT("SCCRedFacs"&amp;G$28&amp;"!P30")</f>
        <v>0</v>
      </c>
      <c r="H53" s="794">
        <f t="shared" ca="1" si="43"/>
        <v>0</v>
      </c>
      <c r="I53" s="797">
        <f t="shared" ca="1" si="43"/>
        <v>0</v>
      </c>
      <c r="J53" s="794">
        <f t="shared" ca="1" si="43"/>
        <v>-2.2416358007955609E-2</v>
      </c>
      <c r="K53" s="794">
        <f t="shared" ca="1" si="43"/>
        <v>-4.5225606364678095E-2</v>
      </c>
      <c r="L53" s="797">
        <f t="shared" ca="1" si="43"/>
        <v>-6.805330816619326E-2</v>
      </c>
      <c r="M53" s="794">
        <f t="shared" ca="1" si="43"/>
        <v>-6.5589114998341663E-2</v>
      </c>
      <c r="N53" s="794">
        <f t="shared" ca="1" si="43"/>
        <v>-6.3565244843145477E-2</v>
      </c>
      <c r="O53" s="797">
        <f t="shared" ca="1" si="43"/>
        <v>-6.5289734771925706E-2</v>
      </c>
    </row>
    <row r="54" spans="3:15" x14ac:dyDescent="0.25">
      <c r="C54" s="793" t="str">
        <f t="shared" ref="C54:D54" si="44">C37</f>
        <v>STF-22</v>
      </c>
      <c r="D54" s="793" t="str">
        <f t="shared" si="44"/>
        <v>No Primary Wood Heat</v>
      </c>
      <c r="E54" s="795"/>
      <c r="F54" s="797">
        <f ca="1">-INDIRECT("SCCRedFacs"&amp;F$28&amp;"!R30")</f>
        <v>-4.0573701747597434E-3</v>
      </c>
      <c r="G54" s="794">
        <f t="shared" ref="G54:O54" ca="1" si="45">-INDIRECT("SCCRedFacs"&amp;G$28&amp;"!R30")</f>
        <v>-4.2398265580633997E-3</v>
      </c>
      <c r="H54" s="794">
        <f t="shared" ca="1" si="45"/>
        <v>9.6732487899809034E-4</v>
      </c>
      <c r="I54" s="797">
        <f t="shared" ca="1" si="45"/>
        <v>6.8002850171213613E-3</v>
      </c>
      <c r="J54" s="794">
        <f t="shared" ca="1" si="45"/>
        <v>1.2645624874766349E-2</v>
      </c>
      <c r="K54" s="794">
        <f t="shared" ca="1" si="45"/>
        <v>1.8733960018249809E-2</v>
      </c>
      <c r="L54" s="797">
        <f t="shared" ca="1" si="45"/>
        <v>2.478906664652988E-2</v>
      </c>
      <c r="M54" s="794">
        <f t="shared" ca="1" si="45"/>
        <v>2.9669954106986151E-2</v>
      </c>
      <c r="N54" s="794">
        <f t="shared" ca="1" si="45"/>
        <v>3.4354467279812138E-2</v>
      </c>
      <c r="O54" s="797">
        <f t="shared" ca="1" si="45"/>
        <v>3.8473395294757087E-2</v>
      </c>
    </row>
    <row r="55" spans="3:15" x14ac:dyDescent="0.25">
      <c r="C55" s="793" t="str">
        <f t="shared" ref="C55:D55" si="46">C38</f>
        <v>STF-23</v>
      </c>
      <c r="D55" s="793" t="str">
        <f t="shared" si="46"/>
        <v>NOASH/Exmptn Rqmts</v>
      </c>
      <c r="E55" s="795"/>
      <c r="F55" s="797">
        <f ca="1">-INDIRECT("SCCRedFacs"&amp;F$28&amp;"!T30")</f>
        <v>0</v>
      </c>
      <c r="G55" s="794">
        <f t="shared" ref="G55:O55" ca="1" si="47">-INDIRECT("SCCRedFacs"&amp;G$28&amp;"!T30")</f>
        <v>0</v>
      </c>
      <c r="H55" s="794">
        <f t="shared" ca="1" si="47"/>
        <v>0</v>
      </c>
      <c r="I55" s="797">
        <f t="shared" ca="1" si="47"/>
        <v>0</v>
      </c>
      <c r="J55" s="794">
        <f t="shared" ca="1" si="47"/>
        <v>0</v>
      </c>
      <c r="K55" s="794">
        <f t="shared" ca="1" si="47"/>
        <v>0</v>
      </c>
      <c r="L55" s="797">
        <f t="shared" ca="1" si="47"/>
        <v>0</v>
      </c>
      <c r="M55" s="794">
        <f t="shared" ca="1" si="47"/>
        <v>0</v>
      </c>
      <c r="N55" s="794">
        <f t="shared" ca="1" si="47"/>
        <v>0</v>
      </c>
      <c r="O55" s="797">
        <f t="shared" ca="1" si="47"/>
        <v>0</v>
      </c>
    </row>
    <row r="56" spans="3:15" x14ac:dyDescent="0.25">
      <c r="C56" s="793" t="str">
        <f t="shared" ref="C56:D56" si="48">C39</f>
        <v>CM/MSM</v>
      </c>
      <c r="D56" s="793" t="str">
        <f t="shared" si="48"/>
        <v>Remove Old Stoves</v>
      </c>
      <c r="E56" s="795"/>
      <c r="F56" s="798">
        <f ca="1">-INDIRECT("SCCRedFacs"&amp;F$28&amp;"!V30")</f>
        <v>0</v>
      </c>
      <c r="G56" s="795">
        <f t="shared" ref="G56:O56" ca="1" si="49">-INDIRECT("SCCRedFacs"&amp;G$28&amp;"!V30")</f>
        <v>0</v>
      </c>
      <c r="H56" s="795">
        <f t="shared" ca="1" si="49"/>
        <v>0</v>
      </c>
      <c r="I56" s="798">
        <f t="shared" ca="1" si="49"/>
        <v>0</v>
      </c>
      <c r="J56" s="795">
        <f t="shared" ca="1" si="49"/>
        <v>0</v>
      </c>
      <c r="K56" s="795">
        <f t="shared" ca="1" si="49"/>
        <v>0</v>
      </c>
      <c r="L56" s="798">
        <f t="shared" ca="1" si="49"/>
        <v>0</v>
      </c>
      <c r="M56" s="795">
        <f t="shared" ca="1" si="49"/>
        <v>0</v>
      </c>
      <c r="N56" s="795">
        <f t="shared" ca="1" si="49"/>
        <v>0</v>
      </c>
      <c r="O56" s="798">
        <f t="shared" ca="1" si="49"/>
        <v>0</v>
      </c>
    </row>
    <row r="57" spans="3:15" x14ac:dyDescent="0.25">
      <c r="C57" s="793" t="str">
        <f t="shared" ref="C57:D57" si="50">C40</f>
        <v>NG</v>
      </c>
      <c r="D57" s="793" t="str">
        <f t="shared" si="50"/>
        <v>Natural Gas Expansion</v>
      </c>
      <c r="E57" s="795"/>
      <c r="F57" s="797">
        <f ca="1">-INDIRECT("SCCRedFacs"&amp;F$28&amp;"!X30")</f>
        <v>0</v>
      </c>
      <c r="G57" s="794">
        <f t="shared" ref="G57:O57" ca="1" si="51">-INDIRECT("SCCRedFacs"&amp;G$28&amp;"!X30")</f>
        <v>0</v>
      </c>
      <c r="H57" s="794">
        <f t="shared" ca="1" si="51"/>
        <v>0</v>
      </c>
      <c r="I57" s="797">
        <f t="shared" ca="1" si="51"/>
        <v>0</v>
      </c>
      <c r="J57" s="794">
        <f t="shared" ca="1" si="51"/>
        <v>0</v>
      </c>
      <c r="K57" s="794">
        <f t="shared" ca="1" si="51"/>
        <v>0</v>
      </c>
      <c r="L57" s="797">
        <f t="shared" ca="1" si="51"/>
        <v>0</v>
      </c>
      <c r="M57" s="794">
        <f t="shared" ca="1" si="51"/>
        <v>-0.18786419937796389</v>
      </c>
      <c r="N57" s="794">
        <f t="shared" ca="1" si="51"/>
        <v>-0.36440251849070265</v>
      </c>
      <c r="O57" s="797">
        <f t="shared" ca="1" si="51"/>
        <v>-0.58524990075619276</v>
      </c>
    </row>
    <row r="59" spans="3:15" x14ac:dyDescent="0.25">
      <c r="C59" s="830" t="s">
        <v>102</v>
      </c>
      <c r="D59" s="830"/>
      <c r="E59" s="796">
        <f t="shared" ref="E59:O59" ca="1" si="52">INDIRECT("SCCRedFacs"&amp;E$28&amp;"!AJ27")</f>
        <v>3.8812668552980054</v>
      </c>
      <c r="F59" s="799">
        <f ca="1">INDIRECT("SCCRedFacs"&amp;F$28&amp;"!AJ27")</f>
        <v>3.9767728100251256</v>
      </c>
      <c r="G59" s="796">
        <f t="shared" ca="1" si="52"/>
        <v>4.1094801337356985</v>
      </c>
      <c r="H59" s="796">
        <f t="shared" ca="1" si="52"/>
        <v>4.1719041807461679</v>
      </c>
      <c r="I59" s="799">
        <f t="shared" ca="1" si="52"/>
        <v>2.2781940123463409</v>
      </c>
      <c r="J59" s="796">
        <f t="shared" ca="1" si="52"/>
        <v>2.2692728502185142</v>
      </c>
      <c r="K59" s="796">
        <f t="shared" ca="1" si="52"/>
        <v>2.2697842745983352</v>
      </c>
      <c r="L59" s="799">
        <f t="shared" ca="1" si="52"/>
        <v>2.2855415163930388</v>
      </c>
      <c r="M59" s="796">
        <f t="shared" ca="1" si="52"/>
        <v>2.1978715114981182</v>
      </c>
      <c r="N59" s="796">
        <f t="shared" ca="1" si="52"/>
        <v>2.1094220318171115</v>
      </c>
      <c r="O59" s="799">
        <f t="shared" ca="1" si="52"/>
        <v>1.9797911548991758</v>
      </c>
    </row>
  </sheetData>
  <mergeCells count="8">
    <mergeCell ref="E44:O44"/>
    <mergeCell ref="C59:D59"/>
    <mergeCell ref="E4:O4"/>
    <mergeCell ref="A1:O1"/>
    <mergeCell ref="A2:O2"/>
    <mergeCell ref="E27:O27"/>
    <mergeCell ref="C42:D42"/>
    <mergeCell ref="A25:O25"/>
  </mergeCells>
  <conditionalFormatting sqref="E8 E15:O15 E7:O7">
    <cfRule type="cellIs" dxfId="71" priority="79" operator="equal">
      <formula>"n/a"</formula>
    </cfRule>
  </conditionalFormatting>
  <conditionalFormatting sqref="E9:E16">
    <cfRule type="cellIs" dxfId="70" priority="77" operator="equal">
      <formula>"n/a"</formula>
    </cfRule>
  </conditionalFormatting>
  <conditionalFormatting sqref="F8 I8:O8">
    <cfRule type="cellIs" dxfId="69" priority="57" operator="notEqual">
      <formula>"n/a"</formula>
    </cfRule>
    <cfRule type="cellIs" dxfId="68" priority="76" operator="equal">
      <formula>"n/a"</formula>
    </cfRule>
  </conditionalFormatting>
  <conditionalFormatting sqref="F9:F12 I9:O10 I12:O12 I14:O15 M16:O16 F14:F16">
    <cfRule type="cellIs" dxfId="67" priority="53" operator="notEqual">
      <formula>"n/a"</formula>
    </cfRule>
    <cfRule type="cellIs" dxfId="66" priority="54" operator="equal">
      <formula>"n/a"</formula>
    </cfRule>
  </conditionalFormatting>
  <conditionalFormatting sqref="G8:H8">
    <cfRule type="cellIs" dxfId="65" priority="51" operator="notEqual">
      <formula>"n/a"</formula>
    </cfRule>
    <cfRule type="cellIs" dxfId="64" priority="52" operator="equal">
      <formula>"n/a"</formula>
    </cfRule>
  </conditionalFormatting>
  <conditionalFormatting sqref="G9:H10 G12:H12 G14:H15">
    <cfRule type="cellIs" dxfId="63" priority="49" operator="notEqual">
      <formula>"n/a"</formula>
    </cfRule>
    <cfRule type="cellIs" dxfId="62" priority="50" operator="equal">
      <formula>"n/a"</formula>
    </cfRule>
  </conditionalFormatting>
  <conditionalFormatting sqref="G11:O11">
    <cfRule type="cellIs" dxfId="61" priority="47" operator="notEqual">
      <formula>"n/a"</formula>
    </cfRule>
    <cfRule type="cellIs" dxfId="60" priority="48" operator="equal">
      <formula>"n/a"</formula>
    </cfRule>
  </conditionalFormatting>
  <conditionalFormatting sqref="G13:O13">
    <cfRule type="cellIs" dxfId="59" priority="43" operator="notEqual">
      <formula>"n/a"</formula>
    </cfRule>
    <cfRule type="cellIs" dxfId="58" priority="44" operator="equal">
      <formula>"n/a"</formula>
    </cfRule>
  </conditionalFormatting>
  <conditionalFormatting sqref="G16:L16">
    <cfRule type="cellIs" dxfId="57" priority="41" operator="notEqual">
      <formula>"n/a"</formula>
    </cfRule>
    <cfRule type="cellIs" dxfId="56" priority="42" operator="equal">
      <formula>"n/a"</formula>
    </cfRule>
  </conditionalFormatting>
  <conditionalFormatting sqref="F13">
    <cfRule type="cellIs" dxfId="55" priority="33" operator="notEqual">
      <formula>"n/a"</formula>
    </cfRule>
    <cfRule type="cellIs" dxfId="54" priority="34" operator="equal">
      <formula>"n/a"</formula>
    </cfRule>
  </conditionalFormatting>
  <printOptions horizontalCentered="1" headings="1" gridLines="1"/>
  <pageMargins left="0.25" right="0.25" top="0.75" bottom="0.75" header="0.3" footer="0.3"/>
  <pageSetup scale="66"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AD192"/>
  <sheetViews>
    <sheetView zoomScaleNormal="100" workbookViewId="0">
      <selection sqref="A1:K1"/>
    </sheetView>
  </sheetViews>
  <sheetFormatPr defaultRowHeight="15" x14ac:dyDescent="0.25"/>
  <cols>
    <col min="1" max="1" width="44.42578125" customWidth="1"/>
    <col min="6" max="6" width="8.85546875" customWidth="1"/>
    <col min="12" max="12" width="8.85546875" customWidth="1"/>
    <col min="14" max="14" width="11.85546875" customWidth="1"/>
    <col min="21" max="21" width="8.85546875" customWidth="1"/>
    <col min="25" max="25" width="8.85546875" customWidth="1"/>
  </cols>
  <sheetData>
    <row r="1" spans="1:11" ht="18.75" x14ac:dyDescent="0.3">
      <c r="A1" s="828" t="s">
        <v>497</v>
      </c>
      <c r="B1" s="828"/>
      <c r="C1" s="828"/>
      <c r="D1" s="828"/>
      <c r="E1" s="828"/>
      <c r="F1" s="828"/>
      <c r="G1" s="828"/>
      <c r="H1" s="828"/>
      <c r="I1" s="828"/>
      <c r="J1" s="828"/>
      <c r="K1" s="828"/>
    </row>
    <row r="3" spans="1:11" ht="28.9" customHeight="1" x14ac:dyDescent="0.25">
      <c r="A3" s="681" t="s">
        <v>314</v>
      </c>
      <c r="B3" s="856" t="s">
        <v>498</v>
      </c>
      <c r="C3" s="856"/>
      <c r="D3" s="856"/>
      <c r="E3" s="856"/>
      <c r="F3" s="856"/>
      <c r="G3" s="856"/>
      <c r="H3" s="856"/>
      <c r="I3" s="856"/>
      <c r="J3" s="856"/>
      <c r="K3" s="856"/>
    </row>
    <row r="4" spans="1:11" x14ac:dyDescent="0.25">
      <c r="A4" s="244" t="s">
        <v>177</v>
      </c>
      <c r="B4" s="703">
        <f>Summary!$C$13</f>
        <v>2020</v>
      </c>
      <c r="D4" s="244" t="s">
        <v>105</v>
      </c>
      <c r="E4" s="520">
        <f>Year</f>
        <v>2029</v>
      </c>
    </row>
    <row r="5" spans="1:11" x14ac:dyDescent="0.25">
      <c r="A5" s="244" t="s">
        <v>499</v>
      </c>
      <c r="B5" s="517">
        <v>0.41293517842264571</v>
      </c>
      <c r="C5" t="s">
        <v>500</v>
      </c>
    </row>
    <row r="6" spans="1:11" x14ac:dyDescent="0.25">
      <c r="A6" s="244" t="s">
        <v>501</v>
      </c>
      <c r="B6" s="517">
        <v>0.04</v>
      </c>
      <c r="C6" t="s">
        <v>502</v>
      </c>
    </row>
    <row r="7" spans="1:11" x14ac:dyDescent="0.25">
      <c r="A7" s="244" t="s">
        <v>503</v>
      </c>
      <c r="B7" s="4">
        <f ca="1">VALUE(LEFT(OFFSET(Summary!$D$13,0,MATCH($E$4,Summary!$E$5:$O$5,0)),FIND("/",OFFSET(Summary!$D$13,0,MATCH($E$4,Summary!$E$5:$O$5,0)))-1))</f>
        <v>0.8</v>
      </c>
    </row>
    <row r="8" spans="1:11" x14ac:dyDescent="0.25">
      <c r="A8" s="244" t="s">
        <v>504</v>
      </c>
      <c r="B8" s="4">
        <f ca="1">VALUE(MID(OFFSET(Summary!$D$13,0,MATCH($E$4,Summary!$E$5:$O$5,0)),FIND("/",OFFSET(Summary!$D$13,0,MATCH($E$4,Summary!$E$5:$O$5,0)))+1,10))</f>
        <v>1</v>
      </c>
    </row>
    <row r="9" spans="1:11" x14ac:dyDescent="0.25">
      <c r="D9" s="97"/>
    </row>
    <row r="10" spans="1:11" x14ac:dyDescent="0.25">
      <c r="A10" s="354" t="s">
        <v>322</v>
      </c>
    </row>
    <row r="11" spans="1:11" x14ac:dyDescent="0.25">
      <c r="A11" s="246" t="str">
        <f>"- Use "&amp;$E$4&amp;" projected SFBA device counts in nonattainment area from 2011-2015 Home Heating Survey"</f>
        <v>- Use 2029 projected SFBA device counts in nonattainment area from 2011-2015 Home Heating Survey</v>
      </c>
    </row>
    <row r="12" spans="1:11" x14ac:dyDescent="0.25">
      <c r="A12" s="246" t="s">
        <v>505</v>
      </c>
    </row>
    <row r="13" spans="1:11" x14ac:dyDescent="0.25">
      <c r="A13" s="246" t="s">
        <v>360</v>
      </c>
    </row>
    <row r="14" spans="1:11" x14ac:dyDescent="0.25">
      <c r="A14" s="246" t="s">
        <v>506</v>
      </c>
    </row>
    <row r="15" spans="1:11" x14ac:dyDescent="0.25">
      <c r="A15" s="246" t="s">
        <v>362</v>
      </c>
    </row>
    <row r="16" spans="1:11" x14ac:dyDescent="0.25">
      <c r="A16" s="246" t="s">
        <v>507</v>
      </c>
    </row>
    <row r="18" spans="1:11" x14ac:dyDescent="0.25">
      <c r="A18" t="s">
        <v>425</v>
      </c>
    </row>
    <row r="19" spans="1:11" x14ac:dyDescent="0.25">
      <c r="G19" s="250"/>
      <c r="I19" s="812" t="s">
        <v>508</v>
      </c>
    </row>
    <row r="20" spans="1:11" x14ac:dyDescent="0.25">
      <c r="E20" s="365" t="s">
        <v>426</v>
      </c>
      <c r="F20" s="365" t="s">
        <v>427</v>
      </c>
      <c r="G20" s="365" t="s">
        <v>428</v>
      </c>
      <c r="H20" s="365" t="s">
        <v>429</v>
      </c>
      <c r="I20" s="365" t="s">
        <v>509</v>
      </c>
    </row>
    <row r="21" spans="1:11" x14ac:dyDescent="0.25">
      <c r="A21" t="s">
        <v>430</v>
      </c>
      <c r="D21">
        <v>984</v>
      </c>
      <c r="E21" s="671">
        <f ca="1">OFFSET(HHSurveyG2!$N$296,0,MATCH($E$4,HHSurveyG2!$O$278:$AP$278,0))</f>
        <v>0.15161116729596735</v>
      </c>
      <c r="F21" s="97">
        <f ca="1">1-E21</f>
        <v>0.84838883270403265</v>
      </c>
      <c r="G21" s="671">
        <f ca="1">OFFSET(HHSurveyG2!$N$298,0,MATCH($E$4,HHSurveyG2!$O$278:$AP$278,0))</f>
        <v>0.88769240947012995</v>
      </c>
      <c r="H21" s="97">
        <f ca="1">1-G21</f>
        <v>0.11230759052987005</v>
      </c>
      <c r="I21" s="4">
        <f>4274/21208</f>
        <v>0.20152772538664654</v>
      </c>
      <c r="K21" s="90" t="s">
        <v>431</v>
      </c>
    </row>
    <row r="22" spans="1:11" x14ac:dyDescent="0.25">
      <c r="A22" t="s">
        <v>432</v>
      </c>
      <c r="D22">
        <f>ROUND(D$21*J22*(1-$I$21),0)</f>
        <v>17</v>
      </c>
      <c r="E22" s="670">
        <f>D22</f>
        <v>17</v>
      </c>
      <c r="F22">
        <f>D22-E22</f>
        <v>0</v>
      </c>
      <c r="G22" s="11"/>
      <c r="H22" s="11"/>
      <c r="I22" s="812" t="s">
        <v>510</v>
      </c>
      <c r="J22" s="251">
        <f>TabsAll!$N$21*TabsAll!$N$53</f>
        <v>2.1180764282238692E-2</v>
      </c>
      <c r="K22" s="90" t="s">
        <v>433</v>
      </c>
    </row>
    <row r="23" spans="1:11" x14ac:dyDescent="0.25">
      <c r="A23" t="s">
        <v>434</v>
      </c>
      <c r="D23">
        <f ca="1">ROUND(D$21*J23*$G$21*(1-$I$21),0)</f>
        <v>14</v>
      </c>
      <c r="E23" s="670">
        <f ca="1">ROUND(E$21*D23,0)</f>
        <v>2</v>
      </c>
      <c r="F23">
        <f ca="1">D23-E23</f>
        <v>12</v>
      </c>
      <c r="I23" s="821" t="s">
        <v>511</v>
      </c>
      <c r="J23" s="251">
        <f>TabsAll!$N$21*TabsAll!$N$54</f>
        <v>2.0123337534874289E-2</v>
      </c>
      <c r="K23" s="90" t="s">
        <v>435</v>
      </c>
    </row>
    <row r="24" spans="1:11" x14ac:dyDescent="0.25">
      <c r="A24" t="s">
        <v>436</v>
      </c>
      <c r="D24">
        <f ca="1">ROUND(D$21*J24*$G$21*(1-$I$21),0)</f>
        <v>232</v>
      </c>
      <c r="E24" s="670">
        <f ca="1">ROUND(E$21*D24,0)</f>
        <v>35</v>
      </c>
      <c r="F24">
        <f ca="1">D24-E24</f>
        <v>197</v>
      </c>
      <c r="I24" s="821" t="s">
        <v>512</v>
      </c>
      <c r="J24" s="251">
        <f>TabsAll!$N$21*TabsAll!$N$55</f>
        <v>0.33220321038023365</v>
      </c>
      <c r="K24" s="90" t="s">
        <v>437</v>
      </c>
    </row>
    <row r="25" spans="1:11" x14ac:dyDescent="0.25">
      <c r="A25" t="s">
        <v>438</v>
      </c>
      <c r="D25">
        <f ca="1">ROUND(D$21*J23*$H$21*(1-$I$21),0)</f>
        <v>2</v>
      </c>
      <c r="E25" s="670">
        <f ca="1">D25</f>
        <v>2</v>
      </c>
      <c r="I25" s="821" t="s">
        <v>513</v>
      </c>
      <c r="J25" s="251"/>
      <c r="K25" s="90"/>
    </row>
    <row r="26" spans="1:11" x14ac:dyDescent="0.25">
      <c r="A26" t="s">
        <v>439</v>
      </c>
      <c r="D26">
        <f ca="1">ROUND(D$21*J24*$H$21*(1-$I$21),0)</f>
        <v>29</v>
      </c>
      <c r="E26" s="670"/>
      <c r="F26">
        <f ca="1">D26</f>
        <v>29</v>
      </c>
      <c r="I26" s="821" t="s">
        <v>514</v>
      </c>
      <c r="J26" s="251"/>
      <c r="K26" s="90"/>
    </row>
    <row r="27" spans="1:11" x14ac:dyDescent="0.25">
      <c r="A27" t="s">
        <v>440</v>
      </c>
      <c r="D27">
        <f>ROUND(D$21*J27*(1-$I$21),0)</f>
        <v>9</v>
      </c>
      <c r="E27" s="670">
        <f>ROUND($D27*0.8,0)</f>
        <v>7</v>
      </c>
      <c r="F27">
        <f>D27-E27</f>
        <v>2</v>
      </c>
      <c r="J27" s="251">
        <f>TabsAll!$N$21*TabsAll!$N$56</f>
        <v>1.1914924747069535E-2</v>
      </c>
      <c r="K27" s="90" t="s">
        <v>441</v>
      </c>
    </row>
    <row r="28" spans="1:11" x14ac:dyDescent="0.25">
      <c r="C28" s="1" t="s">
        <v>442</v>
      </c>
      <c r="D28">
        <f ca="1">SUM(D22:D27)</f>
        <v>303</v>
      </c>
      <c r="E28" s="670"/>
      <c r="J28" s="251"/>
      <c r="K28" s="90"/>
    </row>
    <row r="30" spans="1:11" x14ac:dyDescent="0.25">
      <c r="B30" s="848" t="s">
        <v>380</v>
      </c>
      <c r="C30" s="848"/>
      <c r="D30" s="848"/>
    </row>
    <row r="31" spans="1:11" x14ac:dyDescent="0.25">
      <c r="C31" s="1" t="s">
        <v>445</v>
      </c>
      <c r="D31" s="467">
        <f>'EFs-BTU'!$D$40/'EFs-BTU'!$D$37</f>
        <v>9.9999999999999982</v>
      </c>
    </row>
    <row r="32" spans="1:11" x14ac:dyDescent="0.25">
      <c r="C32" s="1" t="s">
        <v>393</v>
      </c>
      <c r="D32" s="467">
        <f>'EFs-BTU'!$D$40/'EFs-BTU'!$D$38</f>
        <v>1.7499999999999998</v>
      </c>
    </row>
    <row r="33" spans="1:17" x14ac:dyDescent="0.25">
      <c r="C33" s="1" t="s">
        <v>394</v>
      </c>
      <c r="D33" s="467">
        <f>'EFs-BTU'!$D$43/'EFs-BTU'!$D$41</f>
        <v>1.3333333333333333</v>
      </c>
    </row>
    <row r="34" spans="1:17" x14ac:dyDescent="0.25">
      <c r="C34" s="1" t="s">
        <v>448</v>
      </c>
      <c r="D34" s="467">
        <f>0.85/'EFs-BTU'!$D$41</f>
        <v>1.574074074074074</v>
      </c>
      <c r="E34" t="s">
        <v>449</v>
      </c>
    </row>
    <row r="36" spans="1:17" x14ac:dyDescent="0.25">
      <c r="A36" t="str">
        <f>$E$4&amp;" Projected Solid Fuel Device Counts in Fairbanks Nonattainment Area:"</f>
        <v>2029 Projected Solid Fuel Device Counts in Fairbanks Nonattainment Area:</v>
      </c>
    </row>
    <row r="38" spans="1:17" x14ac:dyDescent="0.25">
      <c r="A38" s="1" t="s">
        <v>515</v>
      </c>
      <c r="B38" s="491">
        <f>B5*(1-B6)</f>
        <v>0.39641777128573985</v>
      </c>
      <c r="C38" t="s">
        <v>516</v>
      </c>
    </row>
    <row r="40" spans="1:17" x14ac:dyDescent="0.25">
      <c r="A40" s="1" t="s">
        <v>517</v>
      </c>
      <c r="B40" s="682">
        <v>0.17956744450768355</v>
      </c>
      <c r="J40" t="s">
        <v>518</v>
      </c>
    </row>
    <row r="42" spans="1:17" x14ac:dyDescent="0.25">
      <c r="B42" s="845" t="s">
        <v>519</v>
      </c>
      <c r="C42" s="845"/>
      <c r="D42" s="845"/>
      <c r="E42" s="845"/>
      <c r="J42" t="s">
        <v>518</v>
      </c>
    </row>
    <row r="43" spans="1:17" x14ac:dyDescent="0.25">
      <c r="B43" s="857" t="s">
        <v>520</v>
      </c>
      <c r="C43" s="857"/>
      <c r="D43" s="857"/>
      <c r="E43" s="857"/>
    </row>
    <row r="44" spans="1:17" x14ac:dyDescent="0.25">
      <c r="B44" s="813" t="s">
        <v>341</v>
      </c>
      <c r="C44" s="813" t="s">
        <v>279</v>
      </c>
      <c r="D44" s="63" t="s">
        <v>278</v>
      </c>
      <c r="E44" s="813" t="s">
        <v>521</v>
      </c>
    </row>
    <row r="45" spans="1:17" x14ac:dyDescent="0.25">
      <c r="A45" s="1" t="s">
        <v>522</v>
      </c>
      <c r="B45" s="683">
        <v>0.83439697221976383</v>
      </c>
      <c r="C45" s="683">
        <v>0.59307576783419602</v>
      </c>
      <c r="D45" s="683">
        <v>0.23623637904131298</v>
      </c>
      <c r="E45" s="683">
        <v>5.0848253442548064E-3</v>
      </c>
    </row>
    <row r="46" spans="1:17" x14ac:dyDescent="0.25">
      <c r="A46" s="1" t="s">
        <v>523</v>
      </c>
      <c r="B46" s="47">
        <v>0.72844381587759244</v>
      </c>
      <c r="C46" s="47">
        <v>0.55664471404067206</v>
      </c>
      <c r="D46" s="47">
        <v>0.1680890961710142</v>
      </c>
      <c r="E46" s="47">
        <v>3.7100056659061798E-3</v>
      </c>
    </row>
    <row r="48" spans="1:17" x14ac:dyDescent="0.25">
      <c r="C48" s="684">
        <v>1</v>
      </c>
      <c r="H48" s="854" t="s">
        <v>101</v>
      </c>
      <c r="I48" s="854"/>
      <c r="J48" s="854" t="s">
        <v>524</v>
      </c>
      <c r="K48" s="854"/>
      <c r="L48" s="854" t="s">
        <v>525</v>
      </c>
      <c r="M48" s="854"/>
      <c r="N48" s="854" t="s">
        <v>526</v>
      </c>
      <c r="O48" s="854"/>
      <c r="P48" s="854" t="s">
        <v>527</v>
      </c>
      <c r="Q48" s="854"/>
    </row>
    <row r="49" spans="1:17" x14ac:dyDescent="0.25">
      <c r="B49" s="812">
        <f>$E$4</f>
        <v>2029</v>
      </c>
      <c r="C49" s="812" t="s">
        <v>528</v>
      </c>
      <c r="D49" s="812" t="s">
        <v>529</v>
      </c>
      <c r="E49" s="812" t="s">
        <v>451</v>
      </c>
      <c r="F49" s="812" t="s">
        <v>341</v>
      </c>
      <c r="H49" s="845" t="s">
        <v>530</v>
      </c>
      <c r="I49" s="845"/>
      <c r="J49" s="845" t="s">
        <v>530</v>
      </c>
      <c r="K49" s="845"/>
      <c r="L49" s="845" t="s">
        <v>530</v>
      </c>
      <c r="M49" s="845"/>
      <c r="N49" s="845" t="s">
        <v>530</v>
      </c>
      <c r="O49" s="845"/>
      <c r="P49" s="845" t="s">
        <v>530</v>
      </c>
      <c r="Q49" s="845"/>
    </row>
    <row r="50" spans="1:17" x14ac:dyDescent="0.25">
      <c r="B50" s="812" t="s">
        <v>101</v>
      </c>
      <c r="C50" s="814" t="s">
        <v>531</v>
      </c>
      <c r="D50" s="814" t="s">
        <v>532</v>
      </c>
      <c r="E50" s="812" t="s">
        <v>454</v>
      </c>
      <c r="F50" s="812" t="s">
        <v>455</v>
      </c>
      <c r="H50" s="845" t="s">
        <v>452</v>
      </c>
      <c r="I50" s="845"/>
      <c r="J50" s="845" t="s">
        <v>452</v>
      </c>
      <c r="K50" s="845"/>
      <c r="L50" s="845" t="s">
        <v>452</v>
      </c>
      <c r="M50" s="845"/>
      <c r="N50" s="845" t="s">
        <v>452</v>
      </c>
      <c r="O50" s="845"/>
      <c r="P50" s="845" t="s">
        <v>452</v>
      </c>
      <c r="Q50" s="845"/>
    </row>
    <row r="51" spans="1:17" x14ac:dyDescent="0.25">
      <c r="A51" s="3" t="s">
        <v>356</v>
      </c>
      <c r="B51" s="813" t="s">
        <v>36</v>
      </c>
      <c r="C51" s="813" t="s">
        <v>36</v>
      </c>
      <c r="D51" s="813" t="s">
        <v>36</v>
      </c>
      <c r="E51" s="813" t="s">
        <v>36</v>
      </c>
      <c r="F51" s="813" t="s">
        <v>36</v>
      </c>
      <c r="H51" s="813" t="s">
        <v>533</v>
      </c>
      <c r="I51" s="813" t="s">
        <v>457</v>
      </c>
      <c r="J51" s="813" t="s">
        <v>533</v>
      </c>
      <c r="K51" s="813" t="s">
        <v>457</v>
      </c>
      <c r="L51" s="813" t="s">
        <v>533</v>
      </c>
      <c r="M51" s="813" t="s">
        <v>457</v>
      </c>
      <c r="N51" s="813" t="s">
        <v>533</v>
      </c>
      <c r="O51" s="813" t="s">
        <v>457</v>
      </c>
      <c r="P51" s="813" t="s">
        <v>533</v>
      </c>
      <c r="Q51" s="813" t="s">
        <v>457</v>
      </c>
    </row>
    <row r="52" spans="1:17" x14ac:dyDescent="0.25">
      <c r="A52" t="s">
        <v>342</v>
      </c>
      <c r="B52" s="45">
        <f ca="1">ROUND(OFFSET(Devices!$B$51,0,MATCH($E$4,Devices!$C$49:$AA$49,0)),0)</f>
        <v>897</v>
      </c>
      <c r="C52">
        <f ca="1">ROUND($B52*(1-$B$38)*$B$40,0)*C$48</f>
        <v>97</v>
      </c>
      <c r="D52">
        <f ca="1">ROUND($B52*$B$38*$B$40,0)</f>
        <v>64</v>
      </c>
      <c r="E52">
        <f>D22</f>
        <v>17</v>
      </c>
      <c r="F52">
        <f ca="1">SUM(C52:E52)</f>
        <v>178</v>
      </c>
      <c r="H52" s="134">
        <f ca="1">INDIRECT("'DevSumOut-"&amp;$E$4&amp;"BSR'!U50")</f>
        <v>656.80787728654434</v>
      </c>
      <c r="I52" s="5">
        <f ca="1">H52/B52</f>
        <v>0.73222728794486547</v>
      </c>
      <c r="J52" s="38">
        <f ca="1">K52*C52</f>
        <v>79.011565495237463</v>
      </c>
      <c r="K52" s="5">
        <f t="shared" ref="K52:K60" ca="1" si="0">$I52*$C$46/$Q$60</f>
        <v>0.81455222160038621</v>
      </c>
      <c r="L52" s="38">
        <f ca="1">M52*D52</f>
        <v>52.131342182424717</v>
      </c>
      <c r="M52" s="5">
        <f t="shared" ref="M52:M60" ca="1" si="1">$I52*$C$46/$Q$60</f>
        <v>0.81455222160038621</v>
      </c>
      <c r="N52" s="38">
        <f ca="1">J52+L52</f>
        <v>131.14290767766218</v>
      </c>
      <c r="O52" s="5">
        <f ca="1">M52</f>
        <v>0.81455222160038621</v>
      </c>
      <c r="P52" s="134">
        <f t="shared" ref="P52:P59" ca="1" si="2">E52*Q52</f>
        <v>12.447863895062714</v>
      </c>
      <c r="Q52" s="5">
        <f t="shared" ref="Q52:Q61" ca="1" si="3">I52</f>
        <v>0.73222728794486547</v>
      </c>
    </row>
    <row r="53" spans="1:17" x14ac:dyDescent="0.25">
      <c r="A53" t="s">
        <v>364</v>
      </c>
      <c r="B53" s="45">
        <f ca="1">ROUND(OFFSET(Devices!$B$53,0,MATCH($E$4,Devices!$C$49:$AA$49,0)),0)</f>
        <v>111</v>
      </c>
      <c r="C53">
        <f t="shared" ref="C53:C59" ca="1" si="4">ROUND($B53*(1-$B$38)*$B$40,0)*C$48</f>
        <v>12</v>
      </c>
      <c r="D53">
        <f t="shared" ref="D53:D59" ca="1" si="5">ROUND($B53*$B$38*$B$40,0)</f>
        <v>8</v>
      </c>
      <c r="E53">
        <f ca="1">E23</f>
        <v>2</v>
      </c>
      <c r="F53">
        <f t="shared" ref="F53:F59" ca="1" si="6">SUM(C53:E53)</f>
        <v>22</v>
      </c>
      <c r="H53" s="134">
        <f ca="1">INDIRECT("'DevSumOut-"&amp;$E$4&amp;"BSR'!U51")</f>
        <v>57.950279135419493</v>
      </c>
      <c r="I53" s="5">
        <f t="shared" ref="I53:I61" ca="1" si="7">H53/B53</f>
        <v>0.52207458680558105</v>
      </c>
      <c r="J53" s="38">
        <f t="shared" ref="J53:J60" ca="1" si="8">K53*C53</f>
        <v>6.9692624930789568</v>
      </c>
      <c r="K53" s="5">
        <f t="shared" ca="1" si="0"/>
        <v>0.5807718744232464</v>
      </c>
      <c r="L53" s="38">
        <f t="shared" ref="L53:L60" ca="1" si="9">M53*D53</f>
        <v>4.6461749953859712</v>
      </c>
      <c r="M53" s="5">
        <f t="shared" ca="1" si="1"/>
        <v>0.5807718744232464</v>
      </c>
      <c r="N53" s="38">
        <f t="shared" ref="N53:N59" ca="1" si="10">J53+L53</f>
        <v>11.615437488464927</v>
      </c>
      <c r="O53" s="5">
        <f t="shared" ref="O53:O59" ca="1" si="11">M53</f>
        <v>0.5807718744232464</v>
      </c>
      <c r="P53" s="134">
        <f t="shared" ca="1" si="2"/>
        <v>1.0441491736111621</v>
      </c>
      <c r="Q53" s="5">
        <f t="shared" ca="1" si="3"/>
        <v>0.52207458680558105</v>
      </c>
    </row>
    <row r="54" spans="1:17" x14ac:dyDescent="0.25">
      <c r="A54" t="s">
        <v>365</v>
      </c>
      <c r="B54" s="45">
        <f ca="1">ROUND(OFFSET(Devices!$B$59,0,MATCH($E$4,Devices!$C$49:$AA$49,0)),0)</f>
        <v>1631</v>
      </c>
      <c r="C54">
        <f t="shared" ca="1" si="4"/>
        <v>177</v>
      </c>
      <c r="D54">
        <f t="shared" ca="1" si="5"/>
        <v>116</v>
      </c>
      <c r="E54">
        <f ca="1">E24</f>
        <v>35</v>
      </c>
      <c r="F54">
        <f t="shared" ca="1" si="6"/>
        <v>328</v>
      </c>
      <c r="H54" s="134">
        <f ca="1">INDIRECT("'DevSumOut-"&amp;$E$4&amp;"BSR'!U54")</f>
        <v>1176.0557528649106</v>
      </c>
      <c r="I54" s="5">
        <f t="shared" ca="1" si="7"/>
        <v>0.72106422615874344</v>
      </c>
      <c r="J54" s="38">
        <f t="shared" ca="1" si="8"/>
        <v>141.97773345750477</v>
      </c>
      <c r="K54" s="5">
        <f t="shared" ca="1" si="0"/>
        <v>0.80213408733053537</v>
      </c>
      <c r="L54" s="38">
        <f t="shared" ca="1" si="9"/>
        <v>93.047554130342107</v>
      </c>
      <c r="M54" s="5">
        <f t="shared" ca="1" si="1"/>
        <v>0.80213408733053537</v>
      </c>
      <c r="N54" s="38">
        <f t="shared" ca="1" si="10"/>
        <v>235.02528758784689</v>
      </c>
      <c r="O54" s="5">
        <f t="shared" ca="1" si="11"/>
        <v>0.80213408733053537</v>
      </c>
      <c r="P54" s="134">
        <f t="shared" ca="1" si="2"/>
        <v>25.237247915556019</v>
      </c>
      <c r="Q54" s="5">
        <f t="shared" ca="1" si="3"/>
        <v>0.72106422615874344</v>
      </c>
    </row>
    <row r="55" spans="1:17" x14ac:dyDescent="0.25">
      <c r="A55" t="s">
        <v>366</v>
      </c>
      <c r="B55" s="45">
        <f ca="1">ROUND(OFFSET(Devices!$B$54,0,MATCH($E$4,Devices!$C$49:$AA$49,0)),0)+ROUND(OFFSET(Devices!$B$55,0,MATCH($E$4,Devices!$C$49:$AA$49,0)),0)</f>
        <v>668</v>
      </c>
      <c r="C55">
        <f t="shared" ca="1" si="4"/>
        <v>72</v>
      </c>
      <c r="D55">
        <f t="shared" ca="1" si="5"/>
        <v>48</v>
      </c>
      <c r="E55">
        <f ca="1">F23</f>
        <v>12</v>
      </c>
      <c r="F55">
        <f t="shared" ca="1" si="6"/>
        <v>132</v>
      </c>
      <c r="H55" s="134">
        <f ca="1">INDIRECT("'DevSumOut-"&amp;$E$4&amp;"BSR'!U52")+INDIRECT("'DevSumOut-"&amp;$E$4&amp;"BSR'!U53")</f>
        <v>195.46809253711453</v>
      </c>
      <c r="I55" s="5">
        <f t="shared" ca="1" si="7"/>
        <v>0.29261690499568044</v>
      </c>
      <c r="J55" s="38">
        <f t="shared" ca="1" si="8"/>
        <v>23.437157130806852</v>
      </c>
      <c r="K55" s="5">
        <f t="shared" ca="1" si="0"/>
        <v>0.3255160712612063</v>
      </c>
      <c r="L55" s="38">
        <f t="shared" ca="1" si="9"/>
        <v>15.624771420537902</v>
      </c>
      <c r="M55" s="5">
        <f t="shared" ca="1" si="1"/>
        <v>0.3255160712612063</v>
      </c>
      <c r="N55" s="38">
        <f t="shared" ca="1" si="10"/>
        <v>39.061928551344756</v>
      </c>
      <c r="O55" s="5">
        <f t="shared" ca="1" si="11"/>
        <v>0.3255160712612063</v>
      </c>
      <c r="P55" s="134">
        <f t="shared" ca="1" si="2"/>
        <v>3.5114028599481655</v>
      </c>
      <c r="Q55" s="5">
        <f t="shared" ca="1" si="3"/>
        <v>0.29261690499568044</v>
      </c>
    </row>
    <row r="56" spans="1:17" x14ac:dyDescent="0.25">
      <c r="A56" t="s">
        <v>367</v>
      </c>
      <c r="B56" s="45">
        <f ca="1">ROUND(OFFSET(Devices!$B$60,0,MATCH($E$4,Devices!$C$49:$AA$49,0)),0)+ROUND(OFFSET(Devices!$B$61,0,MATCH($E$4,Devices!$C$49:$AA$49,0)),0)</f>
        <v>9828</v>
      </c>
      <c r="C56">
        <f t="shared" ca="1" si="4"/>
        <v>1065</v>
      </c>
      <c r="D56">
        <f t="shared" ca="1" si="5"/>
        <v>700</v>
      </c>
      <c r="E56">
        <f ca="1">F24</f>
        <v>197</v>
      </c>
      <c r="F56">
        <f t="shared" ca="1" si="6"/>
        <v>1962</v>
      </c>
      <c r="H56" s="134">
        <f ca="1">(INDIRECT("'DevSumOut-"&amp;$E$4&amp;"BSR'!U55")+INDIRECT("'DevSumOut-"&amp;$E$4&amp;"BSR'!U56"))</f>
        <v>3966.8726045755957</v>
      </c>
      <c r="I56" s="5">
        <f t="shared" ca="1" si="7"/>
        <v>0.40362969114525798</v>
      </c>
      <c r="J56" s="38">
        <f t="shared" ca="1" si="8"/>
        <v>478.1957766347528</v>
      </c>
      <c r="K56" s="5">
        <f t="shared" ca="1" si="0"/>
        <v>0.44901011890587117</v>
      </c>
      <c r="L56" s="38">
        <f t="shared" ca="1" si="9"/>
        <v>314.30708323410983</v>
      </c>
      <c r="M56" s="5">
        <f t="shared" ca="1" si="1"/>
        <v>0.44901011890587117</v>
      </c>
      <c r="N56" s="38">
        <f t="shared" ca="1" si="10"/>
        <v>792.50285986886263</v>
      </c>
      <c r="O56" s="5">
        <f t="shared" ca="1" si="11"/>
        <v>0.44901011890587117</v>
      </c>
      <c r="P56" s="134">
        <f t="shared" ca="1" si="2"/>
        <v>79.515049155615827</v>
      </c>
      <c r="Q56" s="5">
        <f t="shared" ca="1" si="3"/>
        <v>0.40362969114525798</v>
      </c>
    </row>
    <row r="57" spans="1:17" x14ac:dyDescent="0.25">
      <c r="A57" t="s">
        <v>463</v>
      </c>
      <c r="B57" s="45">
        <f ca="1">ROUND(OFFSET(Devices!$B$56,0,MATCH($E$4,Devices!$C$49:$AA$49,0)),0)+ROUND(OFFSET(Devices!$B$62,0,MATCH($E$4,Devices!$C$49:$AA$49,0)),0)</f>
        <v>164</v>
      </c>
      <c r="C57">
        <f t="shared" ca="1" si="4"/>
        <v>18</v>
      </c>
      <c r="D57">
        <f t="shared" ca="1" si="5"/>
        <v>12</v>
      </c>
      <c r="E57">
        <f ca="1">D25</f>
        <v>2</v>
      </c>
      <c r="F57">
        <f t="shared" ca="1" si="6"/>
        <v>32</v>
      </c>
      <c r="H57" s="134">
        <f ca="1">INDIRECT("'DevSumOut-"&amp;$E$4&amp;"BSR'!U57")</f>
        <v>156.12192092079189</v>
      </c>
      <c r="I57" s="5">
        <f t="shared" ca="1" si="7"/>
        <v>0.95196293244385299</v>
      </c>
      <c r="J57" s="38">
        <f t="shared" ca="1" si="8"/>
        <v>19.061872750242852</v>
      </c>
      <c r="K57" s="5">
        <f t="shared" ca="1" si="0"/>
        <v>1.0589929305690473</v>
      </c>
      <c r="L57" s="38">
        <f t="shared" ca="1" si="9"/>
        <v>12.707915166828567</v>
      </c>
      <c r="M57" s="5">
        <f t="shared" ca="1" si="1"/>
        <v>1.0589929305690473</v>
      </c>
      <c r="N57" s="38">
        <f t="shared" ca="1" si="10"/>
        <v>31.769787917071419</v>
      </c>
      <c r="O57" s="5">
        <f t="shared" ca="1" si="11"/>
        <v>1.0589929305690473</v>
      </c>
      <c r="P57" s="134">
        <f t="shared" ca="1" si="2"/>
        <v>1.903925864887706</v>
      </c>
      <c r="Q57" s="5">
        <f t="shared" ca="1" si="3"/>
        <v>0.95196293244385299</v>
      </c>
    </row>
    <row r="58" spans="1:17" x14ac:dyDescent="0.25">
      <c r="A58" t="s">
        <v>464</v>
      </c>
      <c r="B58" s="45">
        <f ca="1">ROUND(OFFSET(Devices!$B$57,0,MATCH($E$4,Devices!$C$49:$AA$49,0)),0)+ROUND(OFFSET(Devices!$B$63,0,MATCH($E$4,Devices!$C$49:$AA$49,0)),0)</f>
        <v>989</v>
      </c>
      <c r="C58">
        <f t="shared" ca="1" si="4"/>
        <v>107</v>
      </c>
      <c r="D58">
        <f t="shared" ca="1" si="5"/>
        <v>70</v>
      </c>
      <c r="E58">
        <f ca="1">D26</f>
        <v>29</v>
      </c>
      <c r="F58">
        <f t="shared" ca="1" si="6"/>
        <v>206</v>
      </c>
      <c r="H58" s="134">
        <f ca="1">INDIRECT("'DevSumOut-"&amp;$E$4&amp;"BSR'!U58")</f>
        <v>526.60409131602216</v>
      </c>
      <c r="I58" s="5">
        <f t="shared" ca="1" si="7"/>
        <v>0.53246116412135713</v>
      </c>
      <c r="J58" s="38">
        <f t="shared" ca="1" si="8"/>
        <v>63.378905905578804</v>
      </c>
      <c r="K58" s="5">
        <f t="shared" ca="1" si="0"/>
        <v>0.59232622341662433</v>
      </c>
      <c r="L58" s="38">
        <f t="shared" ca="1" si="9"/>
        <v>41.4628356391637</v>
      </c>
      <c r="M58" s="5">
        <f t="shared" ca="1" si="1"/>
        <v>0.59232622341662433</v>
      </c>
      <c r="N58" s="38">
        <f t="shared" ca="1" si="10"/>
        <v>104.8417415447425</v>
      </c>
      <c r="O58" s="5">
        <f t="shared" ca="1" si="11"/>
        <v>0.59232622341662433</v>
      </c>
      <c r="P58" s="134">
        <f t="shared" ca="1" si="2"/>
        <v>15.441373759519356</v>
      </c>
      <c r="Q58" s="5">
        <f t="shared" ca="1" si="3"/>
        <v>0.53246116412135713</v>
      </c>
    </row>
    <row r="59" spans="1:17" x14ac:dyDescent="0.25">
      <c r="A59" s="3" t="s">
        <v>534</v>
      </c>
      <c r="B59" s="88">
        <f ca="1">ROUND(OFFSET(Devices!$B$70,0,MATCH($E$4,Devices!$C$49:$AA$49,0)),0)+ROUND(OFFSET(Devices!$B$71,0,MATCH($E$4,Devices!$C$49:$AA$49,0)),0)</f>
        <v>486</v>
      </c>
      <c r="C59" s="3">
        <f t="shared" ca="1" si="4"/>
        <v>53</v>
      </c>
      <c r="D59" s="3">
        <f t="shared" ca="1" si="5"/>
        <v>35</v>
      </c>
      <c r="E59" s="3">
        <f>D27</f>
        <v>9</v>
      </c>
      <c r="F59" s="3">
        <f t="shared" ca="1" si="6"/>
        <v>97</v>
      </c>
      <c r="H59" s="136">
        <f ca="1">INDIRECT("'DevSumOut-"&amp;$E$4&amp;"BSR'!U59")*0.8</f>
        <v>656.82071890003238</v>
      </c>
      <c r="I59" s="360">
        <f t="shared" ca="1" si="7"/>
        <v>1.351482960699655</v>
      </c>
      <c r="J59" s="492">
        <f t="shared" ca="1" si="8"/>
        <v>79.681860686569635</v>
      </c>
      <c r="K59" s="360">
        <f t="shared" ca="1" si="0"/>
        <v>1.5034313337088612</v>
      </c>
      <c r="L59" s="492">
        <f t="shared" ca="1" si="9"/>
        <v>52.620096679810139</v>
      </c>
      <c r="M59" s="360">
        <f t="shared" ca="1" si="1"/>
        <v>1.5034313337088612</v>
      </c>
      <c r="N59" s="492">
        <f t="shared" ca="1" si="10"/>
        <v>132.30195736637978</v>
      </c>
      <c r="O59" s="360">
        <f t="shared" ca="1" si="11"/>
        <v>1.5034313337088612</v>
      </c>
      <c r="P59" s="136">
        <f t="shared" ca="1" si="2"/>
        <v>12.163346646296896</v>
      </c>
      <c r="Q59" s="360">
        <f t="shared" ca="1" si="3"/>
        <v>1.351482960699655</v>
      </c>
    </row>
    <row r="60" spans="1:17" x14ac:dyDescent="0.25">
      <c r="A60" t="s">
        <v>535</v>
      </c>
      <c r="B60" s="45">
        <f ca="1">SUM(B52:B59)</f>
        <v>14774</v>
      </c>
      <c r="C60" s="45">
        <f t="shared" ref="C60:F60" ca="1" si="12">SUM(C52:C59)</f>
        <v>1601</v>
      </c>
      <c r="D60" s="45">
        <f t="shared" ca="1" si="12"/>
        <v>1053</v>
      </c>
      <c r="E60" s="45">
        <f t="shared" ca="1" si="12"/>
        <v>303</v>
      </c>
      <c r="F60" s="45">
        <f t="shared" ca="1" si="12"/>
        <v>2957</v>
      </c>
      <c r="H60" s="134">
        <f ca="1">SUM(H52:H59)</f>
        <v>7392.7013375364313</v>
      </c>
      <c r="I60" s="5">
        <f t="shared" ca="1" si="7"/>
        <v>0.5003859034477075</v>
      </c>
      <c r="J60" s="38">
        <f t="shared" ca="1" si="8"/>
        <v>891.18818717911597</v>
      </c>
      <c r="K60" s="5">
        <f t="shared" ca="1" si="0"/>
        <v>0.55664471404067206</v>
      </c>
      <c r="L60" s="38">
        <f t="shared" ca="1" si="9"/>
        <v>586.14688388482773</v>
      </c>
      <c r="M60" s="5">
        <f t="shared" ca="1" si="1"/>
        <v>0.55664471404067206</v>
      </c>
      <c r="N60" s="38">
        <f t="shared" ref="N60" ca="1" si="13">J60+L60</f>
        <v>1477.3350710639438</v>
      </c>
      <c r="O60" s="5">
        <f t="shared" ref="O60:O61" ca="1" si="14">M60</f>
        <v>0.55664471404067206</v>
      </c>
      <c r="P60" s="134">
        <f ca="1">SUM(P52:P59)</f>
        <v>151.26435927049786</v>
      </c>
      <c r="Q60" s="5">
        <f t="shared" ca="1" si="3"/>
        <v>0.5003859034477075</v>
      </c>
    </row>
    <row r="61" spans="1:17" x14ac:dyDescent="0.25">
      <c r="A61" t="s">
        <v>375</v>
      </c>
      <c r="B61" s="45">
        <f ca="1">ROUND(OFFSET(Devices!$B$72,0,MATCH($E$4,Devices!$C$49:$AA$49,0)),0)+ROUND(OFFSET(Devices!$B$73,0,MATCH($E$4,Devices!$C$49:$AA$49,0)),0)+ROUND(OFFSET(Devices!$B$74,0,MATCH($E$4,Devices!$C$49:$AA$49,0)),0)</f>
        <v>37185</v>
      </c>
      <c r="H61" s="134">
        <f ca="1">INDIRECT("'DevSumOut-"&amp;$E$4&amp;"BSR'!U76")</f>
        <v>33142.099180247023</v>
      </c>
      <c r="I61" s="5">
        <f t="shared" ca="1" si="7"/>
        <v>0.89127603012631496</v>
      </c>
      <c r="K61" s="498">
        <f>$H98</f>
        <v>0.1680890961710142</v>
      </c>
      <c r="M61" s="498">
        <f>$H98</f>
        <v>0.1680890961710142</v>
      </c>
      <c r="O61" s="5">
        <f t="shared" si="14"/>
        <v>0.1680890961710142</v>
      </c>
      <c r="Q61" s="5">
        <f t="shared" ca="1" si="3"/>
        <v>0.89127603012631496</v>
      </c>
    </row>
    <row r="63" spans="1:17" ht="15.75" thickBot="1" x14ac:dyDescent="0.3"/>
    <row r="64" spans="1:17" ht="16.5" thickBot="1" x14ac:dyDescent="0.3">
      <c r="A64" s="842" t="s">
        <v>235</v>
      </c>
      <c r="B64" s="843"/>
      <c r="C64" s="844"/>
      <c r="D64" s="807"/>
    </row>
    <row r="66" spans="1:25" x14ac:dyDescent="0.25">
      <c r="B66" s="841" t="str">
        <f>$E$4&amp;" Space Heating Emission Factors (lb/mmBTU)"</f>
        <v>2029 Space Heating Emission Factors (lb/mmBTU)</v>
      </c>
      <c r="C66" s="841"/>
      <c r="D66" s="841"/>
      <c r="E66" s="841"/>
      <c r="F66" s="841"/>
      <c r="G66" s="841"/>
      <c r="H66" s="841"/>
      <c r="I66" s="90"/>
    </row>
    <row r="67" spans="1:25" x14ac:dyDescent="0.25">
      <c r="A67" s="3" t="s">
        <v>372</v>
      </c>
      <c r="B67" s="813" t="s">
        <v>201</v>
      </c>
      <c r="C67" s="813" t="s">
        <v>202</v>
      </c>
      <c r="D67" s="813" t="s">
        <v>132</v>
      </c>
      <c r="E67" s="813" t="s">
        <v>203</v>
      </c>
      <c r="F67" s="813" t="s">
        <v>204</v>
      </c>
      <c r="G67" s="813" t="s">
        <v>205</v>
      </c>
      <c r="H67" s="813" t="s">
        <v>206</v>
      </c>
    </row>
    <row r="68" spans="1:25" x14ac:dyDescent="0.25">
      <c r="A68" t="s">
        <v>342</v>
      </c>
      <c r="B68" s="5">
        <f ca="1">INDIRECT("'DevSumOut-"&amp;$E$4&amp;"BSR'!Y50")</f>
        <v>14.260810498505007</v>
      </c>
      <c r="C68" s="5">
        <f ca="1">INDIRECT("'DevSumOut-"&amp;$E$4&amp;"BSR'!Z50")</f>
        <v>0.16191313229743687</v>
      </c>
      <c r="D68" s="5">
        <f ca="1">INDIRECT("'DevSumOut-"&amp;$E$4&amp;"BSR'!AA50")</f>
        <v>2.4909712661144136E-2</v>
      </c>
      <c r="E68" s="5">
        <f ca="1">INDIRECT("'DevSumOut-"&amp;$E$4&amp;"BSR'!AB50")</f>
        <v>2.1546901451889671</v>
      </c>
      <c r="F68" s="5">
        <f ca="1">INDIRECT("'DevSumOut-"&amp;$E$4&amp;"BSR'!AC50")</f>
        <v>2.1546901451889671</v>
      </c>
      <c r="G68" s="5">
        <f ca="1">INDIRECT("'DevSumOut-"&amp;$E$4&amp;"BSR'!AD50")</f>
        <v>0.11209370697514855</v>
      </c>
      <c r="H68" s="5">
        <f ca="1">INDIRECT("'DevSumOut-"&amp;$E$4&amp;"BSR'!AE50")</f>
        <v>15.730483545512513</v>
      </c>
    </row>
    <row r="69" spans="1:25" x14ac:dyDescent="0.25">
      <c r="A69" t="s">
        <v>364</v>
      </c>
      <c r="B69" s="5">
        <f ca="1">INDIRECT("'DevSumOut-"&amp;$E$4&amp;"BSR'!Y51")</f>
        <v>3.3011250634997595</v>
      </c>
      <c r="C69" s="5">
        <f ca="1">INDIRECT("'DevSumOut-"&amp;$E$4&amp;"BSR'!Z51")</f>
        <v>0.17439905995847779</v>
      </c>
      <c r="D69" s="5">
        <f ca="1">INDIRECT("'DevSumOut-"&amp;$E$4&amp;"BSR'!AA51")</f>
        <v>2.4914151422639693E-2</v>
      </c>
      <c r="E69" s="5">
        <f ca="1">INDIRECT("'DevSumOut-"&amp;$E$4&amp;"BSR'!AB51")</f>
        <v>1.905932583831937</v>
      </c>
      <c r="F69" s="5">
        <f ca="1">INDIRECT("'DevSumOut-"&amp;$E$4&amp;"BSR'!AC51")</f>
        <v>1.905932583831937</v>
      </c>
      <c r="G69" s="5">
        <f ca="1">INDIRECT("'DevSumOut-"&amp;$E$4&amp;"BSR'!AD51")</f>
        <v>0.10588514354621871</v>
      </c>
      <c r="H69" s="5">
        <f ca="1">INDIRECT("'DevSumOut-"&amp;$E$4&amp;"BSR'!AE51")</f>
        <v>14.375465370863106</v>
      </c>
    </row>
    <row r="70" spans="1:25" x14ac:dyDescent="0.25">
      <c r="A70" t="s">
        <v>365</v>
      </c>
      <c r="B70" s="5">
        <f ca="1">INDIRECT("'DevSumOut-"&amp;$E$4&amp;"BSR'!Y54")</f>
        <v>3.3011250634997595</v>
      </c>
      <c r="C70" s="5">
        <f ca="1">INDIRECT("'DevSumOut-"&amp;$E$4&amp;"BSR'!Z54")</f>
        <v>9.0447253632062061E-2</v>
      </c>
      <c r="D70" s="5">
        <f ca="1">INDIRECT("'DevSumOut-"&amp;$E$4&amp;"BSR'!AA54")</f>
        <v>2.4914151422639703E-2</v>
      </c>
      <c r="E70" s="5">
        <f ca="1">INDIRECT("'DevSumOut-"&amp;$E$4&amp;"BSR'!AB54")</f>
        <v>0.75627089671330672</v>
      </c>
      <c r="F70" s="5">
        <f ca="1">INDIRECT("'DevSumOut-"&amp;$E$4&amp;"BSR'!AC54")</f>
        <v>0.75627089671330672</v>
      </c>
      <c r="G70" s="5">
        <f ca="1">INDIRECT("'DevSumOut-"&amp;$E$4&amp;"BSR'!AD54")</f>
        <v>2.4729073237685525E-2</v>
      </c>
      <c r="H70" s="5">
        <f ca="1">INDIRECT("'DevSumOut-"&amp;$E$4&amp;"BSR'!AE54")</f>
        <v>7.5471592881478422</v>
      </c>
    </row>
    <row r="71" spans="1:25" x14ac:dyDescent="0.25">
      <c r="A71" t="s">
        <v>366</v>
      </c>
      <c r="B71" s="5">
        <f ca="1">SUMPRODUCT(INDIRECT("'DevSumOut-"&amp;$E$4&amp;"BSR'!Y52:Y53"),INDIRECT("'DevSumOut-"&amp;$E$4&amp;"BSR'!U52:U53"))/SUM(INDIRECT("'DevSumOut-"&amp;$E$4&amp;"BSR'!U52:U53"))</f>
        <v>0.81764672331517796</v>
      </c>
      <c r="C71" s="5">
        <f ca="1">SUMPRODUCT(INDIRECT("'DevSumOut-"&amp;$E$4&amp;"BSR'!Z52:Z53"),INDIRECT("'DevSumOut-"&amp;$E$4&amp;"BSR'!U52:U53"))/SUM(INDIRECT("'DevSumOut-"&amp;$E$4&amp;"BSR'!U52:U53"))</f>
        <v>0.12457075711319857</v>
      </c>
      <c r="D71" s="5">
        <f ca="1">SUMPRODUCT(INDIRECT("'DevSumOut-"&amp;$E$4&amp;"BSR'!AA52:AA53"),INDIRECT("'DevSumOut-"&amp;$E$4&amp;"BSR'!U52:U53"))/SUM(INDIRECT("'DevSumOut-"&amp;$E$4&amp;"BSR'!U52:U53"))</f>
        <v>2.4914151422639714E-2</v>
      </c>
      <c r="E71" s="5">
        <f ca="1">SUMPRODUCT(INDIRECT("'DevSumOut-"&amp;$E$4&amp;"BSR'!AB52:AB53"),INDIRECT("'DevSumOut-"&amp;$E$4&amp;"BSR'!U52:U53"))/SUM(INDIRECT("'DevSumOut-"&amp;$E$4&amp;"BSR'!U52:U53"))</f>
        <v>0.77083193622452018</v>
      </c>
      <c r="F71" s="5">
        <f ca="1">SUMPRODUCT(INDIRECT("'DevSumOut-"&amp;$E$4&amp;"BSR'!AC52:AC53"),INDIRECT("'DevSumOut-"&amp;$E$4&amp;"BSR'!U52:U53"))/SUM(INDIRECT("'DevSumOut-"&amp;$E$4&amp;"BSR'!U52:U53"))</f>
        <v>0.77083193622452018</v>
      </c>
      <c r="G71" s="5">
        <f ca="1">SUMPRODUCT(INDIRECT("'DevSumOut-"&amp;$E$4&amp;"BSR'!AD52:AD53"),INDIRECT("'DevSumOut-"&amp;$E$4&amp;"BSR'!U52:U53"))/SUM(INDIRECT("'DevSumOut-"&amp;$E$4&amp;"BSR'!U52:U53"))</f>
        <v>5.6056840700939352E-2</v>
      </c>
      <c r="H71" s="5">
        <f ca="1">SUMPRODUCT(INDIRECT("'DevSumOut-"&amp;$E$4&amp;"BSR'!AE52:AE53"),INDIRECT("'DevSumOut-"&amp;$E$4&amp;"BSR'!U52:U53"))/SUM(INDIRECT("'DevSumOut-"&amp;$E$4&amp;"BSR'!U52:U53"))</f>
        <v>7.9786113989370611</v>
      </c>
    </row>
    <row r="72" spans="1:25" x14ac:dyDescent="0.25">
      <c r="A72" t="s">
        <v>373</v>
      </c>
      <c r="B72" s="5">
        <f ca="1">SUMPRODUCT(INDIRECT("'DevSumOut-"&amp;$E$4&amp;"BSR'!Y55:Y56"),INDIRECT("'DevSumOut-"&amp;$E$4&amp;"BSR'!U55:U56"))/SUM(INDIRECT("'DevSumOut-"&amp;$E$4&amp;"BSR'!U55:U56"))</f>
        <v>0.81764672331517774</v>
      </c>
      <c r="C72" s="5">
        <f ca="1">SUMPRODUCT(INDIRECT("'DevSumOut-"&amp;$E$4&amp;"BSR'!Z55:Z56"),INDIRECT("'DevSumOut-"&amp;$E$4&amp;"BSR'!U55:U56"))/SUM(INDIRECT("'DevSumOut-"&amp;$E$4&amp;"BSR'!U55:U56"))</f>
        <v>0.10020718577991738</v>
      </c>
      <c r="D72" s="5">
        <f ca="1">SUMPRODUCT(INDIRECT("'DevSumOut-"&amp;$E$4&amp;"BSR'!AA55:AA56"),INDIRECT("'DevSumOut-"&amp;$E$4&amp;"BSR'!U55:U56"))/SUM(INDIRECT("'DevSumOut-"&amp;$E$4&amp;"BSR'!U55:U56"))</f>
        <v>2.4914151422639703E-2</v>
      </c>
      <c r="E72" s="5">
        <f ca="1">SUMPRODUCT(INDIRECT("'DevSumOut-"&amp;$E$4&amp;"BSR'!AB55:AB56"),INDIRECT("'DevSumOut-"&amp;$E$4&amp;"BSR'!U55:U56"))/SUM(INDIRECT("'DevSumOut-"&amp;$E$4&amp;"BSR'!U55:U56"))</f>
        <v>0.51394890926925196</v>
      </c>
      <c r="F72" s="5">
        <f ca="1">SUMPRODUCT(INDIRECT("'DevSumOut-"&amp;$E$4&amp;"BSR'!AC55:AC56"),INDIRECT("'DevSumOut-"&amp;$E$4&amp;"BSR'!U55:U56"))/SUM(INDIRECT("'DevSumOut-"&amp;$E$4&amp;"BSR'!U55:U56"))</f>
        <v>0.51394890926925196</v>
      </c>
      <c r="G72" s="5">
        <f ca="1">SUMPRODUCT(INDIRECT("'DevSumOut-"&amp;$E$4&amp;"BSR'!AD55:AD56"),INDIRECT("'DevSumOut-"&amp;$E$4&amp;"BSR'!U55:U56"))/SUM(INDIRECT("'DevSumOut-"&amp;$E$4&amp;"BSR'!U55:U56"))</f>
        <v>1.55552585915618E-2</v>
      </c>
      <c r="H72" s="5">
        <f ca="1">SUMPRODUCT(INDIRECT("'DevSumOut-"&amp;$E$4&amp;"BSR'!AE55:AE56"),INDIRECT("'DevSumOut-"&amp;$E$4&amp;"BSR'!U55:U56"))/SUM(INDIRECT("'DevSumOut-"&amp;$E$4&amp;"BSR'!U55:U56"))</f>
        <v>7.701023281928328</v>
      </c>
    </row>
    <row r="73" spans="1:25" x14ac:dyDescent="0.25">
      <c r="A73" t="s">
        <v>536</v>
      </c>
      <c r="B73" s="5">
        <f ca="1">INDIRECT("'DevSumOut-"&amp;$E$4&amp;"BSR'!Y57")</f>
        <v>0.14948490853583815</v>
      </c>
      <c r="C73" s="5">
        <f ca="1">INDIRECT("'DevSumOut-"&amp;$E$4&amp;"BSR'!Z57")</f>
        <v>0.26104721656655117</v>
      </c>
      <c r="D73" s="5">
        <f ca="1">INDIRECT("'DevSumOut-"&amp;$E$4&amp;"BSR'!AA57")</f>
        <v>2.0862914410913185E-2</v>
      </c>
      <c r="E73" s="5">
        <f ca="1">INDIRECT("'DevSumOut-"&amp;$E$4&amp;"BSR'!AB57")</f>
        <v>0.19298195830094694</v>
      </c>
      <c r="F73" s="5">
        <f ca="1">INDIRECT("'DevSumOut-"&amp;$E$4&amp;"BSR'!AC57")</f>
        <v>0.19298195830094694</v>
      </c>
      <c r="G73" s="5">
        <f ca="1">INDIRECT("'DevSumOut-"&amp;$E$4&amp;"BSR'!AD57")</f>
        <v>4.6863321495513718E-3</v>
      </c>
      <c r="H73" s="5">
        <f ca="1">INDIRECT("'DevSumOut-"&amp;$E$4&amp;"BSR'!AE57")</f>
        <v>0.64753270602871804</v>
      </c>
    </row>
    <row r="74" spans="1:25" x14ac:dyDescent="0.25">
      <c r="A74" t="s">
        <v>537</v>
      </c>
      <c r="B74" s="5">
        <f ca="1">INDIRECT("'DevSumOut-"&amp;$E$4&amp;"BSR'!Y58")</f>
        <v>0.14948490853583829</v>
      </c>
      <c r="C74" s="5">
        <f ca="1">INDIRECT("'DevSumOut-"&amp;$E$4&amp;"BSR'!Z58")</f>
        <v>0.26104721656655133</v>
      </c>
      <c r="D74" s="5">
        <f ca="1">INDIRECT("'DevSumOut-"&amp;$E$4&amp;"BSR'!AA58")</f>
        <v>2.0862914410913196E-2</v>
      </c>
      <c r="E74" s="5">
        <f ca="1">INDIRECT("'DevSumOut-"&amp;$E$4&amp;"BSR'!AB58")</f>
        <v>0.19298195830094703</v>
      </c>
      <c r="F74" s="5">
        <f ca="1">INDIRECT("'DevSumOut-"&amp;$E$4&amp;"BSR'!AC58")</f>
        <v>0.19298195830094703</v>
      </c>
      <c r="G74" s="5">
        <f ca="1">INDIRECT("'DevSumOut-"&amp;$E$4&amp;"BSR'!AD58")</f>
        <v>4.6863321495513779E-3</v>
      </c>
      <c r="H74" s="5">
        <f ca="1">INDIRECT("'DevSumOut-"&amp;$E$4&amp;"BSR'!AE58")</f>
        <v>0.64753270602871826</v>
      </c>
    </row>
    <row r="75" spans="1:25" x14ac:dyDescent="0.25">
      <c r="A75" t="s">
        <v>534</v>
      </c>
      <c r="B75" s="5">
        <f ca="1">INDIRECT("'DevSumOut-"&amp;$E$4&amp;"BSR'!Y59")</f>
        <v>2.8287272017017933</v>
      </c>
      <c r="C75" s="5">
        <f ca="1">INDIRECT("'DevSumOut-"&amp;$E$4&amp;"BSR'!Z59")</f>
        <v>0.10048421030539215</v>
      </c>
      <c r="D75" s="5">
        <f ca="1">INDIRECT("'DevSumOut-"&amp;$E$4&amp;"BSR'!AA59")</f>
        <v>2.4922706622923303E-2</v>
      </c>
      <c r="E75" s="5">
        <f ca="1">INDIRECT("'DevSumOut-"&amp;$E$4&amp;"BSR'!AB59")</f>
        <v>0.6149772614904454</v>
      </c>
      <c r="F75" s="5">
        <f ca="1">INDIRECT("'DevSumOut-"&amp;$E$4&amp;"BSR'!AC59")</f>
        <v>0.6149772614904454</v>
      </c>
      <c r="G75" s="5">
        <f ca="1">INDIRECT("'DevSumOut-"&amp;$E$4&amp;"BSR'!AD59")</f>
        <v>1.5187808291355926E-2</v>
      </c>
      <c r="H75" s="5">
        <f ca="1">INDIRECT("'DevSumOut-"&amp;$E$4&amp;"BSR'!AE59")</f>
        <v>3.7739623770262116</v>
      </c>
    </row>
    <row r="76" spans="1:25" x14ac:dyDescent="0.25">
      <c r="A76" t="s">
        <v>375</v>
      </c>
      <c r="B76" s="5">
        <f ca="1">INDIRECT("'DevSumOut-"&amp;$E$4&amp;"BSR'!Y76")</f>
        <v>5.3200059065116427E-3</v>
      </c>
      <c r="C76" s="5">
        <f ca="1">INDIRECT("'DevSumOut-"&amp;$E$4&amp;"BSR'!Z76")</f>
        <v>8.3692795073115903E-2</v>
      </c>
      <c r="D76" s="5">
        <f ca="1">INDIRECT("'DevSumOut-"&amp;$E$4&amp;"BSR'!AA76")</f>
        <v>0.21565482482121573</v>
      </c>
      <c r="E76" s="5">
        <f ca="1">INDIRECT("'DevSumOut-"&amp;$E$4&amp;"BSR'!AB76")</f>
        <v>3.4040698326925113E-3</v>
      </c>
      <c r="F76" s="5">
        <f ca="1">INDIRECT("'DevSumOut-"&amp;$E$4&amp;"BSR'!AC76")</f>
        <v>3.4040698326925113E-3</v>
      </c>
      <c r="G76" s="5">
        <f ca="1">INDIRECT("'DevSumOut-"&amp;$E$4&amp;"BSR'!AD76")</f>
        <v>1.8277864750019588E-4</v>
      </c>
      <c r="H76" s="5">
        <f ca="1">INDIRECT("'DevSumOut-"&amp;$E$4&amp;"BSR'!AE76")</f>
        <v>3.3415729746463273E-3</v>
      </c>
    </row>
    <row r="78" spans="1:25" x14ac:dyDescent="0.25">
      <c r="B78" s="854" t="s">
        <v>538</v>
      </c>
      <c r="C78" s="854"/>
      <c r="D78" s="854"/>
      <c r="E78" s="854"/>
      <c r="F78" s="854"/>
      <c r="G78" s="854"/>
      <c r="H78" s="854"/>
      <c r="I78" s="854"/>
      <c r="J78" s="854" t="s">
        <v>539</v>
      </c>
      <c r="K78" s="854"/>
      <c r="L78" s="854"/>
      <c r="M78" s="854"/>
      <c r="N78" s="854"/>
      <c r="O78" s="854"/>
      <c r="P78" s="854"/>
      <c r="Q78" s="854"/>
      <c r="R78" s="854" t="s">
        <v>540</v>
      </c>
      <c r="S78" s="854"/>
      <c r="T78" s="854"/>
      <c r="U78" s="854"/>
      <c r="V78" s="854"/>
      <c r="W78" s="854"/>
      <c r="X78" s="854"/>
      <c r="Y78" s="854"/>
    </row>
    <row r="79" spans="1:25" x14ac:dyDescent="0.25">
      <c r="B79" s="845" t="str">
        <f>$E$4&amp;" Baseline Emissions (tons/winter day)"</f>
        <v>2029 Baseline Emissions (tons/winter day)</v>
      </c>
      <c r="C79" s="845"/>
      <c r="D79" s="845"/>
      <c r="E79" s="845"/>
      <c r="F79" s="845"/>
      <c r="G79" s="845"/>
      <c r="H79" s="845"/>
      <c r="I79" s="812" t="s">
        <v>376</v>
      </c>
      <c r="J79" s="845" t="str">
        <f>$E$4&amp;" Baseline Emissions (tons/winter day)"</f>
        <v>2029 Baseline Emissions (tons/winter day)</v>
      </c>
      <c r="K79" s="845"/>
      <c r="L79" s="845"/>
      <c r="M79" s="845"/>
      <c r="N79" s="845"/>
      <c r="O79" s="845"/>
      <c r="P79" s="845"/>
      <c r="Q79" s="812" t="s">
        <v>376</v>
      </c>
      <c r="R79" s="845" t="str">
        <f>$E$4&amp;" Baseline Emissions (tons/winter day)"</f>
        <v>2029 Baseline Emissions (tons/winter day)</v>
      </c>
      <c r="S79" s="845"/>
      <c r="T79" s="845"/>
      <c r="U79" s="845"/>
      <c r="V79" s="845"/>
      <c r="W79" s="845"/>
      <c r="X79" s="845"/>
      <c r="Y79" s="812" t="s">
        <v>376</v>
      </c>
    </row>
    <row r="80" spans="1:25" x14ac:dyDescent="0.25">
      <c r="A80" s="3" t="s">
        <v>372</v>
      </c>
      <c r="B80" s="813" t="s">
        <v>201</v>
      </c>
      <c r="C80" s="813" t="s">
        <v>202</v>
      </c>
      <c r="D80" s="813" t="s">
        <v>132</v>
      </c>
      <c r="E80" s="813" t="s">
        <v>203</v>
      </c>
      <c r="F80" s="813" t="s">
        <v>204</v>
      </c>
      <c r="G80" s="813" t="s">
        <v>205</v>
      </c>
      <c r="H80" s="813" t="s">
        <v>206</v>
      </c>
      <c r="I80" s="813" t="s">
        <v>377</v>
      </c>
      <c r="J80" s="813" t="s">
        <v>201</v>
      </c>
      <c r="K80" s="813" t="s">
        <v>202</v>
      </c>
      <c r="L80" s="813" t="s">
        <v>132</v>
      </c>
      <c r="M80" s="813" t="s">
        <v>203</v>
      </c>
      <c r="N80" s="813" t="s">
        <v>204</v>
      </c>
      <c r="O80" s="813" t="s">
        <v>205</v>
      </c>
      <c r="P80" s="813" t="s">
        <v>206</v>
      </c>
      <c r="Q80" s="813" t="s">
        <v>377</v>
      </c>
      <c r="R80" s="813" t="s">
        <v>201</v>
      </c>
      <c r="S80" s="813" t="s">
        <v>202</v>
      </c>
      <c r="T80" s="813" t="s">
        <v>132</v>
      </c>
      <c r="U80" s="813" t="s">
        <v>203</v>
      </c>
      <c r="V80" s="813" t="s">
        <v>204</v>
      </c>
      <c r="W80" s="813" t="s">
        <v>205</v>
      </c>
      <c r="X80" s="813" t="s">
        <v>206</v>
      </c>
      <c r="Y80" s="813" t="s">
        <v>377</v>
      </c>
    </row>
    <row r="81" spans="1:25" x14ac:dyDescent="0.25">
      <c r="A81" t="s">
        <v>342</v>
      </c>
      <c r="B81" s="456">
        <f t="shared" ref="B81:B89" ca="1" si="15">J81+R81</f>
        <v>1.0238603913663749</v>
      </c>
      <c r="C81" s="456">
        <f t="shared" ref="C81:C89" ca="1" si="16">K81+S81</f>
        <v>1.162461579717282E-2</v>
      </c>
      <c r="D81" s="456">
        <f t="shared" ref="D81:D89" ca="1" si="17">L81+T81</f>
        <v>1.7884024303342803E-3</v>
      </c>
      <c r="E81" s="456">
        <f t="shared" ref="E81:E89" ca="1" si="18">M81+U81</f>
        <v>0.15469681022391521</v>
      </c>
      <c r="F81" s="456">
        <f t="shared" ref="F81:F89" ca="1" si="19">N81+V81</f>
        <v>0.15469681022391521</v>
      </c>
      <c r="G81" s="456">
        <f t="shared" ref="G81:G89" ca="1" si="20">O81+W81</f>
        <v>8.0478109365042568E-3</v>
      </c>
      <c r="H81" s="456">
        <f t="shared" ref="H81:H89" ca="1" si="21">P81+X81</f>
        <v>1.1293761347560973</v>
      </c>
      <c r="I81" s="687">
        <f t="shared" ref="I81:I89" ca="1" si="22">Q81+Y81</f>
        <v>143.59077157272489</v>
      </c>
      <c r="J81" s="5">
        <f ca="1">$Q81*B68/2000</f>
        <v>0.93510207730703887</v>
      </c>
      <c r="K81" s="5">
        <f t="shared" ref="K81:P81" ca="1" si="23">$Q81*C68/2000</f>
        <v>1.0616879480341932E-2</v>
      </c>
      <c r="L81" s="5">
        <f t="shared" ca="1" si="23"/>
        <v>1.6333660738987589E-3</v>
      </c>
      <c r="M81" s="5">
        <f t="shared" ca="1" si="23"/>
        <v>0.14128616539224262</v>
      </c>
      <c r="N81" s="5">
        <f t="shared" ca="1" si="23"/>
        <v>0.14128616539224262</v>
      </c>
      <c r="O81" s="5">
        <f t="shared" ca="1" si="23"/>
        <v>7.3501473325444117E-3</v>
      </c>
      <c r="P81" s="5">
        <f t="shared" ca="1" si="23"/>
        <v>1.0314706756670657</v>
      </c>
      <c r="Q81" s="134">
        <f ca="1">$N52</f>
        <v>131.14290767766218</v>
      </c>
      <c r="R81" s="5">
        <f ca="1">$Y81*B68/2000</f>
        <v>8.8758314059335888E-2</v>
      </c>
      <c r="S81" s="5">
        <f t="shared" ref="S81:X81" ca="1" si="24">$Y81*C68/2000</f>
        <v>1.0077363168308883E-3</v>
      </c>
      <c r="T81" s="5">
        <f t="shared" ca="1" si="24"/>
        <v>1.5503635643552134E-4</v>
      </c>
      <c r="U81" s="5">
        <f t="shared" ca="1" si="24"/>
        <v>1.341064483167259E-2</v>
      </c>
      <c r="V81" s="5">
        <f t="shared" ca="1" si="24"/>
        <v>1.341064483167259E-2</v>
      </c>
      <c r="W81" s="5">
        <f t="shared" ca="1" si="24"/>
        <v>6.9766360395984552E-4</v>
      </c>
      <c r="X81" s="5">
        <f t="shared" ca="1" si="24"/>
        <v>9.7905459089031657E-2</v>
      </c>
      <c r="Y81" s="134">
        <f ca="1">$P52</f>
        <v>12.447863895062714</v>
      </c>
    </row>
    <row r="82" spans="1:25" x14ac:dyDescent="0.25">
      <c r="A82" t="s">
        <v>364</v>
      </c>
      <c r="B82" s="5">
        <f t="shared" ca="1" si="15"/>
        <v>2.089543941186332E-2</v>
      </c>
      <c r="C82" s="5">
        <f t="shared" ca="1" si="16"/>
        <v>1.1039100066644767E-3</v>
      </c>
      <c r="D82" s="5">
        <f t="shared" ca="1" si="17"/>
        <v>1.5770142952349674E-4</v>
      </c>
      <c r="E82" s="5">
        <f t="shared" ca="1" si="18"/>
        <v>1.2064159358547504E-2</v>
      </c>
      <c r="F82" s="5">
        <f t="shared" ca="1" si="19"/>
        <v>1.2064159358547504E-2</v>
      </c>
      <c r="G82" s="5">
        <f t="shared" ca="1" si="20"/>
        <v>6.7023107547486136E-4</v>
      </c>
      <c r="H82" s="5">
        <f t="shared" ca="1" si="21"/>
        <v>9.0993724835057646E-2</v>
      </c>
      <c r="I82" s="134">
        <f t="shared" ca="1" si="22"/>
        <v>12.659586662076089</v>
      </c>
      <c r="J82" s="5">
        <f t="shared" ref="J82:J88" ca="1" si="25">$Q82*B69/2000</f>
        <v>1.9172005908343136E-2</v>
      </c>
      <c r="K82" s="5">
        <f t="shared" ref="K82:K88" ca="1" si="26">$Q82*C69/2000</f>
        <v>1.0128606894973728E-3</v>
      </c>
      <c r="L82" s="5">
        <f t="shared" ref="L82:L88" ca="1" si="27">$Q82*D69/2000</f>
        <v>1.4469438421391045E-4</v>
      </c>
      <c r="M82" s="5">
        <f t="shared" ref="M82:M88" ca="1" si="28">$Q82*E69/2000</f>
        <v>1.1069120392364152E-2</v>
      </c>
      <c r="N82" s="5">
        <f t="shared" ref="N82:N88" ca="1" si="29">$Q82*F69/2000</f>
        <v>1.1069120392364152E-2</v>
      </c>
      <c r="O82" s="5">
        <f t="shared" ref="O82:O88" ca="1" si="30">$Q82*G69/2000</f>
        <v>6.1495113290911956E-4</v>
      </c>
      <c r="P82" s="5">
        <f t="shared" ref="P82:P88" ca="1" si="31">$Q82*H69/2000</f>
        <v>8.3488659691426353E-2</v>
      </c>
      <c r="Q82" s="134">
        <f t="shared" ref="Q82:Q88" ca="1" si="32">$N53</f>
        <v>11.615437488464927</v>
      </c>
      <c r="R82" s="5">
        <f t="shared" ref="R82:R89" ca="1" si="33">$Y82*B69/2000</f>
        <v>1.7234335035201844E-3</v>
      </c>
      <c r="S82" s="5">
        <f t="shared" ref="S82:S89" ca="1" si="34">$Y82*C69/2000</f>
        <v>9.1049317167104038E-5</v>
      </c>
      <c r="T82" s="5">
        <f t="shared" ref="T82:T89" ca="1" si="35">$Y82*D69/2000</f>
        <v>1.3007045309586298E-5</v>
      </c>
      <c r="U82" s="5">
        <f t="shared" ref="U82:U89" ca="1" si="36">$Y82*E69/2000</f>
        <v>9.9503896618335203E-4</v>
      </c>
      <c r="V82" s="5">
        <f t="shared" ref="V82:V89" ca="1" si="37">$Y82*F69/2000</f>
        <v>9.9503896618335203E-4</v>
      </c>
      <c r="W82" s="5">
        <f t="shared" ref="W82:W89" ca="1" si="38">$Y82*G69/2000</f>
        <v>5.527994256574177E-5</v>
      </c>
      <c r="X82" s="5">
        <f t="shared" ref="X82:X89" ca="1" si="39">$Y82*H69/2000</f>
        <v>7.5050651436312944E-3</v>
      </c>
      <c r="Y82" s="134">
        <f t="shared" ref="Y82:Y88" ca="1" si="40">$P53</f>
        <v>1.0441491736111621</v>
      </c>
    </row>
    <row r="83" spans="1:25" x14ac:dyDescent="0.25">
      <c r="A83" t="s">
        <v>365</v>
      </c>
      <c r="B83" s="5">
        <f t="shared" ca="1" si="15"/>
        <v>0.42957958952013969</v>
      </c>
      <c r="C83" s="5">
        <f t="shared" ca="1" si="16"/>
        <v>1.1770015779799919E-2</v>
      </c>
      <c r="D83" s="5">
        <f t="shared" ca="1" si="17"/>
        <v>3.2421101095859608E-3</v>
      </c>
      <c r="E83" s="5">
        <f t="shared" ca="1" si="18"/>
        <v>9.841449055301868E-2</v>
      </c>
      <c r="F83" s="5">
        <f t="shared" ca="1" si="19"/>
        <v>9.841449055301868E-2</v>
      </c>
      <c r="G83" s="5">
        <f t="shared" ca="1" si="20"/>
        <v>3.2180256507446901E-3</v>
      </c>
      <c r="H83" s="5">
        <f t="shared" ca="1" si="21"/>
        <v>0.98212140609070742</v>
      </c>
      <c r="I83" s="134">
        <f t="shared" ca="1" si="22"/>
        <v>260.26253550340289</v>
      </c>
      <c r="J83" s="5">
        <f t="shared" ca="1" si="25"/>
        <v>0.38792393370624018</v>
      </c>
      <c r="K83" s="5">
        <f t="shared" ca="1" si="26"/>
        <v>1.0628695898203156E-2</v>
      </c>
      <c r="L83" s="5">
        <f t="shared" ca="1" si="27"/>
        <v>2.9277278015565305E-3</v>
      </c>
      <c r="M83" s="5">
        <f t="shared" ca="1" si="28"/>
        <v>8.8871392497181886E-2</v>
      </c>
      <c r="N83" s="5">
        <f t="shared" ca="1" si="29"/>
        <v>8.8871392497181886E-2</v>
      </c>
      <c r="O83" s="5">
        <f t="shared" ca="1" si="30"/>
        <v>2.9059787747339845E-3</v>
      </c>
      <c r="P83" s="5">
        <f t="shared" ca="1" si="31"/>
        <v>0.88688664108411819</v>
      </c>
      <c r="Q83" s="134">
        <f t="shared" ca="1" si="32"/>
        <v>235.02528758784689</v>
      </c>
      <c r="R83" s="5">
        <f t="shared" ca="1" si="33"/>
        <v>4.1655655813899517E-2</v>
      </c>
      <c r="S83" s="5">
        <f t="shared" ca="1" si="34"/>
        <v>1.1413198815967624E-3</v>
      </c>
      <c r="T83" s="5">
        <f t="shared" ca="1" si="35"/>
        <v>3.1438230802943045E-4</v>
      </c>
      <c r="U83" s="5">
        <f t="shared" ca="1" si="36"/>
        <v>9.5430980558367899E-3</v>
      </c>
      <c r="V83" s="5">
        <f t="shared" ca="1" si="37"/>
        <v>9.5430980558367899E-3</v>
      </c>
      <c r="W83" s="5">
        <f t="shared" ca="1" si="38"/>
        <v>3.1204687601070556E-4</v>
      </c>
      <c r="X83" s="5">
        <f t="shared" ca="1" si="39"/>
        <v>9.5234765006589187E-2</v>
      </c>
      <c r="Y83" s="134">
        <f t="shared" ca="1" si="40"/>
        <v>25.237247915556019</v>
      </c>
    </row>
    <row r="84" spans="1:25" x14ac:dyDescent="0.25">
      <c r="A84" t="s">
        <v>366</v>
      </c>
      <c r="B84" s="5">
        <f t="shared" ca="1" si="15"/>
        <v>1.74049724645274E-2</v>
      </c>
      <c r="C84" s="5">
        <f t="shared" ca="1" si="16"/>
        <v>2.6516960633679388E-3</v>
      </c>
      <c r="D84" s="5">
        <f t="shared" ca="1" si="17"/>
        <v>5.3033921267358784E-4</v>
      </c>
      <c r="E84" s="5">
        <f t="shared" ca="1" si="18"/>
        <v>1.6408441741647555E-2</v>
      </c>
      <c r="F84" s="5">
        <f t="shared" ca="1" si="19"/>
        <v>1.6408441741647555E-2</v>
      </c>
      <c r="G84" s="5">
        <f t="shared" ca="1" si="20"/>
        <v>1.1932632285155725E-3</v>
      </c>
      <c r="H84" s="5">
        <f t="shared" ca="1" si="21"/>
        <v>0.16983803364443348</v>
      </c>
      <c r="I84" s="134">
        <f t="shared" ca="1" si="22"/>
        <v>42.573331411292919</v>
      </c>
      <c r="J84" s="5">
        <f t="shared" ca="1" si="25"/>
        <v>1.5969428943189319E-2</v>
      </c>
      <c r="K84" s="5">
        <f t="shared" ca="1" si="26"/>
        <v>2.4329870069713421E-3</v>
      </c>
      <c r="L84" s="5">
        <f t="shared" ca="1" si="27"/>
        <v>4.8659740139426843E-4</v>
      </c>
      <c r="M84" s="5">
        <f t="shared" ca="1" si="28"/>
        <v>1.5055091008948474E-2</v>
      </c>
      <c r="N84" s="5">
        <f t="shared" ca="1" si="29"/>
        <v>1.5055091008948474E-2</v>
      </c>
      <c r="O84" s="5">
        <f t="shared" ca="1" si="30"/>
        <v>1.0948441531371039E-3</v>
      </c>
      <c r="P84" s="5">
        <f t="shared" ca="1" si="31"/>
        <v>0.15582997420211217</v>
      </c>
      <c r="Q84" s="134">
        <f t="shared" ca="1" si="32"/>
        <v>39.061928551344756</v>
      </c>
      <c r="R84" s="5">
        <f t="shared" ca="1" si="33"/>
        <v>1.4355435213380811E-3</v>
      </c>
      <c r="S84" s="5">
        <f t="shared" ca="1" si="34"/>
        <v>2.1870905639659685E-4</v>
      </c>
      <c r="T84" s="5">
        <f t="shared" ca="1" si="35"/>
        <v>4.3741811279319372E-5</v>
      </c>
      <c r="U84" s="5">
        <f t="shared" ca="1" si="36"/>
        <v>1.353350732699081E-3</v>
      </c>
      <c r="V84" s="5">
        <f t="shared" ca="1" si="37"/>
        <v>1.353350732699081E-3</v>
      </c>
      <c r="W84" s="5">
        <f t="shared" ca="1" si="38"/>
        <v>9.8419075378468584E-5</v>
      </c>
      <c r="X84" s="5">
        <f t="shared" ca="1" si="39"/>
        <v>1.4008059442321315E-2</v>
      </c>
      <c r="Y84" s="134">
        <f t="shared" ca="1" si="40"/>
        <v>3.5114028599481655</v>
      </c>
    </row>
    <row r="85" spans="1:25" x14ac:dyDescent="0.25">
      <c r="A85" t="s">
        <v>373</v>
      </c>
      <c r="B85" s="5">
        <f t="shared" ca="1" si="15"/>
        <v>0.35650129299300881</v>
      </c>
      <c r="C85" s="5">
        <f t="shared" ca="1" si="16"/>
        <v>4.3691230306515505E-2</v>
      </c>
      <c r="D85" s="5">
        <f t="shared" ca="1" si="17"/>
        <v>1.0862793114344755E-2</v>
      </c>
      <c r="E85" s="5">
        <f t="shared" ca="1" si="18"/>
        <v>0.22408632660319222</v>
      </c>
      <c r="F85" s="5">
        <f t="shared" ca="1" si="19"/>
        <v>0.22408632660319222</v>
      </c>
      <c r="G85" s="5">
        <f t="shared" ca="1" si="20"/>
        <v>6.7822320356743871E-3</v>
      </c>
      <c r="H85" s="5">
        <f t="shared" ca="1" si="21"/>
        <v>3.3577151098279834</v>
      </c>
      <c r="I85" s="134">
        <f t="shared" ca="1" si="22"/>
        <v>872.01790902447851</v>
      </c>
      <c r="J85" s="5">
        <f t="shared" ca="1" si="25"/>
        <v>0.32399368329484152</v>
      </c>
      <c r="K85" s="5">
        <f t="shared" ca="1" si="26"/>
        <v>3.9707240654997478E-2</v>
      </c>
      <c r="L85" s="5">
        <f t="shared" ca="1" si="27"/>
        <v>9.8722681268239298E-3</v>
      </c>
      <c r="M85" s="5">
        <f t="shared" ca="1" si="28"/>
        <v>0.20365299021118238</v>
      </c>
      <c r="N85" s="5">
        <f t="shared" ca="1" si="29"/>
        <v>0.20365299021118238</v>
      </c>
      <c r="O85" s="5">
        <f t="shared" ca="1" si="30"/>
        <v>6.1637934599062111E-3</v>
      </c>
      <c r="P85" s="5">
        <f t="shared" ca="1" si="31"/>
        <v>3.0515414874224471</v>
      </c>
      <c r="Q85" s="134">
        <f t="shared" ca="1" si="32"/>
        <v>792.50285986886263</v>
      </c>
      <c r="R85" s="5">
        <f t="shared" ca="1" si="33"/>
        <v>3.2507609698167288E-2</v>
      </c>
      <c r="S85" s="5">
        <f t="shared" ca="1" si="34"/>
        <v>3.983989651518029E-3</v>
      </c>
      <c r="T85" s="5">
        <f t="shared" ca="1" si="35"/>
        <v>9.9052498752082597E-4</v>
      </c>
      <c r="U85" s="5">
        <f t="shared" ca="1" si="36"/>
        <v>2.0433336392009852E-2</v>
      </c>
      <c r="V85" s="5">
        <f t="shared" ca="1" si="37"/>
        <v>2.0433336392009852E-2</v>
      </c>
      <c r="W85" s="5">
        <f t="shared" ca="1" si="38"/>
        <v>6.1843857576817599E-4</v>
      </c>
      <c r="X85" s="5">
        <f t="shared" ca="1" si="39"/>
        <v>0.30617362240553642</v>
      </c>
      <c r="Y85" s="134">
        <f t="shared" ca="1" si="40"/>
        <v>79.515049155615827</v>
      </c>
    </row>
    <row r="86" spans="1:25" x14ac:dyDescent="0.25">
      <c r="A86" t="s">
        <v>536</v>
      </c>
      <c r="B86" s="5">
        <f t="shared" ca="1" si="15"/>
        <v>2.5168560123790761E-3</v>
      </c>
      <c r="C86" s="5">
        <f t="shared" ca="1" si="16"/>
        <v>4.3952146271195704E-3</v>
      </c>
      <c r="D86" s="5">
        <f t="shared" ca="1" si="17"/>
        <v>3.5126590426530046E-4</v>
      </c>
      <c r="E86" s="5">
        <f t="shared" ca="1" si="18"/>
        <v>3.2492096144540292E-3</v>
      </c>
      <c r="F86" s="5">
        <f t="shared" ca="1" si="19"/>
        <v>3.2492096144540292E-3</v>
      </c>
      <c r="G86" s="5">
        <f t="shared" ca="1" si="20"/>
        <v>7.890310374559309E-5</v>
      </c>
      <c r="H86" s="5">
        <f t="shared" ca="1" si="21"/>
        <v>1.0902415503634263E-2</v>
      </c>
      <c r="I86" s="134">
        <f t="shared" ca="1" si="22"/>
        <v>33.673713781959123</v>
      </c>
      <c r="J86" s="5">
        <f t="shared" ca="1" si="25"/>
        <v>2.3745519204931985E-3</v>
      </c>
      <c r="K86" s="5">
        <f t="shared" ca="1" si="26"/>
        <v>4.1467073533305709E-3</v>
      </c>
      <c r="L86" s="5">
        <f t="shared" ca="1" si="27"/>
        <v>3.3140518308336244E-4</v>
      </c>
      <c r="M86" s="5">
        <f t="shared" ca="1" si="28"/>
        <v>3.0654979435211023E-3</v>
      </c>
      <c r="N86" s="5">
        <f t="shared" ca="1" si="29"/>
        <v>3.0654979435211023E-3</v>
      </c>
      <c r="O86" s="5">
        <f t="shared" ca="1" si="30"/>
        <v>7.444188925010026E-5</v>
      </c>
      <c r="P86" s="5">
        <f t="shared" ca="1" si="31"/>
        <v>1.0285988369949862E-2</v>
      </c>
      <c r="Q86" s="134">
        <f t="shared" ca="1" si="32"/>
        <v>31.769787917071419</v>
      </c>
      <c r="R86" s="5">
        <f t="shared" ca="1" si="33"/>
        <v>1.4230409188587765E-4</v>
      </c>
      <c r="S86" s="5">
        <f t="shared" ca="1" si="34"/>
        <v>2.4850727378899963E-4</v>
      </c>
      <c r="T86" s="5">
        <f t="shared" ca="1" si="35"/>
        <v>1.9860721181938034E-5</v>
      </c>
      <c r="U86" s="5">
        <f t="shared" ca="1" si="36"/>
        <v>1.8371167093292681E-4</v>
      </c>
      <c r="V86" s="5">
        <f t="shared" ca="1" si="37"/>
        <v>1.8371167093292681E-4</v>
      </c>
      <c r="W86" s="5">
        <f t="shared" ca="1" si="38"/>
        <v>4.4612144954928287E-6</v>
      </c>
      <c r="X86" s="5">
        <f t="shared" ca="1" si="39"/>
        <v>6.1642713368440178E-4</v>
      </c>
      <c r="Y86" s="134">
        <f t="shared" ca="1" si="40"/>
        <v>1.903925864887706</v>
      </c>
    </row>
    <row r="87" spans="1:25" x14ac:dyDescent="0.25">
      <c r="A87" t="s">
        <v>537</v>
      </c>
      <c r="B87" s="5">
        <f t="shared" ca="1" si="15"/>
        <v>8.9902552448316367E-3</v>
      </c>
      <c r="C87" s="5">
        <f t="shared" ca="1" si="16"/>
        <v>1.5699786225065557E-2</v>
      </c>
      <c r="D87" s="5">
        <f t="shared" ca="1" si="17"/>
        <v>1.2547281698354091E-3</v>
      </c>
      <c r="E87" s="5">
        <f t="shared" ca="1" si="18"/>
        <v>1.1606235570977532E-2</v>
      </c>
      <c r="F87" s="5">
        <f t="shared" ca="1" si="19"/>
        <v>1.1606235570977532E-2</v>
      </c>
      <c r="G87" s="5">
        <f t="shared" ca="1" si="20"/>
        <v>2.8184331514927884E-4</v>
      </c>
      <c r="H87" s="5">
        <f t="shared" ca="1" si="21"/>
        <v>3.8943625571266516E-2</v>
      </c>
      <c r="I87" s="134">
        <f t="shared" ca="1" si="22"/>
        <v>120.28311530426186</v>
      </c>
      <c r="J87" s="5">
        <f t="shared" ca="1" si="25"/>
        <v>7.8361290727769154E-3</v>
      </c>
      <c r="K87" s="5">
        <f t="shared" ca="1" si="26"/>
        <v>1.36843224051224E-2</v>
      </c>
      <c r="L87" s="5">
        <f t="shared" ca="1" si="27"/>
        <v>1.0936521402695224E-3</v>
      </c>
      <c r="M87" s="5">
        <f t="shared" ca="1" si="28"/>
        <v>1.0116282297493081E-2</v>
      </c>
      <c r="N87" s="5">
        <f t="shared" ca="1" si="29"/>
        <v>1.0116282297493081E-2</v>
      </c>
      <c r="O87" s="5">
        <f t="shared" ca="1" si="30"/>
        <v>2.4566161200804157E-4</v>
      </c>
      <c r="P87" s="5">
        <f t="shared" ca="1" si="31"/>
        <v>3.3944228303615306E-2</v>
      </c>
      <c r="Q87" s="134">
        <f t="shared" ca="1" si="32"/>
        <v>104.8417415447425</v>
      </c>
      <c r="R87" s="5">
        <f t="shared" ca="1" si="33"/>
        <v>1.1541261720547221E-3</v>
      </c>
      <c r="S87" s="5">
        <f t="shared" ca="1" si="34"/>
        <v>2.0154638199431562E-3</v>
      </c>
      <c r="T87" s="5">
        <f t="shared" ca="1" si="35"/>
        <v>1.6107602956588662E-4</v>
      </c>
      <c r="U87" s="5">
        <f t="shared" ca="1" si="36"/>
        <v>1.489953273484451E-3</v>
      </c>
      <c r="V87" s="5">
        <f t="shared" ca="1" si="37"/>
        <v>1.489953273484451E-3</v>
      </c>
      <c r="W87" s="5">
        <f t="shared" ca="1" si="38"/>
        <v>3.6181703141237297E-5</v>
      </c>
      <c r="X87" s="5">
        <f t="shared" ca="1" si="39"/>
        <v>4.9993972676512059E-3</v>
      </c>
      <c r="Y87" s="134">
        <f t="shared" ca="1" si="40"/>
        <v>15.441373759519356</v>
      </c>
    </row>
    <row r="88" spans="1:25" x14ac:dyDescent="0.25">
      <c r="A88" t="s">
        <v>534</v>
      </c>
      <c r="B88" s="5">
        <f t="shared" ca="1" si="15"/>
        <v>0.20432646758138887</v>
      </c>
      <c r="C88" s="5">
        <f t="shared" ca="1" si="16"/>
        <v>7.2582409951211079E-3</v>
      </c>
      <c r="D88" s="5">
        <f t="shared" ca="1" si="17"/>
        <v>1.8002331945496828E-3</v>
      </c>
      <c r="E88" s="5">
        <f t="shared" ca="1" si="18"/>
        <v>4.442143852105028E-2</v>
      </c>
      <c r="F88" s="5">
        <f t="shared" ca="1" si="19"/>
        <v>4.442143852105028E-2</v>
      </c>
      <c r="G88" s="5">
        <f t="shared" ca="1" si="20"/>
        <v>1.0970556710484926E-3</v>
      </c>
      <c r="H88" s="5">
        <f t="shared" ca="1" si="21"/>
        <v>0.27260331106474778</v>
      </c>
      <c r="I88" s="134">
        <f t="shared" ca="1" si="22"/>
        <v>144.46530401267668</v>
      </c>
      <c r="J88" s="5">
        <f t="shared" ca="1" si="25"/>
        <v>0.18712307282033472</v>
      </c>
      <c r="K88" s="5">
        <f t="shared" ca="1" si="26"/>
        <v>6.647128853909166E-3</v>
      </c>
      <c r="L88" s="5">
        <f t="shared" ca="1" si="27"/>
        <v>1.648661434540395E-3</v>
      </c>
      <c r="M88" s="5">
        <f t="shared" ca="1" si="28"/>
        <v>4.068134771550095E-2</v>
      </c>
      <c r="N88" s="5">
        <f t="shared" ca="1" si="29"/>
        <v>4.068134771550095E-2</v>
      </c>
      <c r="O88" s="5">
        <f t="shared" ca="1" si="30"/>
        <v>1.0046883825258605E-3</v>
      </c>
      <c r="P88" s="5">
        <f t="shared" ca="1" si="31"/>
        <v>0.24965130475382155</v>
      </c>
      <c r="Q88" s="134">
        <f t="shared" ca="1" si="32"/>
        <v>132.30195736637978</v>
      </c>
      <c r="R88" s="5">
        <f t="shared" ca="1" si="33"/>
        <v>1.7203394761054158E-2</v>
      </c>
      <c r="S88" s="5">
        <f t="shared" ca="1" si="34"/>
        <v>6.111121412119418E-4</v>
      </c>
      <c r="T88" s="5">
        <f t="shared" ca="1" si="35"/>
        <v>1.5157176000928779E-4</v>
      </c>
      <c r="U88" s="5">
        <f t="shared" ca="1" si="36"/>
        <v>3.7400908055493288E-3</v>
      </c>
      <c r="V88" s="5">
        <f t="shared" ca="1" si="37"/>
        <v>3.7400908055493288E-3</v>
      </c>
      <c r="W88" s="5">
        <f t="shared" ca="1" si="38"/>
        <v>9.2367288522632156E-5</v>
      </c>
      <c r="X88" s="5">
        <f t="shared" ca="1" si="39"/>
        <v>2.2952006310926216E-2</v>
      </c>
      <c r="Y88" s="134">
        <f t="shared" ca="1" si="40"/>
        <v>12.163346646296896</v>
      </c>
    </row>
    <row r="89" spans="1:25" x14ac:dyDescent="0.25">
      <c r="A89" s="3" t="s">
        <v>375</v>
      </c>
      <c r="B89" s="360">
        <f t="shared" ca="1" si="15"/>
        <v>1.9050012766726918E-3</v>
      </c>
      <c r="C89" s="360">
        <f t="shared" ca="1" si="16"/>
        <v>2.9968929408037838E-2</v>
      </c>
      <c r="D89" s="360">
        <f t="shared" ca="1" si="17"/>
        <v>7.7222229415609883E-2</v>
      </c>
      <c r="E89" s="360">
        <f t="shared" ca="1" si="18"/>
        <v>1.2189380032877298E-3</v>
      </c>
      <c r="F89" s="360">
        <f t="shared" ca="1" si="19"/>
        <v>1.2189380032877298E-3</v>
      </c>
      <c r="G89" s="360">
        <f t="shared" ca="1" si="20"/>
        <v>6.544984403310437E-5</v>
      </c>
      <c r="H89" s="360">
        <f t="shared" ca="1" si="21"/>
        <v>1.1965589690426195E-3</v>
      </c>
      <c r="I89" s="136">
        <f t="shared" ca="1" si="22"/>
        <v>716.16509836614512</v>
      </c>
      <c r="J89" s="360">
        <f ca="1">$Q89*B$76/2000</f>
        <v>1.1866498243651488E-3</v>
      </c>
      <c r="K89" s="360">
        <f t="shared" ref="K89:P89" ca="1" si="41">$Q89*C$76/2000</f>
        <v>1.866803201338213E-2</v>
      </c>
      <c r="L89" s="360">
        <f t="shared" ca="1" si="41"/>
        <v>4.8102721029757663E-2</v>
      </c>
      <c r="M89" s="360">
        <f t="shared" ca="1" si="41"/>
        <v>7.5929217750435774E-4</v>
      </c>
      <c r="N89" s="360">
        <f t="shared" ca="1" si="41"/>
        <v>7.5929217750435774E-4</v>
      </c>
      <c r="O89" s="360">
        <f t="shared" ca="1" si="41"/>
        <v>4.0769550591725873E-5</v>
      </c>
      <c r="P89" s="360">
        <f t="shared" ca="1" si="41"/>
        <v>7.4535198891676532E-4</v>
      </c>
      <c r="Q89" s="136">
        <f ca="1">O61*(C60+D60)</f>
        <v>446.10846123787167</v>
      </c>
      <c r="R89" s="360">
        <f t="shared" ca="1" si="33"/>
        <v>7.1835145230754308E-4</v>
      </c>
      <c r="S89" s="360">
        <f t="shared" ca="1" si="34"/>
        <v>1.1300897394655706E-2</v>
      </c>
      <c r="T89" s="360">
        <f t="shared" ca="1" si="35"/>
        <v>2.9119508385852217E-2</v>
      </c>
      <c r="U89" s="360">
        <f t="shared" ca="1" si="36"/>
        <v>4.5964582578337203E-4</v>
      </c>
      <c r="V89" s="360">
        <f t="shared" ca="1" si="37"/>
        <v>4.5964582578337203E-4</v>
      </c>
      <c r="W89" s="360">
        <f t="shared" ca="1" si="38"/>
        <v>2.4680293441378504E-5</v>
      </c>
      <c r="X89" s="360">
        <f t="shared" ca="1" si="39"/>
        <v>4.5120698012585423E-4</v>
      </c>
      <c r="Y89" s="136">
        <f ca="1">Q61*E60</f>
        <v>270.05663712827345</v>
      </c>
    </row>
    <row r="90" spans="1:25" x14ac:dyDescent="0.25">
      <c r="A90" s="84" t="s">
        <v>249</v>
      </c>
      <c r="B90" s="450">
        <f t="shared" ref="B90" ca="1" si="42">J90+R90</f>
        <v>2.0659802658711861</v>
      </c>
      <c r="C90" s="450">
        <f t="shared" ref="C90" ca="1" si="43">K90+S90</f>
        <v>0.12816363920886475</v>
      </c>
      <c r="D90" s="450">
        <f t="shared" ref="D90" ca="1" si="44">L90+T90</f>
        <v>9.7209802980722348E-2</v>
      </c>
      <c r="E90" s="450">
        <f t="shared" ref="E90" ca="1" si="45">M90+U90</f>
        <v>0.56616605019009081</v>
      </c>
      <c r="F90" s="450">
        <f t="shared" ref="F90" ca="1" si="46">N90+V90</f>
        <v>0.56616605019009081</v>
      </c>
      <c r="G90" s="450">
        <f t="shared" ref="G90" ca="1" si="47">O90+W90</f>
        <v>2.1434814860890238E-2</v>
      </c>
      <c r="H90" s="450">
        <f t="shared" ref="H90" ca="1" si="48">P90+X90</f>
        <v>6.0536903202629695</v>
      </c>
      <c r="I90" s="490">
        <f t="shared" ref="I90" ca="1" si="49">Q90+Y90</f>
        <v>2345.6913656390179</v>
      </c>
      <c r="J90" s="450">
        <f t="shared" ref="J90:Y90" ca="1" si="50">SUM(J81:J89)</f>
        <v>1.880681532797623</v>
      </c>
      <c r="K90" s="450">
        <f t="shared" ca="1" si="50"/>
        <v>0.10754485435575556</v>
      </c>
      <c r="L90" s="450">
        <f t="shared" ca="1" si="50"/>
        <v>6.624109357553834E-2</v>
      </c>
      <c r="M90" s="450">
        <f t="shared" ca="1" si="50"/>
        <v>0.51455717963593905</v>
      </c>
      <c r="N90" s="450">
        <f t="shared" ca="1" si="50"/>
        <v>0.51455717963593905</v>
      </c>
      <c r="O90" s="450">
        <f t="shared" ca="1" si="50"/>
        <v>1.9495276287606559E-2</v>
      </c>
      <c r="P90" s="450">
        <f t="shared" ca="1" si="50"/>
        <v>5.5038443114834719</v>
      </c>
      <c r="Q90" s="490">
        <f t="shared" ca="1" si="50"/>
        <v>1924.3703692402469</v>
      </c>
      <c r="R90" s="450">
        <f t="shared" ca="1" si="50"/>
        <v>0.1852987330735632</v>
      </c>
      <c r="S90" s="450">
        <f t="shared" ca="1" si="50"/>
        <v>2.0618784853109182E-2</v>
      </c>
      <c r="T90" s="450">
        <f t="shared" ca="1" si="50"/>
        <v>3.0968709405184012E-2</v>
      </c>
      <c r="U90" s="450">
        <f t="shared" ca="1" si="50"/>
        <v>5.1608870554151746E-2</v>
      </c>
      <c r="V90" s="450">
        <f t="shared" ca="1" si="50"/>
        <v>5.1608870554151746E-2</v>
      </c>
      <c r="W90" s="450">
        <f t="shared" ca="1" si="50"/>
        <v>1.9395385732836781E-3</v>
      </c>
      <c r="X90" s="450">
        <f t="shared" ca="1" si="50"/>
        <v>0.54984600877949752</v>
      </c>
      <c r="Y90" s="490">
        <f t="shared" ca="1" si="50"/>
        <v>421.32099639877129</v>
      </c>
    </row>
    <row r="91" spans="1:25" ht="15.75" thickBot="1" x14ac:dyDescent="0.3"/>
    <row r="92" spans="1:25" ht="16.5" thickBot="1" x14ac:dyDescent="0.3">
      <c r="A92" s="842" t="s">
        <v>254</v>
      </c>
      <c r="B92" s="843"/>
      <c r="C92" s="844"/>
      <c r="D92" s="807"/>
    </row>
    <row r="94" spans="1:25" x14ac:dyDescent="0.25">
      <c r="A94" s="848" t="s">
        <v>380</v>
      </c>
      <c r="B94" s="848"/>
      <c r="C94" s="848"/>
      <c r="E94" t="s">
        <v>541</v>
      </c>
    </row>
    <row r="95" spans="1:25" x14ac:dyDescent="0.25">
      <c r="B95" s="1" t="s">
        <v>383</v>
      </c>
      <c r="C95" s="467">
        <f>'EFs-BTU'!$D$54/'EFs-BTU'!$D$37</f>
        <v>11.571428571428571</v>
      </c>
      <c r="E95" s="855" t="s">
        <v>542</v>
      </c>
      <c r="F95" s="855"/>
      <c r="G95" s="855"/>
      <c r="H95" s="855"/>
      <c r="I95" s="855"/>
    </row>
    <row r="96" spans="1:25" x14ac:dyDescent="0.25">
      <c r="B96" s="1" t="s">
        <v>386</v>
      </c>
      <c r="C96" s="467">
        <f>'EFs-BTU'!$D$54/'EFs-BTU'!$D$38</f>
        <v>2.0249999999999999</v>
      </c>
      <c r="F96" s="845" t="s">
        <v>543</v>
      </c>
      <c r="G96" s="845"/>
      <c r="H96" s="845"/>
      <c r="I96" s="845"/>
    </row>
    <row r="97" spans="1:25" x14ac:dyDescent="0.25">
      <c r="B97" s="1" t="s">
        <v>388</v>
      </c>
      <c r="C97" s="467">
        <f>'EFs-BTU'!$D$54/'EFs-BTU'!$D$41</f>
        <v>1.5</v>
      </c>
      <c r="F97" s="813" t="s">
        <v>341</v>
      </c>
      <c r="G97" s="813" t="s">
        <v>279</v>
      </c>
      <c r="H97" s="63" t="s">
        <v>278</v>
      </c>
      <c r="I97" s="813" t="s">
        <v>521</v>
      </c>
    </row>
    <row r="98" spans="1:25" x14ac:dyDescent="0.25">
      <c r="B98" s="1" t="s">
        <v>544</v>
      </c>
      <c r="C98" s="467">
        <f>'EFs-BTU'!$D$54/AVERAGE('EFs-BTU'!$D$39:$D$40)</f>
        <v>1.1911764705882355</v>
      </c>
      <c r="E98" s="1" t="s">
        <v>545</v>
      </c>
      <c r="F98" s="498">
        <f>B46</f>
        <v>0.72844381587759244</v>
      </c>
      <c r="G98" s="498">
        <f>C46</f>
        <v>0.55664471404067206</v>
      </c>
      <c r="H98" s="498">
        <f>D46</f>
        <v>0.1680890961710142</v>
      </c>
      <c r="I98" s="498">
        <f>E46</f>
        <v>3.7100056659061798E-3</v>
      </c>
    </row>
    <row r="99" spans="1:25" x14ac:dyDescent="0.25">
      <c r="B99" s="1" t="s">
        <v>546</v>
      </c>
      <c r="C99" s="467">
        <f>'EFs-BTU'!$D$54/AVERAGE('EFs-BTU'!$D$42:$D$43)</f>
        <v>1.1571428571428573</v>
      </c>
      <c r="G99" s="658">
        <f>G98/$F98</f>
        <v>0.76415600202474709</v>
      </c>
      <c r="H99" s="658">
        <f t="shared" ref="H99:I99" si="51">H98/$F98</f>
        <v>0.23075094126306628</v>
      </c>
      <c r="I99" s="658">
        <f t="shared" si="51"/>
        <v>5.0930567121865835E-3</v>
      </c>
    </row>
    <row r="100" spans="1:25" x14ac:dyDescent="0.25">
      <c r="B100" s="1" t="s">
        <v>547</v>
      </c>
      <c r="C100" s="467">
        <f>'EFs-BTU'!$D$54/'EFs-BTU'!$D$44</f>
        <v>1.4464285714285714</v>
      </c>
      <c r="F100" s="1" t="s">
        <v>548</v>
      </c>
      <c r="G100" s="132">
        <v>0.75</v>
      </c>
      <c r="H100" s="252"/>
      <c r="K100" s="132">
        <v>0.48</v>
      </c>
      <c r="L100" t="s">
        <v>549</v>
      </c>
    </row>
    <row r="101" spans="1:25" x14ac:dyDescent="0.25">
      <c r="B101" s="1" t="s">
        <v>550</v>
      </c>
      <c r="C101" s="467">
        <f>'EFs-BTU'!$D$54/'EFs-BTU'!$D$45</f>
        <v>1.0384615384615385</v>
      </c>
      <c r="E101" s="1" t="s">
        <v>551</v>
      </c>
      <c r="F101" s="498">
        <f ca="1">SUM(G101:I101)</f>
        <v>0.50020128309841705</v>
      </c>
      <c r="G101" s="498">
        <f>G98*(1-G100)</f>
        <v>0.13916117851016802</v>
      </c>
      <c r="H101" s="498">
        <f ca="1">H98+G98*G100/C103</f>
        <v>0.3573300989223428</v>
      </c>
      <c r="I101" s="498">
        <f>I98</f>
        <v>3.7100056659061798E-3</v>
      </c>
    </row>
    <row r="102" spans="1:25" x14ac:dyDescent="0.25">
      <c r="B102" s="1" t="s">
        <v>552</v>
      </c>
      <c r="C102" s="467">
        <f>'EFs-BTU'!$D$54/'EFs-BTU'!$D$49</f>
        <v>1.8837209302325584</v>
      </c>
      <c r="G102" s="658">
        <f ca="1">G101/$F101</f>
        <v>0.27821035893422003</v>
      </c>
      <c r="H102" s="658">
        <f t="shared" ref="H102:I102" ca="1" si="52">H101/$F101</f>
        <v>0.71437261557771004</v>
      </c>
      <c r="I102" s="658">
        <f t="shared" ca="1" si="52"/>
        <v>7.4170254880698058E-3</v>
      </c>
    </row>
    <row r="103" spans="1:25" x14ac:dyDescent="0.25">
      <c r="B103" s="1" t="s">
        <v>553</v>
      </c>
      <c r="C103" s="685">
        <f ca="1">SUMPRODUCT(Q81:Q88,C95:C102)/SUM(Q81:Q88)</f>
        <v>2.2060945009845288</v>
      </c>
      <c r="E103" s="1" t="s">
        <v>554</v>
      </c>
      <c r="F103" s="498">
        <f ca="1">SUM(G103:I103)</f>
        <v>0.54584978965425213</v>
      </c>
      <c r="G103" s="5">
        <f ca="1">G101*$B$7+G98*(1-$B$7)</f>
        <v>0.22265788561626881</v>
      </c>
      <c r="H103" s="5">
        <f ca="1">H101*$B$7+H98*(1-$B$7)</f>
        <v>0.31948189837207708</v>
      </c>
      <c r="I103" s="498">
        <f>I101</f>
        <v>3.7100056659061798E-3</v>
      </c>
    </row>
    <row r="104" spans="1:25" x14ac:dyDescent="0.25">
      <c r="B104" s="1"/>
      <c r="C104" s="1"/>
      <c r="H104" s="347"/>
    </row>
    <row r="106" spans="1:25" x14ac:dyDescent="0.25">
      <c r="B106" s="854" t="s">
        <v>538</v>
      </c>
      <c r="C106" s="854"/>
      <c r="D106" s="854"/>
      <c r="E106" s="854"/>
      <c r="F106" s="854"/>
      <c r="G106" s="854"/>
      <c r="H106" s="854"/>
      <c r="I106" s="854"/>
      <c r="J106" s="854" t="s">
        <v>539</v>
      </c>
      <c r="K106" s="854"/>
      <c r="L106" s="854"/>
      <c r="M106" s="854"/>
      <c r="N106" s="854"/>
      <c r="O106" s="854"/>
      <c r="P106" s="854"/>
      <c r="Q106" s="854"/>
      <c r="R106" s="854" t="s">
        <v>540</v>
      </c>
      <c r="S106" s="854"/>
      <c r="T106" s="854"/>
      <c r="U106" s="854"/>
      <c r="V106" s="854"/>
      <c r="W106" s="854"/>
      <c r="X106" s="854"/>
      <c r="Y106" s="854"/>
    </row>
    <row r="107" spans="1:25" x14ac:dyDescent="0.25">
      <c r="B107" s="845" t="str">
        <f>$E$4&amp;" With Control Emissions (tons/winter day)"</f>
        <v>2029 With Control Emissions (tons/winter day)</v>
      </c>
      <c r="C107" s="845"/>
      <c r="D107" s="845"/>
      <c r="E107" s="845"/>
      <c r="F107" s="845"/>
      <c r="G107" s="845"/>
      <c r="H107" s="845"/>
      <c r="I107" s="812" t="s">
        <v>376</v>
      </c>
      <c r="J107" s="845" t="str">
        <f>$E$4&amp;" With Control Emissions (tons/winter day)"</f>
        <v>2029 With Control Emissions (tons/winter day)</v>
      </c>
      <c r="K107" s="845"/>
      <c r="L107" s="845"/>
      <c r="M107" s="845"/>
      <c r="N107" s="845"/>
      <c r="O107" s="845"/>
      <c r="P107" s="845"/>
      <c r="Q107" s="812" t="s">
        <v>376</v>
      </c>
      <c r="R107" s="845" t="str">
        <f>$E$4&amp;" With Control Emissions (tons/winter day)"</f>
        <v>2029 With Control Emissions (tons/winter day)</v>
      </c>
      <c r="S107" s="845"/>
      <c r="T107" s="845"/>
      <c r="U107" s="845"/>
      <c r="V107" s="845"/>
      <c r="W107" s="845"/>
      <c r="X107" s="845"/>
      <c r="Y107" s="812" t="s">
        <v>376</v>
      </c>
    </row>
    <row r="108" spans="1:25" x14ac:dyDescent="0.25">
      <c r="A108" s="3" t="s">
        <v>372</v>
      </c>
      <c r="B108" s="813" t="s">
        <v>201</v>
      </c>
      <c r="C108" s="813" t="s">
        <v>202</v>
      </c>
      <c r="D108" s="813" t="s">
        <v>132</v>
      </c>
      <c r="E108" s="813" t="s">
        <v>203</v>
      </c>
      <c r="F108" s="348" t="s">
        <v>204</v>
      </c>
      <c r="G108" s="813" t="s">
        <v>205</v>
      </c>
      <c r="H108" s="813" t="s">
        <v>206</v>
      </c>
      <c r="I108" s="813" t="s">
        <v>377</v>
      </c>
      <c r="J108" s="813" t="s">
        <v>201</v>
      </c>
      <c r="K108" s="813" t="s">
        <v>202</v>
      </c>
      <c r="L108" s="813" t="s">
        <v>132</v>
      </c>
      <c r="M108" s="813" t="s">
        <v>203</v>
      </c>
      <c r="N108" s="348" t="s">
        <v>204</v>
      </c>
      <c r="O108" s="813" t="s">
        <v>205</v>
      </c>
      <c r="P108" s="813" t="s">
        <v>206</v>
      </c>
      <c r="Q108" s="813" t="s">
        <v>377</v>
      </c>
      <c r="R108" s="813" t="s">
        <v>201</v>
      </c>
      <c r="S108" s="813" t="s">
        <v>202</v>
      </c>
      <c r="T108" s="813" t="s">
        <v>132</v>
      </c>
      <c r="U108" s="813" t="s">
        <v>203</v>
      </c>
      <c r="V108" s="348" t="s">
        <v>204</v>
      </c>
      <c r="W108" s="813" t="s">
        <v>205</v>
      </c>
      <c r="X108" s="813" t="s">
        <v>206</v>
      </c>
      <c r="Y108" s="813" t="s">
        <v>377</v>
      </c>
    </row>
    <row r="109" spans="1:25" x14ac:dyDescent="0.25">
      <c r="A109" s="267" t="s">
        <v>342</v>
      </c>
      <c r="B109" s="688">
        <f ca="1">J109+R109</f>
        <v>0.37404083092281554</v>
      </c>
      <c r="C109" s="688">
        <f t="shared" ref="C109:I109" ca="1" si="53">K109+S109</f>
        <v>4.2467517921367728E-3</v>
      </c>
      <c r="D109" s="688">
        <f t="shared" ca="1" si="53"/>
        <v>6.533464295595036E-4</v>
      </c>
      <c r="E109" s="688">
        <f t="shared" ca="1" si="53"/>
        <v>5.6514466156897043E-2</v>
      </c>
      <c r="F109" s="688">
        <f t="shared" ca="1" si="53"/>
        <v>5.6514466156897043E-2</v>
      </c>
      <c r="G109" s="688">
        <f t="shared" ca="1" si="53"/>
        <v>2.9400589330177643E-3</v>
      </c>
      <c r="H109" s="688">
        <f t="shared" ca="1" si="53"/>
        <v>0.41258827026682626</v>
      </c>
      <c r="I109" s="686">
        <f t="shared" ca="1" si="53"/>
        <v>52.457163071064869</v>
      </c>
      <c r="J109" s="688">
        <f t="shared" ref="J109:J116" ca="1" si="54">$Q109*B68/2000</f>
        <v>0.37404083092281554</v>
      </c>
      <c r="K109" s="688">
        <f t="shared" ref="K109:P109" ca="1" si="55">$Q109*C68/2000</f>
        <v>4.2467517921367728E-3</v>
      </c>
      <c r="L109" s="688">
        <f t="shared" ca="1" si="55"/>
        <v>6.533464295595036E-4</v>
      </c>
      <c r="M109" s="688">
        <f t="shared" ca="1" si="55"/>
        <v>5.6514466156897043E-2</v>
      </c>
      <c r="N109" s="688">
        <f t="shared" ca="1" si="55"/>
        <v>5.6514466156897043E-2</v>
      </c>
      <c r="O109" s="688">
        <f t="shared" ca="1" si="55"/>
        <v>2.9400589330177643E-3</v>
      </c>
      <c r="P109" s="688">
        <f t="shared" ca="1" si="55"/>
        <v>0.41258827026682626</v>
      </c>
      <c r="Q109" s="686">
        <f t="shared" ref="Q109:Q116" ca="1" si="56">$N52*$G$103/$G$98</f>
        <v>52.457163071064869</v>
      </c>
      <c r="R109" s="688">
        <f t="shared" ref="R109:R116" ca="1" si="57">$Y109*B68/2000</f>
        <v>0</v>
      </c>
      <c r="S109" s="688">
        <f t="shared" ref="S109:X109" ca="1" si="58">$Y109*C68/2000</f>
        <v>0</v>
      </c>
      <c r="T109" s="688">
        <f t="shared" ca="1" si="58"/>
        <v>0</v>
      </c>
      <c r="U109" s="688">
        <f t="shared" ca="1" si="58"/>
        <v>0</v>
      </c>
      <c r="V109" s="688">
        <f t="shared" ca="1" si="58"/>
        <v>0</v>
      </c>
      <c r="W109" s="688">
        <f t="shared" ca="1" si="58"/>
        <v>0</v>
      </c>
      <c r="X109" s="688">
        <f t="shared" ca="1" si="58"/>
        <v>0</v>
      </c>
      <c r="Y109" s="686">
        <f t="shared" ref="Y109:Y116" ca="1" si="59">$P52*(1-$B$8)</f>
        <v>0</v>
      </c>
    </row>
    <row r="110" spans="1:25" x14ac:dyDescent="0.25">
      <c r="A110" s="267" t="s">
        <v>364</v>
      </c>
      <c r="B110" s="688">
        <f t="shared" ref="B110:B116" ca="1" si="60">J110+R110</f>
        <v>7.6688023633372533E-3</v>
      </c>
      <c r="C110" s="688">
        <f t="shared" ref="C110:C116" ca="1" si="61">K110+S110</f>
        <v>4.0514427579894908E-4</v>
      </c>
      <c r="D110" s="688">
        <f t="shared" ref="D110:D116" ca="1" si="62">L110+T110</f>
        <v>5.7877753685564169E-5</v>
      </c>
      <c r="E110" s="688">
        <f t="shared" ref="E110:E116" ca="1" si="63">M110+U110</f>
        <v>4.4276481569456606E-3</v>
      </c>
      <c r="F110" s="688">
        <f t="shared" ref="F110:F116" ca="1" si="64">N110+V110</f>
        <v>4.4276481569456606E-3</v>
      </c>
      <c r="G110" s="688">
        <f t="shared" ref="G110:G116" ca="1" si="65">O110+W110</f>
        <v>2.4598045316364775E-4</v>
      </c>
      <c r="H110" s="688">
        <f t="shared" ref="H110:H116" ca="1" si="66">P110+X110</f>
        <v>3.3395463876570532E-2</v>
      </c>
      <c r="I110" s="686">
        <f t="shared" ref="I110:I116" ca="1" si="67">Q110+Y110</f>
        <v>4.6461749953859703</v>
      </c>
      <c r="J110" s="688">
        <f t="shared" ca="1" si="54"/>
        <v>7.6688023633372533E-3</v>
      </c>
      <c r="K110" s="688">
        <f t="shared" ref="K110:P116" ca="1" si="68">$Q110*C69/2000</f>
        <v>4.0514427579894908E-4</v>
      </c>
      <c r="L110" s="688">
        <f t="shared" ca="1" si="68"/>
        <v>5.7877753685564169E-5</v>
      </c>
      <c r="M110" s="688">
        <f t="shared" ca="1" si="68"/>
        <v>4.4276481569456606E-3</v>
      </c>
      <c r="N110" s="688">
        <f t="shared" ca="1" si="68"/>
        <v>4.4276481569456606E-3</v>
      </c>
      <c r="O110" s="688">
        <f t="shared" ca="1" si="68"/>
        <v>2.4598045316364775E-4</v>
      </c>
      <c r="P110" s="688">
        <f t="shared" ca="1" si="68"/>
        <v>3.3395463876570532E-2</v>
      </c>
      <c r="Q110" s="686">
        <f t="shared" ca="1" si="56"/>
        <v>4.6461749953859703</v>
      </c>
      <c r="R110" s="688">
        <f t="shared" ca="1" si="57"/>
        <v>0</v>
      </c>
      <c r="S110" s="688">
        <f t="shared" ref="S110:X116" ca="1" si="69">$Y110*C69/2000</f>
        <v>0</v>
      </c>
      <c r="T110" s="688">
        <f t="shared" ca="1" si="69"/>
        <v>0</v>
      </c>
      <c r="U110" s="688">
        <f t="shared" ca="1" si="69"/>
        <v>0</v>
      </c>
      <c r="V110" s="688">
        <f t="shared" ca="1" si="69"/>
        <v>0</v>
      </c>
      <c r="W110" s="688">
        <f t="shared" ca="1" si="69"/>
        <v>0</v>
      </c>
      <c r="X110" s="688">
        <f t="shared" ca="1" si="69"/>
        <v>0</v>
      </c>
      <c r="Y110" s="686">
        <f t="shared" ca="1" si="59"/>
        <v>0</v>
      </c>
    </row>
    <row r="111" spans="1:25" x14ac:dyDescent="0.25">
      <c r="A111" s="267" t="s">
        <v>365</v>
      </c>
      <c r="B111" s="688">
        <f t="shared" ca="1" si="60"/>
        <v>0.15516957348249605</v>
      </c>
      <c r="C111" s="688">
        <f t="shared" ca="1" si="61"/>
        <v>4.2514783592812631E-3</v>
      </c>
      <c r="D111" s="688">
        <f t="shared" ca="1" si="62"/>
        <v>1.1710911206226121E-3</v>
      </c>
      <c r="E111" s="688">
        <f t="shared" ca="1" si="63"/>
        <v>3.5548556998872757E-2</v>
      </c>
      <c r="F111" s="688">
        <f t="shared" ca="1" si="64"/>
        <v>3.5548556998872757E-2</v>
      </c>
      <c r="G111" s="688">
        <f t="shared" ca="1" si="65"/>
        <v>1.1623915098935937E-3</v>
      </c>
      <c r="H111" s="688">
        <f t="shared" ca="1" si="66"/>
        <v>0.35475465643364723</v>
      </c>
      <c r="I111" s="686">
        <f t="shared" ca="1" si="67"/>
        <v>94.010115035138753</v>
      </c>
      <c r="J111" s="688">
        <f t="shared" ca="1" si="54"/>
        <v>0.15516957348249605</v>
      </c>
      <c r="K111" s="688">
        <f t="shared" ca="1" si="68"/>
        <v>4.2514783592812631E-3</v>
      </c>
      <c r="L111" s="688">
        <f t="shared" ca="1" si="68"/>
        <v>1.1710911206226121E-3</v>
      </c>
      <c r="M111" s="688">
        <f t="shared" ca="1" si="68"/>
        <v>3.5548556998872757E-2</v>
      </c>
      <c r="N111" s="688">
        <f t="shared" ca="1" si="68"/>
        <v>3.5548556998872757E-2</v>
      </c>
      <c r="O111" s="688">
        <f t="shared" ca="1" si="68"/>
        <v>1.1623915098935937E-3</v>
      </c>
      <c r="P111" s="688">
        <f t="shared" ca="1" si="68"/>
        <v>0.35475465643364723</v>
      </c>
      <c r="Q111" s="686">
        <f t="shared" ca="1" si="56"/>
        <v>94.010115035138753</v>
      </c>
      <c r="R111" s="688">
        <f t="shared" ca="1" si="57"/>
        <v>0</v>
      </c>
      <c r="S111" s="688">
        <f t="shared" ca="1" si="69"/>
        <v>0</v>
      </c>
      <c r="T111" s="688">
        <f t="shared" ca="1" si="69"/>
        <v>0</v>
      </c>
      <c r="U111" s="688">
        <f t="shared" ca="1" si="69"/>
        <v>0</v>
      </c>
      <c r="V111" s="688">
        <f t="shared" ca="1" si="69"/>
        <v>0</v>
      </c>
      <c r="W111" s="688">
        <f t="shared" ca="1" si="69"/>
        <v>0</v>
      </c>
      <c r="X111" s="688">
        <f t="shared" ca="1" si="69"/>
        <v>0</v>
      </c>
      <c r="Y111" s="686">
        <f t="shared" ca="1" si="59"/>
        <v>0</v>
      </c>
    </row>
    <row r="112" spans="1:25" x14ac:dyDescent="0.25">
      <c r="A112" s="267" t="s">
        <v>366</v>
      </c>
      <c r="B112" s="688">
        <f t="shared" ca="1" si="60"/>
        <v>6.3877715772757276E-3</v>
      </c>
      <c r="C112" s="688">
        <f t="shared" ca="1" si="61"/>
        <v>9.7319480278853674E-4</v>
      </c>
      <c r="D112" s="688">
        <f t="shared" ca="1" si="62"/>
        <v>1.9463896055770737E-4</v>
      </c>
      <c r="E112" s="688">
        <f t="shared" ca="1" si="63"/>
        <v>6.0220364035793884E-3</v>
      </c>
      <c r="F112" s="688">
        <f t="shared" ca="1" si="64"/>
        <v>6.0220364035793884E-3</v>
      </c>
      <c r="G112" s="688">
        <f t="shared" ca="1" si="65"/>
        <v>4.3793766125484152E-4</v>
      </c>
      <c r="H112" s="688">
        <f t="shared" ca="1" si="66"/>
        <v>6.2331989680844864E-2</v>
      </c>
      <c r="I112" s="686">
        <f t="shared" ca="1" si="67"/>
        <v>15.624771420537902</v>
      </c>
      <c r="J112" s="688">
        <f t="shared" ca="1" si="54"/>
        <v>6.3877715772757276E-3</v>
      </c>
      <c r="K112" s="688">
        <f t="shared" ca="1" si="68"/>
        <v>9.7319480278853674E-4</v>
      </c>
      <c r="L112" s="688">
        <f t="shared" ca="1" si="68"/>
        <v>1.9463896055770737E-4</v>
      </c>
      <c r="M112" s="688">
        <f t="shared" ca="1" si="68"/>
        <v>6.0220364035793884E-3</v>
      </c>
      <c r="N112" s="688">
        <f t="shared" ca="1" si="68"/>
        <v>6.0220364035793884E-3</v>
      </c>
      <c r="O112" s="688">
        <f t="shared" ca="1" si="68"/>
        <v>4.3793766125484152E-4</v>
      </c>
      <c r="P112" s="688">
        <f t="shared" ca="1" si="68"/>
        <v>6.2331989680844864E-2</v>
      </c>
      <c r="Q112" s="686">
        <f t="shared" ca="1" si="56"/>
        <v>15.624771420537902</v>
      </c>
      <c r="R112" s="688">
        <f t="shared" ca="1" si="57"/>
        <v>0</v>
      </c>
      <c r="S112" s="688">
        <f t="shared" ca="1" si="69"/>
        <v>0</v>
      </c>
      <c r="T112" s="688">
        <f t="shared" ca="1" si="69"/>
        <v>0</v>
      </c>
      <c r="U112" s="688">
        <f t="shared" ca="1" si="69"/>
        <v>0</v>
      </c>
      <c r="V112" s="688">
        <f t="shared" ca="1" si="69"/>
        <v>0</v>
      </c>
      <c r="W112" s="688">
        <f t="shared" ca="1" si="69"/>
        <v>0</v>
      </c>
      <c r="X112" s="688">
        <f t="shared" ca="1" si="69"/>
        <v>0</v>
      </c>
      <c r="Y112" s="686">
        <f t="shared" ca="1" si="59"/>
        <v>0</v>
      </c>
    </row>
    <row r="113" spans="1:25" x14ac:dyDescent="0.25">
      <c r="A113" s="267" t="s">
        <v>373</v>
      </c>
      <c r="B113" s="688">
        <f t="shared" ca="1" si="60"/>
        <v>0.12959747331793658</v>
      </c>
      <c r="C113" s="688">
        <f t="shared" ca="1" si="61"/>
        <v>1.5882896261998989E-2</v>
      </c>
      <c r="D113" s="688">
        <f t="shared" ca="1" si="62"/>
        <v>3.9489072507295714E-3</v>
      </c>
      <c r="E113" s="688">
        <f t="shared" ca="1" si="63"/>
        <v>8.1461196084472942E-2</v>
      </c>
      <c r="F113" s="688">
        <f t="shared" ca="1" si="64"/>
        <v>8.1461196084472942E-2</v>
      </c>
      <c r="G113" s="688">
        <f t="shared" ca="1" si="65"/>
        <v>2.4655173839624842E-3</v>
      </c>
      <c r="H113" s="688">
        <f t="shared" ca="1" si="66"/>
        <v>1.2206165949689787</v>
      </c>
      <c r="I113" s="686">
        <f t="shared" ca="1" si="67"/>
        <v>317.00114394754502</v>
      </c>
      <c r="J113" s="688">
        <f t="shared" ca="1" si="54"/>
        <v>0.12959747331793658</v>
      </c>
      <c r="K113" s="688">
        <f t="shared" ca="1" si="68"/>
        <v>1.5882896261998989E-2</v>
      </c>
      <c r="L113" s="688">
        <f t="shared" ca="1" si="68"/>
        <v>3.9489072507295714E-3</v>
      </c>
      <c r="M113" s="688">
        <f t="shared" ca="1" si="68"/>
        <v>8.1461196084472942E-2</v>
      </c>
      <c r="N113" s="688">
        <f t="shared" ca="1" si="68"/>
        <v>8.1461196084472942E-2</v>
      </c>
      <c r="O113" s="688">
        <f t="shared" ca="1" si="68"/>
        <v>2.4655173839624842E-3</v>
      </c>
      <c r="P113" s="688">
        <f t="shared" ca="1" si="68"/>
        <v>1.2206165949689787</v>
      </c>
      <c r="Q113" s="686">
        <f t="shared" ca="1" si="56"/>
        <v>317.00114394754502</v>
      </c>
      <c r="R113" s="688">
        <f t="shared" ca="1" si="57"/>
        <v>0</v>
      </c>
      <c r="S113" s="688">
        <f t="shared" ca="1" si="69"/>
        <v>0</v>
      </c>
      <c r="T113" s="688">
        <f t="shared" ca="1" si="69"/>
        <v>0</v>
      </c>
      <c r="U113" s="688">
        <f t="shared" ca="1" si="69"/>
        <v>0</v>
      </c>
      <c r="V113" s="688">
        <f t="shared" ca="1" si="69"/>
        <v>0</v>
      </c>
      <c r="W113" s="688">
        <f t="shared" ca="1" si="69"/>
        <v>0</v>
      </c>
      <c r="X113" s="688">
        <f t="shared" ca="1" si="69"/>
        <v>0</v>
      </c>
      <c r="Y113" s="686">
        <f t="shared" ca="1" si="59"/>
        <v>0</v>
      </c>
    </row>
    <row r="114" spans="1:25" x14ac:dyDescent="0.25">
      <c r="A114" s="267" t="s">
        <v>536</v>
      </c>
      <c r="B114" s="688">
        <f t="shared" ca="1" si="60"/>
        <v>9.4982076819727932E-4</v>
      </c>
      <c r="C114" s="688">
        <f t="shared" ca="1" si="61"/>
        <v>1.6586829413322286E-3</v>
      </c>
      <c r="D114" s="688">
        <f t="shared" ca="1" si="62"/>
        <v>1.3256207323334495E-4</v>
      </c>
      <c r="E114" s="688">
        <f t="shared" ca="1" si="63"/>
        <v>1.2261991774084409E-3</v>
      </c>
      <c r="F114" s="688">
        <f t="shared" ca="1" si="64"/>
        <v>1.2261991774084409E-3</v>
      </c>
      <c r="G114" s="688">
        <f t="shared" ca="1" si="65"/>
        <v>2.9776755700040096E-5</v>
      </c>
      <c r="H114" s="688">
        <f t="shared" ca="1" si="66"/>
        <v>4.1143953479799442E-3</v>
      </c>
      <c r="I114" s="686">
        <f t="shared" ca="1" si="67"/>
        <v>12.707915166828567</v>
      </c>
      <c r="J114" s="688">
        <f t="shared" ca="1" si="54"/>
        <v>9.4982076819727932E-4</v>
      </c>
      <c r="K114" s="688">
        <f t="shared" ca="1" si="68"/>
        <v>1.6586829413322286E-3</v>
      </c>
      <c r="L114" s="688">
        <f t="shared" ca="1" si="68"/>
        <v>1.3256207323334495E-4</v>
      </c>
      <c r="M114" s="688">
        <f t="shared" ca="1" si="68"/>
        <v>1.2261991774084409E-3</v>
      </c>
      <c r="N114" s="688">
        <f t="shared" ca="1" si="68"/>
        <v>1.2261991774084409E-3</v>
      </c>
      <c r="O114" s="688">
        <f t="shared" ca="1" si="68"/>
        <v>2.9776755700040096E-5</v>
      </c>
      <c r="P114" s="688">
        <f t="shared" ca="1" si="68"/>
        <v>4.1143953479799442E-3</v>
      </c>
      <c r="Q114" s="686">
        <f t="shared" ca="1" si="56"/>
        <v>12.707915166828567</v>
      </c>
      <c r="R114" s="688">
        <f t="shared" ca="1" si="57"/>
        <v>0</v>
      </c>
      <c r="S114" s="688">
        <f t="shared" ca="1" si="69"/>
        <v>0</v>
      </c>
      <c r="T114" s="688">
        <f t="shared" ca="1" si="69"/>
        <v>0</v>
      </c>
      <c r="U114" s="688">
        <f t="shared" ca="1" si="69"/>
        <v>0</v>
      </c>
      <c r="V114" s="688">
        <f t="shared" ca="1" si="69"/>
        <v>0</v>
      </c>
      <c r="W114" s="688">
        <f t="shared" ca="1" si="69"/>
        <v>0</v>
      </c>
      <c r="X114" s="688">
        <f t="shared" ca="1" si="69"/>
        <v>0</v>
      </c>
      <c r="Y114" s="686">
        <f t="shared" ca="1" si="59"/>
        <v>0</v>
      </c>
    </row>
    <row r="115" spans="1:25" x14ac:dyDescent="0.25">
      <c r="A115" s="267" t="s">
        <v>537</v>
      </c>
      <c r="B115" s="688">
        <f t="shared" ca="1" si="60"/>
        <v>3.134451629110766E-3</v>
      </c>
      <c r="C115" s="688">
        <f t="shared" ca="1" si="61"/>
        <v>5.4737289620489593E-3</v>
      </c>
      <c r="D115" s="688">
        <f t="shared" ca="1" si="62"/>
        <v>4.3746085610780897E-4</v>
      </c>
      <c r="E115" s="688">
        <f t="shared" ca="1" si="63"/>
        <v>4.046512918997232E-3</v>
      </c>
      <c r="F115" s="688">
        <f t="shared" ca="1" si="64"/>
        <v>4.046512918997232E-3</v>
      </c>
      <c r="G115" s="688">
        <f t="shared" ca="1" si="65"/>
        <v>9.8264644803216619E-5</v>
      </c>
      <c r="H115" s="688">
        <f t="shared" ca="1" si="66"/>
        <v>1.3577691321446121E-2</v>
      </c>
      <c r="I115" s="686">
        <f t="shared" ca="1" si="67"/>
        <v>41.936696617896999</v>
      </c>
      <c r="J115" s="688">
        <f t="shared" ca="1" si="54"/>
        <v>3.134451629110766E-3</v>
      </c>
      <c r="K115" s="688">
        <f t="shared" ca="1" si="68"/>
        <v>5.4737289620489593E-3</v>
      </c>
      <c r="L115" s="688">
        <f t="shared" ca="1" si="68"/>
        <v>4.3746085610780897E-4</v>
      </c>
      <c r="M115" s="688">
        <f t="shared" ca="1" si="68"/>
        <v>4.046512918997232E-3</v>
      </c>
      <c r="N115" s="688">
        <f t="shared" ca="1" si="68"/>
        <v>4.046512918997232E-3</v>
      </c>
      <c r="O115" s="688">
        <f t="shared" ca="1" si="68"/>
        <v>9.8264644803216619E-5</v>
      </c>
      <c r="P115" s="688">
        <f t="shared" ca="1" si="68"/>
        <v>1.3577691321446121E-2</v>
      </c>
      <c r="Q115" s="686">
        <f t="shared" ca="1" si="56"/>
        <v>41.936696617896999</v>
      </c>
      <c r="R115" s="688">
        <f t="shared" ca="1" si="57"/>
        <v>0</v>
      </c>
      <c r="S115" s="688">
        <f t="shared" ca="1" si="69"/>
        <v>0</v>
      </c>
      <c r="T115" s="688">
        <f t="shared" ca="1" si="69"/>
        <v>0</v>
      </c>
      <c r="U115" s="688">
        <f t="shared" ca="1" si="69"/>
        <v>0</v>
      </c>
      <c r="V115" s="688">
        <f t="shared" ca="1" si="69"/>
        <v>0</v>
      </c>
      <c r="W115" s="688">
        <f t="shared" ca="1" si="69"/>
        <v>0</v>
      </c>
      <c r="X115" s="688">
        <f t="shared" ca="1" si="69"/>
        <v>0</v>
      </c>
      <c r="Y115" s="686">
        <f t="shared" ca="1" si="59"/>
        <v>0</v>
      </c>
    </row>
    <row r="116" spans="1:25" x14ac:dyDescent="0.25">
      <c r="A116" s="267" t="s">
        <v>534</v>
      </c>
      <c r="B116" s="688">
        <f t="shared" ca="1" si="60"/>
        <v>7.4849229128133882E-2</v>
      </c>
      <c r="C116" s="688">
        <f t="shared" ca="1" si="61"/>
        <v>2.6588515415636661E-3</v>
      </c>
      <c r="D116" s="688">
        <f t="shared" ca="1" si="62"/>
        <v>6.5946457381615801E-4</v>
      </c>
      <c r="E116" s="688">
        <f t="shared" ca="1" si="63"/>
        <v>1.6272539086200379E-2</v>
      </c>
      <c r="F116" s="688">
        <f t="shared" ca="1" si="64"/>
        <v>1.6272539086200379E-2</v>
      </c>
      <c r="G116" s="688">
        <f t="shared" ca="1" si="65"/>
        <v>4.0187535301034421E-4</v>
      </c>
      <c r="H116" s="688">
        <f t="shared" ca="1" si="66"/>
        <v>9.9860521901528623E-2</v>
      </c>
      <c r="I116" s="686">
        <f t="shared" ca="1" si="67"/>
        <v>52.92078294655191</v>
      </c>
      <c r="J116" s="688">
        <f t="shared" ca="1" si="54"/>
        <v>7.4849229128133882E-2</v>
      </c>
      <c r="K116" s="688">
        <f t="shared" ca="1" si="68"/>
        <v>2.6588515415636661E-3</v>
      </c>
      <c r="L116" s="688">
        <f t="shared" ca="1" si="68"/>
        <v>6.5946457381615801E-4</v>
      </c>
      <c r="M116" s="688">
        <f t="shared" ca="1" si="68"/>
        <v>1.6272539086200379E-2</v>
      </c>
      <c r="N116" s="688">
        <f t="shared" ca="1" si="68"/>
        <v>1.6272539086200379E-2</v>
      </c>
      <c r="O116" s="688">
        <f t="shared" ca="1" si="68"/>
        <v>4.0187535301034421E-4</v>
      </c>
      <c r="P116" s="688">
        <f t="shared" ca="1" si="68"/>
        <v>9.9860521901528623E-2</v>
      </c>
      <c r="Q116" s="686">
        <f t="shared" ca="1" si="56"/>
        <v>52.92078294655191</v>
      </c>
      <c r="R116" s="688">
        <f t="shared" ca="1" si="57"/>
        <v>0</v>
      </c>
      <c r="S116" s="688">
        <f t="shared" ca="1" si="69"/>
        <v>0</v>
      </c>
      <c r="T116" s="688">
        <f t="shared" ca="1" si="69"/>
        <v>0</v>
      </c>
      <c r="U116" s="688">
        <f t="shared" ca="1" si="69"/>
        <v>0</v>
      </c>
      <c r="V116" s="688">
        <f t="shared" ca="1" si="69"/>
        <v>0</v>
      </c>
      <c r="W116" s="688">
        <f t="shared" ca="1" si="69"/>
        <v>0</v>
      </c>
      <c r="X116" s="688">
        <f t="shared" ca="1" si="69"/>
        <v>0</v>
      </c>
      <c r="Y116" s="686">
        <f t="shared" ca="1" si="59"/>
        <v>0</v>
      </c>
    </row>
    <row r="117" spans="1:25" x14ac:dyDescent="0.25">
      <c r="A117" t="s">
        <v>400</v>
      </c>
      <c r="B117" s="5">
        <f t="shared" ref="B117:B125" ca="1" si="70">J117+R117</f>
        <v>1.5457839177026735E-5</v>
      </c>
      <c r="C117" s="5">
        <f t="shared" ref="C117:C125" ca="1" si="71">K117+S117</f>
        <v>2.4317825755279542E-4</v>
      </c>
      <c r="D117" s="5">
        <f t="shared" ref="D117:D125" ca="1" si="72">L117+T117</f>
        <v>6.2660787570855509E-4</v>
      </c>
      <c r="E117" s="5">
        <f t="shared" ref="E117:E125" ca="1" si="73">M117+U117</f>
        <v>9.8908845113730484E-6</v>
      </c>
      <c r="F117" s="5">
        <f t="shared" ref="F117:F125" ca="1" si="74">N117+V117</f>
        <v>9.8908845113730484E-6</v>
      </c>
      <c r="G117" s="5">
        <f t="shared" ref="G117:G125" ca="1" si="75">O117+W117</f>
        <v>5.3108266939972132E-7</v>
      </c>
      <c r="H117" s="5">
        <f t="shared" ref="H117:H125" ca="1" si="76">P117+X117</f>
        <v>9.7092932880315627E-6</v>
      </c>
      <c r="I117" s="134">
        <f t="shared" ref="I117:I125" ca="1" si="77">Q117+Y117</f>
        <v>5.8112112838470606</v>
      </c>
      <c r="J117" s="5">
        <f ca="1">$Q117*B$76/2000</f>
        <v>4.4880184530023921E-7</v>
      </c>
      <c r="K117" s="5">
        <f t="shared" ref="K117:P117" ca="1" si="78">$Q117*C$76/2000</f>
        <v>7.0604208956186029E-6</v>
      </c>
      <c r="L117" s="5">
        <f t="shared" ca="1" si="78"/>
        <v>1.8192890201342797E-5</v>
      </c>
      <c r="M117" s="5">
        <f t="shared" ca="1" si="78"/>
        <v>2.8717126433512396E-7</v>
      </c>
      <c r="N117" s="5">
        <f t="shared" ca="1" si="78"/>
        <v>2.8717126433512396E-7</v>
      </c>
      <c r="O117" s="5">
        <f t="shared" ca="1" si="78"/>
        <v>1.5419417895601229E-8</v>
      </c>
      <c r="P117" s="5">
        <f t="shared" ca="1" si="78"/>
        <v>2.8189895717804673E-7</v>
      </c>
      <c r="Q117" s="134">
        <f t="shared" ref="Q117:Q124" ca="1" si="79">$N52/$N$60*($H$103/$H$98)</f>
        <v>0.16872231090980916</v>
      </c>
      <c r="R117" s="5">
        <f ca="1">$Y117*B$76/2000</f>
        <v>1.5009037331726496E-5</v>
      </c>
      <c r="S117" s="5">
        <f t="shared" ref="S117:X117" ca="1" si="80">$Y117*C$76/2000</f>
        <v>2.3611783665717682E-4</v>
      </c>
      <c r="T117" s="5">
        <f t="shared" ca="1" si="80"/>
        <v>6.0841498550721234E-4</v>
      </c>
      <c r="U117" s="5">
        <f t="shared" ca="1" si="80"/>
        <v>9.6037132470379246E-6</v>
      </c>
      <c r="V117" s="5">
        <f t="shared" ca="1" si="80"/>
        <v>9.6037132470379246E-6</v>
      </c>
      <c r="W117" s="5">
        <f t="shared" ca="1" si="80"/>
        <v>5.1566325150412012E-7</v>
      </c>
      <c r="X117" s="5">
        <f t="shared" ca="1" si="80"/>
        <v>9.4273943308535163E-6</v>
      </c>
      <c r="Y117" s="134">
        <f t="shared" ref="Y117:Y124" ca="1" si="81">$P52*B$8/$C$103</f>
        <v>5.6424889729372518</v>
      </c>
    </row>
    <row r="118" spans="1:25" x14ac:dyDescent="0.25">
      <c r="A118" t="s">
        <v>403</v>
      </c>
      <c r="B118" s="5">
        <f t="shared" ca="1" si="70"/>
        <v>1.2987357564719859E-6</v>
      </c>
      <c r="C118" s="5">
        <f t="shared" ca="1" si="71"/>
        <v>2.0431335496732532E-5</v>
      </c>
      <c r="D118" s="5">
        <f t="shared" ca="1" si="72"/>
        <v>5.2646300957711589E-5</v>
      </c>
      <c r="E118" s="5">
        <f t="shared" ca="1" si="73"/>
        <v>8.3101171068891549E-7</v>
      </c>
      <c r="F118" s="5">
        <f t="shared" ca="1" si="74"/>
        <v>8.3101171068891549E-7</v>
      </c>
      <c r="G118" s="5">
        <f t="shared" ca="1" si="75"/>
        <v>4.4620470202399737E-8</v>
      </c>
      <c r="H118" s="5">
        <f t="shared" ca="1" si="76"/>
        <v>8.1575479074595353E-7</v>
      </c>
      <c r="I118" s="134">
        <f t="shared" ca="1" si="77"/>
        <v>0.48824598291605059</v>
      </c>
      <c r="J118" s="5">
        <f t="shared" ref="J118:J125" ca="1" si="82">$Q118*B$76/2000</f>
        <v>3.9750756416090825E-8</v>
      </c>
      <c r="K118" s="5">
        <f t="shared" ref="K118:K125" ca="1" si="83">$Q118*C$76/2000</f>
        <v>6.2534740923148171E-7</v>
      </c>
      <c r="L118" s="5">
        <f t="shared" ref="L118:L125" ca="1" si="84">$Q118*D$76/2000</f>
        <v>1.6113595665242187E-6</v>
      </c>
      <c r="M118" s="5">
        <f t="shared" ref="M118:M125" ca="1" si="85">$Q118*E$76/2000</f>
        <v>2.5435000095977233E-8</v>
      </c>
      <c r="N118" s="5">
        <f t="shared" ref="N118:N125" ca="1" si="86">$Q118*F$76/2000</f>
        <v>2.5435000095977233E-8</v>
      </c>
      <c r="O118" s="5">
        <f t="shared" ref="O118:O125" ca="1" si="87">$Q118*G$76/2000</f>
        <v>1.3657107947849822E-9</v>
      </c>
      <c r="P118" s="5">
        <f t="shared" ref="P118:P125" ca="1" si="88">$Q118*H$76/2000</f>
        <v>2.496802742252134E-8</v>
      </c>
      <c r="Q118" s="134">
        <f t="shared" ca="1" si="79"/>
        <v>1.4943876798120179E-2</v>
      </c>
      <c r="R118" s="5">
        <f t="shared" ref="R118:R124" ca="1" si="89">$Y118*B$76/2000</f>
        <v>1.258985000055895E-6</v>
      </c>
      <c r="S118" s="5">
        <f t="shared" ref="S118:S125" ca="1" si="90">$Y118*C$76/2000</f>
        <v>1.9805988087501052E-5</v>
      </c>
      <c r="T118" s="5">
        <f t="shared" ref="T118:T125" ca="1" si="91">$Y118*D$76/2000</f>
        <v>5.1034941391187368E-5</v>
      </c>
      <c r="U118" s="5">
        <f t="shared" ref="U118:U125" ca="1" si="92">$Y118*E$76/2000</f>
        <v>8.0557671059293828E-7</v>
      </c>
      <c r="V118" s="5">
        <f t="shared" ref="V118:V125" ca="1" si="93">$Y118*F$76/2000</f>
        <v>8.0557671059293828E-7</v>
      </c>
      <c r="W118" s="5">
        <f t="shared" ref="W118:W125" ca="1" si="94">$Y118*G$76/2000</f>
        <v>4.3254759407614752E-8</v>
      </c>
      <c r="X118" s="5">
        <f t="shared" ref="X118:X125" ca="1" si="95">$Y118*H$76/2000</f>
        <v>7.9078676332343219E-7</v>
      </c>
      <c r="Y118" s="134">
        <f t="shared" ca="1" si="81"/>
        <v>0.47330210611793039</v>
      </c>
    </row>
    <row r="119" spans="1:25" x14ac:dyDescent="0.25">
      <c r="A119" t="s">
        <v>404</v>
      </c>
      <c r="B119" s="5">
        <f t="shared" ca="1" si="70"/>
        <v>3.1234175011724601E-5</v>
      </c>
      <c r="C119" s="5">
        <f t="shared" ca="1" si="71"/>
        <v>4.9136701245660241E-4</v>
      </c>
      <c r="D119" s="5">
        <f t="shared" ca="1" si="72"/>
        <v>1.2661265154506876E-3</v>
      </c>
      <c r="E119" s="5">
        <f t="shared" ca="1" si="73"/>
        <v>1.9985562943889054E-5</v>
      </c>
      <c r="F119" s="5">
        <f t="shared" ca="1" si="74"/>
        <v>1.9985562943889054E-5</v>
      </c>
      <c r="G119" s="5">
        <f t="shared" ca="1" si="75"/>
        <v>1.0731078808464745E-6</v>
      </c>
      <c r="H119" s="5">
        <f t="shared" ca="1" si="76"/>
        <v>1.9618638952412251E-5</v>
      </c>
      <c r="I119" s="134">
        <f t="shared" ca="1" si="77"/>
        <v>11.742158020348899</v>
      </c>
      <c r="J119" s="5">
        <f t="shared" ca="1" si="82"/>
        <v>8.0431175905375849E-7</v>
      </c>
      <c r="K119" s="5">
        <f t="shared" ca="1" si="83"/>
        <v>1.2653200091937955E-5</v>
      </c>
      <c r="L119" s="5">
        <f t="shared" ca="1" si="84"/>
        <v>3.2604044910566031E-5</v>
      </c>
      <c r="M119" s="5">
        <f t="shared" ca="1" si="85"/>
        <v>5.146485630257552E-7</v>
      </c>
      <c r="N119" s="5">
        <f t="shared" ca="1" si="86"/>
        <v>5.146485630257552E-7</v>
      </c>
      <c r="O119" s="5">
        <f t="shared" ca="1" si="87"/>
        <v>2.763361884775525E-8</v>
      </c>
      <c r="P119" s="5">
        <f t="shared" ca="1" si="88"/>
        <v>5.0519989723218284E-7</v>
      </c>
      <c r="Q119" s="134">
        <f t="shared" ca="1" si="79"/>
        <v>0.30237250604150179</v>
      </c>
      <c r="R119" s="5">
        <f t="shared" ca="1" si="89"/>
        <v>3.042986325267084E-5</v>
      </c>
      <c r="S119" s="5">
        <f t="shared" ca="1" si="90"/>
        <v>4.7871381236466444E-4</v>
      </c>
      <c r="T119" s="5">
        <f t="shared" ca="1" si="91"/>
        <v>1.2335224705401215E-3</v>
      </c>
      <c r="U119" s="5">
        <f t="shared" ca="1" si="92"/>
        <v>1.9470914380863298E-5</v>
      </c>
      <c r="V119" s="5">
        <f t="shared" ca="1" si="93"/>
        <v>1.9470914380863298E-5</v>
      </c>
      <c r="W119" s="5">
        <f t="shared" ca="1" si="94"/>
        <v>1.0454742619987193E-6</v>
      </c>
      <c r="X119" s="5">
        <f t="shared" ca="1" si="95"/>
        <v>1.9113439055180069E-5</v>
      </c>
      <c r="Y119" s="134">
        <f t="shared" ca="1" si="81"/>
        <v>11.439785514307397</v>
      </c>
    </row>
    <row r="120" spans="1:25" x14ac:dyDescent="0.25">
      <c r="A120" t="s">
        <v>555</v>
      </c>
      <c r="B120" s="5">
        <f t="shared" ca="1" si="70"/>
        <v>4.3675602728494311E-6</v>
      </c>
      <c r="C120" s="5">
        <f t="shared" ca="1" si="71"/>
        <v>6.8709195686730325E-5</v>
      </c>
      <c r="D120" s="5">
        <f t="shared" ca="1" si="72"/>
        <v>1.7704593981457525E-4</v>
      </c>
      <c r="E120" s="5">
        <f t="shared" ca="1" si="73"/>
        <v>2.7946360264516531E-6</v>
      </c>
      <c r="F120" s="5">
        <f t="shared" ca="1" si="74"/>
        <v>2.7946360264516531E-6</v>
      </c>
      <c r="G120" s="5">
        <f t="shared" ca="1" si="75"/>
        <v>1.5005561527100881E-7</v>
      </c>
      <c r="H120" s="5">
        <f t="shared" ca="1" si="76"/>
        <v>2.7433280393596979E-6</v>
      </c>
      <c r="I120" s="134">
        <f t="shared" ca="1" si="77"/>
        <v>1.6419381292428918</v>
      </c>
      <c r="J120" s="5">
        <f t="shared" ca="1" si="82"/>
        <v>1.3367909805629336E-7</v>
      </c>
      <c r="K120" s="5">
        <f t="shared" ca="1" si="83"/>
        <v>2.1030009281550485E-6</v>
      </c>
      <c r="L120" s="5">
        <f t="shared" ca="1" si="84"/>
        <v>5.4188929448935704E-6</v>
      </c>
      <c r="M120" s="5">
        <f t="shared" ca="1" si="85"/>
        <v>8.5536180401226865E-8</v>
      </c>
      <c r="N120" s="5">
        <f t="shared" ca="1" si="86"/>
        <v>8.5536180401226865E-8</v>
      </c>
      <c r="O120" s="5">
        <f t="shared" ca="1" si="87"/>
        <v>4.5927927846600202E-9</v>
      </c>
      <c r="P120" s="5">
        <f t="shared" ca="1" si="88"/>
        <v>8.3965782969009691E-8</v>
      </c>
      <c r="Q120" s="134">
        <f t="shared" ca="1" si="79"/>
        <v>5.0255244225451426E-2</v>
      </c>
      <c r="R120" s="5">
        <f t="shared" ca="1" si="89"/>
        <v>4.2338811747931379E-6</v>
      </c>
      <c r="S120" s="5">
        <f t="shared" ca="1" si="90"/>
        <v>6.660619475857528E-5</v>
      </c>
      <c r="T120" s="5">
        <f t="shared" ca="1" si="91"/>
        <v>1.7162704686968168E-4</v>
      </c>
      <c r="U120" s="5">
        <f t="shared" ca="1" si="92"/>
        <v>2.7090998460504261E-6</v>
      </c>
      <c r="V120" s="5">
        <f t="shared" ca="1" si="93"/>
        <v>2.7090998460504261E-6</v>
      </c>
      <c r="W120" s="5">
        <f t="shared" ca="1" si="94"/>
        <v>1.454628224863488E-7</v>
      </c>
      <c r="X120" s="5">
        <f t="shared" ca="1" si="95"/>
        <v>2.6593622563906882E-6</v>
      </c>
      <c r="Y120" s="134">
        <f t="shared" ca="1" si="81"/>
        <v>1.5916828850174405</v>
      </c>
    </row>
    <row r="121" spans="1:25" x14ac:dyDescent="0.25">
      <c r="A121" t="s">
        <v>556</v>
      </c>
      <c r="B121" s="5">
        <f t="shared" ca="1" si="70"/>
        <v>9.85875640321989E-5</v>
      </c>
      <c r="C121" s="5">
        <f t="shared" ca="1" si="71"/>
        <v>1.5509510587582761E-3</v>
      </c>
      <c r="D121" s="5">
        <f t="shared" ca="1" si="72"/>
        <v>3.9964023019017888E-3</v>
      </c>
      <c r="E121" s="5">
        <f t="shared" ca="1" si="73"/>
        <v>6.3082439850278965E-5</v>
      </c>
      <c r="F121" s="5">
        <f t="shared" ca="1" si="74"/>
        <v>6.3082439850278965E-5</v>
      </c>
      <c r="G121" s="5">
        <f t="shared" ca="1" si="75"/>
        <v>3.3871581969652156E-6</v>
      </c>
      <c r="H121" s="5">
        <f t="shared" ca="1" si="76"/>
        <v>6.1924280798820419E-5</v>
      </c>
      <c r="I121" s="134">
        <f t="shared" ca="1" si="77"/>
        <v>37.062952848051744</v>
      </c>
      <c r="J121" s="5">
        <f t="shared" ca="1" si="82"/>
        <v>2.7121310043626979E-6</v>
      </c>
      <c r="K121" s="5">
        <f t="shared" ca="1" si="83"/>
        <v>4.2666460967974215E-5</v>
      </c>
      <c r="L121" s="5">
        <f t="shared" ca="1" si="84"/>
        <v>1.0994050512653233E-4</v>
      </c>
      <c r="M121" s="5">
        <f t="shared" ca="1" si="85"/>
        <v>1.7353896774740162E-6</v>
      </c>
      <c r="N121" s="5">
        <f t="shared" ca="1" si="86"/>
        <v>1.7353896774740162E-6</v>
      </c>
      <c r="O121" s="5">
        <f t="shared" ca="1" si="87"/>
        <v>9.3180279407961757E-8</v>
      </c>
      <c r="P121" s="5">
        <f t="shared" ca="1" si="88"/>
        <v>1.7035288733018172E-6</v>
      </c>
      <c r="Q121" s="134">
        <f t="shared" ca="1" si="79"/>
        <v>1.019596989936824</v>
      </c>
      <c r="R121" s="5">
        <f t="shared" ca="1" si="89"/>
        <v>9.5875433027836204E-5</v>
      </c>
      <c r="S121" s="5">
        <f t="shared" ca="1" si="90"/>
        <v>1.5082845977903018E-3</v>
      </c>
      <c r="T121" s="5">
        <f t="shared" ca="1" si="91"/>
        <v>3.8864617967752568E-3</v>
      </c>
      <c r="U121" s="5">
        <f t="shared" ca="1" si="92"/>
        <v>6.1347050172804951E-5</v>
      </c>
      <c r="V121" s="5">
        <f t="shared" ca="1" si="93"/>
        <v>6.1347050172804951E-5</v>
      </c>
      <c r="W121" s="5">
        <f t="shared" ca="1" si="94"/>
        <v>3.2939779175572536E-6</v>
      </c>
      <c r="X121" s="5">
        <f t="shared" ca="1" si="95"/>
        <v>6.0220751925518604E-5</v>
      </c>
      <c r="Y121" s="134">
        <f t="shared" ca="1" si="81"/>
        <v>36.043355858114921</v>
      </c>
    </row>
    <row r="122" spans="1:25" x14ac:dyDescent="0.25">
      <c r="A122" t="s">
        <v>557</v>
      </c>
      <c r="B122" s="5">
        <f t="shared" ca="1" si="70"/>
        <v>2.4043861820659299E-6</v>
      </c>
      <c r="C122" s="5">
        <f t="shared" ca="1" si="71"/>
        <v>3.7825108383051189E-5</v>
      </c>
      <c r="D122" s="5">
        <f t="shared" ca="1" si="72"/>
        <v>9.7465583686912594E-5</v>
      </c>
      <c r="E122" s="5">
        <f t="shared" ca="1" si="73"/>
        <v>1.538475447648536E-6</v>
      </c>
      <c r="F122" s="5">
        <f t="shared" ca="1" si="74"/>
        <v>1.538475447648536E-6</v>
      </c>
      <c r="G122" s="5">
        <f t="shared" ca="1" si="75"/>
        <v>8.2607136561307608E-8</v>
      </c>
      <c r="H122" s="5">
        <f t="shared" ca="1" si="76"/>
        <v>1.5102298809049248E-6</v>
      </c>
      <c r="I122" s="134">
        <f t="shared" ca="1" si="77"/>
        <v>0.90390357616820738</v>
      </c>
      <c r="J122" s="5">
        <f t="shared" ca="1" si="82"/>
        <v>1.0872367933937114E-7</v>
      </c>
      <c r="K122" s="5">
        <f t="shared" ca="1" si="83"/>
        <v>1.7104094947352558E-6</v>
      </c>
      <c r="L122" s="5">
        <f t="shared" ca="1" si="84"/>
        <v>4.4072857124371698E-6</v>
      </c>
      <c r="M122" s="5">
        <f t="shared" ca="1" si="85"/>
        <v>6.956815526943014E-8</v>
      </c>
      <c r="N122" s="5">
        <f t="shared" ca="1" si="86"/>
        <v>6.956815526943014E-8</v>
      </c>
      <c r="O122" s="5">
        <f t="shared" ca="1" si="87"/>
        <v>3.7354031950550352E-9</v>
      </c>
      <c r="P122" s="5">
        <f t="shared" ca="1" si="88"/>
        <v>6.8290922034479278E-8</v>
      </c>
      <c r="Q122" s="134">
        <f t="shared" ca="1" si="79"/>
        <v>4.0873518281735091E-2</v>
      </c>
      <c r="R122" s="5">
        <f t="shared" ca="1" si="89"/>
        <v>2.2956625027265586E-6</v>
      </c>
      <c r="S122" s="5">
        <f t="shared" ca="1" si="90"/>
        <v>3.6114698888315933E-5</v>
      </c>
      <c r="T122" s="5">
        <f t="shared" ca="1" si="91"/>
        <v>9.3058297974475419E-5</v>
      </c>
      <c r="U122" s="5">
        <f t="shared" ca="1" si="92"/>
        <v>1.4689072923791059E-6</v>
      </c>
      <c r="V122" s="5">
        <f t="shared" ca="1" si="93"/>
        <v>1.4689072923791059E-6</v>
      </c>
      <c r="W122" s="5">
        <f t="shared" ca="1" si="94"/>
        <v>7.8871733366252577E-8</v>
      </c>
      <c r="X122" s="5">
        <f t="shared" ca="1" si="95"/>
        <v>1.4419389588704456E-6</v>
      </c>
      <c r="Y122" s="134">
        <f t="shared" ca="1" si="81"/>
        <v>0.86303005788647225</v>
      </c>
    </row>
    <row r="123" spans="1:25" x14ac:dyDescent="0.25">
      <c r="A123" t="s">
        <v>558</v>
      </c>
      <c r="B123" s="5">
        <f t="shared" ca="1" si="70"/>
        <v>1.8977261043457129E-5</v>
      </c>
      <c r="C123" s="5">
        <f t="shared" ca="1" si="71"/>
        <v>2.9854478500015687E-4</v>
      </c>
      <c r="D123" s="5">
        <f t="shared" ca="1" si="72"/>
        <v>7.692731883819897E-4</v>
      </c>
      <c r="E123" s="5">
        <f t="shared" ca="1" si="73"/>
        <v>1.2142828966804992E-5</v>
      </c>
      <c r="F123" s="5">
        <f t="shared" ca="1" si="74"/>
        <v>1.2142828966804992E-5</v>
      </c>
      <c r="G123" s="5">
        <f t="shared" ca="1" si="75"/>
        <v>6.5199892025226247E-7</v>
      </c>
      <c r="H123" s="5">
        <f t="shared" ca="1" si="76"/>
        <v>1.1919893276435428E-5</v>
      </c>
      <c r="I123" s="134">
        <f t="shared" ca="1" si="77"/>
        <v>7.1343007421210265</v>
      </c>
      <c r="J123" s="5">
        <f t="shared" ca="1" si="82"/>
        <v>3.5879307469240939E-7</v>
      </c>
      <c r="K123" s="5">
        <f t="shared" ca="1" si="83"/>
        <v>5.6444289351503316E-6</v>
      </c>
      <c r="L123" s="5">
        <f t="shared" ca="1" si="84"/>
        <v>1.4544242812804024E-5</v>
      </c>
      <c r="M123" s="5">
        <f t="shared" ca="1" si="85"/>
        <v>2.2957806874697101E-7</v>
      </c>
      <c r="N123" s="5">
        <f t="shared" ca="1" si="86"/>
        <v>2.2957806874697101E-7</v>
      </c>
      <c r="O123" s="5">
        <f t="shared" ca="1" si="87"/>
        <v>1.2327000021644021E-8</v>
      </c>
      <c r="P123" s="5">
        <f t="shared" ca="1" si="88"/>
        <v>2.2536314112263148E-7</v>
      </c>
      <c r="Q123" s="134">
        <f t="shared" ca="1" si="79"/>
        <v>0.13488446479100696</v>
      </c>
      <c r="R123" s="5">
        <f t="shared" ca="1" si="89"/>
        <v>1.8618467968764719E-5</v>
      </c>
      <c r="S123" s="5">
        <f t="shared" ca="1" si="90"/>
        <v>2.9290035606500654E-4</v>
      </c>
      <c r="T123" s="5">
        <f t="shared" ca="1" si="91"/>
        <v>7.5472894556918564E-4</v>
      </c>
      <c r="U123" s="5">
        <f t="shared" ca="1" si="92"/>
        <v>1.191325089805802E-5</v>
      </c>
      <c r="V123" s="5">
        <f t="shared" ca="1" si="93"/>
        <v>1.191325089805802E-5</v>
      </c>
      <c r="W123" s="5">
        <f t="shared" ca="1" si="94"/>
        <v>6.3967192023061847E-7</v>
      </c>
      <c r="X123" s="5">
        <f t="shared" ca="1" si="95"/>
        <v>1.1694530135312797E-5</v>
      </c>
      <c r="Y123" s="134">
        <f t="shared" ca="1" si="81"/>
        <v>6.9994162773300195</v>
      </c>
    </row>
    <row r="124" spans="1:25" x14ac:dyDescent="0.25">
      <c r="A124" t="s">
        <v>559</v>
      </c>
      <c r="B124" s="5">
        <f t="shared" ca="1" si="70"/>
        <v>1.5118748463228569E-5</v>
      </c>
      <c r="C124" s="5">
        <f t="shared" ca="1" si="71"/>
        <v>2.3784378046389401E-4</v>
      </c>
      <c r="D124" s="5">
        <f t="shared" ca="1" si="72"/>
        <v>6.1286229914948799E-4</v>
      </c>
      <c r="E124" s="5">
        <f t="shared" ca="1" si="73"/>
        <v>9.6739132354626855E-6</v>
      </c>
      <c r="F124" s="5">
        <f t="shared" ca="1" si="74"/>
        <v>9.6739132354626855E-6</v>
      </c>
      <c r="G124" s="5">
        <f t="shared" ca="1" si="75"/>
        <v>5.1943258044548848E-7</v>
      </c>
      <c r="H124" s="5">
        <f t="shared" ca="1" si="76"/>
        <v>9.4963054859325879E-6</v>
      </c>
      <c r="I124" s="134">
        <f t="shared" ca="1" si="77"/>
        <v>5.6837337134243962</v>
      </c>
      <c r="J124" s="5">
        <f t="shared" ca="1" si="82"/>
        <v>4.5276838568204704E-7</v>
      </c>
      <c r="K124" s="5">
        <f t="shared" ca="1" si="83"/>
        <v>7.1228213623018351E-6</v>
      </c>
      <c r="L124" s="5">
        <f t="shared" ca="1" si="84"/>
        <v>1.8353680167785882E-5</v>
      </c>
      <c r="M124" s="5">
        <f t="shared" ca="1" si="85"/>
        <v>2.8970930295597248E-7</v>
      </c>
      <c r="N124" s="5">
        <f t="shared" ca="1" si="86"/>
        <v>2.8970930295597248E-7</v>
      </c>
      <c r="O124" s="5">
        <f t="shared" ca="1" si="87"/>
        <v>1.5555695730434901E-8</v>
      </c>
      <c r="P124" s="5">
        <f t="shared" ca="1" si="88"/>
        <v>2.8439039879965636E-7</v>
      </c>
      <c r="Q124" s="134">
        <f t="shared" ca="1" si="79"/>
        <v>0.17021348984889748</v>
      </c>
      <c r="R124" s="5">
        <f t="shared" ca="1" si="89"/>
        <v>1.4665980077546522E-5</v>
      </c>
      <c r="S124" s="5">
        <f t="shared" ca="1" si="90"/>
        <v>2.3072095910159219E-4</v>
      </c>
      <c r="T124" s="5">
        <f t="shared" ca="1" si="91"/>
        <v>5.9450861898170215E-4</v>
      </c>
      <c r="U124" s="5">
        <f t="shared" ca="1" si="92"/>
        <v>9.3842039325067122E-6</v>
      </c>
      <c r="V124" s="5">
        <f t="shared" ca="1" si="93"/>
        <v>9.3842039325067122E-6</v>
      </c>
      <c r="W124" s="5">
        <f t="shared" ca="1" si="94"/>
        <v>5.0387688471505363E-7</v>
      </c>
      <c r="X124" s="5">
        <f t="shared" ca="1" si="95"/>
        <v>9.2119150871329309E-6</v>
      </c>
      <c r="Y124" s="134">
        <f t="shared" ca="1" si="81"/>
        <v>5.5135202235754983</v>
      </c>
    </row>
    <row r="125" spans="1:25" x14ac:dyDescent="0.25">
      <c r="A125" s="3" t="s">
        <v>408</v>
      </c>
      <c r="B125" s="360">
        <f t="shared" ca="1" si="70"/>
        <v>1.9050012766726921E-3</v>
      </c>
      <c r="C125" s="360">
        <f t="shared" ca="1" si="71"/>
        <v>2.9968929408037838E-2</v>
      </c>
      <c r="D125" s="360">
        <f t="shared" ca="1" si="72"/>
        <v>7.7222229415609883E-2</v>
      </c>
      <c r="E125" s="360">
        <f t="shared" ca="1" si="73"/>
        <v>1.2189380032877298E-3</v>
      </c>
      <c r="F125" s="360">
        <f t="shared" ca="1" si="74"/>
        <v>1.2189380032877298E-3</v>
      </c>
      <c r="G125" s="360">
        <f t="shared" ca="1" si="75"/>
        <v>6.5449844033104384E-5</v>
      </c>
      <c r="H125" s="360">
        <f t="shared" ca="1" si="76"/>
        <v>1.1965589690426195E-3</v>
      </c>
      <c r="I125" s="136">
        <f t="shared" ca="1" si="77"/>
        <v>716.16509836614523</v>
      </c>
      <c r="J125" s="360">
        <f t="shared" ca="1" si="82"/>
        <v>1.186649824365149E-3</v>
      </c>
      <c r="K125" s="360">
        <f t="shared" ca="1" si="83"/>
        <v>1.8668032013382133E-2</v>
      </c>
      <c r="L125" s="360">
        <f t="shared" ca="1" si="84"/>
        <v>4.810272102975767E-2</v>
      </c>
      <c r="M125" s="360">
        <f t="shared" ca="1" si="85"/>
        <v>7.5929217750435784E-4</v>
      </c>
      <c r="N125" s="360">
        <f t="shared" ca="1" si="86"/>
        <v>7.5929217750435784E-4</v>
      </c>
      <c r="O125" s="360">
        <f t="shared" ca="1" si="87"/>
        <v>4.076955059172588E-5</v>
      </c>
      <c r="P125" s="360">
        <f t="shared" ca="1" si="88"/>
        <v>7.4535198891676532E-4</v>
      </c>
      <c r="Q125" s="492">
        <f ca="1">$N$60*($H$98/$G$98)</f>
        <v>446.10846123787172</v>
      </c>
      <c r="R125" s="360">
        <f ca="1">$Y125*B$76/2000</f>
        <v>7.1835145230754308E-4</v>
      </c>
      <c r="S125" s="360">
        <f t="shared" ca="1" si="90"/>
        <v>1.1300897394655706E-2</v>
      </c>
      <c r="T125" s="360">
        <f t="shared" ca="1" si="91"/>
        <v>2.9119508385852217E-2</v>
      </c>
      <c r="U125" s="360">
        <f t="shared" ca="1" si="92"/>
        <v>4.5964582578337203E-4</v>
      </c>
      <c r="V125" s="360">
        <f t="shared" ca="1" si="93"/>
        <v>4.5964582578337203E-4</v>
      </c>
      <c r="W125" s="360">
        <f t="shared" ca="1" si="94"/>
        <v>2.4680293441378504E-5</v>
      </c>
      <c r="X125" s="360">
        <f t="shared" ca="1" si="95"/>
        <v>4.5120698012585423E-4</v>
      </c>
      <c r="Y125" s="136">
        <f ca="1">Y89</f>
        <v>270.05663712827345</v>
      </c>
    </row>
    <row r="126" spans="1:25" x14ac:dyDescent="0.25">
      <c r="A126" s="84" t="s">
        <v>249</v>
      </c>
      <c r="B126" s="450">
        <f t="shared" ref="B126:Y126" ca="1" si="96">SUM(B109:B125)</f>
        <v>0.75389040073591496</v>
      </c>
      <c r="C126" s="450">
        <f t="shared" ca="1" si="96"/>
        <v>6.8468508878785458E-2</v>
      </c>
      <c r="D126" s="450">
        <f t="shared" ca="1" si="96"/>
        <v>9.2076008438973872E-2</v>
      </c>
      <c r="E126" s="450">
        <f t="shared" ca="1" si="96"/>
        <v>0.20685803273935419</v>
      </c>
      <c r="F126" s="450">
        <f t="shared" ca="1" si="96"/>
        <v>0.20685803273935419</v>
      </c>
      <c r="G126" s="450">
        <f t="shared" ca="1" si="96"/>
        <v>7.8536926023089829E-3</v>
      </c>
      <c r="H126" s="450">
        <f t="shared" ca="1" si="96"/>
        <v>2.2025538804913776</v>
      </c>
      <c r="I126" s="490">
        <f t="shared" ca="1" si="96"/>
        <v>1377.9383058632156</v>
      </c>
      <c r="J126" s="450">
        <f t="shared" ca="1" si="96"/>
        <v>0.75298966197327122</v>
      </c>
      <c r="K126" s="450">
        <f t="shared" ca="1" si="96"/>
        <v>5.4298347040416611E-2</v>
      </c>
      <c r="L126" s="450">
        <f t="shared" ca="1" si="96"/>
        <v>5.5563142949512825E-2</v>
      </c>
      <c r="M126" s="450">
        <f t="shared" ca="1" si="96"/>
        <v>0.2062816841970905</v>
      </c>
      <c r="N126" s="450">
        <f t="shared" ca="1" si="96"/>
        <v>0.2062816841970905</v>
      </c>
      <c r="O126" s="450">
        <f t="shared" ca="1" si="96"/>
        <v>7.8227460553163368E-3</v>
      </c>
      <c r="P126" s="450">
        <f t="shared" ca="1" si="96"/>
        <v>2.2019881133927388</v>
      </c>
      <c r="Q126" s="490">
        <f t="shared" ca="1" si="96"/>
        <v>1039.3150868396551</v>
      </c>
      <c r="R126" s="450">
        <f t="shared" ca="1" si="96"/>
        <v>9.0073876264366338E-4</v>
      </c>
      <c r="S126" s="450">
        <f t="shared" ca="1" si="96"/>
        <v>1.417016183836884E-2</v>
      </c>
      <c r="T126" s="450">
        <f t="shared" ca="1" si="96"/>
        <v>3.651286548946104E-2</v>
      </c>
      <c r="U126" s="450">
        <f t="shared" ca="1" si="96"/>
        <v>5.7634854226366536E-4</v>
      </c>
      <c r="V126" s="450">
        <f t="shared" ca="1" si="96"/>
        <v>5.7634854226366536E-4</v>
      </c>
      <c r="W126" s="450">
        <f t="shared" ca="1" si="96"/>
        <v>3.0946546992644482E-5</v>
      </c>
      <c r="X126" s="450">
        <f t="shared" ca="1" si="96"/>
        <v>5.6576709863843673E-4</v>
      </c>
      <c r="Y126" s="490">
        <f t="shared" ca="1" si="96"/>
        <v>338.62321902356041</v>
      </c>
    </row>
    <row r="128" spans="1:25" x14ac:dyDescent="0.25">
      <c r="B128" s="137"/>
      <c r="C128" s="137"/>
      <c r="D128" s="137"/>
      <c r="E128" s="137"/>
      <c r="F128" s="137"/>
      <c r="G128" s="137"/>
      <c r="H128" s="137"/>
      <c r="I128" s="87"/>
      <c r="N128" s="252"/>
    </row>
    <row r="129" spans="1:27" ht="15.75" x14ac:dyDescent="0.25">
      <c r="A129" s="273" t="s">
        <v>354</v>
      </c>
    </row>
    <row r="130" spans="1:27" ht="15.75" x14ac:dyDescent="0.25">
      <c r="A130" s="273"/>
    </row>
    <row r="131" spans="1:27" ht="15.75" x14ac:dyDescent="0.25">
      <c r="A131" s="273"/>
      <c r="B131" s="845" t="s">
        <v>560</v>
      </c>
      <c r="C131" s="845"/>
      <c r="D131" s="845"/>
      <c r="E131" s="845"/>
      <c r="F131" s="845"/>
      <c r="G131" s="845"/>
      <c r="H131" s="845"/>
      <c r="I131" s="812" t="s">
        <v>300</v>
      </c>
      <c r="J131" s="845" t="s">
        <v>561</v>
      </c>
      <c r="K131" s="845"/>
      <c r="L131" s="845"/>
      <c r="M131" s="845"/>
      <c r="N131" s="845"/>
      <c r="O131" s="845"/>
      <c r="P131" s="845"/>
      <c r="Q131" s="812" t="s">
        <v>300</v>
      </c>
      <c r="R131" s="845" t="s">
        <v>562</v>
      </c>
      <c r="S131" s="845"/>
      <c r="T131" s="845"/>
      <c r="U131" s="845"/>
      <c r="V131" s="845"/>
      <c r="W131" s="845"/>
      <c r="X131" s="845"/>
      <c r="Y131" s="812" t="s">
        <v>300</v>
      </c>
    </row>
    <row r="132" spans="1:27" x14ac:dyDescent="0.25">
      <c r="A132" s="813" t="s">
        <v>301</v>
      </c>
      <c r="B132" s="813" t="s">
        <v>201</v>
      </c>
      <c r="C132" s="813" t="s">
        <v>202</v>
      </c>
      <c r="D132" s="363" t="s">
        <v>132</v>
      </c>
      <c r="E132" s="813" t="s">
        <v>203</v>
      </c>
      <c r="F132" s="454" t="s">
        <v>204</v>
      </c>
      <c r="G132" s="813" t="s">
        <v>205</v>
      </c>
      <c r="H132" s="813" t="s">
        <v>206</v>
      </c>
      <c r="I132" s="813" t="s">
        <v>302</v>
      </c>
      <c r="J132" s="813" t="s">
        <v>201</v>
      </c>
      <c r="K132" s="813" t="s">
        <v>202</v>
      </c>
      <c r="L132" s="363" t="s">
        <v>132</v>
      </c>
      <c r="M132" s="813" t="s">
        <v>203</v>
      </c>
      <c r="N132" s="454" t="s">
        <v>204</v>
      </c>
      <c r="O132" s="813" t="s">
        <v>205</v>
      </c>
      <c r="P132" s="813" t="s">
        <v>206</v>
      </c>
      <c r="Q132" s="813" t="s">
        <v>302</v>
      </c>
      <c r="R132" s="689" t="s">
        <v>563</v>
      </c>
      <c r="S132" s="813" t="s">
        <v>202</v>
      </c>
      <c r="T132" s="363" t="s">
        <v>132</v>
      </c>
      <c r="U132" s="813" t="s">
        <v>203</v>
      </c>
      <c r="V132" s="454" t="s">
        <v>204</v>
      </c>
      <c r="W132" s="813" t="s">
        <v>205</v>
      </c>
      <c r="X132" s="813" t="s">
        <v>206</v>
      </c>
      <c r="Y132" s="813" t="s">
        <v>302</v>
      </c>
    </row>
    <row r="133" spans="1:27" x14ac:dyDescent="0.25">
      <c r="A133" s="812">
        <f>$B$4+I133-1</f>
        <v>2020</v>
      </c>
      <c r="B133" s="452">
        <f ca="1">J133+R133</f>
        <v>1.3120898651352713</v>
      </c>
      <c r="C133" s="452">
        <f t="shared" ref="C133:H133" ca="1" si="97">K133+S133</f>
        <v>5.9695130330079289E-2</v>
      </c>
      <c r="D133" s="465">
        <f t="shared" ca="1" si="97"/>
        <v>5.1337945417484869E-3</v>
      </c>
      <c r="E133" s="452">
        <f t="shared" ca="1" si="97"/>
        <v>0.35930801745073665</v>
      </c>
      <c r="F133" s="455">
        <f t="shared" ca="1" si="97"/>
        <v>0.35930801745073665</v>
      </c>
      <c r="G133" s="452">
        <f t="shared" ca="1" si="97"/>
        <v>1.3581122258581256E-2</v>
      </c>
      <c r="H133" s="452">
        <f t="shared" ca="1" si="97"/>
        <v>3.8511364397715919</v>
      </c>
      <c r="I133" s="812">
        <v>1</v>
      </c>
      <c r="J133" s="5">
        <f ca="1">(J$90-J$126)</f>
        <v>1.1276918708243517</v>
      </c>
      <c r="K133" s="5">
        <f t="shared" ref="K133:P145" ca="1" si="98">(K$90-K$126)</f>
        <v>5.3246507315338948E-2</v>
      </c>
      <c r="L133" s="357">
        <f t="shared" ca="1" si="98"/>
        <v>1.0677950626025515E-2</v>
      </c>
      <c r="M133" s="5">
        <f t="shared" ca="1" si="98"/>
        <v>0.30827549543884858</v>
      </c>
      <c r="N133" s="463">
        <f t="shared" ca="1" si="98"/>
        <v>0.30827549543884858</v>
      </c>
      <c r="O133" s="5">
        <f t="shared" ca="1" si="98"/>
        <v>1.1672530232290222E-2</v>
      </c>
      <c r="P133" s="5">
        <f t="shared" ca="1" si="98"/>
        <v>3.3018561980907331</v>
      </c>
      <c r="Q133" s="812">
        <v>1</v>
      </c>
      <c r="R133" s="452">
        <f ca="1">(R$90-R$126)*$Y133</f>
        <v>0.18439799431091955</v>
      </c>
      <c r="S133" s="452">
        <f t="shared" ref="S133:X145" ca="1" si="99">(S$90-S$126)*$Y133</f>
        <v>6.4486230147403414E-3</v>
      </c>
      <c r="T133" s="465">
        <f t="shared" ca="1" si="99"/>
        <v>-5.5441560842770278E-3</v>
      </c>
      <c r="U133" s="452">
        <f t="shared" ca="1" si="99"/>
        <v>5.1032522011888085E-2</v>
      </c>
      <c r="V133" s="455">
        <f t="shared" ca="1" si="99"/>
        <v>5.1032522011888085E-2</v>
      </c>
      <c r="W133" s="452">
        <f t="shared" ca="1" si="99"/>
        <v>1.9085920262910336E-3</v>
      </c>
      <c r="X133" s="452">
        <f t="shared" ca="1" si="99"/>
        <v>0.54928024168085909</v>
      </c>
      <c r="Y133" s="812">
        <v>1</v>
      </c>
      <c r="AA133" s="252" t="s">
        <v>564</v>
      </c>
    </row>
    <row r="134" spans="1:27" x14ac:dyDescent="0.25">
      <c r="A134" s="812">
        <f t="shared" ref="A134:A145" si="100">$B$4+I134-1</f>
        <v>2021</v>
      </c>
      <c r="B134" s="452">
        <f t="shared" ref="B134:B139" ca="1" si="101">J134+R134</f>
        <v>1.4964878594461908</v>
      </c>
      <c r="C134" s="452">
        <f t="shared" ref="C134:C139" ca="1" si="102">K134+S134</f>
        <v>6.6143753344819631E-2</v>
      </c>
      <c r="D134" s="465">
        <f t="shared" ref="D134:D139" ca="1" si="103">L134+T134</f>
        <v>-4.103615425285409E-4</v>
      </c>
      <c r="E134" s="452">
        <f t="shared" ref="E134:E139" ca="1" si="104">M134+U134</f>
        <v>0.41034053946262472</v>
      </c>
      <c r="F134" s="455">
        <f t="shared" ref="F134:F139" ca="1" si="105">N134+V134</f>
        <v>0.41034053946262472</v>
      </c>
      <c r="G134" s="452">
        <f t="shared" ref="G134:G139" ca="1" si="106">O134+W134</f>
        <v>1.5489714284872289E-2</v>
      </c>
      <c r="H134" s="452">
        <f t="shared" ref="H134:H139" ca="1" si="107">P134+X134</f>
        <v>4.4004166814524517</v>
      </c>
      <c r="I134" s="812">
        <v>2</v>
      </c>
      <c r="J134" s="5">
        <f t="shared" ref="J134:J145" ca="1" si="108">(J$90-J$126)</f>
        <v>1.1276918708243517</v>
      </c>
      <c r="K134" s="5">
        <f t="shared" ca="1" si="98"/>
        <v>5.3246507315338948E-2</v>
      </c>
      <c r="L134" s="357">
        <f t="shared" ca="1" si="98"/>
        <v>1.0677950626025515E-2</v>
      </c>
      <c r="M134" s="5">
        <f t="shared" ca="1" si="98"/>
        <v>0.30827549543884858</v>
      </c>
      <c r="N134" s="463">
        <f t="shared" ca="1" si="98"/>
        <v>0.30827549543884858</v>
      </c>
      <c r="O134" s="5">
        <f t="shared" ca="1" si="98"/>
        <v>1.1672530232290222E-2</v>
      </c>
      <c r="P134" s="5">
        <f t="shared" ca="1" si="98"/>
        <v>3.3018561980907331</v>
      </c>
      <c r="Q134" s="812">
        <v>2</v>
      </c>
      <c r="R134" s="452">
        <f t="shared" ref="R134:R145" ca="1" si="109">(R$90-R$126)*$Y134</f>
        <v>0.3687959886218391</v>
      </c>
      <c r="S134" s="452">
        <f t="shared" ca="1" si="99"/>
        <v>1.2897246029480683E-2</v>
      </c>
      <c r="T134" s="465">
        <f t="shared" ca="1" si="99"/>
        <v>-1.1088312168554056E-2</v>
      </c>
      <c r="U134" s="452">
        <f t="shared" ca="1" si="99"/>
        <v>0.10206504402377617</v>
      </c>
      <c r="V134" s="455">
        <f t="shared" ca="1" si="99"/>
        <v>0.10206504402377617</v>
      </c>
      <c r="W134" s="452">
        <f t="shared" ca="1" si="99"/>
        <v>3.8171840525820671E-3</v>
      </c>
      <c r="X134" s="452">
        <f t="shared" ca="1" si="99"/>
        <v>1.0985604833617182</v>
      </c>
      <c r="Y134" s="812">
        <v>2</v>
      </c>
    </row>
    <row r="135" spans="1:27" x14ac:dyDescent="0.25">
      <c r="A135" s="812">
        <f t="shared" si="100"/>
        <v>2022</v>
      </c>
      <c r="B135" s="452">
        <f t="shared" ca="1" si="101"/>
        <v>1.6808858537571103</v>
      </c>
      <c r="C135" s="452">
        <f t="shared" ca="1" si="102"/>
        <v>7.2592376359559979E-2</v>
      </c>
      <c r="D135" s="465">
        <f t="shared" ca="1" si="103"/>
        <v>-5.9545176268055687E-3</v>
      </c>
      <c r="E135" s="452">
        <f t="shared" ca="1" si="104"/>
        <v>0.46137306147451285</v>
      </c>
      <c r="F135" s="455">
        <f t="shared" ca="1" si="105"/>
        <v>0.46137306147451285</v>
      </c>
      <c r="G135" s="452">
        <f t="shared" ca="1" si="106"/>
        <v>1.7398306311163323E-2</v>
      </c>
      <c r="H135" s="452">
        <f t="shared" ca="1" si="107"/>
        <v>4.9496969231333106</v>
      </c>
      <c r="I135" s="812">
        <v>3</v>
      </c>
      <c r="J135" s="5">
        <f t="shared" ca="1" si="108"/>
        <v>1.1276918708243517</v>
      </c>
      <c r="K135" s="5">
        <f t="shared" ca="1" si="98"/>
        <v>5.3246507315338948E-2</v>
      </c>
      <c r="L135" s="357">
        <f t="shared" ca="1" si="98"/>
        <v>1.0677950626025515E-2</v>
      </c>
      <c r="M135" s="5">
        <f t="shared" ca="1" si="98"/>
        <v>0.30827549543884858</v>
      </c>
      <c r="N135" s="463">
        <f t="shared" ca="1" si="98"/>
        <v>0.30827549543884858</v>
      </c>
      <c r="O135" s="5">
        <f t="shared" ca="1" si="98"/>
        <v>1.1672530232290222E-2</v>
      </c>
      <c r="P135" s="5">
        <f t="shared" ca="1" si="98"/>
        <v>3.3018561980907331</v>
      </c>
      <c r="Q135" s="812">
        <v>3</v>
      </c>
      <c r="R135" s="452">
        <f t="shared" ca="1" si="109"/>
        <v>0.55319398293275868</v>
      </c>
      <c r="S135" s="452">
        <f t="shared" ca="1" si="99"/>
        <v>1.9345869044221024E-2</v>
      </c>
      <c r="T135" s="465">
        <f t="shared" ca="1" si="99"/>
        <v>-1.6632468252831083E-2</v>
      </c>
      <c r="U135" s="452">
        <f t="shared" ca="1" si="99"/>
        <v>0.15309756603566427</v>
      </c>
      <c r="V135" s="455">
        <f t="shared" ca="1" si="99"/>
        <v>0.15309756603566427</v>
      </c>
      <c r="W135" s="452">
        <f t="shared" ca="1" si="99"/>
        <v>5.7257760788731009E-3</v>
      </c>
      <c r="X135" s="452">
        <f t="shared" ca="1" si="99"/>
        <v>1.6478407250425773</v>
      </c>
      <c r="Y135" s="812">
        <v>3</v>
      </c>
    </row>
    <row r="136" spans="1:27" x14ac:dyDescent="0.25">
      <c r="A136" s="812">
        <f t="shared" si="100"/>
        <v>2023</v>
      </c>
      <c r="B136" s="452">
        <f t="shared" ca="1" si="101"/>
        <v>1.8652838480680298</v>
      </c>
      <c r="C136" s="452">
        <f t="shared" ca="1" si="102"/>
        <v>7.9040999374300314E-2</v>
      </c>
      <c r="D136" s="465">
        <f t="shared" ca="1" si="103"/>
        <v>-1.1498673711082597E-2</v>
      </c>
      <c r="E136" s="452">
        <f t="shared" ca="1" si="104"/>
        <v>0.51240558348640097</v>
      </c>
      <c r="F136" s="455">
        <f t="shared" ca="1" si="105"/>
        <v>0.51240558348640097</v>
      </c>
      <c r="G136" s="452">
        <f t="shared" ca="1" si="106"/>
        <v>1.9306898337454356E-2</v>
      </c>
      <c r="H136" s="452">
        <f t="shared" ca="1" si="107"/>
        <v>5.4989771648141694</v>
      </c>
      <c r="I136" s="812">
        <v>4</v>
      </c>
      <c r="J136" s="5">
        <f t="shared" ca="1" si="108"/>
        <v>1.1276918708243517</v>
      </c>
      <c r="K136" s="5">
        <f t="shared" ca="1" si="98"/>
        <v>5.3246507315338948E-2</v>
      </c>
      <c r="L136" s="357">
        <f t="shared" ca="1" si="98"/>
        <v>1.0677950626025515E-2</v>
      </c>
      <c r="M136" s="5">
        <f t="shared" ca="1" si="98"/>
        <v>0.30827549543884858</v>
      </c>
      <c r="N136" s="463">
        <f t="shared" ca="1" si="98"/>
        <v>0.30827549543884858</v>
      </c>
      <c r="O136" s="5">
        <f t="shared" ca="1" si="98"/>
        <v>1.1672530232290222E-2</v>
      </c>
      <c r="P136" s="5">
        <f t="shared" ca="1" si="98"/>
        <v>3.3018561980907331</v>
      </c>
      <c r="Q136" s="812">
        <v>4</v>
      </c>
      <c r="R136" s="452">
        <f t="shared" ca="1" si="109"/>
        <v>0.7375919772436782</v>
      </c>
      <c r="S136" s="452">
        <f t="shared" ca="1" si="99"/>
        <v>2.5794492058961366E-2</v>
      </c>
      <c r="T136" s="465">
        <f t="shared" ca="1" si="99"/>
        <v>-2.2176624337108111E-2</v>
      </c>
      <c r="U136" s="452">
        <f t="shared" ca="1" si="99"/>
        <v>0.20413008804755234</v>
      </c>
      <c r="V136" s="455">
        <f t="shared" ca="1" si="99"/>
        <v>0.20413008804755234</v>
      </c>
      <c r="W136" s="452">
        <f t="shared" ca="1" si="99"/>
        <v>7.6343681051641342E-3</v>
      </c>
      <c r="X136" s="452">
        <f t="shared" ca="1" si="99"/>
        <v>2.1971209667234364</v>
      </c>
      <c r="Y136" s="812">
        <v>4</v>
      </c>
    </row>
    <row r="137" spans="1:27" x14ac:dyDescent="0.25">
      <c r="A137" s="812">
        <f t="shared" si="100"/>
        <v>2024</v>
      </c>
      <c r="B137" s="452">
        <f t="shared" ca="1" si="101"/>
        <v>2.0496818423789493</v>
      </c>
      <c r="C137" s="452">
        <f t="shared" ca="1" si="102"/>
        <v>8.5489622389040648E-2</v>
      </c>
      <c r="D137" s="465">
        <f t="shared" ca="1" si="103"/>
        <v>-1.7042829795359624E-2</v>
      </c>
      <c r="E137" s="452">
        <f t="shared" ca="1" si="104"/>
        <v>0.56343810549828899</v>
      </c>
      <c r="F137" s="455">
        <f t="shared" ca="1" si="105"/>
        <v>0.56343810549828899</v>
      </c>
      <c r="G137" s="452">
        <f t="shared" ca="1" si="106"/>
        <v>2.1215490363745391E-2</v>
      </c>
      <c r="H137" s="452">
        <f t="shared" ca="1" si="107"/>
        <v>6.0482574064950283</v>
      </c>
      <c r="I137" s="812">
        <v>5</v>
      </c>
      <c r="J137" s="5">
        <f t="shared" ca="1" si="108"/>
        <v>1.1276918708243517</v>
      </c>
      <c r="K137" s="5">
        <f t="shared" ca="1" si="98"/>
        <v>5.3246507315338948E-2</v>
      </c>
      <c r="L137" s="357">
        <f t="shared" ca="1" si="98"/>
        <v>1.0677950626025515E-2</v>
      </c>
      <c r="M137" s="5">
        <f t="shared" ca="1" si="98"/>
        <v>0.30827549543884858</v>
      </c>
      <c r="N137" s="463">
        <f t="shared" ca="1" si="98"/>
        <v>0.30827549543884858</v>
      </c>
      <c r="O137" s="5">
        <f t="shared" ca="1" si="98"/>
        <v>1.1672530232290222E-2</v>
      </c>
      <c r="P137" s="5">
        <f t="shared" ca="1" si="98"/>
        <v>3.3018561980907331</v>
      </c>
      <c r="Q137" s="812">
        <v>5</v>
      </c>
      <c r="R137" s="452">
        <f t="shared" ca="1" si="109"/>
        <v>0.92198997155459772</v>
      </c>
      <c r="S137" s="452">
        <f t="shared" ca="1" si="99"/>
        <v>3.2243115073701707E-2</v>
      </c>
      <c r="T137" s="465">
        <f t="shared" ca="1" si="99"/>
        <v>-2.7720780421385139E-2</v>
      </c>
      <c r="U137" s="452">
        <f t="shared" ca="1" si="99"/>
        <v>0.25516261005944041</v>
      </c>
      <c r="V137" s="455">
        <f t="shared" ca="1" si="99"/>
        <v>0.25516261005944041</v>
      </c>
      <c r="W137" s="452">
        <f t="shared" ca="1" si="99"/>
        <v>9.5429601314551676E-3</v>
      </c>
      <c r="X137" s="452">
        <f t="shared" ca="1" si="99"/>
        <v>2.7464012084042952</v>
      </c>
      <c r="Y137" s="812">
        <v>5</v>
      </c>
    </row>
    <row r="138" spans="1:27" x14ac:dyDescent="0.25">
      <c r="A138" s="812">
        <f t="shared" si="100"/>
        <v>2025</v>
      </c>
      <c r="B138" s="452">
        <f t="shared" ca="1" si="101"/>
        <v>2.2340798366898689</v>
      </c>
      <c r="C138" s="452">
        <f t="shared" ca="1" si="102"/>
        <v>9.1938245403780997E-2</v>
      </c>
      <c r="D138" s="465">
        <f t="shared" ca="1" si="103"/>
        <v>-2.2586985879636652E-2</v>
      </c>
      <c r="E138" s="452">
        <f t="shared" ca="1" si="104"/>
        <v>0.61447062751017711</v>
      </c>
      <c r="F138" s="455">
        <f t="shared" ca="1" si="105"/>
        <v>0.61447062751017711</v>
      </c>
      <c r="G138" s="452">
        <f t="shared" ca="1" si="106"/>
        <v>2.3124082390036424E-2</v>
      </c>
      <c r="H138" s="452">
        <f t="shared" ca="1" si="107"/>
        <v>6.5975376481758872</v>
      </c>
      <c r="I138" s="812">
        <v>6</v>
      </c>
      <c r="J138" s="5">
        <f t="shared" ca="1" si="108"/>
        <v>1.1276918708243517</v>
      </c>
      <c r="K138" s="5">
        <f t="shared" ca="1" si="98"/>
        <v>5.3246507315338948E-2</v>
      </c>
      <c r="L138" s="357">
        <f t="shared" ca="1" si="98"/>
        <v>1.0677950626025515E-2</v>
      </c>
      <c r="M138" s="5">
        <f t="shared" ca="1" si="98"/>
        <v>0.30827549543884858</v>
      </c>
      <c r="N138" s="463">
        <f t="shared" ca="1" si="98"/>
        <v>0.30827549543884858</v>
      </c>
      <c r="O138" s="5">
        <f t="shared" ca="1" si="98"/>
        <v>1.1672530232290222E-2</v>
      </c>
      <c r="P138" s="5">
        <f t="shared" ca="1" si="98"/>
        <v>3.3018561980907331</v>
      </c>
      <c r="Q138" s="812">
        <v>6</v>
      </c>
      <c r="R138" s="452">
        <f t="shared" ca="1" si="109"/>
        <v>1.1063879658655174</v>
      </c>
      <c r="S138" s="452">
        <f t="shared" ca="1" si="99"/>
        <v>3.8691738088442049E-2</v>
      </c>
      <c r="T138" s="465">
        <f t="shared" ca="1" si="99"/>
        <v>-3.3264936505662167E-2</v>
      </c>
      <c r="U138" s="452">
        <f t="shared" ca="1" si="99"/>
        <v>0.30619513207132854</v>
      </c>
      <c r="V138" s="455">
        <f t="shared" ca="1" si="99"/>
        <v>0.30619513207132854</v>
      </c>
      <c r="W138" s="452">
        <f t="shared" ca="1" si="99"/>
        <v>1.1451552157746202E-2</v>
      </c>
      <c r="X138" s="452">
        <f t="shared" ca="1" si="99"/>
        <v>3.2956814500851546</v>
      </c>
      <c r="Y138" s="812">
        <v>6</v>
      </c>
    </row>
    <row r="139" spans="1:27" x14ac:dyDescent="0.25">
      <c r="A139" s="812">
        <f t="shared" si="100"/>
        <v>2026</v>
      </c>
      <c r="B139" s="452">
        <f t="shared" ca="1" si="101"/>
        <v>2.4184778310007884</v>
      </c>
      <c r="C139" s="452">
        <f t="shared" ca="1" si="102"/>
        <v>9.8386868418521345E-2</v>
      </c>
      <c r="D139" s="465">
        <f t="shared" ca="1" si="103"/>
        <v>-2.8131141963913683E-2</v>
      </c>
      <c r="E139" s="452">
        <f t="shared" ca="1" si="104"/>
        <v>0.66550314952206513</v>
      </c>
      <c r="F139" s="455">
        <f t="shared" ca="1" si="105"/>
        <v>0.66550314952206513</v>
      </c>
      <c r="G139" s="452">
        <f t="shared" ca="1" si="106"/>
        <v>2.5032674416327456E-2</v>
      </c>
      <c r="H139" s="452">
        <f t="shared" ca="1" si="107"/>
        <v>7.1468178898567469</v>
      </c>
      <c r="I139" s="812">
        <v>7</v>
      </c>
      <c r="J139" s="5">
        <f t="shared" ca="1" si="108"/>
        <v>1.1276918708243517</v>
      </c>
      <c r="K139" s="5">
        <f t="shared" ca="1" si="98"/>
        <v>5.3246507315338948E-2</v>
      </c>
      <c r="L139" s="357">
        <f t="shared" ca="1" si="98"/>
        <v>1.0677950626025515E-2</v>
      </c>
      <c r="M139" s="5">
        <f t="shared" ca="1" si="98"/>
        <v>0.30827549543884858</v>
      </c>
      <c r="N139" s="463">
        <f t="shared" ca="1" si="98"/>
        <v>0.30827549543884858</v>
      </c>
      <c r="O139" s="5">
        <f t="shared" ca="1" si="98"/>
        <v>1.1672530232290222E-2</v>
      </c>
      <c r="P139" s="5">
        <f t="shared" ca="1" si="98"/>
        <v>3.3018561980907331</v>
      </c>
      <c r="Q139" s="812">
        <v>7</v>
      </c>
      <c r="R139" s="452">
        <f t="shared" ca="1" si="109"/>
        <v>1.2907859601764369</v>
      </c>
      <c r="S139" s="452">
        <f t="shared" ca="1" si="99"/>
        <v>4.514036110318239E-2</v>
      </c>
      <c r="T139" s="465">
        <f t="shared" ca="1" si="99"/>
        <v>-3.8809092589939198E-2</v>
      </c>
      <c r="U139" s="452">
        <f t="shared" ca="1" si="99"/>
        <v>0.35722765408321661</v>
      </c>
      <c r="V139" s="455">
        <f t="shared" ca="1" si="99"/>
        <v>0.35722765408321661</v>
      </c>
      <c r="W139" s="452">
        <f t="shared" ca="1" si="99"/>
        <v>1.3360144184037234E-2</v>
      </c>
      <c r="X139" s="452">
        <f t="shared" ca="1" si="99"/>
        <v>3.8449616917660139</v>
      </c>
      <c r="Y139" s="812">
        <v>7</v>
      </c>
    </row>
    <row r="140" spans="1:27" x14ac:dyDescent="0.25">
      <c r="A140" s="812">
        <f t="shared" si="100"/>
        <v>2027</v>
      </c>
      <c r="B140" s="452">
        <f t="shared" ref="B140:B145" ca="1" si="110">J140+R140</f>
        <v>2.6028758253117079</v>
      </c>
      <c r="C140" s="452">
        <f t="shared" ref="C140:C145" ca="1" si="111">K140+S140</f>
        <v>0.10483549143326168</v>
      </c>
      <c r="D140" s="465">
        <f t="shared" ref="D140:D145" ca="1" si="112">L140+T140</f>
        <v>-3.3675298048190708E-2</v>
      </c>
      <c r="E140" s="452">
        <f t="shared" ref="E140:E145" ca="1" si="113">M140+U140</f>
        <v>0.71653567153395326</v>
      </c>
      <c r="F140" s="455">
        <f t="shared" ref="F140:F145" ca="1" si="114">N140+V140</f>
        <v>0.71653567153395326</v>
      </c>
      <c r="G140" s="452">
        <f t="shared" ref="G140:G145" ca="1" si="115">O140+W140</f>
        <v>2.6941266442618489E-2</v>
      </c>
      <c r="H140" s="452">
        <f t="shared" ref="H140:H145" ca="1" si="116">P140+X140</f>
        <v>7.6960981315376058</v>
      </c>
      <c r="I140" s="812">
        <v>8</v>
      </c>
      <c r="J140" s="5">
        <f t="shared" ca="1" si="108"/>
        <v>1.1276918708243517</v>
      </c>
      <c r="K140" s="5">
        <f t="shared" ca="1" si="98"/>
        <v>5.3246507315338948E-2</v>
      </c>
      <c r="L140" s="357">
        <f t="shared" ca="1" si="98"/>
        <v>1.0677950626025515E-2</v>
      </c>
      <c r="M140" s="5">
        <f t="shared" ca="1" si="98"/>
        <v>0.30827549543884858</v>
      </c>
      <c r="N140" s="463">
        <f t="shared" ca="1" si="98"/>
        <v>0.30827549543884858</v>
      </c>
      <c r="O140" s="5">
        <f t="shared" ca="1" si="98"/>
        <v>1.1672530232290222E-2</v>
      </c>
      <c r="P140" s="5">
        <f t="shared" ca="1" si="98"/>
        <v>3.3018561980907331</v>
      </c>
      <c r="Q140" s="812">
        <v>8</v>
      </c>
      <c r="R140" s="452">
        <f t="shared" ca="1" si="109"/>
        <v>1.4751839544873564</v>
      </c>
      <c r="S140" s="452">
        <f t="shared" ca="1" si="99"/>
        <v>5.1588984117922732E-2</v>
      </c>
      <c r="T140" s="465">
        <f t="shared" ca="1" si="99"/>
        <v>-4.4353248674216222E-2</v>
      </c>
      <c r="U140" s="452">
        <f t="shared" ca="1" si="99"/>
        <v>0.40826017609510468</v>
      </c>
      <c r="V140" s="455">
        <f t="shared" ca="1" si="99"/>
        <v>0.40826017609510468</v>
      </c>
      <c r="W140" s="452">
        <f t="shared" ca="1" si="99"/>
        <v>1.5268736210328268E-2</v>
      </c>
      <c r="X140" s="452">
        <f t="shared" ca="1" si="99"/>
        <v>4.3942419334468727</v>
      </c>
      <c r="Y140" s="812">
        <v>8</v>
      </c>
    </row>
    <row r="141" spans="1:27" x14ac:dyDescent="0.25">
      <c r="A141" s="812">
        <f t="shared" si="100"/>
        <v>2028</v>
      </c>
      <c r="B141" s="452">
        <f t="shared" ca="1" si="110"/>
        <v>2.7872738196226274</v>
      </c>
      <c r="C141" s="452">
        <f t="shared" ca="1" si="111"/>
        <v>0.11128411444800201</v>
      </c>
      <c r="D141" s="465">
        <f t="shared" ca="1" si="112"/>
        <v>-3.9219454132467732E-2</v>
      </c>
      <c r="E141" s="452">
        <f t="shared" ca="1" si="113"/>
        <v>0.76756819354584138</v>
      </c>
      <c r="F141" s="455">
        <f t="shared" ca="1" si="114"/>
        <v>0.76756819354584138</v>
      </c>
      <c r="G141" s="452">
        <f t="shared" ca="1" si="115"/>
        <v>2.8849858468909525E-2</v>
      </c>
      <c r="H141" s="452">
        <f t="shared" ca="1" si="116"/>
        <v>8.2453783732184647</v>
      </c>
      <c r="I141" s="812">
        <v>9</v>
      </c>
      <c r="J141" s="5">
        <f t="shared" ca="1" si="108"/>
        <v>1.1276918708243517</v>
      </c>
      <c r="K141" s="5">
        <f t="shared" ca="1" si="98"/>
        <v>5.3246507315338948E-2</v>
      </c>
      <c r="L141" s="357">
        <f t="shared" ca="1" si="98"/>
        <v>1.0677950626025515E-2</v>
      </c>
      <c r="M141" s="5">
        <f t="shared" ca="1" si="98"/>
        <v>0.30827549543884858</v>
      </c>
      <c r="N141" s="463">
        <f t="shared" ca="1" si="98"/>
        <v>0.30827549543884858</v>
      </c>
      <c r="O141" s="5">
        <f t="shared" ca="1" si="98"/>
        <v>1.1672530232290222E-2</v>
      </c>
      <c r="P141" s="5">
        <f t="shared" ca="1" si="98"/>
        <v>3.3018561980907331</v>
      </c>
      <c r="Q141" s="812">
        <v>9</v>
      </c>
      <c r="R141" s="452">
        <f t="shared" ca="1" si="109"/>
        <v>1.6595819487982759</v>
      </c>
      <c r="S141" s="452">
        <f t="shared" ca="1" si="99"/>
        <v>5.8037607132663073E-2</v>
      </c>
      <c r="T141" s="465">
        <f t="shared" ca="1" si="99"/>
        <v>-4.9897404758493247E-2</v>
      </c>
      <c r="U141" s="452">
        <f t="shared" ca="1" si="99"/>
        <v>0.45929269810699275</v>
      </c>
      <c r="V141" s="455">
        <f t="shared" ca="1" si="99"/>
        <v>0.45929269810699275</v>
      </c>
      <c r="W141" s="452">
        <f t="shared" ca="1" si="99"/>
        <v>1.7177328236619303E-2</v>
      </c>
      <c r="X141" s="452">
        <f t="shared" ca="1" si="99"/>
        <v>4.9435221751277316</v>
      </c>
      <c r="Y141" s="812">
        <v>9</v>
      </c>
    </row>
    <row r="142" spans="1:27" x14ac:dyDescent="0.25">
      <c r="A142" s="812">
        <f t="shared" si="100"/>
        <v>2029</v>
      </c>
      <c r="B142" s="452">
        <f t="shared" ca="1" si="110"/>
        <v>2.971671813933547</v>
      </c>
      <c r="C142" s="452">
        <f t="shared" ca="1" si="111"/>
        <v>0.11773273746274236</v>
      </c>
      <c r="D142" s="465">
        <f t="shared" ca="1" si="112"/>
        <v>-4.4763610216744763E-2</v>
      </c>
      <c r="E142" s="452">
        <f t="shared" ca="1" si="113"/>
        <v>0.8186007155577294</v>
      </c>
      <c r="F142" s="455">
        <f t="shared" ca="1" si="114"/>
        <v>0.8186007155577294</v>
      </c>
      <c r="G142" s="452">
        <f t="shared" ca="1" si="115"/>
        <v>3.0758450495200557E-2</v>
      </c>
      <c r="H142" s="452">
        <f t="shared" ca="1" si="116"/>
        <v>8.7946586148993227</v>
      </c>
      <c r="I142" s="812">
        <v>10</v>
      </c>
      <c r="J142" s="5">
        <f t="shared" ca="1" si="108"/>
        <v>1.1276918708243517</v>
      </c>
      <c r="K142" s="5">
        <f t="shared" ca="1" si="98"/>
        <v>5.3246507315338948E-2</v>
      </c>
      <c r="L142" s="357">
        <f t="shared" ca="1" si="98"/>
        <v>1.0677950626025515E-2</v>
      </c>
      <c r="M142" s="5">
        <f t="shared" ca="1" si="98"/>
        <v>0.30827549543884858</v>
      </c>
      <c r="N142" s="463">
        <f t="shared" ca="1" si="98"/>
        <v>0.30827549543884858</v>
      </c>
      <c r="O142" s="5">
        <f t="shared" ca="1" si="98"/>
        <v>1.1672530232290222E-2</v>
      </c>
      <c r="P142" s="5">
        <f t="shared" ca="1" si="98"/>
        <v>3.3018561980907331</v>
      </c>
      <c r="Q142" s="812">
        <v>10</v>
      </c>
      <c r="R142" s="452">
        <f t="shared" ca="1" si="109"/>
        <v>1.8439799431091954</v>
      </c>
      <c r="S142" s="452">
        <f t="shared" ca="1" si="99"/>
        <v>6.4486230147403414E-2</v>
      </c>
      <c r="T142" s="465">
        <f t="shared" ca="1" si="99"/>
        <v>-5.5441560842770278E-2</v>
      </c>
      <c r="U142" s="452">
        <f t="shared" ca="1" si="99"/>
        <v>0.51032522011888082</v>
      </c>
      <c r="V142" s="455">
        <f t="shared" ca="1" si="99"/>
        <v>0.51032522011888082</v>
      </c>
      <c r="W142" s="452">
        <f t="shared" ca="1" si="99"/>
        <v>1.9085920262910335E-2</v>
      </c>
      <c r="X142" s="452">
        <f t="shared" ca="1" si="99"/>
        <v>5.4928024168085905</v>
      </c>
      <c r="Y142" s="812">
        <v>10</v>
      </c>
    </row>
    <row r="143" spans="1:27" x14ac:dyDescent="0.25">
      <c r="A143" s="812">
        <f t="shared" si="100"/>
        <v>2030</v>
      </c>
      <c r="B143" s="452">
        <f t="shared" ca="1" si="110"/>
        <v>3.1560698082444669</v>
      </c>
      <c r="C143" s="452">
        <f t="shared" ca="1" si="111"/>
        <v>0.12418136047748271</v>
      </c>
      <c r="D143" s="465">
        <f t="shared" ca="1" si="112"/>
        <v>-5.0307766301021795E-2</v>
      </c>
      <c r="E143" s="452">
        <f t="shared" ca="1" si="113"/>
        <v>0.86963323756961752</v>
      </c>
      <c r="F143" s="455">
        <f t="shared" ca="1" si="114"/>
        <v>0.86963323756961752</v>
      </c>
      <c r="G143" s="452">
        <f t="shared" ca="1" si="115"/>
        <v>3.2667042521491593E-2</v>
      </c>
      <c r="H143" s="452">
        <f t="shared" ca="1" si="116"/>
        <v>9.3439388565801842</v>
      </c>
      <c r="I143" s="812">
        <v>11</v>
      </c>
      <c r="J143" s="5">
        <f t="shared" ca="1" si="108"/>
        <v>1.1276918708243517</v>
      </c>
      <c r="K143" s="5">
        <f t="shared" ca="1" si="98"/>
        <v>5.3246507315338948E-2</v>
      </c>
      <c r="L143" s="357">
        <f t="shared" ca="1" si="98"/>
        <v>1.0677950626025515E-2</v>
      </c>
      <c r="M143" s="5">
        <f t="shared" ca="1" si="98"/>
        <v>0.30827549543884858</v>
      </c>
      <c r="N143" s="463">
        <f t="shared" ca="1" si="98"/>
        <v>0.30827549543884858</v>
      </c>
      <c r="O143" s="5">
        <f t="shared" ca="1" si="98"/>
        <v>1.1672530232290222E-2</v>
      </c>
      <c r="P143" s="5">
        <f t="shared" ca="1" si="98"/>
        <v>3.3018561980907331</v>
      </c>
      <c r="Q143" s="812">
        <v>11</v>
      </c>
      <c r="R143" s="452">
        <f t="shared" ca="1" si="109"/>
        <v>2.0283779374201152</v>
      </c>
      <c r="S143" s="452">
        <f t="shared" ca="1" si="99"/>
        <v>7.0934853162143763E-2</v>
      </c>
      <c r="T143" s="465">
        <f t="shared" ca="1" si="99"/>
        <v>-6.0985716927047309E-2</v>
      </c>
      <c r="U143" s="452">
        <f t="shared" ca="1" si="99"/>
        <v>0.56135774213076894</v>
      </c>
      <c r="V143" s="455">
        <f t="shared" ca="1" si="99"/>
        <v>0.56135774213076894</v>
      </c>
      <c r="W143" s="452">
        <f t="shared" ca="1" si="99"/>
        <v>2.0994512289201368E-2</v>
      </c>
      <c r="X143" s="452">
        <f t="shared" ca="1" si="99"/>
        <v>6.0420826584894503</v>
      </c>
      <c r="Y143" s="812">
        <v>11</v>
      </c>
    </row>
    <row r="144" spans="1:27" x14ac:dyDescent="0.25">
      <c r="A144" s="812">
        <f t="shared" si="100"/>
        <v>2031</v>
      </c>
      <c r="B144" s="452">
        <f t="shared" ca="1" si="110"/>
        <v>3.3404678025553864</v>
      </c>
      <c r="C144" s="452">
        <f t="shared" ca="1" si="111"/>
        <v>0.13062998349222305</v>
      </c>
      <c r="D144" s="465">
        <f t="shared" ca="1" si="112"/>
        <v>-5.5851922385298819E-2</v>
      </c>
      <c r="E144" s="452">
        <f t="shared" ca="1" si="113"/>
        <v>0.92066575958150565</v>
      </c>
      <c r="F144" s="455">
        <f t="shared" ca="1" si="114"/>
        <v>0.92066575958150565</v>
      </c>
      <c r="G144" s="452">
        <f t="shared" ca="1" si="115"/>
        <v>3.4575634547782626E-2</v>
      </c>
      <c r="H144" s="452">
        <f t="shared" ca="1" si="116"/>
        <v>9.8932190982610422</v>
      </c>
      <c r="I144" s="812">
        <v>12</v>
      </c>
      <c r="J144" s="5">
        <f t="shared" ca="1" si="108"/>
        <v>1.1276918708243517</v>
      </c>
      <c r="K144" s="5">
        <f t="shared" ca="1" si="98"/>
        <v>5.3246507315338948E-2</v>
      </c>
      <c r="L144" s="357">
        <f t="shared" ca="1" si="98"/>
        <v>1.0677950626025515E-2</v>
      </c>
      <c r="M144" s="5">
        <f t="shared" ca="1" si="98"/>
        <v>0.30827549543884858</v>
      </c>
      <c r="N144" s="463">
        <f t="shared" ca="1" si="98"/>
        <v>0.30827549543884858</v>
      </c>
      <c r="O144" s="5">
        <f t="shared" ca="1" si="98"/>
        <v>1.1672530232290222E-2</v>
      </c>
      <c r="P144" s="5">
        <f t="shared" ca="1" si="98"/>
        <v>3.3018561980907331</v>
      </c>
      <c r="Q144" s="812">
        <v>12</v>
      </c>
      <c r="R144" s="452">
        <f t="shared" ca="1" si="109"/>
        <v>2.2127759317310347</v>
      </c>
      <c r="S144" s="452">
        <f t="shared" ca="1" si="99"/>
        <v>7.7383476176884097E-2</v>
      </c>
      <c r="T144" s="465">
        <f t="shared" ca="1" si="99"/>
        <v>-6.6529873011324334E-2</v>
      </c>
      <c r="U144" s="452">
        <f t="shared" ca="1" si="99"/>
        <v>0.61239026414265707</v>
      </c>
      <c r="V144" s="455">
        <f t="shared" ca="1" si="99"/>
        <v>0.61239026414265707</v>
      </c>
      <c r="W144" s="452">
        <f t="shared" ca="1" si="99"/>
        <v>2.2903104315492404E-2</v>
      </c>
      <c r="X144" s="452">
        <f t="shared" ca="1" si="99"/>
        <v>6.5913629001703091</v>
      </c>
      <c r="Y144" s="812">
        <v>12</v>
      </c>
    </row>
    <row r="145" spans="1:25" x14ac:dyDescent="0.25">
      <c r="A145" s="812">
        <f t="shared" si="100"/>
        <v>2032</v>
      </c>
      <c r="B145" s="452">
        <f t="shared" ca="1" si="110"/>
        <v>3.524865796866306</v>
      </c>
      <c r="C145" s="452">
        <f t="shared" ca="1" si="111"/>
        <v>0.13707860650696338</v>
      </c>
      <c r="D145" s="465">
        <f t="shared" ca="1" si="112"/>
        <v>-6.1396078469575843E-2</v>
      </c>
      <c r="E145" s="452">
        <f t="shared" ca="1" si="113"/>
        <v>0.97169828159339366</v>
      </c>
      <c r="F145" s="455">
        <f t="shared" ca="1" si="114"/>
        <v>0.97169828159339366</v>
      </c>
      <c r="G145" s="452">
        <f t="shared" ca="1" si="115"/>
        <v>3.6484226574073658E-2</v>
      </c>
      <c r="H145" s="452">
        <f t="shared" ca="1" si="116"/>
        <v>10.4424993399419</v>
      </c>
      <c r="I145" s="812">
        <v>13</v>
      </c>
      <c r="J145" s="5">
        <f t="shared" ca="1" si="108"/>
        <v>1.1276918708243517</v>
      </c>
      <c r="K145" s="5">
        <f t="shared" ca="1" si="98"/>
        <v>5.3246507315338948E-2</v>
      </c>
      <c r="L145" s="357">
        <f t="shared" ca="1" si="98"/>
        <v>1.0677950626025515E-2</v>
      </c>
      <c r="M145" s="5">
        <f t="shared" ca="1" si="98"/>
        <v>0.30827549543884858</v>
      </c>
      <c r="N145" s="463">
        <f t="shared" ca="1" si="98"/>
        <v>0.30827549543884858</v>
      </c>
      <c r="O145" s="5">
        <f t="shared" ca="1" si="98"/>
        <v>1.1672530232290222E-2</v>
      </c>
      <c r="P145" s="5">
        <f t="shared" ca="1" si="98"/>
        <v>3.3018561980907331</v>
      </c>
      <c r="Q145" s="812">
        <v>13</v>
      </c>
      <c r="R145" s="452">
        <f t="shared" ca="1" si="109"/>
        <v>2.3971739260419542</v>
      </c>
      <c r="S145" s="452">
        <f t="shared" ca="1" si="99"/>
        <v>8.3832099191624432E-2</v>
      </c>
      <c r="T145" s="465">
        <f t="shared" ca="1" si="99"/>
        <v>-7.2074029095601358E-2</v>
      </c>
      <c r="U145" s="452">
        <f t="shared" ca="1" si="99"/>
        <v>0.66342278615454509</v>
      </c>
      <c r="V145" s="455">
        <f t="shared" ca="1" si="99"/>
        <v>0.66342278615454509</v>
      </c>
      <c r="W145" s="452">
        <f t="shared" ca="1" si="99"/>
        <v>2.4811696341783436E-2</v>
      </c>
      <c r="X145" s="452">
        <f t="shared" ca="1" si="99"/>
        <v>7.140643141851168</v>
      </c>
      <c r="Y145" s="812">
        <v>13</v>
      </c>
    </row>
    <row r="148" spans="1:25" ht="15.75" x14ac:dyDescent="0.25">
      <c r="A148" s="273" t="s">
        <v>304</v>
      </c>
    </row>
    <row r="149" spans="1:25" ht="15.75" x14ac:dyDescent="0.25">
      <c r="A149" s="273"/>
    </row>
    <row r="150" spans="1:25" x14ac:dyDescent="0.25">
      <c r="A150" s="252"/>
      <c r="B150" s="845" t="s">
        <v>565</v>
      </c>
      <c r="C150" s="845"/>
      <c r="D150" s="845"/>
      <c r="E150" s="845"/>
      <c r="F150" s="845"/>
      <c r="G150" s="845"/>
      <c r="H150" s="845"/>
      <c r="I150" s="812"/>
      <c r="J150" s="845" t="s">
        <v>566</v>
      </c>
      <c r="K150" s="845"/>
      <c r="L150" s="845"/>
      <c r="M150" s="845"/>
      <c r="N150" s="845"/>
      <c r="O150" s="845"/>
      <c r="P150" s="845"/>
      <c r="R150" s="845" t="s">
        <v>567</v>
      </c>
      <c r="S150" s="845"/>
      <c r="T150" s="845"/>
      <c r="U150" s="845"/>
      <c r="V150" s="845"/>
      <c r="W150" s="845"/>
      <c r="X150" s="845"/>
    </row>
    <row r="151" spans="1:25" x14ac:dyDescent="0.25">
      <c r="A151" s="813" t="s">
        <v>130</v>
      </c>
      <c r="B151" s="813" t="s">
        <v>201</v>
      </c>
      <c r="C151" s="813" t="s">
        <v>202</v>
      </c>
      <c r="D151" s="363" t="s">
        <v>132</v>
      </c>
      <c r="E151" s="813" t="s">
        <v>203</v>
      </c>
      <c r="F151" s="454" t="s">
        <v>204</v>
      </c>
      <c r="G151" s="813" t="s">
        <v>205</v>
      </c>
      <c r="H151" s="813" t="s">
        <v>206</v>
      </c>
      <c r="I151" s="813" t="s">
        <v>379</v>
      </c>
      <c r="J151" s="813" t="s">
        <v>201</v>
      </c>
      <c r="K151" s="813" t="s">
        <v>202</v>
      </c>
      <c r="L151" s="363" t="s">
        <v>132</v>
      </c>
      <c r="M151" s="813" t="s">
        <v>203</v>
      </c>
      <c r="N151" s="454" t="s">
        <v>204</v>
      </c>
      <c r="O151" s="813" t="s">
        <v>205</v>
      </c>
      <c r="P151" s="813" t="s">
        <v>206</v>
      </c>
      <c r="R151" s="813" t="s">
        <v>201</v>
      </c>
      <c r="S151" s="813" t="s">
        <v>202</v>
      </c>
      <c r="T151" s="363" t="s">
        <v>132</v>
      </c>
      <c r="U151" s="813" t="s">
        <v>203</v>
      </c>
      <c r="V151" s="454" t="s">
        <v>204</v>
      </c>
      <c r="W151" s="813" t="s">
        <v>205</v>
      </c>
      <c r="X151" s="813" t="s">
        <v>206</v>
      </c>
    </row>
    <row r="152" spans="1:25" x14ac:dyDescent="0.25">
      <c r="A152" s="812">
        <v>2104008100</v>
      </c>
      <c r="B152" s="452">
        <f t="shared" ref="B152:B162" ca="1" si="117">J152+R152</f>
        <v>0.64981956044355915</v>
      </c>
      <c r="C152" s="452">
        <f t="shared" ref="C152:C162" ca="1" si="118">K152+S152</f>
        <v>7.3778640050360476E-3</v>
      </c>
      <c r="D152" s="465">
        <f t="shared" ref="D152:D162" ca="1" si="119">L152+T152</f>
        <v>1.1350560007747767E-3</v>
      </c>
      <c r="E152" s="452">
        <f t="shared" ref="E152:E162" ca="1" si="120">M152+U152</f>
        <v>9.8182344067018174E-2</v>
      </c>
      <c r="F152" s="455">
        <f t="shared" ref="F152:F162" ca="1" si="121">N152+V152</f>
        <v>9.8182344067018174E-2</v>
      </c>
      <c r="G152" s="452">
        <f t="shared" ref="G152:G162" ca="1" si="122">O152+W152</f>
        <v>5.1077520034864925E-3</v>
      </c>
      <c r="H152" s="452">
        <f t="shared" ref="H152:H162" ca="1" si="123">P152+X152</f>
        <v>0.71678786448927123</v>
      </c>
      <c r="I152" s="812" t="s">
        <v>137</v>
      </c>
      <c r="J152" s="5">
        <f t="shared" ref="J152:P153" ca="1" si="124">J81-J109</f>
        <v>0.56106124638422328</v>
      </c>
      <c r="K152" s="5">
        <f t="shared" ca="1" si="124"/>
        <v>6.3701276882051593E-3</v>
      </c>
      <c r="L152" s="357">
        <f t="shared" ca="1" si="124"/>
        <v>9.8001964433925529E-4</v>
      </c>
      <c r="M152" s="5">
        <f t="shared" ca="1" si="124"/>
        <v>8.4771699235345582E-2</v>
      </c>
      <c r="N152" s="463">
        <f t="shared" ca="1" si="124"/>
        <v>8.4771699235345582E-2</v>
      </c>
      <c r="O152" s="5">
        <f t="shared" ca="1" si="124"/>
        <v>4.4100883995266474E-3</v>
      </c>
      <c r="P152" s="5">
        <f t="shared" ca="1" si="124"/>
        <v>0.61888240540023953</v>
      </c>
      <c r="R152" s="5">
        <f t="shared" ref="R152:X153" ca="1" si="125">R81-R109</f>
        <v>8.8758314059335888E-2</v>
      </c>
      <c r="S152" s="5">
        <f t="shared" ca="1" si="125"/>
        <v>1.0077363168308883E-3</v>
      </c>
      <c r="T152" s="357">
        <f t="shared" ca="1" si="125"/>
        <v>1.5503635643552134E-4</v>
      </c>
      <c r="U152" s="5">
        <f t="shared" ca="1" si="125"/>
        <v>1.341064483167259E-2</v>
      </c>
      <c r="V152" s="463">
        <f t="shared" ca="1" si="125"/>
        <v>1.341064483167259E-2</v>
      </c>
      <c r="W152" s="5">
        <f t="shared" ca="1" si="125"/>
        <v>6.9766360395984552E-4</v>
      </c>
      <c r="X152" s="5">
        <f t="shared" ca="1" si="125"/>
        <v>9.7905459089031657E-2</v>
      </c>
    </row>
    <row r="153" spans="1:25" x14ac:dyDescent="0.25">
      <c r="A153" s="812">
        <v>2104008210</v>
      </c>
      <c r="B153" s="452">
        <f t="shared" ca="1" si="117"/>
        <v>1.3226637048526066E-2</v>
      </c>
      <c r="C153" s="452">
        <f t="shared" ca="1" si="118"/>
        <v>6.9876573086552778E-4</v>
      </c>
      <c r="D153" s="465">
        <f t="shared" ca="1" si="119"/>
        <v>9.9823675837932584E-5</v>
      </c>
      <c r="E153" s="452">
        <f t="shared" ca="1" si="120"/>
        <v>7.6365112016018432E-3</v>
      </c>
      <c r="F153" s="455">
        <f t="shared" ca="1" si="121"/>
        <v>7.6365112016018432E-3</v>
      </c>
      <c r="G153" s="452">
        <f t="shared" ca="1" si="122"/>
        <v>4.2425062231121356E-4</v>
      </c>
      <c r="H153" s="452">
        <f t="shared" ca="1" si="123"/>
        <v>5.7598260958487114E-2</v>
      </c>
      <c r="I153" s="812" t="s">
        <v>138</v>
      </c>
      <c r="J153" s="5">
        <f t="shared" ca="1" si="124"/>
        <v>1.1503203545005882E-2</v>
      </c>
      <c r="K153" s="5">
        <f t="shared" ca="1" si="124"/>
        <v>6.0771641369842372E-4</v>
      </c>
      <c r="L153" s="357">
        <f t="shared" ca="1" si="124"/>
        <v>8.6816630528346281E-5</v>
      </c>
      <c r="M153" s="5">
        <f t="shared" ca="1" si="124"/>
        <v>6.641472235418491E-3</v>
      </c>
      <c r="N153" s="463">
        <f t="shared" ca="1" si="124"/>
        <v>6.641472235418491E-3</v>
      </c>
      <c r="O153" s="5">
        <f t="shared" ca="1" si="124"/>
        <v>3.6897067974547181E-4</v>
      </c>
      <c r="P153" s="5">
        <f t="shared" ca="1" si="124"/>
        <v>5.0093195814855822E-2</v>
      </c>
      <c r="R153" s="5">
        <f t="shared" ca="1" si="125"/>
        <v>1.7234335035201844E-3</v>
      </c>
      <c r="S153" s="5">
        <f t="shared" ca="1" si="125"/>
        <v>9.1049317167104038E-5</v>
      </c>
      <c r="T153" s="357">
        <f t="shared" ca="1" si="125"/>
        <v>1.3007045309586298E-5</v>
      </c>
      <c r="U153" s="5">
        <f t="shared" ca="1" si="125"/>
        <v>9.9503896618335203E-4</v>
      </c>
      <c r="V153" s="463">
        <f t="shared" ca="1" si="125"/>
        <v>9.9503896618335203E-4</v>
      </c>
      <c r="W153" s="5">
        <f t="shared" ca="1" si="125"/>
        <v>5.527994256574177E-5</v>
      </c>
      <c r="X153" s="5">
        <f t="shared" ca="1" si="125"/>
        <v>7.5050651436312944E-3</v>
      </c>
    </row>
    <row r="154" spans="1:25" x14ac:dyDescent="0.25">
      <c r="A154" s="812">
        <v>2104008220</v>
      </c>
      <c r="B154" s="452">
        <f t="shared" ca="1" si="117"/>
        <v>0.1660830277900664</v>
      </c>
      <c r="C154" s="452">
        <f t="shared" ca="1" si="118"/>
        <v>4.5504951946847179E-3</v>
      </c>
      <c r="D154" s="465">
        <f t="shared" ca="1" si="119"/>
        <v>1.2534568135099352E-3</v>
      </c>
      <c r="E154" s="452">
        <f t="shared" ca="1" si="120"/>
        <v>3.8048773657333952E-2</v>
      </c>
      <c r="F154" s="455">
        <f t="shared" ca="1" si="121"/>
        <v>3.8048773657333952E-2</v>
      </c>
      <c r="G154" s="452">
        <f t="shared" ca="1" si="122"/>
        <v>1.2441453379542374E-3</v>
      </c>
      <c r="H154" s="452">
        <f t="shared" ca="1" si="123"/>
        <v>0.37970541608642905</v>
      </c>
      <c r="I154" s="812" t="s">
        <v>139</v>
      </c>
      <c r="J154" s="5">
        <f ca="1">(J$83-J$111)*$Y154</f>
        <v>0.14087149381601399</v>
      </c>
      <c r="K154" s="5">
        <f t="shared" ref="K154:P155" ca="1" si="126">(K$83-K$111)*$Y154</f>
        <v>3.8597264525314168E-3</v>
      </c>
      <c r="L154" s="357">
        <f t="shared" ca="1" si="126"/>
        <v>1.0631810854038793E-3</v>
      </c>
      <c r="M154" s="5">
        <f t="shared" ca="1" si="126"/>
        <v>3.227293995236654E-2</v>
      </c>
      <c r="N154" s="463">
        <f t="shared" ca="1" si="126"/>
        <v>3.227293995236654E-2</v>
      </c>
      <c r="O154" s="5">
        <f t="shared" ca="1" si="126"/>
        <v>1.0552830991459427E-3</v>
      </c>
      <c r="P154" s="5">
        <f t="shared" ca="1" si="126"/>
        <v>0.32206583590069693</v>
      </c>
      <c r="R154" s="5">
        <f ca="1">(R$83-R$111)*$Y154</f>
        <v>2.5211533974052389E-2</v>
      </c>
      <c r="S154" s="5">
        <f t="shared" ref="S154:X155" ca="1" si="127">(S$83-S$111)*$Y154</f>
        <v>6.907687421533014E-4</v>
      </c>
      <c r="T154" s="357">
        <f t="shared" ca="1" si="127"/>
        <v>1.9027572810605584E-4</v>
      </c>
      <c r="U154" s="5">
        <f t="shared" ca="1" si="127"/>
        <v>5.775833704967411E-3</v>
      </c>
      <c r="V154" s="463">
        <f t="shared" ca="1" si="127"/>
        <v>5.775833704967411E-3</v>
      </c>
      <c r="W154" s="5">
        <f t="shared" ca="1" si="127"/>
        <v>1.888622388082946E-4</v>
      </c>
      <c r="X154" s="5">
        <f t="shared" ca="1" si="127"/>
        <v>5.7639580185732099E-2</v>
      </c>
      <c r="Y154" s="704">
        <f ca="1">INDIRECT("'DevSumOut-"&amp;Year&amp;"BSR'!R$52")/SUM(INDIRECT("'DevSumOut-"&amp;Year&amp;"BSR'!R$52:R$53"))</f>
        <v>0.60523675552456169</v>
      </c>
    </row>
    <row r="155" spans="1:25" x14ac:dyDescent="0.25">
      <c r="A155" s="812">
        <v>2104008230</v>
      </c>
      <c r="B155" s="452">
        <f t="shared" ca="1" si="117"/>
        <v>0.10832698824757726</v>
      </c>
      <c r="C155" s="452">
        <f t="shared" ca="1" si="118"/>
        <v>2.9680422258339377E-3</v>
      </c>
      <c r="D155" s="465">
        <f t="shared" ca="1" si="119"/>
        <v>8.175621754534136E-4</v>
      </c>
      <c r="E155" s="452">
        <f t="shared" ca="1" si="120"/>
        <v>2.4817159896811967E-2</v>
      </c>
      <c r="F155" s="455">
        <f t="shared" ca="1" si="121"/>
        <v>2.4817159896811967E-2</v>
      </c>
      <c r="G155" s="452">
        <f t="shared" ca="1" si="122"/>
        <v>8.1148880289685899E-4</v>
      </c>
      <c r="H155" s="452">
        <f t="shared" ca="1" si="123"/>
        <v>0.24766133357063114</v>
      </c>
      <c r="I155" s="812" t="s">
        <v>140</v>
      </c>
      <c r="J155" s="5">
        <f ca="1">(J$83-J$111)*$Y155</f>
        <v>9.1882866407730135E-2</v>
      </c>
      <c r="K155" s="5">
        <f t="shared" ca="1" si="126"/>
        <v>2.5174910863904765E-3</v>
      </c>
      <c r="L155" s="357">
        <f t="shared" ca="1" si="126"/>
        <v>6.9345559553003896E-4</v>
      </c>
      <c r="M155" s="5">
        <f t="shared" ca="1" si="126"/>
        <v>2.1049895545942589E-2</v>
      </c>
      <c r="N155" s="463">
        <f t="shared" ca="1" si="126"/>
        <v>2.1049895545942589E-2</v>
      </c>
      <c r="O155" s="5">
        <f t="shared" ca="1" si="126"/>
        <v>6.8830416569444801E-4</v>
      </c>
      <c r="P155" s="5">
        <f t="shared" ca="1" si="126"/>
        <v>0.21006614874977406</v>
      </c>
      <c r="R155" s="5">
        <f ca="1">(R$83-R$111)*$Y155</f>
        <v>1.6444121839847128E-2</v>
      </c>
      <c r="S155" s="5">
        <f t="shared" ca="1" si="127"/>
        <v>4.50551139443461E-4</v>
      </c>
      <c r="T155" s="357">
        <f t="shared" ca="1" si="127"/>
        <v>1.2410657992337462E-4</v>
      </c>
      <c r="U155" s="5">
        <f t="shared" ca="1" si="127"/>
        <v>3.7672643508693789E-3</v>
      </c>
      <c r="V155" s="463">
        <f t="shared" ca="1" si="127"/>
        <v>3.7672643508693789E-3</v>
      </c>
      <c r="W155" s="5">
        <f t="shared" ca="1" si="127"/>
        <v>1.2318463720241096E-4</v>
      </c>
      <c r="X155" s="5">
        <f t="shared" ca="1" si="127"/>
        <v>3.7595184820857087E-2</v>
      </c>
      <c r="Y155" s="523">
        <f ca="1">1-Y154</f>
        <v>0.39476324447543831</v>
      </c>
    </row>
    <row r="156" spans="1:25" x14ac:dyDescent="0.25">
      <c r="A156" s="812">
        <v>2104008310</v>
      </c>
      <c r="B156" s="452">
        <f t="shared" ca="1" si="117"/>
        <v>1.1017200887251673E-2</v>
      </c>
      <c r="C156" s="452">
        <f t="shared" ca="1" si="118"/>
        <v>1.6785012605794022E-3</v>
      </c>
      <c r="D156" s="465">
        <f t="shared" ca="1" si="119"/>
        <v>3.3570025211588045E-4</v>
      </c>
      <c r="E156" s="452">
        <f t="shared" ca="1" si="120"/>
        <v>1.0386405338068167E-2</v>
      </c>
      <c r="F156" s="455">
        <f t="shared" ca="1" si="121"/>
        <v>1.0386405338068167E-2</v>
      </c>
      <c r="G156" s="452">
        <f t="shared" ca="1" si="122"/>
        <v>7.5532556726073106E-4</v>
      </c>
      <c r="H156" s="452">
        <f t="shared" ca="1" si="123"/>
        <v>0.10750604396358862</v>
      </c>
      <c r="I156" s="812" t="s">
        <v>141</v>
      </c>
      <c r="J156" s="5">
        <f t="shared" ref="J156:P156" ca="1" si="128">J84-J112</f>
        <v>9.5816573659135915E-3</v>
      </c>
      <c r="K156" s="5">
        <f t="shared" ca="1" si="128"/>
        <v>1.4597922041828053E-3</v>
      </c>
      <c r="L156" s="357">
        <f t="shared" ca="1" si="128"/>
        <v>2.9195844083656109E-4</v>
      </c>
      <c r="M156" s="5">
        <f t="shared" ca="1" si="128"/>
        <v>9.0330546053690852E-3</v>
      </c>
      <c r="N156" s="463">
        <f t="shared" ca="1" si="128"/>
        <v>9.0330546053690852E-3</v>
      </c>
      <c r="O156" s="5">
        <f t="shared" ca="1" si="128"/>
        <v>6.5690649188226242E-4</v>
      </c>
      <c r="P156" s="5">
        <f t="shared" ca="1" si="128"/>
        <v>9.3497984521267313E-2</v>
      </c>
      <c r="R156" s="5">
        <f t="shared" ref="R156:X156" ca="1" si="129">R84-R112</f>
        <v>1.4355435213380811E-3</v>
      </c>
      <c r="S156" s="5">
        <f t="shared" ca="1" si="129"/>
        <v>2.1870905639659685E-4</v>
      </c>
      <c r="T156" s="357">
        <f t="shared" ca="1" si="129"/>
        <v>4.3741811279319372E-5</v>
      </c>
      <c r="U156" s="5">
        <f t="shared" ca="1" si="129"/>
        <v>1.353350732699081E-3</v>
      </c>
      <c r="V156" s="463">
        <f t="shared" ca="1" si="129"/>
        <v>1.353350732699081E-3</v>
      </c>
      <c r="W156" s="5">
        <f t="shared" ca="1" si="129"/>
        <v>9.8419075378468584E-5</v>
      </c>
      <c r="X156" s="5">
        <f t="shared" ca="1" si="129"/>
        <v>1.4008059442321315E-2</v>
      </c>
    </row>
    <row r="157" spans="1:25" x14ac:dyDescent="0.25">
      <c r="A157" s="812">
        <v>2104008320</v>
      </c>
      <c r="B157" s="452">
        <f t="shared" ca="1" si="117"/>
        <v>0.13602907388427976</v>
      </c>
      <c r="C157" s="452">
        <f t="shared" ca="1" si="118"/>
        <v>1.6671124936359295E-2</v>
      </c>
      <c r="D157" s="465">
        <f t="shared" ca="1" si="119"/>
        <v>4.1448817050148143E-3</v>
      </c>
      <c r="E157" s="452">
        <f t="shared" ca="1" si="120"/>
        <v>8.5503912824687153E-2</v>
      </c>
      <c r="F157" s="455">
        <f t="shared" ca="1" si="121"/>
        <v>8.5503912824687153E-2</v>
      </c>
      <c r="G157" s="452">
        <f t="shared" ca="1" si="122"/>
        <v>2.5878748852088242E-3</v>
      </c>
      <c r="H157" s="452">
        <f t="shared" ca="1" si="123"/>
        <v>1.2811927634891083</v>
      </c>
      <c r="I157" s="812" t="s">
        <v>142</v>
      </c>
      <c r="J157" s="5">
        <f ca="1">(J$85-J$113)*$Y157</f>
        <v>0.1165407283475425</v>
      </c>
      <c r="K157" s="5">
        <f t="shared" ref="K157:P158" ca="1" si="130">(K$85-K$113)*$Y157</f>
        <v>1.4282719031881304E-2</v>
      </c>
      <c r="L157" s="357">
        <f t="shared" ca="1" si="130"/>
        <v>3.5510609535411518E-3</v>
      </c>
      <c r="M157" s="5">
        <f t="shared" ca="1" si="130"/>
        <v>7.3254106586293485E-2</v>
      </c>
      <c r="N157" s="463">
        <f t="shared" ca="1" si="130"/>
        <v>7.3254106586293485E-2</v>
      </c>
      <c r="O157" s="5">
        <f t="shared" ca="1" si="130"/>
        <v>2.2171203212859852E-3</v>
      </c>
      <c r="P157" s="5">
        <f t="shared" ca="1" si="130"/>
        <v>1.0976413611228493</v>
      </c>
      <c r="R157" s="5">
        <f ca="1">(R$85-R$113)*$Y157</f>
        <v>1.9488345536737246E-2</v>
      </c>
      <c r="S157" s="5">
        <f t="shared" ref="S157:X158" ca="1" si="131">(S$85-S$113)*$Y157</f>
        <v>2.3884059044779913E-3</v>
      </c>
      <c r="T157" s="357">
        <f t="shared" ca="1" si="131"/>
        <v>5.9382075147366216E-4</v>
      </c>
      <c r="U157" s="5">
        <f t="shared" ca="1" si="131"/>
        <v>1.2249806238393663E-2</v>
      </c>
      <c r="V157" s="463">
        <f t="shared" ca="1" si="131"/>
        <v>1.2249806238393663E-2</v>
      </c>
      <c r="W157" s="5">
        <f t="shared" ca="1" si="131"/>
        <v>3.7075456392283925E-4</v>
      </c>
      <c r="X157" s="5">
        <f t="shared" ca="1" si="131"/>
        <v>0.18355140236625911</v>
      </c>
      <c r="Y157" s="523">
        <f ca="1">INDIRECT("'DevSumOut-"&amp;Year&amp;"BSR'!R$55")/SUM(INDIRECT("'DevSumOut-"&amp;Year&amp;"BSR'!R$55:R$56"))</f>
        <v>0.59950103122580434</v>
      </c>
    </row>
    <row r="158" spans="1:25" x14ac:dyDescent="0.25">
      <c r="A158" s="812">
        <v>2104008330</v>
      </c>
      <c r="B158" s="452">
        <f t="shared" ca="1" si="117"/>
        <v>9.0874745790792466E-2</v>
      </c>
      <c r="C158" s="452">
        <f t="shared" ca="1" si="118"/>
        <v>1.1137209108157221E-2</v>
      </c>
      <c r="D158" s="465">
        <f t="shared" ca="1" si="119"/>
        <v>2.7690041586003705E-3</v>
      </c>
      <c r="E158" s="452">
        <f t="shared" ca="1" si="120"/>
        <v>5.7121217694032139E-2</v>
      </c>
      <c r="F158" s="455">
        <f t="shared" ca="1" si="121"/>
        <v>5.7121217694032139E-2</v>
      </c>
      <c r="G158" s="452">
        <f t="shared" ca="1" si="122"/>
        <v>1.7288397665030783E-3</v>
      </c>
      <c r="H158" s="452">
        <f t="shared" ca="1" si="123"/>
        <v>0.85590575136989644</v>
      </c>
      <c r="I158" s="812" t="s">
        <v>143</v>
      </c>
      <c r="J158" s="5">
        <f ca="1">(J$85-J$113)*$Y158</f>
        <v>7.7855481629362427E-2</v>
      </c>
      <c r="K158" s="5">
        <f t="shared" ca="1" si="130"/>
        <v>9.5416253611171845E-3</v>
      </c>
      <c r="L158" s="357">
        <f t="shared" ca="1" si="130"/>
        <v>2.3722999225532066E-3</v>
      </c>
      <c r="M158" s="5">
        <f t="shared" ca="1" si="130"/>
        <v>4.8937687540415949E-2</v>
      </c>
      <c r="N158" s="463">
        <f t="shared" ca="1" si="130"/>
        <v>4.8937687540415949E-2</v>
      </c>
      <c r="O158" s="5">
        <f t="shared" ca="1" si="130"/>
        <v>1.4811557546577415E-3</v>
      </c>
      <c r="P158" s="5">
        <f t="shared" ca="1" si="130"/>
        <v>0.73328353133061919</v>
      </c>
      <c r="R158" s="5">
        <f ca="1">(R$85-R$113)*$Y158</f>
        <v>1.301926416143004E-2</v>
      </c>
      <c r="S158" s="5">
        <f t="shared" ca="1" si="131"/>
        <v>1.5955837470400377E-3</v>
      </c>
      <c r="T158" s="357">
        <f t="shared" ca="1" si="131"/>
        <v>3.967042360471638E-4</v>
      </c>
      <c r="U158" s="5">
        <f t="shared" ca="1" si="131"/>
        <v>8.1835301536161888E-3</v>
      </c>
      <c r="V158" s="463">
        <f t="shared" ca="1" si="131"/>
        <v>8.1835301536161888E-3</v>
      </c>
      <c r="W158" s="5">
        <f t="shared" ca="1" si="131"/>
        <v>2.4768401184533675E-4</v>
      </c>
      <c r="X158" s="5">
        <f t="shared" ca="1" si="131"/>
        <v>0.12262222003927731</v>
      </c>
      <c r="Y158" s="523">
        <f ca="1">1-Y157</f>
        <v>0.40049896877419566</v>
      </c>
    </row>
    <row r="159" spans="1:25" x14ac:dyDescent="0.25">
      <c r="A159" s="812">
        <v>2104008410</v>
      </c>
      <c r="B159" s="452">
        <f t="shared" ca="1" si="117"/>
        <v>1.5670352441817968E-3</v>
      </c>
      <c r="C159" s="452">
        <f t="shared" ca="1" si="118"/>
        <v>2.7365316857873418E-3</v>
      </c>
      <c r="D159" s="465">
        <f t="shared" ca="1" si="119"/>
        <v>2.1870383103195551E-4</v>
      </c>
      <c r="E159" s="452">
        <f t="shared" ca="1" si="120"/>
        <v>2.0230104370455881E-3</v>
      </c>
      <c r="F159" s="455">
        <f t="shared" ca="1" si="121"/>
        <v>2.0230104370455881E-3</v>
      </c>
      <c r="G159" s="452">
        <f t="shared" ca="1" si="122"/>
        <v>4.9126348045552994E-5</v>
      </c>
      <c r="H159" s="452">
        <f t="shared" ca="1" si="123"/>
        <v>6.7880201556543198E-3</v>
      </c>
      <c r="I159" s="812" t="s">
        <v>144</v>
      </c>
      <c r="J159" s="5">
        <f t="shared" ref="J159:P161" ca="1" si="132">J86-J114</f>
        <v>1.4247311522959192E-3</v>
      </c>
      <c r="K159" s="5">
        <f t="shared" ca="1" si="132"/>
        <v>2.4880244119983423E-3</v>
      </c>
      <c r="L159" s="357">
        <f t="shared" ca="1" si="132"/>
        <v>1.9884310985001749E-4</v>
      </c>
      <c r="M159" s="5">
        <f t="shared" ca="1" si="132"/>
        <v>1.8392987661126614E-3</v>
      </c>
      <c r="N159" s="463">
        <f t="shared" ca="1" si="132"/>
        <v>1.8392987661126614E-3</v>
      </c>
      <c r="O159" s="5">
        <f t="shared" ca="1" si="132"/>
        <v>4.4665133550060164E-5</v>
      </c>
      <c r="P159" s="5">
        <f t="shared" ca="1" si="132"/>
        <v>6.1715930219699176E-3</v>
      </c>
      <c r="R159" s="5">
        <f t="shared" ref="R159:X161" ca="1" si="133">R86-R114</f>
        <v>1.4230409188587765E-4</v>
      </c>
      <c r="S159" s="5">
        <f t="shared" ca="1" si="133"/>
        <v>2.4850727378899963E-4</v>
      </c>
      <c r="T159" s="357">
        <f t="shared" ca="1" si="133"/>
        <v>1.9860721181938034E-5</v>
      </c>
      <c r="U159" s="5">
        <f t="shared" ca="1" si="133"/>
        <v>1.8371167093292681E-4</v>
      </c>
      <c r="V159" s="463">
        <f t="shared" ca="1" si="133"/>
        <v>1.8371167093292681E-4</v>
      </c>
      <c r="W159" s="5">
        <f t="shared" ca="1" si="133"/>
        <v>4.4612144954928287E-6</v>
      </c>
      <c r="X159" s="5">
        <f t="shared" ca="1" si="133"/>
        <v>6.1642713368440178E-4</v>
      </c>
    </row>
    <row r="160" spans="1:25" x14ac:dyDescent="0.25">
      <c r="A160" s="812">
        <v>2104008420</v>
      </c>
      <c r="B160" s="452">
        <f t="shared" ca="1" si="117"/>
        <v>5.8558036157208716E-3</v>
      </c>
      <c r="C160" s="452">
        <f t="shared" ca="1" si="118"/>
        <v>1.0226057263016598E-2</v>
      </c>
      <c r="D160" s="465">
        <f t="shared" ca="1" si="119"/>
        <v>8.172673137276001E-4</v>
      </c>
      <c r="E160" s="452">
        <f t="shared" ca="1" si="120"/>
        <v>7.5597226519803001E-3</v>
      </c>
      <c r="F160" s="455">
        <f t="shared" ca="1" si="121"/>
        <v>7.5597226519803001E-3</v>
      </c>
      <c r="G160" s="452">
        <f t="shared" ca="1" si="122"/>
        <v>1.8357867034606227E-4</v>
      </c>
      <c r="H160" s="452">
        <f t="shared" ca="1" si="123"/>
        <v>2.536593424982039E-2</v>
      </c>
      <c r="I160" s="812" t="s">
        <v>145</v>
      </c>
      <c r="J160" s="5">
        <f t="shared" ca="1" si="132"/>
        <v>4.7016774436661494E-3</v>
      </c>
      <c r="K160" s="5">
        <f t="shared" ca="1" si="132"/>
        <v>8.2105934430734412E-3</v>
      </c>
      <c r="L160" s="357">
        <f t="shared" ca="1" si="132"/>
        <v>6.5619128416171345E-4</v>
      </c>
      <c r="M160" s="5">
        <f t="shared" ca="1" si="132"/>
        <v>6.0697693784958493E-3</v>
      </c>
      <c r="N160" s="463">
        <f t="shared" ca="1" si="132"/>
        <v>6.0697693784958493E-3</v>
      </c>
      <c r="O160" s="5">
        <f t="shared" ca="1" si="132"/>
        <v>1.4739696720482496E-4</v>
      </c>
      <c r="P160" s="5">
        <f t="shared" ca="1" si="132"/>
        <v>2.0366536982169184E-2</v>
      </c>
      <c r="R160" s="5">
        <f t="shared" ca="1" si="133"/>
        <v>1.1541261720547221E-3</v>
      </c>
      <c r="S160" s="5">
        <f t="shared" ca="1" si="133"/>
        <v>2.0154638199431562E-3</v>
      </c>
      <c r="T160" s="357">
        <f t="shared" ca="1" si="133"/>
        <v>1.6107602956588662E-4</v>
      </c>
      <c r="U160" s="5">
        <f t="shared" ca="1" si="133"/>
        <v>1.489953273484451E-3</v>
      </c>
      <c r="V160" s="463">
        <f t="shared" ca="1" si="133"/>
        <v>1.489953273484451E-3</v>
      </c>
      <c r="W160" s="5">
        <f t="shared" ca="1" si="133"/>
        <v>3.6181703141237297E-5</v>
      </c>
      <c r="X160" s="5">
        <f t="shared" ca="1" si="133"/>
        <v>4.9993972676512059E-3</v>
      </c>
    </row>
    <row r="161" spans="1:30" x14ac:dyDescent="0.25">
      <c r="A161" s="812">
        <v>2104008610</v>
      </c>
      <c r="B161" s="452">
        <f t="shared" ca="1" si="117"/>
        <v>0.12947723845325498</v>
      </c>
      <c r="C161" s="452">
        <f t="shared" ca="1" si="118"/>
        <v>4.5993894535574422E-3</v>
      </c>
      <c r="D161" s="465">
        <f t="shared" ca="1" si="119"/>
        <v>1.1407686207335248E-3</v>
      </c>
      <c r="E161" s="452">
        <f t="shared" ca="1" si="120"/>
        <v>2.8148899434849901E-2</v>
      </c>
      <c r="F161" s="455">
        <f t="shared" ca="1" si="121"/>
        <v>2.8148899434849901E-2</v>
      </c>
      <c r="G161" s="452">
        <f t="shared" ca="1" si="122"/>
        <v>6.9518031803814844E-4</v>
      </c>
      <c r="H161" s="452">
        <f t="shared" ca="1" si="123"/>
        <v>0.17274278916321914</v>
      </c>
      <c r="I161" s="812" t="s">
        <v>146</v>
      </c>
      <c r="J161" s="5">
        <f t="shared" ca="1" si="132"/>
        <v>0.11227384369220084</v>
      </c>
      <c r="K161" s="5">
        <f t="shared" ca="1" si="132"/>
        <v>3.9882773123455003E-3</v>
      </c>
      <c r="L161" s="357">
        <f t="shared" ca="1" si="132"/>
        <v>9.8919686072423702E-4</v>
      </c>
      <c r="M161" s="5">
        <f t="shared" ca="1" si="132"/>
        <v>2.4408808629300571E-2</v>
      </c>
      <c r="N161" s="463">
        <f t="shared" ca="1" si="132"/>
        <v>2.4408808629300571E-2</v>
      </c>
      <c r="O161" s="5">
        <f t="shared" ca="1" si="132"/>
        <v>6.0281302951551634E-4</v>
      </c>
      <c r="P161" s="5">
        <f t="shared" ca="1" si="132"/>
        <v>0.14979078285229291</v>
      </c>
      <c r="R161" s="5">
        <f t="shared" ca="1" si="133"/>
        <v>1.7203394761054158E-2</v>
      </c>
      <c r="S161" s="5">
        <f t="shared" ca="1" si="133"/>
        <v>6.111121412119418E-4</v>
      </c>
      <c r="T161" s="357">
        <f t="shared" ca="1" si="133"/>
        <v>1.5157176000928779E-4</v>
      </c>
      <c r="U161" s="5">
        <f t="shared" ca="1" si="133"/>
        <v>3.7400908055493288E-3</v>
      </c>
      <c r="V161" s="463">
        <f t="shared" ca="1" si="133"/>
        <v>3.7400908055493288E-3</v>
      </c>
      <c r="W161" s="5">
        <f t="shared" ca="1" si="133"/>
        <v>9.2367288522632156E-5</v>
      </c>
      <c r="X161" s="5">
        <f t="shared" ca="1" si="133"/>
        <v>2.2952006310926216E-2</v>
      </c>
    </row>
    <row r="162" spans="1:30" x14ac:dyDescent="0.25">
      <c r="A162" s="812">
        <v>2104004000</v>
      </c>
      <c r="B162" s="452">
        <f t="shared" ca="1" si="117"/>
        <v>-1.8744626993902336E-4</v>
      </c>
      <c r="C162" s="452">
        <f t="shared" ca="1" si="118"/>
        <v>-2.9488505337982428E-3</v>
      </c>
      <c r="D162" s="465">
        <f t="shared" ca="1" si="119"/>
        <v>-7.5984300050517158E-3</v>
      </c>
      <c r="E162" s="452">
        <f t="shared" ca="1" si="120"/>
        <v>-1.1993975269259787E-4</v>
      </c>
      <c r="F162" s="455">
        <f t="shared" ca="1" si="121"/>
        <v>-1.1993975269259787E-4</v>
      </c>
      <c r="G162" s="452">
        <f t="shared" ca="1" si="122"/>
        <v>-6.440063469943886E-6</v>
      </c>
      <c r="H162" s="452">
        <f t="shared" ca="1" si="123"/>
        <v>-1.1773772451264289E-4</v>
      </c>
      <c r="I162" s="812" t="s">
        <v>568</v>
      </c>
      <c r="J162" s="5">
        <f t="shared" ref="J162:P162" ca="1" si="134">J89-SUM(J117:J125)</f>
        <v>-5.0589596029030574E-6</v>
      </c>
      <c r="K162" s="5">
        <f t="shared" ca="1" si="134"/>
        <v>-7.9586090085109057E-5</v>
      </c>
      <c r="L162" s="357">
        <f t="shared" ca="1" si="134"/>
        <v>-2.0507290144289314E-4</v>
      </c>
      <c r="M162" s="5">
        <f t="shared" ca="1" si="134"/>
        <v>-3.2370362123045407E-6</v>
      </c>
      <c r="N162" s="463">
        <f t="shared" ca="1" si="134"/>
        <v>-3.2370362123045407E-6</v>
      </c>
      <c r="O162" s="5">
        <f t="shared" ca="1" si="134"/>
        <v>-1.7380991867790727E-7</v>
      </c>
      <c r="P162" s="5">
        <f t="shared" ca="1" si="134"/>
        <v>-3.1776060000603948E-6</v>
      </c>
      <c r="R162" s="5">
        <f t="shared" ref="R162:X162" ca="1" si="135">R89-SUM(R117:R125)</f>
        <v>-1.823873103361203E-4</v>
      </c>
      <c r="S162" s="5">
        <f t="shared" ca="1" si="135"/>
        <v>-2.8692644437131338E-3</v>
      </c>
      <c r="T162" s="357">
        <f t="shared" ca="1" si="135"/>
        <v>-7.3933571036088226E-3</v>
      </c>
      <c r="U162" s="5">
        <f t="shared" ca="1" si="135"/>
        <v>-1.1670271648029333E-4</v>
      </c>
      <c r="V162" s="463">
        <f t="shared" ca="1" si="135"/>
        <v>-1.1670271648029333E-4</v>
      </c>
      <c r="W162" s="5">
        <f t="shared" ca="1" si="135"/>
        <v>-6.2662535512659787E-6</v>
      </c>
      <c r="X162" s="5">
        <f t="shared" ca="1" si="135"/>
        <v>-1.1456011851258249E-4</v>
      </c>
    </row>
    <row r="163" spans="1:30" x14ac:dyDescent="0.25">
      <c r="A163" s="812">
        <v>2103004001</v>
      </c>
      <c r="B163" s="521"/>
      <c r="C163" s="521"/>
      <c r="D163" s="511"/>
      <c r="E163" s="521"/>
      <c r="F163" s="525"/>
      <c r="G163" s="521"/>
      <c r="H163" s="521"/>
      <c r="I163" s="812" t="s">
        <v>148</v>
      </c>
      <c r="J163" s="521"/>
      <c r="K163" s="521"/>
      <c r="L163" s="511"/>
      <c r="M163" s="521"/>
      <c r="N163" s="525"/>
      <c r="O163" s="521"/>
      <c r="P163" s="521"/>
      <c r="R163" s="521"/>
      <c r="S163" s="521"/>
      <c r="T163" s="511"/>
      <c r="U163" s="521"/>
      <c r="V163" s="525"/>
      <c r="W163" s="521"/>
      <c r="X163" s="521"/>
    </row>
    <row r="164" spans="1:30" x14ac:dyDescent="0.25">
      <c r="A164" s="812">
        <v>2104006010</v>
      </c>
      <c r="B164" s="521"/>
      <c r="C164" s="521"/>
      <c r="D164" s="511"/>
      <c r="E164" s="521"/>
      <c r="F164" s="525"/>
      <c r="G164" s="521"/>
      <c r="H164" s="521"/>
      <c r="I164" s="812" t="s">
        <v>149</v>
      </c>
      <c r="J164" s="521"/>
      <c r="K164" s="521"/>
      <c r="L164" s="511"/>
      <c r="M164" s="521"/>
      <c r="N164" s="525"/>
      <c r="O164" s="521"/>
      <c r="P164" s="521"/>
      <c r="R164" s="521"/>
      <c r="S164" s="521"/>
      <c r="T164" s="511"/>
      <c r="U164" s="521"/>
      <c r="V164" s="525"/>
      <c r="W164" s="521"/>
      <c r="X164" s="521"/>
    </row>
    <row r="165" spans="1:30" x14ac:dyDescent="0.25">
      <c r="A165" s="812">
        <v>2103006000</v>
      </c>
      <c r="B165" s="521"/>
      <c r="C165" s="521"/>
      <c r="D165" s="511"/>
      <c r="E165" s="521"/>
      <c r="F165" s="525"/>
      <c r="G165" s="521"/>
      <c r="H165" s="521"/>
      <c r="I165" s="812" t="s">
        <v>150</v>
      </c>
      <c r="J165" s="521"/>
      <c r="K165" s="521"/>
      <c r="L165" s="511"/>
      <c r="M165" s="521"/>
      <c r="N165" s="525"/>
      <c r="O165" s="521"/>
      <c r="P165" s="521"/>
      <c r="R165" s="521"/>
      <c r="S165" s="521"/>
      <c r="T165" s="511"/>
      <c r="U165" s="521"/>
      <c r="V165" s="525"/>
      <c r="W165" s="521"/>
      <c r="X165" s="521"/>
    </row>
    <row r="166" spans="1:30" x14ac:dyDescent="0.25">
      <c r="A166" s="812">
        <v>2104002000</v>
      </c>
      <c r="B166" s="521"/>
      <c r="C166" s="521"/>
      <c r="D166" s="511"/>
      <c r="E166" s="521"/>
      <c r="F166" s="525"/>
      <c r="G166" s="521"/>
      <c r="H166" s="521"/>
      <c r="I166" s="812" t="s">
        <v>151</v>
      </c>
      <c r="J166" s="521"/>
      <c r="K166" s="521"/>
      <c r="L166" s="511"/>
      <c r="M166" s="521"/>
      <c r="N166" s="525"/>
      <c r="O166" s="521"/>
      <c r="P166" s="521"/>
      <c r="R166" s="521"/>
      <c r="S166" s="521"/>
      <c r="T166" s="511"/>
      <c r="U166" s="521"/>
      <c r="V166" s="525"/>
      <c r="W166" s="521"/>
      <c r="X166" s="521"/>
    </row>
    <row r="167" spans="1:30" x14ac:dyDescent="0.25">
      <c r="A167" s="812">
        <v>2103002000</v>
      </c>
      <c r="B167" s="521"/>
      <c r="C167" s="521"/>
      <c r="D167" s="511"/>
      <c r="E167" s="521"/>
      <c r="F167" s="525"/>
      <c r="G167" s="521"/>
      <c r="H167" s="521"/>
      <c r="I167" s="812" t="s">
        <v>152</v>
      </c>
      <c r="J167" s="521"/>
      <c r="K167" s="521"/>
      <c r="L167" s="511"/>
      <c r="M167" s="521"/>
      <c r="N167" s="525"/>
      <c r="O167" s="521"/>
      <c r="P167" s="521"/>
      <c r="R167" s="521"/>
      <c r="S167" s="521"/>
      <c r="T167" s="511"/>
      <c r="U167" s="521"/>
      <c r="V167" s="525"/>
      <c r="W167" s="521"/>
      <c r="X167" s="521"/>
    </row>
    <row r="168" spans="1:30" x14ac:dyDescent="0.25">
      <c r="A168" s="812">
        <v>2103008000</v>
      </c>
      <c r="B168" s="521"/>
      <c r="C168" s="521"/>
      <c r="D168" s="511"/>
      <c r="E168" s="521"/>
      <c r="F168" s="525"/>
      <c r="G168" s="521"/>
      <c r="H168" s="521"/>
      <c r="I168" s="812" t="s">
        <v>153</v>
      </c>
      <c r="J168" s="521"/>
      <c r="K168" s="521"/>
      <c r="L168" s="511"/>
      <c r="M168" s="521"/>
      <c r="N168" s="525"/>
      <c r="O168" s="521"/>
      <c r="P168" s="521"/>
      <c r="R168" s="521"/>
      <c r="S168" s="521"/>
      <c r="T168" s="511"/>
      <c r="U168" s="521"/>
      <c r="V168" s="525"/>
      <c r="W168" s="521"/>
      <c r="X168" s="521"/>
    </row>
    <row r="169" spans="1:30" x14ac:dyDescent="0.25">
      <c r="A169" s="813">
        <v>2102012000</v>
      </c>
      <c r="B169" s="527"/>
      <c r="C169" s="527"/>
      <c r="D169" s="524"/>
      <c r="E169" s="527"/>
      <c r="F169" s="526"/>
      <c r="G169" s="527"/>
      <c r="H169" s="527"/>
      <c r="I169" s="813" t="s">
        <v>154</v>
      </c>
      <c r="J169" s="527"/>
      <c r="K169" s="527"/>
      <c r="L169" s="524"/>
      <c r="M169" s="527"/>
      <c r="N169" s="526"/>
      <c r="O169" s="527"/>
      <c r="P169" s="527"/>
      <c r="R169" s="527"/>
      <c r="S169" s="527"/>
      <c r="T169" s="524"/>
      <c r="U169" s="527"/>
      <c r="V169" s="526"/>
      <c r="W169" s="527"/>
      <c r="X169" s="527"/>
    </row>
    <row r="170" spans="1:30" x14ac:dyDescent="0.25">
      <c r="A170" s="810" t="s">
        <v>486</v>
      </c>
      <c r="B170" s="452">
        <f t="shared" ref="B170" ca="1" si="136">J170+R170</f>
        <v>1.312089865135271</v>
      </c>
      <c r="C170" s="452">
        <f t="shared" ref="C170" ca="1" si="137">K170+S170</f>
        <v>5.9695130330079289E-2</v>
      </c>
      <c r="D170" s="465">
        <f t="shared" ref="D170" ca="1" si="138">L170+T170</f>
        <v>5.1337945417484878E-3</v>
      </c>
      <c r="E170" s="452">
        <f t="shared" ref="E170" ca="1" si="139">M170+U170</f>
        <v>0.35930801745073654</v>
      </c>
      <c r="F170" s="455">
        <f t="shared" ref="F170" ca="1" si="140">N170+V170</f>
        <v>0.35930801745073654</v>
      </c>
      <c r="G170" s="452">
        <f t="shared" ref="G170" ca="1" si="141">O170+W170</f>
        <v>1.3581122258581256E-2</v>
      </c>
      <c r="H170" s="452">
        <f t="shared" ref="H170" ca="1" si="142">P170+X170</f>
        <v>3.8511364397715928</v>
      </c>
      <c r="I170" s="87"/>
      <c r="J170" s="5">
        <f ca="1">SUM(J152:J169)</f>
        <v>1.1276918708243515</v>
      </c>
      <c r="K170" s="5">
        <f t="shared" ref="K170:P170" ca="1" si="143">SUM(K152:K169)</f>
        <v>5.3246507315338948E-2</v>
      </c>
      <c r="L170" s="357">
        <f t="shared" ca="1" si="143"/>
        <v>1.0677950626025515E-2</v>
      </c>
      <c r="M170" s="5">
        <f t="shared" ca="1" si="143"/>
        <v>0.30827549543884847</v>
      </c>
      <c r="N170" s="463">
        <f t="shared" ca="1" si="143"/>
        <v>0.30827549543884847</v>
      </c>
      <c r="O170" s="5">
        <f t="shared" ca="1" si="143"/>
        <v>1.1672530232290222E-2</v>
      </c>
      <c r="P170" s="5">
        <f t="shared" ca="1" si="143"/>
        <v>3.3018561980907339</v>
      </c>
      <c r="R170" s="5">
        <f t="shared" ref="R170:X170" ca="1" si="144">SUM(R152:R169)</f>
        <v>0.18439799431091955</v>
      </c>
      <c r="S170" s="5">
        <f t="shared" ca="1" si="144"/>
        <v>6.4486230147403432E-3</v>
      </c>
      <c r="T170" s="357">
        <f t="shared" ca="1" si="144"/>
        <v>-5.5441560842770269E-3</v>
      </c>
      <c r="U170" s="5">
        <f t="shared" ca="1" si="144"/>
        <v>5.1032522011888078E-2</v>
      </c>
      <c r="V170" s="463">
        <f t="shared" ca="1" si="144"/>
        <v>5.1032522011888078E-2</v>
      </c>
      <c r="W170" s="5">
        <f t="shared" ca="1" si="144"/>
        <v>1.9085920262910338E-3</v>
      </c>
      <c r="X170" s="5">
        <f t="shared" ca="1" si="144"/>
        <v>0.54928024168085898</v>
      </c>
    </row>
    <row r="172" spans="1:30" x14ac:dyDescent="0.25">
      <c r="B172" s="845" t="str">
        <f>Year&amp;" Base Emissions"</f>
        <v>2029 Base Emissions</v>
      </c>
      <c r="C172" s="845"/>
      <c r="E172" s="244" t="s">
        <v>307</v>
      </c>
      <c r="F172" s="664">
        <f>$B$4</f>
        <v>2020</v>
      </c>
      <c r="G172" s="244" t="s">
        <v>308</v>
      </c>
      <c r="H172" s="664">
        <f>F172+1</f>
        <v>2021</v>
      </c>
      <c r="I172" s="244" t="s">
        <v>308</v>
      </c>
      <c r="J172" s="664">
        <f>H172+1</f>
        <v>2022</v>
      </c>
      <c r="K172" s="244" t="s">
        <v>308</v>
      </c>
      <c r="L172" s="664">
        <f>J172+1</f>
        <v>2023</v>
      </c>
      <c r="M172" s="244" t="s">
        <v>308</v>
      </c>
      <c r="N172" s="664">
        <f>L172+1</f>
        <v>2024</v>
      </c>
      <c r="O172" s="244" t="s">
        <v>308</v>
      </c>
      <c r="P172" s="664">
        <f>N172+1</f>
        <v>2025</v>
      </c>
      <c r="Q172" s="244" t="s">
        <v>308</v>
      </c>
      <c r="R172" s="664">
        <f>P172+1</f>
        <v>2026</v>
      </c>
      <c r="S172" s="244" t="s">
        <v>308</v>
      </c>
      <c r="T172" s="664">
        <f>R172+1</f>
        <v>2027</v>
      </c>
      <c r="U172" s="244" t="s">
        <v>308</v>
      </c>
      <c r="V172" s="664">
        <f>T172+1</f>
        <v>2028</v>
      </c>
      <c r="W172" s="244" t="s">
        <v>308</v>
      </c>
      <c r="X172" s="664">
        <f>V172+1</f>
        <v>2029</v>
      </c>
      <c r="Y172" s="244" t="s">
        <v>308</v>
      </c>
      <c r="Z172" s="664">
        <f>X172+1</f>
        <v>2030</v>
      </c>
      <c r="AA172" s="244" t="s">
        <v>308</v>
      </c>
      <c r="AB172" s="664">
        <f>Z172+1</f>
        <v>2031</v>
      </c>
      <c r="AC172" s="244" t="s">
        <v>308</v>
      </c>
      <c r="AD172" s="664">
        <f>AB172+1</f>
        <v>2032</v>
      </c>
    </row>
    <row r="173" spans="1:30" x14ac:dyDescent="0.25">
      <c r="A173" s="813" t="s">
        <v>130</v>
      </c>
      <c r="B173" s="813" t="s">
        <v>132</v>
      </c>
      <c r="C173" s="813" t="s">
        <v>204</v>
      </c>
      <c r="E173" s="363" t="s">
        <v>132</v>
      </c>
      <c r="F173" s="454" t="s">
        <v>204</v>
      </c>
      <c r="G173" s="363" t="s">
        <v>132</v>
      </c>
      <c r="H173" s="454" t="s">
        <v>204</v>
      </c>
      <c r="I173" s="363" t="s">
        <v>132</v>
      </c>
      <c r="J173" s="454" t="s">
        <v>204</v>
      </c>
      <c r="K173" s="363" t="s">
        <v>132</v>
      </c>
      <c r="L173" s="454" t="s">
        <v>204</v>
      </c>
      <c r="M173" s="363" t="s">
        <v>132</v>
      </c>
      <c r="N173" s="454" t="s">
        <v>204</v>
      </c>
      <c r="O173" s="363" t="s">
        <v>132</v>
      </c>
      <c r="P173" s="454" t="s">
        <v>204</v>
      </c>
      <c r="Q173" s="363" t="s">
        <v>132</v>
      </c>
      <c r="R173" s="454" t="s">
        <v>204</v>
      </c>
      <c r="S173" s="363" t="s">
        <v>132</v>
      </c>
      <c r="T173" s="454" t="s">
        <v>204</v>
      </c>
      <c r="U173" s="363" t="s">
        <v>132</v>
      </c>
      <c r="V173" s="454" t="s">
        <v>204</v>
      </c>
      <c r="W173" s="363" t="s">
        <v>132</v>
      </c>
      <c r="X173" s="454" t="s">
        <v>204</v>
      </c>
      <c r="Y173" s="363" t="s">
        <v>132</v>
      </c>
      <c r="Z173" s="454" t="s">
        <v>204</v>
      </c>
      <c r="AA173" s="363" t="s">
        <v>132</v>
      </c>
      <c r="AB173" s="454" t="s">
        <v>204</v>
      </c>
      <c r="AC173" s="363" t="s">
        <v>132</v>
      </c>
      <c r="AD173" s="454" t="s">
        <v>204</v>
      </c>
    </row>
    <row r="174" spans="1:30" x14ac:dyDescent="0.25">
      <c r="A174" s="812">
        <v>2104008100</v>
      </c>
      <c r="B174" s="133">
        <f t="shared" ref="B174:B192" ca="1" si="145">OFFSET(INDIRECT("'DevSumOut-"&amp;Year&amp;"BSR'!P49"),MATCH($A174,INDIRECT("'DevSumOut-"&amp;Year&amp;"BSR'!B50:B70"),0),0)</f>
        <v>8.1804477483919183E-3</v>
      </c>
      <c r="C174" s="133">
        <f t="shared" ref="C174:C192" ca="1" si="146">OFFSET(INDIRECT("'DevSumOut-"&amp;Year&amp;"BSR'!R49"),MATCH($A174,INDIRECT("'DevSumOut-"&amp;Year&amp;"BSR'!B50:B70"),0),0)</f>
        <v>0.70760873023590076</v>
      </c>
      <c r="E174" s="357">
        <f ca="1">MIN(1,($L152+$T152*(1))/$B174)</f>
        <v>0.13875230741470132</v>
      </c>
      <c r="F174" s="463">
        <f ca="1">MIN(1,($N152+$V152*(1))/$C174)</f>
        <v>0.13875230741470135</v>
      </c>
      <c r="G174" s="357">
        <f ca="1">MIN(1,($L152+$T152*(H$172-$F$172))/$B174)</f>
        <v>0.13875230741470132</v>
      </c>
      <c r="H174" s="463">
        <f ca="1">MIN(1,($N152+$V152*(H$172-$F$172))/$C174)</f>
        <v>0.13875230741470135</v>
      </c>
      <c r="I174" s="357">
        <f ca="1">MIN(1,($L152+$T152*(J$172-$F$172))/$B174)</f>
        <v>0.15770436984502462</v>
      </c>
      <c r="J174" s="463">
        <f ca="1">MIN(1,($N152+$V152*(J$172-$F$172))/$C174)</f>
        <v>0.15770436984502464</v>
      </c>
      <c r="K174" s="357">
        <f ca="1">MIN(1,($L152+$T152*(L$172-$F$172))/$B174)</f>
        <v>0.17665643227534791</v>
      </c>
      <c r="L174" s="463">
        <f ca="1">MIN(1,($N152+$V152*(L$172-$F$172))/$C174)</f>
        <v>0.17665643227534794</v>
      </c>
      <c r="M174" s="357">
        <f ca="1">MIN(1,($L152+$T152*(N$172-$F$172))/$B174)</f>
        <v>0.19560849470567124</v>
      </c>
      <c r="N174" s="463">
        <f ca="1">MIN(1,($N152+$V152*(N$172-$F$172))/$C174)</f>
        <v>0.19560849470567124</v>
      </c>
      <c r="O174" s="357">
        <f ca="1">MIN(1,($L152+$T152*(P$172-$F$172))/$B174)</f>
        <v>0.21456055713599453</v>
      </c>
      <c r="P174" s="463">
        <f ca="1">MIN(1,($N152+$V152*(P$172-$F$172))/$C174)</f>
        <v>0.21456055713599451</v>
      </c>
      <c r="Q174" s="357">
        <f ca="1">MIN(1,($L152+$T152*(R$172-$F$172))/$B174)</f>
        <v>0.23351261956631786</v>
      </c>
      <c r="R174" s="463">
        <f ca="1">MIN(1,($N152+$V152*(R$172-$F$172))/$C174)</f>
        <v>0.2335126195663178</v>
      </c>
      <c r="S174" s="357">
        <f ca="1">MIN(1,($L152+$T152*(T$172-$F$172))/$B174)</f>
        <v>0.25246468199664113</v>
      </c>
      <c r="T174" s="463">
        <f ca="1">MIN(1,($N152+$V152*(T$172-$F$172))/$C174)</f>
        <v>0.25246468199664113</v>
      </c>
      <c r="U174" s="357">
        <f ca="1">MIN(1,($L152+$T152*(V$172-$F$172))/$B174)</f>
        <v>0.27141674442696445</v>
      </c>
      <c r="V174" s="463">
        <f ca="1">MIN(1,($N152+$V152*(V$172-$F$172))/$C174)</f>
        <v>0.2714167444269644</v>
      </c>
      <c r="W174" s="357">
        <f ca="1">MIN(1,($L152+$T152*(X$172-$F$172))/$B174)</f>
        <v>0.29036880685728778</v>
      </c>
      <c r="X174" s="463">
        <f ca="1">MIN(1,($N152+$V152*(X$172-$F$172))/$C174)</f>
        <v>0.29036880685728772</v>
      </c>
      <c r="Y174" s="357">
        <f ca="1">MIN(1,($L152+$T152*(Z$172-$F$172))/$B174)</f>
        <v>0.30932086928761104</v>
      </c>
      <c r="Z174" s="463">
        <f ca="1">MIN(1,($N152+$V152*(Z$172-$F$172))/$C174)</f>
        <v>0.30932086928761104</v>
      </c>
      <c r="AA174" s="357">
        <f ca="1">MIN(1,($L152+$T152*(AB$172-$F$172))/$B174)</f>
        <v>0.32827293171793437</v>
      </c>
      <c r="AB174" s="463">
        <f ca="1">MIN(1,($N152+$V152*(AB$172-$F$172))/$C174)</f>
        <v>0.32827293171793431</v>
      </c>
      <c r="AC174" s="357">
        <f ca="1">MIN(1,($L152+$T152*(AD$172-$F$172))/$B174)</f>
        <v>0.34722499414825764</v>
      </c>
      <c r="AD174" s="463">
        <f ca="1">MIN(1,($N152+$V152*(AD$172-$F$172))/$C174)</f>
        <v>0.34722499414825764</v>
      </c>
    </row>
    <row r="175" spans="1:30" x14ac:dyDescent="0.25">
      <c r="A175" s="812">
        <v>2104008210</v>
      </c>
      <c r="B175" s="133">
        <f t="shared" ca="1" si="145"/>
        <v>7.2189101468203944E-4</v>
      </c>
      <c r="C175" s="133">
        <f t="shared" ca="1" si="146"/>
        <v>5.5224662623176032E-2</v>
      </c>
      <c r="E175" s="357">
        <f t="shared" ref="E175:E192" ca="1" si="147">MIN(1,($L153+$T153*(1))/$B175)</f>
        <v>0.13828081221082994</v>
      </c>
      <c r="F175" s="463">
        <f t="shared" ref="F175:F192" ca="1" si="148">MIN(1,($N153+$V153*(1))/$C175)</f>
        <v>0.13828081221082991</v>
      </c>
      <c r="G175" s="357">
        <f t="shared" ref="G175:I192" ca="1" si="149">MIN(1,($L153+$T153*(H$172-$F$172))/$B175)</f>
        <v>0.13828081221082994</v>
      </c>
      <c r="H175" s="463">
        <f t="shared" ref="H175:J192" ca="1" si="150">MIN(1,($N153+$V153*(H$172-$F$172))/$C175)</f>
        <v>0.13828081221082991</v>
      </c>
      <c r="I175" s="357">
        <f t="shared" ca="1" si="149"/>
        <v>0.15629883022884797</v>
      </c>
      <c r="J175" s="463">
        <f t="shared" ca="1" si="150"/>
        <v>0.15629883022884794</v>
      </c>
      <c r="K175" s="357">
        <f t="shared" ref="K175" ca="1" si="151">MIN(1,($L153+$T153*(L$172-$F$172))/$B175)</f>
        <v>0.174316848246866</v>
      </c>
      <c r="L175" s="463">
        <f t="shared" ref="L175" ca="1" si="152">MIN(1,($N153+$V153*(L$172-$F$172))/$C175)</f>
        <v>0.17431684824686594</v>
      </c>
      <c r="M175" s="357">
        <f t="shared" ref="M175" ca="1" si="153">MIN(1,($L153+$T153*(N$172-$F$172))/$B175)</f>
        <v>0.192334866264884</v>
      </c>
      <c r="N175" s="463">
        <f t="shared" ref="N175" ca="1" si="154">MIN(1,($N153+$V153*(N$172-$F$172))/$C175)</f>
        <v>0.19233486626488397</v>
      </c>
      <c r="O175" s="357">
        <f t="shared" ref="O175" ca="1" si="155">MIN(1,($L153+$T153*(P$172-$F$172))/$B175)</f>
        <v>0.21035288428290205</v>
      </c>
      <c r="P175" s="463">
        <f t="shared" ref="P175" ca="1" si="156">MIN(1,($N153+$V153*(P$172-$F$172))/$C175)</f>
        <v>0.210352884282902</v>
      </c>
      <c r="Q175" s="357">
        <f t="shared" ref="Q175" ca="1" si="157">MIN(1,($L153+$T153*(R$172-$F$172))/$B175)</f>
        <v>0.22837090230092005</v>
      </c>
      <c r="R175" s="463">
        <f t="shared" ref="R175" ca="1" si="158">MIN(1,($N153+$V153*(R$172-$F$172))/$C175)</f>
        <v>0.22837090230092</v>
      </c>
      <c r="S175" s="357">
        <f t="shared" ref="S175" ca="1" si="159">MIN(1,($L153+$T153*(T$172-$F$172))/$B175)</f>
        <v>0.24638892031893805</v>
      </c>
      <c r="T175" s="463">
        <f t="shared" ref="T175" ca="1" si="160">MIN(1,($N153+$V153*(T$172-$F$172))/$C175)</f>
        <v>0.24638892031893803</v>
      </c>
      <c r="U175" s="357">
        <f t="shared" ref="U175" ca="1" si="161">MIN(1,($L153+$T153*(V$172-$F$172))/$B175)</f>
        <v>0.26440693833695611</v>
      </c>
      <c r="V175" s="463">
        <f t="shared" ref="V175" ca="1" si="162">MIN(1,($N153+$V153*(V$172-$F$172))/$C175)</f>
        <v>0.26440693833695605</v>
      </c>
      <c r="W175" s="357">
        <f t="shared" ref="W175" ca="1" si="163">MIN(1,($L153+$T153*(X$172-$F$172))/$B175)</f>
        <v>0.28242495635497411</v>
      </c>
      <c r="X175" s="463">
        <f t="shared" ref="X175" ca="1" si="164">MIN(1,($N153+$V153*(X$172-$F$172))/$C175)</f>
        <v>0.28242495635497405</v>
      </c>
      <c r="Y175" s="357">
        <f t="shared" ref="Y175" ca="1" si="165">MIN(1,($L153+$T153*(Z$172-$F$172))/$B175)</f>
        <v>0.30044297437299211</v>
      </c>
      <c r="Z175" s="463">
        <f t="shared" ref="Z175" ca="1" si="166">MIN(1,($N153+$V153*(Z$172-$F$172))/$C175)</f>
        <v>0.30044297437299211</v>
      </c>
      <c r="AA175" s="357">
        <f t="shared" ref="AA175" ca="1" si="167">MIN(1,($L153+$T153*(AB$172-$F$172))/$B175)</f>
        <v>0.31846099239101011</v>
      </c>
      <c r="AB175" s="463">
        <f t="shared" ref="AB175" ca="1" si="168">MIN(1,($N153+$V153*(AB$172-$F$172))/$C175)</f>
        <v>0.31846099239101011</v>
      </c>
      <c r="AC175" s="357">
        <f t="shared" ref="AC175" ca="1" si="169">MIN(1,($L153+$T153*(AD$172-$F$172))/$B175)</f>
        <v>0.33647901040902817</v>
      </c>
      <c r="AD175" s="463">
        <f t="shared" ref="AD175" ca="1" si="170">MIN(1,($N153+$V153*(AD$172-$F$172))/$C175)</f>
        <v>0.33647901040902811</v>
      </c>
    </row>
    <row r="176" spans="1:30" x14ac:dyDescent="0.25">
      <c r="A176" s="812">
        <v>2104008220</v>
      </c>
      <c r="B176" s="133">
        <f t="shared" ca="1" si="145"/>
        <v>1.5198811143679099E-3</v>
      </c>
      <c r="C176" s="133">
        <f t="shared" ca="1" si="146"/>
        <v>4.5596433431037281E-2</v>
      </c>
      <c r="E176" s="357">
        <f t="shared" ca="1" si="147"/>
        <v>0.82470714430268077</v>
      </c>
      <c r="F176" s="463">
        <f t="shared" ca="1" si="148"/>
        <v>0.83446819837084729</v>
      </c>
      <c r="G176" s="357">
        <f t="shared" ca="1" si="149"/>
        <v>0.82470714430268077</v>
      </c>
      <c r="H176" s="463">
        <f t="shared" ca="1" si="150"/>
        <v>0.83446819837084729</v>
      </c>
      <c r="I176" s="357">
        <f t="shared" ca="1" si="149"/>
        <v>0.94989833610532914</v>
      </c>
      <c r="J176" s="463">
        <f t="shared" ca="1" si="150"/>
        <v>0.96114112584231548</v>
      </c>
      <c r="K176" s="357">
        <f t="shared" ref="K176" ca="1" si="171">MIN(1,($L154+$T154*(L$172-$F$172))/$B176)</f>
        <v>1</v>
      </c>
      <c r="L176" s="463">
        <f t="shared" ref="L176" ca="1" si="172">MIN(1,($N154+$V154*(L$172-$F$172))/$C176)</f>
        <v>1</v>
      </c>
      <c r="M176" s="357">
        <f t="shared" ref="M176" ca="1" si="173">MIN(1,($L154+$T154*(N$172-$F$172))/$B176)</f>
        <v>1</v>
      </c>
      <c r="N176" s="463">
        <f t="shared" ref="N176" ca="1" si="174">MIN(1,($N154+$V154*(N$172-$F$172))/$C176)</f>
        <v>1</v>
      </c>
      <c r="O176" s="357">
        <f t="shared" ref="O176" ca="1" si="175">MIN(1,($L154+$T154*(P$172-$F$172))/$B176)</f>
        <v>1</v>
      </c>
      <c r="P176" s="463">
        <f t="shared" ref="P176" ca="1" si="176">MIN(1,($N154+$V154*(P$172-$F$172))/$C176)</f>
        <v>1</v>
      </c>
      <c r="Q176" s="357">
        <f t="shared" ref="Q176" ca="1" si="177">MIN(1,($L154+$T154*(R$172-$F$172))/$B176)</f>
        <v>1</v>
      </c>
      <c r="R176" s="463">
        <f t="shared" ref="R176" ca="1" si="178">MIN(1,($N154+$V154*(R$172-$F$172))/$C176)</f>
        <v>1</v>
      </c>
      <c r="S176" s="357">
        <f t="shared" ref="S176" ca="1" si="179">MIN(1,($L154+$T154*(T$172-$F$172))/$B176)</f>
        <v>1</v>
      </c>
      <c r="T176" s="463">
        <f t="shared" ref="T176" ca="1" si="180">MIN(1,($N154+$V154*(T$172-$F$172))/$C176)</f>
        <v>1</v>
      </c>
      <c r="U176" s="357">
        <f t="shared" ref="U176" ca="1" si="181">MIN(1,($L154+$T154*(V$172-$F$172))/$B176)</f>
        <v>1</v>
      </c>
      <c r="V176" s="463">
        <f t="shared" ref="V176" ca="1" si="182">MIN(1,($N154+$V154*(V$172-$F$172))/$C176)</f>
        <v>1</v>
      </c>
      <c r="W176" s="357">
        <f t="shared" ref="W176" ca="1" si="183">MIN(1,($L154+$T154*(X$172-$F$172))/$B176)</f>
        <v>1</v>
      </c>
      <c r="X176" s="463">
        <f t="shared" ref="X176" ca="1" si="184">MIN(1,($N154+$V154*(X$172-$F$172))/$C176)</f>
        <v>1</v>
      </c>
      <c r="Y176" s="357">
        <f t="shared" ref="Y176" ca="1" si="185">MIN(1,($L154+$T154*(Z$172-$F$172))/$B176)</f>
        <v>1</v>
      </c>
      <c r="Z176" s="463">
        <f t="shared" ref="Z176" ca="1" si="186">MIN(1,($N154+$V154*(Z$172-$F$172))/$C176)</f>
        <v>1</v>
      </c>
      <c r="AA176" s="357">
        <f t="shared" ref="AA176" ca="1" si="187">MIN(1,($L154+$T154*(AB$172-$F$172))/$B176)</f>
        <v>1</v>
      </c>
      <c r="AB176" s="463">
        <f t="shared" ref="AB176" ca="1" si="188">MIN(1,($N154+$V154*(AB$172-$F$172))/$C176)</f>
        <v>1</v>
      </c>
      <c r="AC176" s="357">
        <f t="shared" ref="AC176" ca="1" si="189">MIN(1,($L154+$T154*(AD$172-$F$172))/$B176)</f>
        <v>1</v>
      </c>
      <c r="AD176" s="463">
        <f t="shared" ref="AD176" ca="1" si="190">MIN(1,($N154+$V154*(AD$172-$F$172))/$C176)</f>
        <v>1</v>
      </c>
    </row>
    <row r="177" spans="1:30" x14ac:dyDescent="0.25">
      <c r="A177" s="812">
        <v>2104008230</v>
      </c>
      <c r="B177" s="133">
        <f t="shared" ca="1" si="145"/>
        <v>9.1507971351420146E-4</v>
      </c>
      <c r="C177" s="133">
        <f t="shared" ca="1" si="146"/>
        <v>2.9740090689211549E-2</v>
      </c>
      <c r="E177" s="357">
        <f t="shared" ca="1" si="147"/>
        <v>0.89343273966123782</v>
      </c>
      <c r="F177" s="463">
        <f t="shared" ca="1" si="148"/>
        <v>0.83446819837084718</v>
      </c>
      <c r="G177" s="357">
        <f t="shared" ca="1" si="149"/>
        <v>0.89343273966123782</v>
      </c>
      <c r="H177" s="463">
        <f t="shared" ca="1" si="150"/>
        <v>0.83446819837084718</v>
      </c>
      <c r="I177" s="357">
        <f t="shared" ca="1" si="149"/>
        <v>1</v>
      </c>
      <c r="J177" s="463">
        <f t="shared" ca="1" si="150"/>
        <v>0.96114112584231526</v>
      </c>
      <c r="K177" s="357">
        <f t="shared" ref="K177" ca="1" si="191">MIN(1,($L155+$T155*(L$172-$F$172))/$B177)</f>
        <v>1</v>
      </c>
      <c r="L177" s="463">
        <f t="shared" ref="L177" ca="1" si="192">MIN(1,($N155+$V155*(L$172-$F$172))/$C177)</f>
        <v>1</v>
      </c>
      <c r="M177" s="357">
        <f t="shared" ref="M177" ca="1" si="193">MIN(1,($L155+$T155*(N$172-$F$172))/$B177)</f>
        <v>1</v>
      </c>
      <c r="N177" s="463">
        <f t="shared" ref="N177" ca="1" si="194">MIN(1,($N155+$V155*(N$172-$F$172))/$C177)</f>
        <v>1</v>
      </c>
      <c r="O177" s="357">
        <f t="shared" ref="O177" ca="1" si="195">MIN(1,($L155+$T155*(P$172-$F$172))/$B177)</f>
        <v>1</v>
      </c>
      <c r="P177" s="463">
        <f t="shared" ref="P177" ca="1" si="196">MIN(1,($N155+$V155*(P$172-$F$172))/$C177)</f>
        <v>1</v>
      </c>
      <c r="Q177" s="357">
        <f t="shared" ref="Q177" ca="1" si="197">MIN(1,($L155+$T155*(R$172-$F$172))/$B177)</f>
        <v>1</v>
      </c>
      <c r="R177" s="463">
        <f t="shared" ref="R177" ca="1" si="198">MIN(1,($N155+$V155*(R$172-$F$172))/$C177)</f>
        <v>1</v>
      </c>
      <c r="S177" s="357">
        <f t="shared" ref="S177" ca="1" si="199">MIN(1,($L155+$T155*(T$172-$F$172))/$B177)</f>
        <v>1</v>
      </c>
      <c r="T177" s="463">
        <f t="shared" ref="T177" ca="1" si="200">MIN(1,($N155+$V155*(T$172-$F$172))/$C177)</f>
        <v>1</v>
      </c>
      <c r="U177" s="357">
        <f t="shared" ref="U177" ca="1" si="201">MIN(1,($L155+$T155*(V$172-$F$172))/$B177)</f>
        <v>1</v>
      </c>
      <c r="V177" s="463">
        <f t="shared" ref="V177" ca="1" si="202">MIN(1,($N155+$V155*(V$172-$F$172))/$C177)</f>
        <v>1</v>
      </c>
      <c r="W177" s="357">
        <f t="shared" ref="W177" ca="1" si="203">MIN(1,($L155+$T155*(X$172-$F$172))/$B177)</f>
        <v>1</v>
      </c>
      <c r="X177" s="463">
        <f t="shared" ref="X177" ca="1" si="204">MIN(1,($N155+$V155*(X$172-$F$172))/$C177)</f>
        <v>1</v>
      </c>
      <c r="Y177" s="357">
        <f t="shared" ref="Y177" ca="1" si="205">MIN(1,($L155+$T155*(Z$172-$F$172))/$B177)</f>
        <v>1</v>
      </c>
      <c r="Z177" s="463">
        <f t="shared" ref="Z177" ca="1" si="206">MIN(1,($N155+$V155*(Z$172-$F$172))/$C177)</f>
        <v>1</v>
      </c>
      <c r="AA177" s="357">
        <f t="shared" ref="AA177" ca="1" si="207">MIN(1,($L155+$T155*(AB$172-$F$172))/$B177)</f>
        <v>1</v>
      </c>
      <c r="AB177" s="463">
        <f t="shared" ref="AB177" ca="1" si="208">MIN(1,($N155+$V155*(AB$172-$F$172))/$C177)</f>
        <v>1</v>
      </c>
      <c r="AC177" s="357">
        <f t="shared" ref="AC177" ca="1" si="209">MIN(1,($L155+$T155*(AD$172-$F$172))/$B177)</f>
        <v>1</v>
      </c>
      <c r="AD177" s="463">
        <f t="shared" ref="AD177" ca="1" si="210">MIN(1,($N155+$V155*(AD$172-$F$172))/$C177)</f>
        <v>1</v>
      </c>
    </row>
    <row r="178" spans="1:30" x14ac:dyDescent="0.25">
      <c r="A178" s="812">
        <v>2104008310</v>
      </c>
      <c r="B178" s="133">
        <f t="shared" ca="1" si="145"/>
        <v>1.465021555417146E-2</v>
      </c>
      <c r="C178" s="133">
        <f t="shared" ca="1" si="146"/>
        <v>0.44470836940199449</v>
      </c>
      <c r="E178" s="357">
        <f t="shared" ca="1" si="147"/>
        <v>2.2914355824634549E-2</v>
      </c>
      <c r="F178" s="463">
        <f t="shared" ca="1" si="148"/>
        <v>2.335554276173149E-2</v>
      </c>
      <c r="G178" s="357">
        <f t="shared" ca="1" si="149"/>
        <v>2.2914355824634549E-2</v>
      </c>
      <c r="H178" s="463">
        <f t="shared" ca="1" si="150"/>
        <v>2.335554276173149E-2</v>
      </c>
      <c r="I178" s="357">
        <f t="shared" ca="1" si="149"/>
        <v>2.5900101059411276E-2</v>
      </c>
      <c r="J178" s="463">
        <f t="shared" ca="1" si="150"/>
        <v>2.6398774744342813E-2</v>
      </c>
      <c r="K178" s="357">
        <f t="shared" ref="K178" ca="1" si="211">MIN(1,($L156+$T156*(L$172-$F$172))/$B178)</f>
        <v>2.8885846294188011E-2</v>
      </c>
      <c r="L178" s="463">
        <f t="shared" ref="L178" ca="1" si="212">MIN(1,($N156+$V156*(L$172-$F$172))/$C178)</f>
        <v>2.9442006726954139E-2</v>
      </c>
      <c r="M178" s="357">
        <f t="shared" ref="M178" ca="1" si="213">MIN(1,($L156+$T156*(N$172-$F$172))/$B178)</f>
        <v>3.1871591528964738E-2</v>
      </c>
      <c r="N178" s="463">
        <f t="shared" ref="N178" ca="1" si="214">MIN(1,($N156+$V156*(N$172-$F$172))/$C178)</f>
        <v>3.2485238709565468E-2</v>
      </c>
      <c r="O178" s="357">
        <f t="shared" ref="O178" ca="1" si="215">MIN(1,($L156+$T156*(P$172-$F$172))/$B178)</f>
        <v>3.4857336763741469E-2</v>
      </c>
      <c r="P178" s="463">
        <f t="shared" ref="P178" ca="1" si="216">MIN(1,($N156+$V156*(P$172-$F$172))/$C178)</f>
        <v>3.5528470692176795E-2</v>
      </c>
      <c r="Q178" s="357">
        <f t="shared" ref="Q178" ca="1" si="217">MIN(1,($L156+$T156*(R$172-$F$172))/$B178)</f>
        <v>3.7843081998518199E-2</v>
      </c>
      <c r="R178" s="463">
        <f t="shared" ref="R178" ca="1" si="218">MIN(1,($N156+$V156*(R$172-$F$172))/$C178)</f>
        <v>3.8571702674788114E-2</v>
      </c>
      <c r="S178" s="357">
        <f t="shared" ref="S178" ca="1" si="219">MIN(1,($L156+$T156*(T$172-$F$172))/$B178)</f>
        <v>4.082882723329493E-2</v>
      </c>
      <c r="T178" s="463">
        <f t="shared" ref="T178" ca="1" si="220">MIN(1,($N156+$V156*(T$172-$F$172))/$C178)</f>
        <v>4.161493465739944E-2</v>
      </c>
      <c r="U178" s="357">
        <f t="shared" ref="U178" ca="1" si="221">MIN(1,($L156+$T156*(V$172-$F$172))/$B178)</f>
        <v>4.3814572468071661E-2</v>
      </c>
      <c r="V178" s="463">
        <f t="shared" ref="V178" ca="1" si="222">MIN(1,($N156+$V156*(V$172-$F$172))/$C178)</f>
        <v>4.4658166640010766E-2</v>
      </c>
      <c r="W178" s="357">
        <f t="shared" ref="W178" ca="1" si="223">MIN(1,($L156+$T156*(X$172-$F$172))/$B178)</f>
        <v>4.6800317702848392E-2</v>
      </c>
      <c r="X178" s="463">
        <f t="shared" ref="X178" ca="1" si="224">MIN(1,($N156+$V156*(X$172-$F$172))/$C178)</f>
        <v>4.7701398622622092E-2</v>
      </c>
      <c r="Y178" s="357">
        <f t="shared" ref="Y178" ca="1" si="225">MIN(1,($L156+$T156*(Z$172-$F$172))/$B178)</f>
        <v>4.9786062937625122E-2</v>
      </c>
      <c r="Z178" s="463">
        <f t="shared" ref="Z178" ca="1" si="226">MIN(1,($N156+$V156*(Z$172-$F$172))/$C178)</f>
        <v>5.0744630605233418E-2</v>
      </c>
      <c r="AA178" s="357">
        <f t="shared" ref="AA178" ca="1" si="227">MIN(1,($L156+$T156*(AB$172-$F$172))/$B178)</f>
        <v>5.277180817240186E-2</v>
      </c>
      <c r="AB178" s="463">
        <f t="shared" ref="AB178" ca="1" si="228">MIN(1,($N156+$V156*(AB$172-$F$172))/$C178)</f>
        <v>5.378786258784473E-2</v>
      </c>
      <c r="AC178" s="357">
        <f t="shared" ref="AC178" ca="1" si="229">MIN(1,($L156+$T156*(AD$172-$F$172))/$B178)</f>
        <v>5.5757553407178584E-2</v>
      </c>
      <c r="AD178" s="463">
        <f t="shared" ref="AD178" ca="1" si="230">MIN(1,($N156+$V156*(AD$172-$F$172))/$C178)</f>
        <v>5.683109457045607E-2</v>
      </c>
    </row>
    <row r="179" spans="1:30" x14ac:dyDescent="0.25">
      <c r="A179" s="812">
        <v>2104008320</v>
      </c>
      <c r="B179" s="133">
        <f t="shared" ca="1" si="145"/>
        <v>3.0844802732461808E-2</v>
      </c>
      <c r="C179" s="133">
        <f t="shared" ca="1" si="146"/>
        <v>0.61112231325346655</v>
      </c>
      <c r="E179" s="357">
        <f t="shared" ca="1" si="147"/>
        <v>0.1343786096142752</v>
      </c>
      <c r="F179" s="463">
        <f t="shared" ca="1" si="148"/>
        <v>0.13991292900022767</v>
      </c>
      <c r="G179" s="357">
        <f t="shared" ca="1" si="149"/>
        <v>0.1343786096142752</v>
      </c>
      <c r="H179" s="463">
        <f t="shared" ca="1" si="150"/>
        <v>0.13991292900022767</v>
      </c>
      <c r="I179" s="357">
        <f t="shared" ca="1" si="149"/>
        <v>0.15363049968549006</v>
      </c>
      <c r="J179" s="463">
        <f t="shared" ca="1" si="150"/>
        <v>0.15995769904499768</v>
      </c>
      <c r="K179" s="357">
        <f t="shared" ref="K179" ca="1" si="231">MIN(1,($L157+$T157*(L$172-$F$172))/$B179)</f>
        <v>0.17288238975670489</v>
      </c>
      <c r="L179" s="463">
        <f t="shared" ref="L179" ca="1" si="232">MIN(1,($N157+$V157*(L$172-$F$172))/$C179)</f>
        <v>0.18000246908976775</v>
      </c>
      <c r="M179" s="357">
        <f t="shared" ref="M179" ca="1" si="233">MIN(1,($L157+$T157*(N$172-$F$172))/$B179)</f>
        <v>0.19213427982791975</v>
      </c>
      <c r="N179" s="463">
        <f t="shared" ref="N179" ca="1" si="234">MIN(1,($N157+$V157*(N$172-$F$172))/$C179)</f>
        <v>0.20004723913453781</v>
      </c>
      <c r="O179" s="357">
        <f t="shared" ref="O179" ca="1" si="235">MIN(1,($L157+$T157*(P$172-$F$172))/$B179)</f>
        <v>0.21138616989913458</v>
      </c>
      <c r="P179" s="463">
        <f t="shared" ref="P179" ca="1" si="236">MIN(1,($N157+$V157*(P$172-$F$172))/$C179)</f>
        <v>0.2200920091793078</v>
      </c>
      <c r="Q179" s="357">
        <f t="shared" ref="Q179" ca="1" si="237">MIN(1,($L157+$T157*(R$172-$F$172))/$B179)</f>
        <v>0.23063805997034945</v>
      </c>
      <c r="R179" s="463">
        <f t="shared" ref="R179" ca="1" si="238">MIN(1,($N157+$V157*(R$172-$F$172))/$C179)</f>
        <v>0.24013677922407786</v>
      </c>
      <c r="S179" s="357">
        <f t="shared" ref="S179" ca="1" si="239">MIN(1,($L157+$T157*(T$172-$F$172))/$B179)</f>
        <v>0.24988995004156431</v>
      </c>
      <c r="T179" s="463">
        <f t="shared" ref="T179" ca="1" si="240">MIN(1,($N157+$V157*(T$172-$F$172))/$C179)</f>
        <v>0.2601815492688479</v>
      </c>
      <c r="U179" s="357">
        <f t="shared" ref="U179" ca="1" si="241">MIN(1,($L157+$T157*(V$172-$F$172))/$B179)</f>
        <v>0.26914184011277914</v>
      </c>
      <c r="V179" s="463">
        <f t="shared" ref="V179" ca="1" si="242">MIN(1,($N157+$V157*(V$172-$F$172))/$C179)</f>
        <v>0.28022631931361797</v>
      </c>
      <c r="W179" s="357">
        <f t="shared" ref="W179" ca="1" si="243">MIN(1,($L157+$T157*(X$172-$F$172))/$B179)</f>
        <v>0.288393730183994</v>
      </c>
      <c r="X179" s="463">
        <f t="shared" ref="X179" ca="1" si="244">MIN(1,($N157+$V157*(X$172-$F$172))/$C179)</f>
        <v>0.30027108935838803</v>
      </c>
      <c r="Y179" s="357">
        <f t="shared" ref="Y179" ca="1" si="245">MIN(1,($L157+$T157*(Z$172-$F$172))/$B179)</f>
        <v>0.30764562025520881</v>
      </c>
      <c r="Z179" s="463">
        <f t="shared" ref="Z179" ca="1" si="246">MIN(1,($N157+$V157*(Z$172-$F$172))/$C179)</f>
        <v>0.3203158594031581</v>
      </c>
      <c r="AA179" s="357">
        <f t="shared" ref="AA179" ca="1" si="247">MIN(1,($L157+$T157*(AB$172-$F$172))/$B179)</f>
        <v>0.32689751032642372</v>
      </c>
      <c r="AB179" s="463">
        <f t="shared" ref="AB179" ca="1" si="248">MIN(1,($N157+$V157*(AB$172-$F$172))/$C179)</f>
        <v>0.34036062944792811</v>
      </c>
      <c r="AC179" s="357">
        <f t="shared" ref="AC179" ca="1" si="249">MIN(1,($L157+$T157*(AD$172-$F$172))/$B179)</f>
        <v>0.34614940039763858</v>
      </c>
      <c r="AD179" s="463">
        <f t="shared" ref="AD179" ca="1" si="250">MIN(1,($N157+$V157*(AD$172-$F$172))/$C179)</f>
        <v>0.36040539949269818</v>
      </c>
    </row>
    <row r="180" spans="1:30" x14ac:dyDescent="0.25">
      <c r="A180" s="812">
        <v>2104008330</v>
      </c>
      <c r="B180" s="133">
        <f t="shared" ca="1" si="145"/>
        <v>1.8570829639896966E-2</v>
      </c>
      <c r="C180" s="133">
        <f t="shared" ca="1" si="146"/>
        <v>0.4082626109123853</v>
      </c>
      <c r="E180" s="357">
        <f t="shared" ca="1" si="147"/>
        <v>0.14910503258570271</v>
      </c>
      <c r="F180" s="463">
        <f t="shared" ca="1" si="148"/>
        <v>0.13991292900022767</v>
      </c>
      <c r="G180" s="357">
        <f t="shared" ca="1" si="149"/>
        <v>0.14910503258570271</v>
      </c>
      <c r="H180" s="463">
        <f t="shared" ca="1" si="150"/>
        <v>0.13991292900022767</v>
      </c>
      <c r="I180" s="357">
        <f t="shared" ca="1" si="149"/>
        <v>0.17046671882910547</v>
      </c>
      <c r="J180" s="463">
        <f t="shared" ca="1" si="150"/>
        <v>0.15995769904499771</v>
      </c>
      <c r="K180" s="357">
        <f t="shared" ref="K180" ca="1" si="251">MIN(1,($L158+$T158*(L$172-$F$172))/$B180)</f>
        <v>0.19182840507250826</v>
      </c>
      <c r="L180" s="463">
        <f t="shared" ref="L180" ca="1" si="252">MIN(1,($N158+$V158*(L$172-$F$172))/$C180)</f>
        <v>0.18000246908976772</v>
      </c>
      <c r="M180" s="357">
        <f t="shared" ref="M180" ca="1" si="253">MIN(1,($L158+$T158*(N$172-$F$172))/$B180)</f>
        <v>0.21319009131591105</v>
      </c>
      <c r="N180" s="463">
        <f t="shared" ref="N180" ca="1" si="254">MIN(1,($N158+$V158*(N$172-$F$172))/$C180)</f>
        <v>0.20004723913453779</v>
      </c>
      <c r="O180" s="357">
        <f t="shared" ref="O180" ca="1" si="255">MIN(1,($L158+$T158*(P$172-$F$172))/$B180)</f>
        <v>0.23455177755931386</v>
      </c>
      <c r="P180" s="463">
        <f t="shared" ref="P180" ca="1" si="256">MIN(1,($N158+$V158*(P$172-$F$172))/$C180)</f>
        <v>0.22009200917930785</v>
      </c>
      <c r="Q180" s="357">
        <f t="shared" ref="Q180" ca="1" si="257">MIN(1,($L158+$T158*(R$172-$F$172))/$B180)</f>
        <v>0.25591346380271662</v>
      </c>
      <c r="R180" s="463">
        <f t="shared" ref="R180" ca="1" si="258">MIN(1,($N158+$V158*(R$172-$F$172))/$C180)</f>
        <v>0.24013677922407786</v>
      </c>
      <c r="S180" s="357">
        <f t="shared" ref="S180" ca="1" si="259">MIN(1,($L158+$T158*(T$172-$F$172))/$B180)</f>
        <v>0.27727515004611941</v>
      </c>
      <c r="T180" s="463">
        <f t="shared" ref="T180" ca="1" si="260">MIN(1,($N158+$V158*(T$172-$F$172))/$C180)</f>
        <v>0.2601815492688479</v>
      </c>
      <c r="U180" s="357">
        <f t="shared" ref="U180" ca="1" si="261">MIN(1,($L158+$T158*(V$172-$F$172))/$B180)</f>
        <v>0.2986368362895222</v>
      </c>
      <c r="V180" s="463">
        <f t="shared" ref="V180" ca="1" si="262">MIN(1,($N158+$V158*(V$172-$F$172))/$C180)</f>
        <v>0.28022631931361797</v>
      </c>
      <c r="W180" s="357">
        <f t="shared" ref="W180" ca="1" si="263">MIN(1,($L158+$T158*(X$172-$F$172))/$B180)</f>
        <v>0.31999852253292499</v>
      </c>
      <c r="X180" s="463">
        <f t="shared" ref="X180" ca="1" si="264">MIN(1,($N158+$V158*(X$172-$F$172))/$C180)</f>
        <v>0.30027108935838798</v>
      </c>
      <c r="Y180" s="357">
        <f t="shared" ref="Y180" ca="1" si="265">MIN(1,($L158+$T158*(Z$172-$F$172))/$B180)</f>
        <v>0.34136020877632778</v>
      </c>
      <c r="Z180" s="463">
        <f t="shared" ref="Z180" ca="1" si="266">MIN(1,($N158+$V158*(Z$172-$F$172))/$C180)</f>
        <v>0.32031585940315804</v>
      </c>
      <c r="AA180" s="357">
        <f t="shared" ref="AA180" ca="1" si="267">MIN(1,($L158+$T158*(AB$172-$F$172))/$B180)</f>
        <v>0.36272189501973057</v>
      </c>
      <c r="AB180" s="463">
        <f t="shared" ref="AB180" ca="1" si="268">MIN(1,($N158+$V158*(AB$172-$F$172))/$C180)</f>
        <v>0.34036062944792811</v>
      </c>
      <c r="AC180" s="357">
        <f t="shared" ref="AC180" ca="1" si="269">MIN(1,($L158+$T158*(AD$172-$F$172))/$B180)</f>
        <v>0.38408358126313336</v>
      </c>
      <c r="AD180" s="463">
        <f t="shared" ref="AD180" ca="1" si="270">MIN(1,($N158+$V158*(AD$172-$F$172))/$C180)</f>
        <v>0.36040539949269812</v>
      </c>
    </row>
    <row r="181" spans="1:30" x14ac:dyDescent="0.25">
      <c r="A181" s="812">
        <v>2104008410</v>
      </c>
      <c r="B181" s="133">
        <f t="shared" ca="1" si="145"/>
        <v>1.6285791369189189E-3</v>
      </c>
      <c r="C181" s="133">
        <f t="shared" ca="1" si="146"/>
        <v>1.50643570165E-2</v>
      </c>
      <c r="E181" s="357">
        <f t="shared" ca="1" si="147"/>
        <v>0.13429119044575111</v>
      </c>
      <c r="F181" s="463">
        <f t="shared" ca="1" si="148"/>
        <v>0.13429119044575108</v>
      </c>
      <c r="G181" s="357">
        <f t="shared" ca="1" si="149"/>
        <v>0.13429119044575111</v>
      </c>
      <c r="H181" s="463">
        <f t="shared" ca="1" si="150"/>
        <v>0.13429119044575108</v>
      </c>
      <c r="I181" s="357">
        <f t="shared" ca="1" si="149"/>
        <v>0.14648631239697063</v>
      </c>
      <c r="J181" s="463">
        <f t="shared" ca="1" si="150"/>
        <v>0.1464863123969706</v>
      </c>
      <c r="K181" s="357">
        <f t="shared" ref="K181" ca="1" si="271">MIN(1,($L159+$T159*(L$172-$F$172))/$B181)</f>
        <v>0.15868143434819013</v>
      </c>
      <c r="L181" s="463">
        <f t="shared" ref="L181" ca="1" si="272">MIN(1,($N159+$V159*(L$172-$F$172))/$C181)</f>
        <v>0.15868143434819013</v>
      </c>
      <c r="M181" s="357">
        <f t="shared" ref="M181" ca="1" si="273">MIN(1,($L159+$T159*(N$172-$F$172))/$B181)</f>
        <v>0.17087655629940965</v>
      </c>
      <c r="N181" s="463">
        <f t="shared" ref="N181" ca="1" si="274">MIN(1,($N159+$V159*(N$172-$F$172))/$C181)</f>
        <v>0.17087655629940962</v>
      </c>
      <c r="O181" s="357">
        <f t="shared" ref="O181" ca="1" si="275">MIN(1,($L159+$T159*(P$172-$F$172))/$B181)</f>
        <v>0.18307167825062917</v>
      </c>
      <c r="P181" s="463">
        <f t="shared" ref="P181" ca="1" si="276">MIN(1,($N159+$V159*(P$172-$F$172))/$C181)</f>
        <v>0.18307167825062914</v>
      </c>
      <c r="Q181" s="357">
        <f t="shared" ref="Q181" ca="1" si="277">MIN(1,($L159+$T159*(R$172-$F$172))/$B181)</f>
        <v>0.19526680020184864</v>
      </c>
      <c r="R181" s="463">
        <f t="shared" ref="R181" ca="1" si="278">MIN(1,($N159+$V159*(R$172-$F$172))/$C181)</f>
        <v>0.19526680020184864</v>
      </c>
      <c r="S181" s="357">
        <f t="shared" ref="S181" ca="1" si="279">MIN(1,($L159+$T159*(T$172-$F$172))/$B181)</f>
        <v>0.20746192215306819</v>
      </c>
      <c r="T181" s="463">
        <f t="shared" ref="T181" ca="1" si="280">MIN(1,($N159+$V159*(T$172-$F$172))/$C181)</f>
        <v>0.20746192215306813</v>
      </c>
      <c r="U181" s="357">
        <f t="shared" ref="U181" ca="1" si="281">MIN(1,($L159+$T159*(V$172-$F$172))/$B181)</f>
        <v>0.21965704410428769</v>
      </c>
      <c r="V181" s="463">
        <f t="shared" ref="V181" ca="1" si="282">MIN(1,($N159+$V159*(V$172-$F$172))/$C181)</f>
        <v>0.21965704410428766</v>
      </c>
      <c r="W181" s="357">
        <f t="shared" ref="W181" ca="1" si="283">MIN(1,($L159+$T159*(X$172-$F$172))/$B181)</f>
        <v>0.23185216605550721</v>
      </c>
      <c r="X181" s="463">
        <f t="shared" ref="X181" ca="1" si="284">MIN(1,($N159+$V159*(X$172-$F$172))/$C181)</f>
        <v>0.23185216605550718</v>
      </c>
      <c r="Y181" s="357">
        <f t="shared" ref="Y181" ca="1" si="285">MIN(1,($L159+$T159*(Z$172-$F$172))/$B181)</f>
        <v>0.24404728800672673</v>
      </c>
      <c r="Z181" s="463">
        <f t="shared" ref="Z181" ca="1" si="286">MIN(1,($N159+$V159*(Z$172-$F$172))/$C181)</f>
        <v>0.2440472880067267</v>
      </c>
      <c r="AA181" s="357">
        <f t="shared" ref="AA181" ca="1" si="287">MIN(1,($L159+$T159*(AB$172-$F$172))/$B181)</f>
        <v>0.25624240995794623</v>
      </c>
      <c r="AB181" s="463">
        <f t="shared" ref="AB181" ca="1" si="288">MIN(1,($N159+$V159*(AB$172-$F$172))/$C181)</f>
        <v>0.25624240995794623</v>
      </c>
      <c r="AC181" s="357">
        <f t="shared" ref="AC181" ca="1" si="289">MIN(1,($L159+$T159*(AD$172-$F$172))/$B181)</f>
        <v>0.26843753190916575</v>
      </c>
      <c r="AD181" s="463">
        <f t="shared" ref="AD181" ca="1" si="290">MIN(1,($N159+$V159*(AD$172-$F$172))/$C181)</f>
        <v>0.26843753190916569</v>
      </c>
    </row>
    <row r="182" spans="1:30" x14ac:dyDescent="0.25">
      <c r="A182" s="812">
        <v>2104008420</v>
      </c>
      <c r="B182" s="133">
        <f t="shared" ca="1" si="145"/>
        <v>5.4932480427814434E-3</v>
      </c>
      <c r="C182" s="133">
        <f t="shared" ca="1" si="146"/>
        <v>5.0812544395728347E-2</v>
      </c>
      <c r="E182" s="357">
        <f t="shared" ca="1" si="147"/>
        <v>0.14877669957058523</v>
      </c>
      <c r="F182" s="463">
        <f t="shared" ca="1" si="148"/>
        <v>0.14877669957058523</v>
      </c>
      <c r="G182" s="357">
        <f t="shared" ca="1" si="149"/>
        <v>0.14877669957058523</v>
      </c>
      <c r="H182" s="463">
        <f t="shared" ca="1" si="150"/>
        <v>0.14877669957058523</v>
      </c>
      <c r="I182" s="357">
        <f t="shared" ca="1" si="149"/>
        <v>0.17809924759889667</v>
      </c>
      <c r="J182" s="463">
        <f t="shared" ca="1" si="150"/>
        <v>0.17809924759889667</v>
      </c>
      <c r="K182" s="357">
        <f t="shared" ref="K182" ca="1" si="291">MIN(1,($L160+$T160*(L$172-$F$172))/$B182)</f>
        <v>0.20742179562720806</v>
      </c>
      <c r="L182" s="463">
        <f t="shared" ref="L182" ca="1" si="292">MIN(1,($N160+$V160*(L$172-$F$172))/$C182)</f>
        <v>0.20742179562720808</v>
      </c>
      <c r="M182" s="357">
        <f t="shared" ref="M182" ca="1" si="293">MIN(1,($L160+$T160*(N$172-$F$172))/$B182)</f>
        <v>0.2367443436555195</v>
      </c>
      <c r="N182" s="463">
        <f t="shared" ref="N182" ca="1" si="294">MIN(1,($N160+$V160*(N$172-$F$172))/$C182)</f>
        <v>0.2367443436555195</v>
      </c>
      <c r="O182" s="357">
        <f t="shared" ref="O182" ca="1" si="295">MIN(1,($L160+$T160*(P$172-$F$172))/$B182)</f>
        <v>0.26606689168383091</v>
      </c>
      <c r="P182" s="463">
        <f t="shared" ref="P182" ca="1" si="296">MIN(1,($N160+$V160*(P$172-$F$172))/$C182)</f>
        <v>0.26606689168383091</v>
      </c>
      <c r="Q182" s="357">
        <f t="shared" ref="Q182" ca="1" si="297">MIN(1,($L160+$T160*(R$172-$F$172))/$B182)</f>
        <v>0.29538943971214232</v>
      </c>
      <c r="R182" s="463">
        <f t="shared" ref="R182" ca="1" si="298">MIN(1,($N160+$V160*(R$172-$F$172))/$C182)</f>
        <v>0.29538943971214238</v>
      </c>
      <c r="S182" s="357">
        <f t="shared" ref="S182" ca="1" si="299">MIN(1,($L160+$T160*(T$172-$F$172))/$B182)</f>
        <v>0.32471198774045379</v>
      </c>
      <c r="T182" s="463">
        <f t="shared" ref="T182" ca="1" si="300">MIN(1,($N160+$V160*(T$172-$F$172))/$C182)</f>
        <v>0.32471198774045379</v>
      </c>
      <c r="U182" s="357">
        <f t="shared" ref="U182" ca="1" si="301">MIN(1,($L160+$T160*(V$172-$F$172))/$B182)</f>
        <v>0.3540345357687652</v>
      </c>
      <c r="V182" s="463">
        <f t="shared" ref="V182" ca="1" si="302">MIN(1,($N160+$V160*(V$172-$F$172))/$C182)</f>
        <v>0.3540345357687652</v>
      </c>
      <c r="W182" s="357">
        <f t="shared" ref="W182" ca="1" si="303">MIN(1,($L160+$T160*(X$172-$F$172))/$B182)</f>
        <v>0.38335708379707667</v>
      </c>
      <c r="X182" s="463">
        <f t="shared" ref="X182" ca="1" si="304">MIN(1,($N160+$V160*(X$172-$F$172))/$C182)</f>
        <v>0.38335708379707661</v>
      </c>
      <c r="Y182" s="357">
        <f t="shared" ref="Y182" ca="1" si="305">MIN(1,($L160+$T160*(Z$172-$F$172))/$B182)</f>
        <v>0.41267963182538808</v>
      </c>
      <c r="Z182" s="463">
        <f t="shared" ref="Z182" ca="1" si="306">MIN(1,($N160+$V160*(Z$172-$F$172))/$C182)</f>
        <v>0.41267963182538808</v>
      </c>
      <c r="AA182" s="357">
        <f t="shared" ref="AA182" ca="1" si="307">MIN(1,($L160+$T160*(AB$172-$F$172))/$B182)</f>
        <v>0.4420021798536995</v>
      </c>
      <c r="AB182" s="463">
        <f t="shared" ref="AB182" ca="1" si="308">MIN(1,($N160+$V160*(AB$172-$F$172))/$C182)</f>
        <v>0.44200217985369944</v>
      </c>
      <c r="AC182" s="357">
        <f t="shared" ref="AC182" ca="1" si="309">MIN(1,($L160+$T160*(AD$172-$F$172))/$B182)</f>
        <v>0.47132472788201085</v>
      </c>
      <c r="AD182" s="463">
        <f t="shared" ref="AD182" ca="1" si="310">MIN(1,($N160+$V160*(AD$172-$F$172))/$C182)</f>
        <v>0.47132472788201091</v>
      </c>
    </row>
    <row r="183" spans="1:30" x14ac:dyDescent="0.25">
      <c r="A183" s="812">
        <v>2104008610</v>
      </c>
      <c r="B183" s="133">
        <f t="shared" ca="1" si="145"/>
        <v>1.0231093800626926E-2</v>
      </c>
      <c r="C183" s="133">
        <f t="shared" ca="1" si="146"/>
        <v>0.25245612937457973</v>
      </c>
      <c r="E183" s="357">
        <f t="shared" ca="1" si="147"/>
        <v>0.11150016244241867</v>
      </c>
      <c r="F183" s="463">
        <f t="shared" ca="1" si="148"/>
        <v>0.11150016244241866</v>
      </c>
      <c r="G183" s="357">
        <f t="shared" ca="1" si="149"/>
        <v>0.11150016244241867</v>
      </c>
      <c r="H183" s="463">
        <f t="shared" ca="1" si="150"/>
        <v>0.11150016244241866</v>
      </c>
      <c r="I183" s="357">
        <f t="shared" ca="1" si="149"/>
        <v>0.12631497725723348</v>
      </c>
      <c r="J183" s="463">
        <f t="shared" ca="1" si="150"/>
        <v>0.12631497725723345</v>
      </c>
      <c r="K183" s="357">
        <f t="shared" ref="K183" ca="1" si="311">MIN(1,($L161+$T161*(L$172-$F$172))/$B183)</f>
        <v>0.14112979207204829</v>
      </c>
      <c r="L183" s="463">
        <f t="shared" ref="L183" ca="1" si="312">MIN(1,($N161+$V161*(L$172-$F$172))/$C183)</f>
        <v>0.14112979207204829</v>
      </c>
      <c r="M183" s="357">
        <f t="shared" ref="M183" ca="1" si="313">MIN(1,($L161+$T161*(N$172-$F$172))/$B183)</f>
        <v>0.1559446068868631</v>
      </c>
      <c r="N183" s="463">
        <f t="shared" ref="N183" ca="1" si="314">MIN(1,($N161+$V161*(N$172-$F$172))/$C183)</f>
        <v>0.1559446068868631</v>
      </c>
      <c r="O183" s="357">
        <f t="shared" ref="O183" ca="1" si="315">MIN(1,($L161+$T161*(P$172-$F$172))/$B183)</f>
        <v>0.17075942170167793</v>
      </c>
      <c r="P183" s="463">
        <f t="shared" ref="P183" ca="1" si="316">MIN(1,($N161+$V161*(P$172-$F$172))/$C183)</f>
        <v>0.1707594217016779</v>
      </c>
      <c r="Q183" s="357">
        <f t="shared" ref="Q183" ca="1" si="317">MIN(1,($L161+$T161*(R$172-$F$172))/$B183)</f>
        <v>0.18557423651649274</v>
      </c>
      <c r="R183" s="463">
        <f t="shared" ref="R183" ca="1" si="318">MIN(1,($N161+$V161*(R$172-$F$172))/$C183)</f>
        <v>0.18557423651649271</v>
      </c>
      <c r="S183" s="357">
        <f t="shared" ref="S183" ca="1" si="319">MIN(1,($L161+$T161*(T$172-$F$172))/$B183)</f>
        <v>0.20038905133130755</v>
      </c>
      <c r="T183" s="463">
        <f t="shared" ref="T183" ca="1" si="320">MIN(1,($N161+$V161*(T$172-$F$172))/$C183)</f>
        <v>0.20038905133130752</v>
      </c>
      <c r="U183" s="357">
        <f t="shared" ref="U183" ca="1" si="321">MIN(1,($L161+$T161*(V$172-$F$172))/$B183)</f>
        <v>0.21520386614612236</v>
      </c>
      <c r="V183" s="463">
        <f t="shared" ref="V183" ca="1" si="322">MIN(1,($N161+$V161*(V$172-$F$172))/$C183)</f>
        <v>0.21520386614612233</v>
      </c>
      <c r="W183" s="357">
        <f t="shared" ref="W183" ca="1" si="323">MIN(1,($L161+$T161*(X$172-$F$172))/$B183)</f>
        <v>0.23001868096093719</v>
      </c>
      <c r="X183" s="463">
        <f t="shared" ref="X183" ca="1" si="324">MIN(1,($N161+$V161*(X$172-$F$172))/$C183)</f>
        <v>0.23001868096093714</v>
      </c>
      <c r="Y183" s="357">
        <f t="shared" ref="Y183" ca="1" si="325">MIN(1,($L161+$T161*(Z$172-$F$172))/$B183)</f>
        <v>0.244833495775752</v>
      </c>
      <c r="Z183" s="463">
        <f t="shared" ref="Z183" ca="1" si="326">MIN(1,($N161+$V161*(Z$172-$F$172))/$C183)</f>
        <v>0.24483349577575197</v>
      </c>
      <c r="AA183" s="357">
        <f t="shared" ref="AA183" ca="1" si="327">MIN(1,($L161+$T161*(AB$172-$F$172))/$B183)</f>
        <v>0.25964831059056681</v>
      </c>
      <c r="AB183" s="463">
        <f t="shared" ref="AB183" ca="1" si="328">MIN(1,($N161+$V161*(AB$172-$F$172))/$C183)</f>
        <v>0.25964831059056676</v>
      </c>
      <c r="AC183" s="357">
        <f t="shared" ref="AC183" ca="1" si="329">MIN(1,($L161+$T161*(AD$172-$F$172))/$B183)</f>
        <v>0.27446312540538165</v>
      </c>
      <c r="AD183" s="463">
        <f t="shared" ref="AD183" ca="1" si="330">MIN(1,($N161+$V161*(AD$172-$F$172))/$C183)</f>
        <v>0.27446312540538159</v>
      </c>
    </row>
    <row r="184" spans="1:30" x14ac:dyDescent="0.25">
      <c r="A184" s="812">
        <v>2104004000</v>
      </c>
      <c r="B184" s="133">
        <f t="shared" ca="1" si="145"/>
        <v>3.4697126519638024</v>
      </c>
      <c r="C184" s="133">
        <f t="shared" ca="1" si="146"/>
        <v>5.4813819300693851E-2</v>
      </c>
      <c r="E184" s="357">
        <f t="shared" ca="1" si="147"/>
        <v>-2.1899306274688552E-3</v>
      </c>
      <c r="F184" s="463">
        <f t="shared" ca="1" si="148"/>
        <v>-2.188129822420158E-3</v>
      </c>
      <c r="G184" s="357">
        <f t="shared" ca="1" si="149"/>
        <v>-2.1899306274688552E-3</v>
      </c>
      <c r="H184" s="463">
        <f t="shared" ca="1" si="150"/>
        <v>-2.188129822420158E-3</v>
      </c>
      <c r="I184" s="357">
        <f t="shared" ca="1" si="149"/>
        <v>-4.3207575417449698E-3</v>
      </c>
      <c r="J184" s="463">
        <f t="shared" ca="1" si="150"/>
        <v>-4.3172045333081856E-3</v>
      </c>
      <c r="K184" s="357">
        <f t="shared" ref="K184" ca="1" si="331">MIN(1,($L162+$T162*(L$172-$F$172))/$B184)</f>
        <v>-6.4515844560210844E-3</v>
      </c>
      <c r="L184" s="463">
        <f t="shared" ref="L184" ca="1" si="332">MIN(1,($N162+$V162*(L$172-$F$172))/$C184)</f>
        <v>-6.4462792441962128E-3</v>
      </c>
      <c r="M184" s="357">
        <f t="shared" ref="M184" ca="1" si="333">MIN(1,($L162+$T162*(N$172-$F$172))/$B184)</f>
        <v>-8.582411370297199E-3</v>
      </c>
      <c r="N184" s="463">
        <f t="shared" ref="N184" ca="1" si="334">MIN(1,($N162+$V162*(N$172-$F$172))/$C184)</f>
        <v>-8.57535395508424E-3</v>
      </c>
      <c r="O184" s="357">
        <f t="shared" ref="O184" ca="1" si="335">MIN(1,($L162+$T162*(P$172-$F$172))/$B184)</f>
        <v>-1.0713238284573311E-2</v>
      </c>
      <c r="P184" s="463">
        <f t="shared" ref="P184" ca="1" si="336">MIN(1,($N162+$V162*(P$172-$F$172))/$C184)</f>
        <v>-1.0704428665972265E-2</v>
      </c>
      <c r="Q184" s="357">
        <f t="shared" ref="Q184" ca="1" si="337">MIN(1,($L162+$T162*(R$172-$F$172))/$B184)</f>
        <v>-1.2844065198849427E-2</v>
      </c>
      <c r="R184" s="463">
        <f t="shared" ref="R184" ca="1" si="338">MIN(1,($N162+$V162*(R$172-$F$172))/$C184)</f>
        <v>-1.2833503376860294E-2</v>
      </c>
      <c r="S184" s="357">
        <f t="shared" ref="S184" ca="1" si="339">MIN(1,($L162+$T162*(T$172-$F$172))/$B184)</f>
        <v>-1.4974892113125542E-2</v>
      </c>
      <c r="T184" s="463">
        <f t="shared" ref="T184" ca="1" si="340">MIN(1,($N162+$V162*(T$172-$F$172))/$C184)</f>
        <v>-1.4962578087748323E-2</v>
      </c>
      <c r="U184" s="357">
        <f t="shared" ref="U184" ca="1" si="341">MIN(1,($L162+$T162*(V$172-$F$172))/$B184)</f>
        <v>-1.7105719027401656E-2</v>
      </c>
      <c r="V184" s="463">
        <f t="shared" ref="V184" ca="1" si="342">MIN(1,($N162+$V162*(V$172-$F$172))/$C184)</f>
        <v>-1.709165279863635E-2</v>
      </c>
      <c r="W184" s="357">
        <f t="shared" ref="W184" ca="1" si="343">MIN(1,($L162+$T162*(X$172-$F$172))/$B184)</f>
        <v>-1.9236545941677768E-2</v>
      </c>
      <c r="X184" s="463">
        <f t="shared" ref="X184" ca="1" si="344">MIN(1,($N162+$V162*(X$172-$F$172))/$C184)</f>
        <v>-1.9220727509524374E-2</v>
      </c>
      <c r="Y184" s="357">
        <f t="shared" ref="Y184" ca="1" si="345">MIN(1,($L162+$T162*(Z$172-$F$172))/$B184)</f>
        <v>-2.1367372855953883E-2</v>
      </c>
      <c r="Z184" s="463">
        <f t="shared" ref="Z184" ca="1" si="346">MIN(1,($N162+$V162*(Z$172-$F$172))/$C184)</f>
        <v>-2.1349802220412401E-2</v>
      </c>
      <c r="AA184" s="357">
        <f t="shared" ref="AA184" ca="1" si="347">MIN(1,($L162+$T162*(AB$172-$F$172))/$B184)</f>
        <v>-2.3498199770229999E-2</v>
      </c>
      <c r="AB184" s="463">
        <f t="shared" ref="AB184" ca="1" si="348">MIN(1,($N162+$V162*(AB$172-$F$172))/$C184)</f>
        <v>-2.3478876931300432E-2</v>
      </c>
      <c r="AC184" s="357">
        <f t="shared" ref="AC184" ca="1" si="349">MIN(1,($L162+$T162*(AD$172-$F$172))/$B184)</f>
        <v>-2.5629026684506114E-2</v>
      </c>
      <c r="AD184" s="463">
        <f t="shared" ref="AD184" ca="1" si="350">MIN(1,($N162+$V162*(AD$172-$F$172))/$C184)</f>
        <v>-2.5607951642188459E-2</v>
      </c>
    </row>
    <row r="185" spans="1:30" x14ac:dyDescent="0.25">
      <c r="A185" s="812">
        <v>2103004001</v>
      </c>
      <c r="B185" s="133">
        <f t="shared" ca="1" si="145"/>
        <v>0.52217749537133507</v>
      </c>
      <c r="C185" s="133">
        <f t="shared" ca="1" si="146"/>
        <v>1.8739368230717493E-2</v>
      </c>
      <c r="E185" s="357">
        <f t="shared" ca="1" si="147"/>
        <v>0</v>
      </c>
      <c r="F185" s="463">
        <f t="shared" ca="1" si="148"/>
        <v>0</v>
      </c>
      <c r="G185" s="357">
        <f t="shared" ca="1" si="149"/>
        <v>0</v>
      </c>
      <c r="H185" s="463">
        <f t="shared" ca="1" si="150"/>
        <v>0</v>
      </c>
      <c r="I185" s="357">
        <f t="shared" ca="1" si="149"/>
        <v>0</v>
      </c>
      <c r="J185" s="463">
        <f t="shared" ca="1" si="150"/>
        <v>0</v>
      </c>
      <c r="K185" s="357">
        <f t="shared" ref="K185" ca="1" si="351">MIN(1,($L163+$T163*(L$172-$F$172))/$B185)</f>
        <v>0</v>
      </c>
      <c r="L185" s="463">
        <f t="shared" ref="L185" ca="1" si="352">MIN(1,($N163+$V163*(L$172-$F$172))/$C185)</f>
        <v>0</v>
      </c>
      <c r="M185" s="357">
        <f t="shared" ref="M185" ca="1" si="353">MIN(1,($L163+$T163*(N$172-$F$172))/$B185)</f>
        <v>0</v>
      </c>
      <c r="N185" s="463">
        <f t="shared" ref="N185" ca="1" si="354">MIN(1,($N163+$V163*(N$172-$F$172))/$C185)</f>
        <v>0</v>
      </c>
      <c r="O185" s="357">
        <f t="shared" ref="O185" ca="1" si="355">MIN(1,($L163+$T163*(P$172-$F$172))/$B185)</f>
        <v>0</v>
      </c>
      <c r="P185" s="463">
        <f t="shared" ref="P185" ca="1" si="356">MIN(1,($N163+$V163*(P$172-$F$172))/$C185)</f>
        <v>0</v>
      </c>
      <c r="Q185" s="357">
        <f t="shared" ref="Q185" ca="1" si="357">MIN(1,($L163+$T163*(R$172-$F$172))/$B185)</f>
        <v>0</v>
      </c>
      <c r="R185" s="463">
        <f t="shared" ref="R185" ca="1" si="358">MIN(1,($N163+$V163*(R$172-$F$172))/$C185)</f>
        <v>0</v>
      </c>
      <c r="S185" s="357">
        <f t="shared" ref="S185" ca="1" si="359">MIN(1,($L163+$T163*(T$172-$F$172))/$B185)</f>
        <v>0</v>
      </c>
      <c r="T185" s="463">
        <f t="shared" ref="T185" ca="1" si="360">MIN(1,($N163+$V163*(T$172-$F$172))/$C185)</f>
        <v>0</v>
      </c>
      <c r="U185" s="357">
        <f t="shared" ref="U185" ca="1" si="361">MIN(1,($L163+$T163*(V$172-$F$172))/$B185)</f>
        <v>0</v>
      </c>
      <c r="V185" s="463">
        <f t="shared" ref="V185" ca="1" si="362">MIN(1,($N163+$V163*(V$172-$F$172))/$C185)</f>
        <v>0</v>
      </c>
      <c r="W185" s="357">
        <f t="shared" ref="W185" ca="1" si="363">MIN(1,($L163+$T163*(X$172-$F$172))/$B185)</f>
        <v>0</v>
      </c>
      <c r="X185" s="463">
        <f t="shared" ref="X185" ca="1" si="364">MIN(1,($N163+$V163*(X$172-$F$172))/$C185)</f>
        <v>0</v>
      </c>
      <c r="Y185" s="357">
        <f t="shared" ref="Y185" ca="1" si="365">MIN(1,($L163+$T163*(Z$172-$F$172))/$B185)</f>
        <v>0</v>
      </c>
      <c r="Z185" s="463">
        <f t="shared" ref="Z185" ca="1" si="366">MIN(1,($N163+$V163*(Z$172-$F$172))/$C185)</f>
        <v>0</v>
      </c>
      <c r="AA185" s="357">
        <f t="shared" ref="AA185" ca="1" si="367">MIN(1,($L163+$T163*(AB$172-$F$172))/$B185)</f>
        <v>0</v>
      </c>
      <c r="AB185" s="463">
        <f t="shared" ref="AB185" ca="1" si="368">MIN(1,($N163+$V163*(AB$172-$F$172))/$C185)</f>
        <v>0</v>
      </c>
      <c r="AC185" s="357">
        <f t="shared" ref="AC185" ca="1" si="369">MIN(1,($L163+$T163*(AD$172-$F$172))/$B185)</f>
        <v>0</v>
      </c>
      <c r="AD185" s="463">
        <f t="shared" ref="AD185" ca="1" si="370">MIN(1,($N163+$V163*(AD$172-$F$172))/$C185)</f>
        <v>0</v>
      </c>
    </row>
    <row r="186" spans="1:30" x14ac:dyDescent="0.25">
      <c r="A186" s="812">
        <v>2104006010</v>
      </c>
      <c r="B186" s="133">
        <f t="shared" ca="1" si="145"/>
        <v>7.0898784775737665E-5</v>
      </c>
      <c r="C186" s="133">
        <f t="shared" ca="1" si="146"/>
        <v>5.8529310125197298E-6</v>
      </c>
      <c r="E186" s="357">
        <f t="shared" ca="1" si="147"/>
        <v>0</v>
      </c>
      <c r="F186" s="463">
        <f t="shared" ca="1" si="148"/>
        <v>0</v>
      </c>
      <c r="G186" s="357">
        <f t="shared" ca="1" si="149"/>
        <v>0</v>
      </c>
      <c r="H186" s="463">
        <f t="shared" ca="1" si="150"/>
        <v>0</v>
      </c>
      <c r="I186" s="357">
        <f t="shared" ca="1" si="149"/>
        <v>0</v>
      </c>
      <c r="J186" s="463">
        <f t="shared" ca="1" si="150"/>
        <v>0</v>
      </c>
      <c r="K186" s="357">
        <f t="shared" ref="K186" ca="1" si="371">MIN(1,($L164+$T164*(L$172-$F$172))/$B186)</f>
        <v>0</v>
      </c>
      <c r="L186" s="463">
        <f t="shared" ref="L186" ca="1" si="372">MIN(1,($N164+$V164*(L$172-$F$172))/$C186)</f>
        <v>0</v>
      </c>
      <c r="M186" s="357">
        <f t="shared" ref="M186" ca="1" si="373">MIN(1,($L164+$T164*(N$172-$F$172))/$B186)</f>
        <v>0</v>
      </c>
      <c r="N186" s="463">
        <f t="shared" ref="N186" ca="1" si="374">MIN(1,($N164+$V164*(N$172-$F$172))/$C186)</f>
        <v>0</v>
      </c>
      <c r="O186" s="357">
        <f t="shared" ref="O186" ca="1" si="375">MIN(1,($L164+$T164*(P$172-$F$172))/$B186)</f>
        <v>0</v>
      </c>
      <c r="P186" s="463">
        <f t="shared" ref="P186" ca="1" si="376">MIN(1,($N164+$V164*(P$172-$F$172))/$C186)</f>
        <v>0</v>
      </c>
      <c r="Q186" s="357">
        <f t="shared" ref="Q186" ca="1" si="377">MIN(1,($L164+$T164*(R$172-$F$172))/$B186)</f>
        <v>0</v>
      </c>
      <c r="R186" s="463">
        <f t="shared" ref="R186" ca="1" si="378">MIN(1,($N164+$V164*(R$172-$F$172))/$C186)</f>
        <v>0</v>
      </c>
      <c r="S186" s="357">
        <f t="shared" ref="S186" ca="1" si="379">MIN(1,($L164+$T164*(T$172-$F$172))/$B186)</f>
        <v>0</v>
      </c>
      <c r="T186" s="463">
        <f t="shared" ref="T186" ca="1" si="380">MIN(1,($N164+$V164*(T$172-$F$172))/$C186)</f>
        <v>0</v>
      </c>
      <c r="U186" s="357">
        <f t="shared" ref="U186" ca="1" si="381">MIN(1,($L164+$T164*(V$172-$F$172))/$B186)</f>
        <v>0</v>
      </c>
      <c r="V186" s="463">
        <f t="shared" ref="V186" ca="1" si="382">MIN(1,($N164+$V164*(V$172-$F$172))/$C186)</f>
        <v>0</v>
      </c>
      <c r="W186" s="357">
        <f t="shared" ref="W186" ca="1" si="383">MIN(1,($L164+$T164*(X$172-$F$172))/$B186)</f>
        <v>0</v>
      </c>
      <c r="X186" s="463">
        <f t="shared" ref="X186" ca="1" si="384">MIN(1,($N164+$V164*(X$172-$F$172))/$C186)</f>
        <v>0</v>
      </c>
      <c r="Y186" s="357">
        <f t="shared" ref="Y186" ca="1" si="385">MIN(1,($L164+$T164*(Z$172-$F$172))/$B186)</f>
        <v>0</v>
      </c>
      <c r="Z186" s="463">
        <f t="shared" ref="Z186" ca="1" si="386">MIN(1,($N164+$V164*(Z$172-$F$172))/$C186)</f>
        <v>0</v>
      </c>
      <c r="AA186" s="357">
        <f t="shared" ref="AA186" ca="1" si="387">MIN(1,($L164+$T164*(AB$172-$F$172))/$B186)</f>
        <v>0</v>
      </c>
      <c r="AB186" s="463">
        <f t="shared" ref="AB186" ca="1" si="388">MIN(1,($N164+$V164*(AB$172-$F$172))/$C186)</f>
        <v>0</v>
      </c>
      <c r="AC186" s="357">
        <f t="shared" ref="AC186" ca="1" si="389">MIN(1,($L164+$T164*(AD$172-$F$172))/$B186)</f>
        <v>0</v>
      </c>
      <c r="AD186" s="463">
        <f t="shared" ref="AD186" ca="1" si="390">MIN(1,($N164+$V164*(AD$172-$F$172))/$C186)</f>
        <v>0</v>
      </c>
    </row>
    <row r="187" spans="1:30" x14ac:dyDescent="0.25">
      <c r="A187" s="812">
        <v>2103006000</v>
      </c>
      <c r="B187" s="133">
        <f t="shared" ca="1" si="145"/>
        <v>7.9575146604215358E-4</v>
      </c>
      <c r="C187" s="133">
        <f t="shared" ca="1" si="146"/>
        <v>1.0079518569867291E-2</v>
      </c>
      <c r="E187" s="357">
        <f t="shared" ca="1" si="147"/>
        <v>0</v>
      </c>
      <c r="F187" s="463">
        <f t="shared" ca="1" si="148"/>
        <v>0</v>
      </c>
      <c r="G187" s="357">
        <f t="shared" ca="1" si="149"/>
        <v>0</v>
      </c>
      <c r="H187" s="463">
        <f t="shared" ca="1" si="150"/>
        <v>0</v>
      </c>
      <c r="I187" s="357">
        <f t="shared" ca="1" si="149"/>
        <v>0</v>
      </c>
      <c r="J187" s="463">
        <f t="shared" ca="1" si="150"/>
        <v>0</v>
      </c>
      <c r="K187" s="357">
        <f t="shared" ref="K187" ca="1" si="391">MIN(1,($L165+$T165*(L$172-$F$172))/$B187)</f>
        <v>0</v>
      </c>
      <c r="L187" s="463">
        <f t="shared" ref="L187" ca="1" si="392">MIN(1,($N165+$V165*(L$172-$F$172))/$C187)</f>
        <v>0</v>
      </c>
      <c r="M187" s="357">
        <f t="shared" ref="M187" ca="1" si="393">MIN(1,($L165+$T165*(N$172-$F$172))/$B187)</f>
        <v>0</v>
      </c>
      <c r="N187" s="463">
        <f t="shared" ref="N187" ca="1" si="394">MIN(1,($N165+$V165*(N$172-$F$172))/$C187)</f>
        <v>0</v>
      </c>
      <c r="O187" s="357">
        <f t="shared" ref="O187" ca="1" si="395">MIN(1,($L165+$T165*(P$172-$F$172))/$B187)</f>
        <v>0</v>
      </c>
      <c r="P187" s="463">
        <f t="shared" ref="P187" ca="1" si="396">MIN(1,($N165+$V165*(P$172-$F$172))/$C187)</f>
        <v>0</v>
      </c>
      <c r="Q187" s="357">
        <f t="shared" ref="Q187" ca="1" si="397">MIN(1,($L165+$T165*(R$172-$F$172))/$B187)</f>
        <v>0</v>
      </c>
      <c r="R187" s="463">
        <f t="shared" ref="R187" ca="1" si="398">MIN(1,($N165+$V165*(R$172-$F$172))/$C187)</f>
        <v>0</v>
      </c>
      <c r="S187" s="357">
        <f t="shared" ref="S187" ca="1" si="399">MIN(1,($L165+$T165*(T$172-$F$172))/$B187)</f>
        <v>0</v>
      </c>
      <c r="T187" s="463">
        <f t="shared" ref="T187" ca="1" si="400">MIN(1,($N165+$V165*(T$172-$F$172))/$C187)</f>
        <v>0</v>
      </c>
      <c r="U187" s="357">
        <f t="shared" ref="U187" ca="1" si="401">MIN(1,($L165+$T165*(V$172-$F$172))/$B187)</f>
        <v>0</v>
      </c>
      <c r="V187" s="463">
        <f t="shared" ref="V187" ca="1" si="402">MIN(1,($N165+$V165*(V$172-$F$172))/$C187)</f>
        <v>0</v>
      </c>
      <c r="W187" s="357">
        <f t="shared" ref="W187" ca="1" si="403">MIN(1,($L165+$T165*(X$172-$F$172))/$B187)</f>
        <v>0</v>
      </c>
      <c r="X187" s="463">
        <f t="shared" ref="X187" ca="1" si="404">MIN(1,($N165+$V165*(X$172-$F$172))/$C187)</f>
        <v>0</v>
      </c>
      <c r="Y187" s="357">
        <f t="shared" ref="Y187" ca="1" si="405">MIN(1,($L165+$T165*(Z$172-$F$172))/$B187)</f>
        <v>0</v>
      </c>
      <c r="Z187" s="463">
        <f t="shared" ref="Z187" ca="1" si="406">MIN(1,($N165+$V165*(Z$172-$F$172))/$C187)</f>
        <v>0</v>
      </c>
      <c r="AA187" s="357">
        <f t="shared" ref="AA187" ca="1" si="407">MIN(1,($L165+$T165*(AB$172-$F$172))/$B187)</f>
        <v>0</v>
      </c>
      <c r="AB187" s="463">
        <f t="shared" ref="AB187" ca="1" si="408">MIN(1,($N165+$V165*(AB$172-$F$172))/$C187)</f>
        <v>0</v>
      </c>
      <c r="AC187" s="357">
        <f t="shared" ref="AC187" ca="1" si="409">MIN(1,($L165+$T165*(AD$172-$F$172))/$B187)</f>
        <v>0</v>
      </c>
      <c r="AD187" s="463">
        <f t="shared" ref="AD187" ca="1" si="410">MIN(1,($N165+$V165*(AD$172-$F$172))/$C187)</f>
        <v>0</v>
      </c>
    </row>
    <row r="188" spans="1:30" x14ac:dyDescent="0.25">
      <c r="A188" s="812">
        <v>2104002000</v>
      </c>
      <c r="B188" s="133">
        <f t="shared" ca="1" si="145"/>
        <v>0.11396013416057345</v>
      </c>
      <c r="C188" s="133">
        <f t="shared" ca="1" si="146"/>
        <v>9.7907685155159352E-2</v>
      </c>
      <c r="E188" s="357">
        <f t="shared" ca="1" si="147"/>
        <v>0</v>
      </c>
      <c r="F188" s="463">
        <f t="shared" ca="1" si="148"/>
        <v>0</v>
      </c>
      <c r="G188" s="357">
        <f t="shared" ca="1" si="149"/>
        <v>0</v>
      </c>
      <c r="H188" s="463">
        <f t="shared" ca="1" si="150"/>
        <v>0</v>
      </c>
      <c r="I188" s="357">
        <f t="shared" ca="1" si="149"/>
        <v>0</v>
      </c>
      <c r="J188" s="463">
        <f t="shared" ca="1" si="150"/>
        <v>0</v>
      </c>
      <c r="K188" s="357">
        <f t="shared" ref="K188" ca="1" si="411">MIN(1,($L166+$T166*(L$172-$F$172))/$B188)</f>
        <v>0</v>
      </c>
      <c r="L188" s="463">
        <f t="shared" ref="L188" ca="1" si="412">MIN(1,($N166+$V166*(L$172-$F$172))/$C188)</f>
        <v>0</v>
      </c>
      <c r="M188" s="357">
        <f t="shared" ref="M188" ca="1" si="413">MIN(1,($L166+$T166*(N$172-$F$172))/$B188)</f>
        <v>0</v>
      </c>
      <c r="N188" s="463">
        <f t="shared" ref="N188" ca="1" si="414">MIN(1,($N166+$V166*(N$172-$F$172))/$C188)</f>
        <v>0</v>
      </c>
      <c r="O188" s="357">
        <f t="shared" ref="O188" ca="1" si="415">MIN(1,($L166+$T166*(P$172-$F$172))/$B188)</f>
        <v>0</v>
      </c>
      <c r="P188" s="463">
        <f t="shared" ref="P188" ca="1" si="416">MIN(1,($N166+$V166*(P$172-$F$172))/$C188)</f>
        <v>0</v>
      </c>
      <c r="Q188" s="357">
        <f t="shared" ref="Q188" ca="1" si="417">MIN(1,($L166+$T166*(R$172-$F$172))/$B188)</f>
        <v>0</v>
      </c>
      <c r="R188" s="463">
        <f t="shared" ref="R188" ca="1" si="418">MIN(1,($N166+$V166*(R$172-$F$172))/$C188)</f>
        <v>0</v>
      </c>
      <c r="S188" s="357">
        <f t="shared" ref="S188" ca="1" si="419">MIN(1,($L166+$T166*(T$172-$F$172))/$B188)</f>
        <v>0</v>
      </c>
      <c r="T188" s="463">
        <f t="shared" ref="T188" ca="1" si="420">MIN(1,($N166+$V166*(T$172-$F$172))/$C188)</f>
        <v>0</v>
      </c>
      <c r="U188" s="357">
        <f t="shared" ref="U188" ca="1" si="421">MIN(1,($L166+$T166*(V$172-$F$172))/$B188)</f>
        <v>0</v>
      </c>
      <c r="V188" s="463">
        <f t="shared" ref="V188" ca="1" si="422">MIN(1,($N166+$V166*(V$172-$F$172))/$C188)</f>
        <v>0</v>
      </c>
      <c r="W188" s="357">
        <f t="shared" ref="W188" ca="1" si="423">MIN(1,($L166+$T166*(X$172-$F$172))/$B188)</f>
        <v>0</v>
      </c>
      <c r="X188" s="463">
        <f t="shared" ref="X188" ca="1" si="424">MIN(1,($N166+$V166*(X$172-$F$172))/$C188)</f>
        <v>0</v>
      </c>
      <c r="Y188" s="357">
        <f t="shared" ref="Y188" ca="1" si="425">MIN(1,($L166+$T166*(Z$172-$F$172))/$B188)</f>
        <v>0</v>
      </c>
      <c r="Z188" s="463">
        <f t="shared" ref="Z188" ca="1" si="426">MIN(1,($N166+$V166*(Z$172-$F$172))/$C188)</f>
        <v>0</v>
      </c>
      <c r="AA188" s="357">
        <f t="shared" ref="AA188" ca="1" si="427">MIN(1,($L166+$T166*(AB$172-$F$172))/$B188)</f>
        <v>0</v>
      </c>
      <c r="AB188" s="463">
        <f t="shared" ref="AB188" ca="1" si="428">MIN(1,($N166+$V166*(AB$172-$F$172))/$C188)</f>
        <v>0</v>
      </c>
      <c r="AC188" s="357">
        <f t="shared" ref="AC188" ca="1" si="429">MIN(1,($L166+$T166*(AD$172-$F$172))/$B188)</f>
        <v>0</v>
      </c>
      <c r="AD188" s="463">
        <f t="shared" ref="AD188" ca="1" si="430">MIN(1,($N166+$V166*(AD$172-$F$172))/$C188)</f>
        <v>0</v>
      </c>
    </row>
    <row r="189" spans="1:30" x14ac:dyDescent="0.25">
      <c r="A189" s="812">
        <v>2103002000</v>
      </c>
      <c r="B189" s="133">
        <f t="shared" ca="1" si="145"/>
        <v>3.0617780757568117E-4</v>
      </c>
      <c r="C189" s="133">
        <f t="shared" ca="1" si="146"/>
        <v>2.6304953575588091E-4</v>
      </c>
      <c r="E189" s="357">
        <f t="shared" ca="1" si="147"/>
        <v>0</v>
      </c>
      <c r="F189" s="463">
        <f t="shared" ca="1" si="148"/>
        <v>0</v>
      </c>
      <c r="G189" s="357">
        <f t="shared" ca="1" si="149"/>
        <v>0</v>
      </c>
      <c r="H189" s="463">
        <f t="shared" ca="1" si="150"/>
        <v>0</v>
      </c>
      <c r="I189" s="357">
        <f t="shared" ca="1" si="149"/>
        <v>0</v>
      </c>
      <c r="J189" s="463">
        <f t="shared" ca="1" si="150"/>
        <v>0</v>
      </c>
      <c r="K189" s="357">
        <f t="shared" ref="K189" ca="1" si="431">MIN(1,($L167+$T167*(L$172-$F$172))/$B189)</f>
        <v>0</v>
      </c>
      <c r="L189" s="463">
        <f t="shared" ref="L189" ca="1" si="432">MIN(1,($N167+$V167*(L$172-$F$172))/$C189)</f>
        <v>0</v>
      </c>
      <c r="M189" s="357">
        <f t="shared" ref="M189" ca="1" si="433">MIN(1,($L167+$T167*(N$172-$F$172))/$B189)</f>
        <v>0</v>
      </c>
      <c r="N189" s="463">
        <f t="shared" ref="N189" ca="1" si="434">MIN(1,($N167+$V167*(N$172-$F$172))/$C189)</f>
        <v>0</v>
      </c>
      <c r="O189" s="357">
        <f t="shared" ref="O189" ca="1" si="435">MIN(1,($L167+$T167*(P$172-$F$172))/$B189)</f>
        <v>0</v>
      </c>
      <c r="P189" s="463">
        <f t="shared" ref="P189" ca="1" si="436">MIN(1,($N167+$V167*(P$172-$F$172))/$C189)</f>
        <v>0</v>
      </c>
      <c r="Q189" s="357">
        <f t="shared" ref="Q189" ca="1" si="437">MIN(1,($L167+$T167*(R$172-$F$172))/$B189)</f>
        <v>0</v>
      </c>
      <c r="R189" s="463">
        <f t="shared" ref="R189" ca="1" si="438">MIN(1,($N167+$V167*(R$172-$F$172))/$C189)</f>
        <v>0</v>
      </c>
      <c r="S189" s="357">
        <f t="shared" ref="S189" ca="1" si="439">MIN(1,($L167+$T167*(T$172-$F$172))/$B189)</f>
        <v>0</v>
      </c>
      <c r="T189" s="463">
        <f t="shared" ref="T189" ca="1" si="440">MIN(1,($N167+$V167*(T$172-$F$172))/$C189)</f>
        <v>0</v>
      </c>
      <c r="U189" s="357">
        <f t="shared" ref="U189" ca="1" si="441">MIN(1,($L167+$T167*(V$172-$F$172))/$B189)</f>
        <v>0</v>
      </c>
      <c r="V189" s="463">
        <f t="shared" ref="V189" ca="1" si="442">MIN(1,($N167+$V167*(V$172-$F$172))/$C189)</f>
        <v>0</v>
      </c>
      <c r="W189" s="357">
        <f t="shared" ref="W189" ca="1" si="443">MIN(1,($L167+$T167*(X$172-$F$172))/$B189)</f>
        <v>0</v>
      </c>
      <c r="X189" s="463">
        <f t="shared" ref="X189" ca="1" si="444">MIN(1,($N167+$V167*(X$172-$F$172))/$C189)</f>
        <v>0</v>
      </c>
      <c r="Y189" s="357">
        <f t="shared" ref="Y189" ca="1" si="445">MIN(1,($L167+$T167*(Z$172-$F$172))/$B189)</f>
        <v>0</v>
      </c>
      <c r="Z189" s="463">
        <f t="shared" ref="Z189" ca="1" si="446">MIN(1,($N167+$V167*(Z$172-$F$172))/$C189)</f>
        <v>0</v>
      </c>
      <c r="AA189" s="357">
        <f t="shared" ref="AA189" ca="1" si="447">MIN(1,($L167+$T167*(AB$172-$F$172))/$B189)</f>
        <v>0</v>
      </c>
      <c r="AB189" s="463">
        <f t="shared" ref="AB189" ca="1" si="448">MIN(1,($N167+$V167*(AB$172-$F$172))/$C189)</f>
        <v>0</v>
      </c>
      <c r="AC189" s="357">
        <f t="shared" ref="AC189" ca="1" si="449">MIN(1,($L167+$T167*(AD$172-$F$172))/$B189)</f>
        <v>0</v>
      </c>
      <c r="AD189" s="463">
        <f t="shared" ref="AD189" ca="1" si="450">MIN(1,($N167+$V167*(AD$172-$F$172))/$C189)</f>
        <v>0</v>
      </c>
    </row>
    <row r="190" spans="1:30" x14ac:dyDescent="0.25">
      <c r="A190" s="812">
        <v>2103008000</v>
      </c>
      <c r="B190" s="133">
        <f t="shared" ca="1" si="145"/>
        <v>7.5369704121824448E-6</v>
      </c>
      <c r="C190" s="133">
        <f t="shared" ca="1" si="146"/>
        <v>2.5766689106639578E-4</v>
      </c>
      <c r="E190" s="357">
        <f t="shared" ca="1" si="147"/>
        <v>0</v>
      </c>
      <c r="F190" s="463">
        <f t="shared" ca="1" si="148"/>
        <v>0</v>
      </c>
      <c r="G190" s="357">
        <f t="shared" ca="1" si="149"/>
        <v>0</v>
      </c>
      <c r="H190" s="463">
        <f t="shared" ca="1" si="150"/>
        <v>0</v>
      </c>
      <c r="I190" s="357">
        <f t="shared" ca="1" si="149"/>
        <v>0</v>
      </c>
      <c r="J190" s="463">
        <f t="shared" ca="1" si="150"/>
        <v>0</v>
      </c>
      <c r="K190" s="357">
        <f t="shared" ref="K190" ca="1" si="451">MIN(1,($L168+$T168*(L$172-$F$172))/$B190)</f>
        <v>0</v>
      </c>
      <c r="L190" s="463">
        <f t="shared" ref="L190" ca="1" si="452">MIN(1,($N168+$V168*(L$172-$F$172))/$C190)</f>
        <v>0</v>
      </c>
      <c r="M190" s="357">
        <f t="shared" ref="M190" ca="1" si="453">MIN(1,($L168+$T168*(N$172-$F$172))/$B190)</f>
        <v>0</v>
      </c>
      <c r="N190" s="463">
        <f t="shared" ref="N190" ca="1" si="454">MIN(1,($N168+$V168*(N$172-$F$172))/$C190)</f>
        <v>0</v>
      </c>
      <c r="O190" s="357">
        <f t="shared" ref="O190" ca="1" si="455">MIN(1,($L168+$T168*(P$172-$F$172))/$B190)</f>
        <v>0</v>
      </c>
      <c r="P190" s="463">
        <f t="shared" ref="P190" ca="1" si="456">MIN(1,($N168+$V168*(P$172-$F$172))/$C190)</f>
        <v>0</v>
      </c>
      <c r="Q190" s="357">
        <f t="shared" ref="Q190" ca="1" si="457">MIN(1,($L168+$T168*(R$172-$F$172))/$B190)</f>
        <v>0</v>
      </c>
      <c r="R190" s="463">
        <f t="shared" ref="R190" ca="1" si="458">MIN(1,($N168+$V168*(R$172-$F$172))/$C190)</f>
        <v>0</v>
      </c>
      <c r="S190" s="357">
        <f t="shared" ref="S190" ca="1" si="459">MIN(1,($L168+$T168*(T$172-$F$172))/$B190)</f>
        <v>0</v>
      </c>
      <c r="T190" s="463">
        <f t="shared" ref="T190" ca="1" si="460">MIN(1,($N168+$V168*(T$172-$F$172))/$C190)</f>
        <v>0</v>
      </c>
      <c r="U190" s="357">
        <f t="shared" ref="U190" ca="1" si="461">MIN(1,($L168+$T168*(V$172-$F$172))/$B190)</f>
        <v>0</v>
      </c>
      <c r="V190" s="463">
        <f t="shared" ref="V190" ca="1" si="462">MIN(1,($N168+$V168*(V$172-$F$172))/$C190)</f>
        <v>0</v>
      </c>
      <c r="W190" s="357">
        <f t="shared" ref="W190" ca="1" si="463">MIN(1,($L168+$T168*(X$172-$F$172))/$B190)</f>
        <v>0</v>
      </c>
      <c r="X190" s="463">
        <f t="shared" ref="X190" ca="1" si="464">MIN(1,($N168+$V168*(X$172-$F$172))/$C190)</f>
        <v>0</v>
      </c>
      <c r="Y190" s="357">
        <f t="shared" ref="Y190" ca="1" si="465">MIN(1,($L168+$T168*(Z$172-$F$172))/$B190)</f>
        <v>0</v>
      </c>
      <c r="Z190" s="463">
        <f t="shared" ref="Z190" ca="1" si="466">MIN(1,($N168+$V168*(Z$172-$F$172))/$C190)</f>
        <v>0</v>
      </c>
      <c r="AA190" s="357">
        <f t="shared" ref="AA190" ca="1" si="467">MIN(1,($L168+$T168*(AB$172-$F$172))/$B190)</f>
        <v>0</v>
      </c>
      <c r="AB190" s="463">
        <f t="shared" ref="AB190" ca="1" si="468">MIN(1,($N168+$V168*(AB$172-$F$172))/$C190)</f>
        <v>0</v>
      </c>
      <c r="AC190" s="357">
        <f t="shared" ref="AC190" ca="1" si="469">MIN(1,($L168+$T168*(AD$172-$F$172))/$B190)</f>
        <v>0</v>
      </c>
      <c r="AD190" s="463">
        <f t="shared" ref="AD190" ca="1" si="470">MIN(1,($N168+$V168*(AD$172-$F$172))/$C190)</f>
        <v>0</v>
      </c>
    </row>
    <row r="191" spans="1:30" x14ac:dyDescent="0.25">
      <c r="A191" s="813">
        <v>2102012000</v>
      </c>
      <c r="B191" s="135">
        <f t="shared" ca="1" si="145"/>
        <v>1.6802202817214628E-2</v>
      </c>
      <c r="C191" s="135">
        <f t="shared" ca="1" si="146"/>
        <v>2.3655128992506407E-3</v>
      </c>
      <c r="E191" s="361">
        <f t="shared" ca="1" si="147"/>
        <v>0</v>
      </c>
      <c r="F191" s="519">
        <f t="shared" ca="1" si="148"/>
        <v>0</v>
      </c>
      <c r="G191" s="361">
        <f t="shared" ca="1" si="149"/>
        <v>0</v>
      </c>
      <c r="H191" s="519">
        <f t="shared" ca="1" si="150"/>
        <v>0</v>
      </c>
      <c r="I191" s="361">
        <f t="shared" ca="1" si="149"/>
        <v>0</v>
      </c>
      <c r="J191" s="519">
        <f t="shared" ca="1" si="150"/>
        <v>0</v>
      </c>
      <c r="K191" s="361">
        <f t="shared" ref="K191" ca="1" si="471">MIN(1,($L169+$T169*(L$172-$F$172))/$B191)</f>
        <v>0</v>
      </c>
      <c r="L191" s="519">
        <f t="shared" ref="L191" ca="1" si="472">MIN(1,($N169+$V169*(L$172-$F$172))/$C191)</f>
        <v>0</v>
      </c>
      <c r="M191" s="361">
        <f t="shared" ref="M191" ca="1" si="473">MIN(1,($L169+$T169*(N$172-$F$172))/$B191)</f>
        <v>0</v>
      </c>
      <c r="N191" s="519">
        <f t="shared" ref="N191" ca="1" si="474">MIN(1,($N169+$V169*(N$172-$F$172))/$C191)</f>
        <v>0</v>
      </c>
      <c r="O191" s="361">
        <f t="shared" ref="O191" ca="1" si="475">MIN(1,($L169+$T169*(P$172-$F$172))/$B191)</f>
        <v>0</v>
      </c>
      <c r="P191" s="519">
        <f t="shared" ref="P191" ca="1" si="476">MIN(1,($N169+$V169*(P$172-$F$172))/$C191)</f>
        <v>0</v>
      </c>
      <c r="Q191" s="361">
        <f t="shared" ref="Q191" ca="1" si="477">MIN(1,($L169+$T169*(R$172-$F$172))/$B191)</f>
        <v>0</v>
      </c>
      <c r="R191" s="519">
        <f t="shared" ref="R191" ca="1" si="478">MIN(1,($N169+$V169*(R$172-$F$172))/$C191)</f>
        <v>0</v>
      </c>
      <c r="S191" s="361">
        <f t="shared" ref="S191" ca="1" si="479">MIN(1,($L169+$T169*(T$172-$F$172))/$B191)</f>
        <v>0</v>
      </c>
      <c r="T191" s="519">
        <f t="shared" ref="T191" ca="1" si="480">MIN(1,($N169+$V169*(T$172-$F$172))/$C191)</f>
        <v>0</v>
      </c>
      <c r="U191" s="361">
        <f t="shared" ref="U191" ca="1" si="481">MIN(1,($L169+$T169*(V$172-$F$172))/$B191)</f>
        <v>0</v>
      </c>
      <c r="V191" s="519">
        <f t="shared" ref="V191" ca="1" si="482">MIN(1,($N169+$V169*(V$172-$F$172))/$C191)</f>
        <v>0</v>
      </c>
      <c r="W191" s="361">
        <f t="shared" ref="W191" ca="1" si="483">MIN(1,($L169+$T169*(X$172-$F$172))/$B191)</f>
        <v>0</v>
      </c>
      <c r="X191" s="519">
        <f t="shared" ref="X191" ca="1" si="484">MIN(1,($N169+$V169*(X$172-$F$172))/$C191)</f>
        <v>0</v>
      </c>
      <c r="Y191" s="361">
        <f t="shared" ref="Y191" ca="1" si="485">MIN(1,($L169+$T169*(Z$172-$F$172))/$B191)</f>
        <v>0</v>
      </c>
      <c r="Z191" s="519">
        <f t="shared" ref="Z191" ca="1" si="486">MIN(1,($N169+$V169*(Z$172-$F$172))/$C191)</f>
        <v>0</v>
      </c>
      <c r="AA191" s="361">
        <f t="shared" ref="AA191" ca="1" si="487">MIN(1,($L169+$T169*(AB$172-$F$172))/$B191)</f>
        <v>0</v>
      </c>
      <c r="AB191" s="519">
        <f t="shared" ref="AB191" ca="1" si="488">MIN(1,($N169+$V169*(AB$172-$F$172))/$C191)</f>
        <v>0</v>
      </c>
      <c r="AC191" s="361">
        <f t="shared" ref="AC191" ca="1" si="489">MIN(1,($L169+$T169*(AD$172-$F$172))/$B191)</f>
        <v>0</v>
      </c>
      <c r="AD191" s="519">
        <f t="shared" ref="AD191" ca="1" si="490">MIN(1,($N169+$V169*(AD$172-$F$172))/$C191)</f>
        <v>0</v>
      </c>
    </row>
    <row r="192" spans="1:30" x14ac:dyDescent="0.25">
      <c r="A192" s="810" t="s">
        <v>486</v>
      </c>
      <c r="B192" s="137">
        <f t="shared" ca="1" si="145"/>
        <v>4.320503062337508</v>
      </c>
      <c r="C192" s="137">
        <f t="shared" ca="1" si="146"/>
        <v>2.806623905552601</v>
      </c>
      <c r="E192" s="357">
        <f t="shared" ca="1" si="147"/>
        <v>1.1882399960552203E-3</v>
      </c>
      <c r="F192" s="463">
        <f t="shared" ca="1" si="148"/>
        <v>0.12802143412941241</v>
      </c>
      <c r="G192" s="357">
        <f t="shared" ca="1" si="149"/>
        <v>1.1882399960552203E-3</v>
      </c>
      <c r="H192" s="463">
        <f t="shared" ca="1" si="150"/>
        <v>0.12802143412941241</v>
      </c>
      <c r="I192" s="357">
        <f t="shared" ca="1" si="149"/>
        <v>-9.4980037418726553E-5</v>
      </c>
      <c r="J192" s="463">
        <f t="shared" ca="1" si="150"/>
        <v>0.14620431994853686</v>
      </c>
      <c r="K192" s="357">
        <f t="shared" ref="K192" ca="1" si="491">MIN(1,($L170+$T170*(L$172-$F$172))/$B192)</f>
        <v>-1.3782000708926732E-3</v>
      </c>
      <c r="L192" s="463">
        <f t="shared" ref="L192" ca="1" si="492">MIN(1,($N170+$V170*(L$172-$F$172))/$C192)</f>
        <v>0.16438720576766133</v>
      </c>
      <c r="M192" s="357">
        <f t="shared" ref="M192" ca="1" si="493">MIN(1,($L170+$T170*(N$172-$F$172))/$B192)</f>
        <v>-2.6614201043666202E-3</v>
      </c>
      <c r="N192" s="463">
        <f t="shared" ref="N192" ca="1" si="494">MIN(1,($N170+$V170*(N$172-$F$172))/$C192)</f>
        <v>0.18257009158678578</v>
      </c>
      <c r="O192" s="357">
        <f t="shared" ref="O192" ca="1" si="495">MIN(1,($L170+$T170*(P$172-$F$172))/$B192)</f>
        <v>-3.9446401378405672E-3</v>
      </c>
      <c r="P192" s="463">
        <f t="shared" ref="P192" ca="1" si="496">MIN(1,($N170+$V170*(P$172-$F$172))/$C192)</f>
        <v>0.20075297740591025</v>
      </c>
      <c r="Q192" s="357">
        <f t="shared" ref="Q192" ca="1" si="497">MIN(1,($L170+$T170*(R$172-$F$172))/$B192)</f>
        <v>-5.2278601713145138E-3</v>
      </c>
      <c r="R192" s="463">
        <f t="shared" ref="R192" ca="1" si="498">MIN(1,($N170+$V170*(R$172-$F$172))/$C192)</f>
        <v>0.21893586322503472</v>
      </c>
      <c r="S192" s="357">
        <f t="shared" ref="S192" ca="1" si="499">MIN(1,($L170+$T170*(T$172-$F$172))/$B192)</f>
        <v>-6.5110802047884612E-3</v>
      </c>
      <c r="T192" s="463">
        <f t="shared" ref="T192" ca="1" si="500">MIN(1,($N170+$V170*(T$172-$F$172))/$C192)</f>
        <v>0.23711874904415914</v>
      </c>
      <c r="U192" s="357">
        <f t="shared" ref="U192" ca="1" si="501">MIN(1,($L170+$T170*(V$172-$F$172))/$B192)</f>
        <v>-7.7943002382624077E-3</v>
      </c>
      <c r="V192" s="463">
        <f t="shared" ref="V192" ca="1" si="502">MIN(1,($N170+$V170*(V$172-$F$172))/$C192)</f>
        <v>0.25530163486328356</v>
      </c>
      <c r="W192" s="357">
        <f t="shared" ref="W192" ca="1" si="503">MIN(1,($L170+$T170*(X$172-$F$172))/$B192)</f>
        <v>-9.0775202717363543E-3</v>
      </c>
      <c r="X192" s="463">
        <f t="shared" ref="X192" ca="1" si="504">MIN(1,($N170+$V170*(X$172-$F$172))/$C192)</f>
        <v>0.27348452068240803</v>
      </c>
      <c r="Y192" s="357">
        <f t="shared" ref="Y192" ca="1" si="505">MIN(1,($L170+$T170*(Z$172-$F$172))/$B192)</f>
        <v>-1.0360740305210302E-2</v>
      </c>
      <c r="Z192" s="463">
        <f t="shared" ref="Z192" ca="1" si="506">MIN(1,($N170+$V170*(Z$172-$F$172))/$C192)</f>
        <v>0.2916674065015325</v>
      </c>
      <c r="AA192" s="357">
        <f t="shared" ref="AA192" ca="1" si="507">MIN(1,($L170+$T170*(AB$172-$F$172))/$B192)</f>
        <v>-1.1643960338684247E-2</v>
      </c>
      <c r="AB192" s="463">
        <f t="shared" ref="AB192" ca="1" si="508">MIN(1,($N170+$V170*(AB$172-$F$172))/$C192)</f>
        <v>0.30985029232065697</v>
      </c>
      <c r="AC192" s="357">
        <f t="shared" ref="AC192" ca="1" si="509">MIN(1,($L170+$T170*(AD$172-$F$172))/$B192)</f>
        <v>-1.2927180372158195E-2</v>
      </c>
      <c r="AD192" s="463">
        <f t="shared" ref="AD192" ca="1" si="510">MIN(1,($N170+$V170*(AD$172-$F$172))/$C192)</f>
        <v>0.32803317813978145</v>
      </c>
    </row>
  </sheetData>
  <mergeCells count="45">
    <mergeCell ref="A1:K1"/>
    <mergeCell ref="A64:C64"/>
    <mergeCell ref="B66:H66"/>
    <mergeCell ref="B79:H79"/>
    <mergeCell ref="B3:K3"/>
    <mergeCell ref="B30:D30"/>
    <mergeCell ref="B43:E43"/>
    <mergeCell ref="B42:E42"/>
    <mergeCell ref="B78:I78"/>
    <mergeCell ref="J78:Q78"/>
    <mergeCell ref="L48:M48"/>
    <mergeCell ref="L49:M49"/>
    <mergeCell ref="N48:O48"/>
    <mergeCell ref="N49:O49"/>
    <mergeCell ref="N50:O50"/>
    <mergeCell ref="B150:H150"/>
    <mergeCell ref="B172:C172"/>
    <mergeCell ref="B131:H131"/>
    <mergeCell ref="A94:C94"/>
    <mergeCell ref="B107:H107"/>
    <mergeCell ref="F96:I96"/>
    <mergeCell ref="E95:I95"/>
    <mergeCell ref="B106:I106"/>
    <mergeCell ref="A92:C92"/>
    <mergeCell ref="P49:Q49"/>
    <mergeCell ref="P50:Q50"/>
    <mergeCell ref="P48:Q48"/>
    <mergeCell ref="R78:Y78"/>
    <mergeCell ref="J79:P79"/>
    <mergeCell ref="R79:X79"/>
    <mergeCell ref="L50:M50"/>
    <mergeCell ref="H48:I48"/>
    <mergeCell ref="H49:I49"/>
    <mergeCell ref="H50:I50"/>
    <mergeCell ref="J48:K48"/>
    <mergeCell ref="J49:K49"/>
    <mergeCell ref="J50:K50"/>
    <mergeCell ref="R131:X131"/>
    <mergeCell ref="J150:P150"/>
    <mergeCell ref="R150:X150"/>
    <mergeCell ref="R106:Y106"/>
    <mergeCell ref="R107:X107"/>
    <mergeCell ref="J107:P107"/>
    <mergeCell ref="J131:P131"/>
    <mergeCell ref="J106:Q106"/>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N102"/>
  <sheetViews>
    <sheetView zoomScaleNormal="100" workbookViewId="0">
      <selection activeCell="B5" sqref="B5"/>
    </sheetView>
  </sheetViews>
  <sheetFormatPr defaultRowHeight="15" x14ac:dyDescent="0.25"/>
  <cols>
    <col min="1" max="1" width="37.140625" customWidth="1"/>
    <col min="6" max="6" width="8.85546875" customWidth="1"/>
    <col min="12" max="12" width="11.5703125" customWidth="1"/>
    <col min="18" max="18" width="11.7109375" customWidth="1"/>
    <col min="21" max="21" width="11.140625" customWidth="1"/>
    <col min="25" max="25" width="11.5703125" customWidth="1"/>
  </cols>
  <sheetData>
    <row r="1" spans="1:11" ht="18.75" x14ac:dyDescent="0.3">
      <c r="A1" s="828" t="s">
        <v>569</v>
      </c>
      <c r="B1" s="828"/>
      <c r="C1" s="828"/>
      <c r="D1" s="828"/>
      <c r="E1" s="828"/>
      <c r="F1" s="828"/>
      <c r="G1" s="828"/>
      <c r="H1" s="828"/>
      <c r="I1" s="828"/>
      <c r="J1" s="828"/>
      <c r="K1" s="828"/>
    </row>
    <row r="3" spans="1:11" ht="28.9" customHeight="1" x14ac:dyDescent="0.25">
      <c r="A3" s="244" t="s">
        <v>314</v>
      </c>
      <c r="B3" s="856" t="s">
        <v>570</v>
      </c>
      <c r="C3" s="856"/>
      <c r="D3" s="856"/>
      <c r="E3" s="856"/>
      <c r="F3" s="856"/>
      <c r="G3" s="856"/>
      <c r="H3" s="856"/>
      <c r="I3" s="856"/>
      <c r="J3" s="856"/>
      <c r="K3" s="856"/>
    </row>
    <row r="4" spans="1:11" x14ac:dyDescent="0.25">
      <c r="A4" s="244" t="s">
        <v>177</v>
      </c>
      <c r="B4" s="703">
        <f>Summary!$C$14</f>
        <v>2020</v>
      </c>
    </row>
    <row r="5" spans="1:11" x14ac:dyDescent="0.25">
      <c r="A5" s="244" t="s">
        <v>571</v>
      </c>
      <c r="B5" s="703">
        <v>6</v>
      </c>
      <c r="C5" t="s">
        <v>572</v>
      </c>
    </row>
    <row r="6" spans="1:11" x14ac:dyDescent="0.25">
      <c r="A6" s="244" t="s">
        <v>573</v>
      </c>
      <c r="B6" s="4">
        <v>1</v>
      </c>
    </row>
    <row r="7" spans="1:11" x14ac:dyDescent="0.25">
      <c r="D7" s="97"/>
    </row>
    <row r="8" spans="1:11" x14ac:dyDescent="0.25">
      <c r="A8" s="354" t="s">
        <v>322</v>
      </c>
    </row>
    <row r="9" spans="1:11" x14ac:dyDescent="0.25">
      <c r="A9" s="246" t="str">
        <f>"- Use "&amp;$B$4&amp;" projected catalytic wood stove/insert counts in nonattainment area from 2011-2015 Home Heating Survey"</f>
        <v>- Use 2020 projected catalytic wood stove/insert counts in nonattainment area from 2011-2015 Home Heating Survey</v>
      </c>
    </row>
    <row r="10" spans="1:11" x14ac:dyDescent="0.25">
      <c r="A10" s="246" t="str">
        <f>"- Estimate catalysts in these devices replaced every "&amp;B5&amp;" years"</f>
        <v>- Estimate catalysts in these devices replaced every 6 years</v>
      </c>
    </row>
    <row r="11" spans="1:11" x14ac:dyDescent="0.25">
      <c r="A11" s="246" t="s">
        <v>574</v>
      </c>
    </row>
    <row r="12" spans="1:11" x14ac:dyDescent="0.25">
      <c r="A12" s="246" t="s">
        <v>575</v>
      </c>
    </row>
    <row r="13" spans="1:11" x14ac:dyDescent="0.25">
      <c r="A13" s="246" t="s">
        <v>576</v>
      </c>
    </row>
    <row r="14" spans="1:11" x14ac:dyDescent="0.25">
      <c r="A14" s="246" t="str">
        <f>"- Finally, since replacements don't all occur in the same year, the reduction benefits assume the replacements are evenly spread out over the "&amp;B5&amp;"-year change out period"</f>
        <v>- Finally, since replacements don't all occur in the same year, the reduction benefits assume the replacements are evenly spread out over the 6-year change out period</v>
      </c>
    </row>
    <row r="16" spans="1:11" x14ac:dyDescent="0.25">
      <c r="A16" t="str">
        <f>$B$4&amp;" Projected Solid Fuel Device Counts in Fairbanks Nonattainment Area:"</f>
        <v>2020 Projected Solid Fuel Device Counts in Fairbanks Nonattainment Area:</v>
      </c>
    </row>
    <row r="18" spans="1:11" x14ac:dyDescent="0.25">
      <c r="A18" s="3" t="s">
        <v>356</v>
      </c>
      <c r="B18" s="813" t="s">
        <v>36</v>
      </c>
    </row>
    <row r="19" spans="1:11" x14ac:dyDescent="0.25">
      <c r="A19" t="s">
        <v>577</v>
      </c>
      <c r="B19" s="45">
        <f ca="1">ROUND(OFFSET(Devices!$B$55,0,MATCH($B$4,Devices!$C$49:$R$49,0)),0)</f>
        <v>219</v>
      </c>
    </row>
    <row r="20" spans="1:11" x14ac:dyDescent="0.25">
      <c r="A20" s="3" t="s">
        <v>578</v>
      </c>
      <c r="B20" s="88">
        <f ca="1">ROUND(OFFSET(Devices!$B$61,0,MATCH($B$4,Devices!$C$49:$R$49,0)),0)</f>
        <v>3226</v>
      </c>
    </row>
    <row r="21" spans="1:11" x14ac:dyDescent="0.25">
      <c r="A21" t="s">
        <v>579</v>
      </c>
      <c r="B21" s="45">
        <f ca="1">SUM(B19:B20)</f>
        <v>3445</v>
      </c>
    </row>
    <row r="23" spans="1:11" x14ac:dyDescent="0.25">
      <c r="B23" s="845" t="s">
        <v>580</v>
      </c>
      <c r="C23" s="845"/>
      <c r="D23" s="845"/>
      <c r="E23" s="845"/>
      <c r="F23" s="845"/>
      <c r="G23" s="845"/>
      <c r="H23" s="845"/>
      <c r="I23" s="845"/>
    </row>
    <row r="24" spans="1:11" x14ac:dyDescent="0.25">
      <c r="D24" s="845" t="s">
        <v>581</v>
      </c>
      <c r="E24" s="845"/>
      <c r="F24" s="845"/>
      <c r="G24" s="845" t="s">
        <v>582</v>
      </c>
      <c r="H24" s="845"/>
      <c r="I24" s="845"/>
      <c r="J24" s="13"/>
      <c r="K24" s="13"/>
    </row>
    <row r="25" spans="1:11" x14ac:dyDescent="0.25">
      <c r="B25" s="812" t="s">
        <v>583</v>
      </c>
      <c r="C25" s="812" t="s">
        <v>584</v>
      </c>
      <c r="D25" s="812" t="s">
        <v>451</v>
      </c>
      <c r="E25" s="812" t="s">
        <v>585</v>
      </c>
      <c r="F25" s="812" t="s">
        <v>586</v>
      </c>
      <c r="G25" s="812" t="s">
        <v>451</v>
      </c>
      <c r="H25" s="812" t="s">
        <v>585</v>
      </c>
      <c r="I25" s="812" t="s">
        <v>586</v>
      </c>
      <c r="J25" s="13"/>
      <c r="K25" s="13"/>
    </row>
    <row r="26" spans="1:11" x14ac:dyDescent="0.25">
      <c r="B26" s="812" t="s">
        <v>587</v>
      </c>
      <c r="C26">
        <v>7.8</v>
      </c>
      <c r="D26" s="264">
        <v>0.85</v>
      </c>
      <c r="E26" s="264">
        <v>0.83</v>
      </c>
      <c r="F26" s="264">
        <v>0.81</v>
      </c>
      <c r="G26" s="13">
        <f t="shared" ref="G26:I27" si="0">$C26*(1-D26)</f>
        <v>1.1700000000000002</v>
      </c>
      <c r="H26" s="13">
        <f t="shared" si="0"/>
        <v>1.3260000000000003</v>
      </c>
      <c r="I26" s="13">
        <f t="shared" si="0"/>
        <v>1.4819999999999995</v>
      </c>
      <c r="J26" s="13"/>
      <c r="K26" s="13"/>
    </row>
    <row r="27" spans="1:11" x14ac:dyDescent="0.25">
      <c r="B27" s="812" t="s">
        <v>588</v>
      </c>
      <c r="C27">
        <v>31.95</v>
      </c>
      <c r="D27" s="264">
        <v>0.83</v>
      </c>
      <c r="E27" s="264">
        <v>0.78</v>
      </c>
      <c r="F27" s="264">
        <v>0.8</v>
      </c>
      <c r="G27" s="13">
        <f t="shared" si="0"/>
        <v>5.4315000000000015</v>
      </c>
      <c r="H27" s="13">
        <f t="shared" si="0"/>
        <v>7.028999999999999</v>
      </c>
      <c r="I27" s="13">
        <f t="shared" si="0"/>
        <v>6.3899999999999988</v>
      </c>
      <c r="J27" s="13"/>
      <c r="K27" s="13"/>
    </row>
    <row r="28" spans="1:11" x14ac:dyDescent="0.25">
      <c r="G28" s="1" t="s">
        <v>589</v>
      </c>
      <c r="H28" s="13">
        <v>0.14000000000000001</v>
      </c>
      <c r="I28" s="13">
        <v>0.3</v>
      </c>
      <c r="J28" s="13"/>
      <c r="K28" s="13"/>
    </row>
    <row r="29" spans="1:11" x14ac:dyDescent="0.25">
      <c r="G29" s="1" t="s">
        <v>590</v>
      </c>
      <c r="H29" s="13">
        <v>1.9</v>
      </c>
      <c r="I29" s="13">
        <v>1.04</v>
      </c>
      <c r="J29" s="13"/>
      <c r="K29" s="13"/>
    </row>
    <row r="30" spans="1:11" x14ac:dyDescent="0.25">
      <c r="B30" s="812" t="s">
        <v>591</v>
      </c>
      <c r="C30" s="13">
        <f>AVERAGE(G26:G27)</f>
        <v>3.3007500000000007</v>
      </c>
      <c r="G30" s="1" t="s">
        <v>592</v>
      </c>
      <c r="H30" s="13">
        <f>AVERAGE(H28:H29)</f>
        <v>1.02</v>
      </c>
      <c r="I30" s="13">
        <f>AVERAGE(I28:I29)</f>
        <v>0.67</v>
      </c>
      <c r="J30" s="13"/>
      <c r="K30" s="13"/>
    </row>
    <row r="31" spans="1:11" x14ac:dyDescent="0.25">
      <c r="G31" s="1" t="s">
        <v>593</v>
      </c>
      <c r="H31" s="658">
        <f>H30/$C30</f>
        <v>0.30902067711883657</v>
      </c>
      <c r="I31" s="658">
        <f>I30/$C30</f>
        <v>0.20298417026433382</v>
      </c>
      <c r="J31" s="13"/>
      <c r="K31" s="13"/>
    </row>
    <row r="32" spans="1:11" x14ac:dyDescent="0.25">
      <c r="G32" s="1"/>
      <c r="H32" s="658"/>
      <c r="I32" s="658"/>
      <c r="J32" s="13"/>
      <c r="K32" s="13"/>
    </row>
    <row r="33" spans="1:11" x14ac:dyDescent="0.25">
      <c r="G33" s="1" t="s">
        <v>594</v>
      </c>
      <c r="H33" s="658">
        <f>H30/(H30+$C30)</f>
        <v>0.23607012671411212</v>
      </c>
      <c r="I33" s="658">
        <f>I30/(I30+$C30)</f>
        <v>0.16873386639803561</v>
      </c>
      <c r="J33" s="13"/>
      <c r="K33" s="13"/>
    </row>
    <row r="34" spans="1:11" x14ac:dyDescent="0.25">
      <c r="G34" s="1" t="s">
        <v>595</v>
      </c>
      <c r="H34" s="659">
        <f>H33/2</f>
        <v>0.11803506335705606</v>
      </c>
      <c r="I34" s="659">
        <f>I33/2</f>
        <v>8.4366933199017807E-2</v>
      </c>
    </row>
    <row r="35" spans="1:11" x14ac:dyDescent="0.25">
      <c r="G35" s="1"/>
    </row>
    <row r="36" spans="1:11" ht="15.75" thickBot="1" x14ac:dyDescent="0.3"/>
    <row r="37" spans="1:11" ht="16.5" thickBot="1" x14ac:dyDescent="0.3">
      <c r="A37" s="842" t="s">
        <v>235</v>
      </c>
      <c r="B37" s="843"/>
      <c r="C37" s="844"/>
      <c r="D37" s="807"/>
    </row>
    <row r="39" spans="1:11" x14ac:dyDescent="0.25">
      <c r="B39" s="841" t="str">
        <f>$B$4&amp;" Space Heating Emission Factors (lb/mmBTU)"</f>
        <v>2020 Space Heating Emission Factors (lb/mmBTU)</v>
      </c>
      <c r="C39" s="841"/>
      <c r="D39" s="841"/>
      <c r="E39" s="841"/>
      <c r="F39" s="841"/>
      <c r="G39" s="841"/>
      <c r="H39" s="841"/>
      <c r="I39" s="90"/>
    </row>
    <row r="40" spans="1:11" x14ac:dyDescent="0.25">
      <c r="A40" s="3" t="s">
        <v>372</v>
      </c>
      <c r="B40" s="813" t="s">
        <v>201</v>
      </c>
      <c r="C40" s="813" t="s">
        <v>202</v>
      </c>
      <c r="D40" s="813" t="s">
        <v>132</v>
      </c>
      <c r="E40" s="813" t="s">
        <v>203</v>
      </c>
      <c r="F40" s="813" t="s">
        <v>204</v>
      </c>
      <c r="G40" s="813" t="s">
        <v>205</v>
      </c>
      <c r="H40" s="813" t="s">
        <v>206</v>
      </c>
    </row>
    <row r="41" spans="1:11" x14ac:dyDescent="0.25">
      <c r="A41" t="s">
        <v>577</v>
      </c>
      <c r="B41" s="5">
        <f ca="1">INDIRECT("'DevSumOut-"&amp;$B$4&amp;"BSR'!Y53")</f>
        <v>0.93428067852282848</v>
      </c>
      <c r="C41" s="5">
        <f ca="1">INDIRECT("'DevSumOut-"&amp;$B$4&amp;"BSR'!Z53")</f>
        <v>0.12457075713637712</v>
      </c>
      <c r="D41" s="5">
        <f ca="1">INDIRECT("'DevSumOut-"&amp;$B$4&amp;"BSR'!AA53")</f>
        <v>2.4914151427275422E-2</v>
      </c>
      <c r="E41" s="5">
        <f ca="1">INDIRECT("'DevSumOut-"&amp;$B$4&amp;"BSR'!AB53")</f>
        <v>0.80970992138645115</v>
      </c>
      <c r="F41" s="5">
        <f ca="1">INDIRECT("'DevSumOut-"&amp;$B$4&amp;"BSR'!AC53")</f>
        <v>0.80970992138645115</v>
      </c>
      <c r="G41" s="5">
        <f ca="1">INDIRECT("'DevSumOut-"&amp;$B$4&amp;"BSR'!AD53")</f>
        <v>5.6056840711369696E-2</v>
      </c>
      <c r="H41" s="5">
        <f ca="1">INDIRECT("'DevSumOut-"&amp;$B$4&amp;"BSR'!AE53")</f>
        <v>6.6645355067961773</v>
      </c>
    </row>
    <row r="42" spans="1:11" x14ac:dyDescent="0.25">
      <c r="A42" t="s">
        <v>578</v>
      </c>
      <c r="B42" s="5">
        <f ca="1">INDIRECT("'DevSumOut-"&amp;$B$4&amp;"BSR'!Y56")</f>
        <v>0.93428067852282815</v>
      </c>
      <c r="C42" s="5">
        <f ca="1">INDIRECT("'DevSumOut-"&amp;$B$4&amp;"BSR'!Z56")</f>
        <v>0.10020718579856264</v>
      </c>
      <c r="D42" s="5">
        <f ca="1">INDIRECT("'DevSumOut-"&amp;$B$4&amp;"BSR'!AA56")</f>
        <v>2.4914151427275405E-2</v>
      </c>
      <c r="E42" s="5">
        <f ca="1">INDIRECT("'DevSumOut-"&amp;$B$4&amp;"BSR'!AB56")</f>
        <v>0.54771470675245637</v>
      </c>
      <c r="F42" s="5">
        <f ca="1">INDIRECT("'DevSumOut-"&amp;$B$4&amp;"BSR'!AC56")</f>
        <v>0.54771470675245637</v>
      </c>
      <c r="G42" s="5">
        <f ca="1">INDIRECT("'DevSumOut-"&amp;$B$4&amp;"BSR'!AD56")</f>
        <v>1.5555258594456124E-2</v>
      </c>
      <c r="H42" s="5">
        <f ca="1">INDIRECT("'DevSumOut-"&amp;$B$4&amp;"BSR'!AE56")</f>
        <v>7.7010232833612369</v>
      </c>
    </row>
    <row r="44" spans="1:11" x14ac:dyDescent="0.25">
      <c r="B44" s="845" t="str">
        <f>$B$4&amp;" Baseline Emissions (tons/winter day)"</f>
        <v>2020 Baseline Emissions (tons/winter day)</v>
      </c>
      <c r="C44" s="845"/>
      <c r="D44" s="845"/>
      <c r="E44" s="845"/>
      <c r="F44" s="845"/>
      <c r="G44" s="845"/>
      <c r="H44" s="845"/>
      <c r="I44" s="812" t="s">
        <v>376</v>
      </c>
    </row>
    <row r="45" spans="1:11" x14ac:dyDescent="0.25">
      <c r="A45" s="3" t="s">
        <v>372</v>
      </c>
      <c r="B45" s="813" t="s">
        <v>201</v>
      </c>
      <c r="C45" s="813" t="s">
        <v>202</v>
      </c>
      <c r="D45" s="813" t="s">
        <v>132</v>
      </c>
      <c r="E45" s="813" t="s">
        <v>203</v>
      </c>
      <c r="F45" s="348" t="s">
        <v>204</v>
      </c>
      <c r="G45" s="813" t="s">
        <v>205</v>
      </c>
      <c r="H45" s="813" t="s">
        <v>206</v>
      </c>
      <c r="I45" s="813" t="s">
        <v>377</v>
      </c>
    </row>
    <row r="46" spans="1:11" x14ac:dyDescent="0.25">
      <c r="A46" t="s">
        <v>577</v>
      </c>
      <c r="B46" s="133">
        <f ca="1">INDIRECT("'DevSumOut-"&amp;$B$4&amp;"BSR'!N53")</f>
        <v>3.055711555389734E-2</v>
      </c>
      <c r="C46" s="133">
        <f ca="1">INDIRECT("'DevSumOut-"&amp;$B$4&amp;"BSR'!O53")</f>
        <v>4.0742820738529787E-3</v>
      </c>
      <c r="D46" s="133">
        <f ca="1">INDIRECT("'DevSumOut-"&amp;$B$4&amp;"BSR'!P53")</f>
        <v>8.1485641477059556E-4</v>
      </c>
      <c r="E46" s="133">
        <f ca="1">INDIRECT("'DevSumOut-"&amp;$B$4&amp;"BSR'!Q53")</f>
        <v>2.6482833480044356E-2</v>
      </c>
      <c r="F46" s="137">
        <f ca="1">INDIRECT("'DevSumOut-"&amp;$B$4&amp;"BSR'!R53")</f>
        <v>2.6482833480044356E-2</v>
      </c>
      <c r="G46" s="133">
        <f ca="1">INDIRECT("'DevSumOut-"&amp;$B$4&amp;"BSR'!S53")</f>
        <v>1.83342693323384E-3</v>
      </c>
      <c r="H46" s="133">
        <f ca="1">INDIRECT("'DevSumOut-"&amp;$B$4&amp;"BSR'!T53")</f>
        <v>0.21797409095113437</v>
      </c>
      <c r="I46" s="45">
        <f ca="1">INDIRECT("'DevSumOut-"&amp;$B$4&amp;"BSR'!U53")</f>
        <v>65.413138163598873</v>
      </c>
    </row>
    <row r="47" spans="1:11" x14ac:dyDescent="0.25">
      <c r="A47" s="3" t="s">
        <v>578</v>
      </c>
      <c r="B47" s="135">
        <f ca="1">INDIRECT("'DevSumOut-"&amp;$B$4&amp;"BSR'!N56")</f>
        <v>0.62013284619631825</v>
      </c>
      <c r="C47" s="135">
        <f ca="1">INDIRECT("'DevSumOut-"&amp;$B$4&amp;"BSR'!O56")</f>
        <v>6.6512953512896142E-2</v>
      </c>
      <c r="D47" s="135">
        <f ca="1">INDIRECT("'DevSumOut-"&amp;$B$4&amp;"BSR'!P56")</f>
        <v>1.653687589856848E-2</v>
      </c>
      <c r="E47" s="135">
        <f ca="1">INDIRECT("'DevSumOut-"&amp;$B$4&amp;"BSR'!Q56")</f>
        <v>0.36354800844110946</v>
      </c>
      <c r="F47" s="466">
        <f ca="1">INDIRECT("'DevSumOut-"&amp;$B$4&amp;"BSR'!R56")</f>
        <v>0.36354800844110946</v>
      </c>
      <c r="G47" s="135">
        <f ca="1">INDIRECT("'DevSumOut-"&amp;$B$4&amp;"BSR'!S56")</f>
        <v>1.0324870252857445E-2</v>
      </c>
      <c r="H47" s="135">
        <f ca="1">INDIRECT("'DevSumOut-"&amp;$B$4&amp;"BSR'!T56")</f>
        <v>5.11158755298848</v>
      </c>
      <c r="I47" s="88">
        <f ca="1">INDIRECT("'DevSumOut-"&amp;$B$4&amp;"BSR'!U56")</f>
        <v>1327.5086608379775</v>
      </c>
    </row>
    <row r="48" spans="1:11" x14ac:dyDescent="0.25">
      <c r="A48" s="84" t="s">
        <v>249</v>
      </c>
      <c r="B48" s="137">
        <f t="shared" ref="B48:I48" ca="1" si="1">SUM(B46:B47)</f>
        <v>0.65068996175021554</v>
      </c>
      <c r="C48" s="137">
        <f t="shared" ca="1" si="1"/>
        <v>7.058723558674912E-2</v>
      </c>
      <c r="D48" s="137">
        <f t="shared" ca="1" si="1"/>
        <v>1.7351732313339075E-2</v>
      </c>
      <c r="E48" s="137">
        <f t="shared" ca="1" si="1"/>
        <v>0.39003084192115384</v>
      </c>
      <c r="F48" s="137">
        <f t="shared" ca="1" si="1"/>
        <v>0.39003084192115384</v>
      </c>
      <c r="G48" s="137">
        <f t="shared" ca="1" si="1"/>
        <v>1.2158297186091285E-2</v>
      </c>
      <c r="H48" s="137">
        <f t="shared" ca="1" si="1"/>
        <v>5.3295616439396145</v>
      </c>
      <c r="I48" s="87">
        <f t="shared" ca="1" si="1"/>
        <v>1392.9217990015763</v>
      </c>
    </row>
    <row r="49" spans="1:14" ht="15.75" thickBot="1" x14ac:dyDescent="0.3"/>
    <row r="50" spans="1:14" ht="16.5" thickBot="1" x14ac:dyDescent="0.3">
      <c r="A50" s="842" t="s">
        <v>254</v>
      </c>
      <c r="B50" s="843"/>
      <c r="C50" s="844"/>
      <c r="D50" s="807"/>
    </row>
    <row r="52" spans="1:14" x14ac:dyDescent="0.25">
      <c r="B52" s="845" t="str">
        <f>$B$4&amp;" With Control Emissions (tons/winter day)"</f>
        <v>2020 With Control Emissions (tons/winter day)</v>
      </c>
      <c r="C52" s="845"/>
      <c r="D52" s="845"/>
      <c r="E52" s="845"/>
      <c r="F52" s="845"/>
      <c r="G52" s="845"/>
      <c r="H52" s="845"/>
      <c r="I52" s="812" t="s">
        <v>376</v>
      </c>
    </row>
    <row r="53" spans="1:14" x14ac:dyDescent="0.25">
      <c r="A53" s="3" t="s">
        <v>372</v>
      </c>
      <c r="B53" s="813" t="s">
        <v>201</v>
      </c>
      <c r="C53" s="813" t="s">
        <v>202</v>
      </c>
      <c r="D53" s="813" t="s">
        <v>132</v>
      </c>
      <c r="E53" s="813" t="s">
        <v>203</v>
      </c>
      <c r="F53" s="348" t="s">
        <v>204</v>
      </c>
      <c r="G53" s="813" t="s">
        <v>205</v>
      </c>
      <c r="H53" s="813" t="s">
        <v>206</v>
      </c>
      <c r="I53" s="813" t="s">
        <v>377</v>
      </c>
    </row>
    <row r="54" spans="1:14" x14ac:dyDescent="0.25">
      <c r="A54" t="s">
        <v>577</v>
      </c>
      <c r="B54" s="655">
        <f t="shared" ref="B54:D55" ca="1" si="2">B46</f>
        <v>3.055711555389734E-2</v>
      </c>
      <c r="C54" s="655">
        <f t="shared" ca="1" si="2"/>
        <v>4.0742820738529787E-3</v>
      </c>
      <c r="D54" s="655">
        <f t="shared" ca="1" si="2"/>
        <v>8.1485641477059556E-4</v>
      </c>
      <c r="E54" s="655">
        <f ca="1">E46*($B$6*((1-$H$34)*(1/$B$5)+($B$5-1)/$B$5)+(1-$B$6))</f>
        <v>2.5961849658762456E-2</v>
      </c>
      <c r="F54" s="656">
        <f ca="1">F46*($B$6*((1-$H$34)*(1/$B$5)+($B$5-1)/$B$5)+(1-$B$6))</f>
        <v>2.5961849658762456E-2</v>
      </c>
      <c r="G54" s="655">
        <f t="shared" ref="G54:I55" ca="1" si="3">G46</f>
        <v>1.83342693323384E-3</v>
      </c>
      <c r="H54" s="655">
        <f t="shared" ca="1" si="3"/>
        <v>0.21797409095113437</v>
      </c>
      <c r="I54" s="657">
        <f t="shared" ca="1" si="3"/>
        <v>65.413138163598873</v>
      </c>
    </row>
    <row r="55" spans="1:14" x14ac:dyDescent="0.25">
      <c r="A55" s="3" t="s">
        <v>578</v>
      </c>
      <c r="B55" s="660">
        <f t="shared" ca="1" si="2"/>
        <v>0.62013284619631825</v>
      </c>
      <c r="C55" s="660">
        <f t="shared" ca="1" si="2"/>
        <v>6.6512953512896142E-2</v>
      </c>
      <c r="D55" s="660">
        <f t="shared" ca="1" si="2"/>
        <v>1.653687589856848E-2</v>
      </c>
      <c r="E55" s="135">
        <f ca="1">E47*($B$6*((1-$H$34)*(1/$B$5)+($B$5-1)/$B$5)+(1-$B$6))</f>
        <v>0.3563961064061632</v>
      </c>
      <c r="F55" s="661">
        <f ca="1">F47*($B$6*((1-$H$34)*(1/$B$5)+($B$5-1)/$B$5)+(1-$B$6))</f>
        <v>0.3563961064061632</v>
      </c>
      <c r="G55" s="135">
        <f t="shared" ca="1" si="3"/>
        <v>1.0324870252857445E-2</v>
      </c>
      <c r="H55" s="135">
        <f t="shared" ca="1" si="3"/>
        <v>5.11158755298848</v>
      </c>
      <c r="I55" s="88">
        <f t="shared" ca="1" si="3"/>
        <v>1327.5086608379775</v>
      </c>
    </row>
    <row r="56" spans="1:14" x14ac:dyDescent="0.25">
      <c r="A56" s="84" t="s">
        <v>249</v>
      </c>
      <c r="B56" s="137">
        <f t="shared" ref="B56:I56" ca="1" si="4">SUM(B54:B55)</f>
        <v>0.65068996175021554</v>
      </c>
      <c r="C56" s="137">
        <f t="shared" ca="1" si="4"/>
        <v>7.058723558674912E-2</v>
      </c>
      <c r="D56" s="137">
        <f t="shared" ca="1" si="4"/>
        <v>1.7351732313339075E-2</v>
      </c>
      <c r="E56" s="137">
        <f t="shared" ca="1" si="4"/>
        <v>0.38235795606492567</v>
      </c>
      <c r="F56" s="137">
        <f t="shared" ca="1" si="4"/>
        <v>0.38235795606492567</v>
      </c>
      <c r="G56" s="137">
        <f t="shared" ca="1" si="4"/>
        <v>1.2158297186091285E-2</v>
      </c>
      <c r="H56" s="137">
        <f t="shared" ca="1" si="4"/>
        <v>5.3295616439396145</v>
      </c>
      <c r="I56" s="87">
        <f t="shared" ca="1" si="4"/>
        <v>1392.9217990015763</v>
      </c>
    </row>
    <row r="58" spans="1:14" x14ac:dyDescent="0.25">
      <c r="B58" s="137">
        <f t="shared" ref="B58:I58" ca="1" si="5">B48-B56</f>
        <v>0</v>
      </c>
      <c r="C58" s="137">
        <f t="shared" ca="1" si="5"/>
        <v>0</v>
      </c>
      <c r="D58" s="137">
        <f t="shared" ca="1" si="5"/>
        <v>0</v>
      </c>
      <c r="E58" s="137">
        <f t="shared" ca="1" si="5"/>
        <v>7.6728858562281621E-3</v>
      </c>
      <c r="F58" s="137">
        <f t="shared" ca="1" si="5"/>
        <v>7.6728858562281621E-3</v>
      </c>
      <c r="G58" s="137">
        <f t="shared" ca="1" si="5"/>
        <v>0</v>
      </c>
      <c r="H58" s="137">
        <f t="shared" ca="1" si="5"/>
        <v>0</v>
      </c>
      <c r="I58" s="87">
        <f t="shared" ca="1" si="5"/>
        <v>0</v>
      </c>
    </row>
    <row r="59" spans="1:14" x14ac:dyDescent="0.25">
      <c r="B59" s="137"/>
      <c r="C59" s="137"/>
      <c r="D59" s="137"/>
      <c r="E59" s="137"/>
      <c r="F59" s="137"/>
      <c r="G59" s="137"/>
      <c r="H59" s="137"/>
      <c r="I59" s="87"/>
      <c r="N59" s="252"/>
    </row>
    <row r="60" spans="1:14" ht="15.75" x14ac:dyDescent="0.25">
      <c r="A60" s="273" t="s">
        <v>354</v>
      </c>
    </row>
    <row r="61" spans="1:14" ht="15.75" x14ac:dyDescent="0.25">
      <c r="A61" s="273"/>
    </row>
    <row r="62" spans="1:14" ht="15.75" x14ac:dyDescent="0.25">
      <c r="A62" s="273"/>
      <c r="B62" s="845" t="s">
        <v>299</v>
      </c>
      <c r="C62" s="845"/>
      <c r="D62" s="845"/>
      <c r="E62" s="845"/>
      <c r="F62" s="845"/>
      <c r="G62" s="845"/>
      <c r="H62" s="845"/>
      <c r="I62" s="812" t="s">
        <v>300</v>
      </c>
    </row>
    <row r="63" spans="1:14" x14ac:dyDescent="0.25">
      <c r="A63" s="813" t="s">
        <v>301</v>
      </c>
      <c r="B63" s="813" t="s">
        <v>201</v>
      </c>
      <c r="C63" s="813" t="s">
        <v>202</v>
      </c>
      <c r="D63" s="813" t="s">
        <v>132</v>
      </c>
      <c r="E63" s="813" t="s">
        <v>203</v>
      </c>
      <c r="F63" s="454" t="s">
        <v>204</v>
      </c>
      <c r="G63" s="813" t="s">
        <v>205</v>
      </c>
      <c r="H63" s="813" t="s">
        <v>206</v>
      </c>
      <c r="I63" s="813" t="s">
        <v>302</v>
      </c>
    </row>
    <row r="64" spans="1:14" x14ac:dyDescent="0.25">
      <c r="A64" s="812">
        <f t="shared" ref="A64:A70" si="6">$B$4+I64-1</f>
        <v>2020</v>
      </c>
      <c r="B64" s="452">
        <f t="shared" ref="B64:H64" ca="1" si="7">(B$48-B$56)*$I64</f>
        <v>0</v>
      </c>
      <c r="C64" s="452">
        <f t="shared" ca="1" si="7"/>
        <v>0</v>
      </c>
      <c r="D64" s="452">
        <f t="shared" ca="1" si="7"/>
        <v>0</v>
      </c>
      <c r="E64" s="452">
        <f t="shared" ca="1" si="7"/>
        <v>7.6728858562281621E-3</v>
      </c>
      <c r="F64" s="455">
        <f t="shared" ca="1" si="7"/>
        <v>7.6728858562281621E-3</v>
      </c>
      <c r="G64" s="452">
        <f t="shared" ca="1" si="7"/>
        <v>0</v>
      </c>
      <c r="H64" s="452">
        <f t="shared" ca="1" si="7"/>
        <v>0</v>
      </c>
      <c r="I64" s="812">
        <v>1</v>
      </c>
      <c r="K64" s="252" t="s">
        <v>303</v>
      </c>
    </row>
    <row r="65" spans="1:14" x14ac:dyDescent="0.25">
      <c r="A65" s="812">
        <f t="shared" si="6"/>
        <v>2021</v>
      </c>
      <c r="B65" s="452">
        <f t="shared" ref="B65:H70" ca="1" si="8">B64</f>
        <v>0</v>
      </c>
      <c r="C65" s="452">
        <f t="shared" ca="1" si="8"/>
        <v>0</v>
      </c>
      <c r="D65" s="452">
        <f t="shared" ca="1" si="8"/>
        <v>0</v>
      </c>
      <c r="E65" s="452">
        <f t="shared" ca="1" si="8"/>
        <v>7.6728858562281621E-3</v>
      </c>
      <c r="F65" s="455">
        <f t="shared" ca="1" si="8"/>
        <v>7.6728858562281621E-3</v>
      </c>
      <c r="G65" s="452">
        <f t="shared" ca="1" si="8"/>
        <v>0</v>
      </c>
      <c r="H65" s="452">
        <f t="shared" ca="1" si="8"/>
        <v>0</v>
      </c>
      <c r="I65" s="812">
        <v>2</v>
      </c>
      <c r="N65" s="252"/>
    </row>
    <row r="66" spans="1:14" x14ac:dyDescent="0.25">
      <c r="A66" s="812">
        <f t="shared" si="6"/>
        <v>2022</v>
      </c>
      <c r="B66" s="452">
        <f t="shared" ca="1" si="8"/>
        <v>0</v>
      </c>
      <c r="C66" s="452">
        <f t="shared" ca="1" si="8"/>
        <v>0</v>
      </c>
      <c r="D66" s="452">
        <f t="shared" ca="1" si="8"/>
        <v>0</v>
      </c>
      <c r="E66" s="452">
        <f t="shared" ca="1" si="8"/>
        <v>7.6728858562281621E-3</v>
      </c>
      <c r="F66" s="455">
        <f t="shared" ca="1" si="8"/>
        <v>7.6728858562281621E-3</v>
      </c>
      <c r="G66" s="452">
        <f t="shared" ca="1" si="8"/>
        <v>0</v>
      </c>
      <c r="H66" s="452">
        <f t="shared" ca="1" si="8"/>
        <v>0</v>
      </c>
      <c r="I66" s="812">
        <v>3</v>
      </c>
      <c r="N66" s="252"/>
    </row>
    <row r="67" spans="1:14" x14ac:dyDescent="0.25">
      <c r="A67" s="812">
        <f t="shared" si="6"/>
        <v>2023</v>
      </c>
      <c r="B67" s="452">
        <f t="shared" ca="1" si="8"/>
        <v>0</v>
      </c>
      <c r="C67" s="452">
        <f t="shared" ca="1" si="8"/>
        <v>0</v>
      </c>
      <c r="D67" s="452">
        <f t="shared" ca="1" si="8"/>
        <v>0</v>
      </c>
      <c r="E67" s="452">
        <f t="shared" ca="1" si="8"/>
        <v>7.6728858562281621E-3</v>
      </c>
      <c r="F67" s="455">
        <f t="shared" ca="1" si="8"/>
        <v>7.6728858562281621E-3</v>
      </c>
      <c r="G67" s="452">
        <f t="shared" ca="1" si="8"/>
        <v>0</v>
      </c>
      <c r="H67" s="452">
        <f t="shared" ca="1" si="8"/>
        <v>0</v>
      </c>
      <c r="I67" s="812">
        <v>4</v>
      </c>
      <c r="N67" s="252"/>
    </row>
    <row r="68" spans="1:14" x14ac:dyDescent="0.25">
      <c r="A68" s="812">
        <f t="shared" si="6"/>
        <v>2024</v>
      </c>
      <c r="B68" s="452">
        <f t="shared" ca="1" si="8"/>
        <v>0</v>
      </c>
      <c r="C68" s="452">
        <f t="shared" ca="1" si="8"/>
        <v>0</v>
      </c>
      <c r="D68" s="452">
        <f t="shared" ca="1" si="8"/>
        <v>0</v>
      </c>
      <c r="E68" s="452">
        <f t="shared" ca="1" si="8"/>
        <v>7.6728858562281621E-3</v>
      </c>
      <c r="F68" s="455">
        <f t="shared" ca="1" si="8"/>
        <v>7.6728858562281621E-3</v>
      </c>
      <c r="G68" s="452">
        <f t="shared" ca="1" si="8"/>
        <v>0</v>
      </c>
      <c r="H68" s="452">
        <f t="shared" ca="1" si="8"/>
        <v>0</v>
      </c>
      <c r="I68" s="812">
        <v>5</v>
      </c>
    </row>
    <row r="69" spans="1:14" x14ac:dyDescent="0.25">
      <c r="A69" s="812">
        <f t="shared" si="6"/>
        <v>2025</v>
      </c>
      <c r="B69" s="452">
        <f t="shared" ca="1" si="8"/>
        <v>0</v>
      </c>
      <c r="C69" s="452">
        <f t="shared" ca="1" si="8"/>
        <v>0</v>
      </c>
      <c r="D69" s="452">
        <f t="shared" ca="1" si="8"/>
        <v>0</v>
      </c>
      <c r="E69" s="452">
        <f t="shared" ca="1" si="8"/>
        <v>7.6728858562281621E-3</v>
      </c>
      <c r="F69" s="455">
        <f t="shared" ca="1" si="8"/>
        <v>7.6728858562281621E-3</v>
      </c>
      <c r="G69" s="452">
        <f t="shared" ca="1" si="8"/>
        <v>0</v>
      </c>
      <c r="H69" s="452">
        <f t="shared" ca="1" si="8"/>
        <v>0</v>
      </c>
      <c r="I69" s="812">
        <v>6</v>
      </c>
    </row>
    <row r="70" spans="1:14" x14ac:dyDescent="0.25">
      <c r="A70" s="812">
        <f t="shared" si="6"/>
        <v>2026</v>
      </c>
      <c r="B70" s="452">
        <f t="shared" ca="1" si="8"/>
        <v>0</v>
      </c>
      <c r="C70" s="452">
        <f t="shared" ca="1" si="8"/>
        <v>0</v>
      </c>
      <c r="D70" s="452">
        <f t="shared" ca="1" si="8"/>
        <v>0</v>
      </c>
      <c r="E70" s="452">
        <f t="shared" ca="1" si="8"/>
        <v>7.6728858562281621E-3</v>
      </c>
      <c r="F70" s="455">
        <f t="shared" ca="1" si="8"/>
        <v>7.6728858562281621E-3</v>
      </c>
      <c r="G70" s="452">
        <f t="shared" ca="1" si="8"/>
        <v>0</v>
      </c>
      <c r="H70" s="452">
        <f t="shared" ca="1" si="8"/>
        <v>0</v>
      </c>
      <c r="I70" s="812">
        <v>7</v>
      </c>
    </row>
    <row r="73" spans="1:14" ht="15.75" x14ac:dyDescent="0.25">
      <c r="A73" s="273" t="s">
        <v>304</v>
      </c>
    </row>
    <row r="75" spans="1:14" x14ac:dyDescent="0.25">
      <c r="A75" s="252"/>
      <c r="B75" s="845" t="s">
        <v>355</v>
      </c>
      <c r="C75" s="845"/>
      <c r="D75" s="845"/>
      <c r="E75" s="845"/>
      <c r="F75" s="845"/>
      <c r="G75" s="845"/>
      <c r="H75" s="845"/>
    </row>
    <row r="76" spans="1:14" x14ac:dyDescent="0.25">
      <c r="A76" s="813" t="s">
        <v>130</v>
      </c>
      <c r="B76" s="813" t="s">
        <v>201</v>
      </c>
      <c r="C76" s="813" t="s">
        <v>202</v>
      </c>
      <c r="D76" s="363" t="s">
        <v>132</v>
      </c>
      <c r="E76" s="813" t="s">
        <v>203</v>
      </c>
      <c r="F76" s="454" t="s">
        <v>204</v>
      </c>
      <c r="G76" s="813" t="s">
        <v>205</v>
      </c>
      <c r="H76" s="813" t="s">
        <v>206</v>
      </c>
      <c r="I76" s="3" t="s">
        <v>596</v>
      </c>
    </row>
    <row r="77" spans="1:14" x14ac:dyDescent="0.25">
      <c r="A77" s="812">
        <v>2104008230</v>
      </c>
      <c r="B77" s="133">
        <f t="shared" ref="B77:H78" ca="1" si="9">B46-B54</f>
        <v>0</v>
      </c>
      <c r="C77" s="133">
        <f t="shared" ca="1" si="9"/>
        <v>0</v>
      </c>
      <c r="D77" s="511">
        <f t="shared" ca="1" si="9"/>
        <v>0</v>
      </c>
      <c r="E77" s="133">
        <f t="shared" ca="1" si="9"/>
        <v>5.209838212818993E-4</v>
      </c>
      <c r="F77" s="525">
        <f t="shared" ca="1" si="9"/>
        <v>5.209838212818993E-4</v>
      </c>
      <c r="G77" s="133">
        <f t="shared" ca="1" si="9"/>
        <v>0</v>
      </c>
      <c r="H77" s="133">
        <f t="shared" ca="1" si="9"/>
        <v>0</v>
      </c>
      <c r="I77" s="812" t="s">
        <v>140</v>
      </c>
    </row>
    <row r="78" spans="1:14" x14ac:dyDescent="0.25">
      <c r="A78" s="813">
        <v>2104008330</v>
      </c>
      <c r="B78" s="135">
        <f t="shared" ca="1" si="9"/>
        <v>0</v>
      </c>
      <c r="C78" s="135">
        <f t="shared" ca="1" si="9"/>
        <v>0</v>
      </c>
      <c r="D78" s="524">
        <f t="shared" ca="1" si="9"/>
        <v>0</v>
      </c>
      <c r="E78" s="135">
        <f t="shared" ca="1" si="9"/>
        <v>7.1519020349462559E-3</v>
      </c>
      <c r="F78" s="526">
        <f t="shared" ca="1" si="9"/>
        <v>7.1519020349462559E-3</v>
      </c>
      <c r="G78" s="135">
        <f t="shared" ca="1" si="9"/>
        <v>0</v>
      </c>
      <c r="H78" s="135">
        <f t="shared" ca="1" si="9"/>
        <v>0</v>
      </c>
      <c r="I78" s="813" t="s">
        <v>143</v>
      </c>
    </row>
    <row r="79" spans="1:14" x14ac:dyDescent="0.25">
      <c r="A79" s="810" t="s">
        <v>249</v>
      </c>
      <c r="B79" s="137">
        <f ca="1">SUM(B77:B78)</f>
        <v>0</v>
      </c>
      <c r="C79" s="137">
        <f t="shared" ref="C79:H79" ca="1" si="10">SUM(C77:C78)</f>
        <v>0</v>
      </c>
      <c r="D79" s="511">
        <f t="shared" ca="1" si="10"/>
        <v>0</v>
      </c>
      <c r="E79" s="137">
        <f t="shared" ca="1" si="10"/>
        <v>7.6728858562281552E-3</v>
      </c>
      <c r="F79" s="525">
        <f t="shared" ca="1" si="10"/>
        <v>7.6728858562281552E-3</v>
      </c>
      <c r="G79" s="137">
        <f t="shared" ca="1" si="10"/>
        <v>0</v>
      </c>
      <c r="H79" s="137">
        <f t="shared" ca="1" si="10"/>
        <v>0</v>
      </c>
    </row>
    <row r="81" spans="1:8" x14ac:dyDescent="0.25">
      <c r="E81" s="840" t="s">
        <v>305</v>
      </c>
      <c r="F81" s="840"/>
      <c r="G81" s="840"/>
      <c r="H81" s="840"/>
    </row>
    <row r="82" spans="1:8" x14ac:dyDescent="0.25">
      <c r="B82" s="845" t="str">
        <f>$B$4&amp;" Base Emissions"</f>
        <v>2020 Base Emissions</v>
      </c>
      <c r="C82" s="845"/>
      <c r="E82" s="244" t="s">
        <v>307</v>
      </c>
      <c r="F82" s="664">
        <f>$B$4</f>
        <v>2020</v>
      </c>
      <c r="G82" s="244" t="s">
        <v>308</v>
      </c>
      <c r="H82" s="664">
        <f>Year</f>
        <v>2029</v>
      </c>
    </row>
    <row r="83" spans="1:8" x14ac:dyDescent="0.25">
      <c r="A83" s="813" t="s">
        <v>130</v>
      </c>
      <c r="B83" s="813" t="s">
        <v>132</v>
      </c>
      <c r="C83" s="813" t="s">
        <v>204</v>
      </c>
      <c r="E83" s="363" t="s">
        <v>132</v>
      </c>
      <c r="F83" s="454" t="s">
        <v>204</v>
      </c>
      <c r="G83" s="363" t="s">
        <v>132</v>
      </c>
      <c r="H83" s="454" t="s">
        <v>204</v>
      </c>
    </row>
    <row r="84" spans="1:8" x14ac:dyDescent="0.25">
      <c r="A84" s="812">
        <v>2104008100</v>
      </c>
      <c r="B84" s="133">
        <f t="shared" ref="B84:B102" ca="1" si="11">OFFSET(INDIRECT("'DevSumOut-"&amp;$B$4&amp;"BSR'!P49"),MATCH($A84,INDIRECT("'DevSumOut-"&amp;$B$4&amp;"BSR'!B50:B70"),0),0)</f>
        <v>7.2842259586564711E-3</v>
      </c>
      <c r="C84" s="133">
        <f t="shared" ref="C84:C102" ca="1" si="12">OFFSET(INDIRECT("'DevSumOut-"&amp;$B$4&amp;"BSR'!R49"),MATCH($A84,INDIRECT("'DevSumOut-"&amp;$B$4&amp;"BSR'!B50:B70"),0),0)</f>
        <v>0.63008554542378492</v>
      </c>
      <c r="E84" s="357"/>
      <c r="F84" s="463"/>
      <c r="G84" s="357"/>
      <c r="H84" s="463"/>
    </row>
    <row r="85" spans="1:8" x14ac:dyDescent="0.25">
      <c r="A85" s="812">
        <v>2104008210</v>
      </c>
      <c r="B85" s="133">
        <f t="shared" ca="1" si="11"/>
        <v>6.4282653783230776E-4</v>
      </c>
      <c r="C85" s="133">
        <f t="shared" ca="1" si="12"/>
        <v>4.9176230144171558E-2</v>
      </c>
      <c r="E85" s="357"/>
      <c r="F85" s="463"/>
      <c r="G85" s="357"/>
      <c r="H85" s="463"/>
    </row>
    <row r="86" spans="1:8" x14ac:dyDescent="0.25">
      <c r="A86" s="812">
        <v>2104008220</v>
      </c>
      <c r="B86" s="133">
        <f t="shared" ca="1" si="11"/>
        <v>1.3534174754843934E-3</v>
      </c>
      <c r="C86" s="133">
        <f t="shared" ca="1" si="12"/>
        <v>4.06025242645318E-2</v>
      </c>
      <c r="E86" s="357"/>
      <c r="F86" s="463"/>
      <c r="G86" s="357"/>
      <c r="H86" s="463"/>
    </row>
    <row r="87" spans="1:8" x14ac:dyDescent="0.25">
      <c r="A87" s="812">
        <v>2104008230</v>
      </c>
      <c r="B87" s="133">
        <f t="shared" ca="1" si="11"/>
        <v>8.1485641477059556E-4</v>
      </c>
      <c r="C87" s="133">
        <f t="shared" ca="1" si="12"/>
        <v>2.6482833480044356E-2</v>
      </c>
      <c r="E87" s="357">
        <f ca="1">D77/B87</f>
        <v>0</v>
      </c>
      <c r="F87" s="463">
        <f ca="1">E77/C87</f>
        <v>1.9672510559509311E-2</v>
      </c>
      <c r="G87" s="357">
        <f ca="1">E87</f>
        <v>0</v>
      </c>
      <c r="H87" s="463">
        <f ca="1">F87</f>
        <v>1.9672510559509311E-2</v>
      </c>
    </row>
    <row r="88" spans="1:8" x14ac:dyDescent="0.25">
      <c r="A88" s="812">
        <v>2104008310</v>
      </c>
      <c r="B88" s="133">
        <f t="shared" ca="1" si="11"/>
        <v>1.3045663613548463E-2</v>
      </c>
      <c r="C88" s="133">
        <f t="shared" ca="1" si="12"/>
        <v>0.39600207736849047</v>
      </c>
      <c r="E88" s="357"/>
      <c r="F88" s="463"/>
      <c r="G88" s="357"/>
      <c r="H88" s="463"/>
    </row>
    <row r="89" spans="1:8" x14ac:dyDescent="0.25">
      <c r="A89" s="812">
        <v>2104008320</v>
      </c>
      <c r="B89" s="133">
        <f t="shared" ca="1" si="11"/>
        <v>2.7466552910846539E-2</v>
      </c>
      <c r="C89" s="133">
        <f t="shared" ca="1" si="12"/>
        <v>0.54418968075648921</v>
      </c>
      <c r="E89" s="357"/>
      <c r="F89" s="463"/>
      <c r="G89" s="357"/>
      <c r="H89" s="463"/>
    </row>
    <row r="90" spans="1:8" x14ac:dyDescent="0.25">
      <c r="A90" s="812">
        <v>2104008330</v>
      </c>
      <c r="B90" s="133">
        <f t="shared" ca="1" si="11"/>
        <v>1.653687589856848E-2</v>
      </c>
      <c r="C90" s="133">
        <f t="shared" ca="1" si="12"/>
        <v>0.36354800844110946</v>
      </c>
      <c r="E90" s="357">
        <f ca="1">D80/B90</f>
        <v>0</v>
      </c>
      <c r="F90" s="463">
        <f ca="1">E80/C90</f>
        <v>0</v>
      </c>
      <c r="G90" s="357">
        <f ca="1">E90</f>
        <v>0</v>
      </c>
      <c r="H90" s="463">
        <f ca="1">F90</f>
        <v>0</v>
      </c>
    </row>
    <row r="91" spans="1:8" x14ac:dyDescent="0.25">
      <c r="A91" s="812">
        <v>2104008410</v>
      </c>
      <c r="B91" s="133">
        <f t="shared" ca="1" si="11"/>
        <v>1.4502104429608754E-3</v>
      </c>
      <c r="C91" s="133">
        <f t="shared" ca="1" si="12"/>
        <v>1.3414446597388096E-2</v>
      </c>
      <c r="E91" s="357"/>
      <c r="F91" s="463"/>
      <c r="G91" s="357"/>
      <c r="H91" s="463"/>
    </row>
    <row r="92" spans="1:8" x14ac:dyDescent="0.25">
      <c r="A92" s="812">
        <v>2104008420</v>
      </c>
      <c r="B92" s="133">
        <f t="shared" ca="1" si="11"/>
        <v>4.8916048946122887E-3</v>
      </c>
      <c r="C92" s="133">
        <f t="shared" ca="1" si="12"/>
        <v>4.5247345275163664E-2</v>
      </c>
      <c r="E92" s="357"/>
      <c r="F92" s="463"/>
      <c r="G92" s="357"/>
      <c r="H92" s="463"/>
    </row>
    <row r="93" spans="1:8" x14ac:dyDescent="0.25">
      <c r="A93" s="812">
        <v>2104008610</v>
      </c>
      <c r="B93" s="133">
        <f t="shared" ca="1" si="11"/>
        <v>9.1104628402659382E-3</v>
      </c>
      <c r="C93" s="133">
        <f t="shared" ca="1" si="12"/>
        <v>0.22480413436572588</v>
      </c>
      <c r="E93" s="357"/>
      <c r="F93" s="463"/>
      <c r="G93" s="357"/>
      <c r="H93" s="463"/>
    </row>
    <row r="94" spans="1:8" x14ac:dyDescent="0.25">
      <c r="A94" s="812">
        <v>2104004000</v>
      </c>
      <c r="B94" s="133">
        <f t="shared" ca="1" si="11"/>
        <v>3.1872438750235581</v>
      </c>
      <c r="C94" s="133">
        <f t="shared" ca="1" si="12"/>
        <v>5.0351434645143987E-2</v>
      </c>
      <c r="E94" s="357"/>
      <c r="F94" s="463"/>
      <c r="G94" s="357"/>
      <c r="H94" s="463"/>
    </row>
    <row r="95" spans="1:8" x14ac:dyDescent="0.25">
      <c r="A95" s="812">
        <v>2103004001</v>
      </c>
      <c r="B95" s="133">
        <f t="shared" ca="1" si="11"/>
        <v>0.43793740989064345</v>
      </c>
      <c r="C95" s="133">
        <f t="shared" ca="1" si="12"/>
        <v>1.5716246790971777E-2</v>
      </c>
      <c r="E95" s="357"/>
      <c r="F95" s="463"/>
      <c r="G95" s="357"/>
      <c r="H95" s="463"/>
    </row>
    <row r="96" spans="1:8" x14ac:dyDescent="0.25">
      <c r="A96" s="812">
        <v>2104006010</v>
      </c>
      <c r="B96" s="133">
        <f t="shared" ca="1" si="11"/>
        <v>7.089878477573757E-5</v>
      </c>
      <c r="C96" s="133">
        <f t="shared" ca="1" si="12"/>
        <v>5.8529310125197154E-6</v>
      </c>
      <c r="E96" s="357"/>
      <c r="F96" s="463"/>
      <c r="G96" s="357"/>
      <c r="H96" s="463"/>
    </row>
    <row r="97" spans="1:8" x14ac:dyDescent="0.25">
      <c r="A97" s="812">
        <v>2103006000</v>
      </c>
      <c r="B97" s="133">
        <f t="shared" ca="1" si="11"/>
        <v>7.9575146604215531E-4</v>
      </c>
      <c r="C97" s="133">
        <f t="shared" ca="1" si="12"/>
        <v>1.0079518569867291E-2</v>
      </c>
      <c r="E97" s="357"/>
      <c r="F97" s="463"/>
      <c r="G97" s="357"/>
      <c r="H97" s="463"/>
    </row>
    <row r="98" spans="1:8" x14ac:dyDescent="0.25">
      <c r="A98" s="812">
        <v>2104002000</v>
      </c>
      <c r="B98" s="133">
        <f t="shared" ca="1" si="11"/>
        <v>0.10403470883978358</v>
      </c>
      <c r="C98" s="133">
        <f t="shared" ca="1" si="12"/>
        <v>8.9380357379555991E-2</v>
      </c>
      <c r="E98" s="357"/>
      <c r="F98" s="463"/>
      <c r="G98" s="357"/>
      <c r="H98" s="463"/>
    </row>
    <row r="99" spans="1:8" x14ac:dyDescent="0.25">
      <c r="A99" s="812">
        <v>2103002000</v>
      </c>
      <c r="B99" s="133">
        <f t="shared" ca="1" si="11"/>
        <v>3.0617780757568117E-4</v>
      </c>
      <c r="C99" s="133">
        <f t="shared" ca="1" si="12"/>
        <v>2.6304953575588091E-4</v>
      </c>
      <c r="E99" s="357"/>
      <c r="F99" s="463"/>
      <c r="G99" s="357"/>
      <c r="H99" s="463"/>
    </row>
    <row r="100" spans="1:8" x14ac:dyDescent="0.25">
      <c r="A100" s="812">
        <v>2103008000</v>
      </c>
      <c r="B100" s="133">
        <f t="shared" ca="1" si="11"/>
        <v>7.5369704121824456E-6</v>
      </c>
      <c r="C100" s="133">
        <f t="shared" ca="1" si="12"/>
        <v>2.5766689106639578E-4</v>
      </c>
      <c r="E100" s="357"/>
      <c r="F100" s="463"/>
      <c r="G100" s="357"/>
      <c r="H100" s="463"/>
    </row>
    <row r="101" spans="1:8" x14ac:dyDescent="0.25">
      <c r="A101" s="813">
        <v>2102012000</v>
      </c>
      <c r="B101" s="135">
        <f t="shared" ca="1" si="11"/>
        <v>1.6802202817214628E-2</v>
      </c>
      <c r="C101" s="135">
        <f t="shared" ca="1" si="12"/>
        <v>2.3655128992506407E-3</v>
      </c>
      <c r="E101" s="361"/>
      <c r="F101" s="519"/>
      <c r="G101" s="361"/>
      <c r="H101" s="519"/>
    </row>
    <row r="102" spans="1:8" x14ac:dyDescent="0.25">
      <c r="A102" s="810" t="s">
        <v>249</v>
      </c>
      <c r="B102" s="137" t="e">
        <f t="shared" ca="1" si="11"/>
        <v>#N/A</v>
      </c>
      <c r="C102" s="137" t="e">
        <f t="shared" ca="1" si="12"/>
        <v>#N/A</v>
      </c>
      <c r="E102" s="357" t="e">
        <f ca="1">D79/B102</f>
        <v>#N/A</v>
      </c>
      <c r="F102" s="463" t="e">
        <f ca="1">F79/C102</f>
        <v>#N/A</v>
      </c>
      <c r="G102" s="357" t="e">
        <f ca="1">E102</f>
        <v>#N/A</v>
      </c>
      <c r="H102" s="463" t="e">
        <f ca="1">F102</f>
        <v>#N/A</v>
      </c>
    </row>
  </sheetData>
  <mergeCells count="14">
    <mergeCell ref="A1:K1"/>
    <mergeCell ref="A37:C37"/>
    <mergeCell ref="B39:H39"/>
    <mergeCell ref="B44:H44"/>
    <mergeCell ref="A50:C50"/>
    <mergeCell ref="B23:I23"/>
    <mergeCell ref="G24:I24"/>
    <mergeCell ref="D24:F24"/>
    <mergeCell ref="B82:C82"/>
    <mergeCell ref="B3:K3"/>
    <mergeCell ref="E81:H81"/>
    <mergeCell ref="B52:H52"/>
    <mergeCell ref="B75:H75"/>
    <mergeCell ref="B62:H6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A1:R108"/>
  <sheetViews>
    <sheetView topLeftCell="A16" zoomScaleNormal="100" workbookViewId="0">
      <selection activeCell="F72" sqref="F72"/>
    </sheetView>
  </sheetViews>
  <sheetFormatPr defaultRowHeight="15" x14ac:dyDescent="0.25"/>
  <cols>
    <col min="1" max="1" width="60.140625" customWidth="1"/>
    <col min="6" max="6" width="8.85546875" customWidth="1"/>
    <col min="9" max="9" width="14.7109375" customWidth="1"/>
    <col min="10" max="11" width="10.7109375" customWidth="1"/>
    <col min="12" max="12" width="11.5703125" customWidth="1"/>
    <col min="14" max="14" width="12.42578125" customWidth="1"/>
    <col min="24" max="24" width="11.5703125" customWidth="1"/>
  </cols>
  <sheetData>
    <row r="1" spans="1:11" ht="18.75" x14ac:dyDescent="0.3">
      <c r="A1" s="828" t="s">
        <v>597</v>
      </c>
      <c r="B1" s="828"/>
      <c r="C1" s="828"/>
      <c r="D1" s="828"/>
      <c r="E1" s="828"/>
      <c r="F1" s="828"/>
      <c r="G1" s="828"/>
      <c r="H1" s="828"/>
      <c r="I1" s="828"/>
      <c r="J1" s="828"/>
      <c r="K1" s="828"/>
    </row>
    <row r="3" spans="1:11" x14ac:dyDescent="0.25">
      <c r="A3" s="244" t="s">
        <v>314</v>
      </c>
      <c r="B3" s="84" t="s">
        <v>598</v>
      </c>
    </row>
    <row r="4" spans="1:11" x14ac:dyDescent="0.25">
      <c r="A4" s="244" t="s">
        <v>316</v>
      </c>
      <c r="B4" s="703">
        <v>2024</v>
      </c>
      <c r="D4" s="244" t="s">
        <v>105</v>
      </c>
      <c r="E4" s="520">
        <f>Year</f>
        <v>2029</v>
      </c>
    </row>
    <row r="5" spans="1:11" x14ac:dyDescent="0.25">
      <c r="A5" s="244" t="s">
        <v>573</v>
      </c>
      <c r="B5" s="4">
        <v>0.7</v>
      </c>
    </row>
    <row r="6" spans="1:11" x14ac:dyDescent="0.25">
      <c r="A6" s="244" t="s">
        <v>599</v>
      </c>
      <c r="B6" s="4">
        <v>0.1</v>
      </c>
      <c r="C6" t="s">
        <v>600</v>
      </c>
    </row>
    <row r="8" spans="1:11" x14ac:dyDescent="0.25">
      <c r="A8" s="354" t="s">
        <v>322</v>
      </c>
    </row>
    <row r="9" spans="1:11" x14ac:dyDescent="0.25">
      <c r="A9" s="246" t="s">
        <v>601</v>
      </c>
    </row>
    <row r="10" spans="1:11" x14ac:dyDescent="0.25">
      <c r="A10" s="246" t="s">
        <v>602</v>
      </c>
    </row>
    <row r="11" spans="1:11" x14ac:dyDescent="0.25">
      <c r="A11" s="246" t="s">
        <v>360</v>
      </c>
    </row>
    <row r="12" spans="1:11" x14ac:dyDescent="0.25">
      <c r="A12" s="246" t="s">
        <v>603</v>
      </c>
    </row>
    <row r="13" spans="1:11" x14ac:dyDescent="0.25">
      <c r="A13" s="246" t="s">
        <v>604</v>
      </c>
    </row>
    <row r="14" spans="1:11" x14ac:dyDescent="0.25">
      <c r="A14" s="246" t="s">
        <v>605</v>
      </c>
    </row>
    <row r="15" spans="1:11" x14ac:dyDescent="0.25">
      <c r="A15" s="246" t="s">
        <v>606</v>
      </c>
    </row>
    <row r="18" spans="1:14" x14ac:dyDescent="0.25">
      <c r="A18" s="850" t="s">
        <v>443</v>
      </c>
      <c r="B18" s="850"/>
    </row>
    <row r="19" spans="1:14" x14ac:dyDescent="0.25">
      <c r="A19" s="1" t="s">
        <v>444</v>
      </c>
      <c r="B19" s="264">
        <f>Lookup!D49</f>
        <v>0.64615384615384608</v>
      </c>
    </row>
    <row r="20" spans="1:14" x14ac:dyDescent="0.25">
      <c r="A20" s="1" t="s">
        <v>446</v>
      </c>
      <c r="B20" s="264">
        <f>1-B19</f>
        <v>0.35384615384615392</v>
      </c>
    </row>
    <row r="21" spans="1:14" x14ac:dyDescent="0.25">
      <c r="A21" s="1" t="s">
        <v>607</v>
      </c>
      <c r="B21" s="459">
        <f>Lookup!H49</f>
        <v>0.47515527950310549</v>
      </c>
    </row>
    <row r="23" spans="1:14" x14ac:dyDescent="0.25">
      <c r="A23" s="1" t="s">
        <v>608</v>
      </c>
      <c r="B23" s="682">
        <v>0.191</v>
      </c>
      <c r="C23" t="s">
        <v>609</v>
      </c>
    </row>
    <row r="25" spans="1:14" x14ac:dyDescent="0.25">
      <c r="A25" t="str">
        <f>$B$4&amp;" Projected Device Counts in Fairbanks Nonattainment Area:"</f>
        <v>2024 Projected Device Counts in Fairbanks Nonattainment Area:</v>
      </c>
      <c r="I25" s="845" t="s">
        <v>610</v>
      </c>
      <c r="J25" s="845"/>
      <c r="K25" s="845"/>
      <c r="L25" s="845"/>
      <c r="M25" s="845"/>
      <c r="N25" s="736"/>
    </row>
    <row r="26" spans="1:14" x14ac:dyDescent="0.25">
      <c r="J26" s="813" t="s">
        <v>611</v>
      </c>
      <c r="K26" s="813" t="s">
        <v>612</v>
      </c>
      <c r="L26" s="813" t="s">
        <v>613</v>
      </c>
    </row>
    <row r="27" spans="1:14" x14ac:dyDescent="0.25">
      <c r="C27" s="845" t="s">
        <v>614</v>
      </c>
      <c r="D27" s="845"/>
      <c r="F27" s="845" t="s">
        <v>615</v>
      </c>
      <c r="G27" s="845"/>
      <c r="J27" s="812">
        <v>2011</v>
      </c>
      <c r="K27" s="801">
        <v>0.30199999999999999</v>
      </c>
      <c r="L27" s="801">
        <v>0.25700000000000001</v>
      </c>
    </row>
    <row r="28" spans="1:14" x14ac:dyDescent="0.25">
      <c r="B28" s="812" t="s">
        <v>101</v>
      </c>
      <c r="C28" s="845" t="s">
        <v>452</v>
      </c>
      <c r="D28" s="845"/>
      <c r="E28" s="812" t="s">
        <v>455</v>
      </c>
      <c r="F28" s="845" t="s">
        <v>452</v>
      </c>
      <c r="G28" s="845"/>
      <c r="J28" s="812">
        <v>2012</v>
      </c>
      <c r="K28" s="801">
        <v>0.31</v>
      </c>
      <c r="L28" s="801">
        <v>0.22700000000000001</v>
      </c>
    </row>
    <row r="29" spans="1:14" x14ac:dyDescent="0.25">
      <c r="A29" s="3" t="s">
        <v>356</v>
      </c>
      <c r="B29" s="813" t="s">
        <v>36</v>
      </c>
      <c r="C29" s="813" t="s">
        <v>456</v>
      </c>
      <c r="D29" s="813" t="s">
        <v>457</v>
      </c>
      <c r="E29" s="813" t="s">
        <v>36</v>
      </c>
      <c r="F29" s="813" t="s">
        <v>36</v>
      </c>
      <c r="G29" s="813" t="s">
        <v>457</v>
      </c>
      <c r="J29" s="812">
        <v>2013</v>
      </c>
      <c r="K29" s="801">
        <v>0.20699999999999999</v>
      </c>
      <c r="L29" s="801">
        <v>0.20100000000000001</v>
      </c>
    </row>
    <row r="30" spans="1:14" x14ac:dyDescent="0.25">
      <c r="A30" t="s">
        <v>459</v>
      </c>
      <c r="B30" s="45">
        <f ca="1">ROUND(OFFSET(Devices!$B$54,0,MATCH($E$4,Devices!$C$49:$AA$49,0))+OFFSET(Devices!$B$55,0,MATCH($E$4,Devices!$C$49:$AA$49,0)),0)*$B19</f>
        <v>431.6307692307692</v>
      </c>
      <c r="C30" s="134">
        <f ca="1">INDIRECT("'DevSumOut-"&amp;$E$4&amp;"BSR'!U52")+INDIRECT("'DevSumOut-"&amp;E$4&amp;"BSR'!U53")*$B19</f>
        <v>169.47503890291344</v>
      </c>
      <c r="D30" s="5">
        <f ca="1">C30/B30</f>
        <v>0.39263891961396402</v>
      </c>
      <c r="E30">
        <f ca="1">ROUND(B30*$B$23,0)</f>
        <v>82</v>
      </c>
      <c r="F30" s="38">
        <f ca="1">E30*G30</f>
        <v>32.19639140834505</v>
      </c>
      <c r="G30" s="5">
        <f ca="1">D30</f>
        <v>0.39263891961396402</v>
      </c>
      <c r="J30" s="812">
        <v>2014</v>
      </c>
      <c r="K30" s="801">
        <v>0.20599999999999999</v>
      </c>
      <c r="L30" s="801">
        <v>0.14399999999999999</v>
      </c>
    </row>
    <row r="31" spans="1:14" x14ac:dyDescent="0.25">
      <c r="A31" t="s">
        <v>461</v>
      </c>
      <c r="B31" s="45">
        <f ca="1">ROUND(OFFSET(Devices!$B$60,0,MATCH($E$4,Devices!$C$49:$AA$49,0))+OFFSET(Devices!$B$61,0,MATCH($E$4,Devices!$C$49:$AA$49,0)),0)*$B19</f>
        <v>6350.4</v>
      </c>
      <c r="C31" s="134">
        <f ca="1">(INDIRECT("'DevSumOut-"&amp;$E$4&amp;"BSR'!U55")+INDIRECT("'DevSumOut-"&amp;$E$4&amp;"BSR'!U56"))*$B19</f>
        <v>2563.2099906488461</v>
      </c>
      <c r="D31" s="5">
        <f ca="1">C31/B31</f>
        <v>0.40362969114525798</v>
      </c>
      <c r="E31">
        <f ca="1">ROUND(B31*$B$23,0)</f>
        <v>1213</v>
      </c>
      <c r="F31" s="38">
        <f ca="1">E31*G31</f>
        <v>489.60281535919796</v>
      </c>
      <c r="G31" s="5">
        <f ca="1">D31</f>
        <v>0.40362969114525798</v>
      </c>
      <c r="J31" s="813">
        <v>2015</v>
      </c>
      <c r="K31" s="802">
        <v>0.23899999999999999</v>
      </c>
      <c r="L31" s="802">
        <v>0.13900000000000001</v>
      </c>
    </row>
    <row r="32" spans="1:14" x14ac:dyDescent="0.25">
      <c r="A32" t="s">
        <v>460</v>
      </c>
      <c r="B32" s="45">
        <f ca="1">ROUND(OFFSET(Devices!$B$54,0,MATCH($E$4,Devices!$C$49:$AA$49,0))+OFFSET(Devices!$B$55,0,MATCH($E$4,Devices!$C$49:$AA$49,0)),0)*$B20</f>
        <v>236.36923076923082</v>
      </c>
      <c r="C32" s="134">
        <f ca="1">INDIRECT("'DevSumOut-"&amp;$E$4&amp;"BSR'!U52")+INDIRECT("'DevSumOut-"&amp;$E$4&amp;"BSR'!U53")*$B20</f>
        <v>148.00251633552995</v>
      </c>
      <c r="D32" s="5">
        <f ca="1">C32/B32</f>
        <v>0.62614967207819872</v>
      </c>
      <c r="J32" s="812" t="s">
        <v>616</v>
      </c>
      <c r="K32" s="801">
        <v>0.25</v>
      </c>
      <c r="L32" s="801">
        <v>0.191</v>
      </c>
      <c r="M32" t="s">
        <v>617</v>
      </c>
    </row>
    <row r="33" spans="1:14" x14ac:dyDescent="0.25">
      <c r="A33" s="3" t="s">
        <v>462</v>
      </c>
      <c r="B33" s="88">
        <f ca="1">ROUND(OFFSET(Devices!$B$60,0,MATCH($E$4,Devices!$C$49:$AA$49,0))+OFFSET(Devices!$B$61,0,MATCH($E$4,Devices!$C$49:$AA$49,0)),0)*$B20</f>
        <v>3477.6000000000008</v>
      </c>
      <c r="C33" s="136">
        <f ca="1">(INDIRECT("'DevSumOut-"&amp;$E$4&amp;"BSR'!U55")+INDIRECT("'DevSumOut-"&amp;$E$4&amp;"BSR'!U56"))*$B20</f>
        <v>1403.6626139267496</v>
      </c>
      <c r="D33" s="360">
        <f ca="1">C33/B33</f>
        <v>0.40362969114525804</v>
      </c>
      <c r="E33" s="3"/>
      <c r="F33" s="3"/>
      <c r="G33" s="3"/>
    </row>
    <row r="34" spans="1:14" x14ac:dyDescent="0.25">
      <c r="A34" t="s">
        <v>618</v>
      </c>
      <c r="B34" s="45">
        <f ca="1">SUM(B30:B33)</f>
        <v>10496</v>
      </c>
      <c r="C34" s="134">
        <f ca="1">SUM(C30:C33)</f>
        <v>4284.3501598140392</v>
      </c>
      <c r="D34" s="5">
        <f ca="1">C34/B34</f>
        <v>0.40818884906764857</v>
      </c>
      <c r="E34" s="45">
        <f ca="1">SUM(E30:E33)</f>
        <v>1295</v>
      </c>
      <c r="F34" s="134">
        <f ca="1">SUM(F30:F33)</f>
        <v>521.79920676754296</v>
      </c>
      <c r="G34" s="5">
        <f ca="1">F34/E34</f>
        <v>0.40293375039964707</v>
      </c>
      <c r="K34" s="45">
        <v>1215</v>
      </c>
      <c r="L34" t="s">
        <v>619</v>
      </c>
    </row>
    <row r="35" spans="1:14" x14ac:dyDescent="0.25">
      <c r="A35" t="s">
        <v>620</v>
      </c>
      <c r="B35" s="45">
        <f ca="1">SUM(B30:B31)</f>
        <v>6782.0307692307688</v>
      </c>
      <c r="C35" s="1"/>
      <c r="E35" s="45">
        <f ca="1">SUM(E30:E31)</f>
        <v>1295</v>
      </c>
      <c r="K35" s="45">
        <v>274</v>
      </c>
      <c r="L35" t="s">
        <v>621</v>
      </c>
    </row>
    <row r="36" spans="1:14" ht="15.75" thickBot="1" x14ac:dyDescent="0.3">
      <c r="K36" s="45">
        <f>K34-K35</f>
        <v>941</v>
      </c>
      <c r="L36" t="s">
        <v>622</v>
      </c>
    </row>
    <row r="37" spans="1:14" ht="16.5" thickBot="1" x14ac:dyDescent="0.3">
      <c r="A37" s="270" t="s">
        <v>235</v>
      </c>
      <c r="B37" s="667"/>
      <c r="C37" s="668"/>
      <c r="J37" s="264">
        <v>0.9</v>
      </c>
      <c r="K37" s="12">
        <f>K36*J37</f>
        <v>846.9</v>
      </c>
      <c r="L37" t="s">
        <v>623</v>
      </c>
    </row>
    <row r="38" spans="1:14" ht="15.75" x14ac:dyDescent="0.25">
      <c r="A38" s="807"/>
      <c r="B38" s="807"/>
      <c r="C38" s="807"/>
      <c r="I38" t="s">
        <v>624</v>
      </c>
      <c r="J38" t="s">
        <v>625</v>
      </c>
      <c r="K38" s="45"/>
    </row>
    <row r="39" spans="1:14" x14ac:dyDescent="0.25">
      <c r="B39" s="841" t="str">
        <f>$E$4&amp;" Space Heating Emission Factors (lb/mmBTU)"</f>
        <v>2029 Space Heating Emission Factors (lb/mmBTU)</v>
      </c>
      <c r="C39" s="841"/>
      <c r="D39" s="841"/>
      <c r="E39" s="841"/>
      <c r="F39" s="841"/>
      <c r="G39" s="841"/>
      <c r="H39" s="841"/>
      <c r="I39" s="264">
        <v>0.33</v>
      </c>
      <c r="J39" s="97">
        <f>B23</f>
        <v>0.191</v>
      </c>
      <c r="K39" s="658">
        <f>I39*J39</f>
        <v>6.3030000000000003E-2</v>
      </c>
      <c r="L39" s="12">
        <f ca="1">E35*K39</f>
        <v>81.623850000000004</v>
      </c>
      <c r="M39" s="659">
        <f ca="1">L39/K37</f>
        <v>9.6379560750974147E-2</v>
      </c>
      <c r="N39" t="s">
        <v>626</v>
      </c>
    </row>
    <row r="40" spans="1:14" x14ac:dyDescent="0.25">
      <c r="A40" s="3" t="s">
        <v>372</v>
      </c>
      <c r="B40" s="813" t="s">
        <v>201</v>
      </c>
      <c r="C40" s="813" t="s">
        <v>202</v>
      </c>
      <c r="D40" s="813" t="s">
        <v>132</v>
      </c>
      <c r="E40" s="813" t="s">
        <v>203</v>
      </c>
      <c r="F40" s="813" t="s">
        <v>204</v>
      </c>
      <c r="G40" s="813" t="s">
        <v>205</v>
      </c>
      <c r="H40" s="813" t="s">
        <v>206</v>
      </c>
    </row>
    <row r="41" spans="1:14" x14ac:dyDescent="0.25">
      <c r="A41" t="s">
        <v>366</v>
      </c>
      <c r="B41" s="5">
        <f ca="1">SUMPRODUCT(INDIRECT("'DevSumOut-"&amp;$B$4&amp;"BSR'!Y52:Y53"),INDIRECT("'DevSumOut-"&amp;$B$4&amp;"BSR'!U52:U53"))/SUM(INDIRECT("'DevSumOut-"&amp;$B$4&amp;"BSR'!U52:U53"))</f>
        <v>0.81764672331517807</v>
      </c>
      <c r="C41" s="5">
        <f ca="1">SUMPRODUCT(INDIRECT("'DevSumOut-"&amp;$B$4&amp;"BSR'!Z52:Z53"),INDIRECT("'DevSumOut-"&amp;$B$4&amp;"BSR'!U52:U53"))/SUM(INDIRECT("'DevSumOut-"&amp;$B$4&amp;"BSR'!U52:U53"))</f>
        <v>0.12457075711319854</v>
      </c>
      <c r="D41" s="5">
        <f ca="1">SUMPRODUCT(INDIRECT("'DevSumOut-"&amp;$B$4&amp;"BSR'!AA52:AA53"),INDIRECT("'DevSumOut-"&amp;$B$4&amp;"BSR'!U52:U53"))/SUM(INDIRECT("'DevSumOut-"&amp;$B$4&amp;"BSR'!U52:U53"))</f>
        <v>2.49141514226397E-2</v>
      </c>
      <c r="E41" s="5">
        <f ca="1">SUMPRODUCT(INDIRECT("'DevSumOut-"&amp;$B$4&amp;"BSR'!AB52:AB53"),INDIRECT("'DevSumOut-"&amp;$B$4&amp;"BSR'!U52:U53"))/SUM(INDIRECT("'DevSumOut-"&amp;$B$4&amp;"BSR'!U52:U53"))</f>
        <v>0.77083193622451984</v>
      </c>
      <c r="F41" s="5">
        <f ca="1">SUMPRODUCT(INDIRECT("'DevSumOut-"&amp;$B$4&amp;"BSR'!AC52:AC53"),INDIRECT("'DevSumOut-"&amp;$B$4&amp;"BSR'!U52:U53"))/SUM(INDIRECT("'DevSumOut-"&amp;$B$4&amp;"BSR'!U52:U53"))</f>
        <v>0.77083193622451984</v>
      </c>
      <c r="G41" s="5">
        <f ca="1">SUMPRODUCT(INDIRECT("'DevSumOut-"&amp;$B$4&amp;"BSR'!AD52:AD53"),INDIRECT("'DevSumOut-"&amp;$B$4&amp;"BSR'!U52:U53"))/SUM(INDIRECT("'DevSumOut-"&amp;$B$4&amp;"BSR'!U52:U53"))</f>
        <v>5.6056840700939338E-2</v>
      </c>
      <c r="H41" s="5">
        <f ca="1">SUMPRODUCT(INDIRECT("'DevSumOut-"&amp;$B$4&amp;"BSR'!AE52:AE53"),INDIRECT("'DevSumOut-"&amp;$B$4&amp;"BSR'!U52:U53"))/SUM(INDIRECT("'DevSumOut-"&amp;$B$4&amp;"BSR'!U52:U53"))</f>
        <v>7.9786113989370584</v>
      </c>
    </row>
    <row r="42" spans="1:14" x14ac:dyDescent="0.25">
      <c r="A42" t="s">
        <v>367</v>
      </c>
      <c r="B42" s="5">
        <f ca="1">SUMPRODUCT(INDIRECT("'DevSumOut-"&amp;$B$4&amp;"BSR'!Y55:Y56"),INDIRECT("'DevSumOut-"&amp;$B$4&amp;"BSR'!U55:U56"))/SUM(INDIRECT("'DevSumOut-"&amp;$B$4&amp;"BSR'!U55:U56"))</f>
        <v>0.81764672331517785</v>
      </c>
      <c r="C42" s="5">
        <f ca="1">SUMPRODUCT(INDIRECT("'DevSumOut-"&amp;$B$4&amp;"BSR'!Z55:Z56"),INDIRECT("'DevSumOut-"&amp;$B$4&amp;"BSR'!U55:U56"))/SUM(INDIRECT("'DevSumOut-"&amp;$B$4&amp;"BSR'!U55:U56"))</f>
        <v>0.1002071857799174</v>
      </c>
      <c r="D42" s="5">
        <f ca="1">SUMPRODUCT(INDIRECT("'DevSumOut-"&amp;$B$4&amp;"BSR'!AA55:AA56"),INDIRECT("'DevSumOut-"&amp;$B$4&amp;"BSR'!U55:U56"))/SUM(INDIRECT("'DevSumOut-"&amp;$B$4&amp;"BSR'!U55:U56"))</f>
        <v>2.4914151422639714E-2</v>
      </c>
      <c r="E42" s="5">
        <f ca="1">SUMPRODUCT(INDIRECT("'DevSumOut-"&amp;$B$4&amp;"BSR'!AB55:AB56"),INDIRECT("'DevSumOut-"&amp;$B$4&amp;"BSR'!U55:U56"))/SUM(INDIRECT("'DevSumOut-"&amp;$B$4&amp;"BSR'!U55:U56"))</f>
        <v>0.51394890926925219</v>
      </c>
      <c r="F42" s="5">
        <f ca="1">SUMPRODUCT(INDIRECT("'DevSumOut-"&amp;$B$4&amp;"BSR'!AC55:AC56"),INDIRECT("'DevSumOut-"&amp;$B$4&amp;"BSR'!U55:U56"))/SUM(INDIRECT("'DevSumOut-"&amp;$B$4&amp;"BSR'!U55:U56"))</f>
        <v>0.51394890926925219</v>
      </c>
      <c r="G42" s="5">
        <f ca="1">SUMPRODUCT(INDIRECT("'DevSumOut-"&amp;$B$4&amp;"BSR'!AD55:AD56"),INDIRECT("'DevSumOut-"&amp;$B$4&amp;"BSR'!U55:U56"))/SUM(INDIRECT("'DevSumOut-"&amp;$B$4&amp;"BSR'!U55:U56"))</f>
        <v>1.5555258591561807E-2</v>
      </c>
      <c r="H42" s="5">
        <f ca="1">SUMPRODUCT(INDIRECT("'DevSumOut-"&amp;$B$4&amp;"BSR'!AE55:AE56"),INDIRECT("'DevSumOut-"&amp;$B$4&amp;"BSR'!U55:U56"))/SUM(INDIRECT("'DevSumOut-"&amp;$B$4&amp;"BSR'!U55:U56"))</f>
        <v>7.7010232819283315</v>
      </c>
    </row>
    <row r="44" spans="1:14" x14ac:dyDescent="0.25">
      <c r="B44" s="845" t="str">
        <f>$E$4&amp;" Baseline Emissions (tons/episodic day)"</f>
        <v>2029 Baseline Emissions (tons/episodic day)</v>
      </c>
      <c r="C44" s="845"/>
      <c r="D44" s="845"/>
      <c r="E44" s="845"/>
      <c r="F44" s="845"/>
      <c r="G44" s="845"/>
      <c r="H44" s="845"/>
      <c r="I44" s="812" t="s">
        <v>530</v>
      </c>
    </row>
    <row r="45" spans="1:14" x14ac:dyDescent="0.25">
      <c r="A45" s="3" t="s">
        <v>356</v>
      </c>
      <c r="B45" s="813" t="s">
        <v>201</v>
      </c>
      <c r="C45" s="813" t="s">
        <v>202</v>
      </c>
      <c r="D45" s="813" t="s">
        <v>132</v>
      </c>
      <c r="E45" s="813" t="s">
        <v>203</v>
      </c>
      <c r="F45" s="813" t="s">
        <v>204</v>
      </c>
      <c r="G45" s="813" t="s">
        <v>205</v>
      </c>
      <c r="H45" s="813" t="s">
        <v>206</v>
      </c>
      <c r="I45" s="813" t="s">
        <v>627</v>
      </c>
    </row>
    <row r="46" spans="1:14" x14ac:dyDescent="0.25">
      <c r="A46" t="s">
        <v>628</v>
      </c>
      <c r="B46" s="5">
        <f ca="1">$F30*B41/2000</f>
        <v>1.3162636968803142E-2</v>
      </c>
      <c r="C46" s="5">
        <f t="shared" ref="C46:H46" ca="1" si="0">$F30*C41/2000</f>
        <v>2.005364427025212E-3</v>
      </c>
      <c r="D46" s="5">
        <f t="shared" ca="1" si="0"/>
        <v>4.0107288540504224E-4</v>
      </c>
      <c r="E46" s="5">
        <f t="shared" ca="1" si="0"/>
        <v>1.2409003364368554E-2</v>
      </c>
      <c r="F46" s="5">
        <f t="shared" ca="1" si="0"/>
        <v>1.2409003364368554E-2</v>
      </c>
      <c r="G46" s="5">
        <f t="shared" ca="1" si="0"/>
        <v>9.0241399216134518E-4</v>
      </c>
      <c r="H46" s="5">
        <f t="shared" ca="1" si="0"/>
        <v>0.12844124774763049</v>
      </c>
      <c r="I46" s="38">
        <f ca="1">$F30</f>
        <v>32.19639140834505</v>
      </c>
    </row>
    <row r="47" spans="1:14" x14ac:dyDescent="0.25">
      <c r="A47" t="s">
        <v>629</v>
      </c>
      <c r="B47" s="5">
        <f ca="1">$F31*B42/2000</f>
        <v>0.20016106885216711</v>
      </c>
      <c r="C47" s="5">
        <f t="shared" ref="C47:H47" ca="1" si="1">$F31*C42/2000</f>
        <v>2.4530860138534873E-2</v>
      </c>
      <c r="D47" s="5">
        <f t="shared" ca="1" si="1"/>
        <v>6.0990193394048859E-3</v>
      </c>
      <c r="E47" s="5">
        <f t="shared" ca="1" si="1"/>
        <v>0.12581541646450745</v>
      </c>
      <c r="F47" s="5">
        <f t="shared" ca="1" si="1"/>
        <v>0.12581541646450745</v>
      </c>
      <c r="G47" s="5">
        <f t="shared" ca="1" si="1"/>
        <v>3.8079492000345065E-3</v>
      </c>
      <c r="H47" s="5">
        <f t="shared" ca="1" si="1"/>
        <v>1.8852213399894209</v>
      </c>
      <c r="I47" s="38">
        <f ca="1">$F31</f>
        <v>489.60281535919796</v>
      </c>
    </row>
    <row r="48" spans="1:14" x14ac:dyDescent="0.25">
      <c r="A48" t="s">
        <v>630</v>
      </c>
      <c r="B48" s="5">
        <f ca="1">($C30-$F30)*B41/2000</f>
        <v>5.612271815253661E-2</v>
      </c>
      <c r="C48" s="5">
        <f t="shared" ref="C48:H48" ca="1" si="2">($C30-$F30)*C41/2000</f>
        <v>8.5504525269371398E-3</v>
      </c>
      <c r="D48" s="5">
        <f t="shared" ca="1" si="2"/>
        <v>1.7100905053874273E-3</v>
      </c>
      <c r="E48" s="5">
        <f t="shared" ca="1" si="2"/>
        <v>5.290938282526074E-2</v>
      </c>
      <c r="F48" s="5">
        <f t="shared" ca="1" si="2"/>
        <v>5.290938282526074E-2</v>
      </c>
      <c r="G48" s="5">
        <f t="shared" ca="1" si="2"/>
        <v>3.8477036371217127E-3</v>
      </c>
      <c r="H48" s="5">
        <f t="shared" ca="1" si="2"/>
        <v>0.54764649086541284</v>
      </c>
      <c r="I48" s="134">
        <f ca="1">$C30-$F30</f>
        <v>137.27864749456839</v>
      </c>
    </row>
    <row r="49" spans="1:9" x14ac:dyDescent="0.25">
      <c r="A49" t="s">
        <v>631</v>
      </c>
      <c r="B49" s="5">
        <f ca="1">($C31-$F31)*B42/2000</f>
        <v>0.8477390561592113</v>
      </c>
      <c r="C49" s="5">
        <f t="shared" ref="C49:H49" ca="1" si="3">($C31-$F31)*C42/2000</f>
        <v>0.10389516972440976</v>
      </c>
      <c r="D49" s="5">
        <f t="shared" ca="1" si="3"/>
        <v>2.5831081578119253E-2</v>
      </c>
      <c r="E49" s="5">
        <f t="shared" ca="1" si="3"/>
        <v>0.53286407299650485</v>
      </c>
      <c r="F49" s="5">
        <f t="shared" ca="1" si="3"/>
        <v>0.53286407299650485</v>
      </c>
      <c r="G49" s="5">
        <f t="shared" ca="1" si="3"/>
        <v>1.6127747914474255E-2</v>
      </c>
      <c r="H49" s="5">
        <f t="shared" ca="1" si="3"/>
        <v>7.9844485672396122</v>
      </c>
      <c r="I49" s="134">
        <f ca="1">$C31-$F31</f>
        <v>2073.6071752896482</v>
      </c>
    </row>
    <row r="50" spans="1:9" x14ac:dyDescent="0.25">
      <c r="A50" t="s">
        <v>460</v>
      </c>
      <c r="B50" s="5">
        <f ca="1">$C32*B41/2000</f>
        <v>6.0506886262073588E-2</v>
      </c>
      <c r="C50" s="5">
        <f t="shared" ref="C50:H50" ca="1" si="4">$C32*C41/2000</f>
        <v>9.2183927572877505E-3</v>
      </c>
      <c r="D50" s="5">
        <f t="shared" ca="1" si="4"/>
        <v>1.8436785514575494E-3</v>
      </c>
      <c r="E50" s="5">
        <f t="shared" ca="1" si="4"/>
        <v>5.7042533116508837E-2</v>
      </c>
      <c r="F50" s="5">
        <f t="shared" ca="1" si="4"/>
        <v>5.7042533116508837E-2</v>
      </c>
      <c r="G50" s="5">
        <f t="shared" ca="1" si="4"/>
        <v>4.1482767407794875E-3</v>
      </c>
      <c r="H50" s="5">
        <f t="shared" ca="1" si="4"/>
        <v>0.59042728195301364</v>
      </c>
      <c r="I50" s="134">
        <f ca="1">$C32</f>
        <v>148.00251633552995</v>
      </c>
    </row>
    <row r="51" spans="1:9" x14ac:dyDescent="0.25">
      <c r="A51" s="3" t="s">
        <v>462</v>
      </c>
      <c r="B51" s="360">
        <f ca="1">$C33*B42/2000</f>
        <v>0.57385006845861219</v>
      </c>
      <c r="C51" s="360">
        <f t="shared" ref="C51:H51" ca="1" si="5">$C33*C42/2000</f>
        <v>7.0328540163041145E-2</v>
      </c>
      <c r="D51" s="360">
        <f t="shared" ca="1" si="5"/>
        <v>1.7485531454834655E-2</v>
      </c>
      <c r="E51" s="360">
        <f t="shared" ca="1" si="5"/>
        <v>0.36070543470484018</v>
      </c>
      <c r="F51" s="360">
        <f t="shared" ca="1" si="5"/>
        <v>0.36070543470484018</v>
      </c>
      <c r="G51" s="360">
        <f t="shared" ca="1" si="5"/>
        <v>1.0917167467469088E-2</v>
      </c>
      <c r="H51" s="360">
        <f t="shared" ca="1" si="5"/>
        <v>5.4048192349111384</v>
      </c>
      <c r="I51" s="136">
        <f ca="1">$C33</f>
        <v>1403.6626139267496</v>
      </c>
    </row>
    <row r="52" spans="1:9" x14ac:dyDescent="0.25">
      <c r="A52" t="s">
        <v>618</v>
      </c>
      <c r="B52" s="450">
        <f t="shared" ref="B52:I52" ca="1" si="6">SUM(B46:B51)</f>
        <v>1.7515424348534041</v>
      </c>
      <c r="C52" s="450">
        <f t="shared" ca="1" si="6"/>
        <v>0.21852877973723589</v>
      </c>
      <c r="D52" s="450">
        <f t="shared" ca="1" si="6"/>
        <v>5.3370474314608812E-2</v>
      </c>
      <c r="E52" s="450">
        <f t="shared" ca="1" si="6"/>
        <v>1.1417458434719907</v>
      </c>
      <c r="F52" s="450">
        <f t="shared" ca="1" si="6"/>
        <v>1.1417458434719907</v>
      </c>
      <c r="G52" s="450">
        <f t="shared" ca="1" si="6"/>
        <v>3.9751258952040396E-2</v>
      </c>
      <c r="H52" s="450">
        <f t="shared" ca="1" si="6"/>
        <v>16.54100416270623</v>
      </c>
      <c r="I52" s="490">
        <f t="shared" ca="1" si="6"/>
        <v>4284.3501598140392</v>
      </c>
    </row>
    <row r="54" spans="1:9" ht="15.75" thickBot="1" x14ac:dyDescent="0.3"/>
    <row r="55" spans="1:9" ht="16.5" thickBot="1" x14ac:dyDescent="0.3">
      <c r="A55" s="270" t="s">
        <v>254</v>
      </c>
      <c r="B55" s="667"/>
      <c r="C55" s="668"/>
    </row>
    <row r="57" spans="1:9" x14ac:dyDescent="0.25">
      <c r="B57" s="845" t="str">
        <f>$E$4&amp;" With Control Emissions (tons/episodic day)"</f>
        <v>2029 With Control Emissions (tons/episodic day)</v>
      </c>
      <c r="C57" s="845"/>
      <c r="D57" s="845"/>
      <c r="E57" s="845"/>
      <c r="F57" s="845"/>
      <c r="G57" s="845"/>
      <c r="H57" s="845"/>
      <c r="I57" s="812" t="s">
        <v>530</v>
      </c>
    </row>
    <row r="58" spans="1:9" x14ac:dyDescent="0.25">
      <c r="A58" s="3" t="s">
        <v>356</v>
      </c>
      <c r="B58" s="813" t="s">
        <v>201</v>
      </c>
      <c r="C58" s="813" t="s">
        <v>202</v>
      </c>
      <c r="D58" s="813" t="s">
        <v>132</v>
      </c>
      <c r="E58" s="813" t="s">
        <v>203</v>
      </c>
      <c r="F58" s="813" t="s">
        <v>204</v>
      </c>
      <c r="G58" s="813" t="s">
        <v>205</v>
      </c>
      <c r="H58" s="813" t="s">
        <v>206</v>
      </c>
      <c r="I58" s="813" t="s">
        <v>627</v>
      </c>
    </row>
    <row r="59" spans="1:9" x14ac:dyDescent="0.25">
      <c r="A59" t="s">
        <v>628</v>
      </c>
      <c r="B59" s="5">
        <f t="shared" ref="B59:H60" ca="1" si="7">$B$5*B46*$B$21/(1+$B$23)+(1-$B$5)*B46</f>
        <v>7.6247000020907302E-3</v>
      </c>
      <c r="C59" s="5">
        <f t="shared" ca="1" si="7"/>
        <v>1.1616442956811361E-3</v>
      </c>
      <c r="D59" s="5">
        <f t="shared" ca="1" si="7"/>
        <v>2.3232885913622713E-4</v>
      </c>
      <c r="E59" s="5">
        <f t="shared" ca="1" si="7"/>
        <v>7.1881438500881164E-3</v>
      </c>
      <c r="F59" s="5">
        <f t="shared" ca="1" si="7"/>
        <v>7.1881438500881164E-3</v>
      </c>
      <c r="G59" s="5">
        <f t="shared" ca="1" si="7"/>
        <v>5.2273993305651111E-4</v>
      </c>
      <c r="H59" s="5">
        <f t="shared" ca="1" si="7"/>
        <v>7.4401959447107868E-2</v>
      </c>
      <c r="I59" s="38">
        <f ca="1">$B$5*I46/(1+$B$23)+(1-$B$5)*I46</f>
        <v>28.582069383747456</v>
      </c>
    </row>
    <row r="60" spans="1:9" x14ac:dyDescent="0.25">
      <c r="A60" t="s">
        <v>629</v>
      </c>
      <c r="B60" s="5">
        <f t="shared" ca="1" si="7"/>
        <v>0.11594698734856723</v>
      </c>
      <c r="C60" s="5">
        <f t="shared" ca="1" si="7"/>
        <v>1.4209952746769519E-2</v>
      </c>
      <c r="D60" s="5">
        <f t="shared" ca="1" si="7"/>
        <v>3.5329693343461024E-3</v>
      </c>
      <c r="E60" s="5">
        <f t="shared" ca="1" si="7"/>
        <v>7.2880898292160684E-2</v>
      </c>
      <c r="F60" s="5">
        <f t="shared" ca="1" si="7"/>
        <v>7.2880898292160684E-2</v>
      </c>
      <c r="G60" s="5">
        <f t="shared" ca="1" si="7"/>
        <v>2.2058247403069229E-3</v>
      </c>
      <c r="H60" s="5">
        <f t="shared" ca="1" si="7"/>
        <v>1.0920491987302643</v>
      </c>
      <c r="I60" s="38">
        <f ca="1">$B$5*I47/(1+$B$23)+(1-$B$5)*I47</f>
        <v>434.64068570888327</v>
      </c>
    </row>
    <row r="61" spans="1:9" x14ac:dyDescent="0.25">
      <c r="A61" s="267" t="s">
        <v>630</v>
      </c>
      <c r="B61" s="688">
        <f ca="1">B48</f>
        <v>5.612271815253661E-2</v>
      </c>
      <c r="C61" s="688">
        <f t="shared" ref="C61:I61" ca="1" si="8">C48</f>
        <v>8.5504525269371398E-3</v>
      </c>
      <c r="D61" s="688">
        <f t="shared" ca="1" si="8"/>
        <v>1.7100905053874273E-3</v>
      </c>
      <c r="E61" s="688">
        <f t="shared" ca="1" si="8"/>
        <v>5.290938282526074E-2</v>
      </c>
      <c r="F61" s="688">
        <f t="shared" ca="1" si="8"/>
        <v>5.290938282526074E-2</v>
      </c>
      <c r="G61" s="688">
        <f t="shared" ca="1" si="8"/>
        <v>3.8477036371217127E-3</v>
      </c>
      <c r="H61" s="688">
        <f t="shared" ca="1" si="8"/>
        <v>0.54764649086541284</v>
      </c>
      <c r="I61" s="686">
        <f t="shared" ca="1" si="8"/>
        <v>137.27864749456839</v>
      </c>
    </row>
    <row r="62" spans="1:9" x14ac:dyDescent="0.25">
      <c r="A62" s="267" t="s">
        <v>631</v>
      </c>
      <c r="B62" s="688">
        <f t="shared" ref="B62:I62" ca="1" si="9">B49</f>
        <v>0.8477390561592113</v>
      </c>
      <c r="C62" s="688">
        <f t="shared" ca="1" si="9"/>
        <v>0.10389516972440976</v>
      </c>
      <c r="D62" s="688">
        <f t="shared" ca="1" si="9"/>
        <v>2.5831081578119253E-2</v>
      </c>
      <c r="E62" s="688">
        <f t="shared" ca="1" si="9"/>
        <v>0.53286407299650485</v>
      </c>
      <c r="F62" s="688">
        <f t="shared" ca="1" si="9"/>
        <v>0.53286407299650485</v>
      </c>
      <c r="G62" s="688">
        <f t="shared" ca="1" si="9"/>
        <v>1.6127747914474255E-2</v>
      </c>
      <c r="H62" s="688">
        <f t="shared" ca="1" si="9"/>
        <v>7.9844485672396122</v>
      </c>
      <c r="I62" s="686">
        <f t="shared" ca="1" si="9"/>
        <v>2073.6071752896482</v>
      </c>
    </row>
    <row r="63" spans="1:9" x14ac:dyDescent="0.25">
      <c r="A63" s="267" t="s">
        <v>460</v>
      </c>
      <c r="B63" s="688">
        <f t="shared" ref="B63:I63" ca="1" si="10">B50</f>
        <v>6.0506886262073588E-2</v>
      </c>
      <c r="C63" s="688">
        <f t="shared" ca="1" si="10"/>
        <v>9.2183927572877505E-3</v>
      </c>
      <c r="D63" s="688">
        <f t="shared" ca="1" si="10"/>
        <v>1.8436785514575494E-3</v>
      </c>
      <c r="E63" s="688">
        <f t="shared" ca="1" si="10"/>
        <v>5.7042533116508837E-2</v>
      </c>
      <c r="F63" s="688">
        <f t="shared" ca="1" si="10"/>
        <v>5.7042533116508837E-2</v>
      </c>
      <c r="G63" s="688">
        <f t="shared" ca="1" si="10"/>
        <v>4.1482767407794875E-3</v>
      </c>
      <c r="H63" s="688">
        <f t="shared" ca="1" si="10"/>
        <v>0.59042728195301364</v>
      </c>
      <c r="I63" s="686">
        <f t="shared" ca="1" si="10"/>
        <v>148.00251633552995</v>
      </c>
    </row>
    <row r="64" spans="1:9" x14ac:dyDescent="0.25">
      <c r="A64" s="690" t="s">
        <v>462</v>
      </c>
      <c r="B64" s="691">
        <f t="shared" ref="B64:I64" ca="1" si="11">B51</f>
        <v>0.57385006845861219</v>
      </c>
      <c r="C64" s="691">
        <f t="shared" ca="1" si="11"/>
        <v>7.0328540163041145E-2</v>
      </c>
      <c r="D64" s="691">
        <f t="shared" ca="1" si="11"/>
        <v>1.7485531454834655E-2</v>
      </c>
      <c r="E64" s="691">
        <f t="shared" ca="1" si="11"/>
        <v>0.36070543470484018</v>
      </c>
      <c r="F64" s="691">
        <f t="shared" ca="1" si="11"/>
        <v>0.36070543470484018</v>
      </c>
      <c r="G64" s="691">
        <f t="shared" ca="1" si="11"/>
        <v>1.0917167467469088E-2</v>
      </c>
      <c r="H64" s="691">
        <f t="shared" ca="1" si="11"/>
        <v>5.4048192349111384</v>
      </c>
      <c r="I64" s="692">
        <f t="shared" ca="1" si="11"/>
        <v>1403.6626139267496</v>
      </c>
    </row>
    <row r="65" spans="1:11" x14ac:dyDescent="0.25">
      <c r="A65" t="s">
        <v>618</v>
      </c>
      <c r="B65" s="450">
        <f t="shared" ref="B65:I65" ca="1" si="12">SUM(B59:B64)</f>
        <v>1.6617904163830919</v>
      </c>
      <c r="C65" s="450">
        <f t="shared" ca="1" si="12"/>
        <v>0.20736415221412646</v>
      </c>
      <c r="D65" s="450">
        <f t="shared" ca="1" si="12"/>
        <v>5.0635680283281213E-2</v>
      </c>
      <c r="E65" s="450">
        <f t="shared" ca="1" si="12"/>
        <v>1.0835904657853634</v>
      </c>
      <c r="F65" s="450">
        <f t="shared" ca="1" si="12"/>
        <v>1.0835904657853634</v>
      </c>
      <c r="G65" s="450">
        <f t="shared" ca="1" si="12"/>
        <v>3.7769460433207974E-2</v>
      </c>
      <c r="H65" s="450">
        <f t="shared" ca="1" si="12"/>
        <v>15.693792733146548</v>
      </c>
      <c r="I65" s="490">
        <f t="shared" ca="1" si="12"/>
        <v>4225.7737081391269</v>
      </c>
    </row>
    <row r="68" spans="1:11" ht="15.75" x14ac:dyDescent="0.25">
      <c r="A68" s="273" t="s">
        <v>354</v>
      </c>
    </row>
    <row r="69" spans="1:11" ht="15.75" x14ac:dyDescent="0.25">
      <c r="A69" s="273"/>
    </row>
    <row r="70" spans="1:11" ht="15.75" x14ac:dyDescent="0.25">
      <c r="A70" s="273"/>
      <c r="B70" s="845" t="s">
        <v>299</v>
      </c>
      <c r="C70" s="845"/>
      <c r="D70" s="845"/>
      <c r="E70" s="845"/>
      <c r="F70" s="845"/>
      <c r="G70" s="845"/>
      <c r="H70" s="845"/>
      <c r="I70" s="812" t="s">
        <v>300</v>
      </c>
    </row>
    <row r="71" spans="1:11" x14ac:dyDescent="0.25">
      <c r="A71" s="813" t="s">
        <v>301</v>
      </c>
      <c r="B71" s="813" t="s">
        <v>201</v>
      </c>
      <c r="C71" s="813" t="s">
        <v>202</v>
      </c>
      <c r="D71" s="363" t="s">
        <v>132</v>
      </c>
      <c r="E71" s="813" t="s">
        <v>203</v>
      </c>
      <c r="F71" s="454" t="s">
        <v>204</v>
      </c>
      <c r="G71" s="813" t="s">
        <v>205</v>
      </c>
      <c r="H71" s="813" t="s">
        <v>206</v>
      </c>
      <c r="I71" s="813" t="s">
        <v>302</v>
      </c>
      <c r="K71" s="252" t="s">
        <v>632</v>
      </c>
    </row>
    <row r="72" spans="1:11" x14ac:dyDescent="0.25">
      <c r="A72" s="812">
        <f>$B$4+I72-1</f>
        <v>2024</v>
      </c>
      <c r="B72" s="452">
        <f t="shared" ref="B72:H72" ca="1" si="13">(B$52-B$65)*$I72</f>
        <v>8.9752018470312223E-2</v>
      </c>
      <c r="C72" s="452">
        <f t="shared" ca="1" si="13"/>
        <v>1.1164627523109427E-2</v>
      </c>
      <c r="D72" s="465">
        <f t="shared" ca="1" si="13"/>
        <v>2.734794031327599E-3</v>
      </c>
      <c r="E72" s="452">
        <f t="shared" ca="1" si="13"/>
        <v>5.8155377686627263E-2</v>
      </c>
      <c r="F72" s="455">
        <f t="shared" ca="1" si="13"/>
        <v>5.8155377686627263E-2</v>
      </c>
      <c r="G72" s="452">
        <f t="shared" ca="1" si="13"/>
        <v>1.9817985188324214E-3</v>
      </c>
      <c r="H72" s="452">
        <f t="shared" ca="1" si="13"/>
        <v>0.84721142955968176</v>
      </c>
      <c r="I72" s="812">
        <v>1</v>
      </c>
      <c r="K72" s="252"/>
    </row>
    <row r="73" spans="1:11" x14ac:dyDescent="0.25">
      <c r="A73" s="812">
        <f t="shared" ref="A73:A83" si="14">$B$4+I73-1</f>
        <v>2025</v>
      </c>
      <c r="B73" s="452">
        <f ca="1">B72</f>
        <v>8.9752018470312223E-2</v>
      </c>
      <c r="C73" s="452">
        <f t="shared" ref="C73:H73" ca="1" si="15">C72</f>
        <v>1.1164627523109427E-2</v>
      </c>
      <c r="D73" s="465">
        <f t="shared" ca="1" si="15"/>
        <v>2.734794031327599E-3</v>
      </c>
      <c r="E73" s="452">
        <f t="shared" ca="1" si="15"/>
        <v>5.8155377686627263E-2</v>
      </c>
      <c r="F73" s="455">
        <f t="shared" ca="1" si="15"/>
        <v>5.8155377686627263E-2</v>
      </c>
      <c r="G73" s="452">
        <f t="shared" ca="1" si="15"/>
        <v>1.9817985188324214E-3</v>
      </c>
      <c r="H73" s="452">
        <f t="shared" ca="1" si="15"/>
        <v>0.84721142955968176</v>
      </c>
      <c r="I73" s="812">
        <v>2</v>
      </c>
      <c r="K73" s="252"/>
    </row>
    <row r="74" spans="1:11" x14ac:dyDescent="0.25">
      <c r="A74" s="812">
        <f t="shared" si="14"/>
        <v>2026</v>
      </c>
      <c r="B74" s="452">
        <f t="shared" ref="B74:B83" ca="1" si="16">B73</f>
        <v>8.9752018470312223E-2</v>
      </c>
      <c r="C74" s="452">
        <f t="shared" ref="C74:C83" ca="1" si="17">C73</f>
        <v>1.1164627523109427E-2</v>
      </c>
      <c r="D74" s="465">
        <f t="shared" ref="D74:D83" ca="1" si="18">D73</f>
        <v>2.734794031327599E-3</v>
      </c>
      <c r="E74" s="452">
        <f t="shared" ref="E74:E83" ca="1" si="19">E73</f>
        <v>5.8155377686627263E-2</v>
      </c>
      <c r="F74" s="455">
        <f t="shared" ref="F74:F83" ca="1" si="20">F73</f>
        <v>5.8155377686627263E-2</v>
      </c>
      <c r="G74" s="452">
        <f t="shared" ref="G74:G83" ca="1" si="21">G73</f>
        <v>1.9817985188324214E-3</v>
      </c>
      <c r="H74" s="452">
        <f t="shared" ref="H74:H83" ca="1" si="22">H73</f>
        <v>0.84721142955968176</v>
      </c>
      <c r="I74" s="812">
        <v>3</v>
      </c>
      <c r="K74" s="252"/>
    </row>
    <row r="75" spans="1:11" x14ac:dyDescent="0.25">
      <c r="A75" s="812">
        <f t="shared" si="14"/>
        <v>2027</v>
      </c>
      <c r="B75" s="452">
        <f t="shared" ca="1" si="16"/>
        <v>8.9752018470312223E-2</v>
      </c>
      <c r="C75" s="452">
        <f t="shared" ca="1" si="17"/>
        <v>1.1164627523109427E-2</v>
      </c>
      <c r="D75" s="465">
        <f t="shared" ca="1" si="18"/>
        <v>2.734794031327599E-3</v>
      </c>
      <c r="E75" s="452">
        <f t="shared" ca="1" si="19"/>
        <v>5.8155377686627263E-2</v>
      </c>
      <c r="F75" s="455">
        <f t="shared" ca="1" si="20"/>
        <v>5.8155377686627263E-2</v>
      </c>
      <c r="G75" s="452">
        <f t="shared" ca="1" si="21"/>
        <v>1.9817985188324214E-3</v>
      </c>
      <c r="H75" s="452">
        <f t="shared" ca="1" si="22"/>
        <v>0.84721142955968176</v>
      </c>
      <c r="I75" s="812">
        <v>4</v>
      </c>
      <c r="K75" s="252"/>
    </row>
    <row r="76" spans="1:11" x14ac:dyDescent="0.25">
      <c r="A76" s="812">
        <f t="shared" si="14"/>
        <v>2028</v>
      </c>
      <c r="B76" s="452">
        <f t="shared" ca="1" si="16"/>
        <v>8.9752018470312223E-2</v>
      </c>
      <c r="C76" s="452">
        <f t="shared" ca="1" si="17"/>
        <v>1.1164627523109427E-2</v>
      </c>
      <c r="D76" s="465">
        <f t="shared" ca="1" si="18"/>
        <v>2.734794031327599E-3</v>
      </c>
      <c r="E76" s="452">
        <f t="shared" ca="1" si="19"/>
        <v>5.8155377686627263E-2</v>
      </c>
      <c r="F76" s="455">
        <f t="shared" ca="1" si="20"/>
        <v>5.8155377686627263E-2</v>
      </c>
      <c r="G76" s="452">
        <f t="shared" ca="1" si="21"/>
        <v>1.9817985188324214E-3</v>
      </c>
      <c r="H76" s="452">
        <f t="shared" ca="1" si="22"/>
        <v>0.84721142955968176</v>
      </c>
      <c r="I76" s="812">
        <v>5</v>
      </c>
    </row>
    <row r="77" spans="1:11" x14ac:dyDescent="0.25">
      <c r="A77" s="812">
        <f t="shared" si="14"/>
        <v>2029</v>
      </c>
      <c r="B77" s="452">
        <f t="shared" ca="1" si="16"/>
        <v>8.9752018470312223E-2</v>
      </c>
      <c r="C77" s="452">
        <f t="shared" ca="1" si="17"/>
        <v>1.1164627523109427E-2</v>
      </c>
      <c r="D77" s="465">
        <f t="shared" ca="1" si="18"/>
        <v>2.734794031327599E-3</v>
      </c>
      <c r="E77" s="452">
        <f t="shared" ca="1" si="19"/>
        <v>5.8155377686627263E-2</v>
      </c>
      <c r="F77" s="455">
        <f t="shared" ca="1" si="20"/>
        <v>5.8155377686627263E-2</v>
      </c>
      <c r="G77" s="452">
        <f t="shared" ca="1" si="21"/>
        <v>1.9817985188324214E-3</v>
      </c>
      <c r="H77" s="452">
        <f t="shared" ca="1" si="22"/>
        <v>0.84721142955968176</v>
      </c>
      <c r="I77" s="812">
        <v>6</v>
      </c>
    </row>
    <row r="78" spans="1:11" x14ac:dyDescent="0.25">
      <c r="A78" s="812">
        <f t="shared" si="14"/>
        <v>2030</v>
      </c>
      <c r="B78" s="452">
        <f t="shared" ca="1" si="16"/>
        <v>8.9752018470312223E-2</v>
      </c>
      <c r="C78" s="452">
        <f t="shared" ca="1" si="17"/>
        <v>1.1164627523109427E-2</v>
      </c>
      <c r="D78" s="465">
        <f t="shared" ca="1" si="18"/>
        <v>2.734794031327599E-3</v>
      </c>
      <c r="E78" s="452">
        <f t="shared" ca="1" si="19"/>
        <v>5.8155377686627263E-2</v>
      </c>
      <c r="F78" s="455">
        <f t="shared" ca="1" si="20"/>
        <v>5.8155377686627263E-2</v>
      </c>
      <c r="G78" s="452">
        <f t="shared" ca="1" si="21"/>
        <v>1.9817985188324214E-3</v>
      </c>
      <c r="H78" s="452">
        <f t="shared" ca="1" si="22"/>
        <v>0.84721142955968176</v>
      </c>
      <c r="I78" s="812">
        <v>7</v>
      </c>
    </row>
    <row r="79" spans="1:11" x14ac:dyDescent="0.25">
      <c r="A79" s="812">
        <f t="shared" si="14"/>
        <v>2031</v>
      </c>
      <c r="B79" s="452">
        <f t="shared" ca="1" si="16"/>
        <v>8.9752018470312223E-2</v>
      </c>
      <c r="C79" s="452">
        <f t="shared" ca="1" si="17"/>
        <v>1.1164627523109427E-2</v>
      </c>
      <c r="D79" s="465">
        <f t="shared" ca="1" si="18"/>
        <v>2.734794031327599E-3</v>
      </c>
      <c r="E79" s="452">
        <f t="shared" ca="1" si="19"/>
        <v>5.8155377686627263E-2</v>
      </c>
      <c r="F79" s="455">
        <f t="shared" ca="1" si="20"/>
        <v>5.8155377686627263E-2</v>
      </c>
      <c r="G79" s="452">
        <f t="shared" ca="1" si="21"/>
        <v>1.9817985188324214E-3</v>
      </c>
      <c r="H79" s="452">
        <f t="shared" ca="1" si="22"/>
        <v>0.84721142955968176</v>
      </c>
      <c r="I79" s="812">
        <v>8</v>
      </c>
    </row>
    <row r="80" spans="1:11" x14ac:dyDescent="0.25">
      <c r="A80" s="812">
        <f t="shared" si="14"/>
        <v>2032</v>
      </c>
      <c r="B80" s="452">
        <f t="shared" ca="1" si="16"/>
        <v>8.9752018470312223E-2</v>
      </c>
      <c r="C80" s="452">
        <f t="shared" ca="1" si="17"/>
        <v>1.1164627523109427E-2</v>
      </c>
      <c r="D80" s="465">
        <f t="shared" ca="1" si="18"/>
        <v>2.734794031327599E-3</v>
      </c>
      <c r="E80" s="452">
        <f t="shared" ca="1" si="19"/>
        <v>5.8155377686627263E-2</v>
      </c>
      <c r="F80" s="455">
        <f t="shared" ca="1" si="20"/>
        <v>5.8155377686627263E-2</v>
      </c>
      <c r="G80" s="452">
        <f t="shared" ca="1" si="21"/>
        <v>1.9817985188324214E-3</v>
      </c>
      <c r="H80" s="452">
        <f t="shared" ca="1" si="22"/>
        <v>0.84721142955968176</v>
      </c>
      <c r="I80" s="812">
        <v>9</v>
      </c>
    </row>
    <row r="81" spans="1:18" x14ac:dyDescent="0.25">
      <c r="A81" s="812">
        <f t="shared" si="14"/>
        <v>2033</v>
      </c>
      <c r="B81" s="452">
        <f t="shared" ca="1" si="16"/>
        <v>8.9752018470312223E-2</v>
      </c>
      <c r="C81" s="452">
        <f t="shared" ca="1" si="17"/>
        <v>1.1164627523109427E-2</v>
      </c>
      <c r="D81" s="465">
        <f t="shared" ca="1" si="18"/>
        <v>2.734794031327599E-3</v>
      </c>
      <c r="E81" s="452">
        <f t="shared" ca="1" si="19"/>
        <v>5.8155377686627263E-2</v>
      </c>
      <c r="F81" s="455">
        <f t="shared" ca="1" si="20"/>
        <v>5.8155377686627263E-2</v>
      </c>
      <c r="G81" s="452">
        <f t="shared" ca="1" si="21"/>
        <v>1.9817985188324214E-3</v>
      </c>
      <c r="H81" s="452">
        <f t="shared" ca="1" si="22"/>
        <v>0.84721142955968176</v>
      </c>
      <c r="I81" s="812">
        <v>10</v>
      </c>
    </row>
    <row r="82" spans="1:18" x14ac:dyDescent="0.25">
      <c r="A82" s="812">
        <f t="shared" si="14"/>
        <v>2034</v>
      </c>
      <c r="B82" s="452">
        <f t="shared" ca="1" si="16"/>
        <v>8.9752018470312223E-2</v>
      </c>
      <c r="C82" s="452">
        <f t="shared" ca="1" si="17"/>
        <v>1.1164627523109427E-2</v>
      </c>
      <c r="D82" s="465">
        <f t="shared" ca="1" si="18"/>
        <v>2.734794031327599E-3</v>
      </c>
      <c r="E82" s="452">
        <f t="shared" ca="1" si="19"/>
        <v>5.8155377686627263E-2</v>
      </c>
      <c r="F82" s="455">
        <f t="shared" ca="1" si="20"/>
        <v>5.8155377686627263E-2</v>
      </c>
      <c r="G82" s="452">
        <f t="shared" ca="1" si="21"/>
        <v>1.9817985188324214E-3</v>
      </c>
      <c r="H82" s="452">
        <f t="shared" ca="1" si="22"/>
        <v>0.84721142955968176</v>
      </c>
      <c r="I82" s="812">
        <v>11</v>
      </c>
    </row>
    <row r="83" spans="1:18" x14ac:dyDescent="0.25">
      <c r="A83" s="812">
        <f t="shared" si="14"/>
        <v>2035</v>
      </c>
      <c r="B83" s="452">
        <f t="shared" ca="1" si="16"/>
        <v>8.9752018470312223E-2</v>
      </c>
      <c r="C83" s="452">
        <f t="shared" ca="1" si="17"/>
        <v>1.1164627523109427E-2</v>
      </c>
      <c r="D83" s="465">
        <f t="shared" ca="1" si="18"/>
        <v>2.734794031327599E-3</v>
      </c>
      <c r="E83" s="452">
        <f t="shared" ca="1" si="19"/>
        <v>5.8155377686627263E-2</v>
      </c>
      <c r="F83" s="455">
        <f t="shared" ca="1" si="20"/>
        <v>5.8155377686627263E-2</v>
      </c>
      <c r="G83" s="452">
        <f t="shared" ca="1" si="21"/>
        <v>1.9817985188324214E-3</v>
      </c>
      <c r="H83" s="452">
        <f t="shared" ca="1" si="22"/>
        <v>0.84721142955968176</v>
      </c>
      <c r="I83" s="812">
        <v>12</v>
      </c>
    </row>
    <row r="86" spans="1:18" ht="15.75" x14ac:dyDescent="0.25">
      <c r="A86" s="273" t="s">
        <v>304</v>
      </c>
    </row>
    <row r="87" spans="1:18" x14ac:dyDescent="0.25">
      <c r="C87" s="252"/>
      <c r="O87" s="840" t="s">
        <v>305</v>
      </c>
      <c r="P87" s="840"/>
      <c r="Q87" s="840"/>
      <c r="R87" s="840"/>
    </row>
    <row r="88" spans="1:18" x14ac:dyDescent="0.25">
      <c r="A88" s="252"/>
      <c r="B88" s="845" t="s">
        <v>409</v>
      </c>
      <c r="C88" s="845"/>
      <c r="D88" s="845"/>
      <c r="E88" s="845"/>
      <c r="F88" s="845"/>
      <c r="G88" s="845"/>
      <c r="H88" s="845"/>
      <c r="I88" s="812"/>
      <c r="J88" t="s">
        <v>484</v>
      </c>
      <c r="L88" s="845" t="str">
        <f>$E$4&amp;" Base Emissions"</f>
        <v>2029 Base Emissions</v>
      </c>
      <c r="M88" s="845"/>
      <c r="O88" s="244" t="s">
        <v>307</v>
      </c>
      <c r="P88" s="664">
        <f>$B$4</f>
        <v>2024</v>
      </c>
      <c r="Q88" s="244" t="s">
        <v>308</v>
      </c>
      <c r="R88" s="664">
        <f>$E$4</f>
        <v>2029</v>
      </c>
    </row>
    <row r="89" spans="1:18" x14ac:dyDescent="0.25">
      <c r="A89" s="813" t="s">
        <v>130</v>
      </c>
      <c r="B89" s="813" t="s">
        <v>201</v>
      </c>
      <c r="C89" s="813" t="s">
        <v>202</v>
      </c>
      <c r="D89" s="363" t="s">
        <v>132</v>
      </c>
      <c r="E89" s="813" t="s">
        <v>203</v>
      </c>
      <c r="F89" s="454" t="s">
        <v>204</v>
      </c>
      <c r="G89" s="813" t="s">
        <v>205</v>
      </c>
      <c r="H89" s="813" t="s">
        <v>206</v>
      </c>
      <c r="I89" s="813" t="s">
        <v>309</v>
      </c>
      <c r="J89" s="813" t="s">
        <v>485</v>
      </c>
      <c r="L89" s="813" t="s">
        <v>132</v>
      </c>
      <c r="M89" s="813" t="s">
        <v>204</v>
      </c>
      <c r="N89" s="813" t="s">
        <v>130</v>
      </c>
      <c r="O89" s="363" t="s">
        <v>132</v>
      </c>
      <c r="P89" s="454" t="s">
        <v>204</v>
      </c>
      <c r="Q89" s="363" t="s">
        <v>132</v>
      </c>
      <c r="R89" s="454" t="s">
        <v>204</v>
      </c>
    </row>
    <row r="90" spans="1:18" x14ac:dyDescent="0.25">
      <c r="A90" s="812">
        <v>2104008100</v>
      </c>
      <c r="B90" s="521"/>
      <c r="C90" s="521"/>
      <c r="D90" s="511"/>
      <c r="E90" s="521"/>
      <c r="F90" s="525"/>
      <c r="G90" s="521"/>
      <c r="H90" s="521"/>
      <c r="I90" s="812" t="s">
        <v>137</v>
      </c>
      <c r="L90" s="133">
        <f t="shared" ref="L90:L108" ca="1" si="23">OFFSET(INDIRECT("'DevSumOut-"&amp;$E$4&amp;"BSR'!P49"),MATCH($N90,INDIRECT("'DevSumOut-"&amp;$E$4&amp;"BSR'!B50:B70"),0),0)</f>
        <v>8.1804477483919183E-3</v>
      </c>
      <c r="M90" s="133">
        <f t="shared" ref="M90:M108" ca="1" si="24">OFFSET(INDIRECT("'DevSumOut-"&amp;$E$4&amp;"BSR'!R49"),MATCH($N90,INDIRECT("'DevSumOut-"&amp;$E$4&amp;"BSR'!B50:B70"),0),0)</f>
        <v>0.70760873023590076</v>
      </c>
      <c r="N90" s="812">
        <f>A90</f>
        <v>2104008100</v>
      </c>
      <c r="O90" s="357">
        <f ca="1">D90/L90</f>
        <v>0</v>
      </c>
      <c r="P90" s="463">
        <f ca="1">F90/M90</f>
        <v>0</v>
      </c>
      <c r="Q90" s="357">
        <f t="shared" ref="Q90:Q108" ca="1" si="25">O90*OFFSET($I$71,MATCH($R$88,$A$72:$A$86,0),0)</f>
        <v>0</v>
      </c>
      <c r="R90" s="463">
        <f t="shared" ref="R90:R108" ca="1" si="26">P90*OFFSET($I$71,MATCH($R$88,$A$72:$A$86,0),0)</f>
        <v>0</v>
      </c>
    </row>
    <row r="91" spans="1:18" x14ac:dyDescent="0.25">
      <c r="A91" s="812">
        <v>2104008210</v>
      </c>
      <c r="B91" s="521"/>
      <c r="C91" s="521"/>
      <c r="D91" s="511"/>
      <c r="E91" s="521"/>
      <c r="F91" s="525"/>
      <c r="G91" s="521"/>
      <c r="H91" s="521"/>
      <c r="I91" s="812" t="s">
        <v>138</v>
      </c>
      <c r="L91" s="133">
        <f t="shared" ca="1" si="23"/>
        <v>7.2189101468203944E-4</v>
      </c>
      <c r="M91" s="133">
        <f t="shared" ca="1" si="24"/>
        <v>5.5224662623176032E-2</v>
      </c>
      <c r="N91" s="812">
        <f t="shared" ref="N91:N107" si="27">A91</f>
        <v>2104008210</v>
      </c>
      <c r="O91" s="357">
        <f t="shared" ref="O91:O108" ca="1" si="28">D91/L91</f>
        <v>0</v>
      </c>
      <c r="P91" s="463">
        <f t="shared" ref="P91:P108" ca="1" si="29">F91/M91</f>
        <v>0</v>
      </c>
      <c r="Q91" s="357">
        <f t="shared" ca="1" si="25"/>
        <v>0</v>
      </c>
      <c r="R91" s="463">
        <f t="shared" ca="1" si="26"/>
        <v>0</v>
      </c>
    </row>
    <row r="92" spans="1:18" x14ac:dyDescent="0.25">
      <c r="A92" s="812">
        <v>2104008220</v>
      </c>
      <c r="B92" s="5">
        <f ca="1">((B$46+B$48+B$50)-(B$59+B$61+B$63))*$J92</f>
        <v>3.3517630020325441E-3</v>
      </c>
      <c r="C92" s="5">
        <f t="shared" ref="C92:H93" ca="1" si="30">((C$46+C$48+C$50)-(C$59+C$61+C$63))*$J92</f>
        <v>5.1065043486544419E-4</v>
      </c>
      <c r="D92" s="357">
        <f t="shared" ca="1" si="30"/>
        <v>1.0213008697308927E-4</v>
      </c>
      <c r="E92" s="5">
        <f t="shared" ca="1" si="30"/>
        <v>3.1598560734726277E-3</v>
      </c>
      <c r="F92" s="463">
        <f t="shared" ca="1" si="30"/>
        <v>3.1598560734726277E-3</v>
      </c>
      <c r="G92" s="5">
        <f t="shared" ca="1" si="30"/>
        <v>2.2979269568945031E-4</v>
      </c>
      <c r="H92" s="5">
        <f t="shared" ca="1" si="30"/>
        <v>3.270656352186465E-2</v>
      </c>
      <c r="I92" s="812" t="s">
        <v>139</v>
      </c>
      <c r="J92" s="669">
        <f ca="1">INDIRECT("'DevSumOut-"&amp;$B$4&amp;"BSR'!R$52")/SUM(INDIRECT("'DevSumOut-"&amp;$B$4&amp;"BSR'!R$52:R$53"))</f>
        <v>0.60523675552456169</v>
      </c>
      <c r="L92" s="133">
        <f t="shared" ca="1" si="23"/>
        <v>1.5198811143679099E-3</v>
      </c>
      <c r="M92" s="133">
        <f t="shared" ca="1" si="24"/>
        <v>4.5596433431037281E-2</v>
      </c>
      <c r="N92" s="812">
        <f t="shared" si="27"/>
        <v>2104008220</v>
      </c>
      <c r="O92" s="357">
        <f t="shared" ca="1" si="28"/>
        <v>6.7196102384338957E-2</v>
      </c>
      <c r="P92" s="463">
        <f t="shared" ca="1" si="29"/>
        <v>6.9300509616651906E-2</v>
      </c>
      <c r="Q92" s="357">
        <f t="shared" ca="1" si="25"/>
        <v>0.40317661430603374</v>
      </c>
      <c r="R92" s="463">
        <f t="shared" ca="1" si="26"/>
        <v>0.41580305769991144</v>
      </c>
    </row>
    <row r="93" spans="1:18" x14ac:dyDescent="0.25">
      <c r="A93" s="812">
        <v>2104008230</v>
      </c>
      <c r="B93" s="5">
        <f ca="1">((B$46+B$48+B$50)-(B$59+B$61+B$63))*$J93</f>
        <v>2.1861739646798538E-3</v>
      </c>
      <c r="C93" s="5">
        <f t="shared" ca="1" si="30"/>
        <v>3.3306969647862951E-4</v>
      </c>
      <c r="D93" s="357">
        <f t="shared" ca="1" si="30"/>
        <v>6.6613939295726167E-5</v>
      </c>
      <c r="E93" s="5">
        <f t="shared" ca="1" si="30"/>
        <v>2.0610034408078044E-3</v>
      </c>
      <c r="F93" s="463">
        <f t="shared" ca="1" si="30"/>
        <v>2.0610034408078044E-3</v>
      </c>
      <c r="G93" s="5">
        <f t="shared" ca="1" si="30"/>
        <v>1.4988136341538354E-4</v>
      </c>
      <c r="H93" s="5">
        <f t="shared" ca="1" si="30"/>
        <v>2.1332724778657861E-2</v>
      </c>
      <c r="I93" s="812" t="s">
        <v>140</v>
      </c>
      <c r="J93" s="669">
        <f ca="1">1-J92</f>
        <v>0.39476324447543831</v>
      </c>
      <c r="L93" s="133">
        <f t="shared" ca="1" si="23"/>
        <v>9.1507971351420146E-4</v>
      </c>
      <c r="M93" s="133">
        <f t="shared" ca="1" si="24"/>
        <v>2.9740090689211549E-2</v>
      </c>
      <c r="N93" s="812">
        <f t="shared" si="27"/>
        <v>2104008230</v>
      </c>
      <c r="O93" s="357">
        <f t="shared" ca="1" si="28"/>
        <v>7.2795777583033877E-2</v>
      </c>
      <c r="P93" s="463">
        <f t="shared" ca="1" si="29"/>
        <v>6.9300509616651892E-2</v>
      </c>
      <c r="Q93" s="357">
        <f t="shared" ca="1" si="25"/>
        <v>0.43677466549820326</v>
      </c>
      <c r="R93" s="463">
        <f t="shared" ca="1" si="26"/>
        <v>0.41580305769991133</v>
      </c>
    </row>
    <row r="94" spans="1:18" x14ac:dyDescent="0.25">
      <c r="A94" s="812">
        <v>2104008310</v>
      </c>
      <c r="B94" s="521"/>
      <c r="C94" s="521"/>
      <c r="D94" s="511"/>
      <c r="E94" s="521"/>
      <c r="F94" s="525"/>
      <c r="G94" s="521"/>
      <c r="H94" s="521"/>
      <c r="I94" s="812" t="s">
        <v>141</v>
      </c>
      <c r="J94" s="812"/>
      <c r="L94" s="133">
        <f t="shared" ca="1" si="23"/>
        <v>1.465021555417146E-2</v>
      </c>
      <c r="M94" s="133">
        <f t="shared" ca="1" si="24"/>
        <v>0.44470836940199449</v>
      </c>
      <c r="N94" s="812">
        <f t="shared" si="27"/>
        <v>2104008310</v>
      </c>
      <c r="O94" s="357">
        <f t="shared" ca="1" si="28"/>
        <v>0</v>
      </c>
      <c r="P94" s="463">
        <f t="shared" ca="1" si="29"/>
        <v>0</v>
      </c>
      <c r="Q94" s="357">
        <f t="shared" ca="1" si="25"/>
        <v>0</v>
      </c>
      <c r="R94" s="463">
        <f t="shared" ca="1" si="26"/>
        <v>0</v>
      </c>
    </row>
    <row r="95" spans="1:18" x14ac:dyDescent="0.25">
      <c r="A95" s="812">
        <v>2104008320</v>
      </c>
      <c r="B95" s="5">
        <f ca="1">((B$47+B$49+B$51)-(B$60+B$62+B$64))*$J95</f>
        <v>5.0486428705142215E-2</v>
      </c>
      <c r="C95" s="5">
        <f t="shared" ref="C95:H96" ca="1" si="31">((C$47+C$49+C$51)-(C$60+C$62+C$64))*$J95</f>
        <v>6.1873946245493625E-3</v>
      </c>
      <c r="D95" s="357">
        <f t="shared" ca="1" si="31"/>
        <v>1.5383496242097196E-3</v>
      </c>
      <c r="E95" s="5">
        <f t="shared" ca="1" si="31"/>
        <v>3.1734298231762895E-2</v>
      </c>
      <c r="F95" s="463">
        <f t="shared" ca="1" si="31"/>
        <v>3.1734298231762895E-2</v>
      </c>
      <c r="G95" s="5">
        <f t="shared" ca="1" si="31"/>
        <v>9.6047526575877265E-4</v>
      </c>
      <c r="H95" s="5">
        <f t="shared" ca="1" si="31"/>
        <v>0.47550751662444551</v>
      </c>
      <c r="I95" s="812" t="s">
        <v>142</v>
      </c>
      <c r="J95" s="669">
        <f ca="1">INDIRECT("'DevSumOut-"&amp;$B$4&amp;"BSR'!R$55")/SUM(INDIRECT("'DevSumOut-"&amp;$B$4&amp;"BSR'!R$55:R$56"))</f>
        <v>0.59950103122580456</v>
      </c>
      <c r="L95" s="133">
        <f t="shared" ca="1" si="23"/>
        <v>3.0844802732461808E-2</v>
      </c>
      <c r="M95" s="133">
        <f t="shared" ca="1" si="24"/>
        <v>0.61112231325346655</v>
      </c>
      <c r="N95" s="812">
        <f t="shared" si="27"/>
        <v>2104008320</v>
      </c>
      <c r="O95" s="357">
        <f t="shared" ca="1" si="28"/>
        <v>4.987386813762059E-2</v>
      </c>
      <c r="P95" s="463">
        <f t="shared" ca="1" si="29"/>
        <v>5.1927899773152139E-2</v>
      </c>
      <c r="Q95" s="357">
        <f t="shared" ca="1" si="25"/>
        <v>0.29924320882572353</v>
      </c>
      <c r="R95" s="463">
        <f t="shared" ca="1" si="26"/>
        <v>0.31156739863891281</v>
      </c>
    </row>
    <row r="96" spans="1:18" x14ac:dyDescent="0.25">
      <c r="A96" s="812">
        <v>2104008330</v>
      </c>
      <c r="B96" s="5">
        <f ca="1">((B$47+B$49+B$51)-(B$60+B$62+B$64))*$J96</f>
        <v>3.3727652798457887E-2</v>
      </c>
      <c r="C96" s="5">
        <f t="shared" ca="1" si="31"/>
        <v>4.133512767215998E-3</v>
      </c>
      <c r="D96" s="357">
        <f t="shared" ca="1" si="31"/>
        <v>1.0277003808490605E-3</v>
      </c>
      <c r="E96" s="5">
        <f t="shared" ca="1" si="31"/>
        <v>2.1200219940583732E-2</v>
      </c>
      <c r="F96" s="463">
        <f t="shared" ca="1" si="31"/>
        <v>2.1200219940583732E-2</v>
      </c>
      <c r="G96" s="5">
        <f t="shared" ca="1" si="31"/>
        <v>6.4164919396881312E-4</v>
      </c>
      <c r="H96" s="5">
        <f t="shared" ca="1" si="31"/>
        <v>0.31766462463471373</v>
      </c>
      <c r="I96" s="812" t="s">
        <v>143</v>
      </c>
      <c r="J96" s="669">
        <f ca="1">1-J95</f>
        <v>0.40049896877419544</v>
      </c>
      <c r="L96" s="133">
        <f t="shared" ca="1" si="23"/>
        <v>1.8570829639896966E-2</v>
      </c>
      <c r="M96" s="133">
        <f t="shared" ca="1" si="24"/>
        <v>0.4082626109123853</v>
      </c>
      <c r="N96" s="812">
        <f t="shared" si="27"/>
        <v>2104008330</v>
      </c>
      <c r="O96" s="357">
        <f t="shared" ca="1" si="28"/>
        <v>5.5339497522565305E-2</v>
      </c>
      <c r="P96" s="463">
        <f t="shared" ca="1" si="29"/>
        <v>5.1927899773152091E-2</v>
      </c>
      <c r="Q96" s="357">
        <f t="shared" ca="1" si="25"/>
        <v>0.33203698513539182</v>
      </c>
      <c r="R96" s="463">
        <f t="shared" ca="1" si="26"/>
        <v>0.31156739863891253</v>
      </c>
    </row>
    <row r="97" spans="1:18" x14ac:dyDescent="0.25">
      <c r="A97" s="812">
        <v>2104008410</v>
      </c>
      <c r="B97" s="521"/>
      <c r="C97" s="521"/>
      <c r="D97" s="511"/>
      <c r="E97" s="521"/>
      <c r="F97" s="525"/>
      <c r="G97" s="521"/>
      <c r="H97" s="521"/>
      <c r="I97" s="812" t="s">
        <v>144</v>
      </c>
      <c r="L97" s="133">
        <f t="shared" ca="1" si="23"/>
        <v>1.6285791369189189E-3</v>
      </c>
      <c r="M97" s="133">
        <f t="shared" ca="1" si="24"/>
        <v>1.50643570165E-2</v>
      </c>
      <c r="N97" s="812">
        <f t="shared" si="27"/>
        <v>2104008410</v>
      </c>
      <c r="O97" s="357">
        <f t="shared" ca="1" si="28"/>
        <v>0</v>
      </c>
      <c r="P97" s="463">
        <f t="shared" ca="1" si="29"/>
        <v>0</v>
      </c>
      <c r="Q97" s="357">
        <f t="shared" ca="1" si="25"/>
        <v>0</v>
      </c>
      <c r="R97" s="463">
        <f t="shared" ca="1" si="26"/>
        <v>0</v>
      </c>
    </row>
    <row r="98" spans="1:18" x14ac:dyDescent="0.25">
      <c r="A98" s="812">
        <v>2104008420</v>
      </c>
      <c r="B98" s="521"/>
      <c r="C98" s="521"/>
      <c r="D98" s="511"/>
      <c r="E98" s="521"/>
      <c r="F98" s="525"/>
      <c r="G98" s="521"/>
      <c r="H98" s="521"/>
      <c r="I98" s="812" t="s">
        <v>145</v>
      </c>
      <c r="L98" s="133">
        <f t="shared" ca="1" si="23"/>
        <v>5.4932480427814434E-3</v>
      </c>
      <c r="M98" s="133">
        <f t="shared" ca="1" si="24"/>
        <v>5.0812544395728347E-2</v>
      </c>
      <c r="N98" s="812">
        <f t="shared" si="27"/>
        <v>2104008420</v>
      </c>
      <c r="O98" s="357">
        <f t="shared" ca="1" si="28"/>
        <v>0</v>
      </c>
      <c r="P98" s="463">
        <f t="shared" ca="1" si="29"/>
        <v>0</v>
      </c>
      <c r="Q98" s="357">
        <f t="shared" ca="1" si="25"/>
        <v>0</v>
      </c>
      <c r="R98" s="463">
        <f t="shared" ca="1" si="26"/>
        <v>0</v>
      </c>
    </row>
    <row r="99" spans="1:18" x14ac:dyDescent="0.25">
      <c r="A99" s="812">
        <v>2104008610</v>
      </c>
      <c r="B99" s="521"/>
      <c r="C99" s="521"/>
      <c r="D99" s="511"/>
      <c r="E99" s="521"/>
      <c r="F99" s="525"/>
      <c r="G99" s="521"/>
      <c r="H99" s="521"/>
      <c r="I99" s="812" t="s">
        <v>146</v>
      </c>
      <c r="L99" s="133">
        <f t="shared" ca="1" si="23"/>
        <v>1.0231093800626926E-2</v>
      </c>
      <c r="M99" s="133">
        <f t="shared" ca="1" si="24"/>
        <v>0.25245612937457973</v>
      </c>
      <c r="N99" s="812">
        <f t="shared" si="27"/>
        <v>2104008610</v>
      </c>
      <c r="O99" s="357">
        <f t="shared" ca="1" si="28"/>
        <v>0</v>
      </c>
      <c r="P99" s="463">
        <f t="shared" ca="1" si="29"/>
        <v>0</v>
      </c>
      <c r="Q99" s="357">
        <f t="shared" ca="1" si="25"/>
        <v>0</v>
      </c>
      <c r="R99" s="463">
        <f t="shared" ca="1" si="26"/>
        <v>0</v>
      </c>
    </row>
    <row r="100" spans="1:18" x14ac:dyDescent="0.25">
      <c r="A100" s="812">
        <v>2104004000</v>
      </c>
      <c r="B100" s="521"/>
      <c r="C100" s="521"/>
      <c r="D100" s="511"/>
      <c r="E100" s="521"/>
      <c r="F100" s="525"/>
      <c r="G100" s="521"/>
      <c r="H100" s="521"/>
      <c r="I100" s="812" t="s">
        <v>312</v>
      </c>
      <c r="L100" s="133">
        <f t="shared" ca="1" si="23"/>
        <v>3.4697126519638024</v>
      </c>
      <c r="M100" s="133">
        <f t="shared" ca="1" si="24"/>
        <v>5.4813819300693851E-2</v>
      </c>
      <c r="N100" s="812">
        <f t="shared" si="27"/>
        <v>2104004000</v>
      </c>
      <c r="O100" s="357">
        <f t="shared" ca="1" si="28"/>
        <v>0</v>
      </c>
      <c r="P100" s="463">
        <f t="shared" ca="1" si="29"/>
        <v>0</v>
      </c>
      <c r="Q100" s="357">
        <f t="shared" ca="1" si="25"/>
        <v>0</v>
      </c>
      <c r="R100" s="463">
        <f t="shared" ca="1" si="26"/>
        <v>0</v>
      </c>
    </row>
    <row r="101" spans="1:18" x14ac:dyDescent="0.25">
      <c r="A101" s="812">
        <v>2103004001</v>
      </c>
      <c r="B101" s="521"/>
      <c r="C101" s="521"/>
      <c r="D101" s="511"/>
      <c r="E101" s="521"/>
      <c r="F101" s="525"/>
      <c r="G101" s="521"/>
      <c r="H101" s="521"/>
      <c r="I101" s="812" t="s">
        <v>148</v>
      </c>
      <c r="L101" s="133">
        <f t="shared" ca="1" si="23"/>
        <v>0.52217749537133507</v>
      </c>
      <c r="M101" s="133">
        <f t="shared" ca="1" si="24"/>
        <v>1.8739368230717493E-2</v>
      </c>
      <c r="N101" s="812">
        <f t="shared" si="27"/>
        <v>2103004001</v>
      </c>
      <c r="O101" s="357">
        <f t="shared" ca="1" si="28"/>
        <v>0</v>
      </c>
      <c r="P101" s="463">
        <f t="shared" ca="1" si="29"/>
        <v>0</v>
      </c>
      <c r="Q101" s="357">
        <f t="shared" ca="1" si="25"/>
        <v>0</v>
      </c>
      <c r="R101" s="463">
        <f t="shared" ca="1" si="26"/>
        <v>0</v>
      </c>
    </row>
    <row r="102" spans="1:18" x14ac:dyDescent="0.25">
      <c r="A102" s="812">
        <v>2104006010</v>
      </c>
      <c r="B102" s="521"/>
      <c r="C102" s="521"/>
      <c r="D102" s="511"/>
      <c r="E102" s="521"/>
      <c r="F102" s="525"/>
      <c r="G102" s="521"/>
      <c r="H102" s="521"/>
      <c r="I102" s="812" t="s">
        <v>149</v>
      </c>
      <c r="L102" s="133">
        <f t="shared" ca="1" si="23"/>
        <v>7.0898784775737665E-5</v>
      </c>
      <c r="M102" s="133">
        <f t="shared" ca="1" si="24"/>
        <v>5.8529310125197298E-6</v>
      </c>
      <c r="N102" s="812">
        <f t="shared" si="27"/>
        <v>2104006010</v>
      </c>
      <c r="O102" s="357">
        <f t="shared" ca="1" si="28"/>
        <v>0</v>
      </c>
      <c r="P102" s="463">
        <f t="shared" ca="1" si="29"/>
        <v>0</v>
      </c>
      <c r="Q102" s="357">
        <f t="shared" ca="1" si="25"/>
        <v>0</v>
      </c>
      <c r="R102" s="463">
        <f t="shared" ca="1" si="26"/>
        <v>0</v>
      </c>
    </row>
    <row r="103" spans="1:18" x14ac:dyDescent="0.25">
      <c r="A103" s="812">
        <v>2103006000</v>
      </c>
      <c r="B103" s="521"/>
      <c r="C103" s="521"/>
      <c r="D103" s="511"/>
      <c r="E103" s="521"/>
      <c r="F103" s="525"/>
      <c r="G103" s="521"/>
      <c r="H103" s="521"/>
      <c r="I103" s="812" t="s">
        <v>150</v>
      </c>
      <c r="L103" s="133">
        <f t="shared" ca="1" si="23"/>
        <v>7.9575146604215358E-4</v>
      </c>
      <c r="M103" s="133">
        <f t="shared" ca="1" si="24"/>
        <v>1.0079518569867291E-2</v>
      </c>
      <c r="N103" s="812">
        <f t="shared" si="27"/>
        <v>2103006000</v>
      </c>
      <c r="O103" s="357">
        <f t="shared" ca="1" si="28"/>
        <v>0</v>
      </c>
      <c r="P103" s="463">
        <f t="shared" ca="1" si="29"/>
        <v>0</v>
      </c>
      <c r="Q103" s="357">
        <f t="shared" ca="1" si="25"/>
        <v>0</v>
      </c>
      <c r="R103" s="463">
        <f t="shared" ca="1" si="26"/>
        <v>0</v>
      </c>
    </row>
    <row r="104" spans="1:18" x14ac:dyDescent="0.25">
      <c r="A104" s="812">
        <v>2104002000</v>
      </c>
      <c r="B104" s="521"/>
      <c r="C104" s="521"/>
      <c r="D104" s="511"/>
      <c r="E104" s="521"/>
      <c r="F104" s="525"/>
      <c r="G104" s="521"/>
      <c r="H104" s="521"/>
      <c r="I104" s="812" t="s">
        <v>151</v>
      </c>
      <c r="L104" s="133">
        <f t="shared" ca="1" si="23"/>
        <v>0.11396013416057345</v>
      </c>
      <c r="M104" s="133">
        <f t="shared" ca="1" si="24"/>
        <v>9.7907685155159352E-2</v>
      </c>
      <c r="N104" s="812">
        <f t="shared" si="27"/>
        <v>2104002000</v>
      </c>
      <c r="O104" s="357">
        <f t="shared" ca="1" si="28"/>
        <v>0</v>
      </c>
      <c r="P104" s="463">
        <f t="shared" ca="1" si="29"/>
        <v>0</v>
      </c>
      <c r="Q104" s="357">
        <f t="shared" ca="1" si="25"/>
        <v>0</v>
      </c>
      <c r="R104" s="463">
        <f t="shared" ca="1" si="26"/>
        <v>0</v>
      </c>
    </row>
    <row r="105" spans="1:18" x14ac:dyDescent="0.25">
      <c r="A105" s="812">
        <v>2103002000</v>
      </c>
      <c r="B105" s="521"/>
      <c r="C105" s="521"/>
      <c r="D105" s="511"/>
      <c r="E105" s="521"/>
      <c r="F105" s="525"/>
      <c r="G105" s="521"/>
      <c r="H105" s="521"/>
      <c r="I105" s="812" t="s">
        <v>152</v>
      </c>
      <c r="L105" s="133">
        <f t="shared" ca="1" si="23"/>
        <v>3.0617780757568117E-4</v>
      </c>
      <c r="M105" s="133">
        <f t="shared" ca="1" si="24"/>
        <v>2.6304953575588091E-4</v>
      </c>
      <c r="N105" s="812">
        <f t="shared" si="27"/>
        <v>2103002000</v>
      </c>
      <c r="O105" s="357">
        <f t="shared" ca="1" si="28"/>
        <v>0</v>
      </c>
      <c r="P105" s="463">
        <f t="shared" ca="1" si="29"/>
        <v>0</v>
      </c>
      <c r="Q105" s="357">
        <f t="shared" ca="1" si="25"/>
        <v>0</v>
      </c>
      <c r="R105" s="463">
        <f t="shared" ca="1" si="26"/>
        <v>0</v>
      </c>
    </row>
    <row r="106" spans="1:18" x14ac:dyDescent="0.25">
      <c r="A106" s="812">
        <v>2103008000</v>
      </c>
      <c r="B106" s="521"/>
      <c r="C106" s="521"/>
      <c r="D106" s="511"/>
      <c r="E106" s="521"/>
      <c r="F106" s="525"/>
      <c r="G106" s="521"/>
      <c r="H106" s="521"/>
      <c r="I106" s="812" t="s">
        <v>153</v>
      </c>
      <c r="L106" s="133">
        <f t="shared" ca="1" si="23"/>
        <v>7.5369704121824448E-6</v>
      </c>
      <c r="M106" s="133">
        <f t="shared" ca="1" si="24"/>
        <v>2.5766689106639578E-4</v>
      </c>
      <c r="N106" s="812">
        <f t="shared" si="27"/>
        <v>2103008000</v>
      </c>
      <c r="O106" s="357">
        <f t="shared" ca="1" si="28"/>
        <v>0</v>
      </c>
      <c r="P106" s="463">
        <f t="shared" ca="1" si="29"/>
        <v>0</v>
      </c>
      <c r="Q106" s="357">
        <f t="shared" ca="1" si="25"/>
        <v>0</v>
      </c>
      <c r="R106" s="463">
        <f t="shared" ca="1" si="26"/>
        <v>0</v>
      </c>
    </row>
    <row r="107" spans="1:18" x14ac:dyDescent="0.25">
      <c r="A107" s="813">
        <v>2102012000</v>
      </c>
      <c r="B107" s="527"/>
      <c r="C107" s="527"/>
      <c r="D107" s="524"/>
      <c r="E107" s="527"/>
      <c r="F107" s="526"/>
      <c r="G107" s="527"/>
      <c r="H107" s="527"/>
      <c r="I107" s="813" t="s">
        <v>154</v>
      </c>
      <c r="L107" s="135">
        <f t="shared" ca="1" si="23"/>
        <v>1.6802202817214628E-2</v>
      </c>
      <c r="M107" s="135">
        <f t="shared" ca="1" si="24"/>
        <v>2.3655128992506407E-3</v>
      </c>
      <c r="N107" s="813">
        <f t="shared" si="27"/>
        <v>2102012000</v>
      </c>
      <c r="O107" s="361">
        <f t="shared" ca="1" si="28"/>
        <v>0</v>
      </c>
      <c r="P107" s="519">
        <f t="shared" ca="1" si="29"/>
        <v>0</v>
      </c>
      <c r="Q107" s="361">
        <f t="shared" ca="1" si="25"/>
        <v>0</v>
      </c>
      <c r="R107" s="519">
        <f t="shared" ca="1" si="26"/>
        <v>0</v>
      </c>
    </row>
    <row r="108" spans="1:18" x14ac:dyDescent="0.25">
      <c r="A108" s="810" t="s">
        <v>486</v>
      </c>
      <c r="B108" s="450">
        <f ca="1">SUM(B90:B107)</f>
        <v>8.97520184703125E-2</v>
      </c>
      <c r="C108" s="450">
        <f t="shared" ref="C108:H108" ca="1" si="32">SUM(C90:C107)</f>
        <v>1.1164627523109434E-2</v>
      </c>
      <c r="D108" s="357">
        <f t="shared" ca="1" si="32"/>
        <v>2.7347940313275955E-3</v>
      </c>
      <c r="E108" s="450">
        <f t="shared" ca="1" si="32"/>
        <v>5.8155377686627055E-2</v>
      </c>
      <c r="F108" s="463">
        <f t="shared" ca="1" si="32"/>
        <v>5.8155377686627055E-2</v>
      </c>
      <c r="G108" s="450">
        <f t="shared" ca="1" si="32"/>
        <v>1.9817985188324196E-3</v>
      </c>
      <c r="H108" s="450">
        <f t="shared" ca="1" si="32"/>
        <v>0.84721142955968176</v>
      </c>
      <c r="L108" s="137">
        <f t="shared" ca="1" si="23"/>
        <v>4.320503062337508</v>
      </c>
      <c r="M108" s="137">
        <f t="shared" ca="1" si="24"/>
        <v>2.806623905552601</v>
      </c>
      <c r="N108" s="810" t="s">
        <v>486</v>
      </c>
      <c r="O108" s="357">
        <f t="shared" ca="1" si="28"/>
        <v>6.3298046358703389E-4</v>
      </c>
      <c r="P108" s="463">
        <f t="shared" ca="1" si="29"/>
        <v>2.0720759048468498E-2</v>
      </c>
      <c r="Q108" s="357">
        <f t="shared" ca="1" si="25"/>
        <v>3.7978827815222035E-3</v>
      </c>
      <c r="R108" s="463">
        <f t="shared" ca="1" si="26"/>
        <v>0.12432455429081099</v>
      </c>
    </row>
  </sheetData>
  <mergeCells count="14">
    <mergeCell ref="B39:H39"/>
    <mergeCell ref="B44:H44"/>
    <mergeCell ref="A1:K1"/>
    <mergeCell ref="A18:B18"/>
    <mergeCell ref="C27:D27"/>
    <mergeCell ref="C28:D28"/>
    <mergeCell ref="F27:G27"/>
    <mergeCell ref="F28:G28"/>
    <mergeCell ref="I25:M25"/>
    <mergeCell ref="B57:H57"/>
    <mergeCell ref="B70:H70"/>
    <mergeCell ref="O87:R87"/>
    <mergeCell ref="B88:H88"/>
    <mergeCell ref="L88:M88"/>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8AC1-915D-44E5-8E48-70B69BE22F7D}">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2021</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0.3</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2021BSR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0.65165628507835227</v>
      </c>
      <c r="D9" s="5">
        <f ca="1">INDIRECT("'DevSumOut-"&amp;$B$2&amp;"BSR'!P50")</f>
        <v>7.5335986714260388E-3</v>
      </c>
      <c r="E9" s="5">
        <f ca="1">OFFSET('WSCOReductions-5PctSIP'!$U$81,0,MATCH($B$2,'WSCOReductions-5PctSIP'!$X$78:$AQ$78,1)+2)</f>
        <v>0.18626152135269536</v>
      </c>
      <c r="F9" s="5">
        <f ca="1">OFFSET('WSCOReductions-5PctSIP'!$U$84,0,MATCH($B$2,'WSCOReductions-5PctSIP'!$X$78:$AQ$78,1)+2)</f>
        <v>3.8304675565768677E-4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9.5875139353400224E-2</v>
      </c>
      <c r="N9" s="5">
        <f ca="1">'BACM-R8'!O153*($B$2-$M$3+1)*$M$4/SCCRedFacsFull!$M$4</f>
        <v>9.5875139353400238E-2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0.36636182392372196</v>
      </c>
      <c r="Z9" s="510">
        <f ca="1">1-(1-F9)*(1-H9)*(1-J9)*(1-L9)*(1-N9)*(1-P9)*(1-R9)*(1-T9)*(1-X9)</f>
        <v>0.22162281906395975</v>
      </c>
      <c r="AA9" s="617">
        <f ca="1">VLOOKUP($B9,INDIRECT("'CurtailCalcs"&amp;$B$2&amp;"-2Stage'!$AS$91:$BE$109"),10,FALSE)</f>
        <v>0</v>
      </c>
      <c r="AB9" s="617">
        <f ca="1">VLOOKUP($B9,INDIRECT("'CurtailCalcs"&amp;$B$2&amp;"-2Stage'!$AS$91:$BE$109"),11,FALSE)</f>
        <v>0.28795766284735747</v>
      </c>
      <c r="AC9" s="617">
        <f ca="1">VLOOKUP($B9,INDIRECT("'CurtailCalcs"&amp;$B$2&amp;"-2Stage'!$AS$91:$BE$109"),12,FALSE)</f>
        <v>0</v>
      </c>
      <c r="AD9" s="617">
        <f ca="1">VLOOKUP($B9,INDIRECT("'CurtailCalcs"&amp;$B$2&amp;"-2Stage'!$AS$91:$BE$109"),13,FALSE)</f>
        <v>5.6185178519436274E-2</v>
      </c>
      <c r="AE9" s="510">
        <f ca="1">1-(1-$Y9)*(1-AA9)</f>
        <v>0.36636182392372196</v>
      </c>
      <c r="AF9" s="510">
        <f ca="1">1-(1-$Y9)*(1-AB9)</f>
        <v>0.54882279219750929</v>
      </c>
      <c r="AG9" s="510">
        <f ca="1">1-(1-$Z9)*(1-AC9)</f>
        <v>0.22162281906395975</v>
      </c>
      <c r="AH9" s="510">
        <f ca="1">1-(1-$Z9)*(1-AD9)</f>
        <v>0.26535607993030674</v>
      </c>
      <c r="AI9" s="530">
        <f ca="1">(Y9*$AJ$3+AE9*$AJ$4+AF9*$AJ$5)/35</f>
        <v>0.47583840488799439</v>
      </c>
      <c r="AJ9" s="530">
        <f ca="1">(Z9*$AJ$3+AG9*$AJ$4+AH9*$AJ$5)/35</f>
        <v>0.2478627755837679</v>
      </c>
    </row>
    <row r="10" spans="1:36" x14ac:dyDescent="0.25">
      <c r="A10" s="812" t="s">
        <v>138</v>
      </c>
      <c r="B10" s="812">
        <v>2104008210</v>
      </c>
      <c r="C10" s="5">
        <f ca="1">INDIRECT("'DevSumOut-"&amp;$B$2&amp;"BSR'!R51")</f>
        <v>5.085938902969421E-2</v>
      </c>
      <c r="D10" s="5">
        <f ca="1">INDIRECT("'DevSumOut-"&amp;$B$2&amp;"BSR'!P51")</f>
        <v>6.6482861476724472E-4</v>
      </c>
      <c r="E10" s="5">
        <f ca="1">OFFSET('WSCOReductions-5PctSIP'!$U$81,0,MATCH($B$2,'WSCOReductions-5PctSIP'!$X$78:$AQ$78,1)+2)</f>
        <v>0.18626152135269536</v>
      </c>
      <c r="F10" s="5">
        <f ca="1">OFFSET('WSCOReductions-5PctSIP'!$U$84,0,MATCH($B$2,'WSCOReductions-5PctSIP'!$X$78:$AQ$78,1)+2)</f>
        <v>3.8304675565768677E-4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0.16216216216216217</v>
      </c>
      <c r="N10" s="5">
        <f ca="1">'BACM-R8'!O154*($B$2-$M$3+1)*$M$4/SCCRedFacsFull!$M$4</f>
        <v>0.16216216216216217</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0.41249632736012809</v>
      </c>
      <c r="Z10" s="510">
        <f t="shared" ca="1" si="0"/>
        <v>0.27829561133648695</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-1.0366561227460789</v>
      </c>
      <c r="AD10" s="617">
        <f ca="1">VLOOKUP($B10,INDIRECT("'CurtailCalcs"&amp;$B$2&amp;"-2Stage'!$AS$91:$BE$109"),13,FALSE)</f>
        <v>-1.0366561227460789</v>
      </c>
      <c r="AE10" s="510">
        <f t="shared" ref="AE10:AF26" ca="1" si="1">1-(1-$Y10)*(1-AA10)</f>
        <v>0.58153667287681388</v>
      </c>
      <c r="AF10" s="510">
        <f t="shared" ca="1" si="1"/>
        <v>0.58153667287681388</v>
      </c>
      <c r="AG10" s="510">
        <f t="shared" ref="AG10:AH26" ca="1" si="2">1-(1-$Z10)*(1-AC10)</f>
        <v>-0.46986366198425955</v>
      </c>
      <c r="AH10" s="510">
        <f t="shared" ca="1" si="2"/>
        <v>-0.46986366198425955</v>
      </c>
      <c r="AI10" s="530">
        <f t="shared" ref="AI10:AI26" ca="1" si="3">(Y10*$AJ$3+AE10*$AJ$4+AF10*$AJ$5)/35</f>
        <v>0.53806915545823764</v>
      </c>
      <c r="AJ10" s="530">
        <f t="shared" ref="AJ10:AJ26" ca="1" si="4">(Z10*$AJ$3+AG10*$AJ$4+AH10*$AJ$5)/35</f>
        <v>-0.277479848844639</v>
      </c>
    </row>
    <row r="11" spans="1:36" x14ac:dyDescent="0.25">
      <c r="A11" s="812" t="s">
        <v>139</v>
      </c>
      <c r="B11" s="812">
        <v>2104008220</v>
      </c>
      <c r="C11" s="5">
        <f ca="1">INDIRECT("'DevSumOut-"&amp;$B$2&amp;"BSR'!R52")</f>
        <v>4.1992230211696527E-2</v>
      </c>
      <c r="D11" s="5">
        <f ca="1">INDIRECT("'DevSumOut-"&amp;$B$2&amp;"BSR'!P52")</f>
        <v>1.399741007056551E-3</v>
      </c>
      <c r="E11" s="5">
        <f ca="1">OFFSET('WSCOReductions-5PctSIP'!$U$81,0,MATCH($B$2,'WSCOReductions-5PctSIP'!$X$78:$AQ$78,1)+2)</f>
        <v>0.18626152135269536</v>
      </c>
      <c r="F11" s="5">
        <f ca="1">OFFSET('WSCOReductions-5PctSIP'!$U$84,0,MATCH($B$2,'WSCOReductions-5PctSIP'!$X$78:$AQ$78,1)+2)</f>
        <v>3.8304675565768677E-4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6.6892322060090686E-2</v>
      </c>
      <c r="N11" s="5">
        <f ca="1">'BACM-R8'!O155*($B$2-$M$3+1)*$M$4/SCCRedFacsFull!$M$4</f>
        <v>2.2191079758707887E-2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0.87431077236000165</v>
      </c>
      <c r="Z11" s="510">
        <f t="shared" ca="1" si="0"/>
        <v>0.82866273737622476</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0.91128906319692038</v>
      </c>
      <c r="AF11" s="510">
        <f t="shared" ca="1" si="1"/>
        <v>0.91036460592599744</v>
      </c>
      <c r="AG11" s="510">
        <f t="shared" ca="1" si="2"/>
        <v>0.49518197589270863</v>
      </c>
      <c r="AH11" s="510">
        <f t="shared" ca="1" si="2"/>
        <v>0.50351899492979646</v>
      </c>
      <c r="AI11" s="530">
        <f t="shared" ca="1" si="3"/>
        <v>0.90122568547630177</v>
      </c>
      <c r="AJ11" s="530">
        <f t="shared" ca="1" si="4"/>
        <v>0.58593638312500829</v>
      </c>
    </row>
    <row r="12" spans="1:36" x14ac:dyDescent="0.25">
      <c r="A12" s="812" t="s">
        <v>140</v>
      </c>
      <c r="B12" s="812">
        <v>2104008230</v>
      </c>
      <c r="C12" s="5">
        <f ca="1">INDIRECT("'DevSumOut-"&amp;$B$2&amp;"BSR'!R53")</f>
        <v>2.7389263606043691E-2</v>
      </c>
      <c r="D12" s="5">
        <f ca="1">INDIRECT("'DevSumOut-"&amp;$B$2&amp;"BSR'!P53")</f>
        <v>8.4274657249365211E-4</v>
      </c>
      <c r="E12" s="5">
        <f ca="1">OFFSET('WSCOReductions-5PctSIP'!$U$81,0,MATCH($B$2,'WSCOReductions-5PctSIP'!$X$78:$AQ$78,1)+2)</f>
        <v>0.18626152135269536</v>
      </c>
      <c r="F12" s="5">
        <f ca="1">OFFSET('WSCOReductions-5PctSIP'!$U$84,0,MATCH($B$2,'WSCOReductions-5PctSIP'!$X$78:$AQ$78,1)+2)</f>
        <v>3.8304675565768677E-4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6.6892322060090714E-2</v>
      </c>
      <c r="N12" s="5">
        <f ca="1">'BACM-R8'!O156*($B$2-$M$3+1)*$M$4/SCCRedFacsFull!$M$4</f>
        <v>2.4040336405266892E-2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1.9672510559509311E-3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0.87455803462579795</v>
      </c>
      <c r="Z12" s="510">
        <f t="shared" ca="1" si="0"/>
        <v>0.8960344913605196</v>
      </c>
      <c r="AA12" s="617">
        <f t="shared" ca="1" si="5"/>
        <v>0.29422890297323068</v>
      </c>
      <c r="AB12" s="617">
        <f t="shared" ca="1" si="6"/>
        <v>0.28687318039889997</v>
      </c>
      <c r="AC12" s="617">
        <f t="shared" ca="1" si="7"/>
        <v>-2.0822032972365507</v>
      </c>
      <c r="AD12" s="617">
        <f t="shared" ca="1" si="8"/>
        <v>-2.0301482148056373</v>
      </c>
      <c r="AE12" s="510">
        <f t="shared" ca="1" si="1"/>
        <v>0.91146668648465545</v>
      </c>
      <c r="AF12" s="510">
        <f t="shared" ca="1" si="1"/>
        <v>0.910543970188184</v>
      </c>
      <c r="AG12" s="510">
        <f t="shared" ca="1" si="2"/>
        <v>0.6795571664725184</v>
      </c>
      <c r="AH12" s="510">
        <f t="shared" ca="1" si="2"/>
        <v>0.68496909959471841</v>
      </c>
      <c r="AI12" s="530">
        <f t="shared" ca="1" si="3"/>
        <v>0.90142226051449492</v>
      </c>
      <c r="AJ12" s="530">
        <f t="shared" ca="1" si="4"/>
        <v>0.73846992417418156</v>
      </c>
    </row>
    <row r="13" spans="1:36" x14ac:dyDescent="0.25">
      <c r="A13" s="812" t="s">
        <v>141</v>
      </c>
      <c r="B13" s="812">
        <v>2104008310</v>
      </c>
      <c r="C13" s="5">
        <f ca="1">INDIRECT("'DevSumOut-"&amp;$B$2&amp;"BSR'!R54")</f>
        <v>0.4095560731354313</v>
      </c>
      <c r="D13" s="5">
        <f ca="1">INDIRECT("'DevSumOut-"&amp;$B$2&amp;"BSR'!P54")</f>
        <v>1.3492178618141309E-2</v>
      </c>
      <c r="E13" s="5">
        <f ca="1">OFFSET('WSCOReductions-5PctSIP'!$U$81,0,MATCH($B$2,'WSCOReductions-5PctSIP'!$X$78:$AQ$78,1)+2)</f>
        <v>0.18626152135269536</v>
      </c>
      <c r="F13" s="5">
        <f ca="1">OFFSET('WSCOReductions-5PctSIP'!$U$84,0,MATCH($B$2,'WSCOReductions-5PctSIP'!$X$78:$AQ$78,1)+2)</f>
        <v>3.8304675565768677E-4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0.15450643776824033</v>
      </c>
      <c r="N13" s="5">
        <f ca="1">'BACM-R8'!O157*($B$2-$M$3+1)*$M$4/SCCRedFacsFull!$M$4</f>
        <v>0.15450643776824033</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0.32805821700411564</v>
      </c>
      <c r="Z13" s="510">
        <f t="shared" ca="1" si="0"/>
        <v>0.17419682054161045</v>
      </c>
      <c r="AA13" s="617">
        <f t="shared" ca="1" si="5"/>
        <v>0.28706931613340037</v>
      </c>
      <c r="AB13" s="617">
        <f t="shared" ca="1" si="6"/>
        <v>0.28706931613340037</v>
      </c>
      <c r="AC13" s="617">
        <f t="shared" ca="1" si="7"/>
        <v>-1.500285765707206</v>
      </c>
      <c r="AD13" s="617">
        <f t="shared" ca="1" si="8"/>
        <v>-1.500285765707206</v>
      </c>
      <c r="AE13" s="510">
        <f t="shared" ca="1" si="1"/>
        <v>0.52095208513020186</v>
      </c>
      <c r="AF13" s="510">
        <f t="shared" ca="1" si="1"/>
        <v>0.52095208513020186</v>
      </c>
      <c r="AG13" s="510">
        <f t="shared" ca="1" si="2"/>
        <v>-1.0647439348755645</v>
      </c>
      <c r="AH13" s="510">
        <f t="shared" ca="1" si="2"/>
        <v>-1.0647439348755645</v>
      </c>
      <c r="AI13" s="530">
        <f t="shared" ca="1" si="3"/>
        <v>0.47135080475492247</v>
      </c>
      <c r="AJ13" s="530">
        <f t="shared" ca="1" si="4"/>
        <v>-0.74615916919686243</v>
      </c>
    </row>
    <row r="14" spans="1:36" x14ac:dyDescent="0.25">
      <c r="A14" s="812" t="s">
        <v>142</v>
      </c>
      <c r="B14" s="812">
        <v>2104008320</v>
      </c>
      <c r="C14" s="5">
        <f ca="1">INDIRECT("'DevSumOut-"&amp;$B$2&amp;"BSR'!R55")</f>
        <v>0.56281570584807661</v>
      </c>
      <c r="D14" s="5">
        <f ca="1">INDIRECT("'DevSumOut-"&amp;$B$2&amp;"BSR'!P55")</f>
        <v>2.8406652882947556E-2</v>
      </c>
      <c r="E14" s="5">
        <f ca="1">OFFSET('WSCOReductions-5PctSIP'!$U$81,0,MATCH($B$2,'WSCOReductions-5PctSIP'!$X$78:$AQ$78,1)+2)</f>
        <v>0.18626152135269536</v>
      </c>
      <c r="F14" s="5">
        <f ca="1">OFFSET('WSCOReductions-5PctSIP'!$U$84,0,MATCH($B$2,'WSCOReductions-5PctSIP'!$X$78:$AQ$78,1)+2)</f>
        <v>3.8304675565768677E-4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3.4540910642295558E-2</v>
      </c>
      <c r="N14" s="5">
        <f ca="1">'BACM-R8'!O158*($B$2-$M$3+1)*$M$4/SCCRedFacsFull!$M$4</f>
        <v>-9.6883947794498861E-3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0.32428875321471384</v>
      </c>
      <c r="Z14" s="510">
        <f t="shared" ca="1" si="0"/>
        <v>0.12632691373452642</v>
      </c>
      <c r="AA14" s="617">
        <f t="shared" ca="1" si="5"/>
        <v>0.2935430045257772</v>
      </c>
      <c r="AB14" s="617">
        <f t="shared" ca="1" si="6"/>
        <v>0.28620442941263291</v>
      </c>
      <c r="AC14" s="617">
        <f t="shared" ca="1" si="7"/>
        <v>-2.0142722140188036</v>
      </c>
      <c r="AD14" s="617">
        <f t="shared" ca="1" si="8"/>
        <v>-1.9639154086683339</v>
      </c>
      <c r="AE14" s="510">
        <f t="shared" ca="1" si="1"/>
        <v>0.5226390627879256</v>
      </c>
      <c r="AF14" s="510">
        <f t="shared" ca="1" si="1"/>
        <v>0.51768030504859541</v>
      </c>
      <c r="AG14" s="510">
        <f t="shared" ca="1" si="2"/>
        <v>-1.6334885080660704</v>
      </c>
      <c r="AH14" s="510">
        <f t="shared" ca="1" si="2"/>
        <v>-1.5894931225210556</v>
      </c>
      <c r="AI14" s="530">
        <f t="shared" ca="1" si="3"/>
        <v>0.46865944282550159</v>
      </c>
      <c r="AJ14" s="530">
        <f t="shared" ca="1" si="4"/>
        <v>-1.1545673111331938</v>
      </c>
    </row>
    <row r="15" spans="1:36" x14ac:dyDescent="0.25">
      <c r="A15" s="812" t="s">
        <v>143</v>
      </c>
      <c r="B15" s="812">
        <v>2104008330</v>
      </c>
      <c r="C15" s="5">
        <f ca="1">INDIRECT("'DevSumOut-"&amp;$B$2&amp;"BSR'!R56")</f>
        <v>0.37599119611384829</v>
      </c>
      <c r="D15" s="5">
        <f ca="1">INDIRECT("'DevSumOut-"&amp;$B$2&amp;"BSR'!P56")</f>
        <v>1.7102884914018811E-2</v>
      </c>
      <c r="E15" s="5">
        <f ca="1">OFFSET('WSCOReductions-5PctSIP'!$U$81,0,MATCH($B$2,'WSCOReductions-5PctSIP'!$X$78:$AQ$78,1)+2)</f>
        <v>0.18626152135269536</v>
      </c>
      <c r="F15" s="5">
        <f ca="1">OFFSET('WSCOReductions-5PctSIP'!$U$84,0,MATCH($B$2,'WSCOReductions-5PctSIP'!$X$78:$AQ$78,1)+2)</f>
        <v>3.8304675565768677E-4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3.4540910642295544E-2</v>
      </c>
      <c r="N15" s="5">
        <f ca="1">'BACM-R8'!O159*($B$2-$M$3+1)*$M$4/SCCRedFacsFull!$M$4</f>
        <v>-1.0750136673088231E-2</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0.32428875321471384</v>
      </c>
      <c r="Z15" s="510">
        <f t="shared" ca="1" si="0"/>
        <v>0.14028723176776015</v>
      </c>
      <c r="AA15" s="617">
        <f t="shared" ca="1" si="5"/>
        <v>0.29362726123173721</v>
      </c>
      <c r="AB15" s="617">
        <f t="shared" ca="1" si="6"/>
        <v>0.28628657970094373</v>
      </c>
      <c r="AC15" s="617">
        <f t="shared" ca="1" si="7"/>
        <v>-2.1501343804542983</v>
      </c>
      <c r="AD15" s="617">
        <f t="shared" ca="1" si="8"/>
        <v>-2.0963810209429412</v>
      </c>
      <c r="AE15" s="510">
        <f t="shared" ca="1" si="1"/>
        <v>0.52269599599175987</v>
      </c>
      <c r="AF15" s="510">
        <f t="shared" ca="1" si="1"/>
        <v>0.51773581492233367</v>
      </c>
      <c r="AG15" s="510">
        <f t="shared" ca="1" si="2"/>
        <v>-1.7082107485239164</v>
      </c>
      <c r="AH15" s="510">
        <f t="shared" ca="1" si="2"/>
        <v>-1.6619982990166249</v>
      </c>
      <c r="AI15" s="530">
        <f t="shared" ca="1" si="3"/>
        <v>0.46870088206457805</v>
      </c>
      <c r="AJ15" s="530">
        <f t="shared" ca="1" si="4"/>
        <v>-1.2051552267445389</v>
      </c>
    </row>
    <row r="16" spans="1:36" x14ac:dyDescent="0.25">
      <c r="A16" s="812" t="s">
        <v>144</v>
      </c>
      <c r="B16" s="812">
        <v>2104008410</v>
      </c>
      <c r="C16" s="5">
        <f ca="1">INDIRECT("'DevSumOut-"&amp;$B$2&amp;"BSR'!R57")</f>
        <v>1.3873583967588464E-2</v>
      </c>
      <c r="D16" s="5">
        <f ca="1">INDIRECT("'DevSumOut-"&amp;$B$2&amp;"BSR'!P57")</f>
        <v>1.4998469154149686E-3</v>
      </c>
      <c r="E16" s="5">
        <f ca="1">OFFSET('WSCOReductions-5PctSIP'!$U$81,0,MATCH($B$2,'WSCOReductions-5PctSIP'!$X$78:$AQ$78,1)+2)</f>
        <v>0.18626152135269536</v>
      </c>
      <c r="F16" s="5">
        <f ca="1">OFFSET('WSCOReductions-5PctSIP'!$U$84,0,MATCH($B$2,'WSCOReductions-5PctSIP'!$X$78:$AQ$78,1)+2)</f>
        <v>3.8304675565768677E-4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0.29553943036175634</v>
      </c>
      <c r="Z16" s="510">
        <f t="shared" ca="1" si="0"/>
        <v>0.13462279739659511</v>
      </c>
      <c r="AA16" s="617">
        <f t="shared" ca="1" si="5"/>
        <v>0.28421768990847995</v>
      </c>
      <c r="AB16" s="617">
        <f t="shared" ca="1" si="6"/>
        <v>0.28421768990847995</v>
      </c>
      <c r="AC16" s="617">
        <f t="shared" ca="1" si="7"/>
        <v>-1.9266357697207885</v>
      </c>
      <c r="AD16" s="617">
        <f t="shared" ca="1" si="8"/>
        <v>-1.9266357697207885</v>
      </c>
      <c r="AE16" s="510">
        <f t="shared" ca="1" si="1"/>
        <v>0.49575958609594983</v>
      </c>
      <c r="AF16" s="510">
        <f t="shared" ca="1" si="1"/>
        <v>0.49575958609594983</v>
      </c>
      <c r="AG16" s="510">
        <f t="shared" ca="1" si="2"/>
        <v>-1.5326438754400384</v>
      </c>
      <c r="AH16" s="510">
        <f t="shared" ca="1" si="2"/>
        <v>-1.5326438754400384</v>
      </c>
      <c r="AI16" s="530">
        <f t="shared" ca="1" si="3"/>
        <v>0.44427440319287148</v>
      </c>
      <c r="AJ16" s="530">
        <f t="shared" ca="1" si="4"/>
        <v>-1.1039181595677612</v>
      </c>
    </row>
    <row r="17" spans="1:40" x14ac:dyDescent="0.25">
      <c r="A17" s="812" t="s">
        <v>145</v>
      </c>
      <c r="B17" s="812">
        <v>2104008420</v>
      </c>
      <c r="C17" s="5">
        <f ca="1">INDIRECT("'DevSumOut-"&amp;$B$2&amp;"BSR'!R58")</f>
        <v>4.6796029894194582E-2</v>
      </c>
      <c r="D17" s="5">
        <f ca="1">INDIRECT("'DevSumOut-"&amp;$B$2&amp;"BSR'!P58")</f>
        <v>5.0590302588318474E-3</v>
      </c>
      <c r="E17" s="5">
        <f ca="1">OFFSET('WSCOReductions-5PctSIP'!$U$81,0,MATCH($B$2,'WSCOReductions-5PctSIP'!$X$78:$AQ$78,1)+2)</f>
        <v>0.18626152135269536</v>
      </c>
      <c r="F17" s="5">
        <f ca="1">OFFSET('WSCOReductions-5PctSIP'!$U$84,0,MATCH($B$2,'WSCOReductions-5PctSIP'!$X$78:$AQ$78,1)+2)</f>
        <v>3.8304675565768677E-4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0.30732684651943054</v>
      </c>
      <c r="Z17" s="510">
        <f t="shared" ca="1" si="0"/>
        <v>0.14910275789415495</v>
      </c>
      <c r="AA17" s="617">
        <f t="shared" ca="1" si="5"/>
        <v>0.28273178237252561</v>
      </c>
      <c r="AB17" s="617">
        <f t="shared" ca="1" si="6"/>
        <v>0.28273178237252561</v>
      </c>
      <c r="AC17" s="617">
        <f t="shared" ca="1" si="7"/>
        <v>-2.7966712506825271</v>
      </c>
      <c r="AD17" s="617">
        <f t="shared" ca="1" si="8"/>
        <v>-2.7966712506825271</v>
      </c>
      <c r="AE17" s="510">
        <f t="shared" ca="1" si="1"/>
        <v>0.50316756180458988</v>
      </c>
      <c r="AF17" s="510">
        <f t="shared" ca="1" si="1"/>
        <v>0.50316756180458988</v>
      </c>
      <c r="AG17" s="510">
        <f t="shared" ca="1" si="2"/>
        <v>-2.2305770963883118</v>
      </c>
      <c r="AH17" s="510">
        <f t="shared" ca="1" si="2"/>
        <v>-2.2305770963883118</v>
      </c>
      <c r="AI17" s="530">
        <f t="shared" ca="1" si="3"/>
        <v>0.45280852073126321</v>
      </c>
      <c r="AJ17" s="530">
        <f t="shared" ca="1" si="4"/>
        <v>-1.6186594195728206</v>
      </c>
    </row>
    <row r="18" spans="1:40" x14ac:dyDescent="0.25">
      <c r="A18" s="812" t="s">
        <v>146</v>
      </c>
      <c r="B18" s="812">
        <v>2104008610</v>
      </c>
      <c r="C18" s="5">
        <f ca="1">INDIRECT("'DevSumOut-"&amp;$B$2&amp;"BSR'!R59")</f>
        <v>0.23249892936764927</v>
      </c>
      <c r="D18" s="5">
        <f ca="1">INDIRECT("'DevSumOut-"&amp;$B$2&amp;"BSR'!P59")</f>
        <v>9.4223038307631977E-3</v>
      </c>
      <c r="E18" s="5">
        <f ca="1">OFFSET('WSCOReductions-5PctSIP'!$U$81,0,MATCH($B$2,'WSCOReductions-5PctSIP'!$X$78:$AQ$78,1)+2)</f>
        <v>0.18626152135269536</v>
      </c>
      <c r="F18" s="5">
        <f ca="1">OFFSET('WSCOReductions-5PctSIP'!$U$84,0,MATCH($B$2,'WSCOReductions-5PctSIP'!$X$78:$AQ$78,1)+2)</f>
        <v>3.8304675565768677E-4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0.13255395636430173</v>
      </c>
      <c r="N18" s="5">
        <f ca="1">'BACM-R8'!O162*($B$2-$M$3+1)*$M$4/SCCRedFacsFull!$M$4</f>
        <v>5.3205478477612651E-2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0.37283086676720578</v>
      </c>
      <c r="Z18" s="510">
        <f t="shared" ca="1" si="0"/>
        <v>0.15909545061525565</v>
      </c>
      <c r="AA18" s="617">
        <f t="shared" ca="1" si="5"/>
        <v>0.26509857267883641</v>
      </c>
      <c r="AB18" s="617">
        <f t="shared" ca="1" si="6"/>
        <v>0.28708831603468465</v>
      </c>
      <c r="AC18" s="617">
        <f t="shared" ca="1" si="7"/>
        <v>-1.0489921575897507</v>
      </c>
      <c r="AD18" s="617">
        <f t="shared" ca="1" si="8"/>
        <v>-1.1360053319520338</v>
      </c>
      <c r="AE18" s="510">
        <f t="shared" ca="1" si="1"/>
        <v>0.53909250881544257</v>
      </c>
      <c r="AF18" s="510">
        <f t="shared" ca="1" si="1"/>
        <v>0.55288379709594149</v>
      </c>
      <c r="AG18" s="510">
        <f t="shared" ca="1" si="2"/>
        <v>-0.72300682697088448</v>
      </c>
      <c r="AH18" s="510">
        <f t="shared" ca="1" si="2"/>
        <v>-0.79617660114853628</v>
      </c>
      <c r="AI18" s="530">
        <f t="shared" ca="1" si="3"/>
        <v>0.50461428811419529</v>
      </c>
      <c r="AJ18" s="530">
        <f t="shared" ca="1" si="4"/>
        <v>-0.54008239152675386</v>
      </c>
    </row>
    <row r="19" spans="1:40" x14ac:dyDescent="0.25">
      <c r="A19" s="812" t="s">
        <v>147</v>
      </c>
      <c r="B19" s="812">
        <v>2104004000</v>
      </c>
      <c r="C19" s="5">
        <f ca="1">INDIRECT("'DevSumOut-"&amp;$B$2&amp;"BSR'!R60")+INDIRECT("'DevSumOut-"&amp;$B$2&amp;"BSR'!R62")+INDIRECT("'DevSumOut-"&amp;$B$2&amp;"BSR'!R63")</f>
        <v>5.3237060407153529E-2</v>
      </c>
      <c r="D19" s="5">
        <f ca="1">INDIRECT("'DevSumOut-"&amp;$B$2&amp;"BSR'!P60")+INDIRECT("'DevSumOut-"&amp;$B$2&amp;"BSR'!P62")+INDIRECT("'DevSumOut-"&amp;$B$2&amp;"BSR'!P63")</f>
        <v>3.3726635738979742</v>
      </c>
      <c r="E19" s="5">
        <f ca="1">OFFSET('WSCOReductions-5PctSIP'!$U$81,0,MATCH($B$2,'WSCOReductions-5PctSIP'!$X$78:$AQ$78,1)+2)</f>
        <v>0.18626152135269536</v>
      </c>
      <c r="F19" s="5">
        <f ca="1">OFFSET('WSCOReductions-5PctSIP'!$U$84,0,MATCH($B$2,'WSCOReductions-5PctSIP'!$X$78:$AQ$78,1)+2)</f>
        <v>3.8304675565768677E-4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0.18448095591991631</v>
      </c>
      <c r="Z19" s="510">
        <f t="shared" ca="1" si="0"/>
        <v>-1.8060450259891336E-3</v>
      </c>
      <c r="AA19" s="617">
        <f t="shared" ca="1" si="5"/>
        <v>0</v>
      </c>
      <c r="AB19" s="617">
        <f t="shared" ca="1" si="6"/>
        <v>0</v>
      </c>
      <c r="AC19" s="617">
        <f t="shared" ca="1" si="7"/>
        <v>0</v>
      </c>
      <c r="AD19" s="617">
        <f t="shared" ca="1" si="8"/>
        <v>0</v>
      </c>
      <c r="AE19" s="510">
        <f t="shared" ca="1" si="1"/>
        <v>0.18448095591991631</v>
      </c>
      <c r="AF19" s="510">
        <f t="shared" ca="1" si="1"/>
        <v>0.18448095591991631</v>
      </c>
      <c r="AG19" s="510">
        <f t="shared" ca="1" si="2"/>
        <v>-1.8060450259891336E-3</v>
      </c>
      <c r="AH19" s="510">
        <f t="shared" ca="1" si="2"/>
        <v>-1.8060450259891336E-3</v>
      </c>
      <c r="AI19" s="530">
        <f t="shared" ca="1" si="3"/>
        <v>0.18448095591991631</v>
      </c>
      <c r="AJ19" s="530">
        <f t="shared" ca="1" si="4"/>
        <v>-1.8060450259891336E-3</v>
      </c>
    </row>
    <row r="20" spans="1:40" x14ac:dyDescent="0.25">
      <c r="A20" s="812" t="s">
        <v>148</v>
      </c>
      <c r="B20" s="812">
        <v>2103004001</v>
      </c>
      <c r="C20" s="5">
        <f ca="1">INDIRECT("'DevSumOut-"&amp;$B$2&amp;"BSR'!R61")</f>
        <v>1.6668606649109026E-2</v>
      </c>
      <c r="D20" s="5">
        <f ca="1">INDIRECT("'DevSumOut-"&amp;$B$2&amp;"BSR'!P61")</f>
        <v>0.4644751714251617</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5.8529310125197163E-6</v>
      </c>
      <c r="D21" s="5">
        <f ca="1">INDIRECT("'DevSumOut-"&amp;$B$2&amp;"BSR'!P64")</f>
        <v>7.0898784775737584E-5</v>
      </c>
      <c r="E21" s="5">
        <f ca="1">OFFSET('WSCOReductions-5PctSIP'!$U$81,0,MATCH($B$2,'WSCOReductions-5PctSIP'!$X$78:$AQ$78,1)+2)</f>
        <v>0.18626152135269536</v>
      </c>
      <c r="F21" s="5">
        <f ca="1">OFFSET('WSCOReductions-5PctSIP'!$U$84,0,MATCH($B$2,'WSCOReductions-5PctSIP'!$X$78:$AQ$78,1)+2)</f>
        <v>3.8304675565768677E-4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0.18626152135269536</v>
      </c>
      <c r="Z21" s="510">
        <f t="shared" ca="1" si="0"/>
        <v>3.8304675565770108E-4</v>
      </c>
      <c r="AA21" s="617">
        <f t="shared" ca="1" si="5"/>
        <v>0</v>
      </c>
      <c r="AB21" s="617">
        <f t="shared" ca="1" si="6"/>
        <v>0</v>
      </c>
      <c r="AC21" s="617">
        <f t="shared" ca="1" si="7"/>
        <v>0</v>
      </c>
      <c r="AD21" s="617">
        <f t="shared" ca="1" si="8"/>
        <v>0</v>
      </c>
      <c r="AE21" s="510">
        <f t="shared" ca="1" si="1"/>
        <v>0.18626152135269536</v>
      </c>
      <c r="AF21" s="510">
        <f t="shared" ca="1" si="1"/>
        <v>0.18626152135269536</v>
      </c>
      <c r="AG21" s="510">
        <f t="shared" ca="1" si="2"/>
        <v>3.8304675565770108E-4</v>
      </c>
      <c r="AH21" s="510">
        <f t="shared" ca="1" si="2"/>
        <v>3.8304675565770108E-4</v>
      </c>
      <c r="AI21" s="530">
        <f t="shared" ca="1" si="3"/>
        <v>0.18626152135269536</v>
      </c>
      <c r="AJ21" s="530">
        <f t="shared" ca="1" si="4"/>
        <v>3.8304675565770108E-4</v>
      </c>
    </row>
    <row r="22" spans="1:40" x14ac:dyDescent="0.25">
      <c r="A22" s="812" t="s">
        <v>150</v>
      </c>
      <c r="B22" s="812">
        <v>2103006000</v>
      </c>
      <c r="C22" s="5">
        <f ca="1">INDIRECT("'DevSumOut-"&amp;$B$2&amp;"BSR'!R65")</f>
        <v>1.0079518569867293E-2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9.1944691416765034E-2</v>
      </c>
      <c r="D23" s="5">
        <f ca="1">INDIRECT("'DevSumOut-"&amp;$B$2&amp;"BSR'!P66")</f>
        <v>0.10701947811963887</v>
      </c>
      <c r="E23" s="5">
        <f ca="1">OFFSET('WSCOReductions-5PctSIP'!$U$81,0,MATCH($B$2,'WSCOReductions-5PctSIP'!$X$78:$AQ$78,1)+2)</f>
        <v>0.18626152135269536</v>
      </c>
      <c r="F23" s="5">
        <f ca="1">OFFSET('WSCOReductions-5PctSIP'!$U$84,0,MATCH($B$2,'WSCOReductions-5PctSIP'!$X$78:$AQ$78,1)+2)</f>
        <v>3.8304675565768677E-4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0.18626152135269536</v>
      </c>
      <c r="Z23" s="510">
        <f t="shared" ca="1" si="0"/>
        <v>3.8304675565770108E-4</v>
      </c>
      <c r="AA23" s="617">
        <f t="shared" ca="1" si="5"/>
        <v>0.29896926355238951</v>
      </c>
      <c r="AB23" s="617">
        <f t="shared" ca="1" si="6"/>
        <v>0.29896926355238951</v>
      </c>
      <c r="AC23" s="617">
        <f t="shared" ca="1" si="7"/>
        <v>0.24618713146703741</v>
      </c>
      <c r="AD23" s="617">
        <f t="shared" ca="1" si="8"/>
        <v>0.24618713146703741</v>
      </c>
      <c r="AE23" s="510">
        <f t="shared" ca="1" si="1"/>
        <v>0.42954431503812185</v>
      </c>
      <c r="AF23" s="510">
        <f t="shared" ca="1" si="1"/>
        <v>0.42954431503812185</v>
      </c>
      <c r="AG23" s="510">
        <f t="shared" ca="1" si="2"/>
        <v>0.24647587704070195</v>
      </c>
      <c r="AH23" s="510">
        <f t="shared" ca="1" si="2"/>
        <v>0.24647587704070195</v>
      </c>
      <c r="AI23" s="530">
        <f t="shared" ca="1" si="3"/>
        <v>0.36698588237615498</v>
      </c>
      <c r="AJ23" s="530">
        <f t="shared" ca="1" si="4"/>
        <v>0.18319486353883344</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2.5882506455525549</v>
      </c>
      <c r="D27" s="450">
        <f ca="1">INDIRECT("'DevSumOut-"&amp;$B$2&amp;"BSR'!P70")</f>
        <v>4.0475646035746573</v>
      </c>
      <c r="E27" s="450">
        <f ca="1">$C27-E28</f>
        <v>2.1116788826317059</v>
      </c>
      <c r="F27" s="450">
        <f ca="1">$D27-F28</f>
        <v>4.0461989737991635</v>
      </c>
      <c r="G27" s="450">
        <f ca="1">$C27-G28</f>
        <v>2.5882506455525549</v>
      </c>
      <c r="H27" s="450">
        <f ca="1">$D27-H28</f>
        <v>4.0475646035746573</v>
      </c>
      <c r="I27" s="450">
        <f ca="1">$C27-I28</f>
        <v>2.5882506455525549</v>
      </c>
      <c r="J27" s="450">
        <f ca="1">$D27-J28</f>
        <v>4.0475646035746573</v>
      </c>
      <c r="K27" s="450">
        <f ca="1">$C27-K28</f>
        <v>2.5882506455525549</v>
      </c>
      <c r="L27" s="450">
        <f ca="1">$D27-L28</f>
        <v>4.0475646035746573</v>
      </c>
      <c r="M27" s="450">
        <f ca="1">$C27-M28</f>
        <v>2.3863595025136926</v>
      </c>
      <c r="N27" s="450">
        <f ca="1">$D27-N28</f>
        <v>4.0445563136092515</v>
      </c>
      <c r="O27" s="450">
        <f ca="1">$C27-O28</f>
        <v>2.5882506455525549</v>
      </c>
      <c r="P27" s="450">
        <f ca="1">$D27-P28</f>
        <v>4.0475646035746573</v>
      </c>
      <c r="Q27" s="450">
        <f ca="1">$C27-Q28</f>
        <v>2.2573532390080691</v>
      </c>
      <c r="R27" s="450">
        <f ca="1">$D27-R28</f>
        <v>4.0432247440311295</v>
      </c>
      <c r="S27" s="450">
        <f ca="1">$C27-S28</f>
        <v>2.5881967639948043</v>
      </c>
      <c r="T27" s="450">
        <f ca="1">$D27-T28</f>
        <v>4.0475646035746573</v>
      </c>
      <c r="U27" s="786">
        <f ca="1">$C27-U28</f>
        <v>2.5882506455525549</v>
      </c>
      <c r="V27" s="786">
        <f ca="1">$D27-V28</f>
        <v>4.0475646035746573</v>
      </c>
      <c r="W27" s="450">
        <f ca="1">$C27-W28</f>
        <v>2.5882506455525549</v>
      </c>
      <c r="X27" s="450">
        <f ca="1">$D27-X28</f>
        <v>4.0475646035746573</v>
      </c>
      <c r="Y27" s="450">
        <f ca="1">$C27-Y28</f>
        <v>1.6969461177199292</v>
      </c>
      <c r="Z27" s="450">
        <f ca="1">$D27-Z28</f>
        <v>4.03905167534261</v>
      </c>
      <c r="AA27" s="450">
        <f ca="1">$C27-AA28</f>
        <v>2.0537235790681994</v>
      </c>
      <c r="AB27" s="450">
        <f ca="1">$C27-AB28</f>
        <v>1.8683621884328161</v>
      </c>
      <c r="AC27" s="450">
        <f ca="1">$D27-AC28</f>
        <v>4.1675425090914535</v>
      </c>
      <c r="AD27" s="450">
        <f ca="1">$D27-AD28</f>
        <v>4.1654773126803146</v>
      </c>
      <c r="AE27" s="450">
        <f ca="1">$C27-AE28</f>
        <v>1.3475836718770655</v>
      </c>
      <c r="AF27" s="450">
        <f ca="1">$C27-AF28</f>
        <v>1.2301953190529982</v>
      </c>
      <c r="AG27" s="450">
        <f ca="1">$D27-AG28</f>
        <v>4.1350336458403678</v>
      </c>
      <c r="AH27" s="450">
        <f ca="1">$D27-AH28</f>
        <v>4.133337246441279</v>
      </c>
      <c r="AI27" s="787">
        <f ca="1">$C27-AI28</f>
        <v>1.3669867176850758</v>
      </c>
      <c r="AJ27" s="787">
        <f ca="1">$D27-AJ28</f>
        <v>4.1093347280729198</v>
      </c>
    </row>
    <row r="28" spans="1:40" x14ac:dyDescent="0.25">
      <c r="B28" s="244" t="s">
        <v>156</v>
      </c>
      <c r="E28" s="450">
        <f ca="1">SUMPRODUCT($C9:$C26,E9:E26)</f>
        <v>0.47657176292084891</v>
      </c>
      <c r="F28" s="450">
        <f ca="1">SUMPRODUCT($D9:$D26,F9:F26)</f>
        <v>1.365629775493883E-3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0.20189114303886221</v>
      </c>
      <c r="N28" s="450">
        <f ca="1">SUMPRODUCT($D9:$D26,N9:N26)</f>
        <v>3.0082899654061894E-3</v>
      </c>
      <c r="O28" s="450">
        <f ca="1">SUMPRODUCT($C9:$C26,O9:O26)</f>
        <v>0</v>
      </c>
      <c r="P28" s="450">
        <f ca="1">SUMPRODUCT($D9:$D26,P9:P26)</f>
        <v>0</v>
      </c>
      <c r="Q28" s="450">
        <f ca="1">SUMPRODUCT($C9:$C26,Q9:Q26)</f>
        <v>0.33089740654448585</v>
      </c>
      <c r="R28" s="450">
        <f ca="1">SUMPRODUCT($D9:$D26,R9:R26)</f>
        <v>4.3398595435279108E-3</v>
      </c>
      <c r="S28" s="450">
        <f ca="1">SUMPRODUCT($C9:$C26,S9:S26)</f>
        <v>5.3881557750707857E-5</v>
      </c>
      <c r="T28" s="450">
        <f ca="1">SUMPRODUCT($D9:$D26,T9:T26)</f>
        <v>0</v>
      </c>
      <c r="U28" s="786">
        <f ca="1">SUMPRODUCT($C9:$C26,U9:U26)</f>
        <v>0</v>
      </c>
      <c r="V28" s="786">
        <f ca="1">SUMPRODUCT($D9:$D26,V9:V26)</f>
        <v>0</v>
      </c>
      <c r="W28" s="450">
        <f ca="1">SUMPRODUCT($C9:$C26,W9:W26)</f>
        <v>0</v>
      </c>
      <c r="X28" s="450">
        <f ca="1">SUMPRODUCT($D9:$D26,X9:X26)</f>
        <v>0</v>
      </c>
      <c r="Y28" s="450">
        <f ca="1">SUMPRODUCT($C9:$C26,Y9:Y26)</f>
        <v>0.8913045278326257</v>
      </c>
      <c r="Z28" s="450">
        <f ca="1">SUMPRODUCT($D9:$D26,Z9:Z26)</f>
        <v>8.5129282320477121E-3</v>
      </c>
      <c r="AA28" s="450">
        <f ca="1">SUMPRODUCT($C9:$C26,AA9:AA26)</f>
        <v>0.53452706648435555</v>
      </c>
      <c r="AB28" s="450">
        <f ca="1">SUMPRODUCT($C9:$C26,AB9:AB26)</f>
        <v>0.71988845711973881</v>
      </c>
      <c r="AC28" s="450">
        <f ca="1">SUMPRODUCT($D9:$D26,AC9:AC26)</f>
        <v>-0.11997790551679641</v>
      </c>
      <c r="AD28" s="450">
        <f ca="1">SUMPRODUCT($D9:$D26,AD9:AD26)</f>
        <v>-0.11791270910565746</v>
      </c>
      <c r="AE28" s="450">
        <f ca="1">SUMPRODUCT($C9:$C26,AE9:AE26)</f>
        <v>1.2406669736754894</v>
      </c>
      <c r="AF28" s="450">
        <f ca="1">SUMPRODUCT($C9:$C26,AF9:AF26)</f>
        <v>1.3580553264995567</v>
      </c>
      <c r="AG28" s="450">
        <f ca="1">SUMPRODUCT($D9:$D26,AG9:AG26)</f>
        <v>-8.746904226571027E-2</v>
      </c>
      <c r="AH28" s="450">
        <f ca="1">SUMPRODUCT($D9:$D26,AH9:AH26)</f>
        <v>-8.5772642866621673E-2</v>
      </c>
      <c r="AI28" s="450">
        <f ca="1">SUMPRODUCT($C9:$C26,AI9:AI26)</f>
        <v>1.2212639278674791</v>
      </c>
      <c r="AJ28" s="450">
        <f ca="1">SUMPRODUCT($D9:$D26,AJ9:AJ26)</f>
        <v>-6.1770124498262205E-2</v>
      </c>
    </row>
    <row r="29" spans="1:40" x14ac:dyDescent="0.25">
      <c r="E29" s="659">
        <f ca="1">E28/$C27</f>
        <v>0.18412890719828551</v>
      </c>
      <c r="F29" s="693">
        <f ca="1">F28/$D27</f>
        <v>3.3739542397613864E-4</v>
      </c>
      <c r="G29" s="659">
        <f ca="1">G28/$C27</f>
        <v>0</v>
      </c>
      <c r="H29" s="693">
        <f ca="1">H28/$D27</f>
        <v>0</v>
      </c>
      <c r="I29" s="659">
        <f ca="1">I28/$C27</f>
        <v>0</v>
      </c>
      <c r="J29" s="693">
        <f ca="1">J28/$D27</f>
        <v>0</v>
      </c>
      <c r="K29" s="659">
        <f ca="1">K28/$C27</f>
        <v>0</v>
      </c>
      <c r="L29" s="693">
        <f ca="1">L28/$D27</f>
        <v>0</v>
      </c>
      <c r="M29" s="659">
        <f ca="1">M28/$C27</f>
        <v>7.8002933520281731E-2</v>
      </c>
      <c r="N29" s="693">
        <f ca="1">N28/$D27</f>
        <v>7.4323457684884891E-4</v>
      </c>
      <c r="O29" s="659">
        <f ca="1">O28/$C27</f>
        <v>0</v>
      </c>
      <c r="P29" s="693">
        <f ca="1">P28/$D27</f>
        <v>0</v>
      </c>
      <c r="Q29" s="659">
        <f ca="1">Q28/$C27</f>
        <v>0.12784596697119491</v>
      </c>
      <c r="R29" s="693">
        <f ca="1">R28/$D27</f>
        <v>1.0722150153440687E-3</v>
      </c>
      <c r="S29" s="659">
        <f ca="1">S28/$C27</f>
        <v>2.0817751110501474E-5</v>
      </c>
      <c r="T29" s="693">
        <f ca="1">T28/$D27</f>
        <v>0</v>
      </c>
      <c r="U29" s="700">
        <f ca="1">U28/$C27</f>
        <v>0</v>
      </c>
      <c r="V29" s="700">
        <f ca="1">V28/$D27</f>
        <v>0</v>
      </c>
      <c r="W29" s="659">
        <f ca="1">W28/$C27</f>
        <v>0</v>
      </c>
      <c r="X29" s="693">
        <f ca="1">X28/$D27</f>
        <v>0</v>
      </c>
      <c r="Y29" s="659">
        <f ca="1">Y28/$C27</f>
        <v>0.34436561596697479</v>
      </c>
      <c r="Z29" s="693">
        <f t="shared" ref="Z29" ca="1" si="9">Z28/$D27</f>
        <v>2.1032223239943874E-3</v>
      </c>
      <c r="AA29" s="838">
        <f ca="1">(AA28*$AJ$4+AB28*$AJ$5)/SUM($AJ$4:$AJ$5)</f>
        <v>0.68424203584370358</v>
      </c>
      <c r="AB29" s="838"/>
      <c r="AC29" s="838">
        <f ca="1">(AC28*$AJ$4+AD28*$AJ$5)/SUM($AJ$4:$AJ$5)</f>
        <v>-0.11830986226164572</v>
      </c>
      <c r="AD29" s="838"/>
      <c r="AE29" s="659">
        <f ca="1">AE28/$C27</f>
        <v>0.47934576035259696</v>
      </c>
      <c r="AF29" s="659">
        <f ca="1">AF28/$C27</f>
        <v>0.52470008220924491</v>
      </c>
      <c r="AG29" s="693">
        <f t="shared" ref="AG29:AH29" ca="1" si="10">AG28/$D27</f>
        <v>-2.1610289354853259E-2</v>
      </c>
      <c r="AH29" s="693">
        <f t="shared" ca="1" si="10"/>
        <v>-2.1191173277597716E-2</v>
      </c>
      <c r="AI29" s="659">
        <f ca="1">AI28/$C27</f>
        <v>0.4718491734817114</v>
      </c>
      <c r="AJ29" s="693">
        <f t="shared" ref="AJ29" ca="1" si="11">AJ28/$D27</f>
        <v>-1.526105956251054E-2</v>
      </c>
      <c r="AK29" s="5"/>
      <c r="AL29" s="5"/>
      <c r="AN29" s="5"/>
    </row>
    <row r="30" spans="1:40" x14ac:dyDescent="0.25">
      <c r="B30" s="244" t="s">
        <v>157</v>
      </c>
      <c r="E30" s="450">
        <f ca="1">E28*($Y28/$Y30)</f>
        <v>0.42080899260909455</v>
      </c>
      <c r="F30" s="450">
        <f ca="1">F28*($Z28/$Z30)</f>
        <v>1.3341522536727891E-3</v>
      </c>
      <c r="G30" s="450">
        <f ca="1">G28*($Y28/$Y30)</f>
        <v>0</v>
      </c>
      <c r="H30" s="450">
        <f ca="1">H28*($Z28/$Z30)</f>
        <v>0</v>
      </c>
      <c r="I30" s="450">
        <f ca="1">I28*($Y28/$Y30)</f>
        <v>0</v>
      </c>
      <c r="J30" s="450">
        <f ca="1">J28*($Z28/$Z30)</f>
        <v>0</v>
      </c>
      <c r="K30" s="450">
        <f ca="1">K28*($Y28/$Y30)</f>
        <v>0</v>
      </c>
      <c r="L30" s="450">
        <f ca="1">L28*($Z28/$Z30)</f>
        <v>0</v>
      </c>
      <c r="M30" s="450">
        <f ca="1">M28*($Y28/$Y30)</f>
        <v>0.17826823813099549</v>
      </c>
      <c r="N30" s="450">
        <f ca="1">N28*($Z28/$Z30)</f>
        <v>2.938949420311524E-3</v>
      </c>
      <c r="O30" s="450">
        <f ca="1">O28*($Y28/$Y30)</f>
        <v>0</v>
      </c>
      <c r="P30" s="450">
        <f ca="1">P28*($Z28/$Z30)</f>
        <v>0</v>
      </c>
      <c r="Q30" s="450">
        <f ca="1">Q28*($Y28/$Y30)</f>
        <v>0.29217972011504478</v>
      </c>
      <c r="R30" s="450">
        <f ca="1">R28*($Z28/$Z30)</f>
        <v>4.2398265580633997E-3</v>
      </c>
      <c r="S30" s="450">
        <f ca="1">S28*($Y28/$Y30)</f>
        <v>4.7576977490900763E-5</v>
      </c>
      <c r="T30" s="450">
        <f ca="1">T28*($Z28/$Z30)</f>
        <v>0</v>
      </c>
      <c r="U30" s="786">
        <f ca="1">U28*($Y28/$Y30)</f>
        <v>0</v>
      </c>
      <c r="V30" s="786">
        <f ca="1">V28*($Z28/$Z30)</f>
        <v>0</v>
      </c>
      <c r="W30" s="450">
        <f ca="1">W28*($Y28/$Y30)</f>
        <v>0</v>
      </c>
      <c r="X30" s="450">
        <f ca="1">X28*($Z28/$Z30)</f>
        <v>0</v>
      </c>
      <c r="Y30" s="450">
        <f ca="1">SUM($E28,$G28,$I28,$K28,$M28,$O28,$Q28,$S28,$W28)</f>
        <v>1.0094141940619477</v>
      </c>
      <c r="Z30" s="450">
        <f ca="1">SUM($F28,$H28,$J28,$L28,$N28,$P28,$R28,$T28,$X28)</f>
        <v>8.7137792844279825E-3</v>
      </c>
      <c r="AA30" s="450">
        <f ca="1">AE28-$Y28</f>
        <v>0.34936244584286369</v>
      </c>
      <c r="AB30" s="450">
        <f ca="1">AF28-$Y28</f>
        <v>0.46675079866693103</v>
      </c>
      <c r="AC30" s="450">
        <f ca="1">AG28-$Z28</f>
        <v>-9.5981970497757987E-2</v>
      </c>
      <c r="AD30" s="450">
        <f ca="1">AH28-$Z28</f>
        <v>-9.4285571098669391E-2</v>
      </c>
      <c r="AE30" s="450">
        <f ca="1">SUM($E28,$G28,$I28,$K28,$M28,$O28,$Q28,$S28,$W28,AA28)</f>
        <v>1.5439412605463032</v>
      </c>
      <c r="AF30" s="450">
        <f ca="1">SUM($E28,$G28,$I28,$K28,$M28,$O28,$Q28,$S28,$W28,AB28)</f>
        <v>1.7293026511816865</v>
      </c>
      <c r="AG30" s="450">
        <f ca="1">SUM($F28,$H28,$J28,$L28,$N28,$P28,$R28,$T28,$X28,AC28)</f>
        <v>-0.11126412623236842</v>
      </c>
      <c r="AH30" s="450">
        <f ca="1">SUM($F28,$H28,$J28,$L28,$N28,$P28,$R28,$T28,$X28,AD28)</f>
        <v>-0.10919892982122947</v>
      </c>
    </row>
    <row r="31" spans="1:40" x14ac:dyDescent="0.25">
      <c r="Y31" s="659">
        <f ca="1">Y30/$C27</f>
        <v>0.38999862544087266</v>
      </c>
      <c r="Z31" s="659">
        <f ca="1">Z30/$C27</f>
        <v>3.3666674823016277E-3</v>
      </c>
      <c r="AA31" s="839" t="s">
        <v>158</v>
      </c>
      <c r="AB31" s="839"/>
      <c r="AC31" s="839"/>
      <c r="AD31" s="839"/>
      <c r="AE31" s="659">
        <f ca="1">AE30/$C27</f>
        <v>0.59651922166011617</v>
      </c>
      <c r="AF31" s="659">
        <f ca="1">AF30/$C27</f>
        <v>0.66813569781318638</v>
      </c>
      <c r="AG31" s="693">
        <f ca="1">AG30/$D27</f>
        <v>-2.7489153881349815E-2</v>
      </c>
      <c r="AH31" s="693">
        <f ca="1">AH30/$D27</f>
        <v>-2.6978922022588368E-2</v>
      </c>
    </row>
    <row r="32" spans="1:40" x14ac:dyDescent="0.25">
      <c r="Y32" s="698">
        <f ca="1">SUM($E30,$G30,$I30,$K30,$M30,$O30,$Q30,$S30,$W30)</f>
        <v>0.8913045278326257</v>
      </c>
      <c r="Z32" s="698">
        <f ca="1">SUM($F30,$H30,$J30,$L30,$N30,$P30,$R30,$T30,$X30)</f>
        <v>8.5129282320477138E-3</v>
      </c>
      <c r="AA32" s="838">
        <f ca="1">(AA30*$AJ$4+AB30*$AJ$5)/SUM($AJ$4:$AJ$5)</f>
        <v>0.44417611543153346</v>
      </c>
      <c r="AB32" s="838"/>
      <c r="AC32" s="838">
        <f ca="1">(AC30*$AJ$4+AD30*$AJ$5)/SUM($AJ$4:$AJ$5)</f>
        <v>-9.4611801752340283E-2</v>
      </c>
      <c r="AD32" s="838"/>
    </row>
    <row r="33" spans="2:34" x14ac:dyDescent="0.25">
      <c r="C33" s="450">
        <f ca="1">SUM(C9:C18)</f>
        <v>2.4134286862525749</v>
      </c>
      <c r="D33" s="450">
        <f ca="1">SUM(D9:D18)</f>
        <v>8.542381228586117E-2</v>
      </c>
      <c r="Z33" s="616"/>
      <c r="AA33" s="616"/>
    </row>
    <row r="34" spans="2:34" x14ac:dyDescent="0.25">
      <c r="B34" s="244" t="s">
        <v>159</v>
      </c>
      <c r="E34" s="450">
        <f ca="1">SUMPRODUCT($C9:$C18,E9:E18)</f>
        <v>0.44952889877764163</v>
      </c>
      <c r="F34" s="450">
        <f ca="1">SUMPRODUCT($D9:$D18,F9:F18)</f>
        <v>3.2721314152010369E-5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0.20189114303886221</v>
      </c>
      <c r="N34" s="450">
        <f ca="1">SUMPRODUCT($D9:$D18,N9:N18)</f>
        <v>3.0082899654061894E-3</v>
      </c>
      <c r="O34" s="450">
        <f ca="1">SUMPRODUCT($C9:$C18,O9:O18)</f>
        <v>0</v>
      </c>
      <c r="P34" s="450">
        <f ca="1">SUMPRODUCT($D9:$D18,P9:P18)</f>
        <v>0</v>
      </c>
      <c r="Q34" s="450">
        <f ca="1">SUMPRODUCT($C9:$C18,Q9:Q18)</f>
        <v>0.33101389614402071</v>
      </c>
      <c r="R34" s="450">
        <f ca="1">SUMPRODUCT($D9:$D18,R9:R18)</f>
        <v>1.1725758800155653E-2</v>
      </c>
      <c r="S34" s="450"/>
      <c r="T34" s="450"/>
      <c r="U34" s="450">
        <f ca="1">SUMPRODUCT($C9:$C18,U9:U18)</f>
        <v>0</v>
      </c>
      <c r="V34" s="450">
        <f ca="1">SUMPRODUCT($D9:$D18,V9:V18)</f>
        <v>0</v>
      </c>
      <c r="W34" s="450">
        <f ca="1">SUMPRODUCT($C9:$C18,W9:W18)</f>
        <v>0</v>
      </c>
      <c r="X34" s="450">
        <f ca="1">SUMPRODUCT($D9:$D18,X9:X18)</f>
        <v>0</v>
      </c>
      <c r="Y34" s="450">
        <f ca="1">SUMPRODUCT($C9:$C18,Y9:Y18)</f>
        <v>0.86435645575892228</v>
      </c>
      <c r="Z34" s="450">
        <f ca="1">SUMPRODUCT($D9:$D18,Z9:Z18)</f>
        <v>1.4563089882585487E-2</v>
      </c>
      <c r="AE34" s="450">
        <f ca="1">SUMPRODUCT($C9:$C18,AE9:AE18)</f>
        <v>1.1913503402093708</v>
      </c>
      <c r="AF34" s="450">
        <f ca="1">SUMPRODUCT($C9:$C18,AF9:AF18)</f>
        <v>1.3087386930334381</v>
      </c>
      <c r="AG34" s="450">
        <f ca="1">SUMPRODUCT($D9:$D18,AG9:AG18)</f>
        <v>-0.10775560688126279</v>
      </c>
      <c r="AH34" s="450">
        <f ca="1">SUMPRODUCT($D9:$D18,AH9:AH18)</f>
        <v>-0.10605920748217419</v>
      </c>
    </row>
    <row r="35" spans="2:34" x14ac:dyDescent="0.25">
      <c r="C35" s="450">
        <f ca="1">SUM(C19:C20)</f>
        <v>6.9905667056262555E-2</v>
      </c>
      <c r="D35" s="450">
        <f ca="1">SUM(D19:D20)</f>
        <v>3.837138745323136</v>
      </c>
      <c r="AD35" s="244" t="s">
        <v>160</v>
      </c>
      <c r="AE35" s="604">
        <f ca="1">AE34/$C33</f>
        <v>0.4936339519769391</v>
      </c>
      <c r="AF35" s="604">
        <f ca="1">AF34/$C33</f>
        <v>0.54227361284313225</v>
      </c>
      <c r="AG35" s="604">
        <f t="shared" ref="AG35:AH37" ca="1" si="12">AG34/$D33</f>
        <v>-1.2614235304866843</v>
      </c>
      <c r="AH35" s="604">
        <f t="shared" ca="1" si="12"/>
        <v>-1.2415649061324845</v>
      </c>
    </row>
    <row r="36" spans="2:34" x14ac:dyDescent="0.25">
      <c r="B36" s="244" t="s">
        <v>161</v>
      </c>
      <c r="E36" s="450">
        <f ca="1">SUMPRODUCT($C19:$C20,E19:E20)</f>
        <v>9.9160158637817599E-3</v>
      </c>
      <c r="F36" s="450">
        <f ca="1">SUMPRODUCT($D19:$D20,F19:F20)</f>
        <v>1.2918878399064779E-3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-1.1648959953487608E-4</v>
      </c>
      <c r="R36" s="450">
        <f ca="1">SUMPRODUCT($D19:$D20,R19:R20)</f>
        <v>-7.3858992566277421E-3</v>
      </c>
      <c r="S36" s="450"/>
      <c r="T36" s="450"/>
      <c r="U36" s="450">
        <f ca="1">SUMPRODUCT($C19:$C20,U19:U20)</f>
        <v>0</v>
      </c>
      <c r="V36" s="450">
        <f ca="1">SUMPRODUCT($D19:$D20,V19:V20)</f>
        <v>0</v>
      </c>
      <c r="W36" s="450">
        <f ca="1">SUMPRODUCT($C19:$C20,W19:W20)</f>
        <v>0</v>
      </c>
      <c r="X36" s="450">
        <f ca="1">SUMPRODUCT($D19:$D20,X19:X20)</f>
        <v>0</v>
      </c>
      <c r="Y36" s="450">
        <f ca="1">SUMPRODUCT($C19:$C20,Y19:Y20)</f>
        <v>9.8212237942780119E-3</v>
      </c>
      <c r="Z36" s="450">
        <f ca="1">SUMPRODUCT($D19:$D20,Z19:Z20)</f>
        <v>-6.0911822719731711E-3</v>
      </c>
      <c r="AE36" s="450">
        <f ca="1">SUMPRODUCT($C19:$C20,AE19:AE20)</f>
        <v>9.8212237942780119E-3</v>
      </c>
      <c r="AF36" s="450">
        <f ca="1">SUMPRODUCT($C19:$C20,AF19:AF20)</f>
        <v>9.8212237942780119E-3</v>
      </c>
      <c r="AG36" s="450">
        <f ca="1">SUMPRODUCT($D19:$D20,AG19:AG20)</f>
        <v>-6.0911822719731711E-3</v>
      </c>
      <c r="AH36" s="450">
        <f ca="1">SUMPRODUCT($D19:$D20,AH19:AH20)</f>
        <v>-6.0911822719731711E-3</v>
      </c>
    </row>
    <row r="37" spans="2:34" x14ac:dyDescent="0.25">
      <c r="AD37" s="244" t="s">
        <v>162</v>
      </c>
      <c r="AE37" s="694">
        <f ca="1">AE36/$C35</f>
        <v>0.14049252668418918</v>
      </c>
      <c r="AF37" s="694">
        <f ca="1">AF36/$C35</f>
        <v>0.14049252668418918</v>
      </c>
      <c r="AG37" s="694">
        <f t="shared" ca="1" si="12"/>
        <v>-1.5874282052994193E-3</v>
      </c>
      <c r="AH37" s="694">
        <f t="shared" ca="1" si="12"/>
        <v>-1.5874282052994193E-3</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SCCRedFacs2021</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2.1387852765621163E-2</v>
      </c>
      <c r="AD41" s="805" cm="1">
        <f t="array" aca="1" ref="AD41" ca="1">AC29-INDIRECT("SCCRedFacs"&amp;$B$2&amp;"!AC29")</f>
        <v>2.382918935929651E-4</v>
      </c>
    </row>
    <row r="42" spans="2:34" x14ac:dyDescent="0.25">
      <c r="B42" s="812"/>
      <c r="AB42" s="244" t="s">
        <v>635</v>
      </c>
      <c r="AC42" s="804" cm="1">
        <f t="array" aca="1" ref="AC42" ca="1">AA32-INDIRECT("SCCRedFacs"&amp;$B$2&amp;"!AA32")</f>
        <v>1.3544809941238523E-2</v>
      </c>
      <c r="AD42" s="805" cm="1">
        <f t="array" aca="1" ref="AD42" ca="1">AC32-INDIRECT("SCCRedFacs"&amp;$B$2&amp;"!AC32")</f>
        <v>1.9573839220252132E-4</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76C6-7D44-4E20-A51D-BF6E4445753C}">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2022</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0.5</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0.3</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2022BSR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0.66414800189714196</v>
      </c>
      <c r="D9" s="5">
        <f ca="1">INDIRECT("'DevSumOut-"&amp;$B$2&amp;"BSR'!P50")</f>
        <v>7.6780115826259165E-3</v>
      </c>
      <c r="E9" s="5">
        <f ca="1">OFFSET('WSCOReductions-5PctSIP'!$U$81,0,MATCH($B$2,'WSCOReductions-5PctSIP'!$X$78:$AQ$78,1)+2)</f>
        <v>0.2581731301263559</v>
      </c>
      <c r="F9" s="5">
        <f ca="1">OFFSET('WSCOReductions-5PctSIP'!$U$84,0,MATCH($B$2,'WSCOReductions-5PctSIP'!$X$78:$AQ$78,1)+2)</f>
        <v>9.2708464000170528E-4</v>
      </c>
      <c r="G9" s="5">
        <f ca="1">SCCRedFacsFull!G9*G$4/SCCRedFacsFull!G$4</f>
        <v>0</v>
      </c>
      <c r="H9" s="5">
        <f ca="1">SCCRedFacsFull!H9*G$4/SCCRedFacsFull!G$4</f>
        <v>0</v>
      </c>
      <c r="I9" s="5">
        <f ca="1">SCCRedFacsFull!I9*I$4/SCCRedFacsFull!I$4</f>
        <v>3.5333421257817021E-2</v>
      </c>
      <c r="J9" s="5">
        <f ca="1">SCCRedFacsFull!J9*I$4/SCCRedFacsFull!I$4</f>
        <v>3.5333421257817126E-2</v>
      </c>
      <c r="K9" s="5">
        <f ca="1">SCCRedFacsFull!K9*K$4/SCCRedFacsFull!K$4</f>
        <v>0</v>
      </c>
      <c r="L9" s="5">
        <f ca="1">SCCRedFacsFull!L9*K$4/SCCRedFacsFull!K$4</f>
        <v>0</v>
      </c>
      <c r="M9" s="5">
        <f ca="1">'BACM-R8'!P153*($B$2-$M$3+1)*$M$4/SCCRedFacsFull!$M$4</f>
        <v>0.14381270903010035</v>
      </c>
      <c r="N9" s="5">
        <f ca="1">'BACM-R8'!O153*($B$2-$M$3+1)*$M$4/SCCRedFacsFull!$M$4</f>
        <v>0.14381270903010035</v>
      </c>
      <c r="O9" s="5">
        <f ca="1">SCCRedFacsFull!O9*O$4/SCCRedFacsFull!O$4</f>
        <v>0</v>
      </c>
      <c r="P9" s="5">
        <f ca="1">SCCRedFacsFull!P9*O$4/SCCRedFacsFull!O$4</f>
        <v>0</v>
      </c>
      <c r="Q9" s="5">
        <f ca="1">IFERROR(OFFSET('STF-22'!$E$173,MATCH($B9,'STF-22'!$A$174:$A$191,0),MATCH($B$2,'STF-22'!$F$172:$AD$172,0))*Q$4/SCCRedFacsFull!Q$4,0)</f>
        <v>0.15770436984502464</v>
      </c>
      <c r="R9" s="5">
        <f ca="1">IFERROR(OFFSET('STF-22'!$E$173,MATCH($B9,'STF-22'!$A$174:$A$191,0),MATCH($B$2,'STF-22'!$F$172:$AD$172,0)-1)*R$4/SCCRedFacsFull!R$4,0)</f>
        <v>0.15770436984502462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0.48392464855610162</v>
      </c>
      <c r="Z9" s="510">
        <f ca="1">1-(1-F9)*(1-H9)*(1-J9)*(1-L9)*(1-N9)*(1-P9)*(1-R9)*(1-T9)*(1-X9)</f>
        <v>0.30496329150181212</v>
      </c>
      <c r="AA9" s="617">
        <f ca="1">VLOOKUP($B9,INDIRECT("'CurtailCalcs"&amp;$B$2&amp;"-2Stage'!$AS$91:$BE$109"),10,FALSE)</f>
        <v>0</v>
      </c>
      <c r="AB9" s="617">
        <f ca="1">VLOOKUP($B9,INDIRECT("'CurtailCalcs"&amp;$B$2&amp;"-2Stage'!$AS$91:$BE$109"),11,FALSE)</f>
        <v>0.38394355046314343</v>
      </c>
      <c r="AC9" s="617">
        <f ca="1">VLOOKUP($B9,INDIRECT("'CurtailCalcs"&amp;$B$2&amp;"-2Stage'!$AS$91:$BE$109"),12,FALSE)</f>
        <v>0</v>
      </c>
      <c r="AD9" s="617">
        <f ca="1">VLOOKUP($B9,INDIRECT("'CurtailCalcs"&amp;$B$2&amp;"-2Stage'!$AS$91:$BE$109"),13,FALSE)</f>
        <v>7.4913571359248365E-2</v>
      </c>
      <c r="AE9" s="510">
        <f ca="1">1-(1-$Y9)*(1-AA9)</f>
        <v>0.48392464855610162</v>
      </c>
      <c r="AF9" s="510">
        <f ca="1">1-(1-$Y9)*(1-AB9)</f>
        <v>0.68206845129598648</v>
      </c>
      <c r="AG9" s="510">
        <f ca="1">1-(1-$Z9)*(1-AC9)</f>
        <v>0.30496329150181212</v>
      </c>
      <c r="AH9" s="510">
        <f ca="1">1-(1-$Z9)*(1-AD9)</f>
        <v>0.35703097356118818</v>
      </c>
      <c r="AI9" s="530">
        <f ca="1">(Y9*$AJ$3+AE9*$AJ$4+AF9*$AJ$5)/35</f>
        <v>0.60281093020003251</v>
      </c>
      <c r="AJ9" s="530">
        <f ca="1">(Z9*$AJ$3+AG9*$AJ$4+AH9*$AJ$5)/35</f>
        <v>0.33620390073743778</v>
      </c>
    </row>
    <row r="10" spans="1:36" x14ac:dyDescent="0.25">
      <c r="A10" s="812" t="s">
        <v>138</v>
      </c>
      <c r="B10" s="812">
        <v>2104008210</v>
      </c>
      <c r="C10" s="5">
        <f ca="1">INDIRECT("'DevSumOut-"&amp;$B$2&amp;"BSR'!R51")</f>
        <v>5.1833834205788992E-2</v>
      </c>
      <c r="D10" s="5">
        <f ca="1">INDIRECT("'DevSumOut-"&amp;$B$2&amp;"BSR'!P51")</f>
        <v>6.7756646020639209E-4</v>
      </c>
      <c r="E10" s="5">
        <f ca="1">OFFSET('WSCOReductions-5PctSIP'!$U$81,0,MATCH($B$2,'WSCOReductions-5PctSIP'!$X$78:$AQ$78,1)+2)</f>
        <v>0.2581731301263559</v>
      </c>
      <c r="F10" s="5">
        <f ca="1">OFFSET('WSCOReductions-5PctSIP'!$U$84,0,MATCH($B$2,'WSCOReductions-5PctSIP'!$X$78:$AQ$78,1)+2)</f>
        <v>9.2708464000170528E-4</v>
      </c>
      <c r="G10" s="5">
        <f ca="1">SCCRedFacsFull!G10*G$4/SCCRedFacsFull!G$4</f>
        <v>0</v>
      </c>
      <c r="H10" s="5">
        <f ca="1">SCCRedFacsFull!H10*G$4/SCCRedFacsFull!G$4</f>
        <v>0</v>
      </c>
      <c r="I10" s="5">
        <f ca="1">SCCRedFacsFull!I10*I$4/SCCRedFacsFull!I$4</f>
        <v>3.5333421257817105E-2</v>
      </c>
      <c r="J10" s="5">
        <f ca="1">SCCRedFacsFull!J10*I$4/SCCRedFacsFull!I$4</f>
        <v>3.5333421257817105E-2</v>
      </c>
      <c r="K10" s="5">
        <f ca="1">SCCRedFacsFull!K10*K$4/SCCRedFacsFull!K$4</f>
        <v>0</v>
      </c>
      <c r="L10" s="5">
        <f ca="1">SCCRedFacsFull!L10*K$4/SCCRedFacsFull!K$4</f>
        <v>0</v>
      </c>
      <c r="M10" s="5">
        <f ca="1">'BACM-R8'!P154*($B$2-$M$3+1)*$M$4/SCCRedFacsFull!$M$4</f>
        <v>0.24324324324324326</v>
      </c>
      <c r="N10" s="5">
        <f ca="1">'BACM-R8'!O154*($B$2-$M$3+1)*$M$4/SCCRedFacsFull!$M$4</f>
        <v>0.24324324324324326</v>
      </c>
      <c r="O10" s="5">
        <f ca="1">SCCRedFacsFull!O10*O$4/SCCRedFacsFull!O$4</f>
        <v>0</v>
      </c>
      <c r="P10" s="5">
        <f ca="1">SCCRedFacsFull!P10*O$4/SCCRedFacsFull!O$4</f>
        <v>0</v>
      </c>
      <c r="Q10" s="5">
        <f ca="1">IFERROR(OFFSET('STF-22'!$E$173,MATCH($B10,'STF-22'!$A$174:$A$191,0),MATCH($B$2,'STF-22'!$F$172:$AD$172,0))*Q$4/SCCRedFacsFull!Q$4,0)</f>
        <v>0.15629883022884794</v>
      </c>
      <c r="R10" s="5">
        <f ca="1">IFERROR(OFFSET('STF-22'!$E$173,MATCH($B10,'STF-22'!$A$174:$A$191,0),MATCH($B$2,'STF-22'!$F$172:$AD$172,0)-1)*R$4/SCCRedFacsFull!R$4,0)</f>
        <v>0.15629883022884797</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0.54309622007134006</v>
      </c>
      <c r="Z10" s="510">
        <f t="shared" ca="1" si="0"/>
        <v>0.38465400757176405</v>
      </c>
      <c r="AA10" s="617">
        <f ca="1">VLOOKUP($B10,INDIRECT("'CurtailCalcs"&amp;$B$2&amp;"-2Stage'!$AS$91:$BE$109"),10,FALSE)</f>
        <v>0.38363526536410086</v>
      </c>
      <c r="AB10" s="617">
        <f ca="1">VLOOKUP($B10,INDIRECT("'CurtailCalcs"&amp;$B$2&amp;"-2Stage'!$AS$91:$BE$109"),11,FALSE)</f>
        <v>0.38363526536410086</v>
      </c>
      <c r="AC10" s="617">
        <f ca="1">VLOOKUP($B10,INDIRECT("'CurtailCalcs"&amp;$B$2&amp;"-2Stage'!$AS$91:$BE$109"),12,FALSE)</f>
        <v>-1.3822081636614381</v>
      </c>
      <c r="AD10" s="617">
        <f ca="1">VLOOKUP($B10,INDIRECT("'CurtailCalcs"&amp;$B$2&amp;"-2Stage'!$AS$91:$BE$109"),13,FALSE)</f>
        <v>-1.3822081636614381</v>
      </c>
      <c r="AE10" s="510">
        <f t="shared" ref="AE10:AF26" ca="1" si="1">1-(1-$Y10)*(1-AA10)</f>
        <v>0.71838062293013227</v>
      </c>
      <c r="AF10" s="510">
        <f t="shared" ca="1" si="1"/>
        <v>0.71838062293013227</v>
      </c>
      <c r="AG10" s="510">
        <f t="shared" ref="AG10:AH26" ca="1" si="2">1-(1-$Z10)*(1-AC10)</f>
        <v>-0.46588224663889322</v>
      </c>
      <c r="AH10" s="510">
        <f t="shared" ca="1" si="2"/>
        <v>-0.46588224663889322</v>
      </c>
      <c r="AI10" s="530">
        <f t="shared" ref="AI10:AI26" ca="1" si="3">(Y10*$AJ$3+AE10*$AJ$4+AF10*$AJ$5)/35</f>
        <v>0.67330749076644292</v>
      </c>
      <c r="AJ10" s="530">
        <f t="shared" ref="AJ10:AJ26" ca="1" si="4">(Z10*$AJ$3+AG10*$AJ$4+AH10*$AJ$5)/35</f>
        <v>-0.24717292412758138</v>
      </c>
    </row>
    <row r="11" spans="1:36" x14ac:dyDescent="0.25">
      <c r="A11" s="812" t="s">
        <v>139</v>
      </c>
      <c r="B11" s="812">
        <v>2104008220</v>
      </c>
      <c r="C11" s="5">
        <f ca="1">INDIRECT("'DevSumOut-"&amp;$B$2&amp;"BSR'!R52")</f>
        <v>4.2796784236900379E-2</v>
      </c>
      <c r="D11" s="5">
        <f ca="1">INDIRECT("'DevSumOut-"&amp;$B$2&amp;"BSR'!P52")</f>
        <v>1.4265594745633456E-3</v>
      </c>
      <c r="E11" s="5">
        <f ca="1">OFFSET('WSCOReductions-5PctSIP'!$U$81,0,MATCH($B$2,'WSCOReductions-5PctSIP'!$X$78:$AQ$78,1)+2)</f>
        <v>0.2581731301263559</v>
      </c>
      <c r="F11" s="5">
        <f ca="1">OFFSET('WSCOReductions-5PctSIP'!$U$84,0,MATCH($B$2,'WSCOReductions-5PctSIP'!$X$78:$AQ$78,1)+2)</f>
        <v>9.2708464000170528E-4</v>
      </c>
      <c r="G11" s="5">
        <f ca="1">SCCRedFacsFull!G11*G$4/SCCRedFacsFull!G$4</f>
        <v>0</v>
      </c>
      <c r="H11" s="5">
        <f ca="1">SCCRedFacsFull!H11*G$4/SCCRedFacsFull!G$4</f>
        <v>0</v>
      </c>
      <c r="I11" s="5">
        <f ca="1">SCCRedFacsFull!I11*I$4/SCCRedFacsFull!I$4</f>
        <v>3.5333421257817126E-2</v>
      </c>
      <c r="J11" s="5">
        <f ca="1">SCCRedFacsFull!J11*I$4/SCCRedFacsFull!I$4</f>
        <v>3.5333421257817091E-2</v>
      </c>
      <c r="K11" s="5">
        <f ca="1">SCCRedFacsFull!K11*K$4/SCCRedFacsFull!K$4</f>
        <v>0</v>
      </c>
      <c r="L11" s="5">
        <f ca="1">SCCRedFacsFull!L11*K$4/SCCRedFacsFull!K$4</f>
        <v>0</v>
      </c>
      <c r="M11" s="5">
        <f ca="1">'BACM-R8'!P155*($B$2-$M$3+1)*$M$4/SCCRedFacsFull!$M$4</f>
        <v>0.10033848309013603</v>
      </c>
      <c r="N11" s="5">
        <f ca="1">'BACM-R8'!O155*($B$2-$M$3+1)*$M$4/SCCRedFacsFull!$M$4</f>
        <v>3.3286619638061829E-2</v>
      </c>
      <c r="O11" s="5">
        <f ca="1">SCCRedFacsFull!O11*O$4/SCCRedFacsFull!O$4</f>
        <v>0</v>
      </c>
      <c r="P11" s="5">
        <f ca="1">SCCRedFacsFull!P11*O$4/SCCRedFacsFull!O$4</f>
        <v>0</v>
      </c>
      <c r="Q11" s="5">
        <f ca="1">IFERROR(OFFSET('STF-22'!$E$173,MATCH($B11,'STF-22'!$A$174:$A$191,0),MATCH($B$2,'STF-22'!$F$172:$AD$172,0))*Q$4/SCCRedFacsFull!Q$4,0)</f>
        <v>0.96114112584231548</v>
      </c>
      <c r="R11" s="5">
        <f ca="1">IFERROR(OFFSET('STF-22'!$E$173,MATCH($B11,'STF-22'!$A$174:$A$191,0),MATCH($B$2,'STF-22'!$F$172:$AD$172,0)-1)*R$4/SCCRedFacsFull!R$4,0)</f>
        <v>0.94989833610532914</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0.97498219805150288</v>
      </c>
      <c r="Z11" s="510">
        <f t="shared" ca="1" si="0"/>
        <v>0.95332070406875624</v>
      </c>
      <c r="AA11" s="617">
        <f t="shared" ref="AA11:AA23" ca="1" si="5">VLOOKUP($B11,INDIRECT("'CurtailCalcs"&amp;$B$2&amp;"-2Stage'!$AS$91:$BE$109"),10,FALSE)</f>
        <v>0.29420413770727238</v>
      </c>
      <c r="AB11" s="617">
        <f t="shared" ref="AB11:AB23" ca="1" si="6">VLOOKUP($B11,INDIRECT("'CurtailCalcs"&amp;$B$2&amp;"-2Stage'!$AS$91:$BE$109"),11,FALSE)</f>
        <v>0.3824653790194541</v>
      </c>
      <c r="AC11" s="617">
        <f t="shared" ref="AC11:AC23" ca="1" si="7">VLOOKUP($B11,INDIRECT("'CurtailCalcs"&amp;$B$2&amp;"-2Stage'!$AS$91:$BE$109"),12,FALSE)</f>
        <v>-1.9463411308010561</v>
      </c>
      <c r="AD11" s="617">
        <f t="shared" ref="AD11:AD23" ca="1" si="8">VLOOKUP($B11,INDIRECT("'CurtailCalcs"&amp;$B$2&amp;"-2Stage'!$AS$91:$BE$109"),13,FALSE)</f>
        <v>-2.5302434700413725</v>
      </c>
      <c r="AE11" s="510">
        <f t="shared" ca="1" si="1"/>
        <v>0.9823425389010918</v>
      </c>
      <c r="AF11" s="510">
        <f t="shared" ca="1" si="1"/>
        <v>0.98455064115596846</v>
      </c>
      <c r="AG11" s="510">
        <f t="shared" ca="1" si="2"/>
        <v>0.86246687044094217</v>
      </c>
      <c r="AH11" s="510">
        <f t="shared" ca="1" si="2"/>
        <v>0.83521072035259791</v>
      </c>
      <c r="AI11" s="530">
        <f t="shared" ca="1" si="3"/>
        <v>0.98177474117840935</v>
      </c>
      <c r="AJ11" s="530">
        <f t="shared" ca="1" si="4"/>
        <v>0.86947559474937353</v>
      </c>
    </row>
    <row r="12" spans="1:36" x14ac:dyDescent="0.25">
      <c r="A12" s="812" t="s">
        <v>140</v>
      </c>
      <c r="B12" s="812">
        <v>2104008230</v>
      </c>
      <c r="C12" s="5">
        <f ca="1">INDIRECT("'DevSumOut-"&amp;$B$2&amp;"BSR'!R53")</f>
        <v>2.7914030739642468E-2</v>
      </c>
      <c r="D12" s="5">
        <f ca="1">INDIRECT("'DevSumOut-"&amp;$B$2&amp;"BSR'!P53")</f>
        <v>8.5889325352746042E-4</v>
      </c>
      <c r="E12" s="5">
        <f ca="1">OFFSET('WSCOReductions-5PctSIP'!$U$81,0,MATCH($B$2,'WSCOReductions-5PctSIP'!$X$78:$AQ$78,1)+2)</f>
        <v>0.2581731301263559</v>
      </c>
      <c r="F12" s="5">
        <f ca="1">OFFSET('WSCOReductions-5PctSIP'!$U$84,0,MATCH($B$2,'WSCOReductions-5PctSIP'!$X$78:$AQ$78,1)+2)</f>
        <v>9.2708464000170528E-4</v>
      </c>
      <c r="G12" s="5">
        <f ca="1">SCCRedFacsFull!G12*G$4/SCCRedFacsFull!G$4</f>
        <v>0</v>
      </c>
      <c r="H12" s="5">
        <f ca="1">SCCRedFacsFull!H12*G$4/SCCRedFacsFull!G$4</f>
        <v>0</v>
      </c>
      <c r="I12" s="5">
        <f ca="1">SCCRedFacsFull!I12*I$4/SCCRedFacsFull!I$4</f>
        <v>3.5333421257817119E-2</v>
      </c>
      <c r="J12" s="5">
        <f ca="1">SCCRedFacsFull!J12*I$4/SCCRedFacsFull!I$4</f>
        <v>3.5333421257817105E-2</v>
      </c>
      <c r="K12" s="5">
        <f ca="1">SCCRedFacsFull!K12*K$4/SCCRedFacsFull!K$4</f>
        <v>0</v>
      </c>
      <c r="L12" s="5">
        <f ca="1">SCCRedFacsFull!L12*K$4/SCCRedFacsFull!K$4</f>
        <v>0</v>
      </c>
      <c r="M12" s="5">
        <f ca="1">'BACM-R8'!P156*($B$2-$M$3+1)*$M$4/SCCRedFacsFull!$M$4</f>
        <v>0.10033848309013607</v>
      </c>
      <c r="N12" s="5">
        <f ca="1">'BACM-R8'!O156*($B$2-$M$3+1)*$M$4/SCCRedFacsFull!$M$4</f>
        <v>3.6060504607900334E-2</v>
      </c>
      <c r="O12" s="5">
        <f ca="1">SCCRedFacsFull!O12*O$4/SCCRedFacsFull!O$4</f>
        <v>0</v>
      </c>
      <c r="P12" s="5">
        <f ca="1">SCCRedFacsFull!P12*O$4/SCCRedFacsFull!O$4</f>
        <v>0</v>
      </c>
      <c r="Q12" s="5">
        <f ca="1">IFERROR(OFFSET('STF-22'!$E$173,MATCH($B12,'STF-22'!$A$174:$A$191,0),MATCH($B$2,'STF-22'!$F$172:$AD$172,0))*Q$4/SCCRedFacsFull!Q$4,0)</f>
        <v>0.96114112584231526</v>
      </c>
      <c r="R12" s="5">
        <f ca="1">IFERROR(OFFSET('STF-22'!$E$173,MATCH($B12,'STF-22'!$A$174:$A$191,0),MATCH($B$2,'STF-22'!$F$172:$AD$172,0)-1)*R$4/SCCRedFacsFull!R$4,0)</f>
        <v>1</v>
      </c>
      <c r="S12" s="5">
        <f ca="1">SCCRedFacsFull!S12*S$4/SCCRedFacsFull!S$4</f>
        <v>5.9017531678527933E-3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0.97512984694340499</v>
      </c>
      <c r="Z12" s="510">
        <f t="shared" ca="1" si="0"/>
        <v>1</v>
      </c>
      <c r="AA12" s="617">
        <f t="shared" ca="1" si="5"/>
        <v>0.29422890297323057</v>
      </c>
      <c r="AB12" s="617">
        <f t="shared" ca="1" si="6"/>
        <v>0.38249757386519989</v>
      </c>
      <c r="AC12" s="617">
        <f t="shared" ca="1" si="7"/>
        <v>-2.0822032972365507</v>
      </c>
      <c r="AD12" s="617">
        <f t="shared" ca="1" si="8"/>
        <v>-2.7068642864075154</v>
      </c>
      <c r="AE12" s="510">
        <f t="shared" ca="1" si="1"/>
        <v>0.98244736479402328</v>
      </c>
      <c r="AF12" s="510">
        <f t="shared" ca="1" si="1"/>
        <v>0.98464262014920878</v>
      </c>
      <c r="AG12" s="510">
        <f t="shared" ca="1" si="2"/>
        <v>1</v>
      </c>
      <c r="AH12" s="510">
        <f t="shared" ca="1" si="2"/>
        <v>1</v>
      </c>
      <c r="AI12" s="530">
        <f t="shared" ca="1" si="3"/>
        <v>0.9818828705598327</v>
      </c>
      <c r="AJ12" s="530">
        <f t="shared" ca="1" si="4"/>
        <v>1</v>
      </c>
    </row>
    <row r="13" spans="1:36" x14ac:dyDescent="0.25">
      <c r="A13" s="812" t="s">
        <v>141</v>
      </c>
      <c r="B13" s="812">
        <v>2104008310</v>
      </c>
      <c r="C13" s="5">
        <f ca="1">INDIRECT("'DevSumOut-"&amp;$B$2&amp;"BSR'!R54")</f>
        <v>0.41740300066289604</v>
      </c>
      <c r="D13" s="5">
        <f ca="1">INDIRECT("'DevSumOut-"&amp;$B$2&amp;"BSR'!P54")</f>
        <v>1.3750683264388261E-2</v>
      </c>
      <c r="E13" s="5">
        <f ca="1">OFFSET('WSCOReductions-5PctSIP'!$U$81,0,MATCH($B$2,'WSCOReductions-5PctSIP'!$X$78:$AQ$78,1)+2)</f>
        <v>0.2581731301263559</v>
      </c>
      <c r="F13" s="5">
        <f ca="1">OFFSET('WSCOReductions-5PctSIP'!$U$84,0,MATCH($B$2,'WSCOReductions-5PctSIP'!$X$78:$AQ$78,1)+2)</f>
        <v>9.2708464000170528E-4</v>
      </c>
      <c r="G13" s="5">
        <f ca="1">SCCRedFacsFull!G13*G$4/SCCRedFacsFull!G$4</f>
        <v>0</v>
      </c>
      <c r="H13" s="5">
        <f ca="1">SCCRedFacsFull!H13*G$4/SCCRedFacsFull!G$4</f>
        <v>0</v>
      </c>
      <c r="I13" s="5">
        <f ca="1">SCCRedFacsFull!I13*I$4/SCCRedFacsFull!I$4</f>
        <v>3.5333421257817091E-2</v>
      </c>
      <c r="J13" s="5">
        <f ca="1">SCCRedFacsFull!J13*I$4/SCCRedFacsFull!I$4</f>
        <v>3.5333421257817077E-2</v>
      </c>
      <c r="K13" s="5">
        <f ca="1">SCCRedFacsFull!K13*K$4/SCCRedFacsFull!K$4</f>
        <v>0</v>
      </c>
      <c r="L13" s="5">
        <f ca="1">SCCRedFacsFull!L13*K$4/SCCRedFacsFull!K$4</f>
        <v>0</v>
      </c>
      <c r="M13" s="5">
        <f ca="1">'BACM-R8'!P157*($B$2-$M$3+1)*$M$4/SCCRedFacsFull!$M$4</f>
        <v>0.23175965665236048</v>
      </c>
      <c r="N13" s="5">
        <f ca="1">'BACM-R8'!O157*($B$2-$M$3+1)*$M$4/SCCRedFacsFull!$M$4</f>
        <v>0.23175965665236048</v>
      </c>
      <c r="O13" s="5">
        <f ca="1">SCCRedFacsFull!O13*O$4/SCCRedFacsFull!O$4</f>
        <v>0</v>
      </c>
      <c r="P13" s="5">
        <f ca="1">SCCRedFacsFull!P13*O$4/SCCRedFacsFull!O$4</f>
        <v>0</v>
      </c>
      <c r="Q13" s="5">
        <f ca="1">IFERROR(OFFSET('STF-22'!$E$173,MATCH($B13,'STF-22'!$A$174:$A$191,0),MATCH($B$2,'STF-22'!$F$172:$AD$172,0))*Q$4/SCCRedFacsFull!Q$4,0)</f>
        <v>2.6398774744342813E-2</v>
      </c>
      <c r="R13" s="5">
        <f ca="1">IFERROR(OFFSET('STF-22'!$E$173,MATCH($B13,'STF-22'!$A$174:$A$191,0),MATCH($B$2,'STF-22'!$F$172:$AD$172,0)-1)*R$4/SCCRedFacsFull!R$4,0)</f>
        <v>2.5900101059411276E-2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0.46474835073052212</v>
      </c>
      <c r="Z13" s="510">
        <f t="shared" ca="1" si="0"/>
        <v>0.27876793565560498</v>
      </c>
      <c r="AA13" s="617">
        <f t="shared" ca="1" si="5"/>
        <v>0.38275908817786697</v>
      </c>
      <c r="AB13" s="617">
        <f t="shared" ca="1" si="6"/>
        <v>0.38275908817786697</v>
      </c>
      <c r="AC13" s="617">
        <f t="shared" ca="1" si="7"/>
        <v>-2.0003810209429416</v>
      </c>
      <c r="AD13" s="617">
        <f t="shared" ca="1" si="8"/>
        <v>-2.0003810209429416</v>
      </c>
      <c r="AE13" s="510">
        <f t="shared" ca="1" si="1"/>
        <v>0.66962078395060698</v>
      </c>
      <c r="AF13" s="510">
        <f t="shared" ca="1" si="1"/>
        <v>0.66962078395060698</v>
      </c>
      <c r="AG13" s="510">
        <f t="shared" ca="1" si="2"/>
        <v>-1.1639709975544212</v>
      </c>
      <c r="AH13" s="510">
        <f t="shared" ca="1" si="2"/>
        <v>-1.1639709975544212</v>
      </c>
      <c r="AI13" s="530">
        <f t="shared" ca="1" si="3"/>
        <v>0.61693930112258522</v>
      </c>
      <c r="AJ13" s="530">
        <f t="shared" ca="1" si="4"/>
        <v>-0.79298098615755741</v>
      </c>
    </row>
    <row r="14" spans="1:36" x14ac:dyDescent="0.25">
      <c r="A14" s="812" t="s">
        <v>142</v>
      </c>
      <c r="B14" s="812">
        <v>2104008320</v>
      </c>
      <c r="C14" s="5">
        <f ca="1">INDIRECT("'DevSumOut-"&amp;$B$2&amp;"BSR'!R55")</f>
        <v>0.57359902550757647</v>
      </c>
      <c r="D14" s="5">
        <f ca="1">INDIRECT("'DevSumOut-"&amp;$B$2&amp;"BSR'!P55")</f>
        <v>2.8950912780655459E-2</v>
      </c>
      <c r="E14" s="5">
        <f ca="1">OFFSET('WSCOReductions-5PctSIP'!$U$81,0,MATCH($B$2,'WSCOReductions-5PctSIP'!$X$78:$AQ$78,1)+2)</f>
        <v>0.2581731301263559</v>
      </c>
      <c r="F14" s="5">
        <f ca="1">OFFSET('WSCOReductions-5PctSIP'!$U$84,0,MATCH($B$2,'WSCOReductions-5PctSIP'!$X$78:$AQ$78,1)+2)</f>
        <v>9.2708464000170528E-4</v>
      </c>
      <c r="G14" s="5">
        <f ca="1">SCCRedFacsFull!G14*G$4/SCCRedFacsFull!G$4</f>
        <v>0</v>
      </c>
      <c r="H14" s="5">
        <f ca="1">SCCRedFacsFull!H14*G$4/SCCRedFacsFull!G$4</f>
        <v>0</v>
      </c>
      <c r="I14" s="5">
        <f ca="1">SCCRedFacsFull!I14*I$4/SCCRedFacsFull!I$4</f>
        <v>3.5333421257817105E-2</v>
      </c>
      <c r="J14" s="5">
        <f ca="1">SCCRedFacsFull!J14*I$4/SCCRedFacsFull!I$4</f>
        <v>3.5333421257817084E-2</v>
      </c>
      <c r="K14" s="5">
        <f ca="1">SCCRedFacsFull!K14*K$4/SCCRedFacsFull!K$4</f>
        <v>0</v>
      </c>
      <c r="L14" s="5">
        <f ca="1">SCCRedFacsFull!L14*K$4/SCCRedFacsFull!K$4</f>
        <v>0</v>
      </c>
      <c r="M14" s="5">
        <f ca="1">'BACM-R8'!P158*($B$2-$M$3+1)*$M$4/SCCRedFacsFull!$M$4</f>
        <v>5.1811365963443337E-2</v>
      </c>
      <c r="N14" s="5">
        <f ca="1">'BACM-R8'!O158*($B$2-$M$3+1)*$M$4/SCCRedFacsFull!$M$4</f>
        <v>-1.4532592169174829E-2</v>
      </c>
      <c r="O14" s="5">
        <f ca="1">SCCRedFacsFull!O14*O$4/SCCRedFacsFull!O$4</f>
        <v>0</v>
      </c>
      <c r="P14" s="5">
        <f ca="1">SCCRedFacsFull!P14*O$4/SCCRedFacsFull!O$4</f>
        <v>0</v>
      </c>
      <c r="Q14" s="5">
        <f ca="1">IFERROR(OFFSET('STF-22'!$E$173,MATCH($B14,'STF-22'!$A$174:$A$191,0),MATCH($B$2,'STF-22'!$F$172:$AD$172,0))*Q$4/SCCRedFacsFull!Q$4,0)</f>
        <v>0.15995769904499768</v>
      </c>
      <c r="R14" s="5">
        <f ca="1">IFERROR(OFFSET('STF-22'!$E$173,MATCH($B14,'STF-22'!$A$174:$A$191,0),MATCH($B$2,'STF-22'!$F$172:$AD$172,0)-1)*R$4/SCCRedFacsFull!R$4,0)</f>
        <v>0.15363049968549006</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0.42999890052858047</v>
      </c>
      <c r="Z14" s="510">
        <f t="shared" ca="1" si="0"/>
        <v>0.17243821782144397</v>
      </c>
      <c r="AA14" s="617">
        <f t="shared" ca="1" si="5"/>
        <v>0.29354300452577731</v>
      </c>
      <c r="AB14" s="617">
        <f t="shared" ca="1" si="6"/>
        <v>0.3816059058835104</v>
      </c>
      <c r="AC14" s="617">
        <f t="shared" ca="1" si="7"/>
        <v>-2.0142722140188036</v>
      </c>
      <c r="AD14" s="617">
        <f t="shared" ca="1" si="8"/>
        <v>-2.6185538782244442</v>
      </c>
      <c r="AE14" s="510">
        <f t="shared" ca="1" si="1"/>
        <v>0.59731873585041739</v>
      </c>
      <c r="AF14" s="510">
        <f t="shared" ca="1" si="1"/>
        <v>0.64751468644696852</v>
      </c>
      <c r="AG14" s="510">
        <f t="shared" ca="1" si="2"/>
        <v>-1.4944964854047029</v>
      </c>
      <c r="AH14" s="510">
        <f t="shared" ca="1" si="2"/>
        <v>-1.9945768963725468</v>
      </c>
      <c r="AI14" s="530">
        <f t="shared" ca="1" si="3"/>
        <v>0.58441120569701854</v>
      </c>
      <c r="AJ14" s="530">
        <f t="shared" ca="1" si="4"/>
        <v>-1.3659043797272572</v>
      </c>
    </row>
    <row r="15" spans="1:36" x14ac:dyDescent="0.25">
      <c r="A15" s="812" t="s">
        <v>143</v>
      </c>
      <c r="B15" s="812">
        <v>2104008330</v>
      </c>
      <c r="C15" s="5">
        <f ca="1">INDIRECT("'DevSumOut-"&amp;$B$2&amp;"BSR'!R56")</f>
        <v>0.38319503427032575</v>
      </c>
      <c r="D15" s="5">
        <f ca="1">INDIRECT("'DevSumOut-"&amp;$B$2&amp;"BSR'!P56")</f>
        <v>1.7430569222063472E-2</v>
      </c>
      <c r="E15" s="5">
        <f ca="1">OFFSET('WSCOReductions-5PctSIP'!$U$81,0,MATCH($B$2,'WSCOReductions-5PctSIP'!$X$78:$AQ$78,1)+2)</f>
        <v>0.2581731301263559</v>
      </c>
      <c r="F15" s="5">
        <f ca="1">OFFSET('WSCOReductions-5PctSIP'!$U$84,0,MATCH($B$2,'WSCOReductions-5PctSIP'!$X$78:$AQ$78,1)+2)</f>
        <v>9.2708464000170528E-4</v>
      </c>
      <c r="G15" s="5">
        <f ca="1">SCCRedFacsFull!G15*G$4/SCCRedFacsFull!G$4</f>
        <v>0</v>
      </c>
      <c r="H15" s="5">
        <f ca="1">SCCRedFacsFull!H15*G$4/SCCRedFacsFull!G$4</f>
        <v>0</v>
      </c>
      <c r="I15" s="5">
        <f ca="1">SCCRedFacsFull!I15*I$4/SCCRedFacsFull!I$4</f>
        <v>3.5333421257817091E-2</v>
      </c>
      <c r="J15" s="5">
        <f ca="1">SCCRedFacsFull!J15*I$4/SCCRedFacsFull!I$4</f>
        <v>3.5333421257817112E-2</v>
      </c>
      <c r="K15" s="5">
        <f ca="1">SCCRedFacsFull!K15*K$4/SCCRedFacsFull!K$4</f>
        <v>0</v>
      </c>
      <c r="L15" s="5">
        <f ca="1">SCCRedFacsFull!L15*K$4/SCCRedFacsFull!K$4</f>
        <v>0</v>
      </c>
      <c r="M15" s="5">
        <f ca="1">'BACM-R8'!P159*($B$2-$M$3+1)*$M$4/SCCRedFacsFull!$M$4</f>
        <v>5.1811365963443316E-2</v>
      </c>
      <c r="N15" s="5">
        <f ca="1">'BACM-R8'!O159*($B$2-$M$3+1)*$M$4/SCCRedFacsFull!$M$4</f>
        <v>-1.6125205009632347E-2</v>
      </c>
      <c r="O15" s="5">
        <f ca="1">SCCRedFacsFull!O15*O$4/SCCRedFacsFull!O$4</f>
        <v>0</v>
      </c>
      <c r="P15" s="5">
        <f ca="1">SCCRedFacsFull!P15*O$4/SCCRedFacsFull!O$4</f>
        <v>0</v>
      </c>
      <c r="Q15" s="5">
        <f ca="1">IFERROR(OFFSET('STF-22'!$E$173,MATCH($B15,'STF-22'!$A$174:$A$191,0),MATCH($B$2,'STF-22'!$F$172:$AD$172,0))*Q$4/SCCRedFacsFull!Q$4,0)</f>
        <v>0.15995769904499768</v>
      </c>
      <c r="R15" s="5">
        <f ca="1">IFERROR(OFFSET('STF-22'!$E$173,MATCH($B15,'STF-22'!$A$174:$A$191,0),MATCH($B$2,'STF-22'!$F$172:$AD$172,0)-1)*R$4/SCCRedFacsFull!R$4,0)</f>
        <v>0.17046671882910547</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0.42999890052858047</v>
      </c>
      <c r="Z15" s="510">
        <f t="shared" ca="1" si="0"/>
        <v>0.18762704461076196</v>
      </c>
      <c r="AA15" s="617">
        <f t="shared" ca="1" si="5"/>
        <v>0.29362726123173721</v>
      </c>
      <c r="AB15" s="617">
        <f t="shared" ca="1" si="6"/>
        <v>0.38171543960125831</v>
      </c>
      <c r="AC15" s="617">
        <f t="shared" ca="1" si="7"/>
        <v>-2.1501343804542983</v>
      </c>
      <c r="AD15" s="617">
        <f t="shared" ca="1" si="8"/>
        <v>-2.795174694590588</v>
      </c>
      <c r="AE15" s="510">
        <f t="shared" ca="1" si="1"/>
        <v>0.59736676226545238</v>
      </c>
      <c r="AF15" s="510">
        <f t="shared" ca="1" si="1"/>
        <v>0.64757712078651397</v>
      </c>
      <c r="AG15" s="510">
        <f t="shared" ca="1" si="2"/>
        <v>-1.5590839765229045</v>
      </c>
      <c r="AH15" s="510">
        <f t="shared" ca="1" si="2"/>
        <v>-2.083097282863005</v>
      </c>
      <c r="AI15" s="530">
        <f t="shared" ca="1" si="3"/>
        <v>0.58445552721717953</v>
      </c>
      <c r="AJ15" s="530">
        <f t="shared" ca="1" si="4"/>
        <v>-1.4243376977497362</v>
      </c>
    </row>
    <row r="16" spans="1:36" x14ac:dyDescent="0.25">
      <c r="A16" s="812" t="s">
        <v>144</v>
      </c>
      <c r="B16" s="812">
        <v>2104008410</v>
      </c>
      <c r="C16" s="5">
        <f ca="1">INDIRECT("'DevSumOut-"&amp;$B$2&amp;"BSR'!R57")</f>
        <v>1.4139396184964282E-2</v>
      </c>
      <c r="D16" s="5">
        <f ca="1">INDIRECT("'DevSumOut-"&amp;$B$2&amp;"BSR'!P57")</f>
        <v>1.5285833713474901E-3</v>
      </c>
      <c r="E16" s="5">
        <f ca="1">OFFSET('WSCOReductions-5PctSIP'!$U$81,0,MATCH($B$2,'WSCOReductions-5PctSIP'!$X$78:$AQ$78,1)+2)</f>
        <v>0.2581731301263559</v>
      </c>
      <c r="F16" s="5">
        <f ca="1">OFFSET('WSCOReductions-5PctSIP'!$U$84,0,MATCH($B$2,'WSCOReductions-5PctSIP'!$X$78:$AQ$78,1)+2)</f>
        <v>9.2708464000170528E-4</v>
      </c>
      <c r="G16" s="5">
        <f ca="1">SCCRedFacsFull!G16*G$4/SCCRedFacsFull!G$4</f>
        <v>0</v>
      </c>
      <c r="H16" s="5">
        <f ca="1">SCCRedFacsFull!H16*G$4/SCCRedFacsFull!G$4</f>
        <v>0</v>
      </c>
      <c r="I16" s="5">
        <f ca="1">SCCRedFacsFull!I16*I$4/SCCRedFacsFull!I$4</f>
        <v>3.5333421257817028E-2</v>
      </c>
      <c r="J16" s="5">
        <f ca="1">SCCRedFacsFull!J16*I$4/SCCRedFacsFull!I$4</f>
        <v>3.5333421257817084E-2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0.1464863123969706</v>
      </c>
      <c r="R16" s="5">
        <f ca="1">IFERROR(OFFSET('STF-22'!$E$173,MATCH($B16,'STF-22'!$A$174:$A$191,0),MATCH($B$2,'STF-22'!$F$172:$AD$172,0)-1)*R$4/SCCRedFacsFull!R$4,0)</f>
        <v>0.14648631239697063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0.38921230008484553</v>
      </c>
      <c r="Z16" s="510">
        <f t="shared" ca="1" si="0"/>
        <v>0.17740719189074339</v>
      </c>
      <c r="AA16" s="617">
        <f t="shared" ca="1" si="5"/>
        <v>0.3789569198779732</v>
      </c>
      <c r="AB16" s="617">
        <f t="shared" ca="1" si="6"/>
        <v>0.3789569198779732</v>
      </c>
      <c r="AC16" s="617">
        <f t="shared" ca="1" si="7"/>
        <v>-2.5688476929610511</v>
      </c>
      <c r="AD16" s="617">
        <f t="shared" ca="1" si="8"/>
        <v>-2.5688476929610511</v>
      </c>
      <c r="AE16" s="510">
        <f t="shared" ca="1" si="1"/>
        <v>0.62067452554404423</v>
      </c>
      <c r="AF16" s="510">
        <f t="shared" ca="1" si="1"/>
        <v>0.62067452554404423</v>
      </c>
      <c r="AG16" s="510">
        <f t="shared" ca="1" si="2"/>
        <v>-1.935708445467073</v>
      </c>
      <c r="AH16" s="510">
        <f t="shared" ca="1" si="2"/>
        <v>-1.935708445467073</v>
      </c>
      <c r="AI16" s="530">
        <f t="shared" ca="1" si="3"/>
        <v>0.56115566756882174</v>
      </c>
      <c r="AJ16" s="530">
        <f t="shared" ca="1" si="4"/>
        <v>-1.3923358530036345</v>
      </c>
    </row>
    <row r="17" spans="1:40" x14ac:dyDescent="0.25">
      <c r="A17" s="812" t="s">
        <v>145</v>
      </c>
      <c r="B17" s="812">
        <v>2104008420</v>
      </c>
      <c r="C17" s="5">
        <f ca="1">INDIRECT("'DevSumOut-"&amp;$B$2&amp;"BSR'!R58")</f>
        <v>4.769262276447387E-2</v>
      </c>
      <c r="D17" s="5">
        <f ca="1">INDIRECT("'DevSumOut-"&amp;$B$2&amp;"BSR'!P58")</f>
        <v>5.1559592177809607E-3</v>
      </c>
      <c r="E17" s="5">
        <f ca="1">OFFSET('WSCOReductions-5PctSIP'!$U$81,0,MATCH($B$2,'WSCOReductions-5PctSIP'!$X$78:$AQ$78,1)+2)</f>
        <v>0.2581731301263559</v>
      </c>
      <c r="F17" s="5">
        <f ca="1">OFFSET('WSCOReductions-5PctSIP'!$U$84,0,MATCH($B$2,'WSCOReductions-5PctSIP'!$X$78:$AQ$78,1)+2)</f>
        <v>9.2708464000170528E-4</v>
      </c>
      <c r="G17" s="5">
        <f ca="1">SCCRedFacsFull!G17*G$4/SCCRedFacsFull!G$4</f>
        <v>0</v>
      </c>
      <c r="H17" s="5">
        <f ca="1">SCCRedFacsFull!H17*G$4/SCCRedFacsFull!G$4</f>
        <v>0</v>
      </c>
      <c r="I17" s="5">
        <f ca="1">SCCRedFacsFull!I17*I$4/SCCRedFacsFull!I$4</f>
        <v>3.5333421257817091E-2</v>
      </c>
      <c r="J17" s="5">
        <f ca="1">SCCRedFacsFull!J17*I$4/SCCRedFacsFull!I$4</f>
        <v>3.5333421257817091E-2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0.17809924759889664</v>
      </c>
      <c r="R17" s="5">
        <f ca="1">IFERROR(OFFSET('STF-22'!$E$173,MATCH($B17,'STF-22'!$A$174:$A$191,0),MATCH($B$2,'STF-22'!$F$172:$AD$172,0)-1)*R$4/SCCRedFacsFull!R$4,0)</f>
        <v>0.17809924759889667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0.41183500931611428</v>
      </c>
      <c r="Z17" s="510">
        <f t="shared" ca="1" si="0"/>
        <v>0.20787486161653124</v>
      </c>
      <c r="AA17" s="617">
        <f t="shared" ca="1" si="5"/>
        <v>0.37697570983003414</v>
      </c>
      <c r="AB17" s="617">
        <f t="shared" ca="1" si="6"/>
        <v>0.37697570983003414</v>
      </c>
      <c r="AC17" s="617">
        <f t="shared" ca="1" si="7"/>
        <v>-3.7288950009100361</v>
      </c>
      <c r="AD17" s="617">
        <f t="shared" ca="1" si="8"/>
        <v>-3.7288950009100361</v>
      </c>
      <c r="AE17" s="510">
        <f t="shared" ca="1" si="1"/>
        <v>0.63355892417634752</v>
      </c>
      <c r="AF17" s="510">
        <f t="shared" ca="1" si="1"/>
        <v>0.63355892417634752</v>
      </c>
      <c r="AG17" s="510">
        <f t="shared" ca="1" si="2"/>
        <v>-2.745876606996756</v>
      </c>
      <c r="AH17" s="510">
        <f t="shared" ca="1" si="2"/>
        <v>-2.745876606996756</v>
      </c>
      <c r="AI17" s="530">
        <f t="shared" ca="1" si="3"/>
        <v>0.5765442032122875</v>
      </c>
      <c r="AJ17" s="530">
        <f t="shared" ca="1" si="4"/>
        <v>-1.9863405150676252</v>
      </c>
    </row>
    <row r="18" spans="1:40" x14ac:dyDescent="0.25">
      <c r="A18" s="812" t="s">
        <v>146</v>
      </c>
      <c r="B18" s="812">
        <v>2104008610</v>
      </c>
      <c r="C18" s="5">
        <f ca="1">INDIRECT("'DevSumOut-"&amp;$B$2&amp;"BSR'!R59")</f>
        <v>0.23695404740806003</v>
      </c>
      <c r="D18" s="5">
        <f ca="1">INDIRECT("'DevSumOut-"&amp;$B$2&amp;"BSR'!P59")</f>
        <v>9.6028529450874461E-3</v>
      </c>
      <c r="E18" s="5">
        <f ca="1">OFFSET('WSCOReductions-5PctSIP'!$U$81,0,MATCH($B$2,'WSCOReductions-5PctSIP'!$X$78:$AQ$78,1)+2)</f>
        <v>0.2581731301263559</v>
      </c>
      <c r="F18" s="5">
        <f ca="1">OFFSET('WSCOReductions-5PctSIP'!$U$84,0,MATCH($B$2,'WSCOReductions-5PctSIP'!$X$78:$AQ$78,1)+2)</f>
        <v>9.2708464000170528E-4</v>
      </c>
      <c r="G18" s="5">
        <f ca="1">SCCRedFacsFull!G18*G$4/SCCRedFacsFull!G$4</f>
        <v>0</v>
      </c>
      <c r="H18" s="5">
        <f ca="1">SCCRedFacsFull!H18*G$4/SCCRedFacsFull!G$4</f>
        <v>0</v>
      </c>
      <c r="I18" s="5">
        <f ca="1">SCCRedFacsFull!I18*I$4/SCCRedFacsFull!I$4</f>
        <v>3.533342125781707E-2</v>
      </c>
      <c r="J18" s="5">
        <f ca="1">SCCRedFacsFull!J18*I$4/SCCRedFacsFull!I$4</f>
        <v>3.5333421257817063E-2</v>
      </c>
      <c r="K18" s="5">
        <f ca="1">SCCRedFacsFull!K18*K$4/SCCRedFacsFull!K$4</f>
        <v>0</v>
      </c>
      <c r="L18" s="5">
        <f ca="1">SCCRedFacsFull!L18*K$4/SCCRedFacsFull!K$4</f>
        <v>0</v>
      </c>
      <c r="M18" s="5">
        <f ca="1">'BACM-R8'!P162*($B$2-$M$3+1)*$M$4/SCCRedFacsFull!$M$4</f>
        <v>0.19883093454645259</v>
      </c>
      <c r="N18" s="5">
        <f ca="1">'BACM-R8'!O162*($B$2-$M$3+1)*$M$4/SCCRedFacsFull!$M$4</f>
        <v>7.980821771641898E-2</v>
      </c>
      <c r="O18" s="5">
        <f ca="1">SCCRedFacsFull!O18*O$4/SCCRedFacsFull!O$4</f>
        <v>0</v>
      </c>
      <c r="P18" s="5">
        <f ca="1">SCCRedFacsFull!P18*O$4/SCCRedFacsFull!O$4</f>
        <v>0</v>
      </c>
      <c r="Q18" s="5">
        <f ca="1">IFERROR(OFFSET('STF-22'!$E$173,MATCH($B18,'STF-22'!$A$174:$A$191,0),MATCH($B$2,'STF-22'!$F$172:$AD$172,0))*Q$4/SCCRedFacsFull!Q$4,0)</f>
        <v>0.12631497725723345</v>
      </c>
      <c r="R18" s="5">
        <f ca="1">IFERROR(OFFSET('STF-22'!$E$173,MATCH($B18,'STF-22'!$A$174:$A$191,0),MATCH($B$2,'STF-22'!$F$172:$AD$172,0)-1)*R$4/SCCRedFacsFull!R$4,0)</f>
        <v>0.12631497725723348</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0.49909097640519839</v>
      </c>
      <c r="Z18" s="510">
        <f t="shared" ca="1" si="0"/>
        <v>0.22516780222411792</v>
      </c>
      <c r="AA18" s="617">
        <f t="shared" ca="1" si="5"/>
        <v>0.3534647635717818</v>
      </c>
      <c r="AB18" s="617">
        <f t="shared" ca="1" si="6"/>
        <v>0.38278442137957946</v>
      </c>
      <c r="AC18" s="617">
        <f t="shared" ca="1" si="7"/>
        <v>-1.3986562101196673</v>
      </c>
      <c r="AD18" s="617">
        <f t="shared" ca="1" si="8"/>
        <v>-1.5146737759360449</v>
      </c>
      <c r="AE18" s="510">
        <f t="shared" ca="1" si="1"/>
        <v>0.67614466600110701</v>
      </c>
      <c r="AF18" s="510">
        <f t="shared" ca="1" si="1"/>
        <v>0.69083114716574467</v>
      </c>
      <c r="AG18" s="510">
        <f t="shared" ca="1" si="2"/>
        <v>-0.85855606299578979</v>
      </c>
      <c r="AH18" s="510">
        <f t="shared" ca="1" si="2"/>
        <v>-0.94845020849790163</v>
      </c>
      <c r="AI18" s="530">
        <f t="shared" ca="1" si="3"/>
        <v>0.63942846308951307</v>
      </c>
      <c r="AJ18" s="530">
        <f t="shared" ca="1" si="4"/>
        <v>-0.6338206992405091</v>
      </c>
    </row>
    <row r="19" spans="1:40" x14ac:dyDescent="0.25">
      <c r="A19" s="812" t="s">
        <v>147</v>
      </c>
      <c r="B19" s="812">
        <v>2104004000</v>
      </c>
      <c r="C19" s="5">
        <f ca="1">INDIRECT("'DevSumOut-"&amp;$B$2&amp;"BSR'!R60")+INDIRECT("'DevSumOut-"&amp;$B$2&amp;"BSR'!R62")+INDIRECT("'DevSumOut-"&amp;$B$2&amp;"BSR'!R63")</f>
        <v>5.3828339333418712E-2</v>
      </c>
      <c r="D19" s="5">
        <f ca="1">INDIRECT("'DevSumOut-"&amp;$B$2&amp;"BSR'!P60")+INDIRECT("'DevSumOut-"&amp;$B$2&amp;"BSR'!P62")+INDIRECT("'DevSumOut-"&amp;$B$2&amp;"BSR'!P63")</f>
        <v>3.4101266092905025</v>
      </c>
      <c r="E19" s="5">
        <f ca="1">OFFSET('WSCOReductions-5PctSIP'!$U$81,0,MATCH($B$2,'WSCOReductions-5PctSIP'!$X$78:$AQ$78,1)+2)</f>
        <v>0.2581731301263559</v>
      </c>
      <c r="F19" s="5">
        <f ca="1">OFFSET('WSCOReductions-5PctSIP'!$U$84,0,MATCH($B$2,'WSCOReductions-5PctSIP'!$X$78:$AQ$78,1)+2)</f>
        <v>9.2708464000170528E-4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-4.3172045333081856E-3</v>
      </c>
      <c r="R19" s="5">
        <f ca="1">IFERROR(OFFSET('STF-22'!$E$173,MATCH($B19,'STF-22'!$A$174:$A$191,0),MATCH($B$2,'STF-22'!$F$172:$AD$172,0)-1)*R$4/SCCRedFacsFull!R$4,0)</f>
        <v>-4.3207575417449698E-3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0.25497051180080754</v>
      </c>
      <c r="Z19" s="510">
        <f t="shared" ca="1" si="0"/>
        <v>-3.3896671937931888E-3</v>
      </c>
      <c r="AA19" s="617">
        <f t="shared" ca="1" si="5"/>
        <v>0</v>
      </c>
      <c r="AB19" s="617">
        <f t="shared" ca="1" si="6"/>
        <v>0</v>
      </c>
      <c r="AC19" s="617">
        <f t="shared" ca="1" si="7"/>
        <v>0</v>
      </c>
      <c r="AD19" s="617">
        <f t="shared" ca="1" si="8"/>
        <v>0</v>
      </c>
      <c r="AE19" s="510">
        <f t="shared" ca="1" si="1"/>
        <v>0.25497051180080754</v>
      </c>
      <c r="AF19" s="510">
        <f t="shared" ca="1" si="1"/>
        <v>0.25497051180080754</v>
      </c>
      <c r="AG19" s="510">
        <f t="shared" ca="1" si="2"/>
        <v>-3.3896671937931888E-3</v>
      </c>
      <c r="AH19" s="510">
        <f t="shared" ca="1" si="2"/>
        <v>-3.3896671937931888E-3</v>
      </c>
      <c r="AI19" s="530">
        <f t="shared" ca="1" si="3"/>
        <v>0.25497051180080754</v>
      </c>
      <c r="AJ19" s="530">
        <f t="shared" ca="1" si="4"/>
        <v>-3.3896671937931888E-3</v>
      </c>
    </row>
    <row r="20" spans="1:40" x14ac:dyDescent="0.25">
      <c r="A20" s="812" t="s">
        <v>148</v>
      </c>
      <c r="B20" s="812">
        <v>2103004001</v>
      </c>
      <c r="C20" s="5">
        <f ca="1">INDIRECT("'DevSumOut-"&amp;$B$2&amp;"BSR'!R61")</f>
        <v>1.7087456833518078E-2</v>
      </c>
      <c r="D20" s="5">
        <f ca="1">INDIRECT("'DevSumOut-"&amp;$B$2&amp;"BSR'!P61")</f>
        <v>0.47614654356203151</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0.2581731301263559</v>
      </c>
      <c r="F21" s="5">
        <f ca="1">OFFSET('WSCOReductions-5PctSIP'!$U$84,0,MATCH($B$2,'WSCOReductions-5PctSIP'!$X$78:$AQ$78,1)+2)</f>
        <v>9.2708464000170528E-4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0.2581731301263559</v>
      </c>
      <c r="Z21" s="510">
        <f t="shared" ca="1" si="0"/>
        <v>9.2708464000168522E-4</v>
      </c>
      <c r="AA21" s="617">
        <f t="shared" ca="1" si="5"/>
        <v>0</v>
      </c>
      <c r="AB21" s="617">
        <f t="shared" ca="1" si="6"/>
        <v>0</v>
      </c>
      <c r="AC21" s="617">
        <f t="shared" ca="1" si="7"/>
        <v>0</v>
      </c>
      <c r="AD21" s="617">
        <f t="shared" ca="1" si="8"/>
        <v>0</v>
      </c>
      <c r="AE21" s="510">
        <f t="shared" ca="1" si="1"/>
        <v>0.2581731301263559</v>
      </c>
      <c r="AF21" s="510">
        <f t="shared" ca="1" si="1"/>
        <v>0.2581731301263559</v>
      </c>
      <c r="AG21" s="510">
        <f t="shared" ca="1" si="2"/>
        <v>9.2708464000168522E-4</v>
      </c>
      <c r="AH21" s="510">
        <f t="shared" ca="1" si="2"/>
        <v>9.2708464000168522E-4</v>
      </c>
      <c r="AI21" s="530">
        <f t="shared" ca="1" si="3"/>
        <v>0.25817313012635595</v>
      </c>
      <c r="AJ21" s="530">
        <f t="shared" ca="1" si="4"/>
        <v>9.2708464000168522E-4</v>
      </c>
    </row>
    <row r="22" spans="1:40" x14ac:dyDescent="0.25">
      <c r="A22" s="812" t="s">
        <v>150</v>
      </c>
      <c r="B22" s="812">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9.3114624157333514E-2</v>
      </c>
      <c r="D23" s="5">
        <f ca="1">INDIRECT("'DevSumOut-"&amp;$B$2&amp;"BSR'!P66")</f>
        <v>0.10838122711679619</v>
      </c>
      <c r="E23" s="5">
        <f ca="1">OFFSET('WSCOReductions-5PctSIP'!$U$81,0,MATCH($B$2,'WSCOReductions-5PctSIP'!$X$78:$AQ$78,1)+2)</f>
        <v>0.2581731301263559</v>
      </c>
      <c r="F23" s="5">
        <f ca="1">OFFSET('WSCOReductions-5PctSIP'!$U$84,0,MATCH($B$2,'WSCOReductions-5PctSIP'!$X$78:$AQ$78,1)+2)</f>
        <v>9.2708464000170528E-4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0.2581731301263559</v>
      </c>
      <c r="Z23" s="510">
        <f t="shared" ca="1" si="0"/>
        <v>9.2708464000168522E-4</v>
      </c>
      <c r="AA23" s="617">
        <f t="shared" ca="1" si="5"/>
        <v>0.39862568473651927</v>
      </c>
      <c r="AB23" s="617">
        <f t="shared" ca="1" si="6"/>
        <v>0.39862568473651927</v>
      </c>
      <c r="AC23" s="617">
        <f t="shared" ca="1" si="7"/>
        <v>0.3282495086227164</v>
      </c>
      <c r="AD23" s="617">
        <f t="shared" ca="1" si="8"/>
        <v>0.3282495086227164</v>
      </c>
      <c r="AE23" s="510">
        <f t="shared" ca="1" si="1"/>
        <v>0.55388437408568603</v>
      </c>
      <c r="AF23" s="510">
        <f t="shared" ca="1" si="1"/>
        <v>0.55388437408568603</v>
      </c>
      <c r="AG23" s="510">
        <f t="shared" ca="1" si="2"/>
        <v>0.32887227818518583</v>
      </c>
      <c r="AH23" s="510">
        <f t="shared" ca="1" si="2"/>
        <v>0.32887227818518583</v>
      </c>
      <c r="AI23" s="530">
        <f t="shared" ca="1" si="3"/>
        <v>0.47784433992471542</v>
      </c>
      <c r="AJ23" s="530">
        <f t="shared" ca="1" si="4"/>
        <v>0.24454351413070988</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2.6366777990289929</v>
      </c>
      <c r="D27" s="450">
        <f ca="1">INDIRECT("'DevSumOut-"&amp;$B$2&amp;"BSR'!P70")</f>
        <v>4.0996975393875967</v>
      </c>
      <c r="E27" s="450">
        <f ca="1">$C27-E28</f>
        <v>1.9637173684543394</v>
      </c>
      <c r="F27" s="450">
        <f ca="1">$D27-F28</f>
        <v>4.0963548065503677</v>
      </c>
      <c r="G27" s="450">
        <f ca="1">$C27-G28</f>
        <v>2.6366777990289929</v>
      </c>
      <c r="H27" s="450">
        <f ca="1">$D27-H28</f>
        <v>4.0996975393875967</v>
      </c>
      <c r="I27" s="450">
        <f ca="1">$C27-I28</f>
        <v>2.5497690386115885</v>
      </c>
      <c r="J27" s="450">
        <f ca="1">$D27-J28</f>
        <v>4.0966213908306202</v>
      </c>
      <c r="K27" s="450">
        <f ca="1">$C27-K28</f>
        <v>2.6366777990289929</v>
      </c>
      <c r="L27" s="450">
        <f ca="1">$D27-L28</f>
        <v>4.0996975393875967</v>
      </c>
      <c r="M27" s="450">
        <f ca="1">$C27-M28</f>
        <v>2.3280378518316662</v>
      </c>
      <c r="N27" s="450">
        <f ca="1">$D27-N28</f>
        <v>4.0950986359117705</v>
      </c>
      <c r="O27" s="450">
        <f ca="1">$C27-O28</f>
        <v>2.6366777990289929</v>
      </c>
      <c r="P27" s="450">
        <f ca="1">$D27-P28</f>
        <v>4.0996975393875967</v>
      </c>
      <c r="Q27" s="450">
        <f ca="1">$C27-Q28</f>
        <v>2.2515449074876472</v>
      </c>
      <c r="R27" s="450">
        <f ca="1">$D27-R28</f>
        <v>4.1007707387291941</v>
      </c>
      <c r="S27" s="450">
        <f ca="1">$C27-S28</f>
        <v>2.6365130573096476</v>
      </c>
      <c r="T27" s="450">
        <f ca="1">$D27-T28</f>
        <v>4.0996975393875967</v>
      </c>
      <c r="U27" s="786">
        <f ca="1">$C27-U28</f>
        <v>2.6366777990289929</v>
      </c>
      <c r="V27" s="786">
        <f ca="1">$D27-V28</f>
        <v>4.0996975393875967</v>
      </c>
      <c r="W27" s="450">
        <f ca="1">$C27-W28</f>
        <v>2.6366777990289929</v>
      </c>
      <c r="X27" s="450">
        <f ca="1">$D27-X28</f>
        <v>4.0996975393875967</v>
      </c>
      <c r="Y27" s="450">
        <f ca="1">$C27-Y28</f>
        <v>1.4316036042068183</v>
      </c>
      <c r="Z27" s="450">
        <f ca="1">$D27-Z28</f>
        <v>4.0907340182409433</v>
      </c>
      <c r="AA27" s="450">
        <f ca="1">$C27-AA28</f>
        <v>2.011121155430434</v>
      </c>
      <c r="AB27" s="450">
        <f ca="1">$C27-AB28</f>
        <v>1.6586694233380372</v>
      </c>
      <c r="AC27" s="450">
        <f ca="1">$D27-AC28</f>
        <v>4.2295064639731077</v>
      </c>
      <c r="AD27" s="450">
        <f ca="1">$D27-AD28</f>
        <v>4.2601527904536418</v>
      </c>
      <c r="AE27" s="450">
        <f ca="1">$C27-AE28</f>
        <v>1.0930393239752632</v>
      </c>
      <c r="AF27" s="450">
        <f ca="1">$C27-AF28</f>
        <v>0.90977400564107125</v>
      </c>
      <c r="AG27" s="450">
        <f ca="1">$D27-AG28</f>
        <v>4.1833072500938169</v>
      </c>
      <c r="AH27" s="450">
        <f ca="1">$D27-AH28</f>
        <v>4.2074212311776025</v>
      </c>
      <c r="AI27" s="787">
        <f ca="1">$C27-AI28</f>
        <v>1.070139519320005</v>
      </c>
      <c r="AJ27" s="787">
        <f ca="1">$D27-AJ28</f>
        <v>4.1739710934104925</v>
      </c>
    </row>
    <row r="28" spans="1:40" x14ac:dyDescent="0.25">
      <c r="B28" s="244" t="s">
        <v>156</v>
      </c>
      <c r="E28" s="450">
        <f ca="1">SUMPRODUCT($C9:$C26,E9:E26)</f>
        <v>0.6729604305746536</v>
      </c>
      <c r="F28" s="450">
        <f ca="1">SUMPRODUCT($D9:$D26,F9:F26)</f>
        <v>3.3427328372292913E-3</v>
      </c>
      <c r="G28" s="450">
        <f ca="1">SUMPRODUCT($C9:$C26,G9:G26)</f>
        <v>0</v>
      </c>
      <c r="H28" s="450">
        <f ca="1">SUMPRODUCT($D9:$D26,H9:H26)</f>
        <v>0</v>
      </c>
      <c r="I28" s="450">
        <f ca="1">SUMPRODUCT($C9:$C26,I9:I26)</f>
        <v>8.6908760417404154E-2</v>
      </c>
      <c r="J28" s="450">
        <f ca="1">SUMPRODUCT($D9:$D26,J9:J26)</f>
        <v>3.0761485569769358E-3</v>
      </c>
      <c r="K28" s="450">
        <f ca="1">SUMPRODUCT($C9:$C26,K9:K26)</f>
        <v>0</v>
      </c>
      <c r="L28" s="450">
        <f ca="1">SUMPRODUCT($D9:$D26,L9:L26)</f>
        <v>0</v>
      </c>
      <c r="M28" s="450">
        <f ca="1">SUMPRODUCT($C9:$C26,M9:M26)</f>
        <v>0.30863994719732685</v>
      </c>
      <c r="N28" s="450">
        <f ca="1">SUMPRODUCT($D9:$D26,N9:N26)</f>
        <v>4.598903475826051E-3</v>
      </c>
      <c r="O28" s="450">
        <f ca="1">SUMPRODUCT($C9:$C26,O9:O26)</f>
        <v>0</v>
      </c>
      <c r="P28" s="450">
        <f ca="1">SUMPRODUCT($D9:$D26,P9:P26)</f>
        <v>0</v>
      </c>
      <c r="Q28" s="450">
        <f ca="1">SUMPRODUCT($C9:$C26,Q9:Q26)</f>
        <v>0.3851328915413455</v>
      </c>
      <c r="R28" s="450">
        <f ca="1">SUMPRODUCT($D9:$D26,R9:R26)</f>
        <v>-1.0731993415970947E-3</v>
      </c>
      <c r="S28" s="450">
        <f ca="1">SUMPRODUCT($C9:$C26,S9:S26)</f>
        <v>1.6474171934522519E-4</v>
      </c>
      <c r="T28" s="450">
        <f ca="1">SUMPRODUCT($D9:$D26,T9:T26)</f>
        <v>0</v>
      </c>
      <c r="U28" s="786">
        <f ca="1">SUMPRODUCT($C9:$C26,U9:U26)</f>
        <v>0</v>
      </c>
      <c r="V28" s="786">
        <f ca="1">SUMPRODUCT($D9:$D26,V9:V26)</f>
        <v>0</v>
      </c>
      <c r="W28" s="450">
        <f ca="1">SUMPRODUCT($C9:$C26,W9:W26)</f>
        <v>0</v>
      </c>
      <c r="X28" s="450">
        <f ca="1">SUMPRODUCT($D9:$D26,X9:X26)</f>
        <v>0</v>
      </c>
      <c r="Y28" s="450">
        <f ca="1">SUMPRODUCT($C9:$C26,Y9:Y26)</f>
        <v>1.2050741948221746</v>
      </c>
      <c r="Z28" s="450">
        <f ca="1">SUMPRODUCT($D9:$D26,Z9:Z26)</f>
        <v>8.9635211466530824E-3</v>
      </c>
      <c r="AA28" s="450">
        <f ca="1">SUMPRODUCT($C9:$C26,AA9:AA26)</f>
        <v>0.62555664359855867</v>
      </c>
      <c r="AB28" s="450">
        <f ca="1">SUMPRODUCT($C9:$C26,AB9:AB26)</f>
        <v>0.97800837569095567</v>
      </c>
      <c r="AC28" s="450">
        <f ca="1">SUMPRODUCT($D9:$D26,AC9:AC26)</f>
        <v>-0.12980892458551069</v>
      </c>
      <c r="AD28" s="450">
        <f ca="1">SUMPRODUCT($D9:$D26,AD9:AD26)</f>
        <v>-0.16045525106604488</v>
      </c>
      <c r="AE28" s="450">
        <f ca="1">SUMPRODUCT($C9:$C26,AE9:AE26)</f>
        <v>1.5436384750537298</v>
      </c>
      <c r="AF28" s="450">
        <f ca="1">SUMPRODUCT($C9:$C26,AF9:AF26)</f>
        <v>1.7269037933879217</v>
      </c>
      <c r="AG28" s="450">
        <f ca="1">SUMPRODUCT($D9:$D26,AG9:AG26)</f>
        <v>-8.3609710706220308E-2</v>
      </c>
      <c r="AH28" s="450">
        <f ca="1">SUMPRODUCT($D9:$D26,AH9:AH26)</f>
        <v>-0.10772369179000552</v>
      </c>
      <c r="AI28" s="450">
        <f ca="1">SUMPRODUCT($C9:$C26,AI9:AI26)</f>
        <v>1.566538279708988</v>
      </c>
      <c r="AJ28" s="450">
        <f ca="1">SUMPRODUCT($D9:$D26,AJ9:AJ26)</f>
        <v>-7.4273554022895399E-2</v>
      </c>
    </row>
    <row r="29" spans="1:40" x14ac:dyDescent="0.25">
      <c r="E29" s="659">
        <f ca="1">E28/$C27</f>
        <v>0.25523043840338938</v>
      </c>
      <c r="F29" s="693">
        <f ca="1">F28/$D27</f>
        <v>8.1536084189484399E-4</v>
      </c>
      <c r="G29" s="659">
        <f ca="1">G28/$C27</f>
        <v>0</v>
      </c>
      <c r="H29" s="693">
        <f ca="1">H28/$D27</f>
        <v>0</v>
      </c>
      <c r="I29" s="659">
        <f ca="1">I28/$C27</f>
        <v>3.2961464024694243E-2</v>
      </c>
      <c r="J29" s="693">
        <f ca="1">J28/$D27</f>
        <v>7.5033548875813984E-4</v>
      </c>
      <c r="K29" s="659">
        <f ca="1">K28/$C27</f>
        <v>0</v>
      </c>
      <c r="L29" s="693">
        <f ca="1">L28/$D27</f>
        <v>0</v>
      </c>
      <c r="M29" s="659">
        <f ca="1">M28/$C27</f>
        <v>0.11705637575853577</v>
      </c>
      <c r="N29" s="693">
        <f ca="1">N28/$D27</f>
        <v>1.1217665282968715E-3</v>
      </c>
      <c r="O29" s="659">
        <f ca="1">O28/$C27</f>
        <v>0</v>
      </c>
      <c r="P29" s="693">
        <f ca="1">P28/$D27</f>
        <v>0</v>
      </c>
      <c r="Q29" s="659">
        <f ca="1">Q28/$C27</f>
        <v>0.14606748374153947</v>
      </c>
      <c r="R29" s="693">
        <f ca="1">R28/$D27</f>
        <v>-2.6177524836561644E-4</v>
      </c>
      <c r="S29" s="659">
        <f ca="1">S28/$C27</f>
        <v>6.2480792839342936E-5</v>
      </c>
      <c r="T29" s="693">
        <f ca="1">T28/$D27</f>
        <v>0</v>
      </c>
      <c r="U29" s="700">
        <f ca="1">U28/$C27</f>
        <v>0</v>
      </c>
      <c r="V29" s="700">
        <f ca="1">V28/$D27</f>
        <v>0</v>
      </c>
      <c r="W29" s="659">
        <f ca="1">W28/$C27</f>
        <v>0</v>
      </c>
      <c r="X29" s="693">
        <f ca="1">X28/$D27</f>
        <v>0</v>
      </c>
      <c r="Y29" s="659">
        <f ca="1">Y28/$C27</f>
        <v>0.45704264482598755</v>
      </c>
      <c r="Z29" s="693">
        <f t="shared" ref="Z29" ca="1" si="9">Z28/$D27</f>
        <v>2.1863859615341361E-3</v>
      </c>
      <c r="AA29" s="838">
        <f ca="1">(AA28*$AJ$4+AB28*$AJ$5)/SUM($AJ$4:$AJ$5)</f>
        <v>0.91022919644241773</v>
      </c>
      <c r="AB29" s="838"/>
      <c r="AC29" s="838">
        <f ca="1">(AC28*$AJ$4+AD28*$AJ$5)/SUM($AJ$4:$AJ$5)</f>
        <v>-0.15456172674286522</v>
      </c>
      <c r="AD29" s="838"/>
      <c r="AE29" s="659">
        <f ca="1">AE28/$C27</f>
        <v>0.58544827723061355</v>
      </c>
      <c r="AF29" s="659">
        <f ca="1">AF28/$C27</f>
        <v>0.65495442561236983</v>
      </c>
      <c r="AG29" s="693">
        <f t="shared" ref="AG29:AH29" ca="1" si="10">AG28/$D27</f>
        <v>-2.0394116859340245E-2</v>
      </c>
      <c r="AH29" s="693">
        <f t="shared" ca="1" si="10"/>
        <v>-2.6276009572671313E-2</v>
      </c>
      <c r="AI29" s="659">
        <f ca="1">AI28/$C27</f>
        <v>0.59413337506990638</v>
      </c>
      <c r="AJ29" s="693">
        <f t="shared" ref="AJ29" ca="1" si="11">AJ28/$D27</f>
        <v>-1.8116837476256899E-2</v>
      </c>
      <c r="AK29" s="5"/>
      <c r="AL29" s="5"/>
      <c r="AN29" s="5"/>
    </row>
    <row r="30" spans="1:40" x14ac:dyDescent="0.25">
      <c r="B30" s="244" t="s">
        <v>157</v>
      </c>
      <c r="E30" s="450">
        <f ca="1">E28*($Y28/$Y30)</f>
        <v>0.55782327125430076</v>
      </c>
      <c r="F30" s="450">
        <f ca="1">F28*($Z28/$Z30)</f>
        <v>3.0129618161000567E-3</v>
      </c>
      <c r="G30" s="450">
        <f ca="1">G28*($Y28/$Y30)</f>
        <v>0</v>
      </c>
      <c r="H30" s="450">
        <f ca="1">H28*($Z28/$Z30)</f>
        <v>0</v>
      </c>
      <c r="I30" s="450">
        <f ca="1">I28*($Y28/$Y30)</f>
        <v>7.203949420219985E-2</v>
      </c>
      <c r="J30" s="450">
        <f ca="1">J28*($Z28/$Z30)</f>
        <v>2.7726769066310059E-3</v>
      </c>
      <c r="K30" s="450">
        <f ca="1">K28*($Y28/$Y30)</f>
        <v>0</v>
      </c>
      <c r="L30" s="450">
        <f ca="1">L28*($Z28/$Z30)</f>
        <v>0</v>
      </c>
      <c r="M30" s="450">
        <f ca="1">M28*($Y28/$Y30)</f>
        <v>0.25583457386692299</v>
      </c>
      <c r="N30" s="450">
        <f ca="1">N28*($Z28/$Z30)</f>
        <v>4.1452073029201106E-3</v>
      </c>
      <c r="O30" s="450">
        <f ca="1">O28*($Y28/$Y30)</f>
        <v>0</v>
      </c>
      <c r="P30" s="450">
        <f ca="1">P28*($Z28/$Z30)</f>
        <v>0</v>
      </c>
      <c r="Q30" s="450">
        <f ca="1">Q28*($Y28/$Y30)</f>
        <v>0.31924029952811428</v>
      </c>
      <c r="R30" s="450">
        <f ca="1">R28*($Z28/$Z30)</f>
        <v>-9.6732487899809034E-4</v>
      </c>
      <c r="S30" s="450">
        <f ca="1">S28*($Y28/$Y30)</f>
        <v>1.3655597063669711E-4</v>
      </c>
      <c r="T30" s="450">
        <f ca="1">T28*($Z28/$Z30)</f>
        <v>0</v>
      </c>
      <c r="U30" s="786">
        <f ca="1">U28*($Y28/$Y30)</f>
        <v>0</v>
      </c>
      <c r="V30" s="786">
        <f ca="1">V28*($Z28/$Z30)</f>
        <v>0</v>
      </c>
      <c r="W30" s="450">
        <f ca="1">W28*($Y28/$Y30)</f>
        <v>0</v>
      </c>
      <c r="X30" s="450">
        <f ca="1">X28*($Z28/$Z30)</f>
        <v>0</v>
      </c>
      <c r="Y30" s="450">
        <f ca="1">SUM($E28,$G28,$I28,$K28,$M28,$O28,$Q28,$S28,$W28)</f>
        <v>1.4538067714500753</v>
      </c>
      <c r="Z30" s="450">
        <f ca="1">SUM($F28,$H28,$J28,$L28,$N28,$P28,$R28,$T28,$X28)</f>
        <v>9.9445855284351833E-3</v>
      </c>
      <c r="AA30" s="450">
        <f ca="1">AE28-$Y28</f>
        <v>0.33856428023155516</v>
      </c>
      <c r="AB30" s="450">
        <f ca="1">AF28-$Y28</f>
        <v>0.52182959856574707</v>
      </c>
      <c r="AC30" s="450">
        <f ca="1">AG28-$Z28</f>
        <v>-9.2573231852873389E-2</v>
      </c>
      <c r="AD30" s="450">
        <f ca="1">AH28-$Z28</f>
        <v>-0.1166872129366586</v>
      </c>
      <c r="AE30" s="450">
        <f ca="1">SUM($E28,$G28,$I28,$K28,$M28,$O28,$Q28,$S28,$W28,AA28)</f>
        <v>2.079363415048634</v>
      </c>
      <c r="AF30" s="450">
        <f ca="1">SUM($E28,$G28,$I28,$K28,$M28,$O28,$Q28,$S28,$W28,AB28)</f>
        <v>2.4318151471410312</v>
      </c>
      <c r="AG30" s="450">
        <f ca="1">SUM($F28,$H28,$J28,$L28,$N28,$P28,$R28,$T28,$X28,AC28)</f>
        <v>-0.1198643390570755</v>
      </c>
      <c r="AH30" s="450">
        <f ca="1">SUM($F28,$H28,$J28,$L28,$N28,$P28,$R28,$T28,$X28,AD28)</f>
        <v>-0.15051066553760969</v>
      </c>
    </row>
    <row r="31" spans="1:40" x14ac:dyDescent="0.25">
      <c r="Y31" s="659">
        <f ca="1">Y30/$C27</f>
        <v>0.55137824272099822</v>
      </c>
      <c r="Z31" s="659">
        <f ca="1">Z30/$C27</f>
        <v>3.7716347185452344E-3</v>
      </c>
      <c r="AA31" s="839" t="s">
        <v>158</v>
      </c>
      <c r="AB31" s="839"/>
      <c r="AC31" s="839"/>
      <c r="AD31" s="839"/>
      <c r="AE31" s="659">
        <f ca="1">AE30/$C27</f>
        <v>0.78863007676341768</v>
      </c>
      <c r="AF31" s="659">
        <f ca="1">AF30/$C27</f>
        <v>0.92230273567615795</v>
      </c>
      <c r="AG31" s="693">
        <f ca="1">AG30/$D27</f>
        <v>-2.923736151398636E-2</v>
      </c>
      <c r="AH31" s="693">
        <f ca="1">AH30/$D27</f>
        <v>-3.6712626746628882E-2</v>
      </c>
    </row>
    <row r="32" spans="1:40" x14ac:dyDescent="0.25">
      <c r="Y32" s="698">
        <f ca="1">SUM($E30,$G30,$I30,$K30,$M30,$O30,$Q30,$S30,$W30)</f>
        <v>1.2050741948221746</v>
      </c>
      <c r="Z32" s="698">
        <f ca="1">SUM($F30,$H30,$J30,$L30,$N30,$P30,$R30,$T30,$X30)</f>
        <v>8.9635211466530824E-3</v>
      </c>
      <c r="AA32" s="838">
        <f ca="1">(AA30*$AJ$4+AB30*$AJ$5)/SUM($AJ$4:$AJ$5)</f>
        <v>0.48658626811686401</v>
      </c>
      <c r="AB32" s="838"/>
      <c r="AC32" s="838">
        <f ca="1">(AC30*$AJ$4+AD30*$AJ$5)/SUM($AJ$4:$AJ$5)</f>
        <v>-0.11204990888208452</v>
      </c>
      <c r="AD32" s="838"/>
    </row>
    <row r="33" spans="2:34" x14ac:dyDescent="0.25">
      <c r="C33" s="450">
        <f ca="1">SUM(C9:C18)</f>
        <v>2.45967577787777</v>
      </c>
      <c r="D33" s="450">
        <f ca="1">SUM(D9:D18)</f>
        <v>8.7060591572246215E-2</v>
      </c>
      <c r="Z33" s="616"/>
      <c r="AA33" s="616"/>
    </row>
    <row r="34" spans="2:34" x14ac:dyDescent="0.25">
      <c r="B34" s="244" t="s">
        <v>159</v>
      </c>
      <c r="E34" s="450">
        <f ca="1">SUMPRODUCT($C9:$C18,E9:E18)</f>
        <v>0.63502219467068333</v>
      </c>
      <c r="F34" s="450">
        <f ca="1">SUMPRODUCT($D9:$D18,F9:F18)</f>
        <v>8.0712537196091358E-5</v>
      </c>
      <c r="G34" s="450">
        <f ca="1">SUMPRODUCT($C9:$C18,G9:G18)</f>
        <v>0</v>
      </c>
      <c r="H34" s="450">
        <f ca="1">SUMPRODUCT($D9:$D18,H9:H18)</f>
        <v>0</v>
      </c>
      <c r="I34" s="450">
        <f ca="1">SUMPRODUCT($C9:$C18,I9:I18)</f>
        <v>8.6908760417404154E-2</v>
      </c>
      <c r="J34" s="450">
        <f ca="1">SUMPRODUCT($D9:$D18,J9:J18)</f>
        <v>3.0761485569769358E-3</v>
      </c>
      <c r="K34" s="450">
        <f ca="1">SUMPRODUCT($C9:$C18,K9:K18)</f>
        <v>0</v>
      </c>
      <c r="L34" s="450">
        <f ca="1">SUMPRODUCT($D9:$D18,L9:L18)</f>
        <v>0</v>
      </c>
      <c r="M34" s="450">
        <f ca="1">SUMPRODUCT($C9:$C18,M9:M18)</f>
        <v>0.30863994719732685</v>
      </c>
      <c r="N34" s="450">
        <f ca="1">SUMPRODUCT($D9:$D18,N9:N18)</f>
        <v>4.598903475826051E-3</v>
      </c>
      <c r="O34" s="450">
        <f ca="1">SUMPRODUCT($C9:$C18,O9:O18)</f>
        <v>0</v>
      </c>
      <c r="P34" s="450">
        <f ca="1">SUMPRODUCT($D9:$D18,P9:P18)</f>
        <v>0</v>
      </c>
      <c r="Q34" s="450">
        <f ca="1">SUMPRODUCT($C9:$C18,Q9:Q18)</f>
        <v>0.38536527949193616</v>
      </c>
      <c r="R34" s="450">
        <f ca="1">SUMPRODUCT($D9:$D18,R9:R18)</f>
        <v>1.3661130923800046E-2</v>
      </c>
      <c r="S34" s="450"/>
      <c r="T34" s="450"/>
      <c r="U34" s="450">
        <f ca="1">SUMPRODUCT($C9:$C18,U9:U18)</f>
        <v>0</v>
      </c>
      <c r="V34" s="450">
        <f ca="1">SUMPRODUCT($D9:$D18,V9:V18)</f>
        <v>0</v>
      </c>
      <c r="W34" s="450">
        <f ca="1">SUMPRODUCT($C9:$C18,W9:W18)</f>
        <v>0</v>
      </c>
      <c r="X34" s="450">
        <f ca="1">SUMPRODUCT($D9:$D18,X9:X18)</f>
        <v>0</v>
      </c>
      <c r="Y34" s="450">
        <f ca="1">SUMPRODUCT($C9:$C18,Y9:Y18)</f>
        <v>1.1673083505441872</v>
      </c>
      <c r="Z34" s="450">
        <f ca="1">SUMPRODUCT($D9:$D18,Z9:Z18)</f>
        <v>2.0422171140747427E-2</v>
      </c>
      <c r="AE34" s="450">
        <f ca="1">SUMPRODUCT($C9:$C18,AE9:AE18)</f>
        <v>1.4783375894353719</v>
      </c>
      <c r="AF34" s="450">
        <f ca="1">SUMPRODUCT($C9:$C18,AF9:AF18)</f>
        <v>1.6616029077695638</v>
      </c>
      <c r="AG34" s="450">
        <f ca="1">SUMPRODUCT($D9:$D18,AG9:AG18)</f>
        <v>-0.10769416321560825</v>
      </c>
      <c r="AH34" s="450">
        <f ca="1">SUMPRODUCT($D9:$D18,AH9:AH18)</f>
        <v>-0.13180814429939344</v>
      </c>
    </row>
    <row r="35" spans="2:34" x14ac:dyDescent="0.25">
      <c r="C35" s="450">
        <f ca="1">SUM(C19:C20)</f>
        <v>7.0915796166936787E-2</v>
      </c>
      <c r="D35" s="450">
        <f ca="1">SUM(D19:D20)</f>
        <v>3.8862731528525338</v>
      </c>
      <c r="AD35" s="244" t="s">
        <v>160</v>
      </c>
      <c r="AE35" s="604">
        <f ca="1">AE34/$C33</f>
        <v>0.60102945385383055</v>
      </c>
      <c r="AF35" s="604">
        <f ca="1">AF34/$C33</f>
        <v>0.67553737070306452</v>
      </c>
      <c r="AG35" s="604">
        <f t="shared" ref="AG35:AH37" ca="1" si="12">AG34/$D33</f>
        <v>-1.2370024286618764</v>
      </c>
      <c r="AH35" s="604">
        <f t="shared" ca="1" si="12"/>
        <v>-1.5139817214544653</v>
      </c>
    </row>
    <row r="36" spans="2:34" x14ac:dyDescent="0.25">
      <c r="B36" s="244" t="s">
        <v>161</v>
      </c>
      <c r="E36" s="450">
        <f ca="1">SUMPRODUCT($C19:$C20,E19:E20)</f>
        <v>1.389703085521235E-2</v>
      </c>
      <c r="F36" s="450">
        <f ca="1">SUMPRODUCT($D19:$D20,F19:F20)</f>
        <v>3.1614759999343215E-3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-2.3238795059068659E-4</v>
      </c>
      <c r="R36" s="450">
        <f ca="1">SUMPRODUCT($D19:$D20,R19:R20)</f>
        <v>-1.473433026539714E-2</v>
      </c>
      <c r="S36" s="450"/>
      <c r="T36" s="450"/>
      <c r="U36" s="450">
        <f ca="1">SUMPRODUCT($C19:$C20,U19:U20)</f>
        <v>0</v>
      </c>
      <c r="V36" s="450">
        <f ca="1">SUMPRODUCT($D19:$D20,V19:V20)</f>
        <v>0</v>
      </c>
      <c r="W36" s="450">
        <f ca="1">SUMPRODUCT($C19:$C20,W19:W20)</f>
        <v>0</v>
      </c>
      <c r="X36" s="450">
        <f ca="1">SUMPRODUCT($D19:$D20,X19:X20)</f>
        <v>0</v>
      </c>
      <c r="Y36" s="450">
        <f ca="1">SUMPRODUCT($C19:$C20,Y19:Y20)</f>
        <v>1.3724639229229308E-2</v>
      </c>
      <c r="Z36" s="450">
        <f ca="1">SUMPRODUCT($D19:$D20,Z19:Z20)</f>
        <v>-1.155919429419322E-2</v>
      </c>
      <c r="AE36" s="450">
        <f ca="1">SUMPRODUCT($C19:$C20,AE19:AE20)</f>
        <v>1.3724639229229308E-2</v>
      </c>
      <c r="AF36" s="450">
        <f ca="1">SUMPRODUCT($C19:$C20,AF19:AF20)</f>
        <v>1.3724639229229308E-2</v>
      </c>
      <c r="AG36" s="450">
        <f ca="1">SUMPRODUCT($D19:$D20,AG19:AG20)</f>
        <v>-1.155919429419322E-2</v>
      </c>
      <c r="AH36" s="450">
        <f ca="1">SUMPRODUCT($D19:$D20,AH19:AH20)</f>
        <v>-1.155919429419322E-2</v>
      </c>
    </row>
    <row r="37" spans="2:34" x14ac:dyDescent="0.25">
      <c r="AD37" s="244" t="s">
        <v>162</v>
      </c>
      <c r="AE37" s="694">
        <f ca="1">AE36/$C35</f>
        <v>0.19353430365388993</v>
      </c>
      <c r="AF37" s="694">
        <f ca="1">AF36/$C35</f>
        <v>0.19353430365388993</v>
      </c>
      <c r="AG37" s="694">
        <f t="shared" ca="1" si="12"/>
        <v>-2.9743648579381877E-3</v>
      </c>
      <c r="AH37" s="694">
        <f t="shared" ca="1" si="12"/>
        <v>-2.9743648579381877E-3</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SCCRedFacs2022</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4.0667507549122628E-2</v>
      </c>
      <c r="AD41" s="805" cm="1">
        <f t="array" aca="1" ref="AD41" ca="1">AC29-INDIRECT("SCCRedFacs"&amp;$B$2&amp;"!AC29")</f>
        <v>-3.5361145939077909E-3</v>
      </c>
    </row>
    <row r="42" spans="2:34" x14ac:dyDescent="0.25">
      <c r="B42" s="812"/>
      <c r="AB42" s="244" t="s">
        <v>635</v>
      </c>
      <c r="AC42" s="804" cm="1">
        <f t="array" aca="1" ref="AC42" ca="1">AA32-INDIRECT("SCCRedFacs"&amp;$B$2&amp;"!AA32")</f>
        <v>2.1145998269329891E-2</v>
      </c>
      <c r="AD42" s="805" cm="1">
        <f t="array" aca="1" ref="AD42" ca="1">AC32-INDIRECT("SCCRedFacs"&amp;$B$2&amp;"!AC32")</f>
        <v>-2.7823824327444652E-3</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9E96-4AC3-4B5F-8FA9-D16FD529E5DE}">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2023</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0.5</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2023BSR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0.67238866781592821</v>
      </c>
      <c r="D9" s="5">
        <f ca="1">INDIRECT("'DevSumOut-"&amp;$B$2&amp;"BSR'!P50")</f>
        <v>7.7732793967159328E-3</v>
      </c>
      <c r="E9" s="5">
        <f ca="1">OFFSET('WSCOReductions-5PctSIP'!$U$81,0,MATCH($B$2,'WSCOReductions-5PctSIP'!$X$78:$AQ$78,1)+2)</f>
        <v>0.31368984656241095</v>
      </c>
      <c r="F9" s="5">
        <f ca="1">OFFSET('WSCOReductions-5PctSIP'!$U$84,0,MATCH($B$2,'WSCOReductions-5PctSIP'!$X$78:$AQ$78,1)+2)</f>
        <v>1.4149201112868973E-3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v>
      </c>
      <c r="L9" s="5">
        <f ca="1">SCCRedFacsFull!L9*K$4/SCCRedFacsFull!K$4</f>
        <v>0</v>
      </c>
      <c r="M9" s="5">
        <f ca="1">'BACM-R8'!P153*($B$2-$M$3+1)*$M$4/SCCRedFacsFull!$M$4</f>
        <v>0.19175027870680045</v>
      </c>
      <c r="N9" s="5">
        <f ca="1">'BACM-R8'!O153*($B$2-$M$3+1)*$M$4/SCCRedFacsFull!$M$4</f>
        <v>0.19175027870680048</v>
      </c>
      <c r="O9" s="5">
        <f ca="1">SCCRedFacsFull!O9*O$4/SCCRedFacsFull!O$4</f>
        <v>0</v>
      </c>
      <c r="P9" s="5">
        <f ca="1">SCCRedFacsFull!P9*O$4/SCCRedFacsFull!O$4</f>
        <v>0</v>
      </c>
      <c r="Q9" s="5">
        <f ca="1">IFERROR(OFFSET('STF-22'!$E$173,MATCH($B9,'STF-22'!$A$174:$A$191,0),MATCH($B$2,'STF-22'!$F$172:$AD$172,0))*Q$4/SCCRedFacsFull!Q$4,0)</f>
        <v>0.17665643227534794</v>
      </c>
      <c r="R9" s="5">
        <f ca="1">IFERROR(OFFSET('STF-22'!$E$173,MATCH($B9,'STF-22'!$A$174:$A$191,0),MATCH($B$2,'STF-22'!$F$172:$AD$172,0)-1)*R$4/SCCRedFacsFull!R$4,0)</f>
        <v>0.17665643227534791</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0.56299178913551584</v>
      </c>
      <c r="Z9" s="510">
        <f ca="1">1-(1-F9)*(1-H9)*(1-J9)*(1-L9)*(1-N9)*(1-P9)*(1-R9)*(1-T9)*(1-X9)</f>
        <v>0.36415062931482878</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0.56299178913551584</v>
      </c>
      <c r="AF9" s="510">
        <f ca="1">1-(1-$Y9)*(1-AB9)</f>
        <v>0.75175158370397888</v>
      </c>
      <c r="AG9" s="510">
        <f ca="1">1-(1-$Z9)*(1-AC9)</f>
        <v>0.36415062931482878</v>
      </c>
      <c r="AH9" s="510">
        <f ca="1">1-(1-$Z9)*(1-AD9)</f>
        <v>0.41773859491995513</v>
      </c>
      <c r="AI9" s="530">
        <f ca="1">(Y9*$AJ$3+AE9*$AJ$4+AF9*$AJ$5)/35</f>
        <v>0.67624766587659368</v>
      </c>
      <c r="AJ9" s="530">
        <f ca="1">(Z9*$AJ$3+AG9*$AJ$4+AH9*$AJ$5)/35</f>
        <v>0.39630340867790453</v>
      </c>
    </row>
    <row r="10" spans="1:36" x14ac:dyDescent="0.25">
      <c r="A10" s="812" t="s">
        <v>138</v>
      </c>
      <c r="B10" s="812">
        <v>2104008210</v>
      </c>
      <c r="C10" s="5">
        <f ca="1">INDIRECT("'DevSumOut-"&amp;$B$2&amp;"BSR'!R51")</f>
        <v>5.2476578016216698E-2</v>
      </c>
      <c r="D10" s="5">
        <f ca="1">INDIRECT("'DevSumOut-"&amp;$B$2&amp;"BSR'!P51")</f>
        <v>6.8596834008126406E-4</v>
      </c>
      <c r="E10" s="5">
        <f ca="1">OFFSET('WSCOReductions-5PctSIP'!$U$81,0,MATCH($B$2,'WSCOReductions-5PctSIP'!$X$78:$AQ$78,1)+2)</f>
        <v>0.31368984656241095</v>
      </c>
      <c r="F10" s="5">
        <f ca="1">OFFSET('WSCOReductions-5PctSIP'!$U$84,0,MATCH($B$2,'WSCOReductions-5PctSIP'!$X$78:$AQ$78,1)+2)</f>
        <v>1.4149201112868973E-3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v>
      </c>
      <c r="L10" s="5">
        <f ca="1">SCCRedFacsFull!L10*K$4/SCCRedFacsFull!K$4</f>
        <v>0</v>
      </c>
      <c r="M10" s="5">
        <f ca="1">'BACM-R8'!P154*($B$2-$M$3+1)*$M$4/SCCRedFacsFull!$M$4</f>
        <v>0.32432432432432434</v>
      </c>
      <c r="N10" s="5">
        <f ca="1">'BACM-R8'!O154*($B$2-$M$3+1)*$M$4/SCCRedFacsFull!$M$4</f>
        <v>0.32432432432432434</v>
      </c>
      <c r="O10" s="5">
        <f ca="1">SCCRedFacsFull!O10*O$4/SCCRedFacsFull!O$4</f>
        <v>0</v>
      </c>
      <c r="P10" s="5">
        <f ca="1">SCCRedFacsFull!P10*O$4/SCCRedFacsFull!O$4</f>
        <v>0</v>
      </c>
      <c r="Q10" s="5">
        <f ca="1">IFERROR(OFFSET('STF-22'!$E$173,MATCH($B10,'STF-22'!$A$174:$A$191,0),MATCH($B$2,'STF-22'!$F$172:$AD$172,0))*Q$4/SCCRedFacsFull!Q$4,0)</f>
        <v>0.17431684824686594</v>
      </c>
      <c r="R10" s="5">
        <f ca="1">IFERROR(OFFSET('STF-22'!$E$173,MATCH($B10,'STF-22'!$A$174:$A$191,0),MATCH($B$2,'STF-22'!$F$172:$AD$172,0)-1)*R$4/SCCRedFacsFull!R$4,0)</f>
        <v>0.174316848246866</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0.63363443785260998</v>
      </c>
      <c r="Z10" s="510">
        <f t="shared" ca="1" si="0"/>
        <v>0.4669360750194792</v>
      </c>
      <c r="AA10" s="617">
        <f ca="1">VLOOKUP($B10,INDIRECT("'CurtailCalcs"&amp;$B$2&amp;"-2Stage'!$AS$91:$BE$109"),10,FALSE)</f>
        <v>0.43158967353461331</v>
      </c>
      <c r="AB10" s="617">
        <f ca="1">VLOOKUP($B10,INDIRECT("'CurtailCalcs"&amp;$B$2&amp;"-2Stage'!$AS$91:$BE$109"),11,FALSE)</f>
        <v>0.43158967353461331</v>
      </c>
      <c r="AC10" s="617">
        <f ca="1">VLOOKUP($B10,INDIRECT("'CurtailCalcs"&amp;$B$2&amp;"-2Stage'!$AS$91:$BE$109"),12,FALSE)</f>
        <v>-1.5549841841191174</v>
      </c>
      <c r="AD10" s="617">
        <f ca="1">VLOOKUP($B10,INDIRECT("'CurtailCalcs"&amp;$B$2&amp;"-2Stage'!$AS$91:$BE$109"),13,FALSE)</f>
        <v>-1.5549841841191174</v>
      </c>
      <c r="AE10" s="510">
        <f t="shared" ref="AE10:AF26" ca="1" si="1">1-(1-$Y10)*(1-AA10)</f>
        <v>0.79175403121412713</v>
      </c>
      <c r="AF10" s="510">
        <f t="shared" ca="1" si="1"/>
        <v>0.79175403121412713</v>
      </c>
      <c r="AG10" s="510">
        <f t="shared" ref="AG10:AH26" ca="1" si="2">1-(1-$Z10)*(1-AC10)</f>
        <v>-0.36196989744969033</v>
      </c>
      <c r="AH10" s="510">
        <f t="shared" ca="1" si="2"/>
        <v>-0.36196989744969033</v>
      </c>
      <c r="AI10" s="530">
        <f t="shared" ref="AI10:AI26" ca="1" si="3">(Y10*$AJ$3+AE10*$AJ$4+AF10*$AJ$5)/35</f>
        <v>0.75109470720687987</v>
      </c>
      <c r="AJ10" s="530">
        <f t="shared" ref="AJ10:AJ26" ca="1" si="4">(Z10*$AJ$3+AG10*$AJ$4+AH10*$AJ$5)/35</f>
        <v>-0.14882264738618958</v>
      </c>
    </row>
    <row r="11" spans="1:36" x14ac:dyDescent="0.25">
      <c r="A11" s="812" t="s">
        <v>139</v>
      </c>
      <c r="B11" s="812">
        <v>2104008220</v>
      </c>
      <c r="C11" s="5">
        <f ca="1">INDIRECT("'DevSumOut-"&amp;$B$2&amp;"BSR'!R52")</f>
        <v>4.3327467883903403E-2</v>
      </c>
      <c r="D11" s="5">
        <f ca="1">INDIRECT("'DevSumOut-"&amp;$B$2&amp;"BSR'!P52")</f>
        <v>1.4442489294634467E-3</v>
      </c>
      <c r="E11" s="5">
        <f ca="1">OFFSET('WSCOReductions-5PctSIP'!$U$81,0,MATCH($B$2,'WSCOReductions-5PctSIP'!$X$78:$AQ$78,1)+2)</f>
        <v>0.31368984656241095</v>
      </c>
      <c r="F11" s="5">
        <f ca="1">OFFSET('WSCOReductions-5PctSIP'!$U$84,0,MATCH($B$2,'WSCOReductions-5PctSIP'!$X$78:$AQ$78,1)+2)</f>
        <v>1.4149201112868973E-3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0</v>
      </c>
      <c r="L11" s="5">
        <f ca="1">SCCRedFacsFull!L11*K$4/SCCRedFacsFull!K$4</f>
        <v>0</v>
      </c>
      <c r="M11" s="5">
        <f ca="1">'BACM-R8'!P155*($B$2-$M$3+1)*$M$4/SCCRedFacsFull!$M$4</f>
        <v>0.13378464412018137</v>
      </c>
      <c r="N11" s="5">
        <f ca="1">'BACM-R8'!O155*($B$2-$M$3+1)*$M$4/SCCRedFacsFull!$M$4</f>
        <v>4.4382159517415774E-2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-2.8465239037965433</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2.8260167018327988E-2</v>
      </c>
      <c r="D12" s="5">
        <f ca="1">INDIRECT("'DevSumOut-"&amp;$B$2&amp;"BSR'!P53")</f>
        <v>8.6954360056393763E-4</v>
      </c>
      <c r="E12" s="5">
        <f ca="1">OFFSET('WSCOReductions-5PctSIP'!$U$81,0,MATCH($B$2,'WSCOReductions-5PctSIP'!$X$78:$AQ$78,1)+2)</f>
        <v>0.31368984656241095</v>
      </c>
      <c r="F12" s="5">
        <f ca="1">OFFSET('WSCOReductions-5PctSIP'!$U$84,0,MATCH($B$2,'WSCOReductions-5PctSIP'!$X$78:$AQ$78,1)+2)</f>
        <v>1.4149201112868973E-3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0</v>
      </c>
      <c r="L12" s="5">
        <f ca="1">SCCRedFacsFull!L12*K$4/SCCRedFacsFull!K$4</f>
        <v>0</v>
      </c>
      <c r="M12" s="5">
        <f ca="1">'BACM-R8'!P156*($B$2-$M$3+1)*$M$4/SCCRedFacsFull!$M$4</f>
        <v>0.13378464412018143</v>
      </c>
      <c r="N12" s="5">
        <f ca="1">'BACM-R8'!O156*($B$2-$M$3+1)*$M$4/SCCRedFacsFull!$M$4</f>
        <v>4.8080672810533784E-2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9.8362552797546556E-3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0.43030977059834974</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0.4225788322262124</v>
      </c>
      <c r="D13" s="5">
        <f ca="1">INDIRECT("'DevSumOut-"&amp;$B$2&amp;"BSR'!P54")</f>
        <v>1.3921192868641121E-2</v>
      </c>
      <c r="E13" s="5">
        <f ca="1">OFFSET('WSCOReductions-5PctSIP'!$U$81,0,MATCH($B$2,'WSCOReductions-5PctSIP'!$X$78:$AQ$78,1)+2)</f>
        <v>0.31368984656241095</v>
      </c>
      <c r="F13" s="5">
        <f ca="1">OFFSET('WSCOReductions-5PctSIP'!$U$84,0,MATCH($B$2,'WSCOReductions-5PctSIP'!$X$78:$AQ$78,1)+2)</f>
        <v>1.4149201112868973E-3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v>
      </c>
      <c r="L13" s="5">
        <f ca="1">SCCRedFacsFull!L13*K$4/SCCRedFacsFull!K$4</f>
        <v>0</v>
      </c>
      <c r="M13" s="5">
        <f ca="1">'BACM-R8'!P157*($B$2-$M$3+1)*$M$4/SCCRedFacsFull!$M$4</f>
        <v>0.30901287553648066</v>
      </c>
      <c r="N13" s="5">
        <f ca="1">'BACM-R8'!O157*($B$2-$M$3+1)*$M$4/SCCRedFacsFull!$M$4</f>
        <v>0.30901287553648066</v>
      </c>
      <c r="O13" s="5">
        <f ca="1">SCCRedFacsFull!O13*O$4/SCCRedFacsFull!O$4</f>
        <v>0</v>
      </c>
      <c r="P13" s="5">
        <f ca="1">SCCRedFacsFull!P13*O$4/SCCRedFacsFull!O$4</f>
        <v>0</v>
      </c>
      <c r="Q13" s="5">
        <f ca="1">IFERROR(OFFSET('STF-22'!$E$173,MATCH($B13,'STF-22'!$A$174:$A$191,0),MATCH($B$2,'STF-22'!$F$172:$AD$172,0))*Q$4/SCCRedFacsFull!Q$4,0)</f>
        <v>2.9442006726954142E-2</v>
      </c>
      <c r="R13" s="5">
        <f ca="1">IFERROR(OFFSET('STF-22'!$E$173,MATCH($B13,'STF-22'!$A$174:$A$191,0),MATCH($B$2,'STF-22'!$F$172:$AD$172,0)-1)*R$4/SCCRedFacsFull!R$4,0)</f>
        <v>2.8885846294188011E-2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0.55959282871171911</v>
      </c>
      <c r="Z13" s="510">
        <f t="shared" ca="1" si="0"/>
        <v>0.35883792731038977</v>
      </c>
      <c r="AA13" s="617">
        <f t="shared" ca="1" si="5"/>
        <v>0.43060397420010033</v>
      </c>
      <c r="AB13" s="617">
        <f t="shared" ca="1" si="6"/>
        <v>0.43060397420010033</v>
      </c>
      <c r="AC13" s="617">
        <f t="shared" ca="1" si="7"/>
        <v>-2.2504286485608085</v>
      </c>
      <c r="AD13" s="617">
        <f t="shared" ca="1" si="8"/>
        <v>-2.2504286485608085</v>
      </c>
      <c r="AE13" s="510">
        <f t="shared" ca="1" si="1"/>
        <v>0.74923390693467717</v>
      </c>
      <c r="AF13" s="510">
        <f t="shared" ca="1" si="1"/>
        <v>0.74923390693467717</v>
      </c>
      <c r="AG13" s="510">
        <f t="shared" ca="1" si="2"/>
        <v>-1.0840515694409367</v>
      </c>
      <c r="AH13" s="510">
        <f t="shared" ca="1" si="2"/>
        <v>-1.0840515694409367</v>
      </c>
      <c r="AI13" s="530">
        <f t="shared" ca="1" si="3"/>
        <v>0.7004690582487737</v>
      </c>
      <c r="AJ13" s="530">
        <f t="shared" ca="1" si="4"/>
        <v>-0.71302284170488139</v>
      </c>
    </row>
    <row r="14" spans="1:36" x14ac:dyDescent="0.25">
      <c r="A14" s="812" t="s">
        <v>142</v>
      </c>
      <c r="B14" s="812">
        <v>2104008320</v>
      </c>
      <c r="C14" s="5">
        <f ca="1">INDIRECT("'DevSumOut-"&amp;$B$2&amp;"BSR'!R55")</f>
        <v>0.58071170063495825</v>
      </c>
      <c r="D14" s="5">
        <f ca="1">INDIRECT("'DevSumOut-"&amp;$B$2&amp;"BSR'!P55")</f>
        <v>2.930990648199195E-2</v>
      </c>
      <c r="E14" s="5">
        <f ca="1">OFFSET('WSCOReductions-5PctSIP'!$U$81,0,MATCH($B$2,'WSCOReductions-5PctSIP'!$X$78:$AQ$78,1)+2)</f>
        <v>0.31368984656241095</v>
      </c>
      <c r="F14" s="5">
        <f ca="1">OFFSET('WSCOReductions-5PctSIP'!$U$84,0,MATCH($B$2,'WSCOReductions-5PctSIP'!$X$78:$AQ$78,1)+2)</f>
        <v>1.4149201112868973E-3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0</v>
      </c>
      <c r="L14" s="5">
        <f ca="1">SCCRedFacsFull!L14*K$4/SCCRedFacsFull!K$4</f>
        <v>0</v>
      </c>
      <c r="M14" s="5">
        <f ca="1">'BACM-R8'!P158*($B$2-$M$3+1)*$M$4/SCCRedFacsFull!$M$4</f>
        <v>6.9081821284591116E-2</v>
      </c>
      <c r="N14" s="5">
        <f ca="1">'BACM-R8'!O158*($B$2-$M$3+1)*$M$4/SCCRedFacsFull!$M$4</f>
        <v>-1.9376789558899772E-2</v>
      </c>
      <c r="O14" s="5">
        <f ca="1">SCCRedFacsFull!O14*O$4/SCCRedFacsFull!O$4</f>
        <v>0</v>
      </c>
      <c r="P14" s="5">
        <f ca="1">SCCRedFacsFull!P14*O$4/SCCRedFacsFull!O$4</f>
        <v>0</v>
      </c>
      <c r="Q14" s="5">
        <f ca="1">IFERROR(OFFSET('STF-22'!$E$173,MATCH($B14,'STF-22'!$A$174:$A$191,0),MATCH($B$2,'STF-22'!$F$172:$AD$172,0))*Q$4/SCCRedFacsFull!Q$4,0)</f>
        <v>0.18000246908976775</v>
      </c>
      <c r="R14" s="5">
        <f ca="1">IFERROR(OFFSET('STF-22'!$E$173,MATCH($B14,'STF-22'!$A$174:$A$191,0),MATCH($B$2,'STF-22'!$F$172:$AD$172,0)-1)*R$4/SCCRedFacsFull!R$4,0)</f>
        <v>0.17288238975670489</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0.49871236494747628</v>
      </c>
      <c r="Z14" s="510">
        <f t="shared" ca="1" si="0"/>
        <v>0.19438119772653684</v>
      </c>
      <c r="AA14" s="617">
        <f t="shared" ca="1" si="5"/>
        <v>0.29354300452577731</v>
      </c>
      <c r="AB14" s="617">
        <f t="shared" ca="1" si="6"/>
        <v>0.42930664411894925</v>
      </c>
      <c r="AC14" s="617">
        <f t="shared" ca="1" si="7"/>
        <v>-2.0142722140188041</v>
      </c>
      <c r="AD14" s="617">
        <f t="shared" ca="1" si="8"/>
        <v>-2.9458731130024995</v>
      </c>
      <c r="AE14" s="510">
        <f t="shared" ca="1" si="1"/>
        <v>0.64586184347241549</v>
      </c>
      <c r="AF14" s="510">
        <f t="shared" ca="1" si="1"/>
        <v>0.71391847729019986</v>
      </c>
      <c r="AG14" s="510">
        <f t="shared" ca="1" si="2"/>
        <v>-1.428354370784009</v>
      </c>
      <c r="AH14" s="510">
        <f t="shared" ca="1" si="2"/>
        <v>-2.1788695712201354</v>
      </c>
      <c r="AI14" s="530">
        <f t="shared" ca="1" si="3"/>
        <v>0.64885738642810176</v>
      </c>
      <c r="AJ14" s="530">
        <f t="shared" ca="1" si="4"/>
        <v>-1.4613886305715447</v>
      </c>
    </row>
    <row r="15" spans="1:36" x14ac:dyDescent="0.25">
      <c r="A15" s="812" t="s">
        <v>143</v>
      </c>
      <c r="B15" s="812">
        <v>2104008330</v>
      </c>
      <c r="C15" s="5">
        <f ca="1">INDIRECT("'DevSumOut-"&amp;$B$2&amp;"BSR'!R56")</f>
        <v>0.38794668423482676</v>
      </c>
      <c r="D15" s="5">
        <f ca="1">INDIRECT("'DevSumOut-"&amp;$B$2&amp;"BSR'!P56")</f>
        <v>1.7646709715071065E-2</v>
      </c>
      <c r="E15" s="5">
        <f ca="1">OFFSET('WSCOReductions-5PctSIP'!$U$81,0,MATCH($B$2,'WSCOReductions-5PctSIP'!$X$78:$AQ$78,1)+2)</f>
        <v>0.31368984656241095</v>
      </c>
      <c r="F15" s="5">
        <f ca="1">OFFSET('WSCOReductions-5PctSIP'!$U$84,0,MATCH($B$2,'WSCOReductions-5PctSIP'!$X$78:$AQ$78,1)+2)</f>
        <v>1.4149201112868973E-3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0</v>
      </c>
      <c r="L15" s="5">
        <f ca="1">SCCRedFacsFull!L15*K$4/SCCRedFacsFull!K$4</f>
        <v>0</v>
      </c>
      <c r="M15" s="5">
        <f ca="1">'BACM-R8'!P159*($B$2-$M$3+1)*$M$4/SCCRedFacsFull!$M$4</f>
        <v>6.9081821284591088E-2</v>
      </c>
      <c r="N15" s="5">
        <f ca="1">'BACM-R8'!O159*($B$2-$M$3+1)*$M$4/SCCRedFacsFull!$M$4</f>
        <v>-2.1500273346176463E-2</v>
      </c>
      <c r="O15" s="5">
        <f ca="1">SCCRedFacsFull!O15*O$4/SCCRedFacsFull!O$4</f>
        <v>0</v>
      </c>
      <c r="P15" s="5">
        <f ca="1">SCCRedFacsFull!P15*O$4/SCCRedFacsFull!O$4</f>
        <v>0</v>
      </c>
      <c r="Q15" s="5">
        <f ca="1">IFERROR(OFFSET('STF-22'!$E$173,MATCH($B15,'STF-22'!$A$174:$A$191,0),MATCH($B$2,'STF-22'!$F$172:$AD$172,0))*Q$4/SCCRedFacsFull!Q$4,0)</f>
        <v>0.18000246908976772</v>
      </c>
      <c r="R15" s="5">
        <f ca="1">IFERROR(OFFSET('STF-22'!$E$173,MATCH($B15,'STF-22'!$A$174:$A$191,0),MATCH($B$2,'STF-22'!$F$172:$AD$172,0)-1)*R$4/SCCRedFacsFull!R$4,0)</f>
        <v>0.19182840507250826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0.49871236494747606</v>
      </c>
      <c r="Z15" s="510">
        <f t="shared" ca="1" si="0"/>
        <v>0.21119500045116546</v>
      </c>
      <c r="AA15" s="617">
        <f t="shared" ca="1" si="5"/>
        <v>0.29362726123173721</v>
      </c>
      <c r="AB15" s="617">
        <f t="shared" ca="1" si="6"/>
        <v>0.4294298695514156</v>
      </c>
      <c r="AC15" s="617">
        <f t="shared" ca="1" si="7"/>
        <v>-2.1501343804542987</v>
      </c>
      <c r="AD15" s="617">
        <f t="shared" ca="1" si="8"/>
        <v>-3.1445715314144111</v>
      </c>
      <c r="AE15" s="510">
        <f t="shared" ca="1" si="1"/>
        <v>0.6459040803172833</v>
      </c>
      <c r="AF15" s="510">
        <f t="shared" ca="1" si="1"/>
        <v>0.71398024867581911</v>
      </c>
      <c r="AG15" s="510">
        <f t="shared" ca="1" si="2"/>
        <v>-1.4848417485530212</v>
      </c>
      <c r="AH15" s="510">
        <f t="shared" ca="1" si="2"/>
        <v>-2.2692587449674573</v>
      </c>
      <c r="AI15" s="530">
        <f t="shared" ca="1" si="3"/>
        <v>0.64890048309445436</v>
      </c>
      <c r="AJ15" s="530">
        <f t="shared" ca="1" si="4"/>
        <v>-1.5193682109434634</v>
      </c>
    </row>
    <row r="16" spans="1:36" x14ac:dyDescent="0.25">
      <c r="A16" s="812" t="s">
        <v>144</v>
      </c>
      <c r="B16" s="812">
        <v>2104008410</v>
      </c>
      <c r="C16" s="5">
        <f ca="1">INDIRECT("'DevSumOut-"&amp;$B$2&amp;"BSR'!R57")</f>
        <v>1.4314725861425995E-2</v>
      </c>
      <c r="D16" s="5">
        <f ca="1">INDIRECT("'DevSumOut-"&amp;$B$2&amp;"BSR'!P57")</f>
        <v>1.5475379309649723E-3</v>
      </c>
      <c r="E16" s="5">
        <f ca="1">OFFSET('WSCOReductions-5PctSIP'!$U$81,0,MATCH($B$2,'WSCOReductions-5PctSIP'!$X$78:$AQ$78,1)+2)</f>
        <v>0.31368984656241095</v>
      </c>
      <c r="F16" s="5">
        <f ca="1">OFFSET('WSCOReductions-5PctSIP'!$U$84,0,MATCH($B$2,'WSCOReductions-5PctSIP'!$X$78:$AQ$78,1)+2)</f>
        <v>1.4149201112868973E-3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0.1586814343481901</v>
      </c>
      <c r="R16" s="5">
        <f ca="1">IFERROR(OFFSET('STF-22'!$E$173,MATCH($B16,'STF-22'!$A$174:$A$191,0),MATCH($B$2,'STF-22'!$F$172:$AD$172,0)-1)*R$4/SCCRedFacsFull!R$4,0)</f>
        <v>0.15868143434819013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0.44751128817209862</v>
      </c>
      <c r="Z16" s="510">
        <f t="shared" ca="1" si="0"/>
        <v>0.19612585989747056</v>
      </c>
      <c r="AA16" s="617">
        <f t="shared" ca="1" si="5"/>
        <v>0.42632653486271987</v>
      </c>
      <c r="AB16" s="617">
        <f t="shared" ca="1" si="6"/>
        <v>0.42632653486271987</v>
      </c>
      <c r="AC16" s="617">
        <f t="shared" ca="1" si="7"/>
        <v>-2.8899536545811828</v>
      </c>
      <c r="AD16" s="617">
        <f t="shared" ca="1" si="8"/>
        <v>-2.8899536545811828</v>
      </c>
      <c r="AE16" s="510">
        <f t="shared" ca="1" si="1"/>
        <v>0.68305188623645563</v>
      </c>
      <c r="AF16" s="510">
        <f t="shared" ca="1" si="1"/>
        <v>0.68305188623645563</v>
      </c>
      <c r="AG16" s="510">
        <f t="shared" ca="1" si="2"/>
        <v>-2.1270331491151402</v>
      </c>
      <c r="AH16" s="510">
        <f t="shared" ca="1" si="2"/>
        <v>-2.1270331491151402</v>
      </c>
      <c r="AI16" s="530">
        <f t="shared" ca="1" si="3"/>
        <v>0.62248430387704956</v>
      </c>
      <c r="AJ16" s="530">
        <f t="shared" ca="1" si="4"/>
        <v>-1.5296494039404689</v>
      </c>
    </row>
    <row r="17" spans="1:40" x14ac:dyDescent="0.25">
      <c r="A17" s="812" t="s">
        <v>145</v>
      </c>
      <c r="B17" s="812">
        <v>2104008420</v>
      </c>
      <c r="C17" s="5">
        <f ca="1">INDIRECT("'DevSumOut-"&amp;$B$2&amp;"BSR'!R58")</f>
        <v>4.8284015212179503E-2</v>
      </c>
      <c r="D17" s="5">
        <f ca="1">INDIRECT("'DevSumOut-"&amp;$B$2&amp;"BSR'!P58")</f>
        <v>5.2198935364518393E-3</v>
      </c>
      <c r="E17" s="5">
        <f ca="1">OFFSET('WSCOReductions-5PctSIP'!$U$81,0,MATCH($B$2,'WSCOReductions-5PctSIP'!$X$78:$AQ$78,1)+2)</f>
        <v>0.31368984656241095</v>
      </c>
      <c r="F17" s="5">
        <f ca="1">OFFSET('WSCOReductions-5PctSIP'!$U$84,0,MATCH($B$2,'WSCOReductions-5PctSIP'!$X$78:$AQ$78,1)+2)</f>
        <v>1.4149201112868973E-3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0.20742179562720808</v>
      </c>
      <c r="R17" s="5">
        <f ca="1">IFERROR(OFFSET('STF-22'!$E$173,MATCH($B17,'STF-22'!$A$174:$A$191,0),MATCH($B$2,'STF-22'!$F$172:$AD$172,0)-1)*R$4/SCCRedFacsFull!R$4,0)</f>
        <v>0.20742179562720806</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0.47951878273654858</v>
      </c>
      <c r="Z17" s="510">
        <f t="shared" ca="1" si="0"/>
        <v>0.24269694201914183</v>
      </c>
      <c r="AA17" s="617">
        <f t="shared" ca="1" si="5"/>
        <v>0.42409767355878836</v>
      </c>
      <c r="AB17" s="617">
        <f t="shared" ca="1" si="6"/>
        <v>0.42409767355878836</v>
      </c>
      <c r="AC17" s="617">
        <f t="shared" ca="1" si="7"/>
        <v>-4.1950068760237897</v>
      </c>
      <c r="AD17" s="617">
        <f t="shared" ca="1" si="8"/>
        <v>-4.1950068760237897</v>
      </c>
      <c r="AE17" s="510">
        <f t="shared" ca="1" si="1"/>
        <v>0.70025365610902468</v>
      </c>
      <c r="AF17" s="510">
        <f t="shared" ca="1" si="1"/>
        <v>0.70025365610902468</v>
      </c>
      <c r="AG17" s="510">
        <f t="shared" ca="1" si="2"/>
        <v>-2.9341945934444009</v>
      </c>
      <c r="AH17" s="510">
        <f t="shared" ca="1" si="2"/>
        <v>-2.9341945934444009</v>
      </c>
      <c r="AI17" s="530">
        <f t="shared" ca="1" si="3"/>
        <v>0.64349326009895935</v>
      </c>
      <c r="AJ17" s="530">
        <f t="shared" ca="1" si="4"/>
        <v>-2.1172796271823473</v>
      </c>
    </row>
    <row r="18" spans="1:40" x14ac:dyDescent="0.25">
      <c r="A18" s="812" t="s">
        <v>146</v>
      </c>
      <c r="B18" s="812">
        <v>2104008610</v>
      </c>
      <c r="C18" s="5">
        <f ca="1">INDIRECT("'DevSumOut-"&amp;$B$2&amp;"BSR'!R59")</f>
        <v>0.239892738928837</v>
      </c>
      <c r="D18" s="5">
        <f ca="1">INDIRECT("'DevSumOut-"&amp;$B$2&amp;"BSR'!P59")</f>
        <v>9.7219470176879395E-3</v>
      </c>
      <c r="E18" s="5">
        <f ca="1">OFFSET('WSCOReductions-5PctSIP'!$U$81,0,MATCH($B$2,'WSCOReductions-5PctSIP'!$X$78:$AQ$78,1)+2)</f>
        <v>0.31368984656241095</v>
      </c>
      <c r="F18" s="5">
        <f ca="1">OFFSET('WSCOReductions-5PctSIP'!$U$84,0,MATCH($B$2,'WSCOReductions-5PctSIP'!$X$78:$AQ$78,1)+2)</f>
        <v>1.4149201112868973E-3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v>
      </c>
      <c r="L18" s="5">
        <f ca="1">SCCRedFacsFull!L18*K$4/SCCRedFacsFull!K$4</f>
        <v>0</v>
      </c>
      <c r="M18" s="5">
        <f ca="1">'BACM-R8'!P162*($B$2-$M$3+1)*$M$4/SCCRedFacsFull!$M$4</f>
        <v>0.26510791272860346</v>
      </c>
      <c r="N18" s="5">
        <f ca="1">'BACM-R8'!O162*($B$2-$M$3+1)*$M$4/SCCRedFacsFull!$M$4</f>
        <v>0.1064109569552253</v>
      </c>
      <c r="O18" s="5">
        <f ca="1">SCCRedFacsFull!O18*O$4/SCCRedFacsFull!O$4</f>
        <v>0</v>
      </c>
      <c r="P18" s="5">
        <f ca="1">SCCRedFacsFull!P18*O$4/SCCRedFacsFull!O$4</f>
        <v>0</v>
      </c>
      <c r="Q18" s="5">
        <f ca="1">IFERROR(OFFSET('STF-22'!$E$173,MATCH($B18,'STF-22'!$A$174:$A$191,0),MATCH($B$2,'STF-22'!$F$172:$AD$172,0))*Q$4/SCCRedFacsFull!Q$4,0)</f>
        <v>0.14112979207204829</v>
      </c>
      <c r="R18" s="5">
        <f ca="1">IFERROR(OFFSET('STF-22'!$E$173,MATCH($B18,'STF-22'!$A$174:$A$191,0),MATCH($B$2,'STF-22'!$F$172:$AD$172,0)-1)*R$4/SCCRedFacsFull!R$4,0)</f>
        <v>0.14112979207204829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0.5855100106042479</v>
      </c>
      <c r="Z18" s="510">
        <f t="shared" ca="1" si="0"/>
        <v>0.26668096438001454</v>
      </c>
      <c r="AA18" s="617">
        <f t="shared" ca="1" si="5"/>
        <v>0.3976478590182545</v>
      </c>
      <c r="AB18" s="617">
        <f t="shared" ca="1" si="6"/>
        <v>0.43063247405202676</v>
      </c>
      <c r="AC18" s="617">
        <f t="shared" ca="1" si="7"/>
        <v>-1.573488236384625</v>
      </c>
      <c r="AD18" s="617">
        <f t="shared" ca="1" si="8"/>
        <v>-1.7040079979280507</v>
      </c>
      <c r="AE18" s="510">
        <f t="shared" ca="1" si="1"/>
        <v>0.75033106747196776</v>
      </c>
      <c r="AF18" s="510">
        <f t="shared" ca="1" si="1"/>
        <v>0.76400286020753894</v>
      </c>
      <c r="AG18" s="510">
        <f t="shared" ca="1" si="2"/>
        <v>-0.88718791168495037</v>
      </c>
      <c r="AH18" s="510">
        <f t="shared" ca="1" si="2"/>
        <v>-0.98290053734932581</v>
      </c>
      <c r="AI18" s="530">
        <f t="shared" ca="1" si="3"/>
        <v>0.7161515856330396</v>
      </c>
      <c r="AJ18" s="530">
        <f t="shared" ca="1" si="4"/>
        <v>-0.64790634752401333</v>
      </c>
    </row>
    <row r="19" spans="1:40" x14ac:dyDescent="0.25">
      <c r="A19" s="812" t="s">
        <v>147</v>
      </c>
      <c r="B19" s="812">
        <v>2104004000</v>
      </c>
      <c r="C19" s="5">
        <f ca="1">INDIRECT("'DevSumOut-"&amp;$B$2&amp;"BSR'!R60")+INDIRECT("'DevSumOut-"&amp;$B$2&amp;"BSR'!R62")+INDIRECT("'DevSumOut-"&amp;$B$2&amp;"BSR'!R63")</f>
        <v>5.4150275953500866E-2</v>
      </c>
      <c r="D19" s="5">
        <f ca="1">INDIRECT("'DevSumOut-"&amp;$B$2&amp;"BSR'!P60")+INDIRECT("'DevSumOut-"&amp;$B$2&amp;"BSR'!P62")+INDIRECT("'DevSumOut-"&amp;$B$2&amp;"BSR'!P63")</f>
        <v>3.4305255756513344</v>
      </c>
      <c r="E19" s="5">
        <f ca="1">OFFSET('WSCOReductions-5PctSIP'!$U$81,0,MATCH($B$2,'WSCOReductions-5PctSIP'!$X$78:$AQ$78,1)+2)</f>
        <v>0.31368984656241095</v>
      </c>
      <c r="F19" s="5">
        <f ca="1">OFFSET('WSCOReductions-5PctSIP'!$U$84,0,MATCH($B$2,'WSCOReductions-5PctSIP'!$X$78:$AQ$78,1)+2)</f>
        <v>1.4149201112868973E-3</v>
      </c>
      <c r="G19" s="5">
        <f ca="1">SCCRedFacsFull!G19*G$4/SCCRedFacsFull!G$4</f>
        <v>0.48994184890764292</v>
      </c>
      <c r="H19" s="5">
        <f ca="1">SCCRedFacsFull!H19*G$4/SCCRedFacsFull!G$4</f>
        <v>0.56292492785396708</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-6.4462792441962128E-3</v>
      </c>
      <c r="R19" s="5">
        <f ca="1">IFERROR(OFFSET('STF-22'!$E$173,MATCH($B19,'STF-22'!$A$174:$A$191,0),MATCH($B$2,'STF-22'!$F$172:$AD$172,0)-1)*R$4/SCCRedFacsFull!R$4,0)</f>
        <v>-6.4515844560210844E-3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0.64768533987517185</v>
      </c>
      <c r="Z19" s="510">
        <f t="shared" ca="1" si="0"/>
        <v>0.56072751725168402</v>
      </c>
      <c r="AA19" s="617">
        <f t="shared" ca="1" si="5"/>
        <v>0</v>
      </c>
      <c r="AB19" s="617">
        <f t="shared" ca="1" si="6"/>
        <v>0</v>
      </c>
      <c r="AC19" s="617">
        <f t="shared" ca="1" si="7"/>
        <v>0</v>
      </c>
      <c r="AD19" s="617">
        <f t="shared" ca="1" si="8"/>
        <v>0</v>
      </c>
      <c r="AE19" s="510">
        <f t="shared" ca="1" si="1"/>
        <v>0.64768533987517185</v>
      </c>
      <c r="AF19" s="510">
        <f t="shared" ca="1" si="1"/>
        <v>0.64768533987517185</v>
      </c>
      <c r="AG19" s="510">
        <f t="shared" ca="1" si="2"/>
        <v>0.56072751725168402</v>
      </c>
      <c r="AH19" s="510">
        <f t="shared" ca="1" si="2"/>
        <v>0.56072751725168402</v>
      </c>
      <c r="AI19" s="530">
        <f t="shared" ca="1" si="3"/>
        <v>0.64768533987517185</v>
      </c>
      <c r="AJ19" s="530">
        <f t="shared" ca="1" si="4"/>
        <v>0.56072751725168402</v>
      </c>
    </row>
    <row r="20" spans="1:40" x14ac:dyDescent="0.25">
      <c r="A20" s="812" t="s">
        <v>148</v>
      </c>
      <c r="B20" s="812">
        <v>2103004001</v>
      </c>
      <c r="C20" s="5">
        <f ca="1">INDIRECT("'DevSumOut-"&amp;$B$2&amp;"BSR'!R61")</f>
        <v>1.731802816901612E-2</v>
      </c>
      <c r="D20" s="5">
        <f ca="1">INDIRECT("'DevSumOut-"&amp;$B$2&amp;"BSR'!P61")</f>
        <v>0.48257147534161138</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0.31368984656241095</v>
      </c>
      <c r="F21" s="5">
        <f ca="1">OFFSET('WSCOReductions-5PctSIP'!$U$84,0,MATCH($B$2,'WSCOReductions-5PctSIP'!$X$78:$AQ$78,1)+2)</f>
        <v>1.4149201112868973E-3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0.31368984656241095</v>
      </c>
      <c r="Z21" s="510">
        <f t="shared" ca="1" si="0"/>
        <v>1.4149201112868548E-3</v>
      </c>
      <c r="AA21" s="617">
        <f t="shared" ca="1" si="5"/>
        <v>0</v>
      </c>
      <c r="AB21" s="617">
        <f t="shared" ca="1" si="6"/>
        <v>0</v>
      </c>
      <c r="AC21" s="617">
        <f t="shared" ca="1" si="7"/>
        <v>0</v>
      </c>
      <c r="AD21" s="617">
        <f t="shared" ca="1" si="8"/>
        <v>0</v>
      </c>
      <c r="AE21" s="510">
        <f t="shared" ca="1" si="1"/>
        <v>0.31368984656241095</v>
      </c>
      <c r="AF21" s="510">
        <f t="shared" ca="1" si="1"/>
        <v>0.31368984656241095</v>
      </c>
      <c r="AG21" s="510">
        <f t="shared" ca="1" si="2"/>
        <v>1.4149201112868548E-3</v>
      </c>
      <c r="AH21" s="510">
        <f t="shared" ca="1" si="2"/>
        <v>1.4149201112868548E-3</v>
      </c>
      <c r="AI21" s="530">
        <f t="shared" ca="1" si="3"/>
        <v>0.313689846562411</v>
      </c>
      <c r="AJ21" s="530">
        <f t="shared" ca="1" si="4"/>
        <v>1.4149201112868548E-3</v>
      </c>
    </row>
    <row r="22" spans="1:40" x14ac:dyDescent="0.25">
      <c r="A22" s="812" t="s">
        <v>150</v>
      </c>
      <c r="B22" s="812">
        <v>2103006000</v>
      </c>
      <c r="C22" s="5">
        <f ca="1">INDIRECT("'DevSumOut-"&amp;$B$2&amp;"BSR'!R65")</f>
        <v>1.007951856986729E-2</v>
      </c>
      <c r="D22" s="5">
        <f ca="1">INDIRECT("'DevSumOut-"&amp;$B$2&amp;"BSR'!P65")</f>
        <v>7.9575146604215379E-4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9.37943439755861E-2</v>
      </c>
      <c r="D23" s="5">
        <f ca="1">INDIRECT("'DevSumOut-"&amp;$B$2&amp;"BSR'!P66")</f>
        <v>0.10917239035956829</v>
      </c>
      <c r="E23" s="5">
        <f ca="1">OFFSET('WSCOReductions-5PctSIP'!$U$81,0,MATCH($B$2,'WSCOReductions-5PctSIP'!$X$78:$AQ$78,1)+2)</f>
        <v>0.31368984656241095</v>
      </c>
      <c r="F23" s="5">
        <f ca="1">OFFSET('WSCOReductions-5PctSIP'!$U$84,0,MATCH($B$2,'WSCOReductions-5PctSIP'!$X$78:$AQ$78,1)+2)</f>
        <v>1.4149201112868973E-3</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0.31368984656241095</v>
      </c>
      <c r="Z23" s="510">
        <f t="shared" ca="1" si="0"/>
        <v>1.4149201112868548E-3</v>
      </c>
      <c r="AA23" s="617">
        <f t="shared" ca="1" si="5"/>
        <v>0.44845389532858415</v>
      </c>
      <c r="AB23" s="617">
        <f t="shared" ca="1" si="6"/>
        <v>0.44845389532858415</v>
      </c>
      <c r="AC23" s="617">
        <f t="shared" ca="1" si="7"/>
        <v>0.36928069720055601</v>
      </c>
      <c r="AD23" s="617">
        <f t="shared" ca="1" si="8"/>
        <v>0.36928069720055601</v>
      </c>
      <c r="AE23" s="510">
        <f t="shared" ca="1" si="1"/>
        <v>0.62146830827505606</v>
      </c>
      <c r="AF23" s="510">
        <f t="shared" ca="1" si="1"/>
        <v>0.62146830827505606</v>
      </c>
      <c r="AG23" s="510">
        <f t="shared" ca="1" si="2"/>
        <v>0.3701731146266638</v>
      </c>
      <c r="AH23" s="510">
        <f t="shared" ca="1" si="2"/>
        <v>0.3701731146266638</v>
      </c>
      <c r="AI23" s="530">
        <f t="shared" ca="1" si="3"/>
        <v>0.54232527526323304</v>
      </c>
      <c r="AJ23" s="530">
        <f t="shared" ca="1" si="4"/>
        <v>0.2753495788941383</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2.6684158267578719</v>
      </c>
      <c r="D27" s="450">
        <f ca="1">INDIRECT("'DevSumOut-"&amp;$B$2&amp;"BSR'!P70")</f>
        <v>4.1283922370161692</v>
      </c>
      <c r="E27" s="450">
        <f ca="1">$C27-E28</f>
        <v>1.8408605885646327</v>
      </c>
      <c r="F27" s="450">
        <f ca="1">$D27-F28</f>
        <v>4.1232590354791103</v>
      </c>
      <c r="G27" s="450">
        <f ca="1">$C27-G28</f>
        <v>2.6595844014262875</v>
      </c>
      <c r="H27" s="450">
        <f ca="1">$D27-H28</f>
        <v>2.2107520265939375</v>
      </c>
      <c r="I27" s="450">
        <f ca="1">$C27-I28</f>
        <v>2.536435874710838</v>
      </c>
      <c r="J27" s="450">
        <f ca="1">$D27-J28</f>
        <v>4.1237207933173083</v>
      </c>
      <c r="K27" s="450">
        <f ca="1">$C27-K28</f>
        <v>2.6684158267578719</v>
      </c>
      <c r="L27" s="450">
        <f ca="1">$D27-L28</f>
        <v>4.1283922370161692</v>
      </c>
      <c r="M27" s="450">
        <f ca="1">$C27-M28</f>
        <v>2.2517919065254741</v>
      </c>
      <c r="N27" s="450">
        <f ca="1">$D27-N28</f>
        <v>4.1221843166268251</v>
      </c>
      <c r="O27" s="450">
        <f ca="1">$C27-O28</f>
        <v>2.6684158267578719</v>
      </c>
      <c r="P27" s="450">
        <f ca="1">$D27-P28</f>
        <v>4.1283922370161692</v>
      </c>
      <c r="Q27" s="450">
        <f ca="1">$C27-Q28</f>
        <v>2.2363028042761282</v>
      </c>
      <c r="R27" s="450">
        <f ca="1">$D27-R28</f>
        <v>4.1351632204385966</v>
      </c>
      <c r="S27" s="450">
        <f ca="1">$C27-S28</f>
        <v>2.668137852540831</v>
      </c>
      <c r="T27" s="450">
        <f ca="1">$D27-T28</f>
        <v>4.1283922370161692</v>
      </c>
      <c r="U27" s="786">
        <f ca="1">$C27-U28</f>
        <v>2.6684158267578719</v>
      </c>
      <c r="V27" s="786">
        <f ca="1">$D27-V28</f>
        <v>4.1283922370161692</v>
      </c>
      <c r="W27" s="450">
        <f ca="1">$C27-W28</f>
        <v>2.6684158267578719</v>
      </c>
      <c r="X27" s="450">
        <f ca="1">$D27-X28</f>
        <v>4.1283922370161692</v>
      </c>
      <c r="Y27" s="450">
        <f ca="1">$C27-Y28</f>
        <v>1.2227642055983017</v>
      </c>
      <c r="Z27" s="450">
        <f ca="1">$D27-Z28</f>
        <v>2.1931718167815424</v>
      </c>
      <c r="AA27" s="450">
        <f ca="1">$C27-AA28</f>
        <v>1.9943305360429715</v>
      </c>
      <c r="AB27" s="450">
        <f ca="1">$C27-AB28</f>
        <v>1.5547236455967164</v>
      </c>
      <c r="AC27" s="450">
        <f ca="1">$D27-AC28</f>
        <v>4.2637419683354612</v>
      </c>
      <c r="AD27" s="450">
        <f ca="1">$D27-AD28</f>
        <v>4.3113469139033018</v>
      </c>
      <c r="AE27" s="450">
        <f ca="1">$C27-AE28</f>
        <v>0.90933744445188003</v>
      </c>
      <c r="AF27" s="450">
        <f ca="1">$C27-AF28</f>
        <v>0.71320652648545724</v>
      </c>
      <c r="AG27" s="450">
        <f ca="1">$D27-AG28</f>
        <v>2.2824567097384127</v>
      </c>
      <c r="AH27" s="450">
        <f ca="1">$D27-AH28</f>
        <v>2.3188105779544852</v>
      </c>
      <c r="AI27" s="787">
        <f ca="1">$C27-AI28</f>
        <v>0.87225434653824929</v>
      </c>
      <c r="AJ27" s="787">
        <f ca="1">$D27-AJ28</f>
        <v>2.2813100581934327</v>
      </c>
    </row>
    <row r="28" spans="1:40" x14ac:dyDescent="0.25">
      <c r="B28" s="244" t="s">
        <v>156</v>
      </c>
      <c r="E28" s="450">
        <f ca="1">SUMPRODUCT($C9:$C26,E9:E26)</f>
        <v>0.82755523819323906</v>
      </c>
      <c r="F28" s="450">
        <f ca="1">SUMPRODUCT($D9:$D26,F9:F26)</f>
        <v>5.1332015370591736E-3</v>
      </c>
      <c r="G28" s="450">
        <f ca="1">SUMPRODUCT($C9:$C26,G9:G26)</f>
        <v>8.8314253315845814E-3</v>
      </c>
      <c r="H28" s="450">
        <f ca="1">SUMPRODUCT($D9:$D26,H9:H26)</f>
        <v>1.9176402104222317</v>
      </c>
      <c r="I28" s="450">
        <f ca="1">SUMPRODUCT($C9:$C26,I9:I26)</f>
        <v>0.13197995204703375</v>
      </c>
      <c r="J28" s="450">
        <f ca="1">SUMPRODUCT($D9:$D26,J9:J26)</f>
        <v>4.6714436988606178E-3</v>
      </c>
      <c r="K28" s="450">
        <f ca="1">SUMPRODUCT($C9:$C26,K9:K26)</f>
        <v>0</v>
      </c>
      <c r="L28" s="450">
        <f ca="1">SUMPRODUCT($D9:$D26,L9:L26)</f>
        <v>0</v>
      </c>
      <c r="M28" s="450">
        <f ca="1">SUMPRODUCT($C9:$C26,M9:M26)</f>
        <v>0.41662392023239803</v>
      </c>
      <c r="N28" s="450">
        <f ca="1">SUMPRODUCT($D9:$D26,N9:N26)</f>
        <v>6.2079203893440228E-3</v>
      </c>
      <c r="O28" s="450">
        <f ca="1">SUMPRODUCT($C9:$C26,O9:O26)</f>
        <v>0</v>
      </c>
      <c r="P28" s="450">
        <f ca="1">SUMPRODUCT($D9:$D26,P9:P26)</f>
        <v>0</v>
      </c>
      <c r="Q28" s="450">
        <f ca="1">SUMPRODUCT($C9:$C26,Q9:Q26)</f>
        <v>0.43211302248174371</v>
      </c>
      <c r="R28" s="450">
        <f ca="1">SUMPRODUCT($D9:$D26,R9:R26)</f>
        <v>-6.7709834224276844E-3</v>
      </c>
      <c r="S28" s="450">
        <f ca="1">SUMPRODUCT($C9:$C26,S9:S26)</f>
        <v>2.7797421704077707E-4</v>
      </c>
      <c r="T28" s="450">
        <f ca="1">SUMPRODUCT($D9:$D26,T9:T26)</f>
        <v>0</v>
      </c>
      <c r="U28" s="786">
        <f ca="1">SUMPRODUCT($C9:$C26,U9:U26)</f>
        <v>0</v>
      </c>
      <c r="V28" s="786">
        <f ca="1">SUMPRODUCT($D9:$D26,V9:V26)</f>
        <v>0</v>
      </c>
      <c r="W28" s="450">
        <f ca="1">SUMPRODUCT($C9:$C26,W9:W26)</f>
        <v>0</v>
      </c>
      <c r="X28" s="450">
        <f ca="1">SUMPRODUCT($D9:$D26,X9:X26)</f>
        <v>0</v>
      </c>
      <c r="Y28" s="450">
        <f ca="1">SUMPRODUCT($C9:$C26,Y9:Y26)</f>
        <v>1.4456516211595702</v>
      </c>
      <c r="Z28" s="450">
        <f ca="1">SUMPRODUCT($D9:$D26,Z9:Z26)</f>
        <v>1.935220420234627</v>
      </c>
      <c r="AA28" s="450">
        <f ca="1">SUMPRODUCT($C9:$C26,AA9:AA26)</f>
        <v>0.67408529071490042</v>
      </c>
      <c r="AB28" s="450">
        <f ca="1">SUMPRODUCT($C9:$C26,AB9:AB26)</f>
        <v>1.1136921811611555</v>
      </c>
      <c r="AC28" s="450">
        <f ca="1">SUMPRODUCT($D9:$D26,AC9:AC26)</f>
        <v>-0.1353497313192924</v>
      </c>
      <c r="AD28" s="450">
        <f ca="1">SUMPRODUCT($D9:$D26,AD9:AD26)</f>
        <v>-0.18295467688713296</v>
      </c>
      <c r="AE28" s="450">
        <f ca="1">SUMPRODUCT($C9:$C26,AE9:AE26)</f>
        <v>1.7590783823059919</v>
      </c>
      <c r="AF28" s="450">
        <f ca="1">SUMPRODUCT($C9:$C26,AF9:AF26)</f>
        <v>1.9552093002724147</v>
      </c>
      <c r="AG28" s="450">
        <f ca="1">SUMPRODUCT($D9:$D26,AG9:AG26)</f>
        <v>1.8459355272777562</v>
      </c>
      <c r="AH28" s="450">
        <f ca="1">SUMPRODUCT($D9:$D26,AH9:AH26)</f>
        <v>1.8095816590616838</v>
      </c>
      <c r="AI28" s="450">
        <f ca="1">SUMPRODUCT($C9:$C26,AI9:AI26)</f>
        <v>1.7961614802196226</v>
      </c>
      <c r="AJ28" s="450">
        <f ca="1">SUMPRODUCT($D9:$D26,AJ9:AJ26)</f>
        <v>1.8470821788227367</v>
      </c>
    </row>
    <row r="29" spans="1:40" x14ac:dyDescent="0.25">
      <c r="E29" s="659">
        <f ca="1">E28/$C27</f>
        <v>0.31012978932849439</v>
      </c>
      <c r="F29" s="693">
        <f ca="1">F28/$D27</f>
        <v>1.2433899790416326E-3</v>
      </c>
      <c r="G29" s="659">
        <f ca="1">G28/$C27</f>
        <v>3.3096136078291714E-3</v>
      </c>
      <c r="H29" s="693">
        <f ca="1">H28/$D27</f>
        <v>0.46450048840519631</v>
      </c>
      <c r="I29" s="659">
        <f ca="1">I28/$C27</f>
        <v>4.9460039444972688E-2</v>
      </c>
      <c r="J29" s="693">
        <f ca="1">J28/$D27</f>
        <v>1.1315406653891356E-3</v>
      </c>
      <c r="K29" s="659">
        <f ca="1">K28/$C27</f>
        <v>0</v>
      </c>
      <c r="L29" s="693">
        <f ca="1">L28/$D27</f>
        <v>0</v>
      </c>
      <c r="M29" s="659">
        <f ca="1">M28/$C27</f>
        <v>0.1561315579283595</v>
      </c>
      <c r="N29" s="693">
        <f ca="1">N28/$D27</f>
        <v>1.5037138025990598E-3</v>
      </c>
      <c r="O29" s="659">
        <f ca="1">O28/$C27</f>
        <v>0</v>
      </c>
      <c r="P29" s="693">
        <f ca="1">P28/$D27</f>
        <v>0</v>
      </c>
      <c r="Q29" s="659">
        <f ca="1">Q28/$C27</f>
        <v>0.16193616382749518</v>
      </c>
      <c r="R29" s="693">
        <f ca="1">R28/$D27</f>
        <v>-1.6401017717544858E-3</v>
      </c>
      <c r="S29" s="659">
        <f ca="1">S28/$C27</f>
        <v>1.0417200132503937E-4</v>
      </c>
      <c r="T29" s="693">
        <f ca="1">T28/$D27</f>
        <v>0</v>
      </c>
      <c r="U29" s="700">
        <f ca="1">U28/$C27</f>
        <v>0</v>
      </c>
      <c r="V29" s="700">
        <f ca="1">V28/$D27</f>
        <v>0</v>
      </c>
      <c r="W29" s="659">
        <f ca="1">W28/$C27</f>
        <v>0</v>
      </c>
      <c r="X29" s="693">
        <f ca="1">X28/$D27</f>
        <v>0</v>
      </c>
      <c r="Y29" s="659">
        <f ca="1">Y28/$C27</f>
        <v>0.54176399594962621</v>
      </c>
      <c r="Z29" s="693">
        <f t="shared" ref="Z29" ca="1" si="9">Z28/$D27</f>
        <v>0.46875885553774904</v>
      </c>
      <c r="AA29" s="838">
        <f ca="1">(AA28*$AJ$4+AB28*$AJ$5)/SUM($AJ$4:$AJ$5)</f>
        <v>1.0291523945368757</v>
      </c>
      <c r="AB29" s="838"/>
      <c r="AC29" s="838">
        <f ca="1">(AC28*$AJ$4+AD28*$AJ$5)/SUM($AJ$4:$AJ$5)</f>
        <v>-0.17379987966254823</v>
      </c>
      <c r="AD29" s="838"/>
      <c r="AE29" s="659">
        <f ca="1">AE28/$C27</f>
        <v>0.65922198656844055</v>
      </c>
      <c r="AF29" s="659">
        <f ca="1">AF28/$C27</f>
        <v>0.73272286900201611</v>
      </c>
      <c r="AG29" s="693">
        <f t="shared" ref="AG29:AH29" ca="1" si="10">AG28/$D27</f>
        <v>0.44713181822372622</v>
      </c>
      <c r="AH29" s="693">
        <f t="shared" ca="1" si="10"/>
        <v>0.43832600081855944</v>
      </c>
      <c r="AI29" s="659">
        <f ca="1">AI28/$C27</f>
        <v>0.673119032726605</v>
      </c>
      <c r="AJ29" s="693">
        <f t="shared" ref="AJ29" ca="1" si="11">AJ28/$D27</f>
        <v>0.44740956594708919</v>
      </c>
      <c r="AK29" s="5"/>
      <c r="AL29" s="5"/>
      <c r="AN29" s="5"/>
    </row>
    <row r="30" spans="1:40" x14ac:dyDescent="0.25">
      <c r="B30" s="244" t="s">
        <v>157</v>
      </c>
      <c r="E30" s="450">
        <f ca="1">E28*($Y28/$Y30)</f>
        <v>0.65828586364330144</v>
      </c>
      <c r="F30" s="450">
        <f ca="1">F28*($Z28/$Z30)</f>
        <v>5.1554155909913774E-3</v>
      </c>
      <c r="G30" s="450">
        <f ca="1">G28*($Y28/$Y30)</f>
        <v>7.0250325093658287E-3</v>
      </c>
      <c r="H30" s="450">
        <f ca="1">H28*($Z28/$Z30)</f>
        <v>1.9259388448610593</v>
      </c>
      <c r="I30" s="450">
        <f ca="1">I28*($Y28/$Y30)</f>
        <v>0.10498457711000073</v>
      </c>
      <c r="J30" s="450">
        <f ca="1">J28*($Z28/$Z30)</f>
        <v>4.6916594845683411E-3</v>
      </c>
      <c r="K30" s="450">
        <f ca="1">K28*($Y28/$Y30)</f>
        <v>0</v>
      </c>
      <c r="L30" s="450">
        <f ca="1">L28*($Z28/$Z30)</f>
        <v>0</v>
      </c>
      <c r="M30" s="450">
        <f ca="1">M28*($Y28/$Y30)</f>
        <v>0.33140704630595463</v>
      </c>
      <c r="N30" s="450">
        <f ca="1">N28*($Z28/$Z30)</f>
        <v>6.2347853151296408E-3</v>
      </c>
      <c r="O30" s="450">
        <f ca="1">O28*($Y28/$Y30)</f>
        <v>0</v>
      </c>
      <c r="P30" s="450">
        <f ca="1">P28*($Z28/$Z30)</f>
        <v>0</v>
      </c>
      <c r="Q30" s="450">
        <f ca="1">Q28*($Y28/$Y30)</f>
        <v>0.34372798463211507</v>
      </c>
      <c r="R30" s="450">
        <f ca="1">R28*($Z28/$Z30)</f>
        <v>-6.8002850171213613E-3</v>
      </c>
      <c r="S30" s="450">
        <f ca="1">S28*($Y28/$Y30)</f>
        <v>2.211169588325777E-4</v>
      </c>
      <c r="T30" s="450">
        <f ca="1">T28*($Z28/$Z30)</f>
        <v>0</v>
      </c>
      <c r="U30" s="786">
        <f ca="1">U28*($Y28/$Y30)</f>
        <v>0</v>
      </c>
      <c r="V30" s="786">
        <f ca="1">V28*($Z28/$Z30)</f>
        <v>0</v>
      </c>
      <c r="W30" s="450">
        <f ca="1">W28*($Y28/$Y30)</f>
        <v>0</v>
      </c>
      <c r="X30" s="450">
        <f ca="1">X28*($Z28/$Z30)</f>
        <v>0</v>
      </c>
      <c r="Y30" s="450">
        <f ca="1">SUM($E28,$G28,$I28,$K28,$M28,$O28,$Q28,$S28,$W28)</f>
        <v>1.8173815325030398</v>
      </c>
      <c r="Z30" s="450">
        <f ca="1">SUM($F28,$H28,$J28,$L28,$N28,$P28,$R28,$T28,$X28)</f>
        <v>1.9268817926250676</v>
      </c>
      <c r="AA30" s="450">
        <f ca="1">AE28-$Y28</f>
        <v>0.31342676114642165</v>
      </c>
      <c r="AB30" s="450">
        <f ca="1">AF28-$Y28</f>
        <v>0.50955767911284444</v>
      </c>
      <c r="AC30" s="450">
        <f ca="1">AG28-$Z28</f>
        <v>-8.9284892956870809E-2</v>
      </c>
      <c r="AD30" s="450">
        <f ca="1">AH28-$Z28</f>
        <v>-0.12563876117294326</v>
      </c>
      <c r="AE30" s="450">
        <f ca="1">SUM($E28,$G28,$I28,$K28,$M28,$O28,$Q28,$S28,$W28,AA28)</f>
        <v>2.49146682321794</v>
      </c>
      <c r="AF30" s="450">
        <f ca="1">SUM($E28,$G28,$I28,$K28,$M28,$O28,$Q28,$S28,$W28,AB28)</f>
        <v>2.9310737136641953</v>
      </c>
      <c r="AG30" s="450">
        <f ca="1">SUM($F28,$H28,$J28,$L28,$N28,$P28,$R28,$T28,$X28,AC28)</f>
        <v>1.7915320613057752</v>
      </c>
      <c r="AH30" s="450">
        <f ca="1">SUM($F28,$H28,$J28,$L28,$N28,$P28,$R28,$T28,$X28,AD28)</f>
        <v>1.7439271157379346</v>
      </c>
    </row>
    <row r="31" spans="1:40" x14ac:dyDescent="0.25">
      <c r="Y31" s="659">
        <f ca="1">Y30/$C27</f>
        <v>0.68107133613847592</v>
      </c>
      <c r="Z31" s="659">
        <f ca="1">Z30/$C27</f>
        <v>0.72210701694354407</v>
      </c>
      <c r="AA31" s="839" t="s">
        <v>158</v>
      </c>
      <c r="AB31" s="839"/>
      <c r="AC31" s="839"/>
      <c r="AD31" s="839"/>
      <c r="AE31" s="659">
        <f ca="1">AE30/$C27</f>
        <v>0.9336876202855815</v>
      </c>
      <c r="AF31" s="659">
        <f ca="1">AF30/$C27</f>
        <v>1.0984321424991146</v>
      </c>
      <c r="AG31" s="693">
        <f ca="1">AG30/$D27</f>
        <v>0.43395393616974254</v>
      </c>
      <c r="AH31" s="693">
        <f ca="1">AH30/$D27</f>
        <v>0.42242282603417858</v>
      </c>
    </row>
    <row r="32" spans="1:40" x14ac:dyDescent="0.25">
      <c r="Y32" s="698">
        <f ca="1">SUM($E30,$G30,$I30,$K30,$M30,$O30,$Q30,$S30,$W30)</f>
        <v>1.4456516211595705</v>
      </c>
      <c r="Z32" s="698">
        <f ca="1">SUM($F30,$H30,$J30,$L30,$N30,$P30,$R30,$T30,$X30)</f>
        <v>1.9352204202346273</v>
      </c>
      <c r="AA32" s="838">
        <f ca="1">(AA30*$AJ$4+AB30*$AJ$5)/SUM($AJ$4:$AJ$5)</f>
        <v>0.47184019488853235</v>
      </c>
      <c r="AB32" s="838"/>
      <c r="AC32" s="838">
        <f ca="1">(AC30*$AJ$4+AD30*$AJ$5)/SUM($AJ$4:$AJ$5)</f>
        <v>-0.1186476326698524</v>
      </c>
      <c r="AD32" s="838"/>
    </row>
    <row r="33" spans="2:34" x14ac:dyDescent="0.25">
      <c r="C33" s="450">
        <f ca="1">SUM(C9:C18)</f>
        <v>2.490181577832816</v>
      </c>
      <c r="D33" s="450">
        <f ca="1">SUM(D9:D18)</f>
        <v>8.8140227817633476E-2</v>
      </c>
      <c r="Z33" s="616"/>
      <c r="AA33" s="616"/>
    </row>
    <row r="34" spans="2:34" x14ac:dyDescent="0.25">
      <c r="B34" s="244" t="s">
        <v>159</v>
      </c>
      <c r="E34" s="450">
        <f ca="1">SUMPRODUCT($C9:$C18,E9:E18)</f>
        <v>0.78114467706291835</v>
      </c>
      <c r="F34" s="450">
        <f ca="1">SUMPRODUCT($D9:$D18,F9:F18)</f>
        <v>1.2471138095257843E-4</v>
      </c>
      <c r="G34" s="450">
        <f ca="1">SUMPRODUCT($C9:$C18,G9:G18)</f>
        <v>-2.5893580136835421E-2</v>
      </c>
      <c r="H34" s="450">
        <f ca="1">SUMPRODUCT($D9:$D18,H9:H18)</f>
        <v>-9.1650587755976343E-4</v>
      </c>
      <c r="I34" s="450">
        <f ca="1">SUMPRODUCT($C9:$C18,I9:I18)</f>
        <v>0.13197995204703375</v>
      </c>
      <c r="J34" s="450">
        <f ca="1">SUMPRODUCT($D9:$D18,J9:J18)</f>
        <v>4.6714436988606178E-3</v>
      </c>
      <c r="K34" s="450">
        <f ca="1">SUMPRODUCT($C9:$C18,K9:K18)</f>
        <v>0</v>
      </c>
      <c r="L34" s="450">
        <f ca="1">SUMPRODUCT($D9:$D18,L9:L18)</f>
        <v>0</v>
      </c>
      <c r="M34" s="450">
        <f ca="1">SUMPRODUCT($C9:$C18,M9:M18)</f>
        <v>0.41662392023239803</v>
      </c>
      <c r="N34" s="450">
        <f ca="1">SUMPRODUCT($D9:$D18,N9:N18)</f>
        <v>6.2079203893440228E-3</v>
      </c>
      <c r="O34" s="450">
        <f ca="1">SUMPRODUCT($C9:$C18,O9:O18)</f>
        <v>0</v>
      </c>
      <c r="P34" s="450">
        <f ca="1">SUMPRODUCT($D9:$D18,P9:P18)</f>
        <v>0</v>
      </c>
      <c r="Q34" s="450">
        <f ca="1">SUMPRODUCT($C9:$C18,Q9:Q18)</f>
        <v>0.43246209028169025</v>
      </c>
      <c r="R34" s="450">
        <f ca="1">SUMPRODUCT($D9:$D18,R9:R18)</f>
        <v>1.5361342057427247E-2</v>
      </c>
      <c r="S34" s="450"/>
      <c r="T34" s="450"/>
      <c r="U34" s="450">
        <f ca="1">SUMPRODUCT($C9:$C18,U9:U18)</f>
        <v>0</v>
      </c>
      <c r="V34" s="450">
        <f ca="1">SUMPRODUCT($D9:$D18,V9:V18)</f>
        <v>0</v>
      </c>
      <c r="W34" s="450">
        <f ca="1">SUMPRODUCT($C9:$C18,W9:W18)</f>
        <v>0</v>
      </c>
      <c r="X34" s="450">
        <f ca="1">SUMPRODUCT($D9:$D18,X9:X18)</f>
        <v>0</v>
      </c>
      <c r="Y34" s="450">
        <f ca="1">SUMPRODUCT($C9:$C18,Y9:Y18)</f>
        <v>1.3729605927502351</v>
      </c>
      <c r="Z34" s="450">
        <f ca="1">SUMPRODUCT($D9:$D18,Z9:Z18)</f>
        <v>2.4047406679341646E-2</v>
      </c>
      <c r="AE34" s="450">
        <f ca="1">SUMPRODUCT($C9:$C18,AE9:AE18)</f>
        <v>1.657519474990504</v>
      </c>
      <c r="AF34" s="450">
        <f ca="1">SUMPRODUCT($C9:$C18,AF9:AF18)</f>
        <v>1.8536503929569268</v>
      </c>
      <c r="AG34" s="450">
        <f ca="1">SUMPRODUCT($D9:$D18,AG9:AG18)</f>
        <v>-0.10549569983745152</v>
      </c>
      <c r="AH34" s="450">
        <f ca="1">SUMPRODUCT($D9:$D18,AH9:AH18)</f>
        <v>-0.14184956805352394</v>
      </c>
    </row>
    <row r="35" spans="2:34" x14ac:dyDescent="0.25">
      <c r="C35" s="450">
        <f ca="1">SUM(C19:C20)</f>
        <v>7.1468304122516979E-2</v>
      </c>
      <c r="D35" s="450">
        <f ca="1">SUM(D19:D20)</f>
        <v>3.9130970509929459</v>
      </c>
      <c r="AD35" s="244" t="s">
        <v>160</v>
      </c>
      <c r="AE35" s="604">
        <f ca="1">AE34/$C33</f>
        <v>0.66562193285239435</v>
      </c>
      <c r="AF35" s="604">
        <f ca="1">AF34/$C33</f>
        <v>0.74438362626156085</v>
      </c>
      <c r="AG35" s="604">
        <f t="shared" ref="AG35:AH37" ca="1" si="12">AG34/$D33</f>
        <v>-1.196907501257285</v>
      </c>
      <c r="AH35" s="604">
        <f t="shared" ca="1" si="12"/>
        <v>-1.6093623940593593</v>
      </c>
    </row>
    <row r="36" spans="2:34" x14ac:dyDescent="0.25">
      <c r="B36" s="244" t="s">
        <v>161</v>
      </c>
      <c r="E36" s="450">
        <f ca="1">SUMPRODUCT($C19:$C20,E19:E20)</f>
        <v>1.6986391755165899E-2</v>
      </c>
      <c r="F36" s="450">
        <f ca="1">SUMPRODUCT($D19:$D20,F19:F20)</f>
        <v>4.8539196292731335E-3</v>
      </c>
      <c r="G36" s="450">
        <f ca="1">SUMPRODUCT($C19:$C20,G19:G20)</f>
        <v>3.4727684758296622E-2</v>
      </c>
      <c r="H36" s="450">
        <f ca="1">SUMPRODUCT($D19:$D20,H19:H20)</f>
        <v>1.9185567946712438</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-3.4906779994654992E-4</v>
      </c>
      <c r="R36" s="450">
        <f ca="1">SUMPRODUCT($D19:$D20,R19:R20)</f>
        <v>-2.2132325479854931E-2</v>
      </c>
      <c r="S36" s="450"/>
      <c r="T36" s="450"/>
      <c r="U36" s="450">
        <f ca="1">SUMPRODUCT($C19:$C20,U19:U20)</f>
        <v>0</v>
      </c>
      <c r="V36" s="450">
        <f ca="1">SUMPRODUCT($D19:$D20,V19:V20)</f>
        <v>0</v>
      </c>
      <c r="W36" s="450">
        <f ca="1">SUMPRODUCT($C19:$C20,W19:W20)</f>
        <v>0</v>
      </c>
      <c r="X36" s="450">
        <f ca="1">SUMPRODUCT($D19:$D20,X19:X20)</f>
        <v>0</v>
      </c>
      <c r="Y36" s="450">
        <f ca="1">SUMPRODUCT($C19:$C20,Y19:Y20)</f>
        <v>4.3269538324056889E-2</v>
      </c>
      <c r="Z36" s="450">
        <f ca="1">SUMPRODUCT($D19:$D20,Z19:Z20)</f>
        <v>1.9110185213999042</v>
      </c>
      <c r="AE36" s="450">
        <f ca="1">SUMPRODUCT($C19:$C20,AE19:AE20)</f>
        <v>4.3269538324056889E-2</v>
      </c>
      <c r="AF36" s="450">
        <f ca="1">SUMPRODUCT($C19:$C20,AF19:AF20)</f>
        <v>4.3269538324056889E-2</v>
      </c>
      <c r="AG36" s="450">
        <f ca="1">SUMPRODUCT($D19:$D20,AG19:AG20)</f>
        <v>1.9110185213999042</v>
      </c>
      <c r="AH36" s="450">
        <f ca="1">SUMPRODUCT($D19:$D20,AH19:AH20)</f>
        <v>1.9110185213999042</v>
      </c>
    </row>
    <row r="37" spans="2:34" x14ac:dyDescent="0.25">
      <c r="AD37" s="244" t="s">
        <v>162</v>
      </c>
      <c r="AE37" s="694">
        <f ca="1">AE36/$C35</f>
        <v>0.60543675766925442</v>
      </c>
      <c r="AF37" s="694">
        <f ca="1">AF36/$C35</f>
        <v>0.60543675766925442</v>
      </c>
      <c r="AG37" s="694">
        <f t="shared" ca="1" si="12"/>
        <v>0.48836471380513918</v>
      </c>
      <c r="AH37" s="694">
        <f t="shared" ca="1" si="12"/>
        <v>0.48836471380513918</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SCCRedFacs2023</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5.0723871974567847E-2</v>
      </c>
      <c r="AD41" s="805" cm="1">
        <f t="array" aca="1" ref="AD41" ca="1">AC29-INDIRECT("SCCRedFacs"&amp;$B$2&amp;"!AC29")</f>
        <v>-5.492878334750817E-3</v>
      </c>
    </row>
    <row r="42" spans="2:34" x14ac:dyDescent="0.25">
      <c r="B42" s="812"/>
      <c r="AB42" s="244" t="s">
        <v>635</v>
      </c>
      <c r="AC42" s="804" cm="1">
        <f t="array" aca="1" ref="AC42" ca="1">AA32-INDIRECT("SCCRedFacs"&amp;$B$2&amp;"!AA32")</f>
        <v>2.2630490534587266E-2</v>
      </c>
      <c r="AD42" s="805" cm="1">
        <f t="array" aca="1" ref="AD42" ca="1">AC32-INDIRECT("SCCRedFacs"&amp;$B$2&amp;"!AC32")</f>
        <v>-4.1946771018545048E-3</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B451-1D55-451B-976E-68AE4E2531A1}">
  <sheetPr>
    <tabColor rgb="FFFFFFCC"/>
  </sheetPr>
  <dimension ref="A1:AN68"/>
  <sheetViews>
    <sheetView zoomScale="80" zoomScaleNormal="80" workbookViewId="0">
      <selection activeCell="AC42" sqref="AC4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2024</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0.15</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0.25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0.7</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2024BSR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0.68274028761889094</v>
      </c>
      <c r="D9" s="5">
        <f ca="1">INDIRECT("'DevSumOut-"&amp;$B$2&amp;"BSR'!P50")</f>
        <v>7.8929513019524947E-3</v>
      </c>
      <c r="E9" s="5">
        <f ca="1">OFFSET('WSCOReductions-5PctSIP'!$U$81,0,MATCH($B$2,'WSCOReductions-5PctSIP'!$X$78:$AQ$78,1)+2)</f>
        <v>0.34388051425260369</v>
      </c>
      <c r="F9" s="5">
        <f ca="1">OFFSET('WSCOReductions-5PctSIP'!$U$84,0,MATCH($B$2,'WSCOReductions-5PctSIP'!$X$78:$AQ$78,1)+2)</f>
        <v>1.6706233734232047E-3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0.15</v>
      </c>
      <c r="L9" s="5">
        <f ca="1">SCCRedFacsFull!L9*K$4/SCCRedFacsFull!K$4</f>
        <v>0.15</v>
      </c>
      <c r="M9" s="5">
        <f ca="1">'BACM-R8'!P153*($B$2-$M$3+1)*$M$4/SCCRedFacsFull!$M$4</f>
        <v>0.23968784838350055</v>
      </c>
      <c r="N9" s="5">
        <f ca="1">'BACM-R8'!O153*($B$2-$M$3+1)*$M$4/SCCRedFacsFull!$M$4</f>
        <v>0.2396878483835006</v>
      </c>
      <c r="O9" s="5">
        <f ca="1">SCCRedFacsFull!O9*O$4/SCCRedFacsFull!O$4</f>
        <v>0</v>
      </c>
      <c r="P9" s="5">
        <f ca="1">SCCRedFacsFull!P9*O$4/SCCRedFacsFull!O$4</f>
        <v>0</v>
      </c>
      <c r="Q9" s="5">
        <f ca="1">IFERROR(OFFSET('STF-22'!$E$173,MATCH($B9,'STF-22'!$A$174:$A$191,0),MATCH($B$2,'STF-22'!$F$172:$AD$172,0))*Q$4/SCCRedFacsFull!Q$4,0)</f>
        <v>0.19560849470567124</v>
      </c>
      <c r="R9" s="5">
        <f ca="1">IFERROR(OFFSET('STF-22'!$E$173,MATCH($B9,'STF-22'!$A$174:$A$191,0),MATCH($B$2,'STF-22'!$F$172:$AD$172,0)-1)*R$4/SCCRedFacsFull!R$4,0)</f>
        <v>0.19560849470567124</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0.67363484730771517</v>
      </c>
      <c r="Z9" s="510">
        <f ca="1">1-(1-F9)*(1-H9)*(1-J9)*(1-L9)*(1-N9)*(1-P9)*(1-R9)*(1-T9)*(1-X9)</f>
        <v>0.50341374320139365</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0.67363484730771517</v>
      </c>
      <c r="AF9" s="510">
        <f ca="1">1-(1-$Y9)*(1-AB9)</f>
        <v>0.81460386721385214</v>
      </c>
      <c r="AG9" s="510">
        <f ca="1">1-(1-$Z9)*(1-AC9)</f>
        <v>0.50341374320139365</v>
      </c>
      <c r="AH9" s="510">
        <f ca="1">1-(1-$Z9)*(1-AD9)</f>
        <v>0.54526492443418606</v>
      </c>
      <c r="AI9" s="530">
        <f ca="1">(Y9*$AJ$3+AE9*$AJ$4+AF9*$AJ$5)/35</f>
        <v>0.75821625925139735</v>
      </c>
      <c r="AJ9" s="530">
        <f ca="1">(Z9*$AJ$3+AG9*$AJ$4+AH9*$AJ$5)/35</f>
        <v>0.52852445194106912</v>
      </c>
    </row>
    <row r="10" spans="1:36" x14ac:dyDescent="0.25">
      <c r="A10" s="812" t="s">
        <v>138</v>
      </c>
      <c r="B10" s="812">
        <v>2104008210</v>
      </c>
      <c r="C10" s="5">
        <f ca="1">INDIRECT("'DevSumOut-"&amp;$B$2&amp;"BSR'!R51")</f>
        <v>5.3283828239984704E-2</v>
      </c>
      <c r="D10" s="5">
        <f ca="1">INDIRECT("'DevSumOut-"&amp;$B$2&amp;"BSR'!P51")</f>
        <v>6.9652063058803562E-4</v>
      </c>
      <c r="E10" s="5">
        <f ca="1">OFFSET('WSCOReductions-5PctSIP'!$U$81,0,MATCH($B$2,'WSCOReductions-5PctSIP'!$X$78:$AQ$78,1)+2)</f>
        <v>0.34388051425260369</v>
      </c>
      <c r="F10" s="5">
        <f ca="1">OFFSET('WSCOReductions-5PctSIP'!$U$84,0,MATCH($B$2,'WSCOReductions-5PctSIP'!$X$78:$AQ$78,1)+2)</f>
        <v>1.6706233734232047E-3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0.15</v>
      </c>
      <c r="L10" s="5">
        <f ca="1">SCCRedFacsFull!L10*K$4/SCCRedFacsFull!K$4</f>
        <v>0.15</v>
      </c>
      <c r="M10" s="5">
        <f ca="1">'BACM-R8'!P154*($B$2-$M$3+1)*$M$4/SCCRedFacsFull!$M$4</f>
        <v>0.40540540540540543</v>
      </c>
      <c r="N10" s="5">
        <f ca="1">'BACM-R8'!O154*($B$2-$M$3+1)*$M$4/SCCRedFacsFull!$M$4</f>
        <v>0.40540540540540543</v>
      </c>
      <c r="O10" s="5">
        <f ca="1">SCCRedFacsFull!O10*O$4/SCCRedFacsFull!O$4</f>
        <v>0</v>
      </c>
      <c r="P10" s="5">
        <f ca="1">SCCRedFacsFull!P10*O$4/SCCRedFacsFull!O$4</f>
        <v>0</v>
      </c>
      <c r="Q10" s="5">
        <f ca="1">IFERROR(OFFSET('STF-22'!$E$173,MATCH($B10,'STF-22'!$A$174:$A$191,0),MATCH($B$2,'STF-22'!$F$172:$AD$172,0))*Q$4/SCCRedFacsFull!Q$4,0)</f>
        <v>0.19233486626488397</v>
      </c>
      <c r="R10" s="5">
        <f ca="1">IFERROR(OFFSET('STF-22'!$E$173,MATCH($B10,'STF-22'!$A$174:$A$191,0),MATCH($B$2,'STF-22'!$F$172:$AD$172,0)-1)*R$4/SCCRedFacsFull!R$4,0)</f>
        <v>0.192334866264884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0.74373065087979684</v>
      </c>
      <c r="Z10" s="510">
        <f t="shared" ca="1" si="0"/>
        <v>0.61006916405746114</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0.85433385560351316</v>
      </c>
      <c r="AF10" s="510">
        <f t="shared" ca="1" si="1"/>
        <v>0.85433385560351316</v>
      </c>
      <c r="AG10" s="510">
        <f t="shared" ref="AG10:AH26" ca="1" si="2">1-(1-$Z10)*(1-AC10)</f>
        <v>3.7328812664669808E-3</v>
      </c>
      <c r="AH10" s="510">
        <f t="shared" ca="1" si="2"/>
        <v>3.7328812664669808E-3</v>
      </c>
      <c r="AI10" s="530">
        <f t="shared" ref="AI10:AI26" ca="1" si="3">(Y10*$AJ$3+AE10*$AJ$4+AF10*$AJ$5)/35</f>
        <v>0.82589303153170046</v>
      </c>
      <c r="AJ10" s="530">
        <f t="shared" ref="AJ10:AJ26" ca="1" si="4">(Z10*$AJ$3+AG10*$AJ$4+AH10*$AJ$5)/35</f>
        <v>0.15964792541272263</v>
      </c>
    </row>
    <row r="11" spans="1:36" x14ac:dyDescent="0.25">
      <c r="A11" s="812" t="s">
        <v>139</v>
      </c>
      <c r="B11" s="812">
        <v>2104008220</v>
      </c>
      <c r="C11" s="5">
        <f ca="1">INDIRECT("'DevSumOut-"&amp;$B$2&amp;"BSR'!R52")</f>
        <v>4.3993976819256868E-2</v>
      </c>
      <c r="D11" s="5">
        <f ca="1">INDIRECT("'DevSumOut-"&amp;$B$2&amp;"BSR'!P52")</f>
        <v>1.466465893975229E-3</v>
      </c>
      <c r="E11" s="5">
        <f ca="1">OFFSET('WSCOReductions-5PctSIP'!$U$81,0,MATCH($B$2,'WSCOReductions-5PctSIP'!$X$78:$AQ$78,1)+2)</f>
        <v>0.34388051425260369</v>
      </c>
      <c r="F11" s="5">
        <f ca="1">OFFSET('WSCOReductions-5PctSIP'!$U$84,0,MATCH($B$2,'WSCOReductions-5PctSIP'!$X$78:$AQ$78,1)+2)</f>
        <v>1.6706233734232047E-3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-1.0164660059989717E-2</v>
      </c>
      <c r="L11" s="5">
        <f ca="1">SCCRedFacsFull!L11*K$4/SCCRedFacsFull!K$4</f>
        <v>-9.8559958919688384E-3</v>
      </c>
      <c r="M11" s="5">
        <f ca="1">'BACM-R8'!P155*($B$2-$M$3+1)*$M$4/SCCRedFacsFull!$M$4</f>
        <v>0.1672308051502267</v>
      </c>
      <c r="N11" s="5">
        <f ca="1">'BACM-R8'!O155*($B$2-$M$3+1)*$M$4/SCCRedFacsFull!$M$4</f>
        <v>5.547769939676972E-2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2.8694894796160917E-2</v>
      </c>
      <c r="D12" s="5">
        <f ca="1">INDIRECT("'DevSumOut-"&amp;$B$2&amp;"BSR'!P53")</f>
        <v>8.8291983988187436E-4</v>
      </c>
      <c r="E12" s="5">
        <f ca="1">OFFSET('WSCOReductions-5PctSIP'!$U$81,0,MATCH($B$2,'WSCOReductions-5PctSIP'!$X$78:$AQ$78,1)+2)</f>
        <v>0.34388051425260369</v>
      </c>
      <c r="F12" s="5">
        <f ca="1">OFFSET('WSCOReductions-5PctSIP'!$U$84,0,MATCH($B$2,'WSCOReductions-5PctSIP'!$X$78:$AQ$78,1)+2)</f>
        <v>1.6706233734232047E-3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-1.0164660059989719E-2</v>
      </c>
      <c r="L12" s="5">
        <f ca="1">SCCRedFacsFull!L12*K$4/SCCRedFacsFull!K$4</f>
        <v>-1.0677328882966243E-2</v>
      </c>
      <c r="M12" s="5">
        <f ca="1">'BACM-R8'!P156*($B$2-$M$3+1)*$M$4/SCCRedFacsFull!$M$4</f>
        <v>0.16723080515022679</v>
      </c>
      <c r="N12" s="5">
        <f ca="1">'BACM-R8'!O156*($B$2-$M$3+1)*$M$4/SCCRedFacsFull!$M$4</f>
        <v>6.0100841013167233E-2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1.3770757391656516E-2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0.42907938675491686</v>
      </c>
      <c r="D13" s="5">
        <f ca="1">INDIRECT("'DevSumOut-"&amp;$B$2&amp;"BSR'!P54")</f>
        <v>1.4135343380796375E-2</v>
      </c>
      <c r="E13" s="5">
        <f ca="1">OFFSET('WSCOReductions-5PctSIP'!$U$81,0,MATCH($B$2,'WSCOReductions-5PctSIP'!$X$78:$AQ$78,1)+2)</f>
        <v>0.34388051425260369</v>
      </c>
      <c r="F13" s="5">
        <f ca="1">OFFSET('WSCOReductions-5PctSIP'!$U$84,0,MATCH($B$2,'WSCOReductions-5PctSIP'!$X$78:$AQ$78,1)+2)</f>
        <v>1.6706233734232047E-3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0.15</v>
      </c>
      <c r="L13" s="5">
        <f ca="1">SCCRedFacsFull!L13*K$4/SCCRedFacsFull!K$4</f>
        <v>0.15</v>
      </c>
      <c r="M13" s="5">
        <f ca="1">'BACM-R8'!P157*($B$2-$M$3+1)*$M$4/SCCRedFacsFull!$M$4</f>
        <v>0.38626609442060084</v>
      </c>
      <c r="N13" s="5">
        <f ca="1">'BACM-R8'!O157*($B$2-$M$3+1)*$M$4/SCCRedFacsFull!$M$4</f>
        <v>0.38626609442060084</v>
      </c>
      <c r="O13" s="5">
        <f ca="1">SCCRedFacsFull!O13*O$4/SCCRedFacsFull!O$4</f>
        <v>0</v>
      </c>
      <c r="P13" s="5">
        <f ca="1">SCCRedFacsFull!P13*O$4/SCCRedFacsFull!O$4</f>
        <v>0</v>
      </c>
      <c r="Q13" s="5">
        <f ca="1">IFERROR(OFFSET('STF-22'!$E$173,MATCH($B13,'STF-22'!$A$174:$A$191,0),MATCH($B$2,'STF-22'!$F$172:$AD$172,0))*Q$4/SCCRedFacsFull!Q$4,0)</f>
        <v>3.2485238709565468E-2</v>
      </c>
      <c r="R13" s="5">
        <f ca="1">IFERROR(OFFSET('STF-22'!$E$173,MATCH($B13,'STF-22'!$A$174:$A$191,0),MATCH($B$2,'STF-22'!$F$172:$AD$172,0)-1)*R$4/SCCRedFacsFull!R$4,0)</f>
        <v>3.1871591528964738E-2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0.68312929496987285</v>
      </c>
      <c r="Z13" s="510">
        <f t="shared" ca="1" si="0"/>
        <v>0.51755437828141138</v>
      </c>
      <c r="AA13" s="617">
        <f t="shared" ca="1" si="5"/>
        <v>0.43060397420010033</v>
      </c>
      <c r="AB13" s="617">
        <f t="shared" ca="1" si="6"/>
        <v>0.43060397420010033</v>
      </c>
      <c r="AC13" s="617">
        <f t="shared" ca="1" si="7"/>
        <v>-2.2504286485608085</v>
      </c>
      <c r="AD13" s="617">
        <f t="shared" ca="1" si="8"/>
        <v>-2.2504286485608085</v>
      </c>
      <c r="AE13" s="510">
        <f t="shared" ca="1" si="1"/>
        <v>0.81957507986343336</v>
      </c>
      <c r="AF13" s="510">
        <f t="shared" ca="1" si="1"/>
        <v>0.81957507986343336</v>
      </c>
      <c r="AG13" s="510">
        <f t="shared" ca="1" si="2"/>
        <v>-0.56815507020683098</v>
      </c>
      <c r="AH13" s="510">
        <f t="shared" ca="1" si="2"/>
        <v>-0.56815507020683098</v>
      </c>
      <c r="AI13" s="530">
        <f t="shared" ca="1" si="3"/>
        <v>0.78448902089080352</v>
      </c>
      <c r="AJ13" s="530">
        <f t="shared" ca="1" si="4"/>
        <v>-0.28897264059556865</v>
      </c>
    </row>
    <row r="14" spans="1:36" x14ac:dyDescent="0.25">
      <c r="A14" s="812" t="s">
        <v>142</v>
      </c>
      <c r="B14" s="812">
        <v>2104008320</v>
      </c>
      <c r="C14" s="5">
        <f ca="1">INDIRECT("'DevSumOut-"&amp;$B$2&amp;"BSR'!R55")</f>
        <v>0.58964482219134895</v>
      </c>
      <c r="D14" s="5">
        <f ca="1">INDIRECT("'DevSumOut-"&amp;$B$2&amp;"BSR'!P55")</f>
        <v>2.9760782462489317E-2</v>
      </c>
      <c r="E14" s="5">
        <f ca="1">OFFSET('WSCOReductions-5PctSIP'!$U$81,0,MATCH($B$2,'WSCOReductions-5PctSIP'!$X$78:$AQ$78,1)+2)</f>
        <v>0.34388051425260369</v>
      </c>
      <c r="F14" s="5">
        <f ca="1">OFFSET('WSCOReductions-5PctSIP'!$U$84,0,MATCH($B$2,'WSCOReductions-5PctSIP'!$X$78:$AQ$78,1)+2)</f>
        <v>1.6706233734232047E-3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-1.3341116328736505E-2</v>
      </c>
      <c r="L14" s="5">
        <f ca="1">SCCRedFacsFull!L14*K$4/SCCRedFacsFull!K$4</f>
        <v>-1.2813402419407559E-2</v>
      </c>
      <c r="M14" s="5">
        <f ca="1">'BACM-R8'!P158*($B$2-$M$3+1)*$M$4/SCCRedFacsFull!$M$4</f>
        <v>8.6352276605738895E-2</v>
      </c>
      <c r="N14" s="5">
        <f ca="1">'BACM-R8'!O158*($B$2-$M$3+1)*$M$4/SCCRedFacsFull!$M$4</f>
        <v>-2.4220986948624713E-2</v>
      </c>
      <c r="O14" s="5">
        <f ca="1">SCCRedFacsFull!O14*O$4/SCCRedFacsFull!O$4</f>
        <v>0</v>
      </c>
      <c r="P14" s="5">
        <f ca="1">SCCRedFacsFull!P14*O$4/SCCRedFacsFull!O$4</f>
        <v>0</v>
      </c>
      <c r="Q14" s="5">
        <f ca="1">IFERROR(OFFSET('STF-22'!$E$173,MATCH($B14,'STF-22'!$A$174:$A$191,0),MATCH($B$2,'STF-22'!$F$172:$AD$172,0))*Q$4/SCCRedFacsFull!Q$4,0)</f>
        <v>0.20004723913453781</v>
      </c>
      <c r="R14" s="5">
        <f ca="1">IFERROR(OFFSET('STF-22'!$E$173,MATCH($B14,'STF-22'!$A$174:$A$191,0),MATCH($B$2,'STF-22'!$F$172:$AD$172,0)-1)*R$4/SCCRedFacsFull!R$4,0)</f>
        <v>0.19213427982791975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0.5350307518052384</v>
      </c>
      <c r="Z14" s="510">
        <f t="shared" ca="1" si="0"/>
        <v>0.19946807950801437</v>
      </c>
      <c r="AA14" s="617">
        <f t="shared" ca="1" si="5"/>
        <v>0.29354300452577731</v>
      </c>
      <c r="AB14" s="617">
        <f t="shared" ca="1" si="6"/>
        <v>0.42930664411894914</v>
      </c>
      <c r="AC14" s="617">
        <f t="shared" ca="1" si="7"/>
        <v>-2.0142722140188041</v>
      </c>
      <c r="AD14" s="617">
        <f t="shared" ca="1" si="8"/>
        <v>-2.9458731130024995</v>
      </c>
      <c r="AE14" s="510">
        <f t="shared" ca="1" si="1"/>
        <v>0.67151922193242064</v>
      </c>
      <c r="AF14" s="510">
        <f t="shared" ca="1" si="1"/>
        <v>0.73464513936624232</v>
      </c>
      <c r="AG14" s="510">
        <f t="shared" ca="1" si="2"/>
        <v>-1.4130211243741027</v>
      </c>
      <c r="AH14" s="510">
        <f t="shared" ca="1" si="2"/>
        <v>-2.1587973811695806</v>
      </c>
      <c r="AI14" s="530">
        <f t="shared" ca="1" si="3"/>
        <v>0.67429773721715258</v>
      </c>
      <c r="AJ14" s="530">
        <f t="shared" ca="1" si="4"/>
        <v>-1.4458467974531308</v>
      </c>
    </row>
    <row r="15" spans="1:36" x14ac:dyDescent="0.25">
      <c r="A15" s="812" t="s">
        <v>143</v>
      </c>
      <c r="B15" s="812">
        <v>2104008330</v>
      </c>
      <c r="C15" s="5">
        <f ca="1">INDIRECT("'DevSumOut-"&amp;$B$2&amp;"BSR'!R56")</f>
        <v>0.39391449043518229</v>
      </c>
      <c r="D15" s="5">
        <f ca="1">INDIRECT("'DevSumOut-"&amp;$B$2&amp;"BSR'!P56")</f>
        <v>1.7918170067570769E-2</v>
      </c>
      <c r="E15" s="5">
        <f ca="1">OFFSET('WSCOReductions-5PctSIP'!$U$81,0,MATCH($B$2,'WSCOReductions-5PctSIP'!$X$78:$AQ$78,1)+2)</f>
        <v>0.34388051425260369</v>
      </c>
      <c r="F15" s="5">
        <f ca="1">OFFSET('WSCOReductions-5PctSIP'!$U$84,0,MATCH($B$2,'WSCOReductions-5PctSIP'!$X$78:$AQ$78,1)+2)</f>
        <v>1.6706233734232047E-3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-1.3341116328736516E-2</v>
      </c>
      <c r="L15" s="5">
        <f ca="1">SCCRedFacsFull!L15*K$4/SCCRedFacsFull!K$4</f>
        <v>-1.4217610903726207E-2</v>
      </c>
      <c r="M15" s="5">
        <f ca="1">'BACM-R8'!P159*($B$2-$M$3+1)*$M$4/SCCRedFacsFull!$M$4</f>
        <v>8.6352276605738854E-2</v>
      </c>
      <c r="N15" s="5">
        <f ca="1">'BACM-R8'!O159*($B$2-$M$3+1)*$M$4/SCCRedFacsFull!$M$4</f>
        <v>-2.6875341682720578E-2</v>
      </c>
      <c r="O15" s="5">
        <f ca="1">SCCRedFacsFull!O15*O$4/SCCRedFacsFull!O$4</f>
        <v>0</v>
      </c>
      <c r="P15" s="5">
        <f ca="1">SCCRedFacsFull!P15*O$4/SCCRedFacsFull!O$4</f>
        <v>0</v>
      </c>
      <c r="Q15" s="5">
        <f ca="1">IFERROR(OFFSET('STF-22'!$E$173,MATCH($B15,'STF-22'!$A$174:$A$191,0),MATCH($B$2,'STF-22'!$F$172:$AD$172,0))*Q$4/SCCRedFacsFull!Q$4,0)</f>
        <v>0.20004723913453779</v>
      </c>
      <c r="R15" s="5">
        <f ca="1">IFERROR(OFFSET('STF-22'!$E$173,MATCH($B15,'STF-22'!$A$174:$A$191,0),MATCH($B$2,'STF-22'!$F$172:$AD$172,0)-1)*R$4/SCCRedFacsFull!R$4,0)</f>
        <v>0.21319009131591105</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0.5350307518052384</v>
      </c>
      <c r="Z15" s="510">
        <f t="shared" ca="1" si="0"/>
        <v>0.21722840734047766</v>
      </c>
      <c r="AA15" s="617">
        <f t="shared" ca="1" si="5"/>
        <v>0.29362726123173721</v>
      </c>
      <c r="AB15" s="617">
        <f t="shared" ca="1" si="6"/>
        <v>0.4294298695514156</v>
      </c>
      <c r="AC15" s="617">
        <f t="shared" ca="1" si="7"/>
        <v>-2.1501343804542987</v>
      </c>
      <c r="AD15" s="617">
        <f t="shared" ca="1" si="8"/>
        <v>-3.1445715314144103</v>
      </c>
      <c r="AE15" s="510">
        <f t="shared" ca="1" si="1"/>
        <v>0.67155839870964606</v>
      </c>
      <c r="AF15" s="510">
        <f t="shared" ca="1" si="1"/>
        <v>0.73470243540293467</v>
      </c>
      <c r="AG15" s="510">
        <f t="shared" ca="1" si="2"/>
        <v>-1.4658357060797291</v>
      </c>
      <c r="AH15" s="510">
        <f t="shared" ca="1" si="2"/>
        <v>-2.2442528585365733</v>
      </c>
      <c r="AI15" s="530">
        <f t="shared" ca="1" si="3"/>
        <v>0.67433771152162869</v>
      </c>
      <c r="AJ15" s="530">
        <f t="shared" ca="1" si="4"/>
        <v>-1.500098082674354</v>
      </c>
    </row>
    <row r="16" spans="1:36" x14ac:dyDescent="0.25">
      <c r="A16" s="812" t="s">
        <v>144</v>
      </c>
      <c r="B16" s="812">
        <v>2104008410</v>
      </c>
      <c r="C16" s="5">
        <f ca="1">INDIRECT("'DevSumOut-"&amp;$B$2&amp;"BSR'!R57")</f>
        <v>1.4534930114287962E-2</v>
      </c>
      <c r="D16" s="5">
        <f ca="1">INDIRECT("'DevSumOut-"&amp;$B$2&amp;"BSR'!P57")</f>
        <v>1.5713437961392396E-3</v>
      </c>
      <c r="E16" s="5">
        <f ca="1">OFFSET('WSCOReductions-5PctSIP'!$U$81,0,MATCH($B$2,'WSCOReductions-5PctSIP'!$X$78:$AQ$78,1)+2)</f>
        <v>0.34388051425260369</v>
      </c>
      <c r="F16" s="5">
        <f ca="1">OFFSET('WSCOReductions-5PctSIP'!$U$84,0,MATCH($B$2,'WSCOReductions-5PctSIP'!$X$78:$AQ$78,1)+2)</f>
        <v>1.6706233734232047E-3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0.17087655629940962</v>
      </c>
      <c r="R16" s="5">
        <f ca="1">IFERROR(OFFSET('STF-22'!$E$173,MATCH($B16,'STF-22'!$A$174:$A$191,0),MATCH($B$2,'STF-22'!$F$172:$AD$172,0)-1)*R$4/SCCRedFacsFull!R$4,0)</f>
        <v>0.17087655629940965</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0.4794713437463296</v>
      </c>
      <c r="Z16" s="510">
        <f t="shared" ca="1" si="0"/>
        <v>0.20798107630953167</v>
      </c>
      <c r="AA16" s="617">
        <f t="shared" ca="1" si="5"/>
        <v>0.42632653486271976</v>
      </c>
      <c r="AB16" s="617">
        <f t="shared" ca="1" si="6"/>
        <v>0.42632653486271976</v>
      </c>
      <c r="AC16" s="617">
        <f t="shared" ca="1" si="7"/>
        <v>-2.8899536545811819</v>
      </c>
      <c r="AD16" s="617">
        <f t="shared" ca="1" si="8"/>
        <v>-2.8899536545811819</v>
      </c>
      <c r="AE16" s="510">
        <f t="shared" ca="1" si="1"/>
        <v>0.70138652206370466</v>
      </c>
      <c r="AF16" s="510">
        <f t="shared" ca="1" si="1"/>
        <v>0.70138652206370466</v>
      </c>
      <c r="AG16" s="510">
        <f t="shared" ca="1" si="2"/>
        <v>-2.0809169067071918</v>
      </c>
      <c r="AH16" s="510">
        <f t="shared" ca="1" si="2"/>
        <v>-2.0809169067071918</v>
      </c>
      <c r="AI16" s="530">
        <f t="shared" ca="1" si="3"/>
        <v>0.64432261906780819</v>
      </c>
      <c r="AJ16" s="530">
        <f t="shared" ca="1" si="4"/>
        <v>-1.4923431396457485</v>
      </c>
    </row>
    <row r="17" spans="1:40" x14ac:dyDescent="0.25">
      <c r="A17" s="812" t="s">
        <v>145</v>
      </c>
      <c r="B17" s="812">
        <v>2104008420</v>
      </c>
      <c r="C17" s="5">
        <f ca="1">INDIRECT("'DevSumOut-"&amp;$B$2&amp;"BSR'!R58")</f>
        <v>4.9026771000722072E-2</v>
      </c>
      <c r="D17" s="5">
        <f ca="1">INDIRECT("'DevSumOut-"&amp;$B$2&amp;"BSR'!P58")</f>
        <v>5.3001914595375227E-3</v>
      </c>
      <c r="E17" s="5">
        <f ca="1">OFFSET('WSCOReductions-5PctSIP'!$U$81,0,MATCH($B$2,'WSCOReductions-5PctSIP'!$X$78:$AQ$78,1)+2)</f>
        <v>0.34388051425260369</v>
      </c>
      <c r="F17" s="5">
        <f ca="1">OFFSET('WSCOReductions-5PctSIP'!$U$84,0,MATCH($B$2,'WSCOReductions-5PctSIP'!$X$78:$AQ$78,1)+2)</f>
        <v>1.6706233734232047E-3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0.2367443436555195</v>
      </c>
      <c r="R17" s="5">
        <f ca="1">IFERROR(OFFSET('STF-22'!$E$173,MATCH($B17,'STF-22'!$A$174:$A$191,0),MATCH($B$2,'STF-22'!$F$172:$AD$172,0)-1)*R$4/SCCRedFacsFull!R$4,0)</f>
        <v>0.2367443436555195</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0.52082353454900532</v>
      </c>
      <c r="Z17" s="510">
        <f t="shared" ca="1" si="0"/>
        <v>0.27090118120346296</v>
      </c>
      <c r="AA17" s="617">
        <f t="shared" ca="1" si="5"/>
        <v>0.42409767355878825</v>
      </c>
      <c r="AB17" s="617">
        <f t="shared" ca="1" si="6"/>
        <v>0.42409767355878825</v>
      </c>
      <c r="AC17" s="617">
        <f t="shared" ca="1" si="7"/>
        <v>-4.1950068760237897</v>
      </c>
      <c r="AD17" s="617">
        <f t="shared" ca="1" si="8"/>
        <v>-4.1950068760237897</v>
      </c>
      <c r="AE17" s="510">
        <f t="shared" ca="1" si="1"/>
        <v>0.72404115877089525</v>
      </c>
      <c r="AF17" s="510">
        <f t="shared" ca="1" si="1"/>
        <v>0.72404115877089525</v>
      </c>
      <c r="AG17" s="510">
        <f t="shared" ca="1" si="2"/>
        <v>-2.7876733769488329</v>
      </c>
      <c r="AH17" s="510">
        <f t="shared" ca="1" si="2"/>
        <v>-2.7876733769488329</v>
      </c>
      <c r="AI17" s="530">
        <f t="shared" ca="1" si="3"/>
        <v>0.67178519825669492</v>
      </c>
      <c r="AJ17" s="530">
        <f t="shared" ca="1" si="4"/>
        <v>-2.0011827762810999</v>
      </c>
    </row>
    <row r="18" spans="1:40" x14ac:dyDescent="0.25">
      <c r="A18" s="812" t="s">
        <v>146</v>
      </c>
      <c r="B18" s="812">
        <v>2104008610</v>
      </c>
      <c r="C18" s="5">
        <f ca="1">INDIRECT("'DevSumOut-"&amp;$B$2&amp;"BSR'!R59")</f>
        <v>0.24358372503811659</v>
      </c>
      <c r="D18" s="5">
        <f ca="1">INDIRECT("'DevSumOut-"&amp;$B$2&amp;"BSR'!P59")</f>
        <v>9.8715287497472982E-3</v>
      </c>
      <c r="E18" s="5">
        <f ca="1">OFFSET('WSCOReductions-5PctSIP'!$U$81,0,MATCH($B$2,'WSCOReductions-5PctSIP'!$X$78:$AQ$78,1)+2)</f>
        <v>0.34388051425260369</v>
      </c>
      <c r="F18" s="5">
        <f ca="1">OFFSET('WSCOReductions-5PctSIP'!$U$84,0,MATCH($B$2,'WSCOReductions-5PctSIP'!$X$78:$AQ$78,1)+2)</f>
        <v>1.6706233734232047E-3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0.15000000000000002</v>
      </c>
      <c r="L18" s="5">
        <f ca="1">SCCRedFacsFull!L18*K$4/SCCRedFacsFull!K$4</f>
        <v>0.15</v>
      </c>
      <c r="M18" s="5">
        <f ca="1">'BACM-R8'!P162*($B$2-$M$3+1)*$M$4/SCCRedFacsFull!$M$4</f>
        <v>0.33138489091075429</v>
      </c>
      <c r="N18" s="5">
        <f ca="1">'BACM-R8'!O162*($B$2-$M$3+1)*$M$4/SCCRedFacsFull!$M$4</f>
        <v>0.13301369619403164</v>
      </c>
      <c r="O18" s="5">
        <f ca="1">SCCRedFacsFull!O18*O$4/SCCRedFacsFull!O$4</f>
        <v>0</v>
      </c>
      <c r="P18" s="5">
        <f ca="1">SCCRedFacsFull!P18*O$4/SCCRedFacsFull!O$4</f>
        <v>0</v>
      </c>
      <c r="Q18" s="5">
        <f ca="1">IFERROR(OFFSET('STF-22'!$E$173,MATCH($B18,'STF-22'!$A$174:$A$191,0),MATCH($B$2,'STF-22'!$F$172:$AD$172,0))*Q$4/SCCRedFacsFull!Q$4,0)</f>
        <v>0.1559446068868631</v>
      </c>
      <c r="R18" s="5">
        <f ca="1">IFERROR(OFFSET('STF-22'!$E$173,MATCH($B18,'STF-22'!$A$174:$A$191,0),MATCH($B$2,'STF-22'!$F$172:$AD$172,0)-1)*R$4/SCCRedFacsFull!R$4,0)</f>
        <v>0.1559446068868631</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0.69884400737771202</v>
      </c>
      <c r="Z18" s="510">
        <f t="shared" ca="1" si="0"/>
        <v>0.40581939063571804</v>
      </c>
      <c r="AA18" s="617">
        <f t="shared" ca="1" si="5"/>
        <v>0.39764785901825461</v>
      </c>
      <c r="AB18" s="617">
        <f t="shared" ca="1" si="6"/>
        <v>0.43063247405202676</v>
      </c>
      <c r="AC18" s="617">
        <f t="shared" ca="1" si="7"/>
        <v>-1.5734882363846254</v>
      </c>
      <c r="AD18" s="617">
        <f t="shared" ca="1" si="8"/>
        <v>-1.7040079979280507</v>
      </c>
      <c r="AE18" s="510">
        <f t="shared" ca="1" si="1"/>
        <v>0.81859804307448214</v>
      </c>
      <c r="AF18" s="510">
        <f t="shared" ca="1" si="1"/>
        <v>0.82853155755624175</v>
      </c>
      <c r="AG18" s="510">
        <f t="shared" ca="1" si="2"/>
        <v>-0.52911680848682807</v>
      </c>
      <c r="AH18" s="510">
        <f t="shared" ca="1" si="2"/>
        <v>-0.60666911993478134</v>
      </c>
      <c r="AI18" s="530">
        <f t="shared" ca="1" si="3"/>
        <v>0.79376425687008267</v>
      </c>
      <c r="AJ18" s="530">
        <f t="shared" ca="1" si="4"/>
        <v>-0.33523602986694534</v>
      </c>
    </row>
    <row r="19" spans="1:40" x14ac:dyDescent="0.25">
      <c r="A19" s="812" t="s">
        <v>147</v>
      </c>
      <c r="B19" s="812">
        <v>2104004000</v>
      </c>
      <c r="C19" s="5">
        <f ca="1">INDIRECT("'DevSumOut-"&amp;$B$2&amp;"BSR'!R60")+INDIRECT("'DevSumOut-"&amp;$B$2&amp;"BSR'!R62")+INDIRECT("'DevSumOut-"&amp;$B$2&amp;"BSR'!R63")</f>
        <v>5.4441610832799622E-2</v>
      </c>
      <c r="D19" s="5">
        <f ca="1">INDIRECT("'DevSumOut-"&amp;$B$2&amp;"BSR'!P60")+INDIRECT("'DevSumOut-"&amp;$B$2&amp;"BSR'!P62")+INDIRECT("'DevSumOut-"&amp;$B$2&amp;"BSR'!P63")</f>
        <v>3.4489880126359695</v>
      </c>
      <c r="E19" s="5">
        <f ca="1">OFFSET('WSCOReductions-5PctSIP'!$U$81,0,MATCH($B$2,'WSCOReductions-5PctSIP'!$X$78:$AQ$78,1)+2)</f>
        <v>0.34388051425260369</v>
      </c>
      <c r="F19" s="5">
        <f ca="1">OFFSET('WSCOReductions-5PctSIP'!$U$84,0,MATCH($B$2,'WSCOReductions-5PctSIP'!$X$78:$AQ$78,1)+2)</f>
        <v>1.6706233734232047E-3</v>
      </c>
      <c r="G19" s="5">
        <f ca="1">SCCRedFacsFull!G19*G$4/SCCRedFacsFull!G$4</f>
        <v>0.48994184890764292</v>
      </c>
      <c r="H19" s="5">
        <f ca="1">SCCRedFacsFull!H19*G$4/SCCRedFacsFull!G$4</f>
        <v>0.56292492785396708</v>
      </c>
      <c r="I19" s="5"/>
      <c r="J19" s="5"/>
      <c r="K19" s="5">
        <f ca="1">SCCRedFacsFull!K19*K$4/SCCRedFacsFull!K$4</f>
        <v>-5.4853073176024661E-3</v>
      </c>
      <c r="L19" s="5">
        <f ca="1">SCCRedFacsFull!L19*K$4/SCCRedFacsFull!K$4</f>
        <v>-5.4898216608603202E-3</v>
      </c>
      <c r="M19" s="5">
        <f ca="1">'BACM-R8'!P163*($B$2-$M$3+1)*$M$4/SCCRedFacsFull!$M$4</f>
        <v>0</v>
      </c>
      <c r="N19" s="5">
        <f ca="1">'BACM-R8'!O163*($B$2-$M$3+1)*$M$4/SCCRedFacsFull!$M$4</f>
        <v>0</v>
      </c>
      <c r="O19" s="5">
        <f ca="1">SCCRedFacsFull!O19*O$4/SCCRedFacsFull!O$4</f>
        <v>-1.5351309712566328E-3</v>
      </c>
      <c r="P19" s="5">
        <f ca="1">SCCRedFacsFull!P19*O$4/SCCRedFacsFull!O$4</f>
        <v>-1.5363943659488233E-3</v>
      </c>
      <c r="Q19" s="5">
        <f ca="1">IFERROR(OFFSET('STF-22'!$E$173,MATCH($B19,'STF-22'!$A$174:$A$191,0),MATCH($B$2,'STF-22'!$F$172:$AD$172,0))*Q$4/SCCRedFacsFull!Q$4,0)</f>
        <v>-8.57535395508424E-3</v>
      </c>
      <c r="R19" s="5">
        <f ca="1">IFERROR(OFFSET('STF-22'!$E$173,MATCH($B19,'STF-22'!$A$174:$A$191,0),MATCH($B$2,'STF-22'!$F$172:$AD$172,0)-1)*R$4/SCCRedFacsFull!R$4,0)</f>
        <v>-8.582411370297199E-3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0.66009864492249326</v>
      </c>
      <c r="Z19" s="510">
        <f t="shared" ca="1" si="0"/>
        <v>0.55681434660340323</v>
      </c>
      <c r="AA19" s="617">
        <f t="shared" ca="1" si="5"/>
        <v>0</v>
      </c>
      <c r="AB19" s="617">
        <f t="shared" ca="1" si="6"/>
        <v>0</v>
      </c>
      <c r="AC19" s="617">
        <f t="shared" ca="1" si="7"/>
        <v>0</v>
      </c>
      <c r="AD19" s="617">
        <f t="shared" ca="1" si="8"/>
        <v>0</v>
      </c>
      <c r="AE19" s="510">
        <f t="shared" ca="1" si="1"/>
        <v>0.66009864492249326</v>
      </c>
      <c r="AF19" s="510">
        <f t="shared" ca="1" si="1"/>
        <v>0.66009864492249326</v>
      </c>
      <c r="AG19" s="510">
        <f t="shared" ca="1" si="2"/>
        <v>0.55681434660340323</v>
      </c>
      <c r="AH19" s="510">
        <f t="shared" ca="1" si="2"/>
        <v>0.55681434660340323</v>
      </c>
      <c r="AI19" s="530">
        <f t="shared" ca="1" si="3"/>
        <v>0.66009864492249337</v>
      </c>
      <c r="AJ19" s="530">
        <f t="shared" ca="1" si="4"/>
        <v>0.55681434660340323</v>
      </c>
    </row>
    <row r="20" spans="1:40" x14ac:dyDescent="0.25">
      <c r="A20" s="812" t="s">
        <v>148</v>
      </c>
      <c r="B20" s="812">
        <v>2103004001</v>
      </c>
      <c r="C20" s="5">
        <f ca="1">INDIRECT("'DevSumOut-"&amp;$B$2&amp;"BSR'!R61")</f>
        <v>1.7556769738486938E-2</v>
      </c>
      <c r="D20" s="5">
        <f ca="1">INDIRECT("'DevSumOut-"&amp;$B$2&amp;"BSR'!P61")</f>
        <v>0.48922407287064373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0.34388051425260369</v>
      </c>
      <c r="F21" s="5">
        <f ca="1">OFFSET('WSCOReductions-5PctSIP'!$U$84,0,MATCH($B$2,'WSCOReductions-5PctSIP'!$X$78:$AQ$78,1)+2)</f>
        <v>1.6706233734232047E-3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0.34388051425260369</v>
      </c>
      <c r="Z21" s="510">
        <f t="shared" ca="1" si="0"/>
        <v>1.6706233734231635E-3</v>
      </c>
      <c r="AA21" s="617">
        <f t="shared" ca="1" si="5"/>
        <v>0</v>
      </c>
      <c r="AB21" s="617">
        <f t="shared" ca="1" si="6"/>
        <v>0</v>
      </c>
      <c r="AC21" s="617">
        <f t="shared" ca="1" si="7"/>
        <v>0</v>
      </c>
      <c r="AD21" s="617">
        <f t="shared" ca="1" si="8"/>
        <v>0</v>
      </c>
      <c r="AE21" s="510">
        <f t="shared" ca="1" si="1"/>
        <v>0.34388051425260369</v>
      </c>
      <c r="AF21" s="510">
        <f t="shared" ca="1" si="1"/>
        <v>0.34388051425260369</v>
      </c>
      <c r="AG21" s="510">
        <f t="shared" ca="1" si="2"/>
        <v>1.6706233734231635E-3</v>
      </c>
      <c r="AH21" s="510">
        <f t="shared" ca="1" si="2"/>
        <v>1.6706233734231635E-3</v>
      </c>
      <c r="AI21" s="530">
        <f t="shared" ca="1" si="3"/>
        <v>0.34388051425260369</v>
      </c>
      <c r="AJ21" s="530">
        <f t="shared" ca="1" si="4"/>
        <v>1.6706233734231635E-3</v>
      </c>
    </row>
    <row r="22" spans="1:40" x14ac:dyDescent="0.25">
      <c r="A22" s="812" t="s">
        <v>150</v>
      </c>
      <c r="B22" s="812">
        <v>2103006000</v>
      </c>
      <c r="C22" s="5">
        <f ca="1">INDIRECT("'DevSumOut-"&amp;$B$2&amp;"BSR'!R65")</f>
        <v>1.0079518569867288E-2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9.4492920407754755E-2</v>
      </c>
      <c r="D23" s="5">
        <f ca="1">INDIRECT("'DevSumOut-"&amp;$B$2&amp;"BSR'!P66")</f>
        <v>0.10998550185132909</v>
      </c>
      <c r="E23" s="5">
        <f ca="1">OFFSET('WSCOReductions-5PctSIP'!$U$81,0,MATCH($B$2,'WSCOReductions-5PctSIP'!$X$78:$AQ$78,1)+2)</f>
        <v>0.34388051425260369</v>
      </c>
      <c r="F23" s="5">
        <f ca="1">OFFSET('WSCOReductions-5PctSIP'!$U$84,0,MATCH($B$2,'WSCOReductions-5PctSIP'!$X$78:$AQ$78,1)+2)</f>
        <v>1.6706233734232047E-3</v>
      </c>
      <c r="G23" s="5">
        <f ca="1">SCCRedFacsFull!G23*G$4/SCCRedFacsFull!G$4</f>
        <v>0</v>
      </c>
      <c r="H23" s="5">
        <f ca="1">SCCRedFacsFull!H23*G$4/SCCRedFacsFull!G$4</f>
        <v>0</v>
      </c>
      <c r="I23" s="5"/>
      <c r="J23" s="5"/>
      <c r="K23" s="5">
        <f ca="1">SCCRedFacsFull!K23*K$4/SCCRedFacsFull!K$4</f>
        <v>0.15</v>
      </c>
      <c r="L23" s="5">
        <f ca="1">SCCRedFacsFull!L23*K$4/SCCRedFacsFull!K$4</f>
        <v>0.15</v>
      </c>
      <c r="M23" s="5">
        <f ca="1">'BACM-R8'!P167*($B$2-$M$3+1)*$M$4/SCCRedFacsFull!$M$4</f>
        <v>0</v>
      </c>
      <c r="N23" s="5">
        <f ca="1">'BACM-R8'!O167*($B$2-$M$3+1)*$M$4/SCCRedFacsFull!$M$4</f>
        <v>0</v>
      </c>
      <c r="O23" s="5">
        <f ca="1">SCCRedFacsFull!O23*O$4/SCCRedFacsFull!O$4</f>
        <v>0.25</v>
      </c>
      <c r="P23" s="5">
        <f ca="1">SCCRedFacsFull!P23*O$4/SCCRedFacsFull!O$4</f>
        <v>0.25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0.58172382783603482</v>
      </c>
      <c r="Z23" s="510">
        <f t="shared" ca="1" si="0"/>
        <v>0.36356502240055721</v>
      </c>
      <c r="AA23" s="617">
        <f t="shared" ca="1" si="5"/>
        <v>0.44845389532858415</v>
      </c>
      <c r="AB23" s="617">
        <f t="shared" ca="1" si="6"/>
        <v>0.44845389532858415</v>
      </c>
      <c r="AC23" s="617">
        <f t="shared" ca="1" si="7"/>
        <v>0.36928069720055601</v>
      </c>
      <c r="AD23" s="617">
        <f t="shared" ca="1" si="8"/>
        <v>0.36928069720055601</v>
      </c>
      <c r="AE23" s="510">
        <f t="shared" ca="1" si="1"/>
        <v>0.76930140656609447</v>
      </c>
      <c r="AF23" s="510">
        <f t="shared" ca="1" si="1"/>
        <v>0.76930140656609447</v>
      </c>
      <c r="AG23" s="510">
        <f t="shared" ca="1" si="2"/>
        <v>0.59858817465129976</v>
      </c>
      <c r="AH23" s="510">
        <f t="shared" ca="1" si="2"/>
        <v>0.59858817465129976</v>
      </c>
      <c r="AI23" s="530">
        <f t="shared" ca="1" si="3"/>
        <v>0.72106717203550774</v>
      </c>
      <c r="AJ23" s="530">
        <f t="shared" ca="1" si="4"/>
        <v>0.53815364978682312</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2.707960014814863</v>
      </c>
      <c r="D27" s="450">
        <f ca="1">INDIRECT("'DevSumOut-"&amp;$B$2&amp;"BSR'!P70")</f>
        <v>4.1556763727866413</v>
      </c>
      <c r="E27" s="450">
        <f ca="1">$C27-E28</f>
        <v>1.7872414314052509</v>
      </c>
      <c r="F27" s="450">
        <f ca="1">$D27-F28</f>
        <v>4.1495810355298515</v>
      </c>
      <c r="G27" s="450">
        <f ca="1">$C27-G28</f>
        <v>2.6992712632884808</v>
      </c>
      <c r="H27" s="450">
        <f ca="1">$D27-H28</f>
        <v>2.2278306044736</v>
      </c>
      <c r="I27" s="450">
        <f ca="1">$C27-I28</f>
        <v>2.5739493343501882</v>
      </c>
      <c r="J27" s="450">
        <f ca="1">$D27-J28</f>
        <v>4.1509330614513962</v>
      </c>
      <c r="K27" s="450">
        <f ca="1">$C27-K28</f>
        <v>2.4966422584482744</v>
      </c>
      <c r="L27" s="450">
        <f ca="1">$D27-L28</f>
        <v>4.1538833961587658</v>
      </c>
      <c r="M27" s="450">
        <f ca="1">$C27-M28</f>
        <v>2.1791667228661917</v>
      </c>
      <c r="N27" s="450">
        <f ca="1">$D27-N28</f>
        <v>4.1477970747235142</v>
      </c>
      <c r="O27" s="450">
        <f ca="1">$C27-O28</f>
        <v>2.6844203597158387</v>
      </c>
      <c r="P27" s="450">
        <f ca="1">$D27-P28</f>
        <v>4.1334790030746476</v>
      </c>
      <c r="Q27" s="450">
        <f ca="1">$C27-Q28</f>
        <v>2.2291667322762616</v>
      </c>
      <c r="R27" s="450">
        <f ca="1">$D27-R28</f>
        <v>4.1681984609190996</v>
      </c>
      <c r="S27" s="450">
        <f ca="1">$C27-S28</f>
        <v>2.7075648643802461</v>
      </c>
      <c r="T27" s="450">
        <f ca="1">$D27-T28</f>
        <v>4.1556763727866413</v>
      </c>
      <c r="U27" s="786">
        <f ca="1">$C27-U28</f>
        <v>2.707960014814863</v>
      </c>
      <c r="V27" s="786">
        <f ca="1">$D27-V28</f>
        <v>4.1556763727866413</v>
      </c>
      <c r="W27" s="450">
        <f ca="1">$C27-W28</f>
        <v>2.707960014814863</v>
      </c>
      <c r="X27" s="450">
        <f ca="1">$D27-X28</f>
        <v>4.1556763727866413</v>
      </c>
      <c r="Y27" s="450">
        <f ca="1">$C27-Y28</f>
        <v>1.0144279418493398</v>
      </c>
      <c r="Z27" s="450">
        <f ca="1">$D27-Z28</f>
        <v>2.1783274223831492</v>
      </c>
      <c r="AA27" s="450">
        <f ca="1">$C27-AA28</f>
        <v>2.0238387215652285</v>
      </c>
      <c r="AB27" s="450">
        <f ca="1">$C27-AB28</f>
        <v>1.5774657566387269</v>
      </c>
      <c r="AC27" s="450">
        <f ca="1">$D27-AC28</f>
        <v>4.2934281471399336</v>
      </c>
      <c r="AD27" s="450">
        <f ca="1">$D27-AD28</f>
        <v>4.3417653980287021</v>
      </c>
      <c r="AE27" s="450">
        <f ca="1">$C27-AE28</f>
        <v>0.75564505496388601</v>
      </c>
      <c r="AF27" s="450">
        <f ca="1">$C27-AF28</f>
        <v>0.59488496190864026</v>
      </c>
      <c r="AG27" s="450">
        <f ca="1">$D27-AG28</f>
        <v>2.2754307800370057</v>
      </c>
      <c r="AH27" s="450">
        <f ca="1">$D27-AH28</f>
        <v>2.3120087064390891</v>
      </c>
      <c r="AI27" s="787">
        <f ca="1">$C27-AI28</f>
        <v>0.7257331700441414</v>
      </c>
      <c r="AJ27" s="787">
        <f ca="1">$D27-AJ28</f>
        <v>2.2724081010529784</v>
      </c>
    </row>
    <row r="28" spans="1:40" x14ac:dyDescent="0.25">
      <c r="B28" s="244" t="s">
        <v>156</v>
      </c>
      <c r="E28" s="450">
        <f ca="1">SUMPRODUCT($C9:$C26,E9:E26)</f>
        <v>0.92071858340961221</v>
      </c>
      <c r="F28" s="450">
        <f ca="1">SUMPRODUCT($D9:$D26,F9:F26)</f>
        <v>6.0953372567901943E-3</v>
      </c>
      <c r="G28" s="450">
        <f ca="1">SUMPRODUCT($C9:$C26,G9:G26)</f>
        <v>8.6887515263820939E-3</v>
      </c>
      <c r="H28" s="450">
        <f ca="1">SUMPRODUCT($D9:$D26,H9:H26)</f>
        <v>1.9278457683130414</v>
      </c>
      <c r="I28" s="450">
        <f ca="1">SUMPRODUCT($C9:$C26,I9:I26)</f>
        <v>0.13401068046467499</v>
      </c>
      <c r="J28" s="450">
        <f ca="1">SUMPRODUCT($D9:$D26,J9:J26)</f>
        <v>4.7433113352450358E-3</v>
      </c>
      <c r="K28" s="450">
        <f ca="1">SUMPRODUCT($C9:$C26,K9:K26)</f>
        <v>0.21131775636658873</v>
      </c>
      <c r="L28" s="450">
        <f ca="1">SUMPRODUCT($D9:$D26,L9:L26)</f>
        <v>1.7929766278751771E-3</v>
      </c>
      <c r="M28" s="450">
        <f ca="1">SUMPRODUCT($C9:$C26,M9:M26)</f>
        <v>0.52879329194867131</v>
      </c>
      <c r="N28" s="450">
        <f ca="1">SUMPRODUCT($D9:$D26,N9:N26)</f>
        <v>7.8792980631271683E-3</v>
      </c>
      <c r="O28" s="450">
        <f ca="1">SUMPRODUCT($C9:$C26,O9:O26)</f>
        <v>2.3539655099024157E-2</v>
      </c>
      <c r="P28" s="450">
        <f ca="1">SUMPRODUCT($D9:$D26,P9:P26)</f>
        <v>2.2197369711993341E-2</v>
      </c>
      <c r="Q28" s="450">
        <f ca="1">SUMPRODUCT($C9:$C26,Q9:Q26)</f>
        <v>0.47879328253860148</v>
      </c>
      <c r="R28" s="450">
        <f ca="1">SUMPRODUCT($D9:$D26,R9:R26)</f>
        <v>-1.2522088132458774E-2</v>
      </c>
      <c r="S28" s="450">
        <f ca="1">SUMPRODUCT($C9:$C26,S9:S26)</f>
        <v>3.9515043461703906E-4</v>
      </c>
      <c r="T28" s="450">
        <f ca="1">SUMPRODUCT($D9:$D26,T9:T26)</f>
        <v>0</v>
      </c>
      <c r="U28" s="786">
        <f ca="1">SUMPRODUCT($C9:$C26,U9:U26)</f>
        <v>0</v>
      </c>
      <c r="V28" s="786">
        <f ca="1">SUMPRODUCT($D9:$D26,V9:V26)</f>
        <v>0</v>
      </c>
      <c r="W28" s="450">
        <f ca="1">SUMPRODUCT($C9:$C26,W9:W26)</f>
        <v>0</v>
      </c>
      <c r="X28" s="450">
        <f ca="1">SUMPRODUCT($D9:$D26,X9:X26)</f>
        <v>0</v>
      </c>
      <c r="Y28" s="450">
        <f ca="1">SUMPRODUCT($C9:$C26,Y9:Y26)</f>
        <v>1.6935320729655232</v>
      </c>
      <c r="Z28" s="450">
        <f ca="1">SUMPRODUCT($D9:$D26,Z9:Z26)</f>
        <v>1.9773489504034918</v>
      </c>
      <c r="AA28" s="450">
        <f ca="1">SUMPRODUCT($C9:$C26,AA9:AA26)</f>
        <v>0.68412129324963433</v>
      </c>
      <c r="AB28" s="450">
        <f ca="1">SUMPRODUCT($C9:$C26,AB9:AB26)</f>
        <v>1.1304942581761361</v>
      </c>
      <c r="AC28" s="450">
        <f ca="1">SUMPRODUCT($D9:$D26,AC9:AC26)</f>
        <v>-0.13775177435329228</v>
      </c>
      <c r="AD28" s="450">
        <f ca="1">SUMPRODUCT($D9:$D26,AD9:AD26)</f>
        <v>-0.18608902524206059</v>
      </c>
      <c r="AE28" s="450">
        <f ca="1">SUMPRODUCT($C9:$C26,AE9:AE26)</f>
        <v>1.952314959850977</v>
      </c>
      <c r="AF28" s="450">
        <f ca="1">SUMPRODUCT($C9:$C26,AF9:AF26)</f>
        <v>2.1130750529062228</v>
      </c>
      <c r="AG28" s="450">
        <f ca="1">SUMPRODUCT($D9:$D26,AG9:AG26)</f>
        <v>1.8802455927496358</v>
      </c>
      <c r="AH28" s="450">
        <f ca="1">SUMPRODUCT($D9:$D26,AH9:AH26)</f>
        <v>1.843667666347552</v>
      </c>
      <c r="AI28" s="450">
        <f ca="1">SUMPRODUCT($C9:$C26,AI9:AI26)</f>
        <v>1.9822268447707216</v>
      </c>
      <c r="AJ28" s="450">
        <f ca="1">SUMPRODUCT($D9:$D26,AJ9:AJ26)</f>
        <v>1.8832682717336628</v>
      </c>
    </row>
    <row r="29" spans="1:40" x14ac:dyDescent="0.25">
      <c r="E29" s="659">
        <f ca="1">E28/$C27</f>
        <v>0.34000449724977183</v>
      </c>
      <c r="F29" s="693">
        <f ca="1">F28/$D27</f>
        <v>1.4667497442065944E-3</v>
      </c>
      <c r="G29" s="659">
        <f ca="1">G28/$C27</f>
        <v>3.208596684901983E-3</v>
      </c>
      <c r="H29" s="693">
        <f ca="1">H28/$D27</f>
        <v>0.46390661720857251</v>
      </c>
      <c r="I29" s="659">
        <f ca="1">I28/$C27</f>
        <v>4.948768804986841E-2</v>
      </c>
      <c r="J29" s="693">
        <f ca="1">J28/$D27</f>
        <v>1.1414053717720921E-3</v>
      </c>
      <c r="K29" s="659">
        <f ca="1">K28/$C27</f>
        <v>7.8035774239833461E-2</v>
      </c>
      <c r="L29" s="693">
        <f ca="1">L28/$D27</f>
        <v>4.3145242002395727E-4</v>
      </c>
      <c r="M29" s="659">
        <f ca="1">M28/$C27</f>
        <v>0.19527367060655201</v>
      </c>
      <c r="N29" s="693">
        <f ca="1">N28/$D27</f>
        <v>1.8960326445833426E-3</v>
      </c>
      <c r="O29" s="659">
        <f ca="1">O28/$C27</f>
        <v>8.6927631760594908E-3</v>
      </c>
      <c r="P29" s="693">
        <f ca="1">P28/$D27</f>
        <v>5.3414577365437661E-3</v>
      </c>
      <c r="Q29" s="659">
        <f ca="1">Q28/$C27</f>
        <v>0.17680958356814419</v>
      </c>
      <c r="R29" s="693">
        <f ca="1">R28/$D27</f>
        <v>-3.0132491101711872E-3</v>
      </c>
      <c r="S29" s="659">
        <f ca="1">S28/$C27</f>
        <v>1.4592181289798498E-4</v>
      </c>
      <c r="T29" s="693">
        <f ca="1">T28/$D27</f>
        <v>0</v>
      </c>
      <c r="U29" s="700">
        <f ca="1">U28/$C27</f>
        <v>0</v>
      </c>
      <c r="V29" s="700">
        <f ca="1">V28/$D27</f>
        <v>0</v>
      </c>
      <c r="W29" s="659">
        <f ca="1">W28/$C27</f>
        <v>0</v>
      </c>
      <c r="X29" s="693">
        <f ca="1">X28/$D27</f>
        <v>0</v>
      </c>
      <c r="Y29" s="659">
        <f ca="1">Y28/$C27</f>
        <v>0.62539035425207568</v>
      </c>
      <c r="Z29" s="693">
        <f t="shared" ref="Z29" ca="1" si="9">Z28/$D27</f>
        <v>0.47581880132729282</v>
      </c>
      <c r="AA29" s="838">
        <f ca="1">(AA28*$AJ$4+AB28*$AJ$5)/SUM($AJ$4:$AJ$5)</f>
        <v>1.044653303382578</v>
      </c>
      <c r="AB29" s="838"/>
      <c r="AC29" s="838">
        <f ca="1">(AC28*$AJ$4+AD28*$AJ$5)/SUM($AJ$4:$AJ$5)</f>
        <v>-0.17679340007114361</v>
      </c>
      <c r="AD29" s="838"/>
      <c r="AE29" s="659">
        <f ca="1">AE28/$C27</f>
        <v>0.72095413121690877</v>
      </c>
      <c r="AF29" s="659">
        <f ca="1">AF28/$C27</f>
        <v>0.78031988705368271</v>
      </c>
      <c r="AG29" s="693">
        <f t="shared" ref="AG29:AH29" ca="1" si="10">AG28/$D27</f>
        <v>0.45245236252331489</v>
      </c>
      <c r="AH29" s="693">
        <f t="shared" ca="1" si="10"/>
        <v>0.44365044362471789</v>
      </c>
      <c r="AI29" s="659">
        <f ca="1">AI28/$C27</f>
        <v>0.73200004207087299</v>
      </c>
      <c r="AJ29" s="693">
        <f t="shared" ref="AJ29" ca="1" si="11">AJ28/$D27</f>
        <v>0.45317972401946532</v>
      </c>
      <c r="AK29" s="5"/>
      <c r="AL29" s="5"/>
      <c r="AN29" s="5"/>
    </row>
    <row r="30" spans="1:40" x14ac:dyDescent="0.25">
      <c r="B30" s="244" t="s">
        <v>157</v>
      </c>
      <c r="E30" s="450">
        <f ca="1">E28*($Y28/$Y30)</f>
        <v>0.67610259765289971</v>
      </c>
      <c r="F30" s="450">
        <f ca="1">F28*($Z28/$Z30)</f>
        <v>6.1554708463324994E-3</v>
      </c>
      <c r="G30" s="450">
        <f ca="1">G28*($Y28/$Y30)</f>
        <v>6.3803289986752339E-3</v>
      </c>
      <c r="H30" s="450">
        <f ca="1">H28*($Z28/$Z30)</f>
        <v>1.9468649433395691</v>
      </c>
      <c r="I30" s="450">
        <f ca="1">I28*($Y28/$Y30)</f>
        <v>9.8406799654103233E-2</v>
      </c>
      <c r="J30" s="450">
        <f ca="1">J28*($Z28/$Z30)</f>
        <v>4.7901065042223129E-3</v>
      </c>
      <c r="K30" s="450">
        <f ca="1">K28*($Y28/$Y30)</f>
        <v>0.15517497591994583</v>
      </c>
      <c r="L30" s="450">
        <f ca="1">L28*($Z28/$Z30)</f>
        <v>1.8106652505152918E-3</v>
      </c>
      <c r="M30" s="450">
        <f ca="1">M28*($Y28/$Y30)</f>
        <v>0.38830379309165181</v>
      </c>
      <c r="N30" s="450">
        <f ca="1">N28*($Z28/$Z30)</f>
        <v>7.9570313296632809E-3</v>
      </c>
      <c r="O30" s="450">
        <f ca="1">O28*($Y28/$Y30)</f>
        <v>1.7285653018282943E-2</v>
      </c>
      <c r="P30" s="450">
        <f ca="1">P28*($Z28/$Z30)</f>
        <v>2.2416358007955609E-2</v>
      </c>
      <c r="Q30" s="450">
        <f ca="1">Q28*($Y28/$Y30)</f>
        <v>0.3515877575364334</v>
      </c>
      <c r="R30" s="450">
        <f ca="1">R28*($Z28/$Z30)</f>
        <v>-1.2645624874766349E-2</v>
      </c>
      <c r="S30" s="450">
        <f ca="1">S28*($Y28/$Y30)</f>
        <v>2.9016709353133196E-4</v>
      </c>
      <c r="T30" s="450">
        <f ca="1">T28*($Z28/$Z30)</f>
        <v>0</v>
      </c>
      <c r="U30" s="786">
        <f ca="1">U28*($Y28/$Y30)</f>
        <v>0</v>
      </c>
      <c r="V30" s="786">
        <f ca="1">V28*($Z28/$Z30)</f>
        <v>0</v>
      </c>
      <c r="W30" s="450">
        <f ca="1">W28*($Y28/$Y30)</f>
        <v>0</v>
      </c>
      <c r="X30" s="450">
        <f ca="1">X28*($Z28/$Z30)</f>
        <v>0</v>
      </c>
      <c r="Y30" s="450">
        <f ca="1">SUM($E28,$G28,$I28,$K28,$M28,$O28,$Q28,$S28,$W28)</f>
        <v>2.3062571517881718</v>
      </c>
      <c r="Z30" s="450">
        <f ca="1">SUM($F28,$H28,$J28,$L28,$N28,$P28,$R28,$T28,$X28)</f>
        <v>1.9580319731756137</v>
      </c>
      <c r="AA30" s="450">
        <f ca="1">AE28-$Y28</f>
        <v>0.25878288688545381</v>
      </c>
      <c r="AB30" s="450">
        <f ca="1">AF28-$Y28</f>
        <v>0.41954297994069956</v>
      </c>
      <c r="AC30" s="450">
        <f ca="1">AG28-$Z28</f>
        <v>-9.7103357653856026E-2</v>
      </c>
      <c r="AD30" s="450">
        <f ca="1">AH28-$Z28</f>
        <v>-0.13368128405593982</v>
      </c>
      <c r="AE30" s="450">
        <f ca="1">SUM($E28,$G28,$I28,$K28,$M28,$O28,$Q28,$S28,$W28,AA28)</f>
        <v>2.9903784450378064</v>
      </c>
      <c r="AF30" s="450">
        <f ca="1">SUM($E28,$G28,$I28,$K28,$M28,$O28,$Q28,$S28,$W28,AB28)</f>
        <v>3.4367514099643079</v>
      </c>
      <c r="AG30" s="450">
        <f ca="1">SUM($F28,$H28,$J28,$L28,$N28,$P28,$R28,$T28,$X28,AC28)</f>
        <v>1.8202801988223214</v>
      </c>
      <c r="AH30" s="450">
        <f ca="1">SUM($F28,$H28,$J28,$L28,$N28,$P28,$R28,$T28,$X28,AD28)</f>
        <v>1.7719429479335531</v>
      </c>
    </row>
    <row r="31" spans="1:40" x14ac:dyDescent="0.25">
      <c r="Y31" s="659">
        <f ca="1">Y30/$C27</f>
        <v>0.85165849538802929</v>
      </c>
      <c r="Z31" s="659">
        <f ca="1">Z30/$C27</f>
        <v>0.72306531945209684</v>
      </c>
      <c r="AA31" s="839" t="s">
        <v>158</v>
      </c>
      <c r="AB31" s="839"/>
      <c r="AC31" s="839"/>
      <c r="AD31" s="839"/>
      <c r="AE31" s="659">
        <f ca="1">AE30/$C27</f>
        <v>1.1042919499098482</v>
      </c>
      <c r="AF31" s="659">
        <f ca="1">AF30/$C27</f>
        <v>1.2691293044071297</v>
      </c>
      <c r="AG31" s="693">
        <f ca="1">AG30/$D27</f>
        <v>0.4380226070399485</v>
      </c>
      <c r="AH31" s="693">
        <f ca="1">AH30/$D27</f>
        <v>0.42639098644376738</v>
      </c>
    </row>
    <row r="32" spans="1:40" x14ac:dyDescent="0.25">
      <c r="Y32" s="698">
        <f ca="1">SUM($E30,$G30,$I30,$K30,$M30,$O30,$Q30,$S30,$W30)</f>
        <v>1.6935320729655237</v>
      </c>
      <c r="Z32" s="698">
        <f ca="1">SUM($F30,$H30,$J30,$L30,$N30,$P30,$R30,$T30,$X30)</f>
        <v>1.9773489504034918</v>
      </c>
      <c r="AA32" s="838">
        <f ca="1">(AA30*$AJ$4+AB30*$AJ$5)/SUM($AJ$4:$AJ$5)</f>
        <v>0.38862757743007531</v>
      </c>
      <c r="AB32" s="838"/>
      <c r="AC32" s="838">
        <f ca="1">(AC30*$AJ$4+AD30*$AJ$5)/SUM($AJ$4:$AJ$5)</f>
        <v>-0.12664706744015447</v>
      </c>
      <c r="AD32" s="838"/>
    </row>
    <row r="33" spans="2:34" x14ac:dyDescent="0.25">
      <c r="C33" s="450">
        <f ca="1">SUM(C9:C18)</f>
        <v>2.5284971130088683</v>
      </c>
      <c r="D33" s="450">
        <f ca="1">SUM(D9:D18)</f>
        <v>8.9496217582678159E-2</v>
      </c>
      <c r="Z33" s="616"/>
      <c r="AA33" s="616"/>
    </row>
    <row r="34" spans="2:34" x14ac:dyDescent="0.25">
      <c r="B34" s="244" t="s">
        <v>159</v>
      </c>
      <c r="E34" s="450">
        <f ca="1">SUMPRODUCT($C9:$C18,E9:E18)</f>
        <v>0.86950088750771337</v>
      </c>
      <c r="F34" s="450">
        <f ca="1">SUMPRODUCT($D9:$D18,F9:F18)</f>
        <v>1.4951447292659088E-4</v>
      </c>
      <c r="G34" s="450">
        <f ca="1">SUMPRODUCT($C9:$C18,G9:G18)</f>
        <v>-2.6291995412813109E-2</v>
      </c>
      <c r="H34" s="450">
        <f ca="1">SUMPRODUCT($D9:$D18,H9:H18)</f>
        <v>-9.3060582511317444E-4</v>
      </c>
      <c r="I34" s="450">
        <f ca="1">SUMPRODUCT($C9:$C18,I9:I18)</f>
        <v>0.13401068046467499</v>
      </c>
      <c r="J34" s="450">
        <f ca="1">SUMPRODUCT($D9:$D18,J9:J18)</f>
        <v>4.7433113352450358E-3</v>
      </c>
      <c r="K34" s="450">
        <f ca="1">SUMPRODUCT($C9:$C18,K9:K18)</f>
        <v>0.19744244727170873</v>
      </c>
      <c r="L34" s="450">
        <f ca="1">SUMPRODUCT($D9:$D18,L9:L18)</f>
        <v>4.2294804499923462E-3</v>
      </c>
      <c r="M34" s="450">
        <f ca="1">SUMPRODUCT($C9:$C18,M9:M18)</f>
        <v>0.52879329194867131</v>
      </c>
      <c r="N34" s="450">
        <f ca="1">SUMPRODUCT($D9:$D18,N9:N18)</f>
        <v>7.8792980631271683E-3</v>
      </c>
      <c r="O34" s="450">
        <f ca="1">SUMPRODUCT($C9:$C18,O9:O18)</f>
        <v>0</v>
      </c>
      <c r="P34" s="450">
        <f ca="1">SUMPRODUCT($D9:$D18,P9:P18)</f>
        <v>0</v>
      </c>
      <c r="Q34" s="450">
        <f ca="1">SUMPRODUCT($C9:$C18,Q9:Q18)</f>
        <v>0.47926013862137767</v>
      </c>
      <c r="R34" s="450">
        <f ca="1">SUMPRODUCT($D9:$D18,R9:R18)</f>
        <v>1.7078545803206911E-2</v>
      </c>
      <c r="S34" s="450"/>
      <c r="T34" s="450"/>
      <c r="U34" s="450">
        <f ca="1">SUMPRODUCT($C9:$C18,U9:U18)</f>
        <v>0</v>
      </c>
      <c r="V34" s="450">
        <f ca="1">SUMPRODUCT($D9:$D18,V9:V18)</f>
        <v>0</v>
      </c>
      <c r="W34" s="450">
        <f ca="1">SUMPRODUCT($C9:$C18,W9:W18)</f>
        <v>0</v>
      </c>
      <c r="X34" s="450">
        <f ca="1">SUMPRODUCT($D9:$D18,X9:X18)</f>
        <v>0</v>
      </c>
      <c r="Y34" s="450">
        <f ca="1">SUMPRODUCT($C9:$C18,Y9:Y18)</f>
        <v>1.5943169198852003</v>
      </c>
      <c r="Z34" s="450">
        <f ca="1">SUMPRODUCT($D9:$D18,Z9:Z18)</f>
        <v>2.9660897859288014E-2</v>
      </c>
      <c r="AE34" s="450">
        <f ca="1">SUMPRODUCT($C9:$C18,AE9:AE18)</f>
        <v>1.8353750535534352</v>
      </c>
      <c r="AF34" s="450">
        <f ca="1">SUMPRODUCT($C9:$C18,AF9:AF18)</f>
        <v>1.9961351466086803</v>
      </c>
      <c r="AG34" s="450">
        <f ca="1">SUMPRODUCT($D9:$D18,AG9:AG18)</f>
        <v>-9.3291599141547249E-2</v>
      </c>
      <c r="AH34" s="450">
        <f ca="1">SUMPRODUCT($D9:$D18,AH9:AH18)</f>
        <v>-0.12986952554363115</v>
      </c>
    </row>
    <row r="35" spans="2:34" x14ac:dyDescent="0.25">
      <c r="C35" s="450">
        <f ca="1">SUM(C19:C20)</f>
        <v>7.199838057128656E-2</v>
      </c>
      <c r="D35" s="450">
        <f ca="1">SUM(D19:D20)</f>
        <v>3.9382120855066134</v>
      </c>
      <c r="AD35" s="244" t="s">
        <v>160</v>
      </c>
      <c r="AE35" s="604">
        <f ca="1">AE34/$C33</f>
        <v>0.72587587468880688</v>
      </c>
      <c r="AF35" s="604">
        <f ca="1">AF34/$C33</f>
        <v>0.78945518123740854</v>
      </c>
      <c r="AG35" s="604">
        <f t="shared" ref="AG35:AH37" ca="1" si="12">AG34/$D33</f>
        <v>-1.0424082901086054</v>
      </c>
      <c r="AH35" s="604">
        <f t="shared" ca="1" si="12"/>
        <v>-1.4511174779387233</v>
      </c>
    </row>
    <row r="36" spans="2:34" x14ac:dyDescent="0.25">
      <c r="B36" s="244" t="s">
        <v>161</v>
      </c>
      <c r="E36" s="450">
        <f ca="1">SUMPRODUCT($C19:$C20,E19:E20)</f>
        <v>1.8721409129923254E-2</v>
      </c>
      <c r="F36" s="450">
        <f ca="1">SUMPRODUCT($D19:$D20,F19:F20)</f>
        <v>5.7619599885660976E-3</v>
      </c>
      <c r="G36" s="450">
        <f ca="1">SUMPRODUCT($C19:$C20,G19:G20)</f>
        <v>3.4983426229071822E-2</v>
      </c>
      <c r="H36" s="450">
        <f ca="1">SUMPRODUCT($D19:$D20,H19:H20)</f>
        <v>1.9287764525096072</v>
      </c>
      <c r="I36" s="450">
        <f ca="1">SUMPRODUCT($C19:$C20,I19:I20)</f>
        <v>0</v>
      </c>
      <c r="J36" s="450">
        <f ca="1">SUMPRODUCT($D19:$D20,J19:J20)</f>
        <v>0</v>
      </c>
      <c r="K36" s="450">
        <f ca="1">SUMPRODUCT($C19:$C20,K19:K20)</f>
        <v>-2.9862896628322146E-4</v>
      </c>
      <c r="L36" s="450">
        <f ca="1">SUMPRODUCT($D19:$D20,L19:L20)</f>
        <v>-1.8934329099816533E-2</v>
      </c>
      <c r="M36" s="450">
        <f ca="1">SUMPRODUCT($C19:$C20,M19:M20)</f>
        <v>0</v>
      </c>
      <c r="N36" s="450">
        <f ca="1">SUMPRODUCT($D19:$D20,N19:N20)</f>
        <v>0</v>
      </c>
      <c r="O36" s="450">
        <f ca="1">SUMPRODUCT($C19:$C20,O19:O20)</f>
        <v>-8.3575002914531313E-5</v>
      </c>
      <c r="P36" s="450">
        <f ca="1">SUMPRODUCT($D19:$D20,P19:P20)</f>
        <v>-5.2990057508389326E-3</v>
      </c>
      <c r="Q36" s="450">
        <f ca="1">SUMPRODUCT($C19:$C20,Q19:Q20)</f>
        <v>-4.6685608277620525E-4</v>
      </c>
      <c r="R36" s="450">
        <f ca="1">SUMPRODUCT($D19:$D20,R19:R20)</f>
        <v>-2.9600633935665685E-2</v>
      </c>
      <c r="S36" s="450"/>
      <c r="T36" s="450"/>
      <c r="U36" s="450">
        <f ca="1">SUMPRODUCT($C19:$C20,U19:U20)</f>
        <v>0</v>
      </c>
      <c r="V36" s="450">
        <f ca="1">SUMPRODUCT($D19:$D20,V19:V20)</f>
        <v>0</v>
      </c>
      <c r="W36" s="450">
        <f ca="1">SUMPRODUCT($C19:$C20,W19:W20)</f>
        <v>0</v>
      </c>
      <c r="X36" s="450">
        <f ca="1">SUMPRODUCT($D19:$D20,X19:X20)</f>
        <v>0</v>
      </c>
      <c r="Y36" s="450">
        <f ca="1">SUMPRODUCT($C19:$C20,Y19:Y20)</f>
        <v>4.4247036298268372E-2</v>
      </c>
      <c r="Z36" s="450">
        <f ca="1">SUMPRODUCT($D19:$D20,Z19:Z20)</f>
        <v>1.9077011310261742</v>
      </c>
      <c r="AE36" s="450">
        <f ca="1">SUMPRODUCT($C19:$C20,AE19:AE20)</f>
        <v>4.4247036298268372E-2</v>
      </c>
      <c r="AF36" s="450">
        <f ca="1">SUMPRODUCT($C19:$C20,AF19:AF20)</f>
        <v>4.4247036298268372E-2</v>
      </c>
      <c r="AG36" s="450">
        <f ca="1">SUMPRODUCT($D19:$D20,AG19:AG20)</f>
        <v>1.9077011310261742</v>
      </c>
      <c r="AH36" s="450">
        <f ca="1">SUMPRODUCT($D19:$D20,AH19:AH20)</f>
        <v>1.9077011310261742</v>
      </c>
    </row>
    <row r="37" spans="2:34" x14ac:dyDescent="0.25">
      <c r="AD37" s="244" t="s">
        <v>162</v>
      </c>
      <c r="AE37" s="694">
        <f ca="1">AE36/$C35</f>
        <v>0.614555993442919</v>
      </c>
      <c r="AF37" s="694">
        <f ca="1">AF36/$C35</f>
        <v>0.614555993442919</v>
      </c>
      <c r="AG37" s="694">
        <f t="shared" ca="1" si="12"/>
        <v>0.48440792156595258</v>
      </c>
      <c r="AH37" s="694">
        <f t="shared" ca="1" si="12"/>
        <v>0.48440792156595258</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SCCRedFacs2024</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5.1504572876134747E-2</v>
      </c>
      <c r="AD41" s="805" cm="1">
        <f t="array" aca="1" ref="AD41" ca="1">AC29-INDIRECT("SCCRedFacs"&amp;$B$2&amp;"!AC29")</f>
        <v>-5.5773751025502138E-3</v>
      </c>
    </row>
    <row r="42" spans="2:34" x14ac:dyDescent="0.25">
      <c r="B42" s="812"/>
      <c r="AB42" s="244" t="s">
        <v>635</v>
      </c>
      <c r="AC42" s="804" cm="1">
        <f t="array" aca="1" ref="AC42" ca="1">AA32-INDIRECT("SCCRedFacs"&amp;$B$2&amp;"!AA32")</f>
        <v>1.8549241506374436E-2</v>
      </c>
      <c r="AD42" s="805" cm="1">
        <f t="array" aca="1" ref="AD42" ca="1">AC32-INDIRECT("SCCRedFacs"&amp;$B$2&amp;"!AC32")</f>
        <v>-4.2205299694711984E-3</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2D56-5FC5-4455-8A86-59B575EA8391}">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2025</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0.3</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0.9</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2025BSR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0.68797890129022443</v>
      </c>
      <c r="D9" s="5">
        <f ca="1">INDIRECT("'DevSumOut-"&amp;$B$2&amp;"BSR'!P50")</f>
        <v>7.9535133097135731E-3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0.3</v>
      </c>
      <c r="L9" s="5">
        <f ca="1">SCCRedFacsFull!L9*K$4/SCCRedFacsFull!K$4</f>
        <v>0.3</v>
      </c>
      <c r="M9" s="5">
        <f ca="1">'BACM-R8'!P153*($B$2-$M$3+1)*$M$4/SCCRedFacsFull!$M$4</f>
        <v>0.2876254180602007</v>
      </c>
      <c r="N9" s="5">
        <f ca="1">'BACM-R8'!O153*($B$2-$M$3+1)*$M$4/SCCRedFacsFull!$M$4</f>
        <v>0.2876254180602007</v>
      </c>
      <c r="O9" s="5">
        <f ca="1">SCCRedFacsFull!O9*O$4/SCCRedFacsFull!O$4</f>
        <v>0</v>
      </c>
      <c r="P9" s="5">
        <f ca="1">SCCRedFacsFull!P9*O$4/SCCRedFacsFull!O$4</f>
        <v>0</v>
      </c>
      <c r="Q9" s="5">
        <f ca="1">IFERROR(OFFSET('STF-22'!$E$173,MATCH($B9,'STF-22'!$A$174:$A$191,0),MATCH($B$2,'STF-22'!$F$172:$AD$172,0))*Q$4/SCCRedFacsFull!Q$4,0)</f>
        <v>0.21456055713599451</v>
      </c>
      <c r="R9" s="5">
        <f ca="1">IFERROR(OFFSET('STF-22'!$E$173,MATCH($B9,'STF-22'!$A$174:$A$191,0),MATCH($B$2,'STF-22'!$F$172:$AD$172,0)-1)*R$4/SCCRedFacsFull!R$4,0)</f>
        <v>0.21456055713599453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0.757950220777174</v>
      </c>
      <c r="Z9" s="510">
        <f ca="1">1-(1-F9)*(1-H9)*(1-J9)*(1-L9)*(1-N9)*(1-P9)*(1-R9)*(1-T9)*(1-X9)</f>
        <v>0.62589157583272037</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0.757950220777174</v>
      </c>
      <c r="AF9" s="510">
        <f ca="1">1-(1-$Y9)*(1-AB9)</f>
        <v>0.86250035385375978</v>
      </c>
      <c r="AG9" s="510">
        <f ca="1">1-(1-$Z9)*(1-AC9)</f>
        <v>0.62589157583272037</v>
      </c>
      <c r="AH9" s="510">
        <f ca="1">1-(1-$Z9)*(1-AD9)</f>
        <v>0.65742059872891578</v>
      </c>
      <c r="AI9" s="530">
        <f ca="1">(Y9*$AJ$3+AE9*$AJ$4+AF9*$AJ$5)/35</f>
        <v>0.82068030062312547</v>
      </c>
      <c r="AJ9" s="530">
        <f ca="1">(Z9*$AJ$3+AG9*$AJ$4+AH9*$AJ$5)/35</f>
        <v>0.64480898957043764</v>
      </c>
    </row>
    <row r="10" spans="1:36" x14ac:dyDescent="0.25">
      <c r="A10" s="812" t="s">
        <v>138</v>
      </c>
      <c r="B10" s="812">
        <v>2104008210</v>
      </c>
      <c r="C10" s="5">
        <f ca="1">INDIRECT("'DevSumOut-"&amp;$B$2&amp;"BSR'!R51")</f>
        <v>5.369267095242003E-2</v>
      </c>
      <c r="D10" s="5">
        <f ca="1">INDIRECT("'DevSumOut-"&amp;$B$2&amp;"BSR'!P51")</f>
        <v>7.0186497977019603E-4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0.3</v>
      </c>
      <c r="L10" s="5">
        <f ca="1">SCCRedFacsFull!L10*K$4/SCCRedFacsFull!K$4</f>
        <v>0.3</v>
      </c>
      <c r="M10" s="5">
        <f ca="1">'BACM-R8'!P154*($B$2-$M$3+1)*$M$4/SCCRedFacsFull!$M$4</f>
        <v>0.48648648648648651</v>
      </c>
      <c r="N10" s="5">
        <f ca="1">'BACM-R8'!O154*($B$2-$M$3+1)*$M$4/SCCRedFacsFull!$M$4</f>
        <v>0.48648648648648651</v>
      </c>
      <c r="O10" s="5">
        <f ca="1">SCCRedFacsFull!O10*O$4/SCCRedFacsFull!O$4</f>
        <v>0</v>
      </c>
      <c r="P10" s="5">
        <f ca="1">SCCRedFacsFull!P10*O$4/SCCRedFacsFull!O$4</f>
        <v>0</v>
      </c>
      <c r="Q10" s="5">
        <f ca="1">IFERROR(OFFSET('STF-22'!$E$173,MATCH($B10,'STF-22'!$A$174:$A$191,0),MATCH($B$2,'STF-22'!$F$172:$AD$172,0))*Q$4/SCCRedFacsFull!Q$4,0)</f>
        <v>0.210352884282902</v>
      </c>
      <c r="R10" s="5">
        <f ca="1">IFERROR(OFFSET('STF-22'!$E$173,MATCH($B10,'STF-22'!$A$174:$A$191,0),MATCH($B$2,'STF-22'!$F$172:$AD$172,0)-1)*R$4/SCCRedFacsFull!R$4,0)</f>
        <v>0.21035288428290205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0.82458428446328658</v>
      </c>
      <c r="Z10" s="510">
        <f t="shared" ca="1" si="0"/>
        <v>0.72888016207111206</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0.90029189586461733</v>
      </c>
      <c r="AF10" s="510">
        <f t="shared" ca="1" si="1"/>
        <v>0.90029189586461733</v>
      </c>
      <c r="AG10" s="510">
        <f t="shared" ref="AG10:AH26" ca="1" si="2">1-(1-$Z10)*(1-AC10)</f>
        <v>0.30729310209075289</v>
      </c>
      <c r="AH10" s="510">
        <f t="shared" ca="1" si="2"/>
        <v>0.30729310209075289</v>
      </c>
      <c r="AI10" s="530">
        <f t="shared" ref="AI10:AI26" ca="1" si="3">(Y10*$AJ$3+AE10*$AJ$4+AF10*$AJ$5)/35</f>
        <v>0.88082422436141805</v>
      </c>
      <c r="AJ10" s="530">
        <f t="shared" ref="AJ10:AJ26" ca="1" si="4">(Z10*$AJ$3+AG10*$AJ$4+AH10*$AJ$5)/35</f>
        <v>0.41570120322855952</v>
      </c>
    </row>
    <row r="11" spans="1:36" x14ac:dyDescent="0.25">
      <c r="A11" s="812" t="s">
        <v>139</v>
      </c>
      <c r="B11" s="812">
        <v>2104008220</v>
      </c>
      <c r="C11" s="5">
        <f ca="1">INDIRECT("'DevSumOut-"&amp;$B$2&amp;"BSR'!R52")</f>
        <v>4.4331539216849465E-2</v>
      </c>
      <c r="D11" s="5">
        <f ca="1">INDIRECT("'DevSumOut-"&amp;$B$2&amp;"BSR'!P52")</f>
        <v>1.4777179738949824E-3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-2.0329320119979434E-2</v>
      </c>
      <c r="L11" s="5">
        <f ca="1">SCCRedFacsFull!L11*K$4/SCCRedFacsFull!K$4</f>
        <v>-1.9711991783937677E-2</v>
      </c>
      <c r="M11" s="5">
        <f ca="1">'BACM-R8'!P155*($B$2-$M$3+1)*$M$4/SCCRedFacsFull!$M$4</f>
        <v>0.20067696618027206</v>
      </c>
      <c r="N11" s="5">
        <f ca="1">'BACM-R8'!O155*($B$2-$M$3+1)*$M$4/SCCRedFacsFull!$M$4</f>
        <v>6.6573239276123658E-2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2.8915068515073722E-2</v>
      </c>
      <c r="D12" s="5">
        <f ca="1">INDIRECT("'DevSumOut-"&amp;$B$2&amp;"BSR'!P53")</f>
        <v>8.8969441584842211E-4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-2.0329320119979438E-2</v>
      </c>
      <c r="L12" s="5">
        <f ca="1">SCCRedFacsFull!L12*K$4/SCCRedFacsFull!K$4</f>
        <v>-2.1354657765932487E-2</v>
      </c>
      <c r="M12" s="5">
        <f ca="1">'BACM-R8'!P156*($B$2-$M$3+1)*$M$4/SCCRedFacsFull!$M$4</f>
        <v>0.20067696618027214</v>
      </c>
      <c r="N12" s="5">
        <f ca="1">'BACM-R8'!O156*($B$2-$M$3+1)*$M$4/SCCRedFacsFull!$M$4</f>
        <v>7.2121009215800669E-2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1.770525950355838E-2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0.43237167986007563</v>
      </c>
      <c r="D13" s="5">
        <f ca="1">INDIRECT("'DevSumOut-"&amp;$B$2&amp;"BSR'!P54")</f>
        <v>1.4243802782455371E-2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0.3</v>
      </c>
      <c r="L13" s="5">
        <f ca="1">SCCRedFacsFull!L13*K$4/SCCRedFacsFull!K$4</f>
        <v>0.3</v>
      </c>
      <c r="M13" s="5">
        <f ca="1">'BACM-R8'!P157*($B$2-$M$3+1)*$M$4/SCCRedFacsFull!$M$4</f>
        <v>0.46351931330472096</v>
      </c>
      <c r="N13" s="5">
        <f ca="1">'BACM-R8'!O157*($B$2-$M$3+1)*$M$4/SCCRedFacsFull!$M$4</f>
        <v>0.46351931330472096</v>
      </c>
      <c r="O13" s="5">
        <f ca="1">SCCRedFacsFull!O13*O$4/SCCRedFacsFull!O$4</f>
        <v>0</v>
      </c>
      <c r="P13" s="5">
        <f ca="1">SCCRedFacsFull!P13*O$4/SCCRedFacsFull!O$4</f>
        <v>0</v>
      </c>
      <c r="Q13" s="5">
        <f ca="1">IFERROR(OFFSET('STF-22'!$E$173,MATCH($B13,'STF-22'!$A$174:$A$191,0),MATCH($B$2,'STF-22'!$F$172:$AD$172,0))*Q$4/SCCRedFacsFull!Q$4,0)</f>
        <v>3.5528470692176795E-2</v>
      </c>
      <c r="R13" s="5">
        <f ca="1">IFERROR(OFFSET('STF-22'!$E$173,MATCH($B13,'STF-22'!$A$174:$A$191,0),MATCH($B$2,'STF-22'!$F$172:$AD$172,0)-1)*R$4/SCCRedFacsFull!R$4,0)</f>
        <v>3.4857336763741469E-2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0.77616547570858274</v>
      </c>
      <c r="Z13" s="510">
        <f t="shared" ca="1" si="0"/>
        <v>0.65380405908475914</v>
      </c>
      <c r="AA13" s="617">
        <f t="shared" ca="1" si="5"/>
        <v>0.43060397420010033</v>
      </c>
      <c r="AB13" s="617">
        <f t="shared" ca="1" si="6"/>
        <v>0.43060397420010033</v>
      </c>
      <c r="AC13" s="617">
        <f t="shared" ca="1" si="7"/>
        <v>-2.2504286485608085</v>
      </c>
      <c r="AD13" s="617">
        <f t="shared" ca="1" si="8"/>
        <v>-2.2504286485608085</v>
      </c>
      <c r="AE13" s="510">
        <f t="shared" ca="1" si="1"/>
        <v>0.87254951143165593</v>
      </c>
      <c r="AF13" s="510">
        <f t="shared" ca="1" si="1"/>
        <v>0.87254951143165593</v>
      </c>
      <c r="AG13" s="510">
        <f t="shared" ca="1" si="2"/>
        <v>-0.12528520436636392</v>
      </c>
      <c r="AH13" s="510">
        <f t="shared" ca="1" si="2"/>
        <v>-0.12528520436636392</v>
      </c>
      <c r="AI13" s="530">
        <f t="shared" ca="1" si="3"/>
        <v>0.84776504510286566</v>
      </c>
      <c r="AJ13" s="530">
        <f t="shared" ca="1" si="4"/>
        <v>7.505203480678202E-2</v>
      </c>
    </row>
    <row r="14" spans="1:36" x14ac:dyDescent="0.25">
      <c r="A14" s="812" t="s">
        <v>142</v>
      </c>
      <c r="B14" s="812">
        <v>2104008320</v>
      </c>
      <c r="C14" s="5">
        <f ca="1">INDIRECT("'DevSumOut-"&amp;$B$2&amp;"BSR'!R55")</f>
        <v>0.59416912152270285</v>
      </c>
      <c r="D14" s="5">
        <f ca="1">INDIRECT("'DevSumOut-"&amp;$B$2&amp;"BSR'!P55")</f>
        <v>2.9989134655416586E-2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-2.668223265747301E-2</v>
      </c>
      <c r="L14" s="5">
        <f ca="1">SCCRedFacsFull!L14*K$4/SCCRedFacsFull!K$4</f>
        <v>-2.5626804838815118E-2</v>
      </c>
      <c r="M14" s="5">
        <f ca="1">'BACM-R8'!P158*($B$2-$M$3+1)*$M$4/SCCRedFacsFull!$M$4</f>
        <v>0.10362273192688667</v>
      </c>
      <c r="N14" s="5">
        <f ca="1">'BACM-R8'!O158*($B$2-$M$3+1)*$M$4/SCCRedFacsFull!$M$4</f>
        <v>-2.9065184338349658E-2</v>
      </c>
      <c r="O14" s="5">
        <f ca="1">SCCRedFacsFull!O14*O$4/SCCRedFacsFull!O$4</f>
        <v>0</v>
      </c>
      <c r="P14" s="5">
        <f ca="1">SCCRedFacsFull!P14*O$4/SCCRedFacsFull!O$4</f>
        <v>0</v>
      </c>
      <c r="Q14" s="5">
        <f ca="1">IFERROR(OFFSET('STF-22'!$E$173,MATCH($B14,'STF-22'!$A$174:$A$191,0),MATCH($B$2,'STF-22'!$F$172:$AD$172,0))*Q$4/SCCRedFacsFull!Q$4,0)</f>
        <v>0.2200920091793078</v>
      </c>
      <c r="R14" s="5">
        <f ca="1">IFERROR(OFFSET('STF-22'!$E$173,MATCH($B14,'STF-22'!$A$174:$A$191,0),MATCH($B$2,'STF-22'!$F$172:$AD$172,0)-1)*R$4/SCCRedFacsFull!R$4,0)</f>
        <v>0.21138616989913458</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0.55643652228172336</v>
      </c>
      <c r="Z14" s="510">
        <f t="shared" ca="1" si="0"/>
        <v>0.20498565876876951</v>
      </c>
      <c r="AA14" s="617">
        <f t="shared" ca="1" si="5"/>
        <v>0.29354300452577731</v>
      </c>
      <c r="AB14" s="617">
        <f t="shared" ca="1" si="6"/>
        <v>0.42930664411894914</v>
      </c>
      <c r="AC14" s="617">
        <f t="shared" ca="1" si="7"/>
        <v>-2.0142722140188041</v>
      </c>
      <c r="AD14" s="617">
        <f t="shared" ca="1" si="8"/>
        <v>-2.9458731130024995</v>
      </c>
      <c r="AE14" s="510">
        <f t="shared" ca="1" si="1"/>
        <v>0.68664147822904897</v>
      </c>
      <c r="AF14" s="510">
        <f t="shared" ca="1" si="1"/>
        <v>0.74686127035468697</v>
      </c>
      <c r="AG14" s="510">
        <f t="shared" ca="1" si="2"/>
        <v>-1.3963896385197621</v>
      </c>
      <c r="AH14" s="510">
        <f t="shared" ca="1" si="2"/>
        <v>-2.1370257135157069</v>
      </c>
      <c r="AI14" s="530">
        <f t="shared" ca="1" si="3"/>
        <v>0.68929207911797663</v>
      </c>
      <c r="AJ14" s="530">
        <f t="shared" ca="1" si="4"/>
        <v>-1.4289890642145637</v>
      </c>
    </row>
    <row r="15" spans="1:36" x14ac:dyDescent="0.25">
      <c r="A15" s="812" t="s">
        <v>143</v>
      </c>
      <c r="B15" s="812">
        <v>2104008330</v>
      </c>
      <c r="C15" s="5">
        <f ca="1">INDIRECT("'DevSumOut-"&amp;$B$2&amp;"BSR'!R56")</f>
        <v>0.39693696599778167</v>
      </c>
      <c r="D15" s="5">
        <f ca="1">INDIRECT("'DevSumOut-"&amp;$B$2&amp;"BSR'!P56")</f>
        <v>1.8055654807205244E-2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-2.6682232657473031E-2</v>
      </c>
      <c r="L15" s="5">
        <f ca="1">SCCRedFacsFull!L15*K$4/SCCRedFacsFull!K$4</f>
        <v>-2.8435221807452414E-2</v>
      </c>
      <c r="M15" s="5">
        <f ca="1">'BACM-R8'!P159*($B$2-$M$3+1)*$M$4/SCCRedFacsFull!$M$4</f>
        <v>0.10362273192688663</v>
      </c>
      <c r="N15" s="5">
        <f ca="1">'BACM-R8'!O159*($B$2-$M$3+1)*$M$4/SCCRedFacsFull!$M$4</f>
        <v>-3.2250410019264694E-2</v>
      </c>
      <c r="O15" s="5">
        <f ca="1">SCCRedFacsFull!O15*O$4/SCCRedFacsFull!O$4</f>
        <v>0</v>
      </c>
      <c r="P15" s="5">
        <f ca="1">SCCRedFacsFull!P15*O$4/SCCRedFacsFull!O$4</f>
        <v>0</v>
      </c>
      <c r="Q15" s="5">
        <f ca="1">IFERROR(OFFSET('STF-22'!$E$173,MATCH($B15,'STF-22'!$A$174:$A$191,0),MATCH($B$2,'STF-22'!$F$172:$AD$172,0))*Q$4/SCCRedFacsFull!Q$4,0)</f>
        <v>0.22009200917930785</v>
      </c>
      <c r="R15" s="5">
        <f ca="1">IFERROR(OFFSET('STF-22'!$E$173,MATCH($B15,'STF-22'!$A$174:$A$191,0),MATCH($B$2,'STF-22'!$F$172:$AD$172,0)-1)*R$4/SCCRedFacsFull!R$4,0)</f>
        <v>0.23455177755931386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0.55643652228172336</v>
      </c>
      <c r="Z15" s="510">
        <f t="shared" ca="1" si="0"/>
        <v>0.22383125447685293</v>
      </c>
      <c r="AA15" s="617">
        <f t="shared" ca="1" si="5"/>
        <v>0.29362726123173721</v>
      </c>
      <c r="AB15" s="617">
        <f t="shared" ca="1" si="6"/>
        <v>0.4294298695514156</v>
      </c>
      <c r="AC15" s="617">
        <f t="shared" ca="1" si="7"/>
        <v>-2.1501343804542987</v>
      </c>
      <c r="AD15" s="617">
        <f t="shared" ca="1" si="8"/>
        <v>-3.1445715314144103</v>
      </c>
      <c r="AE15" s="510">
        <f t="shared" ca="1" si="1"/>
        <v>0.6866788514265656</v>
      </c>
      <c r="AF15" s="510">
        <f t="shared" ca="1" si="1"/>
        <v>0.74691592865605516</v>
      </c>
      <c r="AG15" s="510">
        <f t="shared" ca="1" si="2"/>
        <v>-1.445035850306549</v>
      </c>
      <c r="AH15" s="510">
        <f t="shared" ca="1" si="2"/>
        <v>-2.2168868862688713</v>
      </c>
      <c r="AI15" s="530">
        <f t="shared" ca="1" si="3"/>
        <v>0.68933021312701415</v>
      </c>
      <c r="AJ15" s="530">
        <f t="shared" ca="1" si="4"/>
        <v>-1.4790092163682105</v>
      </c>
    </row>
    <row r="16" spans="1:36" x14ac:dyDescent="0.25">
      <c r="A16" s="812" t="s">
        <v>144</v>
      </c>
      <c r="B16" s="812">
        <v>2104008410</v>
      </c>
      <c r="C16" s="5">
        <f ca="1">INDIRECT("'DevSumOut-"&amp;$B$2&amp;"BSR'!R57")</f>
        <v>1.4646455514193895E-2</v>
      </c>
      <c r="D16" s="5">
        <f ca="1">INDIRECT("'DevSumOut-"&amp;$B$2&amp;"BSR'!P57")</f>
        <v>1.5834005961290702E-3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0.18307167825062914</v>
      </c>
      <c r="R16" s="5">
        <f ca="1">IFERROR(OFFSET('STF-22'!$E$173,MATCH($B16,'STF-22'!$A$174:$A$191,0),MATCH($B$2,'STF-22'!$F$172:$AD$172,0)-1)*R$4/SCCRedFacsFull!R$4,0)</f>
        <v>0.18307167825062917</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0.49514172190888783</v>
      </c>
      <c r="Z16" s="510">
        <f t="shared" ca="1" si="0"/>
        <v>0.21969879315361462</v>
      </c>
      <c r="AA16" s="617">
        <f t="shared" ca="1" si="5"/>
        <v>0.42632653486271976</v>
      </c>
      <c r="AB16" s="617">
        <f t="shared" ca="1" si="6"/>
        <v>0.42632653486271976</v>
      </c>
      <c r="AC16" s="617">
        <f t="shared" ca="1" si="7"/>
        <v>-2.8899536545811819</v>
      </c>
      <c r="AD16" s="617">
        <f t="shared" ca="1" si="8"/>
        <v>-2.8899536545811819</v>
      </c>
      <c r="AE16" s="510">
        <f t="shared" ca="1" si="1"/>
        <v>0.71037620220423103</v>
      </c>
      <c r="AF16" s="510">
        <f t="shared" ca="1" si="1"/>
        <v>0.71037620220423103</v>
      </c>
      <c r="AG16" s="510">
        <f t="shared" ca="1" si="2"/>
        <v>-2.0353355312462034</v>
      </c>
      <c r="AH16" s="510">
        <f t="shared" ca="1" si="2"/>
        <v>-2.0353355312462034</v>
      </c>
      <c r="AI16" s="530">
        <f t="shared" ca="1" si="3"/>
        <v>0.65503019298542853</v>
      </c>
      <c r="AJ16" s="530">
        <f t="shared" ca="1" si="4"/>
        <v>-1.4554695621148215</v>
      </c>
    </row>
    <row r="17" spans="1:40" x14ac:dyDescent="0.25">
      <c r="A17" s="812" t="s">
        <v>145</v>
      </c>
      <c r="B17" s="812">
        <v>2104008420</v>
      </c>
      <c r="C17" s="5">
        <f ca="1">INDIRECT("'DevSumOut-"&amp;$B$2&amp;"BSR'!R58")</f>
        <v>4.9402949640657681E-2</v>
      </c>
      <c r="D17" s="5">
        <f ca="1">INDIRECT("'DevSumOut-"&amp;$B$2&amp;"BSR'!P58")</f>
        <v>5.3408594206116426E-3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0.26606689168383091</v>
      </c>
      <c r="R17" s="5">
        <f ca="1">IFERROR(OFFSET('STF-22'!$E$173,MATCH($B17,'STF-22'!$A$174:$A$191,0),MATCH($B$2,'STF-22'!$F$172:$AD$172,0)-1)*R$4/SCCRedFacsFull!R$4,0)</f>
        <v>0.26606689168383091</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0.54643241587572711</v>
      </c>
      <c r="Z17" s="510">
        <f t="shared" ca="1" si="0"/>
        <v>0.29897290261981702</v>
      </c>
      <c r="AA17" s="617">
        <f t="shared" ca="1" si="5"/>
        <v>0.42409767355878825</v>
      </c>
      <c r="AB17" s="617">
        <f t="shared" ca="1" si="6"/>
        <v>0.42409767355878825</v>
      </c>
      <c r="AC17" s="617">
        <f t="shared" ca="1" si="7"/>
        <v>-4.1950068760237897</v>
      </c>
      <c r="AD17" s="617">
        <f t="shared" ca="1" si="8"/>
        <v>-4.1950068760237897</v>
      </c>
      <c r="AE17" s="510">
        <f t="shared" ca="1" si="1"/>
        <v>0.7387893731045112</v>
      </c>
      <c r="AF17" s="510">
        <f t="shared" ca="1" si="1"/>
        <v>0.7387893731045112</v>
      </c>
      <c r="AG17" s="510">
        <f t="shared" ca="1" si="2"/>
        <v>-2.6418405911690495</v>
      </c>
      <c r="AH17" s="510">
        <f t="shared" ca="1" si="2"/>
        <v>-2.6418405911690495</v>
      </c>
      <c r="AI17" s="530">
        <f t="shared" ca="1" si="3"/>
        <v>0.6893261555313952</v>
      </c>
      <c r="AJ17" s="530">
        <f t="shared" ca="1" si="4"/>
        <v>-1.8856314070519122</v>
      </c>
    </row>
    <row r="18" spans="1:40" x14ac:dyDescent="0.25">
      <c r="A18" s="812" t="s">
        <v>146</v>
      </c>
      <c r="B18" s="812">
        <v>2104008610</v>
      </c>
      <c r="C18" s="5">
        <f ca="1">INDIRECT("'DevSumOut-"&amp;$B$2&amp;"BSR'!R59")</f>
        <v>0.24545272420989431</v>
      </c>
      <c r="D18" s="5">
        <f ca="1">INDIRECT("'DevSumOut-"&amp;$B$2&amp;"BSR'!P59")</f>
        <v>9.9472722299595792E-3</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0.30000000000000004</v>
      </c>
      <c r="L18" s="5">
        <f ca="1">SCCRedFacsFull!L18*K$4/SCCRedFacsFull!K$4</f>
        <v>0.3</v>
      </c>
      <c r="M18" s="5">
        <f ca="1">'BACM-R8'!P162*($B$2-$M$3+1)*$M$4/SCCRedFacsFull!$M$4</f>
        <v>0.39766186909290518</v>
      </c>
      <c r="N18" s="5">
        <f ca="1">'BACM-R8'!O162*($B$2-$M$3+1)*$M$4/SCCRedFacsFull!$M$4</f>
        <v>0.15961643543283796</v>
      </c>
      <c r="O18" s="5">
        <f ca="1">SCCRedFacsFull!O18*O$4/SCCRedFacsFull!O$4</f>
        <v>0</v>
      </c>
      <c r="P18" s="5">
        <f ca="1">SCCRedFacsFull!P18*O$4/SCCRedFacsFull!O$4</f>
        <v>0</v>
      </c>
      <c r="Q18" s="5">
        <f ca="1">IFERROR(OFFSET('STF-22'!$E$173,MATCH($B18,'STF-22'!$A$174:$A$191,0),MATCH($B$2,'STF-22'!$F$172:$AD$172,0))*Q$4/SCCRedFacsFull!Q$4,0)</f>
        <v>0.17075942170167788</v>
      </c>
      <c r="R18" s="5">
        <f ca="1">IFERROR(OFFSET('STF-22'!$E$173,MATCH($B18,'STF-22'!$A$174:$A$191,0),MATCH($B$2,'STF-22'!$F$172:$AD$172,0)-1)*R$4/SCCRedFacsFull!R$4,0)</f>
        <v>0.17075942170167793</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0.78392502478941051</v>
      </c>
      <c r="Z18" s="510">
        <f t="shared" ca="1" si="0"/>
        <v>0.53405520778789017</v>
      </c>
      <c r="AA18" s="617">
        <f t="shared" ca="1" si="5"/>
        <v>0.39764785901825461</v>
      </c>
      <c r="AB18" s="617">
        <f t="shared" ca="1" si="6"/>
        <v>0.43063247405202676</v>
      </c>
      <c r="AC18" s="617">
        <f t="shared" ca="1" si="7"/>
        <v>-1.5734882363846254</v>
      </c>
      <c r="AD18" s="617">
        <f t="shared" ca="1" si="8"/>
        <v>-1.7040079979280507</v>
      </c>
      <c r="AE18" s="510">
        <f t="shared" ca="1" si="1"/>
        <v>0.86984677606932381</v>
      </c>
      <c r="AF18" s="510">
        <f t="shared" ca="1" si="1"/>
        <v>0.87697392594507706</v>
      </c>
      <c r="AG18" s="510">
        <f t="shared" ca="1" si="2"/>
        <v>-0.19910344156254323</v>
      </c>
      <c r="AH18" s="510">
        <f t="shared" ca="1" si="2"/>
        <v>-0.25991844473446868</v>
      </c>
      <c r="AI18" s="530">
        <f t="shared" ca="1" si="3"/>
        <v>0.85202890137994092</v>
      </c>
      <c r="AJ18" s="530">
        <f t="shared" ca="1" si="4"/>
        <v>-4.7065933632729894E-2</v>
      </c>
    </row>
    <row r="19" spans="1:40" x14ac:dyDescent="0.25">
      <c r="A19" s="812" t="s">
        <v>147</v>
      </c>
      <c r="B19" s="812">
        <v>2104004000</v>
      </c>
      <c r="C19" s="5">
        <f ca="1">INDIRECT("'DevSumOut-"&amp;$B$2&amp;"BSR'!R60")+INDIRECT("'DevSumOut-"&amp;$B$2&amp;"BSR'!R62")+INDIRECT("'DevSumOut-"&amp;$B$2&amp;"BSR'!R63")</f>
        <v>5.4857507559784031E-2</v>
      </c>
      <c r="D19" s="5">
        <f ca="1">INDIRECT("'DevSumOut-"&amp;$B$2&amp;"BSR'!P60")+INDIRECT("'DevSumOut-"&amp;$B$2&amp;"BSR'!P62")+INDIRECT("'DevSumOut-"&amp;$B$2&amp;"BSR'!P63")</f>
        <v>3.4753359256370939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-1.0970614635204932E-2</v>
      </c>
      <c r="L19" s="5">
        <f ca="1">SCCRedFacsFull!L19*K$4/SCCRedFacsFull!K$4</f>
        <v>-1.097964332172064E-2</v>
      </c>
      <c r="M19" s="5">
        <f ca="1">'BACM-R8'!P163*($B$2-$M$3+1)*$M$4/SCCRedFacsFull!$M$4</f>
        <v>0</v>
      </c>
      <c r="N19" s="5">
        <f ca="1">'BACM-R8'!O163*($B$2-$M$3+1)*$M$4/SCCRedFacsFull!$M$4</f>
        <v>0</v>
      </c>
      <c r="O19" s="5">
        <f ca="1">SCCRedFacsFull!O19*O$4/SCCRedFacsFull!O$4</f>
        <v>-3.0702619425132657E-3</v>
      </c>
      <c r="P19" s="5">
        <f ca="1">SCCRedFacsFull!P19*O$4/SCCRedFacsFull!O$4</f>
        <v>-3.0727887318976466E-3</v>
      </c>
      <c r="Q19" s="5">
        <f ca="1">IFERROR(OFFSET('STF-22'!$E$173,MATCH($B19,'STF-22'!$A$174:$A$191,0),MATCH($B$2,'STF-22'!$F$172:$AD$172,0))*Q$4/SCCRedFacsFull!Q$4,0)</f>
        <v>-1.0704428665972264E-2</v>
      </c>
      <c r="R19" s="5">
        <f ca="1">IFERROR(OFFSET('STF-22'!$E$173,MATCH($B19,'STF-22'!$A$174:$A$191,0),MATCH($B$2,'STF-22'!$F$172:$AD$172,0)-1)*R$4/SCCRedFacsFull!R$4,0)</f>
        <v>-1.0713238284573311E-2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0.66235776608941221</v>
      </c>
      <c r="Z19" s="510">
        <f t="shared" ca="1" si="0"/>
        <v>0.55280734117310715</v>
      </c>
      <c r="AA19" s="617">
        <f t="shared" ca="1" si="5"/>
        <v>0</v>
      </c>
      <c r="AB19" s="617">
        <f t="shared" ca="1" si="6"/>
        <v>0</v>
      </c>
      <c r="AC19" s="617">
        <f t="shared" ca="1" si="7"/>
        <v>0</v>
      </c>
      <c r="AD19" s="617">
        <f t="shared" ca="1" si="8"/>
        <v>0</v>
      </c>
      <c r="AE19" s="510">
        <f t="shared" ca="1" si="1"/>
        <v>0.66235776608941221</v>
      </c>
      <c r="AF19" s="510">
        <f t="shared" ca="1" si="1"/>
        <v>0.66235776608941221</v>
      </c>
      <c r="AG19" s="510">
        <f t="shared" ca="1" si="2"/>
        <v>0.55280734117310715</v>
      </c>
      <c r="AH19" s="510">
        <f t="shared" ca="1" si="2"/>
        <v>0.55280734117310715</v>
      </c>
      <c r="AI19" s="530">
        <f t="shared" ca="1" si="3"/>
        <v>0.66235776608941221</v>
      </c>
      <c r="AJ19" s="530">
        <f t="shared" ca="1" si="4"/>
        <v>0.55280734117310715</v>
      </c>
    </row>
    <row r="20" spans="1:40" x14ac:dyDescent="0.25">
      <c r="A20" s="812" t="s">
        <v>148</v>
      </c>
      <c r="B20" s="812">
        <v>2103004001</v>
      </c>
      <c r="C20" s="5">
        <f ca="1">INDIRECT("'DevSumOut-"&amp;$B$2&amp;"BSR'!R61")</f>
        <v>1.7801232577771393E-2</v>
      </c>
      <c r="D20" s="5">
        <f ca="1">INDIRECT("'DevSumOut-"&amp;$B$2&amp;"BSR'!P61")</f>
        <v>0.49603609510945462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5.8529310125197222E-6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2" t="s">
        <v>150</v>
      </c>
      <c r="B22" s="812">
        <v>2103006000</v>
      </c>
      <c r="C22" s="5">
        <f ca="1">INDIRECT("'DevSumOut-"&amp;$B$2&amp;"BSR'!R65")</f>
        <v>1.007951856986729E-2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9.5214781787673869E-2</v>
      </c>
      <c r="D23" s="5">
        <f ca="1">INDIRECT("'DevSumOut-"&amp;$B$2&amp;"BSR'!P66")</f>
        <v>0.11082571597313731</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0.3</v>
      </c>
      <c r="L23" s="5">
        <f ca="1">SCCRedFacsFull!L23*K$4/SCCRedFacsFull!K$4</f>
        <v>0.3</v>
      </c>
      <c r="M23" s="5">
        <f ca="1">'BACM-R8'!P167*($B$2-$M$3+1)*$M$4/SCCRedFacsFull!$M$4</f>
        <v>0</v>
      </c>
      <c r="N23" s="5">
        <f ca="1">'BACM-R8'!O167*($B$2-$M$3+1)*$M$4/SCCRedFacsFull!$M$4</f>
        <v>0</v>
      </c>
      <c r="O23" s="5">
        <f ca="1">SCCRedFacsFull!O23*O$4/SCCRedFacsFull!O$4</f>
        <v>0.5</v>
      </c>
      <c r="P23" s="5">
        <f ca="1">SCCRedFacsFull!P23*O$4/SCCRedFacsFull!O$4</f>
        <v>0.5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0.77394659092288887</v>
      </c>
      <c r="Z23" s="510">
        <f t="shared" ca="1" si="0"/>
        <v>0.65061532004279365</v>
      </c>
      <c r="AA23" s="617">
        <f t="shared" ca="1" si="5"/>
        <v>0.44845389532858415</v>
      </c>
      <c r="AB23" s="617">
        <f t="shared" ca="1" si="6"/>
        <v>0.44845389532858415</v>
      </c>
      <c r="AC23" s="617">
        <f t="shared" ca="1" si="7"/>
        <v>0.36928069720055601</v>
      </c>
      <c r="AD23" s="617">
        <f t="shared" ca="1" si="8"/>
        <v>0.36928069720055601</v>
      </c>
      <c r="AE23" s="510">
        <f t="shared" ca="1" si="1"/>
        <v>0.8753211227758253</v>
      </c>
      <c r="AF23" s="510">
        <f t="shared" ca="1" si="1"/>
        <v>0.8753211227758253</v>
      </c>
      <c r="AG23" s="510">
        <f t="shared" ca="1" si="2"/>
        <v>0.77963633824858392</v>
      </c>
      <c r="AH23" s="510">
        <f t="shared" ca="1" si="2"/>
        <v>0.77963633824858392</v>
      </c>
      <c r="AI23" s="530">
        <f t="shared" ca="1" si="3"/>
        <v>0.84925338601364153</v>
      </c>
      <c r="AJ23" s="530">
        <f t="shared" ca="1" si="4"/>
        <v>0.74645950499566649</v>
      </c>
    </row>
    <row r="24" spans="1:40" x14ac:dyDescent="0.25">
      <c r="A24" s="812" t="s">
        <v>152</v>
      </c>
      <c r="B24" s="812">
        <v>2103002000</v>
      </c>
      <c r="C24" s="5">
        <f ca="1">INDIRECT("'DevSumOut-"&amp;$B$2&amp;"BSR'!R67")</f>
        <v>2.6304953575588091E-4</v>
      </c>
      <c r="D24" s="5">
        <f ca="1">INDIRECT("'DevSumOut-"&amp;$B$2&amp;"BSR'!P67")</f>
        <v>3.0617780757568111E-4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2.7287431994720563</v>
      </c>
      <c r="D27" s="450">
        <f ca="1">INDIRECT("'DevSumOut-"&amp;$B$2&amp;"BSR'!P70")</f>
        <v>4.1903632197367111</v>
      </c>
      <c r="E27" s="450">
        <f ca="1">$C27-E28</f>
        <v>1.7733004716552847</v>
      </c>
      <c r="F27" s="450">
        <f ca="1">$D27-F28</f>
        <v>4.1838998708354369</v>
      </c>
      <c r="G27" s="450">
        <f ca="1">$C27-G28</f>
        <v>2.7199367068026579</v>
      </c>
      <c r="H27" s="450">
        <f ca="1">$D27-H28</f>
        <v>2.2478701562399808</v>
      </c>
      <c r="I27" s="450">
        <f ca="1">$C27-I28</f>
        <v>2.5937042653719686</v>
      </c>
      <c r="J27" s="450">
        <f ca="1">$D27-J28</f>
        <v>4.1855835133387185</v>
      </c>
      <c r="K27" s="450">
        <f ca="1">$C27-K28</f>
        <v>2.3028657695690002</v>
      </c>
      <c r="L27" s="450">
        <f ca="1">$D27-L28</f>
        <v>4.1867495879756058</v>
      </c>
      <c r="M27" s="450">
        <f ca="1">$C27-M28</f>
        <v>2.089322380864858</v>
      </c>
      <c r="N27" s="450">
        <f ca="1">$D27-N28</f>
        <v>4.1808355133639461</v>
      </c>
      <c r="O27" s="450">
        <f ca="1">$C27-O28</f>
        <v>2.6813042354959413</v>
      </c>
      <c r="P27" s="450">
        <f ca="1">$D27-P28</f>
        <v>4.145629334821999</v>
      </c>
      <c r="Q27" s="450">
        <f ca="1">$C27-Q28</f>
        <v>2.2059410251065112</v>
      </c>
      <c r="R27" s="450">
        <f ca="1">$D27-R28</f>
        <v>4.2088934922707182</v>
      </c>
      <c r="S27" s="450">
        <f ca="1">$C27-S28</f>
        <v>2.7282312506804338</v>
      </c>
      <c r="T27" s="450">
        <f ca="1">$D27-T28</f>
        <v>4.1903632197367111</v>
      </c>
      <c r="U27" s="786">
        <f ca="1">$C27-U28</f>
        <v>2.7287431994720563</v>
      </c>
      <c r="V27" s="786">
        <f ca="1">$D27-V28</f>
        <v>4.1903632197367111</v>
      </c>
      <c r="W27" s="450">
        <f ca="1">$C27-W28</f>
        <v>2.7287431994720563</v>
      </c>
      <c r="X27" s="450">
        <f ca="1">$D27-X28</f>
        <v>4.1903632197367111</v>
      </c>
      <c r="Y27" s="450">
        <f ca="1">$C27-Y28</f>
        <v>0.85757336608163581</v>
      </c>
      <c r="Z27" s="450">
        <f ca="1">$D27-Z28</f>
        <v>2.1753739098346925</v>
      </c>
      <c r="AA27" s="450">
        <f ca="1">$C27-AA28</f>
        <v>2.0393741202775448</v>
      </c>
      <c r="AB27" s="450">
        <f ca="1">$C27-AB28</f>
        <v>1.5895761699517879</v>
      </c>
      <c r="AC27" s="450">
        <f ca="1">$D27-AC28</f>
        <v>4.3291733177741554</v>
      </c>
      <c r="AD27" s="450">
        <f ca="1">$D27-AD28</f>
        <v>4.3778814566681179</v>
      </c>
      <c r="AE27" s="450">
        <f ca="1">$C27-AE28</f>
        <v>0.63937543034691391</v>
      </c>
      <c r="AF27" s="450">
        <f ca="1">$C27-AF28</f>
        <v>0.50600670264866476</v>
      </c>
      <c r="AG27" s="450">
        <f ca="1">$D27-AG28</f>
        <v>2.2771945247345644</v>
      </c>
      <c r="AH27" s="450">
        <f ca="1">$D27-AH28</f>
        <v>2.3136960124751664</v>
      </c>
      <c r="AI27" s="787">
        <f ca="1">$C27-AI28</f>
        <v>0.61546223434546432</v>
      </c>
      <c r="AJ27" s="787">
        <f ca="1">$D27-AJ28</f>
        <v>2.2729129735475295</v>
      </c>
    </row>
    <row r="28" spans="1:40" x14ac:dyDescent="0.25">
      <c r="B28" s="244" t="s">
        <v>156</v>
      </c>
      <c r="E28" s="450">
        <f ca="1">SUMPRODUCT($C9:$C26,E9:E26)</f>
        <v>0.95544272781677164</v>
      </c>
      <c r="F28" s="450">
        <f ca="1">SUMPRODUCT($D9:$D26,F9:F26)</f>
        <v>6.4633489012743007E-3</v>
      </c>
      <c r="G28" s="450">
        <f ca="1">SUMPRODUCT($C9:$C26,G9:G26)</f>
        <v>8.806492669398468E-3</v>
      </c>
      <c r="H28" s="450">
        <f ca="1">SUMPRODUCT($D9:$D26,H9:H26)</f>
        <v>1.9424930634967306</v>
      </c>
      <c r="I28" s="450">
        <f ca="1">SUMPRODUCT($C9:$C26,I9:I26)</f>
        <v>0.13503893410008783</v>
      </c>
      <c r="J28" s="450">
        <f ca="1">SUMPRODUCT($D9:$D26,J9:J26)</f>
        <v>4.7797063979926379E-3</v>
      </c>
      <c r="K28" s="450">
        <f ca="1">SUMPRODUCT($C9:$C26,K9:K26)</f>
        <v>0.42587742990305599</v>
      </c>
      <c r="L28" s="450">
        <f ca="1">SUMPRODUCT($D9:$D26,L9:L26)</f>
        <v>3.6136317611055839E-3</v>
      </c>
      <c r="M28" s="450">
        <f ca="1">SUMPRODUCT($C9:$C26,M9:M26)</f>
        <v>0.63942081860719846</v>
      </c>
      <c r="N28" s="450">
        <f ca="1">SUMPRODUCT($D9:$D26,N9:N26)</f>
        <v>9.5277063727652808E-3</v>
      </c>
      <c r="O28" s="450">
        <f ca="1">SUMPRODUCT($C9:$C26,O9:O26)</f>
        <v>4.7438963976114995E-2</v>
      </c>
      <c r="P28" s="450">
        <f ca="1">SUMPRODUCT($D9:$D26,P9:P26)</f>
        <v>4.4733884914711919E-2</v>
      </c>
      <c r="Q28" s="450">
        <f ca="1">SUMPRODUCT($C9:$C26,Q9:Q26)</f>
        <v>0.52280217436554521</v>
      </c>
      <c r="R28" s="450">
        <f ca="1">SUMPRODUCT($D9:$D26,R9:R26)</f>
        <v>-1.8530272534006881E-2</v>
      </c>
      <c r="S28" s="450">
        <f ca="1">SUMPRODUCT($C9:$C26,S9:S26)</f>
        <v>5.1194879162255074E-4</v>
      </c>
      <c r="T28" s="450">
        <f ca="1">SUMPRODUCT($D9:$D26,T9:T26)</f>
        <v>0</v>
      </c>
      <c r="U28" s="786">
        <f ca="1">SUMPRODUCT($C9:$C26,U9:U26)</f>
        <v>0</v>
      </c>
      <c r="V28" s="786">
        <f ca="1">SUMPRODUCT($D9:$D26,V9:V26)</f>
        <v>0</v>
      </c>
      <c r="W28" s="450">
        <f ca="1">SUMPRODUCT($C9:$C26,W9:W26)</f>
        <v>0</v>
      </c>
      <c r="X28" s="450">
        <f ca="1">SUMPRODUCT($D9:$D26,X9:X26)</f>
        <v>0</v>
      </c>
      <c r="Y28" s="450">
        <f ca="1">SUMPRODUCT($C9:$C26,Y9:Y26)</f>
        <v>1.8711698333904205</v>
      </c>
      <c r="Z28" s="450">
        <f ca="1">SUMPRODUCT($D9:$D26,Z9:Z26)</f>
        <v>2.0149893099020186</v>
      </c>
      <c r="AA28" s="450">
        <f ca="1">SUMPRODUCT($C9:$C26,AA9:AA26)</f>
        <v>0.68936907919451151</v>
      </c>
      <c r="AB28" s="450">
        <f ca="1">SUMPRODUCT($C9:$C26,AB9:AB26)</f>
        <v>1.1391670295202685</v>
      </c>
      <c r="AC28" s="450">
        <f ca="1">SUMPRODUCT($D9:$D26,AC9:AC26)</f>
        <v>-0.13881009803744418</v>
      </c>
      <c r="AD28" s="450">
        <f ca="1">SUMPRODUCT($D9:$D26,AD9:AD26)</f>
        <v>-0.18751823693140654</v>
      </c>
      <c r="AE28" s="450">
        <f ca="1">SUMPRODUCT($C9:$C26,AE9:AE26)</f>
        <v>2.0893677691251424</v>
      </c>
      <c r="AF28" s="450">
        <f ca="1">SUMPRODUCT($C9:$C26,AF9:AF26)</f>
        <v>2.2227364968233916</v>
      </c>
      <c r="AG28" s="450">
        <f ca="1">SUMPRODUCT($D9:$D26,AG9:AG26)</f>
        <v>1.9131686950021467</v>
      </c>
      <c r="AH28" s="450">
        <f ca="1">SUMPRODUCT($D9:$D26,AH9:AH26)</f>
        <v>1.8766672072615447</v>
      </c>
      <c r="AI28" s="450">
        <f ca="1">SUMPRODUCT($C9:$C26,AI9:AI26)</f>
        <v>2.113280965126592</v>
      </c>
      <c r="AJ28" s="450">
        <f ca="1">SUMPRODUCT($D9:$D26,AJ9:AJ26)</f>
        <v>1.9174502461891814</v>
      </c>
    </row>
    <row r="29" spans="1:40" x14ac:dyDescent="0.25">
      <c r="E29" s="659">
        <f ca="1">E28/$C27</f>
        <v>0.35014021400094592</v>
      </c>
      <c r="F29" s="693">
        <f ca="1">F28/$D27</f>
        <v>1.5424316610149146E-3</v>
      </c>
      <c r="G29" s="659">
        <f ca="1">G28/$C27</f>
        <v>3.2273072347380671E-3</v>
      </c>
      <c r="H29" s="693">
        <f ca="1">H28/$D27</f>
        <v>0.46356197819500272</v>
      </c>
      <c r="I29" s="659">
        <f ca="1">I28/$C27</f>
        <v>4.9487593455556568E-2</v>
      </c>
      <c r="J29" s="693">
        <f ca="1">J28/$D27</f>
        <v>1.1406425045638303E-3</v>
      </c>
      <c r="K29" s="659">
        <f ca="1">K28/$C27</f>
        <v>0.15607090838941995</v>
      </c>
      <c r="L29" s="693">
        <f ca="1">L28/$D27</f>
        <v>8.6236719148480778E-4</v>
      </c>
      <c r="M29" s="659">
        <f ca="1">M28/$C27</f>
        <v>0.23432795681576427</v>
      </c>
      <c r="N29" s="693">
        <f ca="1">N28/$D27</f>
        <v>2.2737184996015512E-3</v>
      </c>
      <c r="O29" s="659">
        <f ca="1">O28/$C27</f>
        <v>1.7384913312946872E-2</v>
      </c>
      <c r="P29" s="693">
        <f ca="1">P28/$D27</f>
        <v>1.0675419425221721E-2</v>
      </c>
      <c r="Q29" s="659">
        <f ca="1">Q28/$C27</f>
        <v>0.19159082997135618</v>
      </c>
      <c r="R29" s="693">
        <f ca="1">R28/$D27</f>
        <v>-4.4221160702081512E-3</v>
      </c>
      <c r="S29" s="659">
        <f ca="1">S28/$C27</f>
        <v>1.8761340082188756E-4</v>
      </c>
      <c r="T29" s="693">
        <f ca="1">T28/$D27</f>
        <v>0</v>
      </c>
      <c r="U29" s="700">
        <f ca="1">U28/$C27</f>
        <v>0</v>
      </c>
      <c r="V29" s="700">
        <f ca="1">V28/$D27</f>
        <v>0</v>
      </c>
      <c r="W29" s="659">
        <f ca="1">W28/$C27</f>
        <v>0</v>
      </c>
      <c r="X29" s="693">
        <f ca="1">X28/$D27</f>
        <v>0</v>
      </c>
      <c r="Y29" s="659">
        <f ca="1">Y28/$C27</f>
        <v>0.6857258806004336</v>
      </c>
      <c r="Z29" s="693">
        <f t="shared" ref="Z29" ca="1" si="9">Z28/$D27</f>
        <v>0.48086268522293502</v>
      </c>
      <c r="AA29" s="838">
        <f ca="1">(AA28*$AJ$4+AB28*$AJ$5)/SUM($AJ$4:$AJ$5)</f>
        <v>1.0526674236883922</v>
      </c>
      <c r="AB29" s="838"/>
      <c r="AC29" s="838">
        <f ca="1">(AC28*$AJ$4+AD28*$AJ$5)/SUM($AJ$4:$AJ$5)</f>
        <v>-0.17815128714410611</v>
      </c>
      <c r="AD29" s="838"/>
      <c r="AE29" s="659">
        <f ca="1">AE28/$C27</f>
        <v>0.76568867657806083</v>
      </c>
      <c r="AF29" s="659">
        <f ca="1">AF28/$C27</f>
        <v>0.81456419103616473</v>
      </c>
      <c r="AG29" s="693">
        <f t="shared" ref="AG29:AH29" ca="1" si="10">AG28/$D27</f>
        <v>0.45656392887162534</v>
      </c>
      <c r="AH29" s="693">
        <f t="shared" ca="1" si="10"/>
        <v>0.44785311173561215</v>
      </c>
      <c r="AI29" s="659">
        <f ca="1">AI28/$C27</f>
        <v>0.77445212343010483</v>
      </c>
      <c r="AJ29" s="693">
        <f t="shared" ref="AJ29" ca="1" si="11">AJ28/$D27</f>
        <v>0.45758569022321138</v>
      </c>
      <c r="AK29" s="5"/>
      <c r="AL29" s="5"/>
      <c r="AN29" s="5"/>
    </row>
    <row r="30" spans="1:40" x14ac:dyDescent="0.25">
      <c r="B30" s="244" t="s">
        <v>157</v>
      </c>
      <c r="E30" s="450">
        <f ca="1">E28*($Y28/$Y30)</f>
        <v>0.65359185439640077</v>
      </c>
      <c r="F30" s="450">
        <f ca="1">F28*($Z28/$Z30)</f>
        <v>6.5343949841135465E-3</v>
      </c>
      <c r="G30" s="450">
        <f ca="1">G28*($Y28/$Y30)</f>
        <v>6.0242772349869966E-3</v>
      </c>
      <c r="H30" s="450">
        <f ca="1">H28*($Z28/$Z30)</f>
        <v>1.9638452332792777</v>
      </c>
      <c r="I30" s="450">
        <f ca="1">I28*($Y28/$Y30)</f>
        <v>9.2376387181122316E-2</v>
      </c>
      <c r="J30" s="450">
        <f ca="1">J28*($Z28/$Z30)</f>
        <v>4.8322456345224968E-3</v>
      </c>
      <c r="K30" s="450">
        <f ca="1">K28*($Y28/$Y30)</f>
        <v>0.29133093073192728</v>
      </c>
      <c r="L30" s="450">
        <f ca="1">L28*($Z28/$Z30)</f>
        <v>3.6533533335243989E-3</v>
      </c>
      <c r="M30" s="450">
        <f ca="1">M28*($Y28/$Y30)</f>
        <v>0.43741003663098621</v>
      </c>
      <c r="N30" s="450">
        <f ca="1">N28*($Z28/$Z30)</f>
        <v>9.6324363241522513E-3</v>
      </c>
      <c r="O30" s="450">
        <f ca="1">O28*($Y28/$Y30)</f>
        <v>3.2451678717197924E-2</v>
      </c>
      <c r="P30" s="450">
        <f ca="1">P28*($Z28/$Z30)</f>
        <v>4.5225606364678095E-2</v>
      </c>
      <c r="Q30" s="450">
        <f ca="1">Q28*($Y28/$Y30)</f>
        <v>0.35763445853719028</v>
      </c>
      <c r="R30" s="450">
        <f ca="1">R28*($Z28/$Z30)</f>
        <v>-1.8733960018249809E-2</v>
      </c>
      <c r="S30" s="450">
        <f ca="1">S28*($Y28/$Y30)</f>
        <v>3.5020996060869901E-4</v>
      </c>
      <c r="T30" s="450">
        <f ca="1">T28*($Z28/$Z30)</f>
        <v>0</v>
      </c>
      <c r="U30" s="786">
        <f ca="1">U28*($Y28/$Y30)</f>
        <v>0</v>
      </c>
      <c r="V30" s="786">
        <f ca="1">V28*($Z28/$Z30)</f>
        <v>0</v>
      </c>
      <c r="W30" s="450">
        <f ca="1">W28*($Y28/$Y30)</f>
        <v>0</v>
      </c>
      <c r="X30" s="450">
        <f ca="1">X28*($Z28/$Z30)</f>
        <v>0</v>
      </c>
      <c r="Y30" s="450">
        <f ca="1">SUM($E28,$G28,$I28,$K28,$M28,$O28,$Q28,$S28,$W28)</f>
        <v>2.7353394902297952</v>
      </c>
      <c r="Z30" s="450">
        <f ca="1">SUM($F28,$H28,$J28,$L28,$N28,$P28,$R28,$T28,$X28)</f>
        <v>1.9930810693105732</v>
      </c>
      <c r="AA30" s="450">
        <f ca="1">AE28-$Y28</f>
        <v>0.2181979357347219</v>
      </c>
      <c r="AB30" s="450">
        <f ca="1">AF28-$Y28</f>
        <v>0.35156666343297105</v>
      </c>
      <c r="AC30" s="450">
        <f ca="1">AG28-$Z28</f>
        <v>-0.10182061489987193</v>
      </c>
      <c r="AD30" s="450">
        <f ca="1">AH28-$Z28</f>
        <v>-0.13832210264047395</v>
      </c>
      <c r="AE30" s="450">
        <f ca="1">SUM($E28,$G28,$I28,$K28,$M28,$O28,$Q28,$S28,$W28,AA28)</f>
        <v>3.4247085694243067</v>
      </c>
      <c r="AF30" s="450">
        <f ca="1">SUM($E28,$G28,$I28,$K28,$M28,$O28,$Q28,$S28,$W28,AB28)</f>
        <v>3.8745065197500637</v>
      </c>
      <c r="AG30" s="450">
        <f ca="1">SUM($F28,$H28,$J28,$L28,$N28,$P28,$R28,$T28,$X28,AC28)</f>
        <v>1.8542709712731289</v>
      </c>
      <c r="AH30" s="450">
        <f ca="1">SUM($F28,$H28,$J28,$L28,$N28,$P28,$R28,$T28,$X28,AD28)</f>
        <v>1.8055628323791666</v>
      </c>
    </row>
    <row r="31" spans="1:40" x14ac:dyDescent="0.25">
      <c r="Y31" s="659">
        <f ca="1">Y30/$C27</f>
        <v>1.0024173365815496</v>
      </c>
      <c r="Z31" s="659">
        <f ca="1">Z30/$C27</f>
        <v>0.73040257862893976</v>
      </c>
      <c r="AA31" s="839" t="s">
        <v>158</v>
      </c>
      <c r="AB31" s="839"/>
      <c r="AC31" s="839"/>
      <c r="AD31" s="839"/>
      <c r="AE31" s="659">
        <f ca="1">AE30/$C27</f>
        <v>1.2550497863217405</v>
      </c>
      <c r="AF31" s="659">
        <f ca="1">AF30/$C27</f>
        <v>1.4198868257370953</v>
      </c>
      <c r="AG31" s="693">
        <f ca="1">AG30/$D27</f>
        <v>0.4425084113328096</v>
      </c>
      <c r="AH31" s="693">
        <f ca="1">AH30/$D27</f>
        <v>0.4308845648212361</v>
      </c>
    </row>
    <row r="32" spans="1:40" x14ac:dyDescent="0.25">
      <c r="Y32" s="698">
        <f ca="1">SUM($E30,$G30,$I30,$K30,$M30,$O30,$Q30,$S30,$W30)</f>
        <v>1.8711698333904203</v>
      </c>
      <c r="Z32" s="698">
        <f ca="1">SUM($F30,$H30,$J30,$L30,$N30,$P30,$R30,$T30,$X30)</f>
        <v>2.0149893099020186</v>
      </c>
      <c r="AA32" s="838">
        <f ca="1">(AA30*$AJ$4+AB30*$AJ$5)/SUM($AJ$4:$AJ$5)</f>
        <v>0.32591883118330772</v>
      </c>
      <c r="AB32" s="838"/>
      <c r="AC32" s="838">
        <f ca="1">(AC30*$AJ$4+AD30*$AJ$5)/SUM($AJ$4:$AJ$5)</f>
        <v>-0.13130258576728127</v>
      </c>
      <c r="AD32" s="838"/>
    </row>
    <row r="33" spans="2:34" x14ac:dyDescent="0.25">
      <c r="C33" s="450">
        <f ca="1">SUM(C9:C18)</f>
        <v>2.547898076719874</v>
      </c>
      <c r="D33" s="450">
        <f ca="1">SUM(D9:D18)</f>
        <v>9.0182915171004657E-2</v>
      </c>
      <c r="Z33" s="616"/>
      <c r="AA33" s="616"/>
    </row>
    <row r="34" spans="2:34" x14ac:dyDescent="0.25">
      <c r="B34" s="244" t="s">
        <v>159</v>
      </c>
      <c r="E34" s="450">
        <f ca="1">SUMPRODUCT($C9:$C18,E9:E18)</f>
        <v>0.90229508750975262</v>
      </c>
      <c r="F34" s="450">
        <f ca="1">SUMPRODUCT($D9:$D18,F9:F18)</f>
        <v>1.585467292065029E-4</v>
      </c>
      <c r="G34" s="450">
        <f ca="1">SUMPRODUCT($C9:$C18,G9:G18)</f>
        <v>-2.6493731869726412E-2</v>
      </c>
      <c r="H34" s="450">
        <f ca="1">SUMPRODUCT($D9:$D18,H9:H18)</f>
        <v>-9.3774629197365905E-4</v>
      </c>
      <c r="I34" s="450">
        <f ca="1">SUMPRODUCT($C9:$C18,I9:I18)</f>
        <v>0.13503893410008783</v>
      </c>
      <c r="J34" s="450">
        <f ca="1">SUMPRODUCT($D9:$D18,J9:J18)</f>
        <v>4.7797063979926379E-3</v>
      </c>
      <c r="K34" s="450">
        <f ca="1">SUMPRODUCT($C9:$C18,K9:K18)</f>
        <v>0.39791481594204009</v>
      </c>
      <c r="L34" s="450">
        <f ca="1">SUMPRODUCT($D9:$D18,L9:L18)</f>
        <v>8.5238658558215337E-3</v>
      </c>
      <c r="M34" s="450">
        <f ca="1">SUMPRODUCT($C9:$C18,M9:M18)</f>
        <v>0.63942081860719846</v>
      </c>
      <c r="N34" s="450">
        <f ca="1">SUMPRODUCT($D9:$D18,N9:N18)</f>
        <v>9.5277063727652808E-3</v>
      </c>
      <c r="O34" s="450">
        <f ca="1">SUMPRODUCT($C9:$C18,O9:O18)</f>
        <v>0</v>
      </c>
      <c r="P34" s="450">
        <f ca="1">SUMPRODUCT($D9:$D18,P9:P18)</f>
        <v>0</v>
      </c>
      <c r="Q34" s="450">
        <f ca="1">SUMPRODUCT($C9:$C18,Q9:Q18)</f>
        <v>0.52338939264201201</v>
      </c>
      <c r="R34" s="450">
        <f ca="1">SUMPRODUCT($D9:$D18,R9:R18)</f>
        <v>1.8701829356281459E-2</v>
      </c>
      <c r="S34" s="450"/>
      <c r="T34" s="450"/>
      <c r="U34" s="450">
        <f ca="1">SUMPRODUCT($C9:$C18,U9:U18)</f>
        <v>0</v>
      </c>
      <c r="V34" s="450">
        <f ca="1">SUMPRODUCT($D9:$D18,V9:V18)</f>
        <v>0</v>
      </c>
      <c r="W34" s="450">
        <f ca="1">SUMPRODUCT($C9:$C18,W9:W18)</f>
        <v>0</v>
      </c>
      <c r="X34" s="450">
        <f ca="1">SUMPRODUCT($D9:$D18,X9:X18)</f>
        <v>0</v>
      </c>
      <c r="Y34" s="450">
        <f ca="1">SUMPRODUCT($C9:$C18,Y9:Y18)</f>
        <v>1.7527180728843301</v>
      </c>
      <c r="Z34" s="450">
        <f ca="1">SUMPRODUCT($D9:$D18,Z9:Z18)</f>
        <v>3.4615479275095971E-2</v>
      </c>
      <c r="AE34" s="450">
        <f ca="1">SUMPRODUCT($C9:$C18,AE9:AE18)</f>
        <v>1.9612636546898465</v>
      </c>
      <c r="AF34" s="450">
        <f ca="1">SUMPRODUCT($C9:$C18,AF9:AF18)</f>
        <v>2.0946323823880961</v>
      </c>
      <c r="AG34" s="450">
        <f ca="1">SUMPRODUCT($D9:$D18,AG9:AG18)</f>
        <v>-8.1503982343015938E-2</v>
      </c>
      <c r="AH34" s="450">
        <f ca="1">SUMPRODUCT($D9:$D18,AH9:AH18)</f>
        <v>-0.11800547008361784</v>
      </c>
    </row>
    <row r="35" spans="2:34" x14ac:dyDescent="0.25">
      <c r="C35" s="450">
        <f ca="1">SUM(C19:C20)</f>
        <v>7.2658740137555425E-2</v>
      </c>
      <c r="D35" s="450">
        <f ca="1">SUM(D19:D20)</f>
        <v>3.9713720207465486</v>
      </c>
      <c r="AD35" s="244" t="s">
        <v>160</v>
      </c>
      <c r="AE35" s="604">
        <f ca="1">AE34/$C33</f>
        <v>0.76975750035289803</v>
      </c>
      <c r="AF35" s="604">
        <f ca="1">AF34/$C33</f>
        <v>0.82210210899986025</v>
      </c>
      <c r="AG35" s="604">
        <f t="shared" ref="AG35:AH37" ca="1" si="12">AG34/$D33</f>
        <v>-0.9037630042061543</v>
      </c>
      <c r="AH35" s="604">
        <f t="shared" ca="1" si="12"/>
        <v>-1.308512481104166</v>
      </c>
    </row>
    <row r="36" spans="2:34" x14ac:dyDescent="0.25">
      <c r="B36" s="244" t="s">
        <v>161</v>
      </c>
      <c r="E36" s="450">
        <f ca="1">SUMPRODUCT($C19:$C20,E19:E20)</f>
        <v>1.9426860138748094E-2</v>
      </c>
      <c r="F36" s="450">
        <f ca="1">SUMPRODUCT($D19:$D20,F19:F20)</f>
        <v>6.1098395728149211E-3</v>
      </c>
      <c r="G36" s="450">
        <f ca="1">SUMPRODUCT($C19:$C20,G19:G20)</f>
        <v>3.5302903829001503E-2</v>
      </c>
      <c r="H36" s="450">
        <f ca="1">SUMPRODUCT($D19:$D20,H19:H20)</f>
        <v>1.9434308881601567</v>
      </c>
      <c r="I36" s="450">
        <f ca="1">SUMPRODUCT($C19:$C20,I19:I20)</f>
        <v>0</v>
      </c>
      <c r="J36" s="450">
        <f ca="1">SUMPRODUCT($D19:$D20,J19:J20)</f>
        <v>0</v>
      </c>
      <c r="K36" s="450">
        <f ca="1">SUMPRODUCT($C19:$C20,K19:K20)</f>
        <v>-6.0182057528623194E-4</v>
      </c>
      <c r="L36" s="450">
        <f ca="1">SUMPRODUCT($D19:$D20,L19:L20)</f>
        <v>-3.8157948886657141E-2</v>
      </c>
      <c r="M36" s="450">
        <f ca="1">SUMPRODUCT($C19:$C20,M19:M20)</f>
        <v>0</v>
      </c>
      <c r="N36" s="450">
        <f ca="1">SUMPRODUCT($D19:$D20,N19:N20)</f>
        <v>0</v>
      </c>
      <c r="O36" s="450">
        <f ca="1">SUMPRODUCT($C19:$C20,O19:O20)</f>
        <v>-1.6842691772193867E-4</v>
      </c>
      <c r="P36" s="450">
        <f ca="1">SUMPRODUCT($D19:$D20,P19:P20)</f>
        <v>-1.0678973071856739E-2</v>
      </c>
      <c r="Q36" s="450">
        <f ca="1">SUMPRODUCT($C19:$C20,Q19:Q20)</f>
        <v>-5.8721827646674232E-4</v>
      </c>
      <c r="R36" s="450">
        <f ca="1">SUMPRODUCT($D19:$D20,R19:R20)</f>
        <v>-3.723210189028834E-2</v>
      </c>
      <c r="S36" s="450"/>
      <c r="T36" s="450"/>
      <c r="U36" s="450">
        <f ca="1">SUMPRODUCT($C19:$C20,U19:U20)</f>
        <v>0</v>
      </c>
      <c r="V36" s="450">
        <f ca="1">SUMPRODUCT($D19:$D20,V19:V20)</f>
        <v>0</v>
      </c>
      <c r="W36" s="450">
        <f ca="1">SUMPRODUCT($C19:$C20,W19:W20)</f>
        <v>0</v>
      </c>
      <c r="X36" s="450">
        <f ca="1">SUMPRODUCT($D19:$D20,X19:X20)</f>
        <v>0</v>
      </c>
      <c r="Y36" s="450">
        <f ca="1">SUMPRODUCT($C19:$C20,Y19:Y20)</f>
        <v>4.4761211309227507E-2</v>
      </c>
      <c r="Z36" s="450">
        <f ca="1">SUMPRODUCT($D19:$D20,Z19:Z20)</f>
        <v>1.9082688756874171</v>
      </c>
      <c r="AE36" s="450">
        <f ca="1">SUMPRODUCT($C19:$C20,AE19:AE20)</f>
        <v>4.4761211309227507E-2</v>
      </c>
      <c r="AF36" s="450">
        <f ca="1">SUMPRODUCT($C19:$C20,AF19:AF20)</f>
        <v>4.4761211309227507E-2</v>
      </c>
      <c r="AG36" s="450">
        <f ca="1">SUMPRODUCT($D19:$D20,AG19:AG20)</f>
        <v>1.9082688756874171</v>
      </c>
      <c r="AH36" s="450">
        <f ca="1">SUMPRODUCT($D19:$D20,AH19:AH20)</f>
        <v>1.9082688756874171</v>
      </c>
    </row>
    <row r="37" spans="2:34" x14ac:dyDescent="0.25">
      <c r="AD37" s="244" t="s">
        <v>162</v>
      </c>
      <c r="AE37" s="694">
        <f ca="1">AE36/$C35</f>
        <v>0.61604717098709494</v>
      </c>
      <c r="AF37" s="694">
        <f ca="1">AF36/$C35</f>
        <v>0.61604717098709494</v>
      </c>
      <c r="AG37" s="694">
        <f t="shared" ca="1" si="12"/>
        <v>0.48050619929801891</v>
      </c>
      <c r="AH37" s="694">
        <f t="shared" ca="1" si="12"/>
        <v>0.48050619929801891</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SCCRedFacs2025</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5.1899763499125839E-2</v>
      </c>
      <c r="AD41" s="805" cm="1">
        <f t="array" aca="1" ref="AD41" ca="1">AC29-INDIRECT("SCCRedFacs"&amp;$B$2&amp;"!AC29")</f>
        <v>-5.6201698723802873E-3</v>
      </c>
    </row>
    <row r="42" spans="2:34" x14ac:dyDescent="0.25">
      <c r="B42" s="812"/>
      <c r="AB42" s="244" t="s">
        <v>635</v>
      </c>
      <c r="AC42" s="804" cm="1">
        <f t="array" aca="1" ref="AC42" ca="1">AA32-INDIRECT("SCCRedFacs"&amp;$B$2&amp;"!AA32")</f>
        <v>1.5388699349797974E-2</v>
      </c>
      <c r="AD42" s="805" cm="1">
        <f t="array" aca="1" ref="AD42" ca="1">AC32-INDIRECT("SCCRedFacs"&amp;$B$2&amp;"!AC32")</f>
        <v>-4.2117101239156352E-3</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7E0A-53BB-400C-856D-A609912C48DA}">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2026</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0.5</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0.75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0.5</v>
      </c>
      <c r="AB4" s="833"/>
      <c r="AC4" s="833"/>
      <c r="AD4" s="833"/>
      <c r="AH4" s="1" t="s">
        <v>111</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2026BSR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0.69288635852664349</v>
      </c>
      <c r="D9" s="5">
        <f ca="1">INDIRECT("'DevSumOut-"&amp;$B$2&amp;"BSR'!P50")</f>
        <v>8.010246919383162E-3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0.5</v>
      </c>
      <c r="L9" s="5">
        <f ca="1">SCCRedFacsFull!L9*K$4/SCCRedFacsFull!K$4</f>
        <v>0.5</v>
      </c>
      <c r="M9" s="5">
        <f ca="1">'BACM-R8'!P153*($B$2-$M$3+1)*$M$4/SCCRedFacsFull!$M$4</f>
        <v>0.3355629877369008</v>
      </c>
      <c r="N9" s="5">
        <f ca="1">'BACM-R8'!O153*($B$2-$M$3+1)*$M$4/SCCRedFacsFull!$M$4</f>
        <v>0.33556298773690085</v>
      </c>
      <c r="O9" s="5">
        <f ca="1">SCCRedFacsFull!O9*O$4/SCCRedFacsFull!O$4</f>
        <v>0</v>
      </c>
      <c r="P9" s="5">
        <f ca="1">SCCRedFacsFull!P9*O$4/SCCRedFacsFull!O$4</f>
        <v>0</v>
      </c>
      <c r="Q9" s="5">
        <f ca="1">IFERROR(OFFSET('STF-22'!$E$173,MATCH($B9,'STF-22'!$A$174:$A$191,0),MATCH($B$2,'STF-22'!$F$172:$AD$172,0))*Q$4/SCCRedFacsFull!Q$4,0)</f>
        <v>0.2335126195663178</v>
      </c>
      <c r="R9" s="5">
        <f ca="1">IFERROR(OFFSET('STF-22'!$E$173,MATCH($B9,'STF-22'!$A$174:$A$191,0),MATCH($B$2,'STF-22'!$F$172:$AD$172,0)-1)*R$4/SCCRedFacsFull!R$4,0)</f>
        <v>0.23351261956631786</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0.84263274875167116</v>
      </c>
      <c r="Z9" s="510">
        <f ca="1">1-(1-F9)*(1-H9)*(1-J9)*(1-L9)*(1-N9)*(1-P9)*(1-R9)*(1-T9)*(1-X9)</f>
        <v>0.75677559149578089</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0.84263274875167116</v>
      </c>
      <c r="AF9" s="510">
        <f ca="1">1-(1-$Y9)*(1-AB9)</f>
        <v>0.91815792521530726</v>
      </c>
      <c r="AG9" s="510">
        <f ca="1">1-(1-$Z9)*(1-AC9)</f>
        <v>0.75677559149578089</v>
      </c>
      <c r="AH9" s="510">
        <f ca="1">1-(1-$Z9)*(1-AD9)</f>
        <v>0.77955160284927061</v>
      </c>
      <c r="AI9" s="530">
        <f ca="1">(Y9*$AJ$3+AE9*$AJ$4+AF9*$AJ$5)/35</f>
        <v>0.88794785462985293</v>
      </c>
      <c r="AJ9" s="530">
        <f ca="1">(Z9*$AJ$3+AG9*$AJ$4+AH9*$AJ$5)/35</f>
        <v>0.77044119830787472</v>
      </c>
    </row>
    <row r="10" spans="1:36" x14ac:dyDescent="0.25">
      <c r="A10" s="812" t="s">
        <v>138</v>
      </c>
      <c r="B10" s="812">
        <v>2104008210</v>
      </c>
      <c r="C10" s="5">
        <f ca="1">INDIRECT("'DevSumOut-"&amp;$B$2&amp;"BSR'!R51")</f>
        <v>5.4075668870109034E-2</v>
      </c>
      <c r="D10" s="5">
        <f ca="1">INDIRECT("'DevSumOut-"&amp;$B$2&amp;"BSR'!P51")</f>
        <v>7.0687148849815737E-4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0.5</v>
      </c>
      <c r="L10" s="5">
        <f ca="1">SCCRedFacsFull!L10*K$4/SCCRedFacsFull!K$4</f>
        <v>0.5</v>
      </c>
      <c r="M10" s="5">
        <f ca="1">'BACM-R8'!P154*($B$2-$M$3+1)*$M$4/SCCRedFacsFull!$M$4</f>
        <v>0.56756756756756754</v>
      </c>
      <c r="N10" s="5">
        <f ca="1">'BACM-R8'!O154*($B$2-$M$3+1)*$M$4/SCCRedFacsFull!$M$4</f>
        <v>0.56756756756756754</v>
      </c>
      <c r="O10" s="5">
        <f ca="1">SCCRedFacsFull!O10*O$4/SCCRedFacsFull!O$4</f>
        <v>0</v>
      </c>
      <c r="P10" s="5">
        <f ca="1">SCCRedFacsFull!P10*O$4/SCCRedFacsFull!O$4</f>
        <v>0</v>
      </c>
      <c r="Q10" s="5">
        <f ca="1">IFERROR(OFFSET('STF-22'!$E$173,MATCH($B10,'STF-22'!$A$174:$A$191,0),MATCH($B$2,'STF-22'!$F$172:$AD$172,0))*Q$4/SCCRedFacsFull!Q$4,0)</f>
        <v>0.22837090230092</v>
      </c>
      <c r="R10" s="5">
        <f ca="1">IFERROR(OFFSET('STF-22'!$E$173,MATCH($B10,'STF-22'!$A$174:$A$191,0),MATCH($B$2,'STF-22'!$F$172:$AD$172,0)-1)*R$4/SCCRedFacsFull!R$4,0)</f>
        <v>0.22837090230092005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0.89689436810103362</v>
      </c>
      <c r="Z10" s="510">
        <f t="shared" ca="1" si="0"/>
        <v>0.84064151764011852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0.94633806366865025</v>
      </c>
      <c r="AF10" s="510">
        <f t="shared" ca="1" si="1"/>
        <v>0.94633806366865025</v>
      </c>
      <c r="AG10" s="510">
        <f t="shared" ref="AG10:AH26" ca="1" si="2">1-(1-$Z10)*(1-AC10)</f>
        <v>0.56530827355696178</v>
      </c>
      <c r="AH10" s="510">
        <f t="shared" ca="1" si="2"/>
        <v>0.56530827355696178</v>
      </c>
      <c r="AI10" s="530">
        <f t="shared" ref="AI10:AI26" ca="1" si="3">(Y10*$AJ$3+AE10*$AJ$4+AF10*$AJ$5)/35</f>
        <v>0.93362397052269164</v>
      </c>
      <c r="AJ10" s="530">
        <f t="shared" ref="AJ10:AJ26" ca="1" si="4">(Z10*$AJ$3+AG10*$AJ$4+AH10*$AJ$5)/35</f>
        <v>0.63610825060691645</v>
      </c>
    </row>
    <row r="11" spans="1:36" x14ac:dyDescent="0.25">
      <c r="A11" s="812" t="s">
        <v>139</v>
      </c>
      <c r="B11" s="812">
        <v>2104008220</v>
      </c>
      <c r="C11" s="5">
        <f ca="1">INDIRECT("'DevSumOut-"&amp;$B$2&amp;"BSR'!R52")</f>
        <v>4.4647762770396462E-2</v>
      </c>
      <c r="D11" s="5">
        <f ca="1">INDIRECT("'DevSumOut-"&amp;$B$2&amp;"BSR'!P52")</f>
        <v>1.4882587590132144E-3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-3.3882200199965726E-2</v>
      </c>
      <c r="L11" s="5">
        <f ca="1">SCCRedFacsFull!L11*K$4/SCCRedFacsFull!K$4</f>
        <v>-3.2853319639896128E-2</v>
      </c>
      <c r="M11" s="5">
        <f ca="1">'BACM-R8'!P155*($B$2-$M$3+1)*$M$4/SCCRedFacsFull!$M$4</f>
        <v>0.23412312721031742</v>
      </c>
      <c r="N11" s="5">
        <f ca="1">'BACM-R8'!O155*($B$2-$M$3+1)*$M$4/SCCRedFacsFull!$M$4</f>
        <v>7.766877915547761E-2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-1.9463411308010561</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2.9121324058608178E-2</v>
      </c>
      <c r="D12" s="5">
        <f ca="1">INDIRECT("'DevSumOut-"&amp;$B$2&amp;"BSR'!P53")</f>
        <v>8.960407402648676E-4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-3.3882200199965733E-2</v>
      </c>
      <c r="L12" s="5">
        <f ca="1">SCCRedFacsFull!L12*K$4/SCCRedFacsFull!K$4</f>
        <v>-3.5591096276554143E-2</v>
      </c>
      <c r="M12" s="5">
        <f ca="1">'BACM-R8'!P156*($B$2-$M$3+1)*$M$4/SCCRedFacsFull!$M$4</f>
        <v>0.2341231272103175</v>
      </c>
      <c r="N12" s="5">
        <f ca="1">'BACM-R8'!O156*($B$2-$M$3+1)*$M$4/SCCRedFacsFull!$M$4</f>
        <v>8.4141177418434118E-2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0.43545585224555539</v>
      </c>
      <c r="D13" s="5">
        <f ca="1">INDIRECT("'DevSumOut-"&amp;$B$2&amp;"BSR'!P54")</f>
        <v>1.4345405975384397E-2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0.5</v>
      </c>
      <c r="L13" s="5">
        <f ca="1">SCCRedFacsFull!L13*K$4/SCCRedFacsFull!K$4</f>
        <v>0.5</v>
      </c>
      <c r="M13" s="5">
        <f ca="1">'BACM-R8'!P157*($B$2-$M$3+1)*$M$4/SCCRedFacsFull!$M$4</f>
        <v>0.54077253218884114</v>
      </c>
      <c r="N13" s="5">
        <f ca="1">'BACM-R8'!O157*($B$2-$M$3+1)*$M$4/SCCRedFacsFull!$M$4</f>
        <v>0.54077253218884114</v>
      </c>
      <c r="O13" s="5">
        <f ca="1">SCCRedFacsFull!O13*O$4/SCCRedFacsFull!O$4</f>
        <v>0</v>
      </c>
      <c r="P13" s="5">
        <f ca="1">SCCRedFacsFull!P13*O$4/SCCRedFacsFull!O$4</f>
        <v>0</v>
      </c>
      <c r="Q13" s="5">
        <f ca="1">IFERROR(OFFSET('STF-22'!$E$173,MATCH($B13,'STF-22'!$A$174:$A$191,0),MATCH($B$2,'STF-22'!$F$172:$AD$172,0))*Q$4/SCCRedFacsFull!Q$4,0)</f>
        <v>3.8571702674788114E-2</v>
      </c>
      <c r="R13" s="5">
        <f ca="1">IFERROR(OFFSET('STF-22'!$E$173,MATCH($B13,'STF-22'!$A$174:$A$191,0),MATCH($B$2,'STF-22'!$F$172:$AD$172,0)-1)*R$4/SCCRedFacsFull!R$4,0)</f>
        <v>3.7843081998518199E-2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0.86357301218336746</v>
      </c>
      <c r="Z13" s="510">
        <f t="shared" ca="1" si="0"/>
        <v>0.78898074096526205</v>
      </c>
      <c r="AA13" s="617">
        <f t="shared" ca="1" si="5"/>
        <v>0.47844886022233368</v>
      </c>
      <c r="AB13" s="617">
        <f t="shared" ca="1" si="6"/>
        <v>0.47844886022233368</v>
      </c>
      <c r="AC13" s="617">
        <f t="shared" ca="1" si="7"/>
        <v>-2.5004762761786772</v>
      </c>
      <c r="AD13" s="617">
        <f t="shared" ca="1" si="8"/>
        <v>-2.5004762761786772</v>
      </c>
      <c r="AE13" s="510">
        <f t="shared" ca="1" si="1"/>
        <v>0.9288463490078015</v>
      </c>
      <c r="AF13" s="510">
        <f t="shared" ca="1" si="1"/>
        <v>0.9288463490078015</v>
      </c>
      <c r="AG13" s="510">
        <f t="shared" ca="1" si="2"/>
        <v>0.26133208993209678</v>
      </c>
      <c r="AH13" s="510">
        <f t="shared" ca="1" si="2"/>
        <v>0.26133208993209678</v>
      </c>
      <c r="AI13" s="530">
        <f t="shared" ca="1" si="3"/>
        <v>0.91206177668151844</v>
      </c>
      <c r="AJ13" s="530">
        <f t="shared" ca="1" si="4"/>
        <v>0.39701317162633926</v>
      </c>
    </row>
    <row r="14" spans="1:36" x14ac:dyDescent="0.25">
      <c r="A14" s="812" t="s">
        <v>142</v>
      </c>
      <c r="B14" s="812">
        <v>2104008320</v>
      </c>
      <c r="C14" s="5">
        <f ca="1">INDIRECT("'DevSumOut-"&amp;$B$2&amp;"BSR'!R55")</f>
        <v>0.59840741945539389</v>
      </c>
      <c r="D14" s="5">
        <f ca="1">INDIRECT("'DevSumOut-"&amp;$B$2&amp;"BSR'!P55")</f>
        <v>3.0203051674677905E-2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-4.4470387762455016E-2</v>
      </c>
      <c r="L14" s="5">
        <f ca="1">SCCRedFacsFull!L14*K$4/SCCRedFacsFull!K$4</f>
        <v>-4.2711341398025196E-2</v>
      </c>
      <c r="M14" s="5">
        <f ca="1">'BACM-R8'!P158*($B$2-$M$3+1)*$M$4/SCCRedFacsFull!$M$4</f>
        <v>0.12089318724803445</v>
      </c>
      <c r="N14" s="5">
        <f ca="1">'BACM-R8'!O158*($B$2-$M$3+1)*$M$4/SCCRedFacsFull!$M$4</f>
        <v>-3.3909381728074603E-2</v>
      </c>
      <c r="O14" s="5">
        <f ca="1">SCCRedFacsFull!O14*O$4/SCCRedFacsFull!O$4</f>
        <v>0</v>
      </c>
      <c r="P14" s="5">
        <f ca="1">SCCRedFacsFull!P14*O$4/SCCRedFacsFull!O$4</f>
        <v>0</v>
      </c>
      <c r="Q14" s="5">
        <f ca="1">IFERROR(OFFSET('STF-22'!$E$173,MATCH($B14,'STF-22'!$A$174:$A$191,0),MATCH($B$2,'STF-22'!$F$172:$AD$172,0))*Q$4/SCCRedFacsFull!Q$4,0)</f>
        <v>0.24013677922407786</v>
      </c>
      <c r="R14" s="5">
        <f ca="1">IFERROR(OFFSET('STF-22'!$E$173,MATCH($B14,'STF-22'!$A$174:$A$191,0),MATCH($B$2,'STF-22'!$F$172:$AD$172,0)-1)*R$4/SCCRedFacsFull!R$4,0)</f>
        <v>0.23063805997034945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0.56881987861653438</v>
      </c>
      <c r="Z14" s="510">
        <f t="shared" ca="1" si="0"/>
        <v>0.20776213157783097</v>
      </c>
      <c r="AA14" s="617">
        <f t="shared" ca="1" si="5"/>
        <v>0.2935430045257772</v>
      </c>
      <c r="AB14" s="617">
        <f t="shared" ca="1" si="6"/>
        <v>0.477007382354388</v>
      </c>
      <c r="AC14" s="617">
        <f t="shared" ca="1" si="7"/>
        <v>-2.0142722140188036</v>
      </c>
      <c r="AD14" s="617">
        <f t="shared" ca="1" si="8"/>
        <v>-3.2731923477805562</v>
      </c>
      <c r="AE14" s="510">
        <f t="shared" ca="1" si="1"/>
        <v>0.69538978693922626</v>
      </c>
      <c r="AF14" s="510">
        <f t="shared" ca="1" si="1"/>
        <v>0.77449597964090855</v>
      </c>
      <c r="AG14" s="510">
        <f t="shared" ca="1" si="2"/>
        <v>-1.3880205936784291</v>
      </c>
      <c r="AH14" s="510">
        <f t="shared" ca="1" si="2"/>
        <v>-2.3853847969635917</v>
      </c>
      <c r="AI14" s="530">
        <f t="shared" ca="1" si="3"/>
        <v>0.71030695470582905</v>
      </c>
      <c r="AJ14" s="530">
        <f t="shared" ca="1" si="4"/>
        <v>-1.576094986297917</v>
      </c>
    </row>
    <row r="15" spans="1:36" x14ac:dyDescent="0.25">
      <c r="A15" s="812" t="s">
        <v>143</v>
      </c>
      <c r="B15" s="812">
        <v>2104008330</v>
      </c>
      <c r="C15" s="5">
        <f ca="1">INDIRECT("'DevSumOut-"&amp;$B$2&amp;"BSR'!R56")</f>
        <v>0.39976837722643277</v>
      </c>
      <c r="D15" s="5">
        <f ca="1">INDIRECT("'DevSumOut-"&amp;$B$2&amp;"BSR'!P56")</f>
        <v>1.818444851537818E-2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-4.4470387762455051E-2</v>
      </c>
      <c r="L15" s="5">
        <f ca="1">SCCRedFacsFull!L15*K$4/SCCRedFacsFull!K$4</f>
        <v>-4.7392036345754028E-2</v>
      </c>
      <c r="M15" s="5">
        <f ca="1">'BACM-R8'!P159*($B$2-$M$3+1)*$M$4/SCCRedFacsFull!$M$4</f>
        <v>0.12089318724803441</v>
      </c>
      <c r="N15" s="5">
        <f ca="1">'BACM-R8'!O159*($B$2-$M$3+1)*$M$4/SCCRedFacsFull!$M$4</f>
        <v>-3.762547835580881E-2</v>
      </c>
      <c r="O15" s="5">
        <f ca="1">SCCRedFacsFull!O15*O$4/SCCRedFacsFull!O$4</f>
        <v>0</v>
      </c>
      <c r="P15" s="5">
        <f ca="1">SCCRedFacsFull!P15*O$4/SCCRedFacsFull!O$4</f>
        <v>0</v>
      </c>
      <c r="Q15" s="5">
        <f ca="1">IFERROR(OFFSET('STF-22'!$E$173,MATCH($B15,'STF-22'!$A$174:$A$191,0),MATCH($B$2,'STF-22'!$F$172:$AD$172,0))*Q$4/SCCRedFacsFull!Q$4,0)</f>
        <v>0.24013677922407786</v>
      </c>
      <c r="R15" s="5">
        <f ca="1">IFERROR(OFFSET('STF-22'!$E$173,MATCH($B15,'STF-22'!$A$174:$A$191,0),MATCH($B$2,'STF-22'!$F$172:$AD$172,0)-1)*R$4/SCCRedFacsFull!R$4,0)</f>
        <v>0.25591346380271662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0.56881987861653438</v>
      </c>
      <c r="Z15" s="510">
        <f t="shared" ca="1" si="0"/>
        <v>0.22758327873595785</v>
      </c>
      <c r="AA15" s="617">
        <f t="shared" ca="1" si="5"/>
        <v>0.29362726123173721</v>
      </c>
      <c r="AB15" s="617">
        <f t="shared" ca="1" si="6"/>
        <v>0.47714429950157289</v>
      </c>
      <c r="AC15" s="617">
        <f t="shared" ca="1" si="7"/>
        <v>-2.1501343804542987</v>
      </c>
      <c r="AD15" s="617">
        <f t="shared" ca="1" si="8"/>
        <v>-3.4939683682382343</v>
      </c>
      <c r="AE15" s="510">
        <f t="shared" ca="1" si="1"/>
        <v>0.69542611675592947</v>
      </c>
      <c r="AF15" s="510">
        <f t="shared" ca="1" si="1"/>
        <v>0.77455501559305129</v>
      </c>
      <c r="AG15" s="510">
        <f t="shared" ca="1" si="2"/>
        <v>-1.4332164696916441</v>
      </c>
      <c r="AH15" s="510">
        <f t="shared" ca="1" si="2"/>
        <v>-2.4712163124588944</v>
      </c>
      <c r="AI15" s="530">
        <f t="shared" ca="1" si="3"/>
        <v>0.71034756625092954</v>
      </c>
      <c r="AJ15" s="530">
        <f t="shared" ca="1" si="4"/>
        <v>-1.6289535828991824</v>
      </c>
    </row>
    <row r="16" spans="1:36" x14ac:dyDescent="0.25">
      <c r="A16" s="812" t="s">
        <v>144</v>
      </c>
      <c r="B16" s="812">
        <v>2104008410</v>
      </c>
      <c r="C16" s="5">
        <f ca="1">INDIRECT("'DevSumOut-"&amp;$B$2&amp;"BSR'!R57")</f>
        <v>1.4750930889770423E-2</v>
      </c>
      <c r="D16" s="5">
        <f ca="1">INDIRECT("'DevSumOut-"&amp;$B$2&amp;"BSR'!P57")</f>
        <v>1.5946952313265327E-3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0.19526680020184864</v>
      </c>
      <c r="R16" s="5">
        <f ca="1">IFERROR(OFFSET('STF-22'!$E$173,MATCH($B16,'STF-22'!$A$174:$A$191,0),MATCH($B$2,'STF-22'!$F$172:$AD$172,0)-1)*R$4/SCCRedFacsFull!R$4,0)</f>
        <v>0.19526680020184864</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0.5026782561500065</v>
      </c>
      <c r="Z16" s="510">
        <f t="shared" ca="1" si="0"/>
        <v>0.23134714481780727</v>
      </c>
      <c r="AA16" s="617">
        <f t="shared" ca="1" si="5"/>
        <v>0.47369614984746655</v>
      </c>
      <c r="AB16" s="617">
        <f t="shared" ca="1" si="6"/>
        <v>0.47369614984746655</v>
      </c>
      <c r="AC16" s="617">
        <f t="shared" ca="1" si="7"/>
        <v>-3.2110596162013136</v>
      </c>
      <c r="AD16" s="617">
        <f t="shared" ca="1" si="8"/>
        <v>-3.2110596162013136</v>
      </c>
      <c r="AE16" s="510">
        <f t="shared" ca="1" si="1"/>
        <v>0.73825765144717637</v>
      </c>
      <c r="AF16" s="510">
        <f t="shared" ca="1" si="1"/>
        <v>0.73825765144717637</v>
      </c>
      <c r="AG16" s="510">
        <f t="shared" ca="1" si="2"/>
        <v>-2.2368429973355686</v>
      </c>
      <c r="AH16" s="510">
        <f t="shared" ca="1" si="2"/>
        <v>-2.2368429973355686</v>
      </c>
      <c r="AI16" s="530">
        <f t="shared" ca="1" si="3"/>
        <v>0.67768009265647555</v>
      </c>
      <c r="AJ16" s="530">
        <f t="shared" ca="1" si="4"/>
        <v>-1.6021655322104149</v>
      </c>
    </row>
    <row r="17" spans="1:40" x14ac:dyDescent="0.25">
      <c r="A17" s="812" t="s">
        <v>145</v>
      </c>
      <c r="B17" s="812">
        <v>2104008420</v>
      </c>
      <c r="C17" s="5">
        <f ca="1">INDIRECT("'DevSumOut-"&amp;$B$2&amp;"BSR'!R58")</f>
        <v>4.9755348329425367E-2</v>
      </c>
      <c r="D17" s="5">
        <f ca="1">INDIRECT("'DevSumOut-"&amp;$B$2&amp;"BSR'!P58")</f>
        <v>5.3789565761540913E-3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0.29538943971214238</v>
      </c>
      <c r="R17" s="5">
        <f ca="1">IFERROR(OFFSET('STF-22'!$E$173,MATCH($B17,'STF-22'!$A$174:$A$191,0),MATCH($B$2,'STF-22'!$F$172:$AD$172,0)-1)*R$4/SCCRedFacsFull!R$4,0)</f>
        <v>0.29538943971214232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0.56455362763040906</v>
      </c>
      <c r="Z17" s="510">
        <f t="shared" ca="1" si="0"/>
        <v>0.32698076941198106</v>
      </c>
      <c r="AA17" s="617">
        <f t="shared" ca="1" si="5"/>
        <v>0.47121963728754257</v>
      </c>
      <c r="AB17" s="617">
        <f t="shared" ca="1" si="6"/>
        <v>0.47121963728754257</v>
      </c>
      <c r="AC17" s="617">
        <f t="shared" ca="1" si="7"/>
        <v>-4.6611187511375451</v>
      </c>
      <c r="AD17" s="617">
        <f t="shared" ca="1" si="8"/>
        <v>-4.6611187511375451</v>
      </c>
      <c r="AE17" s="510">
        <f t="shared" ca="1" si="1"/>
        <v>0.76974450927658389</v>
      </c>
      <c r="AF17" s="510">
        <f t="shared" ca="1" si="1"/>
        <v>0.76974450927658389</v>
      </c>
      <c r="AG17" s="510">
        <f t="shared" ca="1" si="2"/>
        <v>-2.8100417861579974</v>
      </c>
      <c r="AH17" s="510">
        <f t="shared" ca="1" si="2"/>
        <v>-2.8100417861579974</v>
      </c>
      <c r="AI17" s="530">
        <f t="shared" ca="1" si="3"/>
        <v>0.71698113971042465</v>
      </c>
      <c r="AJ17" s="530">
        <f t="shared" ca="1" si="4"/>
        <v>-2.0033788432971456</v>
      </c>
    </row>
    <row r="18" spans="1:40" x14ac:dyDescent="0.25">
      <c r="A18" s="812" t="s">
        <v>146</v>
      </c>
      <c r="B18" s="812">
        <v>2104008610</v>
      </c>
      <c r="C18" s="5">
        <f ca="1">INDIRECT("'DevSumOut-"&amp;$B$2&amp;"BSR'!R59")</f>
        <v>0.24720357550106578</v>
      </c>
      <c r="D18" s="5">
        <f ca="1">INDIRECT("'DevSumOut-"&amp;$B$2&amp;"BSR'!P59")</f>
        <v>1.0018227622626413E-2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0.50000000000000011</v>
      </c>
      <c r="L18" s="5">
        <f ca="1">SCCRedFacsFull!L18*K$4/SCCRedFacsFull!K$4</f>
        <v>0.5</v>
      </c>
      <c r="M18" s="5">
        <f ca="1">'BACM-R8'!P162*($B$2-$M$3+1)*$M$4/SCCRedFacsFull!$M$4</f>
        <v>0.46393884727505608</v>
      </c>
      <c r="N18" s="5">
        <f ca="1">'BACM-R8'!O162*($B$2-$M$3+1)*$M$4/SCCRedFacsFull!$M$4</f>
        <v>0.18621917467164428</v>
      </c>
      <c r="O18" s="5">
        <f ca="1">SCCRedFacsFull!O18*O$4/SCCRedFacsFull!O$4</f>
        <v>0</v>
      </c>
      <c r="P18" s="5">
        <f ca="1">SCCRedFacsFull!P18*O$4/SCCRedFacsFull!O$4</f>
        <v>0</v>
      </c>
      <c r="Q18" s="5">
        <f ca="1">IFERROR(OFFSET('STF-22'!$E$173,MATCH($B18,'STF-22'!$A$174:$A$191,0),MATCH($B$2,'STF-22'!$F$172:$AD$172,0))*Q$4/SCCRedFacsFull!Q$4,0)</f>
        <v>0.18557423651649271</v>
      </c>
      <c r="R18" s="5">
        <f ca="1">IFERROR(OFFSET('STF-22'!$E$173,MATCH($B18,'STF-22'!$A$174:$A$191,0),MATCH($B$2,'STF-22'!$F$172:$AD$172,0)-1)*R$4/SCCRedFacsFull!R$4,0)</f>
        <v>0.18557423651649274</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0.86509707292893301</v>
      </c>
      <c r="Z18" s="510">
        <f t="shared" ca="1" si="0"/>
        <v>0.68347553274350936</v>
      </c>
      <c r="AA18" s="617">
        <f t="shared" ca="1" si="5"/>
        <v>0.44183095446472742</v>
      </c>
      <c r="AB18" s="617">
        <f t="shared" ca="1" si="6"/>
        <v>0.47848052672447428</v>
      </c>
      <c r="AC18" s="617">
        <f t="shared" ca="1" si="7"/>
        <v>-1.7483202626495844</v>
      </c>
      <c r="AD18" s="617">
        <f t="shared" ca="1" si="8"/>
        <v>-1.8933422199200569</v>
      </c>
      <c r="AE18" s="510">
        <f t="shared" ca="1" si="1"/>
        <v>0.92470136195682806</v>
      </c>
      <c r="AF18" s="510">
        <f t="shared" ca="1" si="1"/>
        <v>0.92964549653057049</v>
      </c>
      <c r="AG18" s="510">
        <f t="shared" ca="1" si="2"/>
        <v>0.13008939301462186</v>
      </c>
      <c r="AH18" s="510">
        <f t="shared" ca="1" si="2"/>
        <v>8.4186395249091994E-2</v>
      </c>
      <c r="AI18" s="530">
        <f t="shared" ca="1" si="3"/>
        <v>0.91234102552247198</v>
      </c>
      <c r="AJ18" s="530">
        <f t="shared" ca="1" si="4"/>
        <v>0.24484688742844643</v>
      </c>
    </row>
    <row r="19" spans="1:40" x14ac:dyDescent="0.25">
      <c r="A19" s="812" t="s">
        <v>147</v>
      </c>
      <c r="B19" s="812">
        <v>2104004000</v>
      </c>
      <c r="C19" s="5">
        <f ca="1">INDIRECT("'DevSumOut-"&amp;$B$2&amp;"BSR'!R60")+INDIRECT("'DevSumOut-"&amp;$B$2&amp;"BSR'!R62")+INDIRECT("'DevSumOut-"&amp;$B$2&amp;"BSR'!R63")</f>
        <v>5.5245383171285793E-2</v>
      </c>
      <c r="D19" s="5">
        <f ca="1">INDIRECT("'DevSumOut-"&amp;$B$2&amp;"BSR'!P60")+INDIRECT("'DevSumOut-"&amp;$B$2&amp;"BSR'!P62")+INDIRECT("'DevSumOut-"&amp;$B$2&amp;"BSR'!P63")</f>
        <v>3.4999086433432609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-1.8284357725341555E-2</v>
      </c>
      <c r="L19" s="5">
        <f ca="1">SCCRedFacsFull!L19*K$4/SCCRedFacsFull!K$4</f>
        <v>-1.8299405536201067E-2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-1.2833503376860294E-2</v>
      </c>
      <c r="R19" s="5">
        <f ca="1">IFERROR(OFFSET('STF-22'!$E$173,MATCH($B19,'STF-22'!$A$174:$A$191,0),MATCH($B$2,'STF-22'!$F$172:$AD$172,0)-1)*R$4/SCCRedFacsFull!R$4,0)</f>
        <v>-1.2844065198849427E-2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0.65867716403397569</v>
      </c>
      <c r="Z19" s="510">
        <f t="shared" ca="1" si="0"/>
        <v>0.54792855784945349</v>
      </c>
      <c r="AA19" s="617">
        <f t="shared" ca="1" si="5"/>
        <v>0</v>
      </c>
      <c r="AB19" s="617">
        <f t="shared" ca="1" si="6"/>
        <v>0</v>
      </c>
      <c r="AC19" s="617">
        <f t="shared" ca="1" si="7"/>
        <v>0</v>
      </c>
      <c r="AD19" s="617">
        <f t="shared" ca="1" si="8"/>
        <v>0</v>
      </c>
      <c r="AE19" s="510">
        <f t="shared" ca="1" si="1"/>
        <v>0.65867716403397569</v>
      </c>
      <c r="AF19" s="510">
        <f t="shared" ca="1" si="1"/>
        <v>0.65867716403397569</v>
      </c>
      <c r="AG19" s="510">
        <f t="shared" ca="1" si="2"/>
        <v>0.54792855784945349</v>
      </c>
      <c r="AH19" s="510">
        <f t="shared" ca="1" si="2"/>
        <v>0.54792855784945349</v>
      </c>
      <c r="AI19" s="530">
        <f t="shared" ca="1" si="3"/>
        <v>0.65867716403397558</v>
      </c>
      <c r="AJ19" s="530">
        <f t="shared" ca="1" si="4"/>
        <v>0.54792855784945338</v>
      </c>
    </row>
    <row r="20" spans="1:40" x14ac:dyDescent="0.25">
      <c r="A20" s="812" t="s">
        <v>148</v>
      </c>
      <c r="B20" s="812">
        <v>2103004001</v>
      </c>
      <c r="C20" s="5">
        <f ca="1">INDIRECT("'DevSumOut-"&amp;$B$2&amp;"BSR'!R61")</f>
        <v>1.8035766491007917E-2</v>
      </c>
      <c r="D20" s="5">
        <f ca="1">INDIRECT("'DevSumOut-"&amp;$B$2&amp;"BSR'!P61")</f>
        <v>0.50257144517492502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5.8529310125197171E-6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2" t="s">
        <v>150</v>
      </c>
      <c r="B22" s="812">
        <v>2103006000</v>
      </c>
      <c r="C22" s="5">
        <f ca="1">INDIRECT("'DevSumOut-"&amp;$B$2&amp;"BSR'!R65")</f>
        <v>1.0079518569867288E-2</v>
      </c>
      <c r="D22" s="5">
        <f ca="1">INDIRECT("'DevSumOut-"&amp;$B$2&amp;"BSR'!P65")</f>
        <v>7.9575146604215477E-4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9.5888007629545274E-2</v>
      </c>
      <c r="D23" s="5">
        <f ca="1">INDIRECT("'DevSumOut-"&amp;$B$2&amp;"BSR'!P66")</f>
        <v>0.11160932051999635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0.5</v>
      </c>
      <c r="L23" s="5">
        <f ca="1">SCCRedFacsFull!L23*K$4/SCCRedFacsFull!K$4</f>
        <v>0.5</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0.91926663961531752</v>
      </c>
      <c r="Z23" s="510">
        <f t="shared" ca="1" si="0"/>
        <v>0.8752197571581406</v>
      </c>
      <c r="AA23" s="617">
        <f t="shared" ca="1" si="5"/>
        <v>0.49828210592064914</v>
      </c>
      <c r="AB23" s="617">
        <f t="shared" ca="1" si="6"/>
        <v>0.49828210592064914</v>
      </c>
      <c r="AC23" s="617">
        <f t="shared" ca="1" si="7"/>
        <v>0.41031188577839561</v>
      </c>
      <c r="AD23" s="617">
        <f t="shared" ca="1" si="8"/>
        <v>0.41031188577839561</v>
      </c>
      <c r="AE23" s="510">
        <f t="shared" ca="1" si="1"/>
        <v>0.95949462844584776</v>
      </c>
      <c r="AF23" s="510">
        <f t="shared" ca="1" si="1"/>
        <v>0.95949462844584776</v>
      </c>
      <c r="AG23" s="510">
        <f t="shared" ca="1" si="2"/>
        <v>0.92641857390647009</v>
      </c>
      <c r="AH23" s="510">
        <f t="shared" ca="1" si="2"/>
        <v>0.92641857390647009</v>
      </c>
      <c r="AI23" s="530">
        <f t="shared" ca="1" si="3"/>
        <v>0.94915028846085425</v>
      </c>
      <c r="AJ23" s="530">
        <f t="shared" ca="1" si="4"/>
        <v>0.91325316388547106</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2.7482133759921927</v>
      </c>
      <c r="D27" s="450">
        <f ca="1">INDIRECT("'DevSumOut-"&amp;$B$2&amp;"BSR'!P70")</f>
        <v>4.2228981803869097</v>
      </c>
      <c r="E27" s="450">
        <f ca="1">$C27-E28</f>
        <v>1.7859586701030317</v>
      </c>
      <c r="F27" s="450">
        <f ca="1">$D27-F28</f>
        <v>4.2163891226813561</v>
      </c>
      <c r="G27" s="450">
        <f ca="1">$C27-G28</f>
        <v>2.7392948179149141</v>
      </c>
      <c r="H27" s="450">
        <f ca="1">$D27-H28</f>
        <v>2.2667494643656907</v>
      </c>
      <c r="I27" s="450">
        <f ca="1">$C27-I28</f>
        <v>2.6122111888139874</v>
      </c>
      <c r="J27" s="450">
        <f ca="1">$D27-J28</f>
        <v>4.2180843796224954</v>
      </c>
      <c r="K27" s="450">
        <f ca="1">$C27-K28</f>
        <v>2.0333574946563577</v>
      </c>
      <c r="L27" s="450">
        <f ca="1">$D27-L28</f>
        <v>4.2168319879374376</v>
      </c>
      <c r="M27" s="450">
        <f ca="1">$C27-M28</f>
        <v>1.9969011549875701</v>
      </c>
      <c r="N27" s="450">
        <f ca="1">$D27-N28</f>
        <v>4.2117032332915141</v>
      </c>
      <c r="O27" s="450">
        <f ca="1">$C27-O28</f>
        <v>2.6765517969662094</v>
      </c>
      <c r="P27" s="450">
        <f ca="1">$D27-P28</f>
        <v>4.1553229097598168</v>
      </c>
      <c r="Q27" s="450">
        <f ca="1">$C27-Q28</f>
        <v>2.1810590821372298</v>
      </c>
      <c r="R27" s="450">
        <f ca="1">$D27-R28</f>
        <v>4.247513117299917</v>
      </c>
      <c r="S27" s="450">
        <f ca="1">$C27-S28</f>
        <v>2.7476404864371426</v>
      </c>
      <c r="T27" s="450">
        <f ca="1">$D27-T28</f>
        <v>4.2228981803869097</v>
      </c>
      <c r="U27" s="786">
        <f ca="1">$C27-U28</f>
        <v>2.7482133759921927</v>
      </c>
      <c r="V27" s="786">
        <f ca="1">$D27-V28</f>
        <v>4.2228981803869097</v>
      </c>
      <c r="W27" s="450">
        <f ca="1">$C27-W28</f>
        <v>2.7482133759921927</v>
      </c>
      <c r="X27" s="450">
        <f ca="1">$D27-X28</f>
        <v>4.2228981803869097</v>
      </c>
      <c r="Y27" s="450">
        <f ca="1">$C27-Y28</f>
        <v>0.71583376760860817</v>
      </c>
      <c r="Z27" s="450">
        <f ca="1">$D27-Z28</f>
        <v>2.1808609297116095</v>
      </c>
      <c r="AA27" s="450">
        <f ca="1">$C27-AA28</f>
        <v>2.0117586290434608</v>
      </c>
      <c r="AB27" s="450">
        <f ca="1">$C27-AB28</f>
        <v>1.4734464771982552</v>
      </c>
      <c r="AC27" s="450">
        <f ca="1">$D27-AC28</f>
        <v>4.3666014624488572</v>
      </c>
      <c r="AD27" s="450">
        <f ca="1">$D27-AD28</f>
        <v>4.4327408388775549</v>
      </c>
      <c r="AE27" s="450">
        <f ca="1">$C27-AE28</f>
        <v>0.52610673336355918</v>
      </c>
      <c r="AF27" s="450">
        <f ca="1">$C27-AF28</f>
        <v>0.39358319700481514</v>
      </c>
      <c r="AG27" s="450">
        <f ca="1">$D27-AG28</f>
        <v>2.2876627269920577</v>
      </c>
      <c r="AH27" s="450">
        <f ca="1">$D27-AH28</f>
        <v>2.3369390494675213</v>
      </c>
      <c r="AI27" s="787">
        <f ca="1">$C27-AI28</f>
        <v>0.49537956321132537</v>
      </c>
      <c r="AJ27" s="787">
        <f ca="1">$D27-AJ28</f>
        <v>2.2897652011766496</v>
      </c>
    </row>
    <row r="28" spans="1:40" x14ac:dyDescent="0.25">
      <c r="B28" s="244" t="s">
        <v>156</v>
      </c>
      <c r="E28" s="450">
        <f ca="1">SUMPRODUCT($C9:$C26,E9:E26)</f>
        <v>0.96225470588916118</v>
      </c>
      <c r="F28" s="450">
        <f ca="1">SUMPRODUCT($D9:$D26,F9:F26)</f>
        <v>6.5090577055531935E-3</v>
      </c>
      <c r="G28" s="450">
        <f ca="1">SUMPRODUCT($C9:$C26,G9:G26)</f>
        <v>8.9185580772786679E-3</v>
      </c>
      <c r="H28" s="450">
        <f ca="1">SUMPRODUCT($D9:$D26,H9:H26)</f>
        <v>1.9561487160212192</v>
      </c>
      <c r="I28" s="450">
        <f ca="1">SUMPRODUCT($C9:$C26,I9:I26)</f>
        <v>0.1360021871782055</v>
      </c>
      <c r="J28" s="450">
        <f ca="1">SUMPRODUCT($D9:$D26,J9:J26)</f>
        <v>4.8138007644140486E-3</v>
      </c>
      <c r="K28" s="450">
        <f ca="1">SUMPRODUCT($C9:$C26,K9:K26)</f>
        <v>0.71485588133583489</v>
      </c>
      <c r="L28" s="450">
        <f ca="1">SUMPRODUCT($D9:$D26,L9:L26)</f>
        <v>6.0661924494717218E-3</v>
      </c>
      <c r="M28" s="450">
        <f ca="1">SUMPRODUCT($C9:$C26,M9:M26)</f>
        <v>0.75131222100462258</v>
      </c>
      <c r="N28" s="450">
        <f ca="1">SUMPRODUCT($D9:$D26,N9:N26)</f>
        <v>1.1194947095395672E-2</v>
      </c>
      <c r="O28" s="450">
        <f ca="1">SUMPRODUCT($C9:$C26,O9:O26)</f>
        <v>7.1661579025983427E-2</v>
      </c>
      <c r="P28" s="450">
        <f ca="1">SUMPRODUCT($D9:$D26,P9:P26)</f>
        <v>6.7575270627092759E-2</v>
      </c>
      <c r="Q28" s="450">
        <f ca="1">SUMPRODUCT($C9:$C26,Q9:Q26)</f>
        <v>0.56715429385496274</v>
      </c>
      <c r="R28" s="450">
        <f ca="1">SUMPRODUCT($D9:$D26,R9:R26)</f>
        <v>-2.4614936913007354E-2</v>
      </c>
      <c r="S28" s="450">
        <f ca="1">SUMPRODUCT($C9:$C26,S9:S26)</f>
        <v>5.728895550498619E-4</v>
      </c>
      <c r="T28" s="450">
        <f ca="1">SUMPRODUCT($D9:$D26,T9:T26)</f>
        <v>0</v>
      </c>
      <c r="U28" s="786">
        <f ca="1">SUMPRODUCT($C9:$C26,U9:U26)</f>
        <v>0</v>
      </c>
      <c r="V28" s="786">
        <f ca="1">SUMPRODUCT($D9:$D26,V9:V26)</f>
        <v>0</v>
      </c>
      <c r="W28" s="450">
        <f ca="1">SUMPRODUCT($C9:$C26,W9:W26)</f>
        <v>0</v>
      </c>
      <c r="X28" s="450">
        <f ca="1">SUMPRODUCT($D9:$D26,X9:X26)</f>
        <v>0</v>
      </c>
      <c r="Y28" s="450">
        <f ca="1">SUMPRODUCT($C9:$C26,Y9:Y26)</f>
        <v>2.0323796083835846</v>
      </c>
      <c r="Z28" s="450">
        <f ca="1">SUMPRODUCT($D9:$D26,Z9:Z26)</f>
        <v>2.0420372506753002</v>
      </c>
      <c r="AA28" s="450">
        <f ca="1">SUMPRODUCT($C9:$C26,AA9:AA26)</f>
        <v>0.73645474694873192</v>
      </c>
      <c r="AB28" s="450">
        <f ca="1">SUMPRODUCT($C9:$C26,AB9:AB26)</f>
        <v>1.2747668987939376</v>
      </c>
      <c r="AC28" s="450">
        <f ca="1">SUMPRODUCT($D9:$D26,AC9:AC26)</f>
        <v>-0.1437032820619476</v>
      </c>
      <c r="AD28" s="450">
        <f ca="1">SUMPRODUCT($D9:$D26,AD9:AD26)</f>
        <v>-0.20984265849064507</v>
      </c>
      <c r="AE28" s="450">
        <f ca="1">SUMPRODUCT($C9:$C26,AE9:AE26)</f>
        <v>2.2221066426286336</v>
      </c>
      <c r="AF28" s="450">
        <f ca="1">SUMPRODUCT($C9:$C26,AF9:AF26)</f>
        <v>2.3546301789873776</v>
      </c>
      <c r="AG28" s="450">
        <f ca="1">SUMPRODUCT($D9:$D26,AG9:AG26)</f>
        <v>1.9352354533948517</v>
      </c>
      <c r="AH28" s="450">
        <f ca="1">SUMPRODUCT($D9:$D26,AH9:AH26)</f>
        <v>1.8859591309193884</v>
      </c>
      <c r="AI28" s="450">
        <f ca="1">SUMPRODUCT($C9:$C26,AI9:AI26)</f>
        <v>2.2528338127808674</v>
      </c>
      <c r="AJ28" s="450">
        <f ca="1">SUMPRODUCT($D9:$D26,AJ9:AJ26)</f>
        <v>1.9331329792102598</v>
      </c>
    </row>
    <row r="29" spans="1:40" x14ac:dyDescent="0.25">
      <c r="E29" s="659">
        <f ca="1">E28/$C27</f>
        <v>0.35013828048986789</v>
      </c>
      <c r="F29" s="693">
        <f ca="1">F28/$D27</f>
        <v>1.5413721637391744E-3</v>
      </c>
      <c r="G29" s="659">
        <f ca="1">G28/$C27</f>
        <v>3.2452203876122917E-3</v>
      </c>
      <c r="H29" s="693">
        <f ca="1">H28/$D27</f>
        <v>0.4632242200644282</v>
      </c>
      <c r="I29" s="659">
        <f ca="1">I28/$C27</f>
        <v>4.9487491897933278E-2</v>
      </c>
      <c r="J29" s="693">
        <f ca="1">J28/$D27</f>
        <v>1.1399282101499778E-3</v>
      </c>
      <c r="K29" s="659">
        <f ca="1">K28/$C27</f>
        <v>0.26011658613580146</v>
      </c>
      <c r="L29" s="693">
        <f ca="1">L28/$D27</f>
        <v>1.436499813717016E-3</v>
      </c>
      <c r="M29" s="659">
        <f ca="1">M28/$C27</f>
        <v>0.27338205525376097</v>
      </c>
      <c r="N29" s="693">
        <f ca="1">N28/$D27</f>
        <v>2.6510104239288032E-3</v>
      </c>
      <c r="O29" s="659">
        <f ca="1">O28/$C27</f>
        <v>2.6075696906216864E-2</v>
      </c>
      <c r="P29" s="693">
        <f ca="1">P28/$D27</f>
        <v>1.6002107495971259E-2</v>
      </c>
      <c r="Q29" s="659">
        <f ca="1">Q28/$C27</f>
        <v>0.20637200110060666</v>
      </c>
      <c r="R29" s="693">
        <f ca="1">R28/$D27</f>
        <v>-5.8289202963335692E-3</v>
      </c>
      <c r="S29" s="659">
        <f ca="1">S28/$C27</f>
        <v>2.0845890644973319E-4</v>
      </c>
      <c r="T29" s="693">
        <f ca="1">T28/$D27</f>
        <v>0</v>
      </c>
      <c r="U29" s="700">
        <f ca="1">U28/$C27</f>
        <v>0</v>
      </c>
      <c r="V29" s="700">
        <f ca="1">V28/$D27</f>
        <v>0</v>
      </c>
      <c r="W29" s="659">
        <f ca="1">W28/$C27</f>
        <v>0</v>
      </c>
      <c r="X29" s="693">
        <f ca="1">X28/$D27</f>
        <v>0</v>
      </c>
      <c r="Y29" s="659">
        <f ca="1">Y28/$C27</f>
        <v>0.73952758768224491</v>
      </c>
      <c r="Z29" s="693">
        <f t="shared" ref="Z29" ca="1" si="9">Z28/$D27</f>
        <v>0.48356298528803388</v>
      </c>
      <c r="AA29" s="838">
        <f ca="1">(AA28*$AJ$4+AB28*$AJ$5)/SUM($AJ$4:$AJ$5)</f>
        <v>1.1712453311313982</v>
      </c>
      <c r="AB29" s="838"/>
      <c r="AC29" s="838">
        <f ca="1">(AC28*$AJ$4+AD28*$AJ$5)/SUM($AJ$4:$AJ$5)</f>
        <v>-0.1971235476389725</v>
      </c>
      <c r="AD29" s="838"/>
      <c r="AE29" s="659">
        <f ca="1">AE28/$C27</f>
        <v>0.80856408823291681</v>
      </c>
      <c r="AF29" s="659">
        <f ca="1">AF28/$C27</f>
        <v>0.85678579383861742</v>
      </c>
      <c r="AG29" s="693">
        <f t="shared" ref="AG29:AH29" ca="1" si="10">AG28/$D27</f>
        <v>0.45827187176403622</v>
      </c>
      <c r="AH29" s="693">
        <f t="shared" ca="1" si="10"/>
        <v>0.44660303193637346</v>
      </c>
      <c r="AI29" s="659">
        <f ca="1">AI28/$C27</f>
        <v>0.81974486859759299</v>
      </c>
      <c r="AJ29" s="693">
        <f t="shared" ref="AJ29" ca="1" si="11">AJ28/$D27</f>
        <v>0.45777399705932353</v>
      </c>
      <c r="AK29" s="5"/>
      <c r="AL29" s="5"/>
      <c r="AN29" s="5"/>
    </row>
    <row r="30" spans="1:40" x14ac:dyDescent="0.25">
      <c r="B30" s="244" t="s">
        <v>157</v>
      </c>
      <c r="E30" s="450">
        <f ca="1">E28*($Y28/$Y30)</f>
        <v>0.60872386803865419</v>
      </c>
      <c r="F30" s="450">
        <f ca="1">F28*($Z28/$Z30)</f>
        <v>6.5551037501868394E-3</v>
      </c>
      <c r="G30" s="450">
        <f ca="1">G28*($Y28/$Y30)</f>
        <v>5.6418941231489222E-3</v>
      </c>
      <c r="H30" s="450">
        <f ca="1">H28*($Z28/$Z30)</f>
        <v>1.9699868036773045</v>
      </c>
      <c r="I30" s="450">
        <f ca="1">I28*($Y28/$Y30)</f>
        <v>8.6035201422408378E-2</v>
      </c>
      <c r="J30" s="450">
        <f ca="1">J28*($Z28/$Z30)</f>
        <v>4.8478543087030453E-3</v>
      </c>
      <c r="K30" s="450">
        <f ca="1">K28*($Y28/$Y30)</f>
        <v>0.45221897540613742</v>
      </c>
      <c r="L30" s="450">
        <f ca="1">L28*($Z28/$Z30)</f>
        <v>6.1091055992578049E-3</v>
      </c>
      <c r="M30" s="450">
        <f ca="1">M28*($Y28/$Y30)</f>
        <v>0.47528131426704157</v>
      </c>
      <c r="N30" s="450">
        <f ca="1">N28*($Z28/$Z30)</f>
        <v>1.1274141820184502E-2</v>
      </c>
      <c r="O30" s="450">
        <f ca="1">O28*($Y28/$Y30)</f>
        <v>4.5333229661003088E-2</v>
      </c>
      <c r="P30" s="450">
        <f ca="1">P28*($Z28/$Z30)</f>
        <v>6.805330816619326E-2</v>
      </c>
      <c r="Q30" s="450">
        <f ca="1">Q28*($Y28/$Y30)</f>
        <v>0.35878271461515876</v>
      </c>
      <c r="R30" s="450">
        <f ca="1">R28*($Z28/$Z30)</f>
        <v>-2.478906664652988E-2</v>
      </c>
      <c r="S30" s="450">
        <f ca="1">S28*($Y28/$Y30)</f>
        <v>3.6241085003232461E-4</v>
      </c>
      <c r="T30" s="450">
        <f ca="1">T28*($Z28/$Z30)</f>
        <v>0</v>
      </c>
      <c r="U30" s="786">
        <f ca="1">U28*($Y28/$Y30)</f>
        <v>0</v>
      </c>
      <c r="V30" s="786">
        <f ca="1">V28*($Z28/$Z30)</f>
        <v>0</v>
      </c>
      <c r="W30" s="450">
        <f ca="1">W28*($Y28/$Y30)</f>
        <v>0</v>
      </c>
      <c r="X30" s="450">
        <f ca="1">X28*($Z28/$Z30)</f>
        <v>0</v>
      </c>
      <c r="Y30" s="450">
        <f ca="1">SUM($E28,$G28,$I28,$K28,$M28,$O28,$Q28,$S28,$W28)</f>
        <v>3.212732315921099</v>
      </c>
      <c r="Z30" s="450">
        <f ca="1">SUM($F28,$H28,$J28,$L28,$N28,$P28,$R28,$T28,$X28)</f>
        <v>2.0276930477501391</v>
      </c>
      <c r="AA30" s="450">
        <f ca="1">AE28-$Y28</f>
        <v>0.189727034245049</v>
      </c>
      <c r="AB30" s="450">
        <f ca="1">AF28-$Y28</f>
        <v>0.32225057060379303</v>
      </c>
      <c r="AC30" s="450">
        <f ca="1">AG28-$Z28</f>
        <v>-0.10680179728044847</v>
      </c>
      <c r="AD30" s="450">
        <f ca="1">AH28-$Z28</f>
        <v>-0.15607811975591179</v>
      </c>
      <c r="AE30" s="450">
        <f ca="1">SUM($E28,$G28,$I28,$K28,$M28,$O28,$Q28,$S28,$W28,AA28)</f>
        <v>3.9491870628698309</v>
      </c>
      <c r="AF30" s="450">
        <f ca="1">SUM($E28,$G28,$I28,$K28,$M28,$O28,$Q28,$S28,$W28,AB28)</f>
        <v>4.4874992147150365</v>
      </c>
      <c r="AG30" s="450">
        <f ca="1">SUM($F28,$H28,$J28,$L28,$N28,$P28,$R28,$T28,$X28,AC28)</f>
        <v>1.8839897656881917</v>
      </c>
      <c r="AH30" s="450">
        <f ca="1">SUM($F28,$H28,$J28,$L28,$N28,$P28,$R28,$T28,$X28,AD28)</f>
        <v>1.8178503892594942</v>
      </c>
    </row>
    <row r="31" spans="1:40" x14ac:dyDescent="0.25">
      <c r="Y31" s="659">
        <f ca="1">Y30/$C27</f>
        <v>1.1690257910782491</v>
      </c>
      <c r="Z31" s="659">
        <f ca="1">Z30/$C27</f>
        <v>0.73782227590609739</v>
      </c>
      <c r="AA31" s="839" t="s">
        <v>158</v>
      </c>
      <c r="AB31" s="839"/>
      <c r="AC31" s="839"/>
      <c r="AD31" s="839"/>
      <c r="AE31" s="659">
        <f ca="1">AE30/$C27</f>
        <v>1.4370016161660113</v>
      </c>
      <c r="AF31" s="659">
        <f ca="1">AF30/$C27</f>
        <v>1.6328787473042941</v>
      </c>
      <c r="AG31" s="693">
        <f ca="1">AG30/$D27</f>
        <v>0.44613667799008527</v>
      </c>
      <c r="AH31" s="693">
        <f ca="1">AH30/$D27</f>
        <v>0.43047459626245105</v>
      </c>
    </row>
    <row r="32" spans="1:40" x14ac:dyDescent="0.25">
      <c r="Y32" s="698">
        <f ca="1">SUM($E30,$G30,$I30,$K30,$M30,$O30,$Q30,$S30,$W30)</f>
        <v>2.032379608383585</v>
      </c>
      <c r="Z32" s="698">
        <f ca="1">SUM($F30,$H30,$J30,$L30,$N30,$P30,$R30,$T30,$X30)</f>
        <v>2.0420372506752997</v>
      </c>
      <c r="AA32" s="838">
        <f ca="1">(AA30*$AJ$4+AB30*$AJ$5)/SUM($AJ$4:$AJ$5)</f>
        <v>0.29676527515018841</v>
      </c>
      <c r="AB32" s="838"/>
      <c r="AC32" s="838">
        <f ca="1">(AC30*$AJ$4+AD30*$AJ$5)/SUM($AJ$4:$AJ$5)</f>
        <v>-0.14660190389524577</v>
      </c>
      <c r="AD32" s="838"/>
    </row>
    <row r="33" spans="2:34" x14ac:dyDescent="0.25">
      <c r="C33" s="450">
        <f ca="1">SUM(C9:C18)</f>
        <v>2.566072617873401</v>
      </c>
      <c r="D33" s="450">
        <f ca="1">SUM(D9:D18)</f>
        <v>9.0826203502706912E-2</v>
      </c>
      <c r="Z33" s="616"/>
      <c r="AA33" s="616"/>
    </row>
    <row r="34" spans="2:34" x14ac:dyDescent="0.25">
      <c r="B34" s="244" t="s">
        <v>159</v>
      </c>
      <c r="E34" s="450">
        <f ca="1">SUMPRODUCT($C9:$C18,E9:E18)</f>
        <v>0.908731294417088</v>
      </c>
      <c r="F34" s="450">
        <f ca="1">SUMPRODUCT($D9:$D18,F9:F18)</f>
        <v>1.5967766693162193E-4</v>
      </c>
      <c r="G34" s="450">
        <f ca="1">SUMPRODUCT($C9:$C18,G9:G18)</f>
        <v>-2.6682715653880269E-2</v>
      </c>
      <c r="H34" s="450">
        <f ca="1">SUMPRODUCT($D9:$D18,H9:H18)</f>
        <v>-9.4443537766777138E-4</v>
      </c>
      <c r="I34" s="450">
        <f ca="1">SUMPRODUCT($C9:$C18,I9:I18)</f>
        <v>0.1360021871782055</v>
      </c>
      <c r="J34" s="450">
        <f ca="1">SUMPRODUCT($D9:$D18,J9:J18)</f>
        <v>4.8138007644140486E-3</v>
      </c>
      <c r="K34" s="450">
        <f ca="1">SUMPRODUCT($C9:$C18,K9:K18)</f>
        <v>0.66792200386963962</v>
      </c>
      <c r="L34" s="450">
        <f ca="1">SUMPRODUCT($D9:$D18,L9:L18)</f>
        <v>1.4307779793667189E-2</v>
      </c>
      <c r="M34" s="450">
        <f ca="1">SUMPRODUCT($C9:$C18,M9:M18)</f>
        <v>0.75131222100462258</v>
      </c>
      <c r="N34" s="450">
        <f ca="1">SUMPRODUCT($D9:$D18,N9:N18)</f>
        <v>1.1194947095395672E-2</v>
      </c>
      <c r="O34" s="450">
        <f ca="1">SUMPRODUCT($C9:$C18,O9:O18)</f>
        <v>0</v>
      </c>
      <c r="P34" s="450">
        <f ca="1">SUMPRODUCT($D9:$D18,P9:P18)</f>
        <v>0</v>
      </c>
      <c r="Q34" s="450">
        <f ca="1">SUMPRODUCT($C9:$C18,Q9:Q18)</f>
        <v>0.56786328566644739</v>
      </c>
      <c r="R34" s="450">
        <f ca="1">SUMPRODUCT($D9:$D18,R9:R18)</f>
        <v>2.0338117892110132E-2</v>
      </c>
      <c r="S34" s="450"/>
      <c r="T34" s="450"/>
      <c r="U34" s="450">
        <f ca="1">SUMPRODUCT($C9:$C18,U9:U18)</f>
        <v>0</v>
      </c>
      <c r="V34" s="450">
        <f ca="1">SUMPRODUCT($D9:$D18,V9:V18)</f>
        <v>0</v>
      </c>
      <c r="W34" s="450">
        <f ca="1">SUMPRODUCT($C9:$C18,W9:W18)</f>
        <v>0</v>
      </c>
      <c r="X34" s="450">
        <f ca="1">SUMPRODUCT($D9:$D18,X9:X18)</f>
        <v>0</v>
      </c>
      <c r="Y34" s="450">
        <f ca="1">SUMPRODUCT($C9:$C18,Y9:Y18)</f>
        <v>1.8993077682440214</v>
      </c>
      <c r="Z34" s="450">
        <f ca="1">SUMPRODUCT($D9:$D18,Z9:Z18)</f>
        <v>3.974721722776367E-2</v>
      </c>
      <c r="AE34" s="450">
        <f ca="1">SUMPRODUCT($C9:$C18,AE9:AE18)</f>
        <v>2.0851774207891669</v>
      </c>
      <c r="AF34" s="450">
        <f ca="1">SUMPRODUCT($C9:$C18,AF9:AF18)</f>
        <v>2.2177009571479109</v>
      </c>
      <c r="AG34" s="450">
        <f ca="1">SUMPRODUCT($D9:$D18,AG9:AG18)</f>
        <v>-7.2768845201393553E-2</v>
      </c>
      <c r="AH34" s="450">
        <f ca="1">SUMPRODUCT($D9:$D18,AH9:AH18)</f>
        <v>-0.12204516767685686</v>
      </c>
    </row>
    <row r="35" spans="2:34" x14ac:dyDescent="0.25">
      <c r="C35" s="450">
        <f ca="1">SUM(C19:C20)</f>
        <v>7.328114966229371E-2</v>
      </c>
      <c r="D35" s="450">
        <f ca="1">SUM(D19:D20)</f>
        <v>4.0024800885181859</v>
      </c>
      <c r="AD35" s="244" t="s">
        <v>160</v>
      </c>
      <c r="AE35" s="604">
        <f ca="1">AE34/$C33</f>
        <v>0.81259486043587903</v>
      </c>
      <c r="AF35" s="604">
        <f ca="1">AF34/$C33</f>
        <v>0.86423936006370761</v>
      </c>
      <c r="AG35" s="604">
        <f t="shared" ref="AG35:AH37" ca="1" si="12">AG34/$D33</f>
        <v>-0.80118778937209245</v>
      </c>
      <c r="AH35" s="604">
        <f t="shared" ca="1" si="12"/>
        <v>-1.34372199839025</v>
      </c>
    </row>
    <row r="36" spans="2:34" x14ac:dyDescent="0.25">
      <c r="B36" s="244" t="s">
        <v>161</v>
      </c>
      <c r="E36" s="450">
        <f ca="1">SUMPRODUCT($C19:$C20,E19:E20)</f>
        <v>1.9564219738027449E-2</v>
      </c>
      <c r="F36" s="450">
        <f ca="1">SUMPRODUCT($D19:$D20,F19:F20)</f>
        <v>6.1530398177021047E-3</v>
      </c>
      <c r="G36" s="450">
        <f ca="1">SUMPRODUCT($C19:$C20,G19:G20)</f>
        <v>3.5603953021035556E-2</v>
      </c>
      <c r="H36" s="450">
        <f ca="1">SUMPRODUCT($D19:$D20,H19:H20)</f>
        <v>1.9570932297703394</v>
      </c>
      <c r="I36" s="450">
        <f ca="1">SUMPRODUCT($C19:$C20,I19:I20)</f>
        <v>0</v>
      </c>
      <c r="J36" s="450">
        <f ca="1">SUMPRODUCT($D19:$D20,J19:J20)</f>
        <v>0</v>
      </c>
      <c r="K36" s="450">
        <f ca="1">SUMPRODUCT($C19:$C20,K19:K20)</f>
        <v>-1.0101263485773537E-3</v>
      </c>
      <c r="L36" s="450">
        <f ca="1">SUMPRODUCT($D19:$D20,L19:L20)</f>
        <v>-6.404624760419364E-2</v>
      </c>
      <c r="M36" s="450">
        <f ca="1">SUMPRODUCT($C19:$C20,M19:M20)</f>
        <v>0</v>
      </c>
      <c r="N36" s="450">
        <f ca="1">SUMPRODUCT($D19:$D20,N19:N20)</f>
        <v>0</v>
      </c>
      <c r="O36" s="450">
        <f ca="1">SUMPRODUCT($C19:$C20,O19:O20)</f>
        <v>-2.5442669617554238E-4</v>
      </c>
      <c r="P36" s="450">
        <f ca="1">SUMPRODUCT($D19:$D20,P19:P20)</f>
        <v>-1.6131719762904527E-2</v>
      </c>
      <c r="Q36" s="450">
        <f ca="1">SUMPRODUCT($C19:$C20,Q19:Q20)</f>
        <v>-7.0899181148463715E-4</v>
      </c>
      <c r="R36" s="450">
        <f ca="1">SUMPRODUCT($D19:$D20,R19:R20)</f>
        <v>-4.4953054805117486E-2</v>
      </c>
      <c r="S36" s="450"/>
      <c r="T36" s="450"/>
      <c r="U36" s="450">
        <f ca="1">SUMPRODUCT($C19:$C20,U19:U20)</f>
        <v>0</v>
      </c>
      <c r="V36" s="450">
        <f ca="1">SUMPRODUCT($D19:$D20,V19:V20)</f>
        <v>0</v>
      </c>
      <c r="W36" s="450">
        <f ca="1">SUMPRODUCT($C19:$C20,W19:W20)</f>
        <v>0</v>
      </c>
      <c r="X36" s="450">
        <f ca="1">SUMPRODUCT($D19:$D20,X19:X20)</f>
        <v>0</v>
      </c>
      <c r="Y36" s="450">
        <f ca="1">SUMPRODUCT($C19:$C20,Y19:Y20)</f>
        <v>4.492580015971747E-2</v>
      </c>
      <c r="Z36" s="450">
        <f ca="1">SUMPRODUCT($D19:$D20,Z19:Z20)</f>
        <v>1.9046073047727687</v>
      </c>
      <c r="AE36" s="450">
        <f ca="1">SUMPRODUCT($C19:$C20,AE19:AE20)</f>
        <v>4.492580015971747E-2</v>
      </c>
      <c r="AF36" s="450">
        <f ca="1">SUMPRODUCT($C19:$C20,AF19:AF20)</f>
        <v>4.492580015971747E-2</v>
      </c>
      <c r="AG36" s="450">
        <f ca="1">SUMPRODUCT($D19:$D20,AG19:AG20)</f>
        <v>1.9046073047727687</v>
      </c>
      <c r="AH36" s="450">
        <f ca="1">SUMPRODUCT($D19:$D20,AH19:AH20)</f>
        <v>1.9046073047727687</v>
      </c>
    </row>
    <row r="37" spans="2:34" x14ac:dyDescent="0.25">
      <c r="AD37" s="244" t="s">
        <v>162</v>
      </c>
      <c r="AE37" s="694">
        <f ca="1">AE36/$C35</f>
        <v>0.6130607989469592</v>
      </c>
      <c r="AF37" s="694">
        <f ca="1">AF36/$C35</f>
        <v>0.6130607989469592</v>
      </c>
      <c r="AG37" s="694">
        <f t="shared" ca="1" si="12"/>
        <v>0.47585678445633445</v>
      </c>
      <c r="AH37" s="694">
        <f t="shared" ca="1" si="12"/>
        <v>0.47585678445633445</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SCCRedFacs2026</v>
      </c>
      <c r="AB39" s="858"/>
      <c r="AC39" s="858"/>
      <c r="AD39" s="858"/>
    </row>
    <row r="40" spans="2:34" x14ac:dyDescent="0.25">
      <c r="B40" s="812"/>
      <c r="V40" s="1" t="s">
        <v>165</v>
      </c>
      <c r="W40" s="45">
        <f>BuildSizeG3C!CK462</f>
        <v>38476.182928384085</v>
      </c>
      <c r="X40" t="s">
        <v>166</v>
      </c>
      <c r="AC40" s="810" t="s">
        <v>633</v>
      </c>
      <c r="AD40" s="810" t="s">
        <v>132</v>
      </c>
    </row>
    <row r="41" spans="2:34" x14ac:dyDescent="0.25">
      <c r="B41" s="812"/>
      <c r="V41" s="1" t="s">
        <v>167</v>
      </c>
      <c r="W41" s="251">
        <f>W39/W40</f>
        <v>0.17197651888484508</v>
      </c>
      <c r="AB41" s="244" t="s">
        <v>634</v>
      </c>
      <c r="AC41" s="804" cm="1">
        <f t="array" aca="1" ref="AC41" ca="1">AA29-INDIRECT("SCCRedFacs"&amp;$B$2&amp;"!AA29")</f>
        <v>6.2112940597523814E-2</v>
      </c>
      <c r="AD41" s="805" cm="1">
        <f t="array" aca="1" ref="AD41" ca="1">AC29-INDIRECT("SCCRedFacs"&amp;$B$2&amp;"!AC29")</f>
        <v>-7.6314665110035762E-3</v>
      </c>
    </row>
    <row r="42" spans="2:34" x14ac:dyDescent="0.25">
      <c r="B42" s="812"/>
      <c r="AB42" s="244" t="s">
        <v>635</v>
      </c>
      <c r="AC42" s="804" cm="1">
        <f t="array" aca="1" ref="AC42" ca="1">AA32-INDIRECT("SCCRedFacs"&amp;$B$2&amp;"!AA32")</f>
        <v>1.5291177272162781E-2</v>
      </c>
      <c r="AD42" s="805" cm="1">
        <f t="array" aca="1" ref="AD42" ca="1">AC32-INDIRECT("SCCRedFacs"&amp;$B$2&amp;"!AC32")</f>
        <v>-5.685729516399618E-3</v>
      </c>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A39:AD39"/>
    <mergeCell ref="AE7:AH7"/>
    <mergeCell ref="AI7:AJ7"/>
    <mergeCell ref="AA29:AB29"/>
    <mergeCell ref="AC29:AD29"/>
    <mergeCell ref="AA31:AD31"/>
    <mergeCell ref="AA32:AB32"/>
    <mergeCell ref="AC32:AD32"/>
    <mergeCell ref="AA7:AD7"/>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1E89-0D3E-45EC-AA28-3DC55698E81D}">
  <sheetPr>
    <tabColor theme="9" tint="0.59999389629810485"/>
    <pageSetUpPr fitToPage="1"/>
  </sheetPr>
  <dimension ref="A1:BO148"/>
  <sheetViews>
    <sheetView topLeftCell="Q1" zoomScale="80" zoomScaleNormal="80" workbookViewId="0">
      <selection activeCell="AF7" sqref="AF7"/>
    </sheetView>
  </sheetViews>
  <sheetFormatPr defaultRowHeight="15" x14ac:dyDescent="0.25"/>
  <cols>
    <col min="1" max="1" width="43.28515625" customWidth="1"/>
    <col min="2" max="2" width="11.5703125" customWidth="1"/>
    <col min="4" max="6" width="9.28515625" bestFit="1" customWidth="1"/>
    <col min="7" max="14" width="9.28515625" customWidth="1"/>
    <col min="15" max="16" width="9.28515625" bestFit="1" customWidth="1"/>
    <col min="17" max="19" width="9.28515625" customWidth="1"/>
    <col min="20" max="20" width="2.7109375" customWidth="1"/>
    <col min="21" max="21" width="34.7109375" customWidth="1"/>
    <col min="22" max="22" width="17" customWidth="1"/>
    <col min="23" max="27" width="9.7109375" customWidth="1"/>
    <col min="44" max="44" width="2.7109375" customWidth="1"/>
    <col min="45" max="45" width="34.7109375" customWidth="1"/>
    <col min="46" max="46" width="16.85546875" customWidth="1"/>
    <col min="47" max="51" width="9.7109375" customWidth="1"/>
  </cols>
  <sheetData>
    <row r="1" spans="1:67" ht="15.75" x14ac:dyDescent="0.25">
      <c r="A1" s="859" t="s">
        <v>636</v>
      </c>
      <c r="B1" s="859"/>
      <c r="C1" s="859"/>
      <c r="D1" s="859"/>
      <c r="E1" s="859"/>
      <c r="F1" s="859"/>
      <c r="G1" s="859"/>
      <c r="H1" s="859"/>
      <c r="I1" s="859"/>
      <c r="J1" s="859"/>
      <c r="K1" s="859"/>
      <c r="L1" s="859"/>
      <c r="M1" s="859"/>
      <c r="N1" s="859"/>
      <c r="O1" s="859"/>
      <c r="P1" s="859"/>
      <c r="Q1" s="859"/>
      <c r="R1" s="859"/>
      <c r="S1" s="859"/>
      <c r="U1" s="859" t="s">
        <v>637</v>
      </c>
      <c r="V1" s="859"/>
      <c r="W1" s="859"/>
      <c r="X1" s="859"/>
      <c r="Y1" s="859"/>
      <c r="Z1" s="859"/>
      <c r="AA1" s="859"/>
      <c r="AB1" s="859"/>
      <c r="AC1" s="859"/>
      <c r="AD1" s="859"/>
      <c r="AE1" s="859"/>
      <c r="AF1" s="859"/>
      <c r="AG1" s="859"/>
      <c r="AH1" s="859"/>
      <c r="AI1" s="859"/>
      <c r="AJ1" s="859"/>
      <c r="AK1" s="859"/>
      <c r="AL1" s="859"/>
      <c r="AM1" s="859"/>
      <c r="AN1" s="859"/>
      <c r="AO1" s="859"/>
      <c r="AP1" s="859"/>
      <c r="AQ1" s="859"/>
      <c r="AS1" s="859" t="s">
        <v>638</v>
      </c>
      <c r="AT1" s="859"/>
      <c r="AU1" s="859"/>
      <c r="AV1" s="859"/>
      <c r="AW1" s="859"/>
      <c r="AX1" s="859"/>
      <c r="AY1" s="859"/>
      <c r="AZ1" s="859"/>
      <c r="BA1" s="859"/>
      <c r="BB1" s="859"/>
      <c r="BC1" s="859"/>
      <c r="BD1" s="859"/>
      <c r="BE1" s="859"/>
      <c r="BF1" s="859"/>
      <c r="BG1" s="859"/>
      <c r="BH1" s="859"/>
      <c r="BI1" s="859"/>
      <c r="BJ1" s="859"/>
      <c r="BK1" s="859"/>
      <c r="BL1" s="859"/>
      <c r="BM1" s="859"/>
      <c r="BN1" s="859"/>
      <c r="BO1" s="859"/>
    </row>
    <row r="2" spans="1:67" x14ac:dyDescent="0.25">
      <c r="U2" s="860" t="s">
        <v>639</v>
      </c>
      <c r="V2" s="860"/>
      <c r="W2" s="860"/>
      <c r="X2" s="860"/>
      <c r="Y2" s="860"/>
      <c r="Z2" s="860"/>
      <c r="AA2" s="860"/>
      <c r="AB2" s="860"/>
      <c r="AC2" s="860"/>
      <c r="AD2" s="860"/>
      <c r="AE2" s="860"/>
      <c r="AF2" s="860"/>
      <c r="AG2" s="860"/>
      <c r="AH2" s="860"/>
      <c r="AI2" s="860"/>
      <c r="AJ2" s="860"/>
      <c r="AK2" s="860"/>
      <c r="AL2" s="860"/>
      <c r="AM2" s="860"/>
      <c r="AN2" s="860"/>
      <c r="AO2" s="860"/>
      <c r="AP2" s="860"/>
      <c r="AQ2" s="860"/>
      <c r="AS2" s="860" t="s">
        <v>639</v>
      </c>
      <c r="AT2" s="860"/>
      <c r="AU2" s="860"/>
      <c r="AV2" s="860"/>
      <c r="AW2" s="860"/>
      <c r="AX2" s="860"/>
      <c r="AY2" s="860"/>
      <c r="AZ2" s="860"/>
      <c r="BA2" s="860"/>
      <c r="BB2" s="860"/>
      <c r="BC2" s="860"/>
      <c r="BD2" s="860"/>
      <c r="BE2" s="860"/>
      <c r="BF2" s="860"/>
      <c r="BG2" s="860"/>
      <c r="BH2" s="860"/>
      <c r="BI2" s="860"/>
      <c r="BJ2" s="860"/>
      <c r="BK2" s="860"/>
      <c r="BL2" s="860"/>
      <c r="BM2" s="860"/>
      <c r="BN2" s="860"/>
      <c r="BO2" s="860"/>
    </row>
    <row r="3" spans="1:67" x14ac:dyDescent="0.25">
      <c r="D3" s="840" t="s">
        <v>640</v>
      </c>
      <c r="E3" s="840"/>
      <c r="F3" s="840"/>
      <c r="G3" s="840"/>
      <c r="H3" s="840"/>
      <c r="I3" s="840"/>
      <c r="J3" s="840"/>
      <c r="K3" s="840"/>
      <c r="L3" s="840"/>
      <c r="M3" s="840"/>
      <c r="N3" s="840"/>
      <c r="O3" s="840"/>
      <c r="P3" s="840"/>
      <c r="Q3" s="810"/>
      <c r="R3" s="810"/>
      <c r="S3" s="810"/>
    </row>
    <row r="4" spans="1:67" x14ac:dyDescent="0.25">
      <c r="C4" s="1" t="s">
        <v>641</v>
      </c>
      <c r="D4" s="840" t="s">
        <v>642</v>
      </c>
      <c r="E4" s="840"/>
      <c r="F4" s="840"/>
      <c r="G4" s="840" t="s">
        <v>643</v>
      </c>
      <c r="H4" s="840"/>
      <c r="I4" s="840"/>
      <c r="J4" s="840"/>
      <c r="K4" s="840"/>
      <c r="L4" s="840"/>
      <c r="M4" s="810" t="s">
        <v>644</v>
      </c>
      <c r="N4" s="840" t="s">
        <v>645</v>
      </c>
      <c r="O4" s="840"/>
      <c r="P4" s="840"/>
      <c r="Q4" s="840"/>
      <c r="R4" s="840"/>
      <c r="S4" s="840"/>
      <c r="AI4" s="825">
        <f t="shared" ref="AI4:AP4" si="0">AI6+1</f>
        <v>2019</v>
      </c>
      <c r="AJ4" s="825">
        <f t="shared" si="0"/>
        <v>2020</v>
      </c>
      <c r="AK4" s="825">
        <f t="shared" si="0"/>
        <v>2021</v>
      </c>
      <c r="AL4" s="825">
        <f t="shared" si="0"/>
        <v>2022</v>
      </c>
      <c r="AM4" s="825">
        <f t="shared" si="0"/>
        <v>2023</v>
      </c>
      <c r="AN4" s="825">
        <f t="shared" si="0"/>
        <v>2024</v>
      </c>
      <c r="AO4" s="825">
        <f t="shared" si="0"/>
        <v>2025</v>
      </c>
      <c r="AP4" s="825">
        <f t="shared" si="0"/>
        <v>2026</v>
      </c>
      <c r="AQ4" s="825">
        <v>2029</v>
      </c>
      <c r="BG4" s="825">
        <f t="shared" ref="BG4:BN4" si="1">BG6+1</f>
        <v>2019</v>
      </c>
      <c r="BH4" s="825">
        <f t="shared" si="1"/>
        <v>2020</v>
      </c>
      <c r="BI4" s="825">
        <f t="shared" si="1"/>
        <v>2021</v>
      </c>
      <c r="BJ4" s="825">
        <f t="shared" si="1"/>
        <v>2022</v>
      </c>
      <c r="BK4" s="825">
        <f t="shared" si="1"/>
        <v>2023</v>
      </c>
      <c r="BL4" s="825">
        <f t="shared" si="1"/>
        <v>2024</v>
      </c>
      <c r="BM4" s="825">
        <f t="shared" si="1"/>
        <v>2025</v>
      </c>
      <c r="BN4" s="825">
        <f t="shared" si="1"/>
        <v>2026</v>
      </c>
      <c r="BO4" s="825">
        <v>2029</v>
      </c>
    </row>
    <row r="5" spans="1:67" x14ac:dyDescent="0.25">
      <c r="B5" s="812" t="s">
        <v>646</v>
      </c>
      <c r="C5" s="1" t="s">
        <v>647</v>
      </c>
      <c r="D5" s="845" t="s">
        <v>648</v>
      </c>
      <c r="E5" s="845"/>
      <c r="F5" s="845"/>
      <c r="G5" s="845" t="s">
        <v>649</v>
      </c>
      <c r="H5" s="845"/>
      <c r="I5" s="845"/>
      <c r="J5" s="845"/>
      <c r="K5" s="845" t="s">
        <v>650</v>
      </c>
      <c r="L5" s="845"/>
      <c r="M5" s="812" t="s">
        <v>644</v>
      </c>
      <c r="N5" s="840" t="s">
        <v>651</v>
      </c>
      <c r="O5" s="840"/>
      <c r="P5" s="810" t="s">
        <v>644</v>
      </c>
      <c r="Q5" s="810"/>
      <c r="V5" s="812" t="s">
        <v>646</v>
      </c>
      <c r="W5" s="812" t="s">
        <v>652</v>
      </c>
      <c r="X5" s="812" t="s">
        <v>652</v>
      </c>
      <c r="Y5" s="812" t="s">
        <v>652</v>
      </c>
      <c r="Z5" s="812" t="s">
        <v>328</v>
      </c>
      <c r="AA5" s="812"/>
      <c r="AF5" s="753">
        <f>SUM(AB7:AF7)</f>
        <v>1000</v>
      </c>
      <c r="AH5" s="753">
        <f>SUM(AB7:AE7,Z7)</f>
        <v>1138</v>
      </c>
      <c r="AI5" s="753" t="s">
        <v>653</v>
      </c>
      <c r="AJ5" s="753" t="s">
        <v>653</v>
      </c>
      <c r="AK5" s="753" t="s">
        <v>653</v>
      </c>
      <c r="AL5" s="753" t="s">
        <v>653</v>
      </c>
      <c r="AM5" s="753" t="s">
        <v>653</v>
      </c>
      <c r="AN5" s="753" t="s">
        <v>653</v>
      </c>
      <c r="AO5" s="753" t="s">
        <v>653</v>
      </c>
      <c r="AP5" s="753" t="s">
        <v>653</v>
      </c>
      <c r="AQ5" s="753" t="s">
        <v>653</v>
      </c>
      <c r="AT5" s="812" t="s">
        <v>646</v>
      </c>
      <c r="AU5" s="812" t="s">
        <v>652</v>
      </c>
      <c r="AV5" s="812" t="s">
        <v>652</v>
      </c>
      <c r="AW5" s="812" t="s">
        <v>652</v>
      </c>
      <c r="AX5" s="812" t="s">
        <v>328</v>
      </c>
      <c r="AY5" s="812"/>
      <c r="BE5" s="753">
        <f>SUM(AZ7:BE7)</f>
        <v>2578</v>
      </c>
      <c r="BF5" s="753">
        <f>SUM(AZ7:BC7,AX7)</f>
        <v>1794</v>
      </c>
      <c r="BG5" s="753" t="s">
        <v>653</v>
      </c>
      <c r="BH5" s="753" t="s">
        <v>653</v>
      </c>
      <c r="BI5" s="753" t="s">
        <v>653</v>
      </c>
      <c r="BJ5" s="753" t="s">
        <v>653</v>
      </c>
      <c r="BK5" s="753" t="s">
        <v>653</v>
      </c>
      <c r="BL5" s="753" t="s">
        <v>653</v>
      </c>
      <c r="BM5" s="753" t="s">
        <v>653</v>
      </c>
      <c r="BN5" s="753" t="s">
        <v>653</v>
      </c>
      <c r="BO5" s="753" t="s">
        <v>653</v>
      </c>
    </row>
    <row r="6" spans="1:67" x14ac:dyDescent="0.25">
      <c r="A6" s="3"/>
      <c r="B6" s="813" t="s">
        <v>654</v>
      </c>
      <c r="C6" s="813" t="s">
        <v>655</v>
      </c>
      <c r="D6" s="813">
        <v>2010</v>
      </c>
      <c r="E6" s="813">
        <v>2011</v>
      </c>
      <c r="F6" s="813">
        <v>2012</v>
      </c>
      <c r="G6" s="813">
        <v>2013</v>
      </c>
      <c r="H6" s="813">
        <v>2014</v>
      </c>
      <c r="I6" s="813">
        <v>2015</v>
      </c>
      <c r="J6" s="813">
        <v>2016</v>
      </c>
      <c r="K6" s="813">
        <v>2017</v>
      </c>
      <c r="L6" s="813">
        <v>2018</v>
      </c>
      <c r="M6" s="813">
        <v>2019</v>
      </c>
      <c r="N6" s="813" t="s">
        <v>656</v>
      </c>
      <c r="O6" s="3" t="s">
        <v>657</v>
      </c>
      <c r="P6" s="813">
        <v>2019</v>
      </c>
      <c r="Q6" s="813" t="s">
        <v>658</v>
      </c>
      <c r="R6" s="813" t="s">
        <v>659</v>
      </c>
      <c r="S6" s="813" t="s">
        <v>660</v>
      </c>
      <c r="U6" s="813"/>
      <c r="V6" s="813" t="s">
        <v>654</v>
      </c>
      <c r="W6" s="813" t="s">
        <v>656</v>
      </c>
      <c r="X6" s="813" t="s">
        <v>657</v>
      </c>
      <c r="Y6" s="813" t="s">
        <v>659</v>
      </c>
      <c r="Z6" s="813">
        <v>2019</v>
      </c>
      <c r="AA6" s="813"/>
      <c r="AB6" s="813">
        <v>2020</v>
      </c>
      <c r="AC6" s="813">
        <v>2021</v>
      </c>
      <c r="AD6" s="813">
        <v>2022</v>
      </c>
      <c r="AE6" s="813">
        <v>2023</v>
      </c>
      <c r="AF6" s="813">
        <v>2024</v>
      </c>
      <c r="AG6" s="813">
        <v>2025</v>
      </c>
      <c r="AH6" s="813" t="s">
        <v>661</v>
      </c>
      <c r="AI6" s="813">
        <v>2018</v>
      </c>
      <c r="AJ6" s="813">
        <v>2019</v>
      </c>
      <c r="AK6" s="813">
        <v>2020</v>
      </c>
      <c r="AL6" s="813">
        <v>2021</v>
      </c>
      <c r="AM6" s="813">
        <v>2022</v>
      </c>
      <c r="AN6" s="813">
        <v>2023</v>
      </c>
      <c r="AO6" s="813">
        <v>2024</v>
      </c>
      <c r="AP6" s="813">
        <v>2025</v>
      </c>
      <c r="AQ6" s="813">
        <v>2031</v>
      </c>
      <c r="AS6" s="813"/>
      <c r="AT6" s="813" t="s">
        <v>654</v>
      </c>
      <c r="AU6" s="813" t="s">
        <v>656</v>
      </c>
      <c r="AV6" s="813" t="s">
        <v>657</v>
      </c>
      <c r="AW6" s="813" t="s">
        <v>659</v>
      </c>
      <c r="AX6" s="813">
        <v>2019</v>
      </c>
      <c r="AY6" s="813"/>
      <c r="AZ6" s="813">
        <v>2020</v>
      </c>
      <c r="BA6" s="813">
        <v>2021</v>
      </c>
      <c r="BB6" s="813">
        <v>2022</v>
      </c>
      <c r="BC6" s="813">
        <v>2023</v>
      </c>
      <c r="BD6" s="813">
        <v>2024</v>
      </c>
      <c r="BE6" s="813">
        <v>2025</v>
      </c>
      <c r="BF6" s="813" t="s">
        <v>661</v>
      </c>
      <c r="BG6" s="813">
        <v>2018</v>
      </c>
      <c r="BH6" s="813">
        <v>2019</v>
      </c>
      <c r="BI6" s="813">
        <v>2020</v>
      </c>
      <c r="BJ6" s="813">
        <v>2021</v>
      </c>
      <c r="BK6" s="813">
        <v>2022</v>
      </c>
      <c r="BL6" s="813">
        <v>2023</v>
      </c>
      <c r="BM6" s="813">
        <v>2024</v>
      </c>
      <c r="BN6" s="813">
        <v>2025</v>
      </c>
      <c r="BO6" s="813">
        <v>2031</v>
      </c>
    </row>
    <row r="7" spans="1:67" x14ac:dyDescent="0.25">
      <c r="A7" t="s">
        <v>662</v>
      </c>
      <c r="B7" s="818" t="s">
        <v>616</v>
      </c>
      <c r="C7" s="812" t="s">
        <v>616</v>
      </c>
      <c r="D7" s="45">
        <v>124</v>
      </c>
      <c r="E7" s="45">
        <v>210</v>
      </c>
      <c r="F7" s="45">
        <v>666</v>
      </c>
      <c r="G7" s="45">
        <v>240</v>
      </c>
      <c r="H7" s="45">
        <v>514</v>
      </c>
      <c r="I7" s="45">
        <v>459</v>
      </c>
      <c r="J7" s="45">
        <v>131</v>
      </c>
      <c r="K7" s="45">
        <v>105</v>
      </c>
      <c r="L7" s="45">
        <v>167</v>
      </c>
      <c r="M7" s="45">
        <v>175</v>
      </c>
      <c r="N7" s="87">
        <v>1344</v>
      </c>
      <c r="O7" s="87">
        <v>272</v>
      </c>
      <c r="P7" s="87">
        <v>175</v>
      </c>
      <c r="Q7" s="87">
        <v>447</v>
      </c>
      <c r="R7" s="87">
        <v>1616</v>
      </c>
      <c r="S7" s="87">
        <v>2791</v>
      </c>
      <c r="U7" t="s">
        <v>662</v>
      </c>
      <c r="V7" s="818" t="s">
        <v>616</v>
      </c>
      <c r="W7" s="45">
        <f>SUM(W8:W15)</f>
        <v>377</v>
      </c>
      <c r="X7" s="45">
        <f>SUM(X8:X15)</f>
        <v>272</v>
      </c>
      <c r="Y7" s="45">
        <f>SUM(Y8:Y15)</f>
        <v>649</v>
      </c>
      <c r="Z7" s="45">
        <f>SUM(Z8:Z15)</f>
        <v>175</v>
      </c>
      <c r="AA7" s="45"/>
      <c r="AB7" s="45">
        <f>SUM(AB8:AB15)</f>
        <v>320</v>
      </c>
      <c r="AC7" s="45">
        <f t="shared" ref="AC7:AF7" si="2">SUM(AC8:AC15)</f>
        <v>317</v>
      </c>
      <c r="AD7" s="45">
        <f t="shared" si="2"/>
        <v>217</v>
      </c>
      <c r="AE7" s="45">
        <f t="shared" si="2"/>
        <v>109</v>
      </c>
      <c r="AF7" s="45">
        <f t="shared" si="2"/>
        <v>37</v>
      </c>
      <c r="AG7" s="45"/>
      <c r="AH7" s="45">
        <f>SUM(Z7,AB7:AE7)</f>
        <v>1138</v>
      </c>
      <c r="AI7" s="45">
        <f>Y7</f>
        <v>649</v>
      </c>
      <c r="AJ7" s="45">
        <f>AI7+Z7</f>
        <v>824</v>
      </c>
      <c r="AK7" s="45">
        <f t="shared" ref="AK7:AP7" si="3">SUM(AK8:AK15)</f>
        <v>1144</v>
      </c>
      <c r="AL7" s="45">
        <f t="shared" si="3"/>
        <v>1461</v>
      </c>
      <c r="AM7" s="45">
        <f t="shared" si="3"/>
        <v>1678</v>
      </c>
      <c r="AN7" s="45">
        <f t="shared" si="3"/>
        <v>1787</v>
      </c>
      <c r="AO7" s="45">
        <f t="shared" si="3"/>
        <v>1824</v>
      </c>
      <c r="AP7" s="45">
        <f t="shared" si="3"/>
        <v>1824</v>
      </c>
      <c r="AQ7" s="45">
        <f>AP7</f>
        <v>1824</v>
      </c>
      <c r="AS7" t="s">
        <v>662</v>
      </c>
      <c r="AT7" s="818" t="s">
        <v>616</v>
      </c>
      <c r="AU7" s="45">
        <f>SUM(AU8:AU15)</f>
        <v>377</v>
      </c>
      <c r="AV7" s="45">
        <f>SUM(AV8:AV15)</f>
        <v>272</v>
      </c>
      <c r="AW7" s="45">
        <f>SUM(AW8:AW15)</f>
        <v>649</v>
      </c>
      <c r="AX7" s="45">
        <f>SUM(AX8:AX15)</f>
        <v>175</v>
      </c>
      <c r="AY7" s="45"/>
      <c r="AZ7" s="45">
        <f>SUM(AZ8:AZ15)</f>
        <v>320</v>
      </c>
      <c r="BA7" s="45">
        <f t="shared" ref="BA7:BE7" si="4">SUM(BA8:BA15)</f>
        <v>417</v>
      </c>
      <c r="BB7" s="45">
        <f t="shared" si="4"/>
        <v>433</v>
      </c>
      <c r="BC7" s="45">
        <f t="shared" si="4"/>
        <v>449</v>
      </c>
      <c r="BD7" s="45">
        <f t="shared" si="4"/>
        <v>469</v>
      </c>
      <c r="BE7" s="45">
        <f t="shared" si="4"/>
        <v>490</v>
      </c>
      <c r="BF7" s="45">
        <f>SUM(AX7,AZ7:BC7)</f>
        <v>1794</v>
      </c>
      <c r="BG7" s="45">
        <f>AW7</f>
        <v>649</v>
      </c>
      <c r="BH7" s="45">
        <f>BG7+AX7</f>
        <v>824</v>
      </c>
      <c r="BI7" s="45">
        <f t="shared" ref="BI7:BN7" si="5">SUM(BI8:BI15)</f>
        <v>1144</v>
      </c>
      <c r="BJ7" s="45">
        <f t="shared" si="5"/>
        <v>1561</v>
      </c>
      <c r="BK7" s="45">
        <f t="shared" si="5"/>
        <v>1994</v>
      </c>
      <c r="BL7" s="45">
        <f t="shared" si="5"/>
        <v>2443</v>
      </c>
      <c r="BM7" s="45">
        <f t="shared" si="5"/>
        <v>2912</v>
      </c>
      <c r="BN7" s="45">
        <f t="shared" si="5"/>
        <v>3402</v>
      </c>
      <c r="BO7" s="45">
        <f>BN7</f>
        <v>3402</v>
      </c>
    </row>
    <row r="8" spans="1:67" x14ac:dyDescent="0.25">
      <c r="A8" t="s">
        <v>662</v>
      </c>
      <c r="B8" s="812" t="s">
        <v>663</v>
      </c>
      <c r="C8" s="812" t="s">
        <v>616</v>
      </c>
      <c r="D8" s="45">
        <v>103</v>
      </c>
      <c r="E8" s="45">
        <v>146</v>
      </c>
      <c r="F8" s="45">
        <v>458</v>
      </c>
      <c r="G8" s="45">
        <v>211</v>
      </c>
      <c r="H8" s="45">
        <v>389</v>
      </c>
      <c r="I8" s="45">
        <v>288</v>
      </c>
      <c r="J8" s="45">
        <v>79</v>
      </c>
      <c r="K8" s="45">
        <v>62</v>
      </c>
      <c r="L8" s="45">
        <v>42</v>
      </c>
      <c r="M8" s="45">
        <v>16</v>
      </c>
      <c r="N8" s="87">
        <v>967</v>
      </c>
      <c r="O8" s="87">
        <v>104</v>
      </c>
      <c r="P8" s="87">
        <v>16</v>
      </c>
      <c r="Q8" s="87">
        <v>120</v>
      </c>
      <c r="R8" s="87">
        <v>1071</v>
      </c>
      <c r="S8" s="87">
        <v>1794</v>
      </c>
      <c r="U8" t="s">
        <v>662</v>
      </c>
      <c r="V8" s="812" t="s">
        <v>663</v>
      </c>
      <c r="W8" s="508"/>
      <c r="X8" s="45">
        <f>$O8</f>
        <v>104</v>
      </c>
      <c r="Y8" s="45">
        <f>SUM(W8:X8)</f>
        <v>104</v>
      </c>
      <c r="Z8" s="45">
        <f>$P8</f>
        <v>16</v>
      </c>
      <c r="AA8" s="45"/>
      <c r="AB8" s="249">
        <v>15</v>
      </c>
      <c r="AC8" s="249">
        <v>10</v>
      </c>
      <c r="AD8" s="249">
        <v>0</v>
      </c>
      <c r="AE8" s="249">
        <v>0</v>
      </c>
      <c r="AF8" s="249">
        <v>0</v>
      </c>
      <c r="AG8" s="45"/>
      <c r="AH8" s="45">
        <f t="shared" ref="AH8:AH15" si="6">SUM(Z8,AB8:AE8)</f>
        <v>41</v>
      </c>
      <c r="AI8" s="45">
        <f t="shared" ref="AI8:AI15" si="7">Y8</f>
        <v>104</v>
      </c>
      <c r="AJ8" s="45">
        <f t="shared" ref="AJ8:AJ15" si="8">AI8+Z8</f>
        <v>120</v>
      </c>
      <c r="AK8" s="45">
        <f>AJ8+AB8</f>
        <v>135</v>
      </c>
      <c r="AL8" s="45">
        <f t="shared" ref="AL8:AP8" si="9">AK8+AC8</f>
        <v>145</v>
      </c>
      <c r="AM8" s="45">
        <f t="shared" si="9"/>
        <v>145</v>
      </c>
      <c r="AN8" s="45">
        <f t="shared" si="9"/>
        <v>145</v>
      </c>
      <c r="AO8" s="45">
        <f t="shared" si="9"/>
        <v>145</v>
      </c>
      <c r="AP8" s="45">
        <f t="shared" si="9"/>
        <v>145</v>
      </c>
      <c r="AQ8" s="45">
        <f t="shared" ref="AQ8:AQ15" si="10">AP8</f>
        <v>145</v>
      </c>
      <c r="AS8" t="s">
        <v>662</v>
      </c>
      <c r="AT8" s="812" t="s">
        <v>663</v>
      </c>
      <c r="AU8" s="508"/>
      <c r="AV8" s="45">
        <f>$O8</f>
        <v>104</v>
      </c>
      <c r="AW8" s="45">
        <f>SUM(AU8:AV8)</f>
        <v>104</v>
      </c>
      <c r="AX8" s="45">
        <f>$P8</f>
        <v>16</v>
      </c>
      <c r="AY8" s="45"/>
      <c r="AZ8" s="249">
        <v>15</v>
      </c>
      <c r="BA8" s="249">
        <v>30</v>
      </c>
      <c r="BB8" s="249">
        <v>45</v>
      </c>
      <c r="BC8" s="249">
        <v>70</v>
      </c>
      <c r="BD8" s="249">
        <v>88</v>
      </c>
      <c r="BE8" s="249">
        <v>100</v>
      </c>
      <c r="BF8" s="45">
        <f t="shared" ref="BF8:BF15" si="11">SUM(AX8,AZ8:BC8)</f>
        <v>176</v>
      </c>
      <c r="BG8" s="45">
        <f t="shared" ref="BG8:BG15" si="12">AW8</f>
        <v>104</v>
      </c>
      <c r="BH8" s="45">
        <f t="shared" ref="BH8:BH15" si="13">BG8+AX8</f>
        <v>120</v>
      </c>
      <c r="BI8" s="45">
        <f>BH8+AZ8</f>
        <v>135</v>
      </c>
      <c r="BJ8" s="45">
        <f t="shared" ref="BJ8:BJ15" si="14">BI8+BA8</f>
        <v>165</v>
      </c>
      <c r="BK8" s="45">
        <f t="shared" ref="BK8:BK15" si="15">BJ8+BB8</f>
        <v>210</v>
      </c>
      <c r="BL8" s="45">
        <f t="shared" ref="BL8:BL15" si="16">BK8+BC8</f>
        <v>280</v>
      </c>
      <c r="BM8" s="45">
        <f t="shared" ref="BM8:BM15" si="17">BL8+BD8</f>
        <v>368</v>
      </c>
      <c r="BN8" s="45">
        <f t="shared" ref="BN8:BN15" si="18">BM8+BE8</f>
        <v>468</v>
      </c>
      <c r="BO8" s="45">
        <f t="shared" ref="BO8:BO15" si="19">BN8</f>
        <v>468</v>
      </c>
    </row>
    <row r="9" spans="1:67" x14ac:dyDescent="0.25">
      <c r="A9" t="s">
        <v>662</v>
      </c>
      <c r="B9" s="812" t="s">
        <v>664</v>
      </c>
      <c r="C9" s="812" t="s">
        <v>616</v>
      </c>
      <c r="D9" s="45">
        <v>0</v>
      </c>
      <c r="E9" s="45">
        <v>0</v>
      </c>
      <c r="F9" s="45">
        <v>0</v>
      </c>
      <c r="G9" s="45">
        <v>4</v>
      </c>
      <c r="H9" s="45">
        <v>77</v>
      </c>
      <c r="I9" s="45">
        <v>122</v>
      </c>
      <c r="J9" s="45">
        <v>8</v>
      </c>
      <c r="K9" s="45">
        <v>3</v>
      </c>
      <c r="L9" s="45">
        <v>2</v>
      </c>
      <c r="M9" s="45">
        <v>1</v>
      </c>
      <c r="N9" s="87">
        <v>211</v>
      </c>
      <c r="O9" s="87">
        <v>5</v>
      </c>
      <c r="P9" s="87">
        <v>1</v>
      </c>
      <c r="Q9" s="87">
        <v>6</v>
      </c>
      <c r="R9" s="87">
        <v>216</v>
      </c>
      <c r="S9" s="87">
        <v>217</v>
      </c>
      <c r="U9" t="s">
        <v>662</v>
      </c>
      <c r="V9" s="812" t="s">
        <v>664</v>
      </c>
      <c r="W9" s="45">
        <f>$N9</f>
        <v>211</v>
      </c>
      <c r="X9" s="45">
        <f>$O9</f>
        <v>5</v>
      </c>
      <c r="Y9" s="45">
        <f t="shared" ref="Y9:Y14" si="20">SUM(W9:X9)</f>
        <v>216</v>
      </c>
      <c r="Z9" s="45">
        <f>$P9</f>
        <v>1</v>
      </c>
      <c r="AA9" s="45"/>
      <c r="AB9" s="267"/>
      <c r="AC9" s="267"/>
      <c r="AD9" s="267"/>
      <c r="AE9" s="267"/>
      <c r="AF9" s="267"/>
      <c r="AG9" s="45"/>
      <c r="AH9" s="45">
        <f t="shared" si="6"/>
        <v>1</v>
      </c>
      <c r="AI9" s="45">
        <f t="shared" si="7"/>
        <v>216</v>
      </c>
      <c r="AJ9" s="45">
        <f t="shared" si="8"/>
        <v>217</v>
      </c>
      <c r="AK9" s="45">
        <f t="shared" ref="AK9:AK15" si="21">AJ9+AB9</f>
        <v>217</v>
      </c>
      <c r="AL9" s="45">
        <f t="shared" ref="AL9:AL15" si="22">AK9+AC9</f>
        <v>217</v>
      </c>
      <c r="AM9" s="45">
        <f t="shared" ref="AM9:AM15" si="23">AL9+AD9</f>
        <v>217</v>
      </c>
      <c r="AN9" s="45">
        <f t="shared" ref="AN9:AN15" si="24">AM9+AE9</f>
        <v>217</v>
      </c>
      <c r="AO9" s="45">
        <f t="shared" ref="AO9:AO15" si="25">AN9+AF9</f>
        <v>217</v>
      </c>
      <c r="AP9" s="45">
        <f t="shared" ref="AP9:AP15" si="26">AO9+AG9</f>
        <v>217</v>
      </c>
      <c r="AQ9" s="45">
        <f t="shared" si="10"/>
        <v>217</v>
      </c>
      <c r="AS9" t="s">
        <v>662</v>
      </c>
      <c r="AT9" s="812" t="s">
        <v>664</v>
      </c>
      <c r="AU9" s="45">
        <f>$N9</f>
        <v>211</v>
      </c>
      <c r="AV9" s="45">
        <f>$O9</f>
        <v>5</v>
      </c>
      <c r="AW9" s="45">
        <f t="shared" ref="AW9:AW10" si="27">SUM(AU9:AV9)</f>
        <v>216</v>
      </c>
      <c r="AX9" s="45">
        <f>$P9</f>
        <v>1</v>
      </c>
      <c r="AY9" s="45"/>
      <c r="AZ9" s="267"/>
      <c r="BA9" s="267"/>
      <c r="BB9" s="267"/>
      <c r="BC9" s="267"/>
      <c r="BD9" s="267"/>
      <c r="BE9" s="267"/>
      <c r="BF9" s="45">
        <f t="shared" si="11"/>
        <v>1</v>
      </c>
      <c r="BG9" s="45">
        <f t="shared" si="12"/>
        <v>216</v>
      </c>
      <c r="BH9" s="45">
        <f t="shared" si="13"/>
        <v>217</v>
      </c>
      <c r="BI9" s="45">
        <f t="shared" ref="BI9:BI15" si="28">BH9+AZ9</f>
        <v>217</v>
      </c>
      <c r="BJ9" s="45">
        <f t="shared" si="14"/>
        <v>217</v>
      </c>
      <c r="BK9" s="45">
        <f t="shared" si="15"/>
        <v>217</v>
      </c>
      <c r="BL9" s="45">
        <f t="shared" si="16"/>
        <v>217</v>
      </c>
      <c r="BM9" s="45">
        <f t="shared" si="17"/>
        <v>217</v>
      </c>
      <c r="BN9" s="45">
        <f t="shared" si="18"/>
        <v>217</v>
      </c>
      <c r="BO9" s="45">
        <f t="shared" si="19"/>
        <v>217</v>
      </c>
    </row>
    <row r="10" spans="1:67" x14ac:dyDescent="0.25">
      <c r="A10" t="s">
        <v>662</v>
      </c>
      <c r="B10" s="812" t="s">
        <v>665</v>
      </c>
      <c r="C10" s="812" t="s">
        <v>616</v>
      </c>
      <c r="D10" s="45">
        <v>0</v>
      </c>
      <c r="E10" s="45">
        <v>0</v>
      </c>
      <c r="F10" s="45">
        <v>0</v>
      </c>
      <c r="G10" s="45">
        <v>0</v>
      </c>
      <c r="H10" s="45">
        <v>0</v>
      </c>
      <c r="I10" s="45">
        <v>2</v>
      </c>
      <c r="J10" s="45">
        <v>0</v>
      </c>
      <c r="K10" s="45">
        <v>4</v>
      </c>
      <c r="L10" s="45">
        <v>10</v>
      </c>
      <c r="M10" s="45">
        <v>22</v>
      </c>
      <c r="N10" s="87">
        <v>2</v>
      </c>
      <c r="O10" s="87">
        <v>14</v>
      </c>
      <c r="P10" s="87">
        <v>22</v>
      </c>
      <c r="Q10" s="87">
        <v>36</v>
      </c>
      <c r="R10" s="87">
        <v>16</v>
      </c>
      <c r="S10" s="87">
        <v>38</v>
      </c>
      <c r="U10" t="s">
        <v>662</v>
      </c>
      <c r="V10" s="812" t="s">
        <v>666</v>
      </c>
      <c r="W10" s="45">
        <f>$N13</f>
        <v>72</v>
      </c>
      <c r="X10" s="45">
        <f>$O13</f>
        <v>124</v>
      </c>
      <c r="Y10" s="45">
        <f t="shared" si="20"/>
        <v>196</v>
      </c>
      <c r="Z10" s="45">
        <f>$P13</f>
        <v>146</v>
      </c>
      <c r="AB10" s="249">
        <v>236</v>
      </c>
      <c r="AC10" s="249">
        <v>239</v>
      </c>
      <c r="AD10" s="249">
        <v>190</v>
      </c>
      <c r="AE10" s="249">
        <v>103</v>
      </c>
      <c r="AF10" s="249">
        <v>35</v>
      </c>
      <c r="AG10" s="45"/>
      <c r="AH10" s="45">
        <f t="shared" si="6"/>
        <v>914</v>
      </c>
      <c r="AI10" s="45">
        <f t="shared" si="7"/>
        <v>196</v>
      </c>
      <c r="AJ10" s="45">
        <f t="shared" si="8"/>
        <v>342</v>
      </c>
      <c r="AK10" s="45">
        <f t="shared" si="21"/>
        <v>578</v>
      </c>
      <c r="AL10" s="45">
        <f t="shared" si="22"/>
        <v>817</v>
      </c>
      <c r="AM10" s="45">
        <f t="shared" si="23"/>
        <v>1007</v>
      </c>
      <c r="AN10" s="45">
        <f t="shared" si="24"/>
        <v>1110</v>
      </c>
      <c r="AO10" s="45">
        <f t="shared" si="25"/>
        <v>1145</v>
      </c>
      <c r="AP10" s="45">
        <f t="shared" si="26"/>
        <v>1145</v>
      </c>
      <c r="AQ10" s="45">
        <f t="shared" si="10"/>
        <v>1145</v>
      </c>
      <c r="AS10" t="s">
        <v>662</v>
      </c>
      <c r="AT10" s="812" t="s">
        <v>666</v>
      </c>
      <c r="AU10" s="45">
        <f>$N13</f>
        <v>72</v>
      </c>
      <c r="AV10" s="45">
        <f>$O13</f>
        <v>124</v>
      </c>
      <c r="AW10" s="45">
        <f t="shared" si="27"/>
        <v>196</v>
      </c>
      <c r="AX10" s="45">
        <f>$P13</f>
        <v>146</v>
      </c>
      <c r="AZ10" s="249">
        <v>236</v>
      </c>
      <c r="BA10" s="249">
        <v>295</v>
      </c>
      <c r="BB10" s="249">
        <v>310</v>
      </c>
      <c r="BC10" s="249">
        <v>292</v>
      </c>
      <c r="BD10" s="249">
        <v>276</v>
      </c>
      <c r="BE10" s="249">
        <v>273</v>
      </c>
      <c r="BF10" s="45">
        <f t="shared" si="11"/>
        <v>1279</v>
      </c>
      <c r="BG10" s="45">
        <f t="shared" si="12"/>
        <v>196</v>
      </c>
      <c r="BH10" s="45">
        <f t="shared" si="13"/>
        <v>342</v>
      </c>
      <c r="BI10" s="45">
        <f t="shared" si="28"/>
        <v>578</v>
      </c>
      <c r="BJ10" s="45">
        <f t="shared" si="14"/>
        <v>873</v>
      </c>
      <c r="BK10" s="45">
        <f t="shared" si="15"/>
        <v>1183</v>
      </c>
      <c r="BL10" s="45">
        <f t="shared" si="16"/>
        <v>1475</v>
      </c>
      <c r="BM10" s="45">
        <f t="shared" si="17"/>
        <v>1751</v>
      </c>
      <c r="BN10" s="45">
        <f t="shared" si="18"/>
        <v>2024</v>
      </c>
      <c r="BO10" s="45">
        <f t="shared" si="19"/>
        <v>2024</v>
      </c>
    </row>
    <row r="11" spans="1:67" x14ac:dyDescent="0.25">
      <c r="A11" t="s">
        <v>662</v>
      </c>
      <c r="B11" s="812" t="s">
        <v>667</v>
      </c>
      <c r="C11" s="812" t="s">
        <v>616</v>
      </c>
      <c r="D11" s="45">
        <v>0</v>
      </c>
      <c r="E11" s="45">
        <v>0</v>
      </c>
      <c r="F11" s="45">
        <v>0</v>
      </c>
      <c r="G11" s="45">
        <v>0</v>
      </c>
      <c r="H11" s="45">
        <v>6</v>
      </c>
      <c r="I11" s="45">
        <v>11</v>
      </c>
      <c r="J11" s="45">
        <v>7</v>
      </c>
      <c r="K11" s="45">
        <v>14</v>
      </c>
      <c r="L11" s="45">
        <v>72</v>
      </c>
      <c r="M11" s="45">
        <v>99</v>
      </c>
      <c r="N11" s="87">
        <v>24</v>
      </c>
      <c r="O11" s="87">
        <v>86</v>
      </c>
      <c r="P11" s="87">
        <v>99</v>
      </c>
      <c r="Q11" s="87">
        <v>185</v>
      </c>
      <c r="R11" s="87">
        <v>110</v>
      </c>
      <c r="S11" s="87">
        <v>209</v>
      </c>
      <c r="U11" t="s">
        <v>662</v>
      </c>
      <c r="V11" s="812" t="s">
        <v>668</v>
      </c>
      <c r="W11" s="45"/>
      <c r="X11" s="45"/>
      <c r="Y11" s="45"/>
      <c r="Z11" s="45"/>
      <c r="AA11" s="45"/>
      <c r="AB11" s="249">
        <v>50</v>
      </c>
      <c r="AC11" s="249">
        <v>50</v>
      </c>
      <c r="AD11" s="249">
        <v>17</v>
      </c>
      <c r="AE11" s="249">
        <v>0</v>
      </c>
      <c r="AF11" s="249">
        <v>0</v>
      </c>
      <c r="AG11" s="45"/>
      <c r="AH11" s="45">
        <f t="shared" si="6"/>
        <v>117</v>
      </c>
      <c r="AI11" s="45">
        <f t="shared" si="7"/>
        <v>0</v>
      </c>
      <c r="AJ11" s="45">
        <f t="shared" si="8"/>
        <v>0</v>
      </c>
      <c r="AK11" s="45">
        <f t="shared" si="21"/>
        <v>50</v>
      </c>
      <c r="AL11" s="45">
        <f t="shared" si="22"/>
        <v>100</v>
      </c>
      <c r="AM11" s="45">
        <f t="shared" si="23"/>
        <v>117</v>
      </c>
      <c r="AN11" s="45">
        <f t="shared" si="24"/>
        <v>117</v>
      </c>
      <c r="AO11" s="45">
        <f t="shared" si="25"/>
        <v>117</v>
      </c>
      <c r="AP11" s="45">
        <f t="shared" si="26"/>
        <v>117</v>
      </c>
      <c r="AQ11" s="45">
        <f t="shared" si="10"/>
        <v>117</v>
      </c>
      <c r="AS11" t="s">
        <v>662</v>
      </c>
      <c r="AT11" s="812" t="s">
        <v>668</v>
      </c>
      <c r="AU11" s="45"/>
      <c r="AV11" s="45"/>
      <c r="AW11" s="45"/>
      <c r="AX11" s="45"/>
      <c r="AY11" s="45"/>
      <c r="AZ11" s="249">
        <v>50</v>
      </c>
      <c r="BA11" s="249">
        <v>50</v>
      </c>
      <c r="BB11" s="249">
        <v>17</v>
      </c>
      <c r="BC11" s="249">
        <v>0</v>
      </c>
      <c r="BD11" s="249">
        <v>0</v>
      </c>
      <c r="BE11" s="249">
        <v>0</v>
      </c>
      <c r="BF11" s="45">
        <f t="shared" si="11"/>
        <v>117</v>
      </c>
      <c r="BG11" s="45">
        <f t="shared" si="12"/>
        <v>0</v>
      </c>
      <c r="BH11" s="45">
        <f t="shared" si="13"/>
        <v>0</v>
      </c>
      <c r="BI11" s="45">
        <f t="shared" si="28"/>
        <v>50</v>
      </c>
      <c r="BJ11" s="45">
        <f t="shared" si="14"/>
        <v>100</v>
      </c>
      <c r="BK11" s="45">
        <f t="shared" si="15"/>
        <v>117</v>
      </c>
      <c r="BL11" s="45">
        <f t="shared" si="16"/>
        <v>117</v>
      </c>
      <c r="BM11" s="45">
        <f t="shared" si="17"/>
        <v>117</v>
      </c>
      <c r="BN11" s="45">
        <f t="shared" si="18"/>
        <v>117</v>
      </c>
      <c r="BO11" s="45">
        <f t="shared" si="19"/>
        <v>117</v>
      </c>
    </row>
    <row r="12" spans="1:67" x14ac:dyDescent="0.25">
      <c r="A12" t="s">
        <v>662</v>
      </c>
      <c r="B12" s="812" t="s">
        <v>669</v>
      </c>
      <c r="C12" s="812" t="s">
        <v>616</v>
      </c>
      <c r="D12" s="45">
        <v>2</v>
      </c>
      <c r="E12" s="45">
        <v>0</v>
      </c>
      <c r="F12" s="45">
        <v>2</v>
      </c>
      <c r="G12" s="45">
        <v>5</v>
      </c>
      <c r="H12" s="45">
        <v>16</v>
      </c>
      <c r="I12" s="45">
        <v>12</v>
      </c>
      <c r="J12" s="45">
        <v>13</v>
      </c>
      <c r="K12" s="45">
        <v>5</v>
      </c>
      <c r="L12" s="45">
        <v>19</v>
      </c>
      <c r="M12" s="45">
        <v>25</v>
      </c>
      <c r="N12" s="87">
        <v>46</v>
      </c>
      <c r="O12" s="87">
        <v>24</v>
      </c>
      <c r="P12" s="87">
        <v>25</v>
      </c>
      <c r="Q12" s="87">
        <v>49</v>
      </c>
      <c r="R12" s="87">
        <v>70</v>
      </c>
      <c r="S12" s="87">
        <v>99</v>
      </c>
      <c r="U12" t="s">
        <v>662</v>
      </c>
      <c r="V12" s="812" t="s">
        <v>670</v>
      </c>
      <c r="W12" s="45">
        <f>$N14</f>
        <v>46</v>
      </c>
      <c r="X12" s="45">
        <f>$O14</f>
        <v>37</v>
      </c>
      <c r="Y12" s="45">
        <f t="shared" si="20"/>
        <v>83</v>
      </c>
      <c r="Z12" s="45">
        <f>$P14</f>
        <v>11</v>
      </c>
      <c r="AB12" s="249">
        <v>19</v>
      </c>
      <c r="AC12" s="249">
        <v>18</v>
      </c>
      <c r="AD12" s="249">
        <v>10</v>
      </c>
      <c r="AE12" s="249">
        <v>6</v>
      </c>
      <c r="AF12" s="249">
        <v>2</v>
      </c>
      <c r="AG12" s="45"/>
      <c r="AH12" s="45">
        <f t="shared" si="6"/>
        <v>64</v>
      </c>
      <c r="AI12" s="45">
        <f t="shared" si="7"/>
        <v>83</v>
      </c>
      <c r="AJ12" s="45">
        <f t="shared" si="8"/>
        <v>94</v>
      </c>
      <c r="AK12" s="45">
        <f t="shared" si="21"/>
        <v>113</v>
      </c>
      <c r="AL12" s="45">
        <f t="shared" si="22"/>
        <v>131</v>
      </c>
      <c r="AM12" s="45">
        <f t="shared" si="23"/>
        <v>141</v>
      </c>
      <c r="AN12" s="45">
        <f t="shared" si="24"/>
        <v>147</v>
      </c>
      <c r="AO12" s="45">
        <f t="shared" si="25"/>
        <v>149</v>
      </c>
      <c r="AP12" s="45">
        <f t="shared" si="26"/>
        <v>149</v>
      </c>
      <c r="AQ12" s="45">
        <f t="shared" si="10"/>
        <v>149</v>
      </c>
      <c r="AS12" t="s">
        <v>662</v>
      </c>
      <c r="AT12" s="812" t="s">
        <v>670</v>
      </c>
      <c r="AU12" s="45">
        <f>$N14</f>
        <v>46</v>
      </c>
      <c r="AV12" s="45">
        <f>$O14</f>
        <v>37</v>
      </c>
      <c r="AW12" s="45">
        <f t="shared" ref="AW12" si="29">SUM(AU12:AV12)</f>
        <v>83</v>
      </c>
      <c r="AX12" s="45">
        <f>$P14</f>
        <v>11</v>
      </c>
      <c r="AZ12" s="249">
        <v>19</v>
      </c>
      <c r="BA12" s="249">
        <v>28</v>
      </c>
      <c r="BB12" s="249">
        <v>30</v>
      </c>
      <c r="BC12" s="249">
        <v>37</v>
      </c>
      <c r="BD12" s="249">
        <v>42</v>
      </c>
      <c r="BE12" s="249">
        <v>46</v>
      </c>
      <c r="BF12" s="45">
        <f t="shared" si="11"/>
        <v>125</v>
      </c>
      <c r="BG12" s="45">
        <f t="shared" si="12"/>
        <v>83</v>
      </c>
      <c r="BH12" s="45">
        <f t="shared" si="13"/>
        <v>94</v>
      </c>
      <c r="BI12" s="45">
        <f t="shared" si="28"/>
        <v>113</v>
      </c>
      <c r="BJ12" s="45">
        <f t="shared" si="14"/>
        <v>141</v>
      </c>
      <c r="BK12" s="45">
        <f t="shared" si="15"/>
        <v>171</v>
      </c>
      <c r="BL12" s="45">
        <f t="shared" si="16"/>
        <v>208</v>
      </c>
      <c r="BM12" s="45">
        <f t="shared" si="17"/>
        <v>250</v>
      </c>
      <c r="BN12" s="45">
        <f t="shared" si="18"/>
        <v>296</v>
      </c>
      <c r="BO12" s="45">
        <f t="shared" si="19"/>
        <v>296</v>
      </c>
    </row>
    <row r="13" spans="1:67" x14ac:dyDescent="0.25">
      <c r="A13" t="s">
        <v>662</v>
      </c>
      <c r="B13" s="812" t="s">
        <v>666</v>
      </c>
      <c r="C13" s="812" t="s">
        <v>616</v>
      </c>
      <c r="D13" s="45">
        <v>2</v>
      </c>
      <c r="E13" s="45">
        <v>0</v>
      </c>
      <c r="F13" s="45">
        <v>2</v>
      </c>
      <c r="G13" s="45">
        <v>5</v>
      </c>
      <c r="H13" s="45">
        <v>22</v>
      </c>
      <c r="I13" s="45">
        <v>25</v>
      </c>
      <c r="J13" s="45">
        <v>20</v>
      </c>
      <c r="K13" s="45">
        <v>23</v>
      </c>
      <c r="L13" s="45">
        <v>101</v>
      </c>
      <c r="M13" s="45">
        <v>146</v>
      </c>
      <c r="N13" s="87">
        <v>72</v>
      </c>
      <c r="O13" s="87">
        <v>124</v>
      </c>
      <c r="P13" s="87">
        <v>146</v>
      </c>
      <c r="Q13" s="87">
        <v>270</v>
      </c>
      <c r="R13" s="87">
        <v>196</v>
      </c>
      <c r="S13" s="87">
        <v>346</v>
      </c>
      <c r="U13" t="s">
        <v>662</v>
      </c>
      <c r="V13" s="812" t="s">
        <v>671</v>
      </c>
      <c r="Y13" s="45"/>
      <c r="AB13" s="267"/>
      <c r="AC13" s="267"/>
      <c r="AD13" s="267"/>
      <c r="AE13" s="267"/>
      <c r="AF13" s="267"/>
      <c r="AG13" s="45"/>
      <c r="AH13" s="45">
        <f t="shared" si="6"/>
        <v>0</v>
      </c>
      <c r="AI13" s="45">
        <f t="shared" si="7"/>
        <v>0</v>
      </c>
      <c r="AJ13" s="45">
        <f t="shared" si="8"/>
        <v>0</v>
      </c>
      <c r="AK13" s="45">
        <f t="shared" si="21"/>
        <v>0</v>
      </c>
      <c r="AL13" s="45">
        <f t="shared" si="22"/>
        <v>0</v>
      </c>
      <c r="AM13" s="45">
        <f t="shared" si="23"/>
        <v>0</v>
      </c>
      <c r="AN13" s="45">
        <f t="shared" si="24"/>
        <v>0</v>
      </c>
      <c r="AO13" s="45">
        <f t="shared" si="25"/>
        <v>0</v>
      </c>
      <c r="AP13" s="45">
        <f t="shared" si="26"/>
        <v>0</v>
      </c>
      <c r="AQ13" s="45">
        <f t="shared" si="10"/>
        <v>0</v>
      </c>
      <c r="AS13" t="s">
        <v>662</v>
      </c>
      <c r="AT13" s="812" t="s">
        <v>671</v>
      </c>
      <c r="AW13" s="45"/>
      <c r="AZ13" s="249">
        <v>0</v>
      </c>
      <c r="BA13" s="249">
        <v>10</v>
      </c>
      <c r="BB13" s="249">
        <v>21</v>
      </c>
      <c r="BC13" s="249">
        <v>33</v>
      </c>
      <c r="BD13" s="249">
        <v>42</v>
      </c>
      <c r="BE13" s="249">
        <v>48</v>
      </c>
      <c r="BF13" s="45">
        <f t="shared" si="11"/>
        <v>64</v>
      </c>
      <c r="BG13" s="45">
        <f t="shared" si="12"/>
        <v>0</v>
      </c>
      <c r="BH13" s="45">
        <f t="shared" si="13"/>
        <v>0</v>
      </c>
      <c r="BI13" s="45">
        <f t="shared" si="28"/>
        <v>0</v>
      </c>
      <c r="BJ13" s="45">
        <f t="shared" si="14"/>
        <v>10</v>
      </c>
      <c r="BK13" s="45">
        <f t="shared" si="15"/>
        <v>31</v>
      </c>
      <c r="BL13" s="45">
        <f t="shared" si="16"/>
        <v>64</v>
      </c>
      <c r="BM13" s="45">
        <f t="shared" si="17"/>
        <v>106</v>
      </c>
      <c r="BN13" s="45">
        <f t="shared" si="18"/>
        <v>154</v>
      </c>
      <c r="BO13" s="45">
        <f t="shared" si="19"/>
        <v>154</v>
      </c>
    </row>
    <row r="14" spans="1:67" x14ac:dyDescent="0.25">
      <c r="A14" t="s">
        <v>662</v>
      </c>
      <c r="B14" s="812" t="s">
        <v>670</v>
      </c>
      <c r="C14" s="812" t="s">
        <v>616</v>
      </c>
      <c r="D14" s="45">
        <v>18</v>
      </c>
      <c r="E14" s="45">
        <v>59</v>
      </c>
      <c r="F14" s="45">
        <v>187</v>
      </c>
      <c r="G14" s="45">
        <v>11</v>
      </c>
      <c r="H14" s="45">
        <v>5</v>
      </c>
      <c r="I14" s="45">
        <v>11</v>
      </c>
      <c r="J14" s="45">
        <v>19</v>
      </c>
      <c r="K14" s="45">
        <v>15</v>
      </c>
      <c r="L14" s="45">
        <v>22</v>
      </c>
      <c r="M14" s="45">
        <v>11</v>
      </c>
      <c r="N14" s="87">
        <v>46</v>
      </c>
      <c r="O14" s="87">
        <v>37</v>
      </c>
      <c r="P14" s="87">
        <v>11</v>
      </c>
      <c r="Q14" s="87">
        <v>48</v>
      </c>
      <c r="R14" s="87">
        <v>83</v>
      </c>
      <c r="S14" s="87">
        <v>358</v>
      </c>
      <c r="U14" t="s">
        <v>662</v>
      </c>
      <c r="V14" s="812" t="s">
        <v>672</v>
      </c>
      <c r="W14" s="45">
        <f>$N15</f>
        <v>48</v>
      </c>
      <c r="X14" s="45">
        <f>$O15</f>
        <v>2</v>
      </c>
      <c r="Y14" s="45">
        <f t="shared" si="20"/>
        <v>50</v>
      </c>
      <c r="Z14" s="45">
        <f>$P15</f>
        <v>1</v>
      </c>
      <c r="AB14" s="249">
        <v>0</v>
      </c>
      <c r="AC14" s="249">
        <v>0</v>
      </c>
      <c r="AD14" s="249">
        <v>0</v>
      </c>
      <c r="AE14" s="249">
        <v>0</v>
      </c>
      <c r="AF14" s="249">
        <v>0</v>
      </c>
      <c r="AG14" s="45"/>
      <c r="AH14" s="45">
        <f t="shared" si="6"/>
        <v>1</v>
      </c>
      <c r="AI14" s="45">
        <f t="shared" si="7"/>
        <v>50</v>
      </c>
      <c r="AJ14" s="45">
        <f t="shared" si="8"/>
        <v>51</v>
      </c>
      <c r="AK14" s="45">
        <f t="shared" si="21"/>
        <v>51</v>
      </c>
      <c r="AL14" s="45">
        <f t="shared" si="22"/>
        <v>51</v>
      </c>
      <c r="AM14" s="45">
        <f t="shared" si="23"/>
        <v>51</v>
      </c>
      <c r="AN14" s="45">
        <f t="shared" si="24"/>
        <v>51</v>
      </c>
      <c r="AO14" s="45">
        <f t="shared" si="25"/>
        <v>51</v>
      </c>
      <c r="AP14" s="45">
        <f t="shared" si="26"/>
        <v>51</v>
      </c>
      <c r="AQ14" s="45">
        <f t="shared" si="10"/>
        <v>51</v>
      </c>
      <c r="AS14" t="s">
        <v>662</v>
      </c>
      <c r="AT14" s="812" t="s">
        <v>672</v>
      </c>
      <c r="AU14" s="45">
        <f>$N15</f>
        <v>48</v>
      </c>
      <c r="AV14" s="45">
        <f>$O15</f>
        <v>2</v>
      </c>
      <c r="AW14" s="45">
        <f t="shared" ref="AW14" si="30">SUM(AU14:AV14)</f>
        <v>50</v>
      </c>
      <c r="AX14" s="45">
        <f>$P15</f>
        <v>1</v>
      </c>
      <c r="AZ14" s="249">
        <v>0</v>
      </c>
      <c r="BA14" s="249">
        <v>0</v>
      </c>
      <c r="BB14" s="249">
        <v>1</v>
      </c>
      <c r="BC14" s="249">
        <v>2</v>
      </c>
      <c r="BD14" s="249">
        <v>2</v>
      </c>
      <c r="BE14" s="249">
        <v>2</v>
      </c>
      <c r="BF14" s="45">
        <f t="shared" si="11"/>
        <v>4</v>
      </c>
      <c r="BG14" s="45">
        <f t="shared" si="12"/>
        <v>50</v>
      </c>
      <c r="BH14" s="45">
        <f t="shared" si="13"/>
        <v>51</v>
      </c>
      <c r="BI14" s="45">
        <f t="shared" si="28"/>
        <v>51</v>
      </c>
      <c r="BJ14" s="45">
        <f t="shared" si="14"/>
        <v>51</v>
      </c>
      <c r="BK14" s="45">
        <f t="shared" si="15"/>
        <v>52</v>
      </c>
      <c r="BL14" s="45">
        <f t="shared" si="16"/>
        <v>54</v>
      </c>
      <c r="BM14" s="45">
        <f t="shared" si="17"/>
        <v>56</v>
      </c>
      <c r="BN14" s="45">
        <f t="shared" si="18"/>
        <v>58</v>
      </c>
      <c r="BO14" s="45">
        <f t="shared" si="19"/>
        <v>58</v>
      </c>
    </row>
    <row r="15" spans="1:67" x14ac:dyDescent="0.25">
      <c r="A15" t="s">
        <v>662</v>
      </c>
      <c r="B15" s="812" t="s">
        <v>672</v>
      </c>
      <c r="C15" s="812" t="s">
        <v>616</v>
      </c>
      <c r="D15" s="45">
        <v>1</v>
      </c>
      <c r="E15" s="45">
        <v>5</v>
      </c>
      <c r="F15" s="45">
        <v>19</v>
      </c>
      <c r="G15" s="45">
        <v>9</v>
      </c>
      <c r="H15" s="45">
        <v>21</v>
      </c>
      <c r="I15" s="45">
        <v>13</v>
      </c>
      <c r="J15" s="45">
        <v>5</v>
      </c>
      <c r="K15" s="45">
        <v>2</v>
      </c>
      <c r="L15" s="45">
        <v>0</v>
      </c>
      <c r="M15" s="45">
        <v>1</v>
      </c>
      <c r="N15" s="87">
        <v>48</v>
      </c>
      <c r="O15" s="87">
        <v>2</v>
      </c>
      <c r="P15" s="87">
        <v>1</v>
      </c>
      <c r="Q15" s="87">
        <v>3</v>
      </c>
      <c r="R15" s="87">
        <v>50</v>
      </c>
      <c r="S15" s="87">
        <v>76</v>
      </c>
      <c r="U15" t="s">
        <v>662</v>
      </c>
      <c r="V15" s="812" t="s">
        <v>673</v>
      </c>
      <c r="AA15" s="812" t="s">
        <v>674</v>
      </c>
      <c r="AB15" s="267"/>
      <c r="AC15" s="267"/>
      <c r="AD15" s="267"/>
      <c r="AE15" s="267"/>
      <c r="AF15" s="267"/>
      <c r="AG15" s="45"/>
      <c r="AH15" s="45">
        <f t="shared" si="6"/>
        <v>0</v>
      </c>
      <c r="AI15" s="45">
        <f t="shared" si="7"/>
        <v>0</v>
      </c>
      <c r="AJ15" s="45">
        <f t="shared" si="8"/>
        <v>0</v>
      </c>
      <c r="AK15" s="45">
        <f t="shared" si="21"/>
        <v>0</v>
      </c>
      <c r="AL15" s="45">
        <f t="shared" si="22"/>
        <v>0</v>
      </c>
      <c r="AM15" s="45">
        <f t="shared" si="23"/>
        <v>0</v>
      </c>
      <c r="AN15" s="45">
        <f t="shared" si="24"/>
        <v>0</v>
      </c>
      <c r="AO15" s="45">
        <f t="shared" si="25"/>
        <v>0</v>
      </c>
      <c r="AP15" s="45">
        <f t="shared" si="26"/>
        <v>0</v>
      </c>
      <c r="AQ15" s="45">
        <f t="shared" si="10"/>
        <v>0</v>
      </c>
      <c r="AS15" t="s">
        <v>662</v>
      </c>
      <c r="AT15" s="812" t="s">
        <v>673</v>
      </c>
      <c r="AY15" s="812" t="s">
        <v>674</v>
      </c>
      <c r="AZ15" s="249">
        <v>0</v>
      </c>
      <c r="BA15" s="249">
        <v>4</v>
      </c>
      <c r="BB15" s="249">
        <v>9</v>
      </c>
      <c r="BC15" s="249">
        <v>15</v>
      </c>
      <c r="BD15" s="249">
        <v>19</v>
      </c>
      <c r="BE15" s="249">
        <v>21</v>
      </c>
      <c r="BF15" s="45">
        <f t="shared" si="11"/>
        <v>28</v>
      </c>
      <c r="BG15" s="45">
        <f t="shared" si="12"/>
        <v>0</v>
      </c>
      <c r="BH15" s="45">
        <f t="shared" si="13"/>
        <v>0</v>
      </c>
      <c r="BI15" s="45">
        <f t="shared" si="28"/>
        <v>0</v>
      </c>
      <c r="BJ15" s="45">
        <f t="shared" si="14"/>
        <v>4</v>
      </c>
      <c r="BK15" s="45">
        <f t="shared" si="15"/>
        <v>13</v>
      </c>
      <c r="BL15" s="45">
        <f t="shared" si="16"/>
        <v>28</v>
      </c>
      <c r="BM15" s="45">
        <f t="shared" si="17"/>
        <v>47</v>
      </c>
      <c r="BN15" s="45">
        <f t="shared" si="18"/>
        <v>68</v>
      </c>
      <c r="BO15" s="45">
        <f t="shared" si="19"/>
        <v>68</v>
      </c>
    </row>
    <row r="16" spans="1:67" x14ac:dyDescent="0.25">
      <c r="A16" s="3" t="s">
        <v>662</v>
      </c>
      <c r="B16" s="813" t="s">
        <v>675</v>
      </c>
      <c r="C16" s="813" t="s">
        <v>616</v>
      </c>
      <c r="D16" s="88" t="b">
        <v>1</v>
      </c>
      <c r="E16" s="88" t="b">
        <v>1</v>
      </c>
      <c r="F16" s="88" t="b">
        <v>1</v>
      </c>
      <c r="G16" s="88" t="b">
        <v>1</v>
      </c>
      <c r="H16" s="88" t="b">
        <v>1</v>
      </c>
      <c r="I16" s="88" t="b">
        <v>1</v>
      </c>
      <c r="J16" s="88" t="b">
        <v>1</v>
      </c>
      <c r="K16" s="88" t="b">
        <v>1</v>
      </c>
      <c r="L16" s="88" t="b">
        <v>1</v>
      </c>
      <c r="M16" s="88" t="b">
        <v>1</v>
      </c>
      <c r="N16" s="88" t="b">
        <v>1</v>
      </c>
      <c r="O16" s="88" t="b">
        <v>1</v>
      </c>
      <c r="P16" s="88" t="b">
        <v>1</v>
      </c>
      <c r="Q16" s="88" t="b">
        <v>1</v>
      </c>
      <c r="R16" s="88" t="b">
        <v>1</v>
      </c>
      <c r="S16" s="88" t="b">
        <v>1</v>
      </c>
      <c r="U16" s="3"/>
      <c r="V16" s="3"/>
      <c r="W16" s="3"/>
      <c r="X16" s="3"/>
      <c r="Y16" s="3"/>
      <c r="Z16" s="3"/>
      <c r="AA16" s="813" t="s">
        <v>658</v>
      </c>
      <c r="AB16" s="3"/>
      <c r="AC16" s="3"/>
      <c r="AD16" s="3"/>
      <c r="AE16" s="3"/>
      <c r="AF16" s="3"/>
      <c r="AG16" s="3"/>
      <c r="AH16" s="3"/>
      <c r="AI16" s="3"/>
      <c r="AJ16" s="3"/>
      <c r="AK16" s="3"/>
      <c r="AL16" s="3"/>
      <c r="AM16" s="3"/>
      <c r="AN16" s="3"/>
      <c r="AO16" s="3"/>
      <c r="AP16" s="3"/>
      <c r="AQ16" s="3"/>
      <c r="AS16" s="3"/>
      <c r="AT16" s="3"/>
      <c r="AU16" s="3"/>
      <c r="AV16" s="3"/>
      <c r="AW16" s="3"/>
      <c r="AX16" s="3"/>
      <c r="AY16" s="813" t="s">
        <v>658</v>
      </c>
      <c r="AZ16" s="3"/>
      <c r="BA16" s="3"/>
      <c r="BB16" s="3"/>
      <c r="BC16" s="3"/>
      <c r="BD16" s="3"/>
      <c r="BE16" s="3"/>
      <c r="BF16" s="3"/>
      <c r="BG16" s="3"/>
      <c r="BH16" s="3"/>
      <c r="BI16" s="3"/>
      <c r="BJ16" s="3"/>
      <c r="BK16" s="3"/>
      <c r="BL16" s="3"/>
      <c r="BM16" s="3"/>
      <c r="BN16" s="3"/>
      <c r="BO16" s="3"/>
    </row>
    <row r="17" spans="1:67" x14ac:dyDescent="0.25">
      <c r="A17" t="s">
        <v>676</v>
      </c>
      <c r="B17" s="812" t="s">
        <v>616</v>
      </c>
      <c r="C17" s="812" t="s">
        <v>616</v>
      </c>
      <c r="D17" s="507">
        <v>1.8531523998289622E-2</v>
      </c>
      <c r="E17" s="507">
        <v>3.4775464200291581E-2</v>
      </c>
      <c r="F17" s="507">
        <v>0.10790693456916356</v>
      </c>
      <c r="G17" s="507">
        <v>3.9395992095341503E-2</v>
      </c>
      <c r="H17" s="507">
        <v>0.1379866829435083</v>
      </c>
      <c r="I17" s="507">
        <v>0.10705987286241124</v>
      </c>
      <c r="J17" s="507">
        <v>3.2588528285372946E-2</v>
      </c>
      <c r="K17" s="507">
        <v>3.4558417180822448E-2</v>
      </c>
      <c r="L17" s="507">
        <v>0.10427128764835783</v>
      </c>
      <c r="M17" s="507">
        <v>0.10456342914050235</v>
      </c>
      <c r="N17" s="506">
        <v>0.31703107618663401</v>
      </c>
      <c r="O17" s="506">
        <v>0.13882970482918028</v>
      </c>
      <c r="P17" s="506">
        <v>0.10456342914050235</v>
      </c>
      <c r="Q17" s="506">
        <v>0.24339313396968262</v>
      </c>
      <c r="R17" s="506">
        <v>0.45586078101581429</v>
      </c>
      <c r="S17" s="506">
        <v>0.72163813292406132</v>
      </c>
      <c r="U17" t="s">
        <v>677</v>
      </c>
      <c r="V17" s="812" t="s">
        <v>616</v>
      </c>
      <c r="W17" s="765">
        <f>$N17</f>
        <v>0.31703107618663401</v>
      </c>
      <c r="X17" s="506">
        <f>$O17</f>
        <v>0.13882970482918028</v>
      </c>
      <c r="Y17" s="506">
        <f>SUM(Y18:Y25)</f>
        <v>0.19796934860198154</v>
      </c>
      <c r="Z17" s="506">
        <f>$P17</f>
        <v>0.10456342914050235</v>
      </c>
      <c r="AA17" s="754">
        <f>$Q77</f>
        <v>5.4450365541316027E-4</v>
      </c>
      <c r="AB17" s="506">
        <f>SUM(AB18:AB25)</f>
        <v>0.17663845833968353</v>
      </c>
      <c r="AC17" s="506">
        <f t="shared" ref="AC17:AG17" si="31">SUM(AC18:AC25)</f>
        <v>0.1768655921094337</v>
      </c>
      <c r="AD17" s="506">
        <f t="shared" si="31"/>
        <v>0.13654258459631149</v>
      </c>
      <c r="AE17" s="506">
        <f t="shared" si="31"/>
        <v>7.4253523294293064E-2</v>
      </c>
      <c r="AF17" s="506">
        <f t="shared" si="31"/>
        <v>2.5216132315831939E-2</v>
      </c>
      <c r="AG17" s="506">
        <f t="shared" si="31"/>
        <v>0</v>
      </c>
      <c r="AH17" s="506">
        <f t="shared" ref="AH17:AH22" si="32">SUM(Z17,AB17:AF17)</f>
        <v>0.69407971979605609</v>
      </c>
      <c r="AI17" s="506">
        <f>Y17</f>
        <v>0.19796934860198154</v>
      </c>
      <c r="AJ17" s="506">
        <f>AI17+Z17</f>
        <v>0.30253277774248388</v>
      </c>
      <c r="AK17" s="506">
        <f t="shared" ref="AK17:AP17" si="33">SUM(AK18:AK25)</f>
        <v>0.45810759657646122</v>
      </c>
      <c r="AL17" s="506">
        <f t="shared" si="33"/>
        <v>0.63497318868589492</v>
      </c>
      <c r="AM17" s="506">
        <f t="shared" si="33"/>
        <v>0.77151577328220644</v>
      </c>
      <c r="AN17" s="506">
        <f t="shared" si="33"/>
        <v>0.84576929657649946</v>
      </c>
      <c r="AO17" s="506">
        <f t="shared" si="33"/>
        <v>0.87098542889233133</v>
      </c>
      <c r="AP17" s="506">
        <f t="shared" si="33"/>
        <v>0.87098542889233133</v>
      </c>
      <c r="AQ17" s="506">
        <f>AP17</f>
        <v>0.87098542889233133</v>
      </c>
      <c r="AS17" t="s">
        <v>677</v>
      </c>
      <c r="AT17" s="812" t="s">
        <v>616</v>
      </c>
      <c r="AU17" s="765">
        <f>$N17</f>
        <v>0.31703107618663401</v>
      </c>
      <c r="AV17" s="506">
        <f>$O17</f>
        <v>0.13882970482918028</v>
      </c>
      <c r="AW17" s="506">
        <f>SUM(AW18:AW25)</f>
        <v>0.19796934860198154</v>
      </c>
      <c r="AX17" s="506">
        <f>$P17</f>
        <v>0.10456342914050235</v>
      </c>
      <c r="AY17" s="754">
        <f>$Q77</f>
        <v>5.4450365541316027E-4</v>
      </c>
      <c r="AZ17" s="506">
        <f>SUM(AZ18:AZ25)</f>
        <v>0.17663845833968353</v>
      </c>
      <c r="BA17" s="506">
        <f t="shared" ref="BA17:BE17" si="34">SUM(BA18:BA25)</f>
        <v>0.22580029139367791</v>
      </c>
      <c r="BB17" s="506">
        <f t="shared" si="34"/>
        <v>0.24147087915976759</v>
      </c>
      <c r="BC17" s="506">
        <f t="shared" si="34"/>
        <v>0.23906551896235975</v>
      </c>
      <c r="BD17" s="506">
        <f t="shared" si="34"/>
        <v>0.23518525626228062</v>
      </c>
      <c r="BE17" s="506">
        <f t="shared" si="34"/>
        <v>0.23821404459443299</v>
      </c>
      <c r="BF17" s="506">
        <f>SUM(AX17,AZ17:BD17)</f>
        <v>1.2227238332582717</v>
      </c>
      <c r="BG17" s="506">
        <f>AW17</f>
        <v>0.19796934860198154</v>
      </c>
      <c r="BH17" s="506">
        <f>BG17+AX17</f>
        <v>0.30253277774248388</v>
      </c>
      <c r="BI17" s="506">
        <f t="shared" ref="BI17:BN17" si="35">SUM(BI18:BI25)</f>
        <v>0.45810759657646122</v>
      </c>
      <c r="BJ17" s="506">
        <f t="shared" si="35"/>
        <v>0.68390788797013913</v>
      </c>
      <c r="BK17" s="506">
        <f t="shared" si="35"/>
        <v>0.92537876712990674</v>
      </c>
      <c r="BL17" s="506">
        <f t="shared" si="35"/>
        <v>1.1644442860922664</v>
      </c>
      <c r="BM17" s="506">
        <f t="shared" si="35"/>
        <v>1.3996295423545468</v>
      </c>
      <c r="BN17" s="506">
        <f t="shared" si="35"/>
        <v>1.63784358694898</v>
      </c>
      <c r="BO17" s="506">
        <f>BN17</f>
        <v>1.63784358694898</v>
      </c>
    </row>
    <row r="18" spans="1:67" x14ac:dyDescent="0.25">
      <c r="A18" t="s">
        <v>676</v>
      </c>
      <c r="B18" s="812" t="s">
        <v>663</v>
      </c>
      <c r="C18" s="812" t="s">
        <v>616</v>
      </c>
      <c r="D18" s="507">
        <v>1.2833881147952815E-2</v>
      </c>
      <c r="E18" s="507">
        <v>1.7635636438791114E-2</v>
      </c>
      <c r="F18" s="507">
        <v>5.6905481103523926E-2</v>
      </c>
      <c r="G18" s="507">
        <v>3.42018079237702E-2</v>
      </c>
      <c r="H18" s="507">
        <v>0.11987252379173446</v>
      </c>
      <c r="I18" s="507">
        <v>8.4305204287947799E-2</v>
      </c>
      <c r="J18" s="507">
        <v>1.9511896410380005E-2</v>
      </c>
      <c r="K18" s="507">
        <v>1.4499087048375331E-2</v>
      </c>
      <c r="L18" s="507">
        <v>1.5263412728162706E-2</v>
      </c>
      <c r="M18" s="507">
        <v>5.3316206473542948E-3</v>
      </c>
      <c r="N18" s="711">
        <v>0.25789143241383244</v>
      </c>
      <c r="O18" s="506">
        <v>2.9762499776538037E-2</v>
      </c>
      <c r="P18" s="506">
        <v>5.3316206473542948E-3</v>
      </c>
      <c r="Q18" s="506">
        <v>3.509412042389233E-2</v>
      </c>
      <c r="R18" s="506">
        <v>0.2876539321903705</v>
      </c>
      <c r="S18" s="506">
        <v>0.38036055152799264</v>
      </c>
      <c r="U18" t="s">
        <v>677</v>
      </c>
      <c r="V18" s="812" t="s">
        <v>663</v>
      </c>
      <c r="W18" s="648"/>
      <c r="X18" s="506">
        <f>$O18</f>
        <v>2.9762499776538037E-2</v>
      </c>
      <c r="Y18" s="506">
        <f>SUM(W18:X18)</f>
        <v>2.9762499776538037E-2</v>
      </c>
      <c r="Z18" s="506">
        <f>$P18</f>
        <v>5.3316206473542948E-3</v>
      </c>
      <c r="AA18" s="760">
        <f>$Q78</f>
        <v>2.9245100353243611E-4</v>
      </c>
      <c r="AB18" s="506">
        <f>$AA18*AB8</f>
        <v>4.3867650529865413E-3</v>
      </c>
      <c r="AC18" s="506">
        <f t="shared" ref="AC18:AG18" si="36">$AA18*AC8</f>
        <v>2.924510035324361E-3</v>
      </c>
      <c r="AD18" s="506">
        <f t="shared" si="36"/>
        <v>0</v>
      </c>
      <c r="AE18" s="506">
        <f t="shared" si="36"/>
        <v>0</v>
      </c>
      <c r="AF18" s="506">
        <f t="shared" si="36"/>
        <v>0</v>
      </c>
      <c r="AG18" s="506">
        <f t="shared" si="36"/>
        <v>0</v>
      </c>
      <c r="AH18" s="506">
        <f t="shared" si="32"/>
        <v>1.2642895735665198E-2</v>
      </c>
      <c r="AI18" s="506">
        <f t="shared" ref="AI18:AI24" si="37">Y18</f>
        <v>2.9762499776538037E-2</v>
      </c>
      <c r="AJ18" s="506">
        <f t="shared" ref="AJ18:AJ24" si="38">AI18+Z18</f>
        <v>3.509412042389233E-2</v>
      </c>
      <c r="AK18" s="506">
        <f>AJ18+AB18</f>
        <v>3.948088547687887E-2</v>
      </c>
      <c r="AL18" s="506">
        <f t="shared" ref="AL18:AP18" si="39">AK18+AC18</f>
        <v>4.240539551220323E-2</v>
      </c>
      <c r="AM18" s="506">
        <f t="shared" si="39"/>
        <v>4.240539551220323E-2</v>
      </c>
      <c r="AN18" s="506">
        <f t="shared" si="39"/>
        <v>4.240539551220323E-2</v>
      </c>
      <c r="AO18" s="506">
        <f t="shared" si="39"/>
        <v>4.240539551220323E-2</v>
      </c>
      <c r="AP18" s="506">
        <f t="shared" si="39"/>
        <v>4.240539551220323E-2</v>
      </c>
      <c r="AQ18" s="506">
        <f>AP18</f>
        <v>4.240539551220323E-2</v>
      </c>
      <c r="AS18" t="s">
        <v>677</v>
      </c>
      <c r="AT18" s="812" t="s">
        <v>663</v>
      </c>
      <c r="AU18" s="648"/>
      <c r="AV18" s="506">
        <f>$O18</f>
        <v>2.9762499776538037E-2</v>
      </c>
      <c r="AW18" s="506">
        <f>SUM(AU18:AV18)</f>
        <v>2.9762499776538037E-2</v>
      </c>
      <c r="AX18" s="506">
        <f>$P18</f>
        <v>5.3316206473542948E-3</v>
      </c>
      <c r="AY18" s="760">
        <f>$Q78</f>
        <v>2.9245100353243611E-4</v>
      </c>
      <c r="AZ18" s="506">
        <f>$AA18*AZ8</f>
        <v>4.3867650529865413E-3</v>
      </c>
      <c r="BA18" s="506">
        <f t="shared" ref="BA18:BE18" si="40">$AA18*BA8</f>
        <v>8.7735301059730826E-3</v>
      </c>
      <c r="BB18" s="506">
        <f t="shared" si="40"/>
        <v>1.3160295158959626E-2</v>
      </c>
      <c r="BC18" s="506">
        <f t="shared" si="40"/>
        <v>2.0471570247270528E-2</v>
      </c>
      <c r="BD18" s="506">
        <f t="shared" si="40"/>
        <v>2.5735688310854377E-2</v>
      </c>
      <c r="BE18" s="506">
        <f t="shared" si="40"/>
        <v>2.9245100353243611E-2</v>
      </c>
      <c r="BF18" s="506">
        <f>SUM(AX18,AZ18:BD18)</f>
        <v>7.785946952339845E-2</v>
      </c>
      <c r="BG18" s="506">
        <f t="shared" ref="BG18:BG25" si="41">AW18</f>
        <v>2.9762499776538037E-2</v>
      </c>
      <c r="BH18" s="506">
        <f t="shared" ref="BH18:BH25" si="42">BG18+AX18</f>
        <v>3.509412042389233E-2</v>
      </c>
      <c r="BI18" s="506">
        <f>BH18+AZ18</f>
        <v>3.948088547687887E-2</v>
      </c>
      <c r="BJ18" s="506">
        <f t="shared" ref="BJ18:BN18" si="43">BI18+BA18</f>
        <v>4.8254415582851956E-2</v>
      </c>
      <c r="BK18" s="506">
        <f t="shared" si="43"/>
        <v>6.1414710741811582E-2</v>
      </c>
      <c r="BL18" s="506">
        <f t="shared" si="43"/>
        <v>8.1886280989082114E-2</v>
      </c>
      <c r="BM18" s="506">
        <f t="shared" si="43"/>
        <v>0.10762196929993649</v>
      </c>
      <c r="BN18" s="506">
        <f t="shared" si="43"/>
        <v>0.1368670696531801</v>
      </c>
      <c r="BO18" s="506">
        <f>BN18</f>
        <v>0.1368670696531801</v>
      </c>
    </row>
    <row r="19" spans="1:67" x14ac:dyDescent="0.25">
      <c r="A19" t="s">
        <v>676</v>
      </c>
      <c r="B19" s="812" t="s">
        <v>664</v>
      </c>
      <c r="C19" s="812" t="s">
        <v>616</v>
      </c>
      <c r="D19" s="507">
        <v>0</v>
      </c>
      <c r="E19" s="507">
        <v>0</v>
      </c>
      <c r="F19" s="507">
        <v>0</v>
      </c>
      <c r="G19" s="507">
        <v>3.3388923719017665E-4</v>
      </c>
      <c r="H19" s="507">
        <v>8.342162572199838E-3</v>
      </c>
      <c r="I19" s="507">
        <v>1.1017236835718055E-2</v>
      </c>
      <c r="J19" s="507">
        <v>7.7096082547134547E-4</v>
      </c>
      <c r="K19" s="507">
        <v>2.991740514659272E-4</v>
      </c>
      <c r="L19" s="507">
        <v>1.9242597284874145E-4</v>
      </c>
      <c r="M19" s="507">
        <v>1.0779001081207954E-4</v>
      </c>
      <c r="N19" s="506">
        <v>2.0464249470579413E-2</v>
      </c>
      <c r="O19" s="506">
        <v>4.9160002431466868E-4</v>
      </c>
      <c r="P19" s="506">
        <v>1.0779001081207954E-4</v>
      </c>
      <c r="Q19" s="506">
        <v>5.9939003512674818E-4</v>
      </c>
      <c r="R19" s="506">
        <v>2.0955849494894083E-2</v>
      </c>
      <c r="S19" s="506">
        <v>2.1063639505706163E-2</v>
      </c>
      <c r="U19" t="s">
        <v>677</v>
      </c>
      <c r="V19" s="812" t="s">
        <v>664</v>
      </c>
      <c r="W19" s="507">
        <f>$N19</f>
        <v>2.0464249470579413E-2</v>
      </c>
      <c r="X19" s="507">
        <f>$O19</f>
        <v>4.9160002431466868E-4</v>
      </c>
      <c r="Y19" s="507">
        <f t="shared" ref="Y19:Y24" si="44">SUM(W19:X19)</f>
        <v>2.0955849494894083E-2</v>
      </c>
      <c r="Z19" s="507">
        <f>$P19</f>
        <v>1.0779001081207954E-4</v>
      </c>
      <c r="AA19" s="754">
        <f>$Q79</f>
        <v>9.9898339187791364E-5</v>
      </c>
      <c r="AB19" s="267"/>
      <c r="AC19" s="267"/>
      <c r="AD19" s="267"/>
      <c r="AE19" s="267"/>
      <c r="AF19" s="267"/>
      <c r="AG19" s="267"/>
      <c r="AH19" s="507">
        <f t="shared" si="32"/>
        <v>1.0779001081207954E-4</v>
      </c>
      <c r="AI19" s="507">
        <f t="shared" si="37"/>
        <v>2.0955849494894083E-2</v>
      </c>
      <c r="AJ19" s="507">
        <f t="shared" si="38"/>
        <v>2.1063639505706163E-2</v>
      </c>
      <c r="AK19" s="267"/>
      <c r="AL19" s="267"/>
      <c r="AM19" s="267"/>
      <c r="AN19" s="267"/>
      <c r="AO19" s="267"/>
      <c r="AP19" s="267"/>
      <c r="AQ19" s="267"/>
      <c r="AS19" t="s">
        <v>677</v>
      </c>
      <c r="AT19" s="812" t="s">
        <v>664</v>
      </c>
      <c r="AU19" s="507">
        <f>$N19</f>
        <v>2.0464249470579413E-2</v>
      </c>
      <c r="AV19" s="507">
        <f>$O19</f>
        <v>4.9160002431466868E-4</v>
      </c>
      <c r="AW19" s="507">
        <f t="shared" ref="AW19:AW20" si="45">SUM(AU19:AV19)</f>
        <v>2.0955849494894083E-2</v>
      </c>
      <c r="AX19" s="507">
        <f>$P19</f>
        <v>1.0779001081207954E-4</v>
      </c>
      <c r="AY19" s="754">
        <f>$Q79</f>
        <v>9.9898339187791364E-5</v>
      </c>
      <c r="AZ19" s="267"/>
      <c r="BA19" s="267"/>
      <c r="BB19" s="267"/>
      <c r="BC19" s="267"/>
      <c r="BD19" s="267"/>
      <c r="BE19" s="267"/>
      <c r="BF19" s="507">
        <f t="shared" ref="BF19:BF36" si="46">SUM(AX19,AZ19:BD19)</f>
        <v>1.0779001081207954E-4</v>
      </c>
      <c r="BG19" s="507">
        <f t="shared" si="41"/>
        <v>2.0955849494894083E-2</v>
      </c>
      <c r="BH19" s="507">
        <f t="shared" si="42"/>
        <v>2.1063639505706163E-2</v>
      </c>
      <c r="BI19" s="267"/>
      <c r="BJ19" s="267"/>
      <c r="BK19" s="267"/>
      <c r="BL19" s="267"/>
      <c r="BM19" s="267"/>
      <c r="BN19" s="267"/>
      <c r="BO19" s="267"/>
    </row>
    <row r="20" spans="1:67" x14ac:dyDescent="0.25">
      <c r="A20" t="s">
        <v>676</v>
      </c>
      <c r="B20" s="812" t="s">
        <v>665</v>
      </c>
      <c r="C20" s="812" t="s">
        <v>616</v>
      </c>
      <c r="D20" s="507">
        <v>0</v>
      </c>
      <c r="E20" s="507">
        <v>0</v>
      </c>
      <c r="F20" s="507">
        <v>0</v>
      </c>
      <c r="G20" s="507">
        <v>0</v>
      </c>
      <c r="H20" s="507">
        <v>0</v>
      </c>
      <c r="I20" s="507">
        <v>5.8673030121623049E-4</v>
      </c>
      <c r="J20" s="507">
        <v>0</v>
      </c>
      <c r="K20" s="507">
        <v>8.5420654012614372E-4</v>
      </c>
      <c r="L20" s="507">
        <v>3.9559543516859766E-3</v>
      </c>
      <c r="M20" s="507">
        <v>1.1838590125898871E-2</v>
      </c>
      <c r="N20" s="506">
        <v>5.8673030121623049E-4</v>
      </c>
      <c r="O20" s="506">
        <v>4.8101608918121206E-3</v>
      </c>
      <c r="P20" s="506">
        <v>1.1838590125898871E-2</v>
      </c>
      <c r="Q20" s="506">
        <v>1.6648751017710992E-2</v>
      </c>
      <c r="R20" s="506">
        <v>5.3968911930283511E-3</v>
      </c>
      <c r="S20" s="506">
        <v>1.7235481318927222E-2</v>
      </c>
      <c r="U20" t="s">
        <v>677</v>
      </c>
      <c r="V20" s="812" t="s">
        <v>666</v>
      </c>
      <c r="W20" s="507">
        <f>$N23</f>
        <v>2.5240589954958335E-2</v>
      </c>
      <c r="X20" s="507">
        <f>$O23</f>
        <v>9.3247227108397349E-2</v>
      </c>
      <c r="Y20" s="507">
        <f t="shared" si="44"/>
        <v>0.11848781706335568</v>
      </c>
      <c r="Z20" s="507">
        <f>$P23</f>
        <v>9.5060716073975204E-2</v>
      </c>
      <c r="AA20" s="754">
        <f>$Q83</f>
        <v>6.9743682660137985E-4</v>
      </c>
      <c r="AB20" s="507">
        <f t="shared" ref="AB20:AG22" si="47">$AA20*AB10</f>
        <v>0.16459509107792564</v>
      </c>
      <c r="AC20" s="507">
        <f t="shared" si="47"/>
        <v>0.16668740155772979</v>
      </c>
      <c r="AD20" s="507">
        <f t="shared" si="47"/>
        <v>0.13251299705426217</v>
      </c>
      <c r="AE20" s="507">
        <f t="shared" si="47"/>
        <v>7.1835993139942128E-2</v>
      </c>
      <c r="AF20" s="507">
        <f t="shared" si="47"/>
        <v>2.4410288931048296E-2</v>
      </c>
      <c r="AG20" s="507">
        <f t="shared" si="47"/>
        <v>0</v>
      </c>
      <c r="AH20" s="507">
        <f t="shared" si="32"/>
        <v>0.65510248783488323</v>
      </c>
      <c r="AI20" s="507">
        <f t="shared" si="37"/>
        <v>0.11848781706335568</v>
      </c>
      <c r="AJ20" s="507">
        <f t="shared" si="38"/>
        <v>0.21354853313733088</v>
      </c>
      <c r="AK20" s="507">
        <f t="shared" ref="AK20:AP22" si="48">AJ20+AB20</f>
        <v>0.37814362421525649</v>
      </c>
      <c r="AL20" s="507">
        <f t="shared" si="48"/>
        <v>0.54483102577298625</v>
      </c>
      <c r="AM20" s="507">
        <f t="shared" si="48"/>
        <v>0.67734402282724848</v>
      </c>
      <c r="AN20" s="507">
        <f t="shared" si="48"/>
        <v>0.74918001596719064</v>
      </c>
      <c r="AO20" s="507">
        <f t="shared" si="48"/>
        <v>0.77359030489823888</v>
      </c>
      <c r="AP20" s="507">
        <f t="shared" si="48"/>
        <v>0.77359030489823888</v>
      </c>
      <c r="AQ20" s="507">
        <f t="shared" ref="AQ20:AQ22" si="49">AP20</f>
        <v>0.77359030489823888</v>
      </c>
      <c r="AS20" t="s">
        <v>677</v>
      </c>
      <c r="AT20" s="812" t="s">
        <v>666</v>
      </c>
      <c r="AU20" s="507">
        <f>$N23</f>
        <v>2.5240589954958335E-2</v>
      </c>
      <c r="AV20" s="507">
        <f>$O23</f>
        <v>9.3247227108397349E-2</v>
      </c>
      <c r="AW20" s="507">
        <f t="shared" si="45"/>
        <v>0.11848781706335568</v>
      </c>
      <c r="AX20" s="507">
        <f>$P23</f>
        <v>9.5060716073975204E-2</v>
      </c>
      <c r="AY20" s="754">
        <f>$Q83</f>
        <v>6.9743682660137985E-4</v>
      </c>
      <c r="AZ20" s="507">
        <f t="shared" ref="AZ20:BE25" si="50">$AA20*AZ10</f>
        <v>0.16459509107792564</v>
      </c>
      <c r="BA20" s="507">
        <f t="shared" si="50"/>
        <v>0.20574386384740706</v>
      </c>
      <c r="BB20" s="507">
        <f t="shared" si="50"/>
        <v>0.21620541624642775</v>
      </c>
      <c r="BC20" s="507">
        <f t="shared" si="50"/>
        <v>0.20365155336760291</v>
      </c>
      <c r="BD20" s="507">
        <f t="shared" si="50"/>
        <v>0.19249256414198085</v>
      </c>
      <c r="BE20" s="507">
        <f t="shared" si="50"/>
        <v>0.19040025366217669</v>
      </c>
      <c r="BF20" s="507">
        <f t="shared" si="46"/>
        <v>1.0777492047553194</v>
      </c>
      <c r="BG20" s="507">
        <f t="shared" si="41"/>
        <v>0.11848781706335568</v>
      </c>
      <c r="BH20" s="507">
        <f t="shared" si="42"/>
        <v>0.21354853313733088</v>
      </c>
      <c r="BI20" s="507">
        <f t="shared" ref="BI20:BN25" si="51">BH20+AZ20</f>
        <v>0.37814362421525649</v>
      </c>
      <c r="BJ20" s="507">
        <f t="shared" si="51"/>
        <v>0.58388748806266355</v>
      </c>
      <c r="BK20" s="507">
        <f t="shared" si="51"/>
        <v>0.8000929043090913</v>
      </c>
      <c r="BL20" s="507">
        <f t="shared" si="51"/>
        <v>1.0037444576766943</v>
      </c>
      <c r="BM20" s="507">
        <f t="shared" si="51"/>
        <v>1.1962370218186751</v>
      </c>
      <c r="BN20" s="507">
        <f t="shared" si="51"/>
        <v>1.3866372754808518</v>
      </c>
      <c r="BO20" s="507">
        <f t="shared" ref="BO20:BO25" si="52">BN20</f>
        <v>1.3866372754808518</v>
      </c>
    </row>
    <row r="21" spans="1:67" x14ac:dyDescent="0.25">
      <c r="A21" t="s">
        <v>676</v>
      </c>
      <c r="B21" s="812" t="s">
        <v>667</v>
      </c>
      <c r="C21" s="812" t="s">
        <v>616</v>
      </c>
      <c r="D21" s="507">
        <v>0</v>
      </c>
      <c r="E21" s="507">
        <v>0</v>
      </c>
      <c r="F21" s="507">
        <v>0</v>
      </c>
      <c r="G21" s="507">
        <v>0</v>
      </c>
      <c r="H21" s="507">
        <v>3.5542102873450058E-3</v>
      </c>
      <c r="I21" s="507">
        <v>3.8941743632966899E-3</v>
      </c>
      <c r="J21" s="507">
        <v>2.0978324407189193E-3</v>
      </c>
      <c r="K21" s="507">
        <v>1.1258917808312332E-2</v>
      </c>
      <c r="L21" s="507">
        <v>6.7982095735972803E-2</v>
      </c>
      <c r="M21" s="507">
        <v>7.654337195877961E-2</v>
      </c>
      <c r="N21" s="506">
        <v>9.5462170913606145E-3</v>
      </c>
      <c r="O21" s="506">
        <v>7.924101354428513E-2</v>
      </c>
      <c r="P21" s="506">
        <v>7.654337195877961E-2</v>
      </c>
      <c r="Q21" s="506">
        <v>0.15578438550306473</v>
      </c>
      <c r="R21" s="506">
        <v>8.8787230635645739E-2</v>
      </c>
      <c r="S21" s="506">
        <v>0.16533060259442536</v>
      </c>
      <c r="U21" t="s">
        <v>677</v>
      </c>
      <c r="V21" s="812" t="s">
        <v>668</v>
      </c>
      <c r="W21" s="507"/>
      <c r="X21" s="507"/>
      <c r="Y21" s="507"/>
      <c r="Z21" s="507"/>
      <c r="AA21" s="755">
        <v>2.180106653483301E-8</v>
      </c>
      <c r="AB21" s="507">
        <f t="shared" si="47"/>
        <v>1.0900533267416504E-6</v>
      </c>
      <c r="AC21" s="507">
        <f t="shared" si="47"/>
        <v>1.0900533267416504E-6</v>
      </c>
      <c r="AD21" s="507">
        <f t="shared" si="47"/>
        <v>3.7061813109216117E-7</v>
      </c>
      <c r="AE21" s="507">
        <f t="shared" si="47"/>
        <v>0</v>
      </c>
      <c r="AF21" s="507">
        <f t="shared" si="47"/>
        <v>0</v>
      </c>
      <c r="AG21" s="507">
        <f t="shared" si="47"/>
        <v>0</v>
      </c>
      <c r="AH21" s="507">
        <f t="shared" si="32"/>
        <v>2.550724784575462E-6</v>
      </c>
      <c r="AI21" s="507">
        <f t="shared" si="37"/>
        <v>0</v>
      </c>
      <c r="AJ21" s="507">
        <f t="shared" si="38"/>
        <v>0</v>
      </c>
      <c r="AK21" s="507">
        <f t="shared" si="48"/>
        <v>1.0900533267416504E-6</v>
      </c>
      <c r="AL21" s="507">
        <f t="shared" si="48"/>
        <v>2.1801066534833009E-6</v>
      </c>
      <c r="AM21" s="507">
        <f t="shared" si="48"/>
        <v>2.550724784575462E-6</v>
      </c>
      <c r="AN21" s="507">
        <f t="shared" si="48"/>
        <v>2.550724784575462E-6</v>
      </c>
      <c r="AO21" s="507">
        <f t="shared" si="48"/>
        <v>2.550724784575462E-6</v>
      </c>
      <c r="AP21" s="507">
        <f t="shared" si="48"/>
        <v>2.550724784575462E-6</v>
      </c>
      <c r="AQ21" s="507">
        <f t="shared" si="49"/>
        <v>2.550724784575462E-6</v>
      </c>
      <c r="AS21" t="s">
        <v>677</v>
      </c>
      <c r="AT21" s="812" t="s">
        <v>668</v>
      </c>
      <c r="AU21" s="507"/>
      <c r="AV21" s="507"/>
      <c r="AW21" s="507"/>
      <c r="AX21" s="507"/>
      <c r="AY21" s="755">
        <v>2.180106653483301E-8</v>
      </c>
      <c r="AZ21" s="507">
        <f t="shared" si="50"/>
        <v>1.0900533267416504E-6</v>
      </c>
      <c r="BA21" s="507">
        <f t="shared" si="50"/>
        <v>1.0900533267416504E-6</v>
      </c>
      <c r="BB21" s="507">
        <f t="shared" si="50"/>
        <v>3.7061813109216117E-7</v>
      </c>
      <c r="BC21" s="507">
        <f t="shared" si="50"/>
        <v>0</v>
      </c>
      <c r="BD21" s="507">
        <f t="shared" si="50"/>
        <v>0</v>
      </c>
      <c r="BE21" s="507">
        <f t="shared" si="50"/>
        <v>0</v>
      </c>
      <c r="BF21" s="507">
        <f t="shared" si="46"/>
        <v>2.550724784575462E-6</v>
      </c>
      <c r="BG21" s="507">
        <f t="shared" si="41"/>
        <v>0</v>
      </c>
      <c r="BH21" s="507">
        <f t="shared" si="42"/>
        <v>0</v>
      </c>
      <c r="BI21" s="507">
        <f t="shared" si="51"/>
        <v>1.0900533267416504E-6</v>
      </c>
      <c r="BJ21" s="507">
        <f t="shared" si="51"/>
        <v>2.1801066534833009E-6</v>
      </c>
      <c r="BK21" s="507">
        <f t="shared" si="51"/>
        <v>2.550724784575462E-6</v>
      </c>
      <c r="BL21" s="507">
        <f t="shared" si="51"/>
        <v>2.550724784575462E-6</v>
      </c>
      <c r="BM21" s="507">
        <f t="shared" si="51"/>
        <v>2.550724784575462E-6</v>
      </c>
      <c r="BN21" s="507">
        <f t="shared" si="51"/>
        <v>2.550724784575462E-6</v>
      </c>
      <c r="BO21" s="507">
        <f t="shared" si="52"/>
        <v>2.550724784575462E-6</v>
      </c>
    </row>
    <row r="22" spans="1:67" x14ac:dyDescent="0.25">
      <c r="A22" t="s">
        <v>676</v>
      </c>
      <c r="B22" s="812" t="s">
        <v>669</v>
      </c>
      <c r="C22" s="812" t="s">
        <v>616</v>
      </c>
      <c r="D22" s="507">
        <v>4.9442785046479774E-4</v>
      </c>
      <c r="E22" s="507">
        <v>0</v>
      </c>
      <c r="F22" s="507">
        <v>4.9442785046479774E-4</v>
      </c>
      <c r="G22" s="507">
        <v>1.6792051618575935E-3</v>
      </c>
      <c r="H22" s="507">
        <v>4.422773550619102E-3</v>
      </c>
      <c r="I22" s="507">
        <v>3.9804029802101588E-3</v>
      </c>
      <c r="J22" s="507">
        <v>5.0252608696946368E-3</v>
      </c>
      <c r="K22" s="507">
        <v>1.4243629954852767E-3</v>
      </c>
      <c r="L22" s="507">
        <v>7.7716896768148221E-3</v>
      </c>
      <c r="M22" s="507">
        <v>6.6787539892967209E-3</v>
      </c>
      <c r="N22" s="506">
        <v>1.510764256238149E-2</v>
      </c>
      <c r="O22" s="506">
        <v>9.196052672300099E-3</v>
      </c>
      <c r="P22" s="506">
        <v>6.6787539892967209E-3</v>
      </c>
      <c r="Q22" s="506">
        <v>1.5874806661596821E-2</v>
      </c>
      <c r="R22" s="506">
        <v>2.4303695234681587E-2</v>
      </c>
      <c r="S22" s="506">
        <v>3.1971304924907906E-2</v>
      </c>
      <c r="U22" t="s">
        <v>677</v>
      </c>
      <c r="V22" s="812" t="s">
        <v>670</v>
      </c>
      <c r="W22" s="507">
        <f>$N24</f>
        <v>1.2588423735810799E-2</v>
      </c>
      <c r="X22" s="507">
        <f>$O24</f>
        <v>1.5294085190941196E-2</v>
      </c>
      <c r="Y22" s="507">
        <f t="shared" si="44"/>
        <v>2.7882508926751995E-2</v>
      </c>
      <c r="Z22" s="507">
        <f>$P24</f>
        <v>4.0461560438662609E-3</v>
      </c>
      <c r="AA22" s="754">
        <f>$Q84</f>
        <v>4.0292169239182198E-4</v>
      </c>
      <c r="AB22" s="507">
        <f t="shared" si="47"/>
        <v>7.6555121554446178E-3</v>
      </c>
      <c r="AC22" s="507">
        <f t="shared" si="47"/>
        <v>7.2525904630527955E-3</v>
      </c>
      <c r="AD22" s="507">
        <f t="shared" si="47"/>
        <v>4.0292169239182201E-3</v>
      </c>
      <c r="AE22" s="507">
        <f t="shared" si="47"/>
        <v>2.417530154350932E-3</v>
      </c>
      <c r="AF22" s="507">
        <f t="shared" si="47"/>
        <v>8.0584338478364396E-4</v>
      </c>
      <c r="AG22" s="507">
        <f t="shared" si="47"/>
        <v>0</v>
      </c>
      <c r="AH22" s="507">
        <f t="shared" si="32"/>
        <v>2.620684912541647E-2</v>
      </c>
      <c r="AI22" s="507">
        <f t="shared" si="37"/>
        <v>2.7882508926751995E-2</v>
      </c>
      <c r="AJ22" s="507">
        <f t="shared" si="38"/>
        <v>3.1928664970618255E-2</v>
      </c>
      <c r="AK22" s="507">
        <f t="shared" si="48"/>
        <v>3.9584177126062874E-2</v>
      </c>
      <c r="AL22" s="507">
        <f t="shared" si="48"/>
        <v>4.6836767589115667E-2</v>
      </c>
      <c r="AM22" s="507">
        <f t="shared" si="48"/>
        <v>5.0865984513033889E-2</v>
      </c>
      <c r="AN22" s="507">
        <f t="shared" si="48"/>
        <v>5.3283514667384818E-2</v>
      </c>
      <c r="AO22" s="507">
        <f t="shared" si="48"/>
        <v>5.4089358052168461E-2</v>
      </c>
      <c r="AP22" s="507">
        <f t="shared" si="48"/>
        <v>5.4089358052168461E-2</v>
      </c>
      <c r="AQ22" s="507">
        <f t="shared" si="49"/>
        <v>5.4089358052168461E-2</v>
      </c>
      <c r="AS22" t="s">
        <v>677</v>
      </c>
      <c r="AT22" s="812" t="s">
        <v>670</v>
      </c>
      <c r="AU22" s="507">
        <f>$N24</f>
        <v>1.2588423735810799E-2</v>
      </c>
      <c r="AV22" s="507">
        <f>$O24</f>
        <v>1.5294085190941196E-2</v>
      </c>
      <c r="AW22" s="507">
        <f t="shared" ref="AW22" si="53">SUM(AU22:AV22)</f>
        <v>2.7882508926751995E-2</v>
      </c>
      <c r="AX22" s="507">
        <f>$P24</f>
        <v>4.0461560438662609E-3</v>
      </c>
      <c r="AY22" s="754">
        <f>$Q84</f>
        <v>4.0292169239182198E-4</v>
      </c>
      <c r="AZ22" s="507">
        <f t="shared" si="50"/>
        <v>7.6555121554446178E-3</v>
      </c>
      <c r="BA22" s="507">
        <f t="shared" si="50"/>
        <v>1.1281807386971016E-2</v>
      </c>
      <c r="BB22" s="507">
        <f t="shared" si="50"/>
        <v>1.2087650771754659E-2</v>
      </c>
      <c r="BC22" s="507">
        <f t="shared" si="50"/>
        <v>1.4908102618497412E-2</v>
      </c>
      <c r="BD22" s="507">
        <f t="shared" si="50"/>
        <v>1.6922711080456523E-2</v>
      </c>
      <c r="BE22" s="507">
        <f t="shared" si="50"/>
        <v>1.8534397850023809E-2</v>
      </c>
      <c r="BF22" s="507">
        <f t="shared" si="46"/>
        <v>6.6901940056990489E-2</v>
      </c>
      <c r="BG22" s="507">
        <f t="shared" si="41"/>
        <v>2.7882508926751995E-2</v>
      </c>
      <c r="BH22" s="507">
        <f t="shared" si="42"/>
        <v>3.1928664970618255E-2</v>
      </c>
      <c r="BI22" s="507">
        <f t="shared" si="51"/>
        <v>3.9584177126062874E-2</v>
      </c>
      <c r="BJ22" s="507">
        <f t="shared" si="51"/>
        <v>5.0865984513033889E-2</v>
      </c>
      <c r="BK22" s="507">
        <f t="shared" si="51"/>
        <v>6.2953635284788548E-2</v>
      </c>
      <c r="BL22" s="507">
        <f t="shared" si="51"/>
        <v>7.786173790328596E-2</v>
      </c>
      <c r="BM22" s="507">
        <f t="shared" si="51"/>
        <v>9.4784448983742484E-2</v>
      </c>
      <c r="BN22" s="507">
        <f t="shared" si="51"/>
        <v>0.11331884683376629</v>
      </c>
      <c r="BO22" s="507">
        <f t="shared" si="52"/>
        <v>0.11331884683376629</v>
      </c>
    </row>
    <row r="23" spans="1:67" x14ac:dyDescent="0.25">
      <c r="A23" t="s">
        <v>676</v>
      </c>
      <c r="B23" s="812" t="s">
        <v>666</v>
      </c>
      <c r="C23" s="812" t="s">
        <v>616</v>
      </c>
      <c r="D23" s="507">
        <v>4.9442785046479774E-4</v>
      </c>
      <c r="E23" s="507">
        <v>0</v>
      </c>
      <c r="F23" s="507">
        <v>4.9442785046479774E-4</v>
      </c>
      <c r="G23" s="507">
        <v>1.6792051618575935E-3</v>
      </c>
      <c r="H23" s="507">
        <v>7.9769838379641078E-3</v>
      </c>
      <c r="I23" s="507">
        <v>8.4613076447230783E-3</v>
      </c>
      <c r="J23" s="507">
        <v>7.1230933104135565E-3</v>
      </c>
      <c r="K23" s="507">
        <v>1.3537487343923751E-2</v>
      </c>
      <c r="L23" s="507">
        <v>7.9709739764473597E-2</v>
      </c>
      <c r="M23" s="507">
        <v>9.5060716073975204E-2</v>
      </c>
      <c r="N23" s="506">
        <v>2.5240589954958335E-2</v>
      </c>
      <c r="O23" s="506">
        <v>9.3247227108397349E-2</v>
      </c>
      <c r="P23" s="506">
        <v>9.5060716073975204E-2</v>
      </c>
      <c r="Q23" s="506">
        <v>0.18830794318237254</v>
      </c>
      <c r="R23" s="506">
        <v>0.11848781706335568</v>
      </c>
      <c r="S23" s="506">
        <v>0.21453738883826048</v>
      </c>
      <c r="U23" t="s">
        <v>677</v>
      </c>
      <c r="V23" s="812" t="s">
        <v>671</v>
      </c>
      <c r="W23" s="507"/>
      <c r="X23" s="507"/>
      <c r="Y23" s="507"/>
      <c r="Z23" s="507"/>
      <c r="AA23" s="754"/>
      <c r="AB23" s="267"/>
      <c r="AC23" s="267"/>
      <c r="AD23" s="267"/>
      <c r="AE23" s="267"/>
      <c r="AF23" s="267"/>
      <c r="AG23" s="267"/>
      <c r="AH23" s="267"/>
      <c r="AI23" s="267"/>
      <c r="AJ23" s="267"/>
      <c r="AK23" s="267"/>
      <c r="AL23" s="267"/>
      <c r="AM23" s="267"/>
      <c r="AN23" s="267"/>
      <c r="AO23" s="267"/>
      <c r="AP23" s="267"/>
      <c r="AQ23" s="267"/>
      <c r="AS23" t="s">
        <v>677</v>
      </c>
      <c r="AT23" s="812" t="s">
        <v>671</v>
      </c>
      <c r="AU23" s="507"/>
      <c r="AV23" s="507"/>
      <c r="AW23" s="507"/>
      <c r="AX23" s="507"/>
      <c r="AY23" s="754">
        <f>AY$22</f>
        <v>4.0292169239182198E-4</v>
      </c>
      <c r="AZ23" s="507">
        <f t="shared" si="50"/>
        <v>0</v>
      </c>
      <c r="BA23" s="507">
        <f t="shared" si="50"/>
        <v>0</v>
      </c>
      <c r="BB23" s="507">
        <f t="shared" si="50"/>
        <v>0</v>
      </c>
      <c r="BC23" s="507">
        <f t="shared" si="50"/>
        <v>0</v>
      </c>
      <c r="BD23" s="507">
        <f t="shared" si="50"/>
        <v>0</v>
      </c>
      <c r="BE23" s="507">
        <f t="shared" si="50"/>
        <v>0</v>
      </c>
      <c r="BF23" s="507">
        <f t="shared" si="46"/>
        <v>0</v>
      </c>
      <c r="BG23" s="507">
        <f t="shared" si="41"/>
        <v>0</v>
      </c>
      <c r="BH23" s="507">
        <f t="shared" si="42"/>
        <v>0</v>
      </c>
      <c r="BI23" s="507">
        <f t="shared" si="51"/>
        <v>0</v>
      </c>
      <c r="BJ23" s="507">
        <f t="shared" si="51"/>
        <v>0</v>
      </c>
      <c r="BK23" s="507">
        <f t="shared" si="51"/>
        <v>0</v>
      </c>
      <c r="BL23" s="507">
        <f t="shared" si="51"/>
        <v>0</v>
      </c>
      <c r="BM23" s="507">
        <f t="shared" si="51"/>
        <v>0</v>
      </c>
      <c r="BN23" s="507">
        <f t="shared" si="51"/>
        <v>0</v>
      </c>
      <c r="BO23" s="507">
        <f t="shared" si="52"/>
        <v>0</v>
      </c>
    </row>
    <row r="24" spans="1:67" x14ac:dyDescent="0.25">
      <c r="A24" t="s">
        <v>676</v>
      </c>
      <c r="B24" s="812" t="s">
        <v>670</v>
      </c>
      <c r="C24" s="812" t="s">
        <v>616</v>
      </c>
      <c r="D24" s="507">
        <v>5.1694471294542578E-3</v>
      </c>
      <c r="E24" s="507">
        <v>1.701530196298123E-2</v>
      </c>
      <c r="F24" s="507">
        <v>5.0033827580800889E-2</v>
      </c>
      <c r="G24" s="507">
        <v>3.0190136968640704E-3</v>
      </c>
      <c r="H24" s="507">
        <v>1.4271802920169995E-3</v>
      </c>
      <c r="I24" s="507">
        <v>3.0453838302939057E-3</v>
      </c>
      <c r="J24" s="507">
        <v>5.0968459166358246E-3</v>
      </c>
      <c r="K24" s="507">
        <v>6.1883760080685387E-3</v>
      </c>
      <c r="L24" s="507">
        <v>9.105709182872658E-3</v>
      </c>
      <c r="M24" s="507">
        <v>4.0461560438662609E-3</v>
      </c>
      <c r="N24" s="506">
        <v>1.2588423735810799E-2</v>
      </c>
      <c r="O24" s="506">
        <v>1.5294085190941196E-2</v>
      </c>
      <c r="P24" s="506">
        <v>4.0461560438662609E-3</v>
      </c>
      <c r="Q24" s="506">
        <v>1.9340241234807456E-2</v>
      </c>
      <c r="R24" s="506">
        <v>2.7882508926751995E-2</v>
      </c>
      <c r="S24" s="506">
        <v>0.10414724164385464</v>
      </c>
      <c r="U24" t="s">
        <v>677</v>
      </c>
      <c r="V24" s="812" t="s">
        <v>672</v>
      </c>
      <c r="W24" s="507">
        <f>$N25</f>
        <v>8.4638061145285795E-4</v>
      </c>
      <c r="X24" s="507">
        <f>$O25</f>
        <v>3.4292728988895571E-5</v>
      </c>
      <c r="Y24" s="507">
        <f t="shared" si="44"/>
        <v>8.8067334044175357E-4</v>
      </c>
      <c r="Z24" s="507">
        <f>$P25</f>
        <v>1.7146364494447786E-5</v>
      </c>
      <c r="AA24" s="754">
        <f>$Q85</f>
        <v>1.7146364494447786E-5</v>
      </c>
      <c r="AB24" s="507">
        <f>$AA24*AB14</f>
        <v>0</v>
      </c>
      <c r="AC24" s="507">
        <f t="shared" ref="AC24:AG24" si="54">$AA24*AC14</f>
        <v>0</v>
      </c>
      <c r="AD24" s="507">
        <f t="shared" si="54"/>
        <v>0</v>
      </c>
      <c r="AE24" s="507">
        <f t="shared" si="54"/>
        <v>0</v>
      </c>
      <c r="AF24" s="507">
        <f t="shared" si="54"/>
        <v>0</v>
      </c>
      <c r="AG24" s="507">
        <f t="shared" si="54"/>
        <v>0</v>
      </c>
      <c r="AH24" s="507">
        <f>SUM(Z24,AB24:AF24)</f>
        <v>1.7146364494447786E-5</v>
      </c>
      <c r="AI24" s="507">
        <f t="shared" si="37"/>
        <v>8.8067334044175357E-4</v>
      </c>
      <c r="AJ24" s="507">
        <f t="shared" si="38"/>
        <v>8.9781970493620132E-4</v>
      </c>
      <c r="AK24" s="507">
        <f>AJ24+AB24</f>
        <v>8.9781970493620132E-4</v>
      </c>
      <c r="AL24" s="507">
        <f t="shared" ref="AL24:AP24" si="55">AK24+AC24</f>
        <v>8.9781970493620132E-4</v>
      </c>
      <c r="AM24" s="507">
        <f t="shared" si="55"/>
        <v>8.9781970493620132E-4</v>
      </c>
      <c r="AN24" s="507">
        <f t="shared" si="55"/>
        <v>8.9781970493620132E-4</v>
      </c>
      <c r="AO24" s="507">
        <f t="shared" si="55"/>
        <v>8.9781970493620132E-4</v>
      </c>
      <c r="AP24" s="507">
        <f t="shared" si="55"/>
        <v>8.9781970493620132E-4</v>
      </c>
      <c r="AQ24" s="507">
        <f>AP24</f>
        <v>8.9781970493620132E-4</v>
      </c>
      <c r="AS24" t="s">
        <v>677</v>
      </c>
      <c r="AT24" s="812" t="s">
        <v>672</v>
      </c>
      <c r="AU24" s="507">
        <f>$N25</f>
        <v>8.4638061145285795E-4</v>
      </c>
      <c r="AV24" s="507">
        <f>$O25</f>
        <v>3.4292728988895571E-5</v>
      </c>
      <c r="AW24" s="507">
        <f t="shared" ref="AW24" si="56">SUM(AU24:AV24)</f>
        <v>8.8067334044175357E-4</v>
      </c>
      <c r="AX24" s="507">
        <f>$P25</f>
        <v>1.7146364494447786E-5</v>
      </c>
      <c r="AY24" s="754">
        <f>$Q85</f>
        <v>1.7146364494447786E-5</v>
      </c>
      <c r="AZ24" s="507">
        <f>$AA24*AZ14</f>
        <v>0</v>
      </c>
      <c r="BA24" s="507">
        <f t="shared" si="50"/>
        <v>0</v>
      </c>
      <c r="BB24" s="507">
        <f t="shared" si="50"/>
        <v>1.7146364494447786E-5</v>
      </c>
      <c r="BC24" s="507">
        <f t="shared" si="50"/>
        <v>3.4292728988895571E-5</v>
      </c>
      <c r="BD24" s="507">
        <f t="shared" si="50"/>
        <v>3.4292728988895571E-5</v>
      </c>
      <c r="BE24" s="507">
        <f t="shared" si="50"/>
        <v>3.4292728988895571E-5</v>
      </c>
      <c r="BF24" s="507">
        <f t="shared" si="46"/>
        <v>1.0287818696668672E-4</v>
      </c>
      <c r="BG24" s="507">
        <f t="shared" si="41"/>
        <v>8.8067334044175357E-4</v>
      </c>
      <c r="BH24" s="507">
        <f t="shared" si="42"/>
        <v>8.9781970493620132E-4</v>
      </c>
      <c r="BI24" s="507">
        <f>BH24+AZ24</f>
        <v>8.9781970493620132E-4</v>
      </c>
      <c r="BJ24" s="507">
        <f t="shared" si="51"/>
        <v>8.9781970493620132E-4</v>
      </c>
      <c r="BK24" s="507">
        <f t="shared" si="51"/>
        <v>9.1496606943064908E-4</v>
      </c>
      <c r="BL24" s="507">
        <f t="shared" si="51"/>
        <v>9.492587984195447E-4</v>
      </c>
      <c r="BM24" s="507">
        <f t="shared" si="51"/>
        <v>9.8355152740844031E-4</v>
      </c>
      <c r="BN24" s="507">
        <f t="shared" si="51"/>
        <v>1.0178442563973358E-3</v>
      </c>
      <c r="BO24" s="507">
        <f>BN24</f>
        <v>1.0178442563973358E-3</v>
      </c>
    </row>
    <row r="25" spans="1:67" x14ac:dyDescent="0.25">
      <c r="A25" t="s">
        <v>676</v>
      </c>
      <c r="B25" s="812" t="s">
        <v>672</v>
      </c>
      <c r="C25" s="812" t="s">
        <v>616</v>
      </c>
      <c r="D25" s="507">
        <v>3.3767870417767522E-5</v>
      </c>
      <c r="E25" s="507">
        <v>1.245257985192777E-4</v>
      </c>
      <c r="F25" s="507">
        <v>4.7319803437325525E-4</v>
      </c>
      <c r="G25" s="507">
        <v>1.6207607565943782E-4</v>
      </c>
      <c r="H25" s="507">
        <v>3.6783244959281123E-4</v>
      </c>
      <c r="I25" s="507">
        <v>2.3074026372836996E-4</v>
      </c>
      <c r="J25" s="507">
        <v>8.5731822472238925E-5</v>
      </c>
      <c r="K25" s="507">
        <v>3.4292728988895571E-5</v>
      </c>
      <c r="L25" s="507">
        <v>0</v>
      </c>
      <c r="M25" s="507">
        <v>1.7146364494447786E-5</v>
      </c>
      <c r="N25" s="506">
        <v>8.4638061145285795E-4</v>
      </c>
      <c r="O25" s="506">
        <v>3.4292728988895571E-5</v>
      </c>
      <c r="P25" s="506">
        <v>1.7146364494447786E-5</v>
      </c>
      <c r="Q25" s="506">
        <v>5.143909348334336E-5</v>
      </c>
      <c r="R25" s="506">
        <v>8.8067334044175357E-4</v>
      </c>
      <c r="S25" s="506">
        <v>1.5293114082465017E-3</v>
      </c>
      <c r="U25" t="s">
        <v>677</v>
      </c>
      <c r="V25" s="812" t="s">
        <v>673</v>
      </c>
      <c r="W25" s="507"/>
      <c r="X25" s="507"/>
      <c r="Y25" s="507"/>
      <c r="Z25" s="507"/>
      <c r="AA25" s="754"/>
      <c r="AB25" s="267"/>
      <c r="AC25" s="267"/>
      <c r="AD25" s="267"/>
      <c r="AE25" s="267"/>
      <c r="AF25" s="267"/>
      <c r="AG25" s="267"/>
      <c r="AH25" s="267"/>
      <c r="AI25" s="267"/>
      <c r="AJ25" s="267"/>
      <c r="AK25" s="267"/>
      <c r="AL25" s="267"/>
      <c r="AM25" s="267"/>
      <c r="AN25" s="267"/>
      <c r="AO25" s="267"/>
      <c r="AP25" s="267"/>
      <c r="AQ25" s="267"/>
      <c r="AS25" t="s">
        <v>677</v>
      </c>
      <c r="AT25" s="812" t="s">
        <v>673</v>
      </c>
      <c r="AU25" s="507"/>
      <c r="AV25" s="507"/>
      <c r="AW25" s="507"/>
      <c r="AX25" s="507"/>
      <c r="AY25" s="754">
        <f>AY$22</f>
        <v>4.0292169239182198E-4</v>
      </c>
      <c r="AZ25" s="507">
        <f>$AA25*AZ15</f>
        <v>0</v>
      </c>
      <c r="BA25" s="507">
        <f t="shared" si="50"/>
        <v>0</v>
      </c>
      <c r="BB25" s="507">
        <f t="shared" si="50"/>
        <v>0</v>
      </c>
      <c r="BC25" s="507">
        <f t="shared" si="50"/>
        <v>0</v>
      </c>
      <c r="BD25" s="507">
        <f t="shared" si="50"/>
        <v>0</v>
      </c>
      <c r="BE25" s="507">
        <f t="shared" si="50"/>
        <v>0</v>
      </c>
      <c r="BF25" s="507">
        <f t="shared" si="46"/>
        <v>0</v>
      </c>
      <c r="BG25" s="507">
        <f t="shared" si="41"/>
        <v>0</v>
      </c>
      <c r="BH25" s="507">
        <f t="shared" si="42"/>
        <v>0</v>
      </c>
      <c r="BI25" s="507">
        <f t="shared" ref="BI25" si="57">BH25+AZ25</f>
        <v>0</v>
      </c>
      <c r="BJ25" s="507">
        <f t="shared" si="51"/>
        <v>0</v>
      </c>
      <c r="BK25" s="507">
        <f t="shared" si="51"/>
        <v>0</v>
      </c>
      <c r="BL25" s="507">
        <f t="shared" si="51"/>
        <v>0</v>
      </c>
      <c r="BM25" s="507">
        <f t="shared" si="51"/>
        <v>0</v>
      </c>
      <c r="BN25" s="507">
        <f t="shared" si="51"/>
        <v>0</v>
      </c>
      <c r="BO25" s="507">
        <f t="shared" si="52"/>
        <v>0</v>
      </c>
    </row>
    <row r="26" spans="1:67" x14ac:dyDescent="0.25">
      <c r="A26" s="3" t="s">
        <v>676</v>
      </c>
      <c r="B26" s="813" t="s">
        <v>675</v>
      </c>
      <c r="C26" s="813" t="s">
        <v>616</v>
      </c>
      <c r="D26" s="88" t="b">
        <v>1</v>
      </c>
      <c r="E26" s="88" t="b">
        <v>1</v>
      </c>
      <c r="F26" s="88" t="b">
        <v>1</v>
      </c>
      <c r="G26" s="88" t="b">
        <v>1</v>
      </c>
      <c r="H26" s="88" t="b">
        <v>1</v>
      </c>
      <c r="I26" s="88" t="b">
        <v>1</v>
      </c>
      <c r="J26" s="88" t="b">
        <v>1</v>
      </c>
      <c r="K26" s="88" t="b">
        <v>1</v>
      </c>
      <c r="L26" s="88" t="b">
        <v>1</v>
      </c>
      <c r="M26" s="88" t="b">
        <v>1</v>
      </c>
      <c r="N26" s="88" t="b">
        <v>1</v>
      </c>
      <c r="O26" s="88" t="b">
        <v>1</v>
      </c>
      <c r="P26" s="88" t="b">
        <v>1</v>
      </c>
      <c r="Q26" s="88" t="b">
        <v>1</v>
      </c>
      <c r="R26" s="88" t="b">
        <v>1</v>
      </c>
      <c r="S26" s="88" t="b">
        <v>1</v>
      </c>
      <c r="U26" s="3"/>
      <c r="V26" s="3" t="s">
        <v>678</v>
      </c>
      <c r="W26" s="766">
        <f>SUM(W19:W25)</f>
        <v>5.9139643772801405E-2</v>
      </c>
      <c r="X26" s="766">
        <f t="shared" ref="X26" si="58">SUM(X19:X25)</f>
        <v>0.10906720505264211</v>
      </c>
      <c r="Y26" s="766">
        <f>SUM(Y19:Y25)</f>
        <v>0.16820684882544348</v>
      </c>
      <c r="Z26" s="766">
        <f>SUM(Z19:Z25)</f>
        <v>9.9231808493147999E-2</v>
      </c>
      <c r="AA26" s="349"/>
      <c r="AB26" s="766">
        <f t="shared" ref="AB26:AG26" si="59">SUM(AB19:AB25)</f>
        <v>0.17225169328669698</v>
      </c>
      <c r="AC26" s="766">
        <f t="shared" si="59"/>
        <v>0.17394108207410933</v>
      </c>
      <c r="AD26" s="766">
        <f t="shared" si="59"/>
        <v>0.13654258459631149</v>
      </c>
      <c r="AE26" s="766">
        <f t="shared" si="59"/>
        <v>7.4253523294293064E-2</v>
      </c>
      <c r="AF26" s="766">
        <f t="shared" si="59"/>
        <v>2.5216132315831939E-2</v>
      </c>
      <c r="AG26" s="766">
        <f t="shared" si="59"/>
        <v>0</v>
      </c>
      <c r="AH26" s="767">
        <f t="shared" ref="AH26:AH32" si="60">SUM(Z26,AB26:AF26)</f>
        <v>0.68143682406039086</v>
      </c>
      <c r="AI26" s="766">
        <f>Y26</f>
        <v>0.16820684882544348</v>
      </c>
      <c r="AJ26" s="766">
        <f t="shared" ref="AJ26" si="61">SUM(AJ19:AJ25)</f>
        <v>0.26743865731859151</v>
      </c>
      <c r="AK26" s="766">
        <f t="shared" ref="AK26:AP26" si="62">SUM(AK19:AK25)</f>
        <v>0.41862671109958233</v>
      </c>
      <c r="AL26" s="766">
        <f t="shared" si="62"/>
        <v>0.59256779317369168</v>
      </c>
      <c r="AM26" s="766">
        <f t="shared" si="62"/>
        <v>0.7291103777700032</v>
      </c>
      <c r="AN26" s="766">
        <f t="shared" si="62"/>
        <v>0.80336390106429623</v>
      </c>
      <c r="AO26" s="766">
        <f t="shared" si="62"/>
        <v>0.82858003338012809</v>
      </c>
      <c r="AP26" s="766">
        <f t="shared" si="62"/>
        <v>0.82858003338012809</v>
      </c>
      <c r="AQ26" s="766">
        <f>AP26</f>
        <v>0.82858003338012809</v>
      </c>
      <c r="AS26" s="3"/>
      <c r="AT26" s="3" t="s">
        <v>678</v>
      </c>
      <c r="AU26" s="766">
        <f>SUM(AU19:AU25)</f>
        <v>5.9139643772801405E-2</v>
      </c>
      <c r="AV26" s="766">
        <f t="shared" ref="AV26" si="63">SUM(AV19:AV25)</f>
        <v>0.10906720505264211</v>
      </c>
      <c r="AW26" s="766">
        <f>SUM(AW19:AW25)</f>
        <v>0.16820684882544348</v>
      </c>
      <c r="AX26" s="766">
        <f>SUM(AX19:AX25)</f>
        <v>9.9231808493147999E-2</v>
      </c>
      <c r="AY26" s="349"/>
      <c r="AZ26" s="766">
        <f t="shared" ref="AZ26:BE26" si="64">SUM(AZ19:AZ25)</f>
        <v>0.17225169328669698</v>
      </c>
      <c r="BA26" s="766">
        <f t="shared" si="64"/>
        <v>0.21702676128770482</v>
      </c>
      <c r="BB26" s="766">
        <f t="shared" si="64"/>
        <v>0.22831058400080798</v>
      </c>
      <c r="BC26" s="766">
        <f t="shared" si="64"/>
        <v>0.21859394871508922</v>
      </c>
      <c r="BD26" s="766">
        <f t="shared" si="64"/>
        <v>0.20944956795142625</v>
      </c>
      <c r="BE26" s="766">
        <f t="shared" si="64"/>
        <v>0.20896894424118939</v>
      </c>
      <c r="BF26" s="767">
        <f t="shared" si="46"/>
        <v>1.1448643637348732</v>
      </c>
      <c r="BG26" s="766">
        <f>AW26</f>
        <v>0.16820684882544348</v>
      </c>
      <c r="BH26" s="766">
        <f t="shared" ref="BH26" si="65">SUM(BH19:BH25)</f>
        <v>0.26743865731859151</v>
      </c>
      <c r="BI26" s="766">
        <f t="shared" ref="BI26:BN26" si="66">SUM(BI19:BI25)</f>
        <v>0.41862671109958233</v>
      </c>
      <c r="BJ26" s="766">
        <f t="shared" si="66"/>
        <v>0.6356534723872872</v>
      </c>
      <c r="BK26" s="766">
        <f t="shared" si="66"/>
        <v>0.86396405638809515</v>
      </c>
      <c r="BL26" s="766">
        <f t="shared" si="66"/>
        <v>1.0825580051031842</v>
      </c>
      <c r="BM26" s="766">
        <f t="shared" si="66"/>
        <v>1.2920075730546103</v>
      </c>
      <c r="BN26" s="766">
        <f t="shared" si="66"/>
        <v>1.5009765172957998</v>
      </c>
      <c r="BO26" s="766">
        <f>BN26</f>
        <v>1.5009765172957998</v>
      </c>
    </row>
    <row r="27" spans="1:67" x14ac:dyDescent="0.25">
      <c r="A27" t="s">
        <v>679</v>
      </c>
      <c r="B27" s="812" t="s">
        <v>616</v>
      </c>
      <c r="C27" s="812" t="s">
        <v>616</v>
      </c>
      <c r="D27" s="507">
        <v>-1.7124188447434812E-3</v>
      </c>
      <c r="E27" s="507">
        <v>-7.0658228724378167E-3</v>
      </c>
      <c r="F27" s="507">
        <v>-1.8193126752928453E-2</v>
      </c>
      <c r="G27" s="507">
        <v>-1.316763448729767E-3</v>
      </c>
      <c r="H27" s="507">
        <v>-5.089389213354796E-4</v>
      </c>
      <c r="I27" s="507">
        <v>-1.8812187711520364E-3</v>
      </c>
      <c r="J27" s="507">
        <v>-9.2473582585871376E-4</v>
      </c>
      <c r="K27" s="507">
        <v>-6.477527595168887E-5</v>
      </c>
      <c r="L27" s="507">
        <v>-1.0996625081561301E-5</v>
      </c>
      <c r="M27" s="507">
        <v>1.1183608562799526E-3</v>
      </c>
      <c r="N27" s="506">
        <v>-4.631656967075997E-3</v>
      </c>
      <c r="O27" s="506">
        <v>-7.5771901033250171E-5</v>
      </c>
      <c r="P27" s="506">
        <v>1.1183608562799526E-3</v>
      </c>
      <c r="Q27" s="506">
        <v>1.0425889552467024E-3</v>
      </c>
      <c r="R27" s="506">
        <v>-4.7074288681092473E-3</v>
      </c>
      <c r="S27" s="506">
        <v>-3.0560436481939044E-2</v>
      </c>
      <c r="U27" t="s">
        <v>680</v>
      </c>
      <c r="V27" s="812" t="s">
        <v>616</v>
      </c>
      <c r="W27" s="765">
        <f>$N27</f>
        <v>-4.631656967075997E-3</v>
      </c>
      <c r="X27" s="507">
        <f>$O27</f>
        <v>-7.5771901033250171E-5</v>
      </c>
      <c r="Y27" s="506">
        <f>SUM(Y28:Y35)</f>
        <v>-2.6125018594833761E-3</v>
      </c>
      <c r="Z27" s="507">
        <f>$P27</f>
        <v>1.1183608562799526E-3</v>
      </c>
      <c r="AA27" s="754">
        <f>$Q87</f>
        <v>2.6296598207978639E-6</v>
      </c>
      <c r="AB27" s="506">
        <f>SUM(AB28:AB35)</f>
        <v>1.9907596863581469E-3</v>
      </c>
      <c r="AC27" s="506">
        <f t="shared" ref="AC27:AG27" si="67">SUM(AC28:AC35)</f>
        <v>2.0735143606552594E-3</v>
      </c>
      <c r="AD27" s="506">
        <f t="shared" si="67"/>
        <v>1.8593077512727707E-3</v>
      </c>
      <c r="AE27" s="506">
        <f t="shared" si="67"/>
        <v>9.7457254607430778E-4</v>
      </c>
      <c r="AF27" s="506">
        <f t="shared" si="67"/>
        <v>3.3324045120402033E-4</v>
      </c>
      <c r="AG27" s="506">
        <f t="shared" si="67"/>
        <v>0</v>
      </c>
      <c r="AH27" s="506">
        <f t="shared" si="60"/>
        <v>8.3497556518444573E-3</v>
      </c>
      <c r="AI27" s="506">
        <f>Y27</f>
        <v>-2.6125018594833761E-3</v>
      </c>
      <c r="AJ27" s="506">
        <f>AI27+Z27</f>
        <v>-1.4941410032034235E-3</v>
      </c>
      <c r="AK27" s="506">
        <f t="shared" ref="AK27:AP27" si="68">SUM(AK28:AK35)</f>
        <v>1.4599221332100816E-3</v>
      </c>
      <c r="AL27" s="506">
        <f t="shared" si="68"/>
        <v>3.5334364938653419E-3</v>
      </c>
      <c r="AM27" s="506">
        <f t="shared" si="68"/>
        <v>5.3927442451381117E-3</v>
      </c>
      <c r="AN27" s="506">
        <f t="shared" si="68"/>
        <v>6.367316791212419E-3</v>
      </c>
      <c r="AO27" s="506">
        <f t="shared" si="68"/>
        <v>6.7005572424164378E-3</v>
      </c>
      <c r="AP27" s="506">
        <f t="shared" si="68"/>
        <v>6.7005572424164378E-3</v>
      </c>
      <c r="AQ27" s="506">
        <f t="shared" ref="AQ27:AQ28" si="69">AP27</f>
        <v>6.7005572424164378E-3</v>
      </c>
      <c r="AS27" t="s">
        <v>680</v>
      </c>
      <c r="AT27" s="812" t="s">
        <v>616</v>
      </c>
      <c r="AU27" s="765">
        <f>$N27</f>
        <v>-4.631656967075997E-3</v>
      </c>
      <c r="AV27" s="507">
        <f>$O27</f>
        <v>-7.5771901033250171E-5</v>
      </c>
      <c r="AW27" s="506">
        <f>SUM(AW28:AW35)</f>
        <v>-2.6125018594833761E-3</v>
      </c>
      <c r="AX27" s="507">
        <f>$P27</f>
        <v>1.1183608562799526E-3</v>
      </c>
      <c r="AY27" s="754">
        <f>$Q87</f>
        <v>2.6296598207978639E-6</v>
      </c>
      <c r="AZ27" s="506">
        <f>SUM(AZ28:AZ35)</f>
        <v>1.9907596863581469E-3</v>
      </c>
      <c r="BA27" s="506">
        <f t="shared" ref="BA27:BE27" si="70">SUM(BA28:BA35)</f>
        <v>2.2769640776304379E-3</v>
      </c>
      <c r="BB27" s="506">
        <f t="shared" si="70"/>
        <v>2.3760232539272327E-3</v>
      </c>
      <c r="BC27" s="506">
        <f t="shared" si="70"/>
        <v>1.8139940128991075E-3</v>
      </c>
      <c r="BD27" s="506">
        <f t="shared" si="70"/>
        <v>1.3758857093366828E-3</v>
      </c>
      <c r="BE27" s="506">
        <f t="shared" si="70"/>
        <v>1.1445960422875672E-3</v>
      </c>
      <c r="BF27" s="506">
        <f t="shared" si="46"/>
        <v>1.0951987596431562E-2</v>
      </c>
      <c r="BG27" s="506">
        <f>AW27</f>
        <v>-2.6125018594833761E-3</v>
      </c>
      <c r="BH27" s="506">
        <f>BG27+AX27</f>
        <v>-1.4941410032034235E-3</v>
      </c>
      <c r="BI27" s="506">
        <f t="shared" ref="BI27:BN27" si="71">SUM(BI28:BI35)</f>
        <v>1.4599221332100816E-3</v>
      </c>
      <c r="BJ27" s="506">
        <f t="shared" si="71"/>
        <v>3.7368862108405195E-3</v>
      </c>
      <c r="BK27" s="506">
        <f t="shared" si="71"/>
        <v>6.1129094647677535E-3</v>
      </c>
      <c r="BL27" s="506">
        <f t="shared" si="71"/>
        <v>7.9269034776668617E-3</v>
      </c>
      <c r="BM27" s="506">
        <f t="shared" si="71"/>
        <v>9.3027891870035434E-3</v>
      </c>
      <c r="BN27" s="506">
        <f t="shared" si="71"/>
        <v>1.0447385229291109E-2</v>
      </c>
      <c r="BO27" s="506">
        <f t="shared" ref="BO27" si="72">BN27</f>
        <v>1.0447385229291109E-2</v>
      </c>
    </row>
    <row r="28" spans="1:67" x14ac:dyDescent="0.25">
      <c r="A28" t="s">
        <v>679</v>
      </c>
      <c r="B28" s="812" t="s">
        <v>663</v>
      </c>
      <c r="C28" s="812" t="s">
        <v>616</v>
      </c>
      <c r="D28" s="507">
        <v>-2.6360806135247901E-4</v>
      </c>
      <c r="E28" s="507">
        <v>-1.3881476661817978E-3</v>
      </c>
      <c r="F28" s="507">
        <v>-2.4882091249977278E-3</v>
      </c>
      <c r="G28" s="507">
        <v>-6.5544204316351411E-4</v>
      </c>
      <c r="H28" s="507">
        <v>-8.7466695044637857E-4</v>
      </c>
      <c r="I28" s="507">
        <v>-4.679208469137359E-4</v>
      </c>
      <c r="J28" s="507">
        <v>-9.6897168102227631E-5</v>
      </c>
      <c r="K28" s="507">
        <v>1.1435107226396721E-4</v>
      </c>
      <c r="L28" s="507">
        <v>2.0149557889315416E-5</v>
      </c>
      <c r="M28" s="507">
        <v>6.7108426555037448E-5</v>
      </c>
      <c r="N28" s="711">
        <v>-2.0949270086258564E-3</v>
      </c>
      <c r="O28" s="506">
        <v>1.3450063015328263E-4</v>
      </c>
      <c r="P28" s="506">
        <v>6.7108426555037448E-5</v>
      </c>
      <c r="Q28" s="506">
        <v>2.0160905670832006E-4</v>
      </c>
      <c r="R28" s="506">
        <v>-1.9604263784725739E-3</v>
      </c>
      <c r="S28" s="506">
        <v>-6.0332828044495409E-3</v>
      </c>
      <c r="U28" t="s">
        <v>680</v>
      </c>
      <c r="V28" s="812" t="s">
        <v>663</v>
      </c>
      <c r="W28" s="648"/>
      <c r="X28" s="506">
        <f>$O28</f>
        <v>1.3450063015328263E-4</v>
      </c>
      <c r="Y28" s="506">
        <f>SUM(W28:X28)</f>
        <v>1.3450063015328263E-4</v>
      </c>
      <c r="Z28" s="506">
        <f>$P28</f>
        <v>6.7108426555037448E-5</v>
      </c>
      <c r="AA28" s="760">
        <f>$Q88</f>
        <v>1.6800754725693338E-6</v>
      </c>
      <c r="AB28" s="506">
        <f>$AA28*AB8</f>
        <v>2.5201132088540008E-5</v>
      </c>
      <c r="AC28" s="506">
        <f t="shared" ref="AC28:AG28" si="73">$AA28*AC8</f>
        <v>1.6800754725693337E-5</v>
      </c>
      <c r="AD28" s="506">
        <f t="shared" si="73"/>
        <v>0</v>
      </c>
      <c r="AE28" s="506">
        <f t="shared" si="73"/>
        <v>0</v>
      </c>
      <c r="AF28" s="506">
        <f t="shared" si="73"/>
        <v>0</v>
      </c>
      <c r="AG28" s="506">
        <f t="shared" si="73"/>
        <v>0</v>
      </c>
      <c r="AH28" s="506">
        <f t="shared" si="60"/>
        <v>1.0911031336927079E-4</v>
      </c>
      <c r="AI28" s="506">
        <f t="shared" ref="AI28:AI34" si="74">Y28</f>
        <v>1.3450063015328263E-4</v>
      </c>
      <c r="AJ28" s="506">
        <f t="shared" ref="AJ28:AJ34" si="75">AI28+Z28</f>
        <v>2.0160905670832006E-4</v>
      </c>
      <c r="AK28" s="506">
        <f>AJ28+AB28</f>
        <v>2.2681018879686007E-4</v>
      </c>
      <c r="AL28" s="506">
        <f t="shared" ref="AL28:AP28" si="76">AK28+AC28</f>
        <v>2.4361094352255342E-4</v>
      </c>
      <c r="AM28" s="506">
        <f t="shared" si="76"/>
        <v>2.4361094352255342E-4</v>
      </c>
      <c r="AN28" s="506">
        <f t="shared" si="76"/>
        <v>2.4361094352255342E-4</v>
      </c>
      <c r="AO28" s="506">
        <f t="shared" si="76"/>
        <v>2.4361094352255342E-4</v>
      </c>
      <c r="AP28" s="506">
        <f t="shared" si="76"/>
        <v>2.4361094352255342E-4</v>
      </c>
      <c r="AQ28" s="506">
        <f t="shared" si="69"/>
        <v>2.4361094352255342E-4</v>
      </c>
      <c r="AS28" t="s">
        <v>680</v>
      </c>
      <c r="AT28" s="812" t="s">
        <v>663</v>
      </c>
      <c r="AU28" s="648"/>
      <c r="AV28" s="506">
        <f>$O28</f>
        <v>1.3450063015328263E-4</v>
      </c>
      <c r="AW28" s="506">
        <f>SUM(AU28:AV28)</f>
        <v>1.3450063015328263E-4</v>
      </c>
      <c r="AX28" s="506">
        <f>$P28</f>
        <v>6.7108426555037448E-5</v>
      </c>
      <c r="AY28" s="760">
        <f>$Q88</f>
        <v>1.6800754725693338E-6</v>
      </c>
      <c r="AZ28" s="506">
        <f>$AA28*AZ8</f>
        <v>2.5201132088540008E-5</v>
      </c>
      <c r="BA28" s="506">
        <f t="shared" ref="BA28:BE28" si="77">$AA28*BA8</f>
        <v>5.0402264177080015E-5</v>
      </c>
      <c r="BB28" s="506">
        <f t="shared" si="77"/>
        <v>7.5603396265620023E-5</v>
      </c>
      <c r="BC28" s="506">
        <f t="shared" si="77"/>
        <v>1.1760528307985336E-4</v>
      </c>
      <c r="BD28" s="506">
        <f t="shared" si="77"/>
        <v>1.4784664158610137E-4</v>
      </c>
      <c r="BE28" s="506">
        <f t="shared" si="77"/>
        <v>1.6800754725693339E-4</v>
      </c>
      <c r="BF28" s="506">
        <f t="shared" si="46"/>
        <v>4.837671437522322E-4</v>
      </c>
      <c r="BG28" s="506">
        <f t="shared" ref="BG28:BG35" si="78">AW28</f>
        <v>1.3450063015328263E-4</v>
      </c>
      <c r="BH28" s="506">
        <f t="shared" ref="BH28:BH35" si="79">BG28+AX28</f>
        <v>2.0160905670832006E-4</v>
      </c>
      <c r="BI28" s="506">
        <f>BH28+AZ28</f>
        <v>2.2681018879686007E-4</v>
      </c>
      <c r="BJ28" s="506">
        <f t="shared" ref="BJ28:BN28" si="80">BI28+BA28</f>
        <v>2.7721245297394008E-4</v>
      </c>
      <c r="BK28" s="506">
        <f t="shared" si="80"/>
        <v>3.5281584923956011E-4</v>
      </c>
      <c r="BL28" s="506">
        <f t="shared" si="80"/>
        <v>4.7042113231941346E-4</v>
      </c>
      <c r="BM28" s="506">
        <f t="shared" si="80"/>
        <v>6.1826777390551479E-4</v>
      </c>
      <c r="BN28" s="506">
        <f t="shared" si="80"/>
        <v>7.8627532116244821E-4</v>
      </c>
      <c r="BO28" s="506">
        <f>BN28</f>
        <v>7.8627532116244821E-4</v>
      </c>
    </row>
    <row r="29" spans="1:67" x14ac:dyDescent="0.25">
      <c r="A29" t="s">
        <v>679</v>
      </c>
      <c r="B29" s="812" t="s">
        <v>664</v>
      </c>
      <c r="C29" s="812" t="s">
        <v>616</v>
      </c>
      <c r="D29" s="507">
        <v>0</v>
      </c>
      <c r="E29" s="507">
        <v>0</v>
      </c>
      <c r="F29" s="507">
        <v>0</v>
      </c>
      <c r="G29" s="507">
        <v>1.6119523666869121E-5</v>
      </c>
      <c r="H29" s="507">
        <v>5.0041946993610242E-5</v>
      </c>
      <c r="I29" s="507">
        <v>-1.0417082701058141E-3</v>
      </c>
      <c r="J29" s="507">
        <v>4.0855150591866105E-6</v>
      </c>
      <c r="K29" s="507">
        <v>2.0414379508350748E-6</v>
      </c>
      <c r="L29" s="507">
        <v>4.0775975866372289E-6</v>
      </c>
      <c r="M29" s="507">
        <v>2.0387987933186144E-6</v>
      </c>
      <c r="N29" s="506">
        <v>-9.7146128438614816E-4</v>
      </c>
      <c r="O29" s="506">
        <v>6.1190355374723037E-6</v>
      </c>
      <c r="P29" s="506">
        <v>2.0387987933186144E-6</v>
      </c>
      <c r="Q29" s="506">
        <v>8.1578343307909177E-6</v>
      </c>
      <c r="R29" s="506">
        <v>-9.6534224884867582E-4</v>
      </c>
      <c r="S29" s="506">
        <v>-9.6330345005535734E-4</v>
      </c>
      <c r="U29" t="s">
        <v>680</v>
      </c>
      <c r="V29" s="812" t="s">
        <v>664</v>
      </c>
      <c r="W29" s="507">
        <f>$N29</f>
        <v>-9.7146128438614816E-4</v>
      </c>
      <c r="X29" s="507">
        <f>$O29</f>
        <v>6.1190355374723037E-6</v>
      </c>
      <c r="Y29" s="507">
        <f t="shared" ref="Y29:Y34" si="81">SUM(W29:X29)</f>
        <v>-9.6534224884867582E-4</v>
      </c>
      <c r="Z29" s="507">
        <f>$P29</f>
        <v>2.0387987933186144E-6</v>
      </c>
      <c r="AA29" s="754">
        <f>$Q89</f>
        <v>1.3596390551318197E-6</v>
      </c>
      <c r="AB29" s="267"/>
      <c r="AC29" s="267"/>
      <c r="AD29" s="267"/>
      <c r="AE29" s="267"/>
      <c r="AF29" s="267"/>
      <c r="AG29" s="267"/>
      <c r="AH29" s="507">
        <f t="shared" si="60"/>
        <v>2.0387987933186144E-6</v>
      </c>
      <c r="AI29" s="507">
        <f t="shared" si="74"/>
        <v>-9.6534224884867582E-4</v>
      </c>
      <c r="AJ29" s="507">
        <f t="shared" si="75"/>
        <v>-9.6330345005535723E-4</v>
      </c>
      <c r="AK29" s="267"/>
      <c r="AL29" s="267"/>
      <c r="AM29" s="267"/>
      <c r="AN29" s="267"/>
      <c r="AO29" s="267"/>
      <c r="AP29" s="267"/>
      <c r="AQ29" s="267"/>
      <c r="AS29" t="s">
        <v>680</v>
      </c>
      <c r="AT29" s="812" t="s">
        <v>664</v>
      </c>
      <c r="AU29" s="507">
        <f>$N29</f>
        <v>-9.7146128438614816E-4</v>
      </c>
      <c r="AV29" s="507">
        <f>$O29</f>
        <v>6.1190355374723037E-6</v>
      </c>
      <c r="AW29" s="507">
        <f t="shared" ref="AW29:AW30" si="82">SUM(AU29:AV29)</f>
        <v>-9.6534224884867582E-4</v>
      </c>
      <c r="AX29" s="507">
        <f>$P29</f>
        <v>2.0387987933186144E-6</v>
      </c>
      <c r="AY29" s="754">
        <f>$Q89</f>
        <v>1.3596390551318197E-6</v>
      </c>
      <c r="AZ29" s="267"/>
      <c r="BA29" s="267"/>
      <c r="BB29" s="267"/>
      <c r="BC29" s="267"/>
      <c r="BD29" s="267"/>
      <c r="BE29" s="267"/>
      <c r="BF29" s="507">
        <f t="shared" si="46"/>
        <v>2.0387987933186144E-6</v>
      </c>
      <c r="BG29" s="507">
        <f t="shared" si="78"/>
        <v>-9.6534224884867582E-4</v>
      </c>
      <c r="BH29" s="507">
        <f t="shared" si="79"/>
        <v>-9.6330345005535723E-4</v>
      </c>
      <c r="BI29" s="267"/>
      <c r="BJ29" s="267"/>
      <c r="BK29" s="267"/>
      <c r="BL29" s="267"/>
      <c r="BM29" s="267"/>
      <c r="BN29" s="267"/>
      <c r="BO29" s="267"/>
    </row>
    <row r="30" spans="1:67" x14ac:dyDescent="0.25">
      <c r="A30" t="s">
        <v>679</v>
      </c>
      <c r="B30" s="812" t="s">
        <v>665</v>
      </c>
      <c r="C30" s="812" t="s">
        <v>616</v>
      </c>
      <c r="D30" s="507">
        <v>0</v>
      </c>
      <c r="E30" s="507">
        <v>0</v>
      </c>
      <c r="F30" s="507">
        <v>0</v>
      </c>
      <c r="G30" s="507">
        <v>0</v>
      </c>
      <c r="H30" s="507">
        <v>0</v>
      </c>
      <c r="I30" s="507">
        <v>3.4346816326091115E-5</v>
      </c>
      <c r="J30" s="507">
        <v>0</v>
      </c>
      <c r="K30" s="507">
        <v>2.3952612860759313E-4</v>
      </c>
      <c r="L30" s="507">
        <v>8.7001376541404261E-5</v>
      </c>
      <c r="M30" s="507">
        <v>2.284419514188887E-4</v>
      </c>
      <c r="N30" s="506">
        <v>3.4346816326091115E-5</v>
      </c>
      <c r="O30" s="506">
        <v>3.2652750514899741E-4</v>
      </c>
      <c r="P30" s="506">
        <v>2.284419514188887E-4</v>
      </c>
      <c r="Q30" s="506">
        <v>5.5496945656788614E-4</v>
      </c>
      <c r="R30" s="506">
        <v>3.6087432147508853E-4</v>
      </c>
      <c r="S30" s="506">
        <v>5.8931627289397716E-4</v>
      </c>
      <c r="U30" t="s">
        <v>680</v>
      </c>
      <c r="V30" s="812" t="s">
        <v>666</v>
      </c>
      <c r="W30" s="507">
        <f>$N33</f>
        <v>1.5327384127974079E-3</v>
      </c>
      <c r="X30" s="507">
        <f>$O33</f>
        <v>1.7975639805540341E-3</v>
      </c>
      <c r="Y30" s="507">
        <f t="shared" si="81"/>
        <v>3.330302393351442E-3</v>
      </c>
      <c r="Z30" s="507">
        <f>$P33</f>
        <v>1.5975250370426366E-3</v>
      </c>
      <c r="AA30" s="754">
        <f>$Q93</f>
        <v>1.2574403768876558E-5</v>
      </c>
      <c r="AB30" s="507">
        <f t="shared" ref="AB30:AG32" si="83">$AA30*AB10</f>
        <v>2.9675592894548674E-3</v>
      </c>
      <c r="AC30" s="507">
        <f t="shared" si="83"/>
        <v>3.0052825007614971E-3</v>
      </c>
      <c r="AD30" s="507">
        <f t="shared" si="83"/>
        <v>2.389136716086546E-3</v>
      </c>
      <c r="AE30" s="507">
        <f t="shared" si="83"/>
        <v>1.2951635881942854E-3</v>
      </c>
      <c r="AF30" s="507">
        <f t="shared" si="83"/>
        <v>4.4010413191067951E-4</v>
      </c>
      <c r="AG30" s="507">
        <f t="shared" si="83"/>
        <v>0</v>
      </c>
      <c r="AH30" s="507">
        <f t="shared" si="60"/>
        <v>1.1694771263450511E-2</v>
      </c>
      <c r="AI30" s="507">
        <f t="shared" si="74"/>
        <v>3.330302393351442E-3</v>
      </c>
      <c r="AJ30" s="507">
        <f t="shared" si="75"/>
        <v>4.927827430394079E-3</v>
      </c>
      <c r="AK30" s="507">
        <f t="shared" ref="AK30:AP32" si="84">AJ30+AB30</f>
        <v>7.8953867198489468E-3</v>
      </c>
      <c r="AL30" s="507">
        <f t="shared" si="84"/>
        <v>1.0900669220610445E-2</v>
      </c>
      <c r="AM30" s="507">
        <f t="shared" si="84"/>
        <v>1.3289805936696991E-2</v>
      </c>
      <c r="AN30" s="507">
        <f t="shared" si="84"/>
        <v>1.4584969524891276E-2</v>
      </c>
      <c r="AO30" s="507">
        <f t="shared" si="84"/>
        <v>1.5025073656801955E-2</v>
      </c>
      <c r="AP30" s="507">
        <f t="shared" si="84"/>
        <v>1.5025073656801955E-2</v>
      </c>
      <c r="AQ30" s="507">
        <f t="shared" ref="AQ30:AQ32" si="85">AP30</f>
        <v>1.5025073656801955E-2</v>
      </c>
      <c r="AS30" t="s">
        <v>680</v>
      </c>
      <c r="AT30" s="812" t="s">
        <v>666</v>
      </c>
      <c r="AU30" s="507">
        <f>$N33</f>
        <v>1.5327384127974079E-3</v>
      </c>
      <c r="AV30" s="507">
        <f>$O33</f>
        <v>1.7975639805540341E-3</v>
      </c>
      <c r="AW30" s="507">
        <f t="shared" si="82"/>
        <v>3.330302393351442E-3</v>
      </c>
      <c r="AX30" s="507">
        <f>$P33</f>
        <v>1.5975250370426366E-3</v>
      </c>
      <c r="AY30" s="754">
        <f>$Q93</f>
        <v>1.2574403768876558E-5</v>
      </c>
      <c r="AZ30" s="507">
        <f t="shared" ref="AZ30:BE35" si="86">$AA30*AZ10</f>
        <v>2.9675592894548674E-3</v>
      </c>
      <c r="BA30" s="507">
        <f t="shared" si="86"/>
        <v>3.7094491118185844E-3</v>
      </c>
      <c r="BB30" s="507">
        <f t="shared" si="86"/>
        <v>3.8980651683517328E-3</v>
      </c>
      <c r="BC30" s="507">
        <f t="shared" si="86"/>
        <v>3.6717259005119548E-3</v>
      </c>
      <c r="BD30" s="507">
        <f t="shared" si="86"/>
        <v>3.47053544020993E-3</v>
      </c>
      <c r="BE30" s="507">
        <f t="shared" si="86"/>
        <v>3.4328122289033003E-3</v>
      </c>
      <c r="BF30" s="507">
        <f t="shared" si="46"/>
        <v>1.9314859947389709E-2</v>
      </c>
      <c r="BG30" s="507">
        <f t="shared" si="78"/>
        <v>3.330302393351442E-3</v>
      </c>
      <c r="BH30" s="507">
        <f t="shared" si="79"/>
        <v>4.927827430394079E-3</v>
      </c>
      <c r="BI30" s="507">
        <f t="shared" ref="BI30:BN35" si="87">BH30+AZ30</f>
        <v>7.8953867198489468E-3</v>
      </c>
      <c r="BJ30" s="507">
        <f t="shared" si="87"/>
        <v>1.1604835831667531E-2</v>
      </c>
      <c r="BK30" s="507">
        <f t="shared" si="87"/>
        <v>1.5502901000019264E-2</v>
      </c>
      <c r="BL30" s="507">
        <f t="shared" si="87"/>
        <v>1.9174626900531219E-2</v>
      </c>
      <c r="BM30" s="507">
        <f t="shared" si="87"/>
        <v>2.2645162340741151E-2</v>
      </c>
      <c r="BN30" s="507">
        <f t="shared" si="87"/>
        <v>2.607797456964445E-2</v>
      </c>
      <c r="BO30" s="507">
        <f t="shared" ref="BO30:BO35" si="88">BN30</f>
        <v>2.607797456964445E-2</v>
      </c>
    </row>
    <row r="31" spans="1:67" x14ac:dyDescent="0.25">
      <c r="A31" t="s">
        <v>679</v>
      </c>
      <c r="B31" s="812" t="s">
        <v>667</v>
      </c>
      <c r="C31" s="812" t="s">
        <v>616</v>
      </c>
      <c r="D31" s="507">
        <v>0</v>
      </c>
      <c r="E31" s="507">
        <v>0</v>
      </c>
      <c r="F31" s="507">
        <v>0</v>
      </c>
      <c r="G31" s="507">
        <v>0</v>
      </c>
      <c r="H31" s="507">
        <v>2.8232344349621508E-4</v>
      </c>
      <c r="I31" s="507">
        <v>1.4814139749364593E-4</v>
      </c>
      <c r="J31" s="507">
        <v>1.2914548629444254E-4</v>
      </c>
      <c r="K31" s="507">
        <v>2.2088956117326597E-4</v>
      </c>
      <c r="L31" s="507">
        <v>8.6905105678951875E-4</v>
      </c>
      <c r="M31" s="507">
        <v>1.0874741054113938E-3</v>
      </c>
      <c r="N31" s="506">
        <v>5.5961032728430349E-4</v>
      </c>
      <c r="O31" s="506">
        <v>1.0899406179627846E-3</v>
      </c>
      <c r="P31" s="506">
        <v>1.0874741054113938E-3</v>
      </c>
      <c r="Q31" s="506">
        <v>2.1774147233741782E-3</v>
      </c>
      <c r="R31" s="506">
        <v>1.6495509452470881E-3</v>
      </c>
      <c r="S31" s="506">
        <v>2.7370250506584819E-3</v>
      </c>
      <c r="U31" t="s">
        <v>680</v>
      </c>
      <c r="V31" s="812" t="s">
        <v>668</v>
      </c>
      <c r="W31" s="507"/>
      <c r="X31" s="507"/>
      <c r="Y31" s="507"/>
      <c r="Z31" s="507"/>
      <c r="AA31" s="755">
        <v>2.6408463056003847E-7</v>
      </c>
      <c r="AB31" s="507">
        <f t="shared" si="83"/>
        <v>1.3204231528001924E-5</v>
      </c>
      <c r="AC31" s="507">
        <f t="shared" si="83"/>
        <v>1.3204231528001924E-5</v>
      </c>
      <c r="AD31" s="507">
        <f t="shared" si="83"/>
        <v>4.4894387195206543E-6</v>
      </c>
      <c r="AE31" s="507">
        <f t="shared" si="83"/>
        <v>0</v>
      </c>
      <c r="AF31" s="507">
        <f t="shared" si="83"/>
        <v>0</v>
      </c>
      <c r="AG31" s="507">
        <f t="shared" si="83"/>
        <v>0</v>
      </c>
      <c r="AH31" s="507">
        <f t="shared" si="60"/>
        <v>3.0897901775524505E-5</v>
      </c>
      <c r="AI31" s="507">
        <f t="shared" si="74"/>
        <v>0</v>
      </c>
      <c r="AJ31" s="507">
        <f t="shared" si="75"/>
        <v>0</v>
      </c>
      <c r="AK31" s="507">
        <f t="shared" si="84"/>
        <v>1.3204231528001924E-5</v>
      </c>
      <c r="AL31" s="507">
        <f t="shared" si="84"/>
        <v>2.6408463056003848E-5</v>
      </c>
      <c r="AM31" s="507">
        <f t="shared" si="84"/>
        <v>3.0897901775524505E-5</v>
      </c>
      <c r="AN31" s="507">
        <f t="shared" si="84"/>
        <v>3.0897901775524505E-5</v>
      </c>
      <c r="AO31" s="507">
        <f t="shared" si="84"/>
        <v>3.0897901775524505E-5</v>
      </c>
      <c r="AP31" s="507">
        <f t="shared" si="84"/>
        <v>3.0897901775524505E-5</v>
      </c>
      <c r="AQ31" s="507">
        <f t="shared" si="85"/>
        <v>3.0897901775524505E-5</v>
      </c>
      <c r="AS31" t="s">
        <v>680</v>
      </c>
      <c r="AT31" s="812" t="s">
        <v>668</v>
      </c>
      <c r="AU31" s="507"/>
      <c r="AV31" s="507"/>
      <c r="AW31" s="507"/>
      <c r="AX31" s="507"/>
      <c r="AY31" s="755">
        <v>2.6408463056003847E-7</v>
      </c>
      <c r="AZ31" s="507">
        <f t="shared" si="86"/>
        <v>1.3204231528001924E-5</v>
      </c>
      <c r="BA31" s="507">
        <f t="shared" si="86"/>
        <v>1.3204231528001924E-5</v>
      </c>
      <c r="BB31" s="507">
        <f t="shared" si="86"/>
        <v>4.4894387195206543E-6</v>
      </c>
      <c r="BC31" s="507">
        <f t="shared" si="86"/>
        <v>0</v>
      </c>
      <c r="BD31" s="507">
        <f t="shared" si="86"/>
        <v>0</v>
      </c>
      <c r="BE31" s="507">
        <f t="shared" si="86"/>
        <v>0</v>
      </c>
      <c r="BF31" s="507">
        <f t="shared" si="46"/>
        <v>3.0897901775524505E-5</v>
      </c>
      <c r="BG31" s="507">
        <f t="shared" si="78"/>
        <v>0</v>
      </c>
      <c r="BH31" s="507">
        <f t="shared" si="79"/>
        <v>0</v>
      </c>
      <c r="BI31" s="507">
        <f t="shared" si="87"/>
        <v>1.3204231528001924E-5</v>
      </c>
      <c r="BJ31" s="507">
        <f t="shared" si="87"/>
        <v>2.6408463056003848E-5</v>
      </c>
      <c r="BK31" s="507">
        <f t="shared" si="87"/>
        <v>3.0897901775524505E-5</v>
      </c>
      <c r="BL31" s="507">
        <f t="shared" si="87"/>
        <v>3.0897901775524505E-5</v>
      </c>
      <c r="BM31" s="507">
        <f t="shared" si="87"/>
        <v>3.0897901775524505E-5</v>
      </c>
      <c r="BN31" s="507">
        <f t="shared" si="87"/>
        <v>3.0897901775524505E-5</v>
      </c>
      <c r="BO31" s="507">
        <f t="shared" si="88"/>
        <v>3.0897901775524505E-5</v>
      </c>
    </row>
    <row r="32" spans="1:67" x14ac:dyDescent="0.25">
      <c r="A32" t="s">
        <v>679</v>
      </c>
      <c r="B32" s="812" t="s">
        <v>669</v>
      </c>
      <c r="C32" s="812" t="s">
        <v>616</v>
      </c>
      <c r="D32" s="507">
        <v>1.273388019263542E-5</v>
      </c>
      <c r="E32" s="507">
        <v>0</v>
      </c>
      <c r="F32" s="507">
        <v>1.273388019263542E-5</v>
      </c>
      <c r="G32" s="507">
        <v>1.2152266308730243E-4</v>
      </c>
      <c r="H32" s="507">
        <v>4.1620427766563651E-4</v>
      </c>
      <c r="I32" s="507">
        <v>1.1662452782373588E-4</v>
      </c>
      <c r="J32" s="507">
        <v>2.8442980061033855E-4</v>
      </c>
      <c r="K32" s="507">
        <v>8.5647478045016876E-5</v>
      </c>
      <c r="L32" s="507">
        <v>2.9544837939723495E-4</v>
      </c>
      <c r="M32" s="507">
        <v>2.8160898021235403E-4</v>
      </c>
      <c r="N32" s="506">
        <v>9.3878126918701336E-4</v>
      </c>
      <c r="O32" s="506">
        <v>3.8109585744225183E-4</v>
      </c>
      <c r="P32" s="506">
        <v>2.8160898021235403E-4</v>
      </c>
      <c r="Q32" s="506">
        <v>6.6270483765460591E-4</v>
      </c>
      <c r="R32" s="506">
        <v>1.3198771266292651E-3</v>
      </c>
      <c r="S32" s="506">
        <v>1.6269538672268899E-3</v>
      </c>
      <c r="U32" t="s">
        <v>680</v>
      </c>
      <c r="V32" s="812" t="s">
        <v>670</v>
      </c>
      <c r="W32" s="507">
        <f>$N34</f>
        <v>-2.8114190646553478E-3</v>
      </c>
      <c r="X32" s="507">
        <f>$O34</f>
        <v>-2.015596469658534E-3</v>
      </c>
      <c r="Y32" s="507">
        <f t="shared" si="81"/>
        <v>-4.8270155343138818E-3</v>
      </c>
      <c r="Z32" s="507">
        <f>$P34</f>
        <v>-5.491318673012869E-4</v>
      </c>
      <c r="AA32" s="754">
        <f>$Q94</f>
        <v>-5.3431840353329597E-5</v>
      </c>
      <c r="AB32" s="507">
        <f t="shared" si="83"/>
        <v>-1.0152049667132624E-3</v>
      </c>
      <c r="AC32" s="507">
        <f t="shared" si="83"/>
        <v>-9.6177312635993279E-4</v>
      </c>
      <c r="AD32" s="507">
        <f t="shared" si="83"/>
        <v>-5.3431840353329596E-4</v>
      </c>
      <c r="AE32" s="507">
        <f t="shared" si="83"/>
        <v>-3.205910421199776E-4</v>
      </c>
      <c r="AF32" s="507">
        <f t="shared" si="83"/>
        <v>-1.0686368070665919E-4</v>
      </c>
      <c r="AG32" s="507">
        <f t="shared" si="83"/>
        <v>0</v>
      </c>
      <c r="AH32" s="507">
        <f t="shared" si="60"/>
        <v>-3.4878830867344146E-3</v>
      </c>
      <c r="AI32" s="507">
        <f t="shared" si="74"/>
        <v>-4.8270155343138818E-3</v>
      </c>
      <c r="AJ32" s="507">
        <f t="shared" si="75"/>
        <v>-5.3761474016151686E-3</v>
      </c>
      <c r="AK32" s="507">
        <f t="shared" si="84"/>
        <v>-6.3913523683284314E-3</v>
      </c>
      <c r="AL32" s="507">
        <f t="shared" si="84"/>
        <v>-7.3531254946883643E-3</v>
      </c>
      <c r="AM32" s="507">
        <f t="shared" si="84"/>
        <v>-7.8874438982216612E-3</v>
      </c>
      <c r="AN32" s="507">
        <f t="shared" si="84"/>
        <v>-8.2080349403416391E-3</v>
      </c>
      <c r="AO32" s="507">
        <f t="shared" si="84"/>
        <v>-8.314898621048299E-3</v>
      </c>
      <c r="AP32" s="507">
        <f t="shared" si="84"/>
        <v>-8.314898621048299E-3</v>
      </c>
      <c r="AQ32" s="507">
        <f t="shared" si="85"/>
        <v>-8.314898621048299E-3</v>
      </c>
      <c r="AS32" t="s">
        <v>680</v>
      </c>
      <c r="AT32" s="812" t="s">
        <v>670</v>
      </c>
      <c r="AU32" s="507">
        <f>$N34</f>
        <v>-2.8114190646553478E-3</v>
      </c>
      <c r="AV32" s="507">
        <f>$O34</f>
        <v>-2.015596469658534E-3</v>
      </c>
      <c r="AW32" s="507">
        <f t="shared" ref="AW32" si="89">SUM(AU32:AV32)</f>
        <v>-4.8270155343138818E-3</v>
      </c>
      <c r="AX32" s="507">
        <f>$P34</f>
        <v>-5.491318673012869E-4</v>
      </c>
      <c r="AY32" s="754">
        <f>$Q94</f>
        <v>-5.3431840353329597E-5</v>
      </c>
      <c r="AZ32" s="507">
        <f t="shared" si="86"/>
        <v>-1.0152049667132624E-3</v>
      </c>
      <c r="BA32" s="507">
        <f t="shared" si="86"/>
        <v>-1.4960915298932286E-3</v>
      </c>
      <c r="BB32" s="507">
        <f t="shared" si="86"/>
        <v>-1.6029552105998879E-3</v>
      </c>
      <c r="BC32" s="507">
        <f t="shared" si="86"/>
        <v>-1.9769780930731953E-3</v>
      </c>
      <c r="BD32" s="507">
        <f t="shared" si="86"/>
        <v>-2.2441372948398433E-3</v>
      </c>
      <c r="BE32" s="507">
        <f t="shared" si="86"/>
        <v>-2.4578646562531613E-3</v>
      </c>
      <c r="BF32" s="507">
        <f t="shared" si="46"/>
        <v>-8.884498962420705E-3</v>
      </c>
      <c r="BG32" s="507">
        <f t="shared" si="78"/>
        <v>-4.8270155343138818E-3</v>
      </c>
      <c r="BH32" s="507">
        <f t="shared" si="79"/>
        <v>-5.3761474016151686E-3</v>
      </c>
      <c r="BI32" s="507">
        <f t="shared" si="87"/>
        <v>-6.3913523683284314E-3</v>
      </c>
      <c r="BJ32" s="507">
        <f t="shared" si="87"/>
        <v>-7.8874438982216594E-3</v>
      </c>
      <c r="BK32" s="507">
        <f t="shared" si="87"/>
        <v>-9.4903991088215473E-3</v>
      </c>
      <c r="BL32" s="507">
        <f t="shared" si="87"/>
        <v>-1.1467377201894743E-2</v>
      </c>
      <c r="BM32" s="507">
        <f t="shared" si="87"/>
        <v>-1.3711514496734587E-2</v>
      </c>
      <c r="BN32" s="507">
        <f t="shared" si="87"/>
        <v>-1.6169379152987749E-2</v>
      </c>
      <c r="BO32" s="507">
        <f t="shared" si="88"/>
        <v>-1.6169379152987749E-2</v>
      </c>
    </row>
    <row r="33" spans="1:67" x14ac:dyDescent="0.25">
      <c r="A33" t="s">
        <v>679</v>
      </c>
      <c r="B33" s="812" t="s">
        <v>666</v>
      </c>
      <c r="C33" s="812" t="s">
        <v>616</v>
      </c>
      <c r="D33" s="507">
        <v>1.273388019263542E-5</v>
      </c>
      <c r="E33" s="507">
        <v>0</v>
      </c>
      <c r="F33" s="507">
        <v>1.273388019263542E-5</v>
      </c>
      <c r="G33" s="507">
        <v>1.2152266308730243E-4</v>
      </c>
      <c r="H33" s="507">
        <v>6.9852772116185159E-4</v>
      </c>
      <c r="I33" s="507">
        <v>2.991127416434729E-4</v>
      </c>
      <c r="J33" s="507">
        <v>4.1357528690478108E-4</v>
      </c>
      <c r="K33" s="507">
        <v>5.4606316782587598E-4</v>
      </c>
      <c r="L33" s="507">
        <v>1.251500812728158E-3</v>
      </c>
      <c r="M33" s="507">
        <v>1.5975250370426366E-3</v>
      </c>
      <c r="N33" s="506">
        <v>1.5327384127974079E-3</v>
      </c>
      <c r="O33" s="506">
        <v>1.7975639805540341E-3</v>
      </c>
      <c r="P33" s="506">
        <v>1.5975250370426366E-3</v>
      </c>
      <c r="Q33" s="506">
        <v>3.3950890175966707E-3</v>
      </c>
      <c r="R33" s="506">
        <v>3.330302393351442E-3</v>
      </c>
      <c r="S33" s="506">
        <v>4.9532951907793488E-3</v>
      </c>
      <c r="U33" t="s">
        <v>680</v>
      </c>
      <c r="V33" s="812" t="s">
        <v>671</v>
      </c>
      <c r="Y33" s="507"/>
      <c r="AA33" s="754"/>
      <c r="AB33" s="267"/>
      <c r="AC33" s="267"/>
      <c r="AD33" s="267"/>
      <c r="AE33" s="267"/>
      <c r="AF33" s="267"/>
      <c r="AG33" s="267"/>
      <c r="AH33" s="267"/>
      <c r="AI33" s="267"/>
      <c r="AJ33" s="267"/>
      <c r="AK33" s="267"/>
      <c r="AL33" s="267"/>
      <c r="AM33" s="267"/>
      <c r="AN33" s="267"/>
      <c r="AO33" s="267"/>
      <c r="AP33" s="267"/>
      <c r="AQ33" s="267"/>
      <c r="AS33" t="s">
        <v>680</v>
      </c>
      <c r="AT33" s="812" t="s">
        <v>671</v>
      </c>
      <c r="AW33" s="507"/>
      <c r="AY33" s="754">
        <f>AY$32</f>
        <v>-5.3431840353329597E-5</v>
      </c>
      <c r="AZ33" s="507">
        <f t="shared" si="86"/>
        <v>0</v>
      </c>
      <c r="BA33" s="507">
        <f t="shared" si="86"/>
        <v>0</v>
      </c>
      <c r="BB33" s="507">
        <f t="shared" si="86"/>
        <v>0</v>
      </c>
      <c r="BC33" s="507">
        <f t="shared" si="86"/>
        <v>0</v>
      </c>
      <c r="BD33" s="507">
        <f t="shared" si="86"/>
        <v>0</v>
      </c>
      <c r="BE33" s="507">
        <f t="shared" si="86"/>
        <v>0</v>
      </c>
      <c r="BF33" s="507">
        <f t="shared" si="46"/>
        <v>0</v>
      </c>
      <c r="BG33" s="507">
        <f t="shared" si="78"/>
        <v>0</v>
      </c>
      <c r="BH33" s="507">
        <f t="shared" si="79"/>
        <v>0</v>
      </c>
      <c r="BI33" s="507">
        <f t="shared" si="87"/>
        <v>0</v>
      </c>
      <c r="BJ33" s="507">
        <f t="shared" si="87"/>
        <v>0</v>
      </c>
      <c r="BK33" s="507">
        <f t="shared" si="87"/>
        <v>0</v>
      </c>
      <c r="BL33" s="507">
        <f t="shared" si="87"/>
        <v>0</v>
      </c>
      <c r="BM33" s="507">
        <f t="shared" si="87"/>
        <v>0</v>
      </c>
      <c r="BN33" s="507">
        <f t="shared" si="87"/>
        <v>0</v>
      </c>
      <c r="BO33" s="507">
        <f t="shared" si="88"/>
        <v>0</v>
      </c>
    </row>
    <row r="34" spans="1:67" x14ac:dyDescent="0.25">
      <c r="A34" t="s">
        <v>679</v>
      </c>
      <c r="B34" s="812" t="s">
        <v>670</v>
      </c>
      <c r="C34" s="812" t="s">
        <v>616</v>
      </c>
      <c r="D34" s="507">
        <v>-1.2222547692418218E-3</v>
      </c>
      <c r="E34" s="507">
        <v>-4.0520315991017372E-3</v>
      </c>
      <c r="F34" s="507">
        <v>-9.5402058009371009E-3</v>
      </c>
      <c r="G34" s="507">
        <v>-4.8039856041153553E-4</v>
      </c>
      <c r="H34" s="507">
        <v>-4.0007132403976084E-4</v>
      </c>
      <c r="I34" s="507">
        <v>-6.8134741453236146E-4</v>
      </c>
      <c r="J34" s="507">
        <v>-1.2496017656716903E-3</v>
      </c>
      <c r="K34" s="507">
        <v>-7.2887187637286238E-4</v>
      </c>
      <c r="L34" s="507">
        <v>-1.2867245932856718E-3</v>
      </c>
      <c r="M34" s="507">
        <v>-5.491318673012869E-4</v>
      </c>
      <c r="N34" s="506">
        <v>-2.8114190646553478E-3</v>
      </c>
      <c r="O34" s="506">
        <v>-2.015596469658534E-3</v>
      </c>
      <c r="P34" s="506">
        <v>-5.491318673012869E-4</v>
      </c>
      <c r="Q34" s="506">
        <v>-2.5647283369598208E-3</v>
      </c>
      <c r="R34" s="506">
        <v>-4.8270155343138818E-3</v>
      </c>
      <c r="S34" s="506">
        <v>-2.0190639570895827E-2</v>
      </c>
      <c r="U34" t="s">
        <v>680</v>
      </c>
      <c r="V34" s="812" t="s">
        <v>672</v>
      </c>
      <c r="W34" s="507">
        <f>$N35</f>
        <v>-2.8658802220603801E-4</v>
      </c>
      <c r="X34" s="507">
        <f>$O35</f>
        <v>1.6409223804948332E-6</v>
      </c>
      <c r="Y34" s="507">
        <f t="shared" si="81"/>
        <v>-2.849470998255432E-4</v>
      </c>
      <c r="Z34" s="507">
        <f>$P35</f>
        <v>8.2046119024741658E-7</v>
      </c>
      <c r="AA34" s="754">
        <f>$Q95</f>
        <v>8.2046119024741658E-7</v>
      </c>
      <c r="AB34" s="507">
        <f>$AA34*AB14</f>
        <v>0</v>
      </c>
      <c r="AC34" s="507">
        <f t="shared" ref="AC34:AG34" si="90">$AA34*AC14</f>
        <v>0</v>
      </c>
      <c r="AD34" s="507">
        <f t="shared" si="90"/>
        <v>0</v>
      </c>
      <c r="AE34" s="507">
        <f t="shared" si="90"/>
        <v>0</v>
      </c>
      <c r="AF34" s="507">
        <f t="shared" si="90"/>
        <v>0</v>
      </c>
      <c r="AG34" s="507">
        <f t="shared" si="90"/>
        <v>0</v>
      </c>
      <c r="AH34" s="507">
        <f>SUM(Z34,AB34:AF34)</f>
        <v>8.2046119024741658E-7</v>
      </c>
      <c r="AI34" s="507">
        <f t="shared" si="74"/>
        <v>-2.849470998255432E-4</v>
      </c>
      <c r="AJ34" s="507">
        <f t="shared" si="75"/>
        <v>-2.8412663863529579E-4</v>
      </c>
      <c r="AK34" s="507">
        <f>AJ34+AB34</f>
        <v>-2.8412663863529579E-4</v>
      </c>
      <c r="AL34" s="507">
        <f t="shared" ref="AL34:AP34" si="91">AK34+AC34</f>
        <v>-2.8412663863529579E-4</v>
      </c>
      <c r="AM34" s="507">
        <f t="shared" si="91"/>
        <v>-2.8412663863529579E-4</v>
      </c>
      <c r="AN34" s="507">
        <f t="shared" si="91"/>
        <v>-2.8412663863529579E-4</v>
      </c>
      <c r="AO34" s="507">
        <f t="shared" si="91"/>
        <v>-2.8412663863529579E-4</v>
      </c>
      <c r="AP34" s="507">
        <f t="shared" si="91"/>
        <v>-2.8412663863529579E-4</v>
      </c>
      <c r="AQ34" s="507">
        <f>AP34</f>
        <v>-2.8412663863529579E-4</v>
      </c>
      <c r="AS34" t="s">
        <v>680</v>
      </c>
      <c r="AT34" s="812" t="s">
        <v>672</v>
      </c>
      <c r="AU34" s="507">
        <f>$N35</f>
        <v>-2.8658802220603801E-4</v>
      </c>
      <c r="AV34" s="507">
        <f>$O35</f>
        <v>1.6409223804948332E-6</v>
      </c>
      <c r="AW34" s="507">
        <f t="shared" ref="AW34" si="92">SUM(AU34:AV34)</f>
        <v>-2.849470998255432E-4</v>
      </c>
      <c r="AX34" s="507">
        <f>$P35</f>
        <v>8.2046119024741658E-7</v>
      </c>
      <c r="AY34" s="754">
        <f>$Q95</f>
        <v>8.2046119024741658E-7</v>
      </c>
      <c r="AZ34" s="507">
        <f>$AA34*AZ14</f>
        <v>0</v>
      </c>
      <c r="BA34" s="507">
        <f t="shared" si="86"/>
        <v>0</v>
      </c>
      <c r="BB34" s="507">
        <f t="shared" si="86"/>
        <v>8.2046119024741658E-7</v>
      </c>
      <c r="BC34" s="507">
        <f t="shared" si="86"/>
        <v>1.6409223804948332E-6</v>
      </c>
      <c r="BD34" s="507">
        <f t="shared" si="86"/>
        <v>1.6409223804948332E-6</v>
      </c>
      <c r="BE34" s="507">
        <f t="shared" si="86"/>
        <v>1.6409223804948332E-6</v>
      </c>
      <c r="BF34" s="507">
        <f t="shared" si="46"/>
        <v>4.9227671414844993E-6</v>
      </c>
      <c r="BG34" s="507">
        <f t="shared" si="78"/>
        <v>-2.849470998255432E-4</v>
      </c>
      <c r="BH34" s="507">
        <f t="shared" si="79"/>
        <v>-2.8412663863529579E-4</v>
      </c>
      <c r="BI34" s="507">
        <f>BH34+AZ34</f>
        <v>-2.8412663863529579E-4</v>
      </c>
      <c r="BJ34" s="507">
        <f t="shared" si="87"/>
        <v>-2.8412663863529579E-4</v>
      </c>
      <c r="BK34" s="507">
        <f t="shared" si="87"/>
        <v>-2.8330617744504839E-4</v>
      </c>
      <c r="BL34" s="507">
        <f t="shared" si="87"/>
        <v>-2.8166525506455358E-4</v>
      </c>
      <c r="BM34" s="507">
        <f t="shared" si="87"/>
        <v>-2.8002433268405877E-4</v>
      </c>
      <c r="BN34" s="507">
        <f t="shared" si="87"/>
        <v>-2.7838341030356396E-4</v>
      </c>
      <c r="BO34" s="507">
        <f>BN34</f>
        <v>-2.7838341030356396E-4</v>
      </c>
    </row>
    <row r="35" spans="1:67" x14ac:dyDescent="0.25">
      <c r="A35" t="s">
        <v>679</v>
      </c>
      <c r="B35" s="812" t="s">
        <v>672</v>
      </c>
      <c r="C35" s="812" t="s">
        <v>616</v>
      </c>
      <c r="D35" s="507">
        <v>-2.392898943418151E-4</v>
      </c>
      <c r="E35" s="507">
        <v>-1.6256436071542958E-3</v>
      </c>
      <c r="F35" s="507">
        <v>-6.1774457071863262E-3</v>
      </c>
      <c r="G35" s="507">
        <v>-3.1856503190887976E-4</v>
      </c>
      <c r="H35" s="507">
        <v>1.7229684995195749E-5</v>
      </c>
      <c r="I35" s="507">
        <v>1.0645018756408889E-5</v>
      </c>
      <c r="J35" s="507">
        <v>4.1023059512370826E-6</v>
      </c>
      <c r="K35" s="507">
        <v>1.6409223804948332E-6</v>
      </c>
      <c r="L35" s="507">
        <v>0</v>
      </c>
      <c r="M35" s="507">
        <v>8.2046119024741658E-7</v>
      </c>
      <c r="N35" s="506">
        <v>-2.8658802220603801E-4</v>
      </c>
      <c r="O35" s="506">
        <v>1.6409223804948332E-6</v>
      </c>
      <c r="P35" s="506">
        <v>8.2046119024741658E-7</v>
      </c>
      <c r="Q35" s="506">
        <v>2.4613835707422496E-6</v>
      </c>
      <c r="R35" s="506">
        <v>-2.849470998255432E-4</v>
      </c>
      <c r="S35" s="506">
        <v>-8.3265058473177295E-3</v>
      </c>
      <c r="U35" t="s">
        <v>680</v>
      </c>
      <c r="V35" s="812" t="s">
        <v>673</v>
      </c>
      <c r="W35" s="507"/>
      <c r="X35" s="507"/>
      <c r="Y35" s="507"/>
      <c r="Z35" s="507"/>
      <c r="AA35" s="754"/>
      <c r="AB35" s="267"/>
      <c r="AC35" s="267"/>
      <c r="AD35" s="267"/>
      <c r="AE35" s="267"/>
      <c r="AF35" s="267"/>
      <c r="AG35" s="267"/>
      <c r="AH35" s="267"/>
      <c r="AI35" s="267"/>
      <c r="AJ35" s="267"/>
      <c r="AK35" s="267"/>
      <c r="AL35" s="267"/>
      <c r="AM35" s="267"/>
      <c r="AN35" s="267"/>
      <c r="AO35" s="267"/>
      <c r="AP35" s="267"/>
      <c r="AQ35" s="267"/>
      <c r="AS35" t="s">
        <v>680</v>
      </c>
      <c r="AT35" s="812" t="s">
        <v>673</v>
      </c>
      <c r="AU35" s="507"/>
      <c r="AV35" s="507"/>
      <c r="AW35" s="507"/>
      <c r="AX35" s="507"/>
      <c r="AY35" s="754">
        <f>AY$32</f>
        <v>-5.3431840353329597E-5</v>
      </c>
      <c r="AZ35" s="507">
        <f t="shared" si="86"/>
        <v>0</v>
      </c>
      <c r="BA35" s="507">
        <f t="shared" si="86"/>
        <v>0</v>
      </c>
      <c r="BB35" s="507">
        <f t="shared" si="86"/>
        <v>0</v>
      </c>
      <c r="BC35" s="507">
        <f t="shared" si="86"/>
        <v>0</v>
      </c>
      <c r="BD35" s="507">
        <f t="shared" si="86"/>
        <v>0</v>
      </c>
      <c r="BE35" s="507">
        <f t="shared" si="86"/>
        <v>0</v>
      </c>
      <c r="BF35" s="507">
        <f t="shared" si="46"/>
        <v>0</v>
      </c>
      <c r="BG35" s="507">
        <f t="shared" si="78"/>
        <v>0</v>
      </c>
      <c r="BH35" s="507">
        <f t="shared" si="79"/>
        <v>0</v>
      </c>
      <c r="BI35" s="507">
        <f t="shared" ref="BI35" si="93">BH35+AZ35</f>
        <v>0</v>
      </c>
      <c r="BJ35" s="507">
        <f t="shared" si="87"/>
        <v>0</v>
      </c>
      <c r="BK35" s="507">
        <f t="shared" si="87"/>
        <v>0</v>
      </c>
      <c r="BL35" s="507">
        <f t="shared" si="87"/>
        <v>0</v>
      </c>
      <c r="BM35" s="507">
        <f t="shared" si="87"/>
        <v>0</v>
      </c>
      <c r="BN35" s="507">
        <f t="shared" si="87"/>
        <v>0</v>
      </c>
      <c r="BO35" s="507">
        <f t="shared" si="88"/>
        <v>0</v>
      </c>
    </row>
    <row r="36" spans="1:67" x14ac:dyDescent="0.25">
      <c r="A36" s="3" t="s">
        <v>679</v>
      </c>
      <c r="B36" s="813" t="s">
        <v>675</v>
      </c>
      <c r="C36" s="813" t="s">
        <v>616</v>
      </c>
      <c r="D36" s="88" t="b">
        <v>1</v>
      </c>
      <c r="E36" s="88" t="b">
        <v>1</v>
      </c>
      <c r="F36" s="88" t="b">
        <v>1</v>
      </c>
      <c r="G36" s="88" t="b">
        <v>1</v>
      </c>
      <c r="H36" s="88" t="b">
        <v>1</v>
      </c>
      <c r="I36" s="88" t="b">
        <v>1</v>
      </c>
      <c r="J36" s="88" t="b">
        <v>1</v>
      </c>
      <c r="K36" s="88" t="b">
        <v>1</v>
      </c>
      <c r="L36" s="88" t="b">
        <v>1</v>
      </c>
      <c r="M36" s="88" t="b">
        <v>1</v>
      </c>
      <c r="N36" s="88" t="b">
        <v>1</v>
      </c>
      <c r="O36" s="88" t="b">
        <v>1</v>
      </c>
      <c r="P36" s="88" t="b">
        <v>1</v>
      </c>
      <c r="Q36" s="88" t="b">
        <v>1</v>
      </c>
      <c r="R36" s="88" t="b">
        <v>1</v>
      </c>
      <c r="S36" s="88" t="b">
        <v>1</v>
      </c>
      <c r="U36" s="3"/>
      <c r="V36" s="3" t="s">
        <v>678</v>
      </c>
      <c r="W36" s="766">
        <f>SUM(W29:W35)</f>
        <v>-2.5367299584501263E-3</v>
      </c>
      <c r="X36" s="766">
        <f t="shared" ref="X36" si="94">SUM(X29:X35)</f>
        <v>-2.1027253118653284E-4</v>
      </c>
      <c r="Y36" s="766">
        <f>SUM(Y29:Y35)</f>
        <v>-2.7470024896366586E-3</v>
      </c>
      <c r="Z36" s="766">
        <f t="shared" ref="Z36" si="95">SUM(Z29:Z35)</f>
        <v>1.0512524297249157E-3</v>
      </c>
      <c r="AA36" s="349"/>
      <c r="AB36" s="766">
        <f t="shared" ref="AB36:AG36" si="96">SUM(AB29:AB35)</f>
        <v>1.9655585542696068E-3</v>
      </c>
      <c r="AC36" s="766">
        <f t="shared" si="96"/>
        <v>2.056713605929566E-3</v>
      </c>
      <c r="AD36" s="766">
        <f t="shared" si="96"/>
        <v>1.8593077512727707E-3</v>
      </c>
      <c r="AE36" s="766">
        <f t="shared" si="96"/>
        <v>9.7457254607430778E-4</v>
      </c>
      <c r="AF36" s="766">
        <f t="shared" si="96"/>
        <v>3.3324045120402033E-4</v>
      </c>
      <c r="AG36" s="766">
        <f t="shared" si="96"/>
        <v>0</v>
      </c>
      <c r="AH36" s="767">
        <f>SUM(Z36,AB36:AF36)</f>
        <v>8.2406453384751867E-3</v>
      </c>
      <c r="AI36" s="766">
        <f>Y36</f>
        <v>-2.7470024896366586E-3</v>
      </c>
      <c r="AJ36" s="766">
        <f t="shared" ref="AJ36" si="97">SUM(AJ29:AJ35)</f>
        <v>-1.6957500599117424E-3</v>
      </c>
      <c r="AK36" s="766">
        <f t="shared" ref="AK36:AP36" si="98">SUM(AK29:AK35)</f>
        <v>1.2331119444132224E-3</v>
      </c>
      <c r="AL36" s="766">
        <f t="shared" si="98"/>
        <v>3.2898255503427884E-3</v>
      </c>
      <c r="AM36" s="766">
        <f t="shared" si="98"/>
        <v>5.1491333016155582E-3</v>
      </c>
      <c r="AN36" s="766">
        <f t="shared" si="98"/>
        <v>6.1237058476898655E-3</v>
      </c>
      <c r="AO36" s="766">
        <f t="shared" si="98"/>
        <v>6.4569462988938843E-3</v>
      </c>
      <c r="AP36" s="766">
        <f t="shared" si="98"/>
        <v>6.4569462988938843E-3</v>
      </c>
      <c r="AQ36" s="766">
        <f>AP36</f>
        <v>6.4569462988938843E-3</v>
      </c>
      <c r="AS36" s="3"/>
      <c r="AT36" s="3" t="s">
        <v>678</v>
      </c>
      <c r="AU36" s="766">
        <f>SUM(AU29:AU35)</f>
        <v>-2.5367299584501263E-3</v>
      </c>
      <c r="AV36" s="766">
        <f t="shared" ref="AV36" si="99">SUM(AV29:AV35)</f>
        <v>-2.1027253118653284E-4</v>
      </c>
      <c r="AW36" s="766">
        <f>SUM(AW29:AW35)</f>
        <v>-2.7470024896366586E-3</v>
      </c>
      <c r="AX36" s="766">
        <f t="shared" ref="AX36" si="100">SUM(AX29:AX35)</f>
        <v>1.0512524297249157E-3</v>
      </c>
      <c r="AY36" s="349"/>
      <c r="AZ36" s="766">
        <f t="shared" ref="AZ36:BE36" si="101">SUM(AZ29:AZ35)</f>
        <v>1.9655585542696068E-3</v>
      </c>
      <c r="BA36" s="766">
        <f t="shared" si="101"/>
        <v>2.2265618134533578E-3</v>
      </c>
      <c r="BB36" s="766">
        <f t="shared" si="101"/>
        <v>2.3004198576616129E-3</v>
      </c>
      <c r="BC36" s="766">
        <f t="shared" si="101"/>
        <v>1.6963887298192544E-3</v>
      </c>
      <c r="BD36" s="766">
        <f t="shared" si="101"/>
        <v>1.2280390677505816E-3</v>
      </c>
      <c r="BE36" s="766">
        <f t="shared" si="101"/>
        <v>9.7658849503063391E-4</v>
      </c>
      <c r="BF36" s="767">
        <f t="shared" si="46"/>
        <v>1.0468220452679328E-2</v>
      </c>
      <c r="BG36" s="766">
        <f>AW36</f>
        <v>-2.7470024896366586E-3</v>
      </c>
      <c r="BH36" s="766">
        <f t="shared" ref="BH36" si="102">SUM(BH29:BH35)</f>
        <v>-1.6957500599117424E-3</v>
      </c>
      <c r="BI36" s="766">
        <f t="shared" ref="BI36:BN36" si="103">SUM(BI29:BI35)</f>
        <v>1.2331119444132224E-3</v>
      </c>
      <c r="BJ36" s="766">
        <f t="shared" si="103"/>
        <v>3.4596737578665793E-3</v>
      </c>
      <c r="BK36" s="766">
        <f t="shared" si="103"/>
        <v>5.7600936155281918E-3</v>
      </c>
      <c r="BL36" s="766">
        <f t="shared" si="103"/>
        <v>7.4564823453474472E-3</v>
      </c>
      <c r="BM36" s="766">
        <f t="shared" si="103"/>
        <v>8.6845214130980286E-3</v>
      </c>
      <c r="BN36" s="766">
        <f t="shared" si="103"/>
        <v>9.6611099081286619E-3</v>
      </c>
      <c r="BO36" s="766">
        <f>BN36</f>
        <v>9.6611099081286619E-3</v>
      </c>
    </row>
    <row r="37" spans="1:67" hidden="1" x14ac:dyDescent="0.25">
      <c r="A37" t="s">
        <v>676</v>
      </c>
      <c r="B37" s="812" t="s">
        <v>616</v>
      </c>
      <c r="C37" s="812">
        <v>99705</v>
      </c>
      <c r="D37" s="507">
        <v>9.3747890153883587E-3</v>
      </c>
      <c r="E37" s="507">
        <v>1.5464385341941734E-2</v>
      </c>
      <c r="F37" s="507">
        <v>3.6503264968122263E-2</v>
      </c>
      <c r="G37" s="507">
        <v>1.3250934778679722E-2</v>
      </c>
      <c r="H37" s="507">
        <v>3.2539783854964643E-2</v>
      </c>
      <c r="I37" s="507">
        <v>3.3580915339839618E-2</v>
      </c>
      <c r="J37" s="507">
        <v>1.1773044703744621E-2</v>
      </c>
      <c r="K37" s="507">
        <v>1.1808105452982691E-2</v>
      </c>
      <c r="L37" s="507">
        <v>2.6705840744831996E-2</v>
      </c>
      <c r="M37" s="507">
        <v>1.7174181458131869E-2</v>
      </c>
      <c r="N37" s="506">
        <v>9.1144678677228613E-2</v>
      </c>
      <c r="O37" s="506">
        <v>3.8513946197814689E-2</v>
      </c>
      <c r="P37" s="506">
        <v>1.7174181458131869E-2</v>
      </c>
      <c r="Q37" s="506">
        <v>5.5688127655946558E-2</v>
      </c>
      <c r="R37" s="506">
        <v>0.12965862487504332</v>
      </c>
      <c r="S37" s="506">
        <v>0.20817524565862755</v>
      </c>
    </row>
    <row r="38" spans="1:67" hidden="1" x14ac:dyDescent="0.25">
      <c r="A38" t="s">
        <v>676</v>
      </c>
      <c r="B38" s="812" t="s">
        <v>663</v>
      </c>
      <c r="C38" s="812">
        <v>99705</v>
      </c>
      <c r="D38" s="507">
        <v>6.085802840658649E-3</v>
      </c>
      <c r="E38" s="507">
        <v>7.7963220334773525E-3</v>
      </c>
      <c r="F38" s="507">
        <v>1.2874219460880377E-2</v>
      </c>
      <c r="G38" s="507">
        <v>1.2051760703292913E-2</v>
      </c>
      <c r="H38" s="507">
        <v>2.5602417853210852E-2</v>
      </c>
      <c r="I38" s="507">
        <v>2.5650120814527194E-2</v>
      </c>
      <c r="J38" s="507">
        <v>8.0779606762207551E-3</v>
      </c>
      <c r="K38" s="507">
        <v>5.105743977690879E-3</v>
      </c>
      <c r="L38" s="507">
        <v>8.5706405153434754E-3</v>
      </c>
      <c r="M38" s="507">
        <v>1.2108189695308413E-3</v>
      </c>
      <c r="N38" s="506">
        <v>7.1382260047251719E-2</v>
      </c>
      <c r="O38" s="506">
        <v>1.3676384493034354E-2</v>
      </c>
      <c r="P38" s="506">
        <v>1.2108189695308413E-3</v>
      </c>
      <c r="Q38" s="506">
        <v>1.4887203462565196E-2</v>
      </c>
      <c r="R38" s="506">
        <v>8.5058644540286069E-2</v>
      </c>
      <c r="S38" s="506">
        <v>0.11302580784483329</v>
      </c>
    </row>
    <row r="39" spans="1:67" hidden="1" x14ac:dyDescent="0.25">
      <c r="A39" t="s">
        <v>676</v>
      </c>
      <c r="B39" s="812" t="s">
        <v>664</v>
      </c>
      <c r="C39" s="812">
        <v>99705</v>
      </c>
      <c r="D39" s="507">
        <v>0</v>
      </c>
      <c r="E39" s="507">
        <v>0</v>
      </c>
      <c r="F39" s="507">
        <v>0</v>
      </c>
      <c r="G39" s="507">
        <v>1.5646452331123054E-4</v>
      </c>
      <c r="H39" s="507">
        <v>3.9379086740644748E-3</v>
      </c>
      <c r="I39" s="507">
        <v>4.2701200044426603E-3</v>
      </c>
      <c r="J39" s="507">
        <v>3.1271916999954654E-4</v>
      </c>
      <c r="K39" s="507">
        <v>2.115611403009973E-4</v>
      </c>
      <c r="L39" s="507">
        <v>1.9242597284874145E-4</v>
      </c>
      <c r="M39" s="507">
        <v>1.0779001081207954E-4</v>
      </c>
      <c r="N39" s="506">
        <v>8.6772123718179116E-3</v>
      </c>
      <c r="O39" s="506">
        <v>4.0398711314973878E-4</v>
      </c>
      <c r="P39" s="506">
        <v>1.0779001081207954E-4</v>
      </c>
      <c r="Q39" s="506">
        <v>5.1177712396181828E-4</v>
      </c>
      <c r="R39" s="506">
        <v>9.081199484967651E-3</v>
      </c>
      <c r="S39" s="506">
        <v>9.1889894957797313E-3</v>
      </c>
    </row>
    <row r="40" spans="1:67" hidden="1" x14ac:dyDescent="0.25">
      <c r="A40" t="s">
        <v>676</v>
      </c>
      <c r="B40" s="812" t="s">
        <v>665</v>
      </c>
      <c r="C40" s="812">
        <v>99705</v>
      </c>
      <c r="D40" s="507">
        <v>0</v>
      </c>
      <c r="E40" s="507">
        <v>0</v>
      </c>
      <c r="F40" s="507">
        <v>0</v>
      </c>
      <c r="G40" s="507">
        <v>0</v>
      </c>
      <c r="H40" s="507">
        <v>0</v>
      </c>
      <c r="I40" s="507">
        <v>2.4905159703855534E-4</v>
      </c>
      <c r="J40" s="507">
        <v>0</v>
      </c>
      <c r="K40" s="507">
        <v>0</v>
      </c>
      <c r="L40" s="507">
        <v>1.5837364542587982E-3</v>
      </c>
      <c r="M40" s="507">
        <v>5.4318153568430252E-3</v>
      </c>
      <c r="N40" s="506">
        <v>2.4905159703855534E-4</v>
      </c>
      <c r="O40" s="506">
        <v>1.5837364542587982E-3</v>
      </c>
      <c r="P40" s="506">
        <v>5.4318153568430252E-3</v>
      </c>
      <c r="Q40" s="506">
        <v>7.0155518111018229E-3</v>
      </c>
      <c r="R40" s="506">
        <v>1.8327880512973536E-3</v>
      </c>
      <c r="S40" s="506">
        <v>7.2646034081403788E-3</v>
      </c>
    </row>
    <row r="41" spans="1:67" hidden="1" x14ac:dyDescent="0.25">
      <c r="A41" t="s">
        <v>676</v>
      </c>
      <c r="B41" s="812" t="s">
        <v>667</v>
      </c>
      <c r="C41" s="812">
        <v>99705</v>
      </c>
      <c r="D41" s="507">
        <v>0</v>
      </c>
      <c r="E41" s="507">
        <v>0</v>
      </c>
      <c r="F41" s="507">
        <v>0</v>
      </c>
      <c r="G41" s="507">
        <v>0</v>
      </c>
      <c r="H41" s="507">
        <v>5.8671968204267394E-4</v>
      </c>
      <c r="I41" s="507">
        <v>5.091317299485967E-4</v>
      </c>
      <c r="J41" s="507">
        <v>3.3767339459089694E-4</v>
      </c>
      <c r="K41" s="507">
        <v>3.521949479553406E-3</v>
      </c>
      <c r="L41" s="507">
        <v>9.8526670899240811E-3</v>
      </c>
      <c r="M41" s="507">
        <v>8.6686513151278191E-3</v>
      </c>
      <c r="N41" s="506">
        <v>1.4335248065821676E-3</v>
      </c>
      <c r="O41" s="506">
        <v>1.3374616569477487E-2</v>
      </c>
      <c r="P41" s="506">
        <v>8.6686513151278191E-3</v>
      </c>
      <c r="Q41" s="506">
        <v>2.2043267884605304E-2</v>
      </c>
      <c r="R41" s="506">
        <v>1.4808141376059654E-2</v>
      </c>
      <c r="S41" s="506">
        <v>2.3476792691187472E-2</v>
      </c>
    </row>
    <row r="42" spans="1:67" hidden="1" x14ac:dyDescent="0.25">
      <c r="A42" t="s">
        <v>676</v>
      </c>
      <c r="B42" s="812" t="s">
        <v>669</v>
      </c>
      <c r="C42" s="812">
        <v>99705</v>
      </c>
      <c r="D42" s="507">
        <v>2.4721392523239887E-4</v>
      </c>
      <c r="E42" s="507">
        <v>0</v>
      </c>
      <c r="F42" s="507">
        <v>2.4721392523239887E-4</v>
      </c>
      <c r="G42" s="507">
        <v>3.3584103237151874E-4</v>
      </c>
      <c r="H42" s="507">
        <v>2.2678079344816702E-3</v>
      </c>
      <c r="I42" s="507">
        <v>1.324696733301114E-3</v>
      </c>
      <c r="J42" s="507">
        <v>1.343364129486075E-3</v>
      </c>
      <c r="K42" s="507">
        <v>1.4243629954852767E-3</v>
      </c>
      <c r="L42" s="507">
        <v>4.3370068618386595E-3</v>
      </c>
      <c r="M42" s="507">
        <v>1.7144768148693583E-3</v>
      </c>
      <c r="N42" s="506">
        <v>5.2717098296403775E-3</v>
      </c>
      <c r="O42" s="506">
        <v>5.7613698573239364E-3</v>
      </c>
      <c r="P42" s="506">
        <v>1.7144768148693583E-3</v>
      </c>
      <c r="Q42" s="506">
        <v>7.4758466721932945E-3</v>
      </c>
      <c r="R42" s="506">
        <v>1.1033079686964313E-2</v>
      </c>
      <c r="S42" s="506">
        <v>1.324198435229847E-2</v>
      </c>
    </row>
    <row r="43" spans="1:67" hidden="1" x14ac:dyDescent="0.25">
      <c r="A43" t="s">
        <v>676</v>
      </c>
      <c r="B43" s="812" t="s">
        <v>666</v>
      </c>
      <c r="C43" s="812">
        <v>99705</v>
      </c>
      <c r="D43" s="507">
        <v>2.4721392523239887E-4</v>
      </c>
      <c r="E43" s="507">
        <v>0</v>
      </c>
      <c r="F43" s="507">
        <v>2.4721392523239887E-4</v>
      </c>
      <c r="G43" s="507">
        <v>3.3584103237151874E-4</v>
      </c>
      <c r="H43" s="507">
        <v>2.8545276165243441E-3</v>
      </c>
      <c r="I43" s="507">
        <v>2.0828800602882662E-3</v>
      </c>
      <c r="J43" s="507">
        <v>1.6810375240769719E-3</v>
      </c>
      <c r="K43" s="507">
        <v>4.9463124750386825E-3</v>
      </c>
      <c r="L43" s="507">
        <v>1.5773410406021537E-2</v>
      </c>
      <c r="M43" s="507">
        <v>1.5814943486840202E-2</v>
      </c>
      <c r="N43" s="506">
        <v>6.954286233261101E-3</v>
      </c>
      <c r="O43" s="506">
        <v>2.0719722881060221E-2</v>
      </c>
      <c r="P43" s="506">
        <v>1.5814943486840202E-2</v>
      </c>
      <c r="Q43" s="506">
        <v>3.6534666367900426E-2</v>
      </c>
      <c r="R43" s="506">
        <v>2.7674009114321323E-2</v>
      </c>
      <c r="S43" s="506">
        <v>4.3983380451626322E-2</v>
      </c>
    </row>
    <row r="44" spans="1:67" hidden="1" x14ac:dyDescent="0.25">
      <c r="A44" t="s">
        <v>676</v>
      </c>
      <c r="B44" s="812" t="s">
        <v>670</v>
      </c>
      <c r="C44" s="812">
        <v>99705</v>
      </c>
      <c r="D44" s="507">
        <v>3.0080043790795437E-3</v>
      </c>
      <c r="E44" s="507">
        <v>7.5933478293528167E-3</v>
      </c>
      <c r="F44" s="507">
        <v>2.3282210943194138E-2</v>
      </c>
      <c r="G44" s="507">
        <v>6.7257579071516307E-4</v>
      </c>
      <c r="H44" s="507">
        <v>0</v>
      </c>
      <c r="I44" s="507">
        <v>1.5092090026036723E-3</v>
      </c>
      <c r="J44" s="507">
        <v>1.6841809689529023E-3</v>
      </c>
      <c r="K44" s="507">
        <v>1.5101951309632348E-3</v>
      </c>
      <c r="L44" s="507">
        <v>2.1693638506182535E-3</v>
      </c>
      <c r="M44" s="507">
        <v>4.0628990948747828E-5</v>
      </c>
      <c r="N44" s="506">
        <v>3.8659657622717378E-3</v>
      </c>
      <c r="O44" s="506">
        <v>3.6795589815814883E-3</v>
      </c>
      <c r="P44" s="506">
        <v>4.0628990948747828E-5</v>
      </c>
      <c r="Q44" s="506">
        <v>3.7201879725302363E-3</v>
      </c>
      <c r="R44" s="506">
        <v>7.545524743853226E-3</v>
      </c>
      <c r="S44" s="506">
        <v>4.1469716886428469E-2</v>
      </c>
    </row>
    <row r="45" spans="1:67" hidden="1" x14ac:dyDescent="0.25">
      <c r="A45" t="s">
        <v>676</v>
      </c>
      <c r="B45" s="812" t="s">
        <v>672</v>
      </c>
      <c r="C45" s="812">
        <v>99705</v>
      </c>
      <c r="D45" s="507">
        <v>3.3767870417767522E-5</v>
      </c>
      <c r="E45" s="507">
        <v>7.4715479111566615E-5</v>
      </c>
      <c r="F45" s="507">
        <v>9.9620638815422162E-5</v>
      </c>
      <c r="G45" s="507">
        <v>3.4292728988895571E-5</v>
      </c>
      <c r="H45" s="507">
        <v>1.4492971116499004E-4</v>
      </c>
      <c r="I45" s="507">
        <v>6.8585457977791143E-5</v>
      </c>
      <c r="J45" s="507">
        <v>1.7146364494447786E-5</v>
      </c>
      <c r="K45" s="507">
        <v>3.4292728988895571E-5</v>
      </c>
      <c r="L45" s="507">
        <v>0</v>
      </c>
      <c r="M45" s="507">
        <v>0</v>
      </c>
      <c r="N45" s="506">
        <v>2.6495426262612454E-4</v>
      </c>
      <c r="O45" s="506">
        <v>3.4292728988895571E-5</v>
      </c>
      <c r="P45" s="506">
        <v>0</v>
      </c>
      <c r="Q45" s="506">
        <v>3.4292728988895571E-5</v>
      </c>
      <c r="R45" s="506">
        <v>2.992469916150201E-4</v>
      </c>
      <c r="S45" s="506">
        <v>5.0735097995977647E-4</v>
      </c>
    </row>
    <row r="46" spans="1:67" hidden="1" x14ac:dyDescent="0.25">
      <c r="A46" s="3" t="s">
        <v>676</v>
      </c>
      <c r="B46" s="813" t="s">
        <v>675</v>
      </c>
      <c r="C46" s="813">
        <v>99705</v>
      </c>
      <c r="D46" s="88" t="b">
        <v>1</v>
      </c>
      <c r="E46" s="88" t="b">
        <v>1</v>
      </c>
      <c r="F46" s="88" t="b">
        <v>1</v>
      </c>
      <c r="G46" s="88" t="b">
        <v>1</v>
      </c>
      <c r="H46" s="88" t="b">
        <v>1</v>
      </c>
      <c r="I46" s="88" t="b">
        <v>1</v>
      </c>
      <c r="J46" s="88" t="b">
        <v>1</v>
      </c>
      <c r="K46" s="88" t="b">
        <v>1</v>
      </c>
      <c r="L46" s="88" t="b">
        <v>1</v>
      </c>
      <c r="M46" s="88" t="b">
        <v>1</v>
      </c>
      <c r="N46" s="88" t="b">
        <v>1</v>
      </c>
      <c r="O46" s="88" t="b">
        <v>1</v>
      </c>
      <c r="P46" s="88" t="b">
        <v>1</v>
      </c>
      <c r="Q46" s="88" t="b">
        <v>1</v>
      </c>
      <c r="R46" s="88" t="b">
        <v>1</v>
      </c>
      <c r="S46" s="88" t="b">
        <v>1</v>
      </c>
    </row>
    <row r="47" spans="1:67" hidden="1" x14ac:dyDescent="0.25">
      <c r="A47" t="s">
        <v>679</v>
      </c>
      <c r="B47" s="812" t="s">
        <v>616</v>
      </c>
      <c r="C47" s="812">
        <v>99705</v>
      </c>
      <c r="D47" s="507">
        <v>-1.3862875636227749E-3</v>
      </c>
      <c r="E47" s="507">
        <v>-3.6395795957882876E-3</v>
      </c>
      <c r="F47" s="507">
        <v>-5.7710185861955558E-3</v>
      </c>
      <c r="G47" s="507">
        <v>-7.4616719185674222E-5</v>
      </c>
      <c r="H47" s="507">
        <v>-7.6604143941950227E-4</v>
      </c>
      <c r="I47" s="507">
        <v>-7.4055950225451815E-4</v>
      </c>
      <c r="J47" s="507">
        <v>-2.3392441474854119E-4</v>
      </c>
      <c r="K47" s="507">
        <v>-2.411064107228361E-4</v>
      </c>
      <c r="L47" s="507">
        <v>8.1596235788685054E-5</v>
      </c>
      <c r="M47" s="507">
        <v>3.6457604487638047E-4</v>
      </c>
      <c r="N47" s="506">
        <v>-1.8151420756082359E-3</v>
      </c>
      <c r="O47" s="506">
        <v>-1.5951017493415106E-4</v>
      </c>
      <c r="P47" s="506">
        <v>3.6457604487638047E-4</v>
      </c>
      <c r="Q47" s="506">
        <v>2.0506586994222941E-4</v>
      </c>
      <c r="R47" s="506">
        <v>-1.9746522505423871E-3</v>
      </c>
      <c r="S47" s="506">
        <v>-1.2406961951272623E-2</v>
      </c>
    </row>
    <row r="48" spans="1:67" hidden="1" x14ac:dyDescent="0.25">
      <c r="A48" t="s">
        <v>679</v>
      </c>
      <c r="B48" s="812" t="s">
        <v>663</v>
      </c>
      <c r="C48" s="812">
        <v>99705</v>
      </c>
      <c r="D48" s="507">
        <v>-3.8283002662473743E-4</v>
      </c>
      <c r="E48" s="507">
        <v>-8.1374617607237029E-4</v>
      </c>
      <c r="F48" s="507">
        <v>4.0853341414004348E-4</v>
      </c>
      <c r="G48" s="507">
        <v>8.6525936568772937E-5</v>
      </c>
      <c r="H48" s="507">
        <v>-1.1578588071364348E-3</v>
      </c>
      <c r="I48" s="507">
        <v>6.2609575212900243E-4</v>
      </c>
      <c r="J48" s="507">
        <v>1.5531711574116568E-4</v>
      </c>
      <c r="K48" s="507">
        <v>-6.2262981607798701E-5</v>
      </c>
      <c r="L48" s="507">
        <v>4.0513078986400555E-4</v>
      </c>
      <c r="M48" s="507">
        <v>1.2829916624877812E-5</v>
      </c>
      <c r="N48" s="506">
        <v>-2.8992000269749386E-4</v>
      </c>
      <c r="O48" s="506">
        <v>3.4286780825620682E-4</v>
      </c>
      <c r="P48" s="506">
        <v>1.2829916624877812E-5</v>
      </c>
      <c r="Q48" s="506">
        <v>3.5569772488108461E-4</v>
      </c>
      <c r="R48" s="506">
        <v>5.2947805558712963E-5</v>
      </c>
      <c r="S48" s="506">
        <v>-7.222650663734736E-4</v>
      </c>
    </row>
    <row r="49" spans="1:19" hidden="1" x14ac:dyDescent="0.25">
      <c r="A49" t="s">
        <v>679</v>
      </c>
      <c r="B49" s="812" t="s">
        <v>664</v>
      </c>
      <c r="C49" s="812">
        <v>99705</v>
      </c>
      <c r="D49" s="507">
        <v>0</v>
      </c>
      <c r="E49" s="507">
        <v>0</v>
      </c>
      <c r="F49" s="507">
        <v>0</v>
      </c>
      <c r="G49" s="507">
        <v>1.4078085716034046E-5</v>
      </c>
      <c r="H49" s="507">
        <v>2.1523909189607831E-5</v>
      </c>
      <c r="I49" s="507">
        <v>-1.0644399460596021E-3</v>
      </c>
      <c r="J49" s="507">
        <v>2.0414379508350748E-6</v>
      </c>
      <c r="K49" s="507">
        <v>2.0401183720768448E-6</v>
      </c>
      <c r="L49" s="507">
        <v>4.0775975866372289E-6</v>
      </c>
      <c r="M49" s="507">
        <v>2.0387987933186144E-6</v>
      </c>
      <c r="N49" s="506">
        <v>-1.0267965132031251E-3</v>
      </c>
      <c r="O49" s="506">
        <v>6.1177159587140737E-6</v>
      </c>
      <c r="P49" s="506">
        <v>2.0387987933186144E-6</v>
      </c>
      <c r="Q49" s="506">
        <v>8.1565147520326886E-6</v>
      </c>
      <c r="R49" s="506">
        <v>-1.020678797244411E-3</v>
      </c>
      <c r="S49" s="506">
        <v>-1.0186399984510924E-3</v>
      </c>
    </row>
    <row r="50" spans="1:19" hidden="1" x14ac:dyDescent="0.25">
      <c r="A50" t="s">
        <v>679</v>
      </c>
      <c r="B50" s="812" t="s">
        <v>665</v>
      </c>
      <c r="C50" s="812">
        <v>99705</v>
      </c>
      <c r="D50" s="507">
        <v>0</v>
      </c>
      <c r="E50" s="507">
        <v>0</v>
      </c>
      <c r="F50" s="507">
        <v>0</v>
      </c>
      <c r="G50" s="507">
        <v>0</v>
      </c>
      <c r="H50" s="507">
        <v>0</v>
      </c>
      <c r="I50" s="507">
        <v>8.2046119024741686E-6</v>
      </c>
      <c r="J50" s="507">
        <v>0</v>
      </c>
      <c r="K50" s="507">
        <v>0</v>
      </c>
      <c r="L50" s="507">
        <v>2.8959897333060326E-5</v>
      </c>
      <c r="M50" s="507">
        <v>1.2943112022774624E-4</v>
      </c>
      <c r="N50" s="506">
        <v>8.2046119024741686E-6</v>
      </c>
      <c r="O50" s="506">
        <v>2.8959897333060326E-5</v>
      </c>
      <c r="P50" s="506">
        <v>1.2943112022774624E-4</v>
      </c>
      <c r="Q50" s="506">
        <v>1.5839101756080656E-4</v>
      </c>
      <c r="R50" s="506">
        <v>3.7164509235534497E-5</v>
      </c>
      <c r="S50" s="506">
        <v>1.6659562946328075E-4</v>
      </c>
    </row>
    <row r="51" spans="1:19" hidden="1" x14ac:dyDescent="0.25">
      <c r="A51" t="s">
        <v>679</v>
      </c>
      <c r="B51" s="812" t="s">
        <v>667</v>
      </c>
      <c r="C51" s="812">
        <v>99705</v>
      </c>
      <c r="D51" s="507">
        <v>0</v>
      </c>
      <c r="E51" s="507">
        <v>0</v>
      </c>
      <c r="F51" s="507">
        <v>0</v>
      </c>
      <c r="G51" s="507">
        <v>0</v>
      </c>
      <c r="H51" s="507">
        <v>3.4336197152534611E-5</v>
      </c>
      <c r="I51" s="507">
        <v>3.4336197152534611E-5</v>
      </c>
      <c r="J51" s="507">
        <v>2.6136894836838693E-5</v>
      </c>
      <c r="K51" s="507">
        <v>1.2963830723002225E-4</v>
      </c>
      <c r="L51" s="507">
        <v>1.4135942310914947E-4</v>
      </c>
      <c r="M51" s="507">
        <v>1.796652359071872E-4</v>
      </c>
      <c r="N51" s="506">
        <v>9.4809289141907919E-5</v>
      </c>
      <c r="O51" s="506">
        <v>2.7099773033917172E-4</v>
      </c>
      <c r="P51" s="506">
        <v>1.796652359071872E-4</v>
      </c>
      <c r="Q51" s="506">
        <v>4.5066296624635891E-4</v>
      </c>
      <c r="R51" s="506">
        <v>3.6580701948107962E-4</v>
      </c>
      <c r="S51" s="506">
        <v>5.4547225538826682E-4</v>
      </c>
    </row>
    <row r="52" spans="1:19" hidden="1" x14ac:dyDescent="0.25">
      <c r="A52" t="s">
        <v>679</v>
      </c>
      <c r="B52" s="812" t="s">
        <v>669</v>
      </c>
      <c r="C52" s="812">
        <v>99705</v>
      </c>
      <c r="D52" s="507">
        <v>6.3669400963177099E-6</v>
      </c>
      <c r="E52" s="507">
        <v>0</v>
      </c>
      <c r="F52" s="507">
        <v>6.3669400963177099E-6</v>
      </c>
      <c r="G52" s="507">
        <v>2.4304532617460484E-5</v>
      </c>
      <c r="H52" s="507">
        <v>3.2939357185280923E-4</v>
      </c>
      <c r="I52" s="507">
        <v>4.9772293002731334E-5</v>
      </c>
      <c r="J52" s="507">
        <v>9.7218130469841938E-5</v>
      </c>
      <c r="K52" s="507">
        <v>8.5647478045016876E-5</v>
      </c>
      <c r="L52" s="507">
        <v>1.14603649353056E-4</v>
      </c>
      <c r="M52" s="507">
        <v>8.3073840078214169E-5</v>
      </c>
      <c r="N52" s="506">
        <v>5.0068852794284298E-4</v>
      </c>
      <c r="O52" s="506">
        <v>2.0025112739807286E-4</v>
      </c>
      <c r="P52" s="506">
        <v>8.3073840078214169E-5</v>
      </c>
      <c r="Q52" s="506">
        <v>2.8332496747628702E-4</v>
      </c>
      <c r="R52" s="506">
        <v>7.009396553409159E-4</v>
      </c>
      <c r="S52" s="506">
        <v>7.9674737561176543E-4</v>
      </c>
    </row>
    <row r="53" spans="1:19" hidden="1" x14ac:dyDescent="0.25">
      <c r="A53" t="s">
        <v>679</v>
      </c>
      <c r="B53" s="812" t="s">
        <v>666</v>
      </c>
      <c r="C53" s="812">
        <v>99705</v>
      </c>
      <c r="D53" s="507">
        <v>6.3669400963177099E-6</v>
      </c>
      <c r="E53" s="507">
        <v>0</v>
      </c>
      <c r="F53" s="507">
        <v>6.3669400963177099E-6</v>
      </c>
      <c r="G53" s="507">
        <v>2.4304532617460484E-5</v>
      </c>
      <c r="H53" s="507">
        <v>3.6372976900534386E-4</v>
      </c>
      <c r="I53" s="507">
        <v>9.2313102057740116E-5</v>
      </c>
      <c r="J53" s="507">
        <v>1.2335502530668062E-4</v>
      </c>
      <c r="K53" s="507">
        <v>2.1528578527503912E-4</v>
      </c>
      <c r="L53" s="507">
        <v>2.849229697952658E-4</v>
      </c>
      <c r="M53" s="507">
        <v>3.9217019621314757E-4</v>
      </c>
      <c r="N53" s="506">
        <v>6.037024289872251E-4</v>
      </c>
      <c r="O53" s="506">
        <v>5.0020875507030492E-4</v>
      </c>
      <c r="P53" s="506">
        <v>3.9217019621314757E-4</v>
      </c>
      <c r="Q53" s="506">
        <v>8.923789512834525E-4</v>
      </c>
      <c r="R53" s="506">
        <v>1.10391118405753E-3</v>
      </c>
      <c r="S53" s="506">
        <v>1.508815260463313E-3</v>
      </c>
    </row>
    <row r="54" spans="1:19" hidden="1" x14ac:dyDescent="0.25">
      <c r="A54" t="s">
        <v>679</v>
      </c>
      <c r="B54" s="812" t="s">
        <v>670</v>
      </c>
      <c r="C54" s="812">
        <v>99705</v>
      </c>
      <c r="D54" s="507">
        <v>-7.7053458275254025E-4</v>
      </c>
      <c r="E54" s="507">
        <v>-1.8504472554233358E-3</v>
      </c>
      <c r="F54" s="507">
        <v>-4.885404054708488E-3</v>
      </c>
      <c r="G54" s="507">
        <v>-2.0116619646843675E-4</v>
      </c>
      <c r="H54" s="507">
        <v>0</v>
      </c>
      <c r="I54" s="507">
        <v>-3.9781025514264829E-4</v>
      </c>
      <c r="J54" s="507">
        <v>-5.1545845493747007E-4</v>
      </c>
      <c r="K54" s="507">
        <v>-3.9781025514264829E-4</v>
      </c>
      <c r="L54" s="507">
        <v>-6.1253512145722372E-4</v>
      </c>
      <c r="M54" s="507">
        <v>-4.2462866754963871E-5</v>
      </c>
      <c r="N54" s="506">
        <v>-1.1144349065485551E-3</v>
      </c>
      <c r="O54" s="506">
        <v>-1.0103453765998721E-3</v>
      </c>
      <c r="P54" s="506">
        <v>-4.2462866754963871E-5</v>
      </c>
      <c r="Q54" s="506">
        <v>-1.052808243354836E-3</v>
      </c>
      <c r="R54" s="506">
        <v>-2.1247802831484272E-3</v>
      </c>
      <c r="S54" s="506">
        <v>-9.6736290427877555E-3</v>
      </c>
    </row>
    <row r="55" spans="1:19" hidden="1" x14ac:dyDescent="0.25">
      <c r="A55" t="s">
        <v>679</v>
      </c>
      <c r="B55" s="812" t="s">
        <v>672</v>
      </c>
      <c r="C55" s="812">
        <v>99705</v>
      </c>
      <c r="D55" s="507">
        <v>-2.392898943418151E-4</v>
      </c>
      <c r="E55" s="507">
        <v>-9.7538616429257744E-4</v>
      </c>
      <c r="F55" s="507">
        <v>-1.3005148857234364E-3</v>
      </c>
      <c r="G55" s="507">
        <v>1.6409223804948332E-6</v>
      </c>
      <c r="H55" s="507">
        <v>6.5636895219793327E-6</v>
      </c>
      <c r="I55" s="507">
        <v>3.2818447609896663E-6</v>
      </c>
      <c r="J55" s="507">
        <v>8.2046119024741658E-7</v>
      </c>
      <c r="K55" s="507">
        <v>1.6409223804948332E-6</v>
      </c>
      <c r="L55" s="507">
        <v>0</v>
      </c>
      <c r="M55" s="507">
        <v>0</v>
      </c>
      <c r="N55" s="506">
        <v>1.2306917853711249E-5</v>
      </c>
      <c r="O55" s="506">
        <v>1.6409223804948332E-6</v>
      </c>
      <c r="P55" s="506">
        <v>0</v>
      </c>
      <c r="Q55" s="506">
        <v>1.6409223804948332E-6</v>
      </c>
      <c r="R55" s="506">
        <v>1.3947840234206082E-5</v>
      </c>
      <c r="S55" s="506">
        <v>-2.5012431041236231E-3</v>
      </c>
    </row>
    <row r="56" spans="1:19" hidden="1" x14ac:dyDescent="0.25">
      <c r="A56" s="3" t="s">
        <v>679</v>
      </c>
      <c r="B56" s="813" t="s">
        <v>675</v>
      </c>
      <c r="C56" s="813">
        <v>99705</v>
      </c>
      <c r="D56" s="88" t="b">
        <v>1</v>
      </c>
      <c r="E56" s="88" t="b">
        <v>1</v>
      </c>
      <c r="F56" s="88" t="b">
        <v>1</v>
      </c>
      <c r="G56" s="88" t="b">
        <v>1</v>
      </c>
      <c r="H56" s="88" t="b">
        <v>1</v>
      </c>
      <c r="I56" s="88" t="b">
        <v>1</v>
      </c>
      <c r="J56" s="88" t="b">
        <v>1</v>
      </c>
      <c r="K56" s="88" t="b">
        <v>1</v>
      </c>
      <c r="L56" s="88" t="b">
        <v>1</v>
      </c>
      <c r="M56" s="88" t="b">
        <v>1</v>
      </c>
      <c r="N56" s="88" t="b">
        <v>1</v>
      </c>
      <c r="O56" s="88" t="b">
        <v>1</v>
      </c>
      <c r="P56" s="88" t="b">
        <v>1</v>
      </c>
      <c r="Q56" s="88" t="b">
        <v>1</v>
      </c>
      <c r="R56" s="88" t="b">
        <v>1</v>
      </c>
      <c r="S56" s="88" t="b">
        <v>1</v>
      </c>
    </row>
    <row r="57" spans="1:19" hidden="1" x14ac:dyDescent="0.25">
      <c r="A57" t="s">
        <v>676</v>
      </c>
      <c r="B57" s="812" t="s">
        <v>616</v>
      </c>
      <c r="C57" s="812" t="s">
        <v>681</v>
      </c>
      <c r="D57" s="507">
        <v>9.1567349829012809E-3</v>
      </c>
      <c r="E57" s="507">
        <v>1.9311078858349894E-2</v>
      </c>
      <c r="F57" s="507">
        <v>7.1403669601040776E-2</v>
      </c>
      <c r="G57" s="507">
        <v>2.614505731666172E-2</v>
      </c>
      <c r="H57" s="507">
        <v>0.1054468990885435</v>
      </c>
      <c r="I57" s="507">
        <v>7.3478957522571567E-2</v>
      </c>
      <c r="J57" s="507">
        <v>2.0815483581628345E-2</v>
      </c>
      <c r="K57" s="507">
        <v>2.2750311727839756E-2</v>
      </c>
      <c r="L57" s="507">
        <v>7.7565446903525737E-2</v>
      </c>
      <c r="M57" s="507">
        <v>8.7389247682370441E-2</v>
      </c>
      <c r="N57" s="506">
        <v>0.22588639750940512</v>
      </c>
      <c r="O57" s="506">
        <v>0.10031575863136549</v>
      </c>
      <c r="P57" s="506">
        <v>8.7389247682370441E-2</v>
      </c>
      <c r="Q57" s="506">
        <v>0.18770500631373593</v>
      </c>
      <c r="R57" s="506">
        <v>0.32620215614077064</v>
      </c>
      <c r="S57" s="506">
        <v>0.51346288726543299</v>
      </c>
    </row>
    <row r="58" spans="1:19" hidden="1" x14ac:dyDescent="0.25">
      <c r="A58" t="s">
        <v>676</v>
      </c>
      <c r="B58" s="812" t="s">
        <v>663</v>
      </c>
      <c r="C58" s="812" t="s">
        <v>681</v>
      </c>
      <c r="D58" s="507">
        <v>6.7480783072941686E-3</v>
      </c>
      <c r="E58" s="507">
        <v>9.8393144053137687E-3</v>
      </c>
      <c r="F58" s="507">
        <v>4.4031261642643538E-2</v>
      </c>
      <c r="G58" s="507">
        <v>2.2150047220477254E-2</v>
      </c>
      <c r="H58" s="507">
        <v>9.427010593852353E-2</v>
      </c>
      <c r="I58" s="507">
        <v>5.8655083473420667E-2</v>
      </c>
      <c r="J58" s="507">
        <v>1.1433935734159257E-2</v>
      </c>
      <c r="K58" s="507">
        <v>9.393343070684455E-3</v>
      </c>
      <c r="L58" s="507">
        <v>6.6927722128192323E-3</v>
      </c>
      <c r="M58" s="507">
        <v>4.1208016778234522E-3</v>
      </c>
      <c r="N58" s="506">
        <v>0.18650917236658071</v>
      </c>
      <c r="O58" s="506">
        <v>1.6086115283503687E-2</v>
      </c>
      <c r="P58" s="506">
        <v>4.1208016778234522E-3</v>
      </c>
      <c r="Q58" s="506">
        <v>2.0206916961327141E-2</v>
      </c>
      <c r="R58" s="506">
        <v>0.20259528765008439</v>
      </c>
      <c r="S58" s="506">
        <v>0.26733474368315935</v>
      </c>
    </row>
    <row r="59" spans="1:19" hidden="1" x14ac:dyDescent="0.25">
      <c r="A59" t="s">
        <v>676</v>
      </c>
      <c r="B59" s="812" t="s">
        <v>664</v>
      </c>
      <c r="C59" s="812" t="s">
        <v>681</v>
      </c>
      <c r="D59" s="507">
        <v>0</v>
      </c>
      <c r="E59" s="507">
        <v>0</v>
      </c>
      <c r="F59" s="507">
        <v>0</v>
      </c>
      <c r="G59" s="507">
        <v>1.7742471387894611E-4</v>
      </c>
      <c r="H59" s="507">
        <v>4.4042538981353555E-3</v>
      </c>
      <c r="I59" s="507">
        <v>6.7471168312753949E-3</v>
      </c>
      <c r="J59" s="507">
        <v>4.5824165547179909E-4</v>
      </c>
      <c r="K59" s="507">
        <v>8.7612911164929884E-5</v>
      </c>
      <c r="L59" s="507">
        <v>0</v>
      </c>
      <c r="M59" s="507">
        <v>0</v>
      </c>
      <c r="N59" s="506">
        <v>1.1787037098761496E-2</v>
      </c>
      <c r="O59" s="506">
        <v>8.7612911164929884E-5</v>
      </c>
      <c r="P59" s="506">
        <v>0</v>
      </c>
      <c r="Q59" s="506">
        <v>8.7612911164929884E-5</v>
      </c>
      <c r="R59" s="506">
        <v>1.1874650009926425E-2</v>
      </c>
      <c r="S59" s="506">
        <v>1.1874650009926425E-2</v>
      </c>
    </row>
    <row r="60" spans="1:19" hidden="1" x14ac:dyDescent="0.25">
      <c r="A60" t="s">
        <v>676</v>
      </c>
      <c r="B60" s="812" t="s">
        <v>665</v>
      </c>
      <c r="C60" s="812" t="s">
        <v>681</v>
      </c>
      <c r="D60" s="507">
        <v>0</v>
      </c>
      <c r="E60" s="507">
        <v>0</v>
      </c>
      <c r="F60" s="507">
        <v>0</v>
      </c>
      <c r="G60" s="507">
        <v>0</v>
      </c>
      <c r="H60" s="507">
        <v>0</v>
      </c>
      <c r="I60" s="507">
        <v>3.3767870417767521E-4</v>
      </c>
      <c r="J60" s="507">
        <v>0</v>
      </c>
      <c r="K60" s="507">
        <v>8.5420654012614372E-4</v>
      </c>
      <c r="L60" s="507">
        <v>2.3722178974271793E-3</v>
      </c>
      <c r="M60" s="507">
        <v>6.4067747690558464E-3</v>
      </c>
      <c r="N60" s="506">
        <v>3.3767870417767521E-4</v>
      </c>
      <c r="O60" s="506">
        <v>3.2264244375533229E-3</v>
      </c>
      <c r="P60" s="506">
        <v>6.4067747690558464E-3</v>
      </c>
      <c r="Q60" s="506">
        <v>9.6331992066091693E-3</v>
      </c>
      <c r="R60" s="506">
        <v>3.5641031417309979E-3</v>
      </c>
      <c r="S60" s="506">
        <v>9.9708779107868448E-3</v>
      </c>
    </row>
    <row r="61" spans="1:19" hidden="1" x14ac:dyDescent="0.25">
      <c r="A61" t="s">
        <v>676</v>
      </c>
      <c r="B61" s="812" t="s">
        <v>667</v>
      </c>
      <c r="C61" s="812" t="s">
        <v>681</v>
      </c>
      <c r="D61" s="507">
        <v>0</v>
      </c>
      <c r="E61" s="507">
        <v>0</v>
      </c>
      <c r="F61" s="507">
        <v>0</v>
      </c>
      <c r="G61" s="507">
        <v>0</v>
      </c>
      <c r="H61" s="507">
        <v>2.9674906053023318E-3</v>
      </c>
      <c r="I61" s="507">
        <v>3.3850426333480936E-3</v>
      </c>
      <c r="J61" s="507">
        <v>1.760159046128022E-3</v>
      </c>
      <c r="K61" s="507">
        <v>7.7369683287589284E-3</v>
      </c>
      <c r="L61" s="507">
        <v>5.8129428646048711E-2</v>
      </c>
      <c r="M61" s="507">
        <v>6.7874720643651784E-2</v>
      </c>
      <c r="N61" s="506">
        <v>8.1126922847784468E-3</v>
      </c>
      <c r="O61" s="506">
        <v>6.5866396974807645E-2</v>
      </c>
      <c r="P61" s="506">
        <v>6.7874720643651784E-2</v>
      </c>
      <c r="Q61" s="506">
        <v>0.13374111761845942</v>
      </c>
      <c r="R61" s="506">
        <v>7.3979089259586087E-2</v>
      </c>
      <c r="S61" s="506">
        <v>0.14185380990323787</v>
      </c>
    </row>
    <row r="62" spans="1:19" hidden="1" x14ac:dyDescent="0.25">
      <c r="A62" t="s">
        <v>676</v>
      </c>
      <c r="B62" s="812" t="s">
        <v>669</v>
      </c>
      <c r="C62" s="812" t="s">
        <v>681</v>
      </c>
      <c r="D62" s="507">
        <v>2.4721392523239887E-4</v>
      </c>
      <c r="E62" s="507">
        <v>0</v>
      </c>
      <c r="F62" s="507">
        <v>2.4721392523239887E-4</v>
      </c>
      <c r="G62" s="507">
        <v>1.343364129486075E-3</v>
      </c>
      <c r="H62" s="507">
        <v>2.1549656161374306E-3</v>
      </c>
      <c r="I62" s="507">
        <v>2.6557062469090443E-3</v>
      </c>
      <c r="J62" s="507">
        <v>3.6818967402085607E-3</v>
      </c>
      <c r="K62" s="507">
        <v>0</v>
      </c>
      <c r="L62" s="507">
        <v>3.4346828149761617E-3</v>
      </c>
      <c r="M62" s="507">
        <v>4.9642771744273636E-3</v>
      </c>
      <c r="N62" s="506">
        <v>9.8359327327411095E-3</v>
      </c>
      <c r="O62" s="506">
        <v>3.4346828149761617E-3</v>
      </c>
      <c r="P62" s="506">
        <v>4.9642771744273636E-3</v>
      </c>
      <c r="Q62" s="506">
        <v>8.3989599894035254E-3</v>
      </c>
      <c r="R62" s="506">
        <v>1.327061554771727E-2</v>
      </c>
      <c r="S62" s="506">
        <v>1.8729320572609433E-2</v>
      </c>
    </row>
    <row r="63" spans="1:19" hidden="1" x14ac:dyDescent="0.25">
      <c r="A63" t="s">
        <v>676</v>
      </c>
      <c r="B63" s="812" t="s">
        <v>666</v>
      </c>
      <c r="C63" s="812" t="s">
        <v>681</v>
      </c>
      <c r="D63" s="507">
        <v>2.4721392523239887E-4</v>
      </c>
      <c r="E63" s="507">
        <v>0</v>
      </c>
      <c r="F63" s="507">
        <v>2.4721392523239887E-4</v>
      </c>
      <c r="G63" s="507">
        <v>1.343364129486075E-3</v>
      </c>
      <c r="H63" s="507">
        <v>5.1224562214397624E-3</v>
      </c>
      <c r="I63" s="507">
        <v>6.3784275844348129E-3</v>
      </c>
      <c r="J63" s="507">
        <v>5.442055786336583E-3</v>
      </c>
      <c r="K63" s="507">
        <v>8.5911748688850716E-3</v>
      </c>
      <c r="L63" s="507">
        <v>6.3936329358452046E-2</v>
      </c>
      <c r="M63" s="507">
        <v>7.9245772587134999E-2</v>
      </c>
      <c r="N63" s="506">
        <v>1.8286303721697234E-2</v>
      </c>
      <c r="O63" s="506">
        <v>7.2527504227337114E-2</v>
      </c>
      <c r="P63" s="506">
        <v>7.9245772587134999E-2</v>
      </c>
      <c r="Q63" s="506">
        <v>0.15177327681447211</v>
      </c>
      <c r="R63" s="506">
        <v>9.0813807949034347E-2</v>
      </c>
      <c r="S63" s="506">
        <v>0.17055400838663415</v>
      </c>
    </row>
    <row r="64" spans="1:19" hidden="1" x14ac:dyDescent="0.25">
      <c r="A64" t="s">
        <v>676</v>
      </c>
      <c r="B64" s="812" t="s">
        <v>670</v>
      </c>
      <c r="C64" s="812" t="s">
        <v>681</v>
      </c>
      <c r="D64" s="507">
        <v>2.1614427503747137E-3</v>
      </c>
      <c r="E64" s="507">
        <v>9.4219541336284188E-3</v>
      </c>
      <c r="F64" s="507">
        <v>2.6751616637606813E-2</v>
      </c>
      <c r="G64" s="507">
        <v>2.3464379061489079E-3</v>
      </c>
      <c r="H64" s="507">
        <v>1.4271802920169995E-3</v>
      </c>
      <c r="I64" s="507">
        <v>1.5361748276902329E-3</v>
      </c>
      <c r="J64" s="507">
        <v>3.4126649476829214E-3</v>
      </c>
      <c r="K64" s="507">
        <v>4.6781808771053039E-3</v>
      </c>
      <c r="L64" s="507">
        <v>6.9363453322544037E-3</v>
      </c>
      <c r="M64" s="507">
        <v>4.0055270529175133E-3</v>
      </c>
      <c r="N64" s="506">
        <v>8.7224579735390613E-3</v>
      </c>
      <c r="O64" s="506">
        <v>1.1614526209359707E-2</v>
      </c>
      <c r="P64" s="506">
        <v>4.0055270529175133E-3</v>
      </c>
      <c r="Q64" s="506">
        <v>1.5620053262277219E-2</v>
      </c>
      <c r="R64" s="506">
        <v>2.0336984182898768E-2</v>
      </c>
      <c r="S64" s="506">
        <v>6.2677524757426217E-2</v>
      </c>
    </row>
    <row r="65" spans="1:67" hidden="1" x14ac:dyDescent="0.25">
      <c r="A65" t="s">
        <v>676</v>
      </c>
      <c r="B65" s="812" t="s">
        <v>672</v>
      </c>
      <c r="C65" s="812" t="s">
        <v>681</v>
      </c>
      <c r="D65" s="507">
        <v>0</v>
      </c>
      <c r="E65" s="507">
        <v>4.9810319407711081E-5</v>
      </c>
      <c r="F65" s="507">
        <v>3.7357739555783312E-4</v>
      </c>
      <c r="G65" s="507">
        <v>1.2778334667054225E-4</v>
      </c>
      <c r="H65" s="507">
        <v>2.2290273842782122E-4</v>
      </c>
      <c r="I65" s="507">
        <v>1.621548057505788E-4</v>
      </c>
      <c r="J65" s="507">
        <v>6.8585457977791143E-5</v>
      </c>
      <c r="K65" s="507">
        <v>0</v>
      </c>
      <c r="L65" s="507">
        <v>0</v>
      </c>
      <c r="M65" s="507">
        <v>1.7146364494447786E-5</v>
      </c>
      <c r="N65" s="506">
        <v>5.8142634882673335E-4</v>
      </c>
      <c r="O65" s="506">
        <v>0</v>
      </c>
      <c r="P65" s="506">
        <v>1.7146364494447786E-5</v>
      </c>
      <c r="Q65" s="506">
        <v>1.7146364494447786E-5</v>
      </c>
      <c r="R65" s="506">
        <v>5.8142634882673335E-4</v>
      </c>
      <c r="S65" s="506">
        <v>1.0219604282867257E-3</v>
      </c>
    </row>
    <row r="66" spans="1:67" hidden="1" x14ac:dyDescent="0.25">
      <c r="A66" s="3" t="s">
        <v>676</v>
      </c>
      <c r="B66" s="813" t="s">
        <v>675</v>
      </c>
      <c r="C66" s="813" t="s">
        <v>681</v>
      </c>
      <c r="D66" s="88" t="b">
        <v>1</v>
      </c>
      <c r="E66" s="88" t="b">
        <v>1</v>
      </c>
      <c r="F66" s="88" t="b">
        <v>1</v>
      </c>
      <c r="G66" s="88" t="b">
        <v>1</v>
      </c>
      <c r="H66" s="88" t="b">
        <v>1</v>
      </c>
      <c r="I66" s="88" t="b">
        <v>1</v>
      </c>
      <c r="J66" s="88" t="b">
        <v>1</v>
      </c>
      <c r="K66" s="88" t="b">
        <v>1</v>
      </c>
      <c r="L66" s="88" t="b">
        <v>1</v>
      </c>
      <c r="M66" s="88" t="b">
        <v>1</v>
      </c>
      <c r="N66" s="88" t="b">
        <v>1</v>
      </c>
      <c r="O66" s="88" t="b">
        <v>1</v>
      </c>
      <c r="P66" s="88" t="b">
        <v>1</v>
      </c>
      <c r="Q66" s="88" t="b">
        <v>1</v>
      </c>
      <c r="R66" s="88" t="b">
        <v>1</v>
      </c>
      <c r="S66" s="88" t="b">
        <v>1</v>
      </c>
    </row>
    <row r="67" spans="1:67" hidden="1" x14ac:dyDescent="0.25">
      <c r="A67" t="s">
        <v>679</v>
      </c>
      <c r="B67" s="812" t="s">
        <v>616</v>
      </c>
      <c r="C67" s="812" t="s">
        <v>681</v>
      </c>
      <c r="D67" s="507">
        <v>-3.2613128112070545E-4</v>
      </c>
      <c r="E67" s="507">
        <v>-3.426243276649546E-3</v>
      </c>
      <c r="F67" s="507">
        <v>-1.2422108166732974E-2</v>
      </c>
      <c r="G67" s="507">
        <v>-1.2421467295440887E-3</v>
      </c>
      <c r="H67" s="507">
        <v>2.5710251808401996E-4</v>
      </c>
      <c r="I67" s="507">
        <v>-1.1406592688975134E-3</v>
      </c>
      <c r="J67" s="507">
        <v>-6.9081141111017243E-4</v>
      </c>
      <c r="K67" s="507">
        <v>1.7633113477114707E-4</v>
      </c>
      <c r="L67" s="507">
        <v>-9.2592860870246817E-5</v>
      </c>
      <c r="M67" s="507">
        <v>7.5378481140357255E-4</v>
      </c>
      <c r="N67" s="506">
        <v>-2.8165148914677546E-3</v>
      </c>
      <c r="O67" s="506">
        <v>8.3738273900900255E-5</v>
      </c>
      <c r="P67" s="506">
        <v>7.5378481140357255E-4</v>
      </c>
      <c r="Q67" s="506">
        <v>8.3752308530447286E-4</v>
      </c>
      <c r="R67" s="506">
        <v>-2.7327766175668546E-3</v>
      </c>
      <c r="S67" s="506">
        <v>-1.8153474530666507E-2</v>
      </c>
    </row>
    <row r="68" spans="1:67" hidden="1" x14ac:dyDescent="0.25">
      <c r="A68" t="s">
        <v>679</v>
      </c>
      <c r="B68" s="812" t="s">
        <v>663</v>
      </c>
      <c r="C68" s="812" t="s">
        <v>681</v>
      </c>
      <c r="D68" s="507">
        <v>1.1922196527225827E-4</v>
      </c>
      <c r="E68" s="507">
        <v>-5.744014901094245E-4</v>
      </c>
      <c r="F68" s="507">
        <v>-2.896742539137766E-3</v>
      </c>
      <c r="G68" s="507">
        <v>-7.4196797973228993E-4</v>
      </c>
      <c r="H68" s="507">
        <v>2.8319185669005279E-4</v>
      </c>
      <c r="I68" s="507">
        <v>-1.094016599042739E-3</v>
      </c>
      <c r="J68" s="507">
        <v>-2.5221428384339346E-4</v>
      </c>
      <c r="K68" s="507">
        <v>1.7661405387176592E-4</v>
      </c>
      <c r="L68" s="507">
        <v>-3.8498123197469017E-4</v>
      </c>
      <c r="M68" s="507">
        <v>5.4278509930159646E-5</v>
      </c>
      <c r="N68" s="506">
        <v>-1.8050070059283695E-3</v>
      </c>
      <c r="O68" s="506">
        <v>-2.0836717810292425E-4</v>
      </c>
      <c r="P68" s="506">
        <v>5.4278509930159646E-5</v>
      </c>
      <c r="Q68" s="506">
        <v>-1.540886681727646E-4</v>
      </c>
      <c r="R68" s="506">
        <v>-2.0133741840312937E-3</v>
      </c>
      <c r="S68" s="506">
        <v>-5.3110177380760668E-3</v>
      </c>
    </row>
    <row r="69" spans="1:67" hidden="1" x14ac:dyDescent="0.25">
      <c r="A69" t="s">
        <v>679</v>
      </c>
      <c r="B69" s="812" t="s">
        <v>664</v>
      </c>
      <c r="C69" s="812" t="s">
        <v>681</v>
      </c>
      <c r="D69" s="507">
        <v>0</v>
      </c>
      <c r="E69" s="507">
        <v>0</v>
      </c>
      <c r="F69" s="507">
        <v>0</v>
      </c>
      <c r="G69" s="507">
        <v>2.0414379508350748E-6</v>
      </c>
      <c r="H69" s="507">
        <v>2.8518037804002445E-5</v>
      </c>
      <c r="I69" s="507">
        <v>2.2731675953786278E-5</v>
      </c>
      <c r="J69" s="507">
        <v>2.0440771083515352E-6</v>
      </c>
      <c r="K69" s="507">
        <v>1.3195787582302026E-9</v>
      </c>
      <c r="L69" s="507">
        <v>0</v>
      </c>
      <c r="M69" s="507">
        <v>0</v>
      </c>
      <c r="N69" s="506">
        <v>5.5335228816975334E-5</v>
      </c>
      <c r="O69" s="506">
        <v>1.3195787582302026E-9</v>
      </c>
      <c r="P69" s="506">
        <v>0</v>
      </c>
      <c r="Q69" s="506">
        <v>1.3195787582302026E-9</v>
      </c>
      <c r="R69" s="506">
        <v>5.5336548395733562E-5</v>
      </c>
      <c r="S69" s="506">
        <v>5.5336548395733562E-5</v>
      </c>
    </row>
    <row r="70" spans="1:67" hidden="1" x14ac:dyDescent="0.25">
      <c r="A70" t="s">
        <v>679</v>
      </c>
      <c r="B70" s="812" t="s">
        <v>665</v>
      </c>
      <c r="C70" s="812" t="s">
        <v>681</v>
      </c>
      <c r="D70" s="507">
        <v>0</v>
      </c>
      <c r="E70" s="507">
        <v>0</v>
      </c>
      <c r="F70" s="507">
        <v>0</v>
      </c>
      <c r="G70" s="507">
        <v>0</v>
      </c>
      <c r="H70" s="507">
        <v>0</v>
      </c>
      <c r="I70" s="507">
        <v>2.6142204423616945E-5</v>
      </c>
      <c r="J70" s="507">
        <v>0</v>
      </c>
      <c r="K70" s="507">
        <v>2.3952612860759313E-4</v>
      </c>
      <c r="L70" s="507">
        <v>5.8041479208343948E-5</v>
      </c>
      <c r="M70" s="507">
        <v>9.9010831191142406E-5</v>
      </c>
      <c r="N70" s="506">
        <v>2.6142204423616945E-5</v>
      </c>
      <c r="O70" s="506">
        <v>2.9756760781593706E-4</v>
      </c>
      <c r="P70" s="506">
        <v>9.9010831191142406E-5</v>
      </c>
      <c r="Q70" s="506">
        <v>3.9657843900707947E-4</v>
      </c>
      <c r="R70" s="506">
        <v>3.2370981223955398E-4</v>
      </c>
      <c r="S70" s="506">
        <v>4.2272064343069644E-4</v>
      </c>
    </row>
    <row r="71" spans="1:67" hidden="1" x14ac:dyDescent="0.25">
      <c r="A71" t="s">
        <v>679</v>
      </c>
      <c r="B71" s="812" t="s">
        <v>667</v>
      </c>
      <c r="C71" s="812" t="s">
        <v>681</v>
      </c>
      <c r="D71" s="507">
        <v>0</v>
      </c>
      <c r="E71" s="507">
        <v>0</v>
      </c>
      <c r="F71" s="507">
        <v>0</v>
      </c>
      <c r="G71" s="507">
        <v>0</v>
      </c>
      <c r="H71" s="507">
        <v>2.4798724634368045E-4</v>
      </c>
      <c r="I71" s="507">
        <v>1.1380520034111136E-4</v>
      </c>
      <c r="J71" s="507">
        <v>1.0300859145760383E-4</v>
      </c>
      <c r="K71" s="507">
        <v>9.1251253943243709E-5</v>
      </c>
      <c r="L71" s="507">
        <v>7.2769163368036928E-4</v>
      </c>
      <c r="M71" s="507">
        <v>9.0780886950420645E-4</v>
      </c>
      <c r="N71" s="506">
        <v>4.6480103814239564E-4</v>
      </c>
      <c r="O71" s="506">
        <v>8.1894288762361298E-4</v>
      </c>
      <c r="P71" s="506">
        <v>9.0780886950420645E-4</v>
      </c>
      <c r="Q71" s="506">
        <v>1.7267517571278195E-3</v>
      </c>
      <c r="R71" s="506">
        <v>1.2837439257660085E-3</v>
      </c>
      <c r="S71" s="506">
        <v>2.191552795270215E-3</v>
      </c>
    </row>
    <row r="72" spans="1:67" hidden="1" x14ac:dyDescent="0.25">
      <c r="A72" t="s">
        <v>679</v>
      </c>
      <c r="B72" s="812" t="s">
        <v>669</v>
      </c>
      <c r="C72" s="812" t="s">
        <v>681</v>
      </c>
      <c r="D72" s="507">
        <v>6.3669400963177099E-6</v>
      </c>
      <c r="E72" s="507">
        <v>0</v>
      </c>
      <c r="F72" s="507">
        <v>6.3669400963177099E-6</v>
      </c>
      <c r="G72" s="507">
        <v>9.7218130469841938E-5</v>
      </c>
      <c r="H72" s="507">
        <v>8.6810705812827215E-5</v>
      </c>
      <c r="I72" s="507">
        <v>6.6852234821004563E-5</v>
      </c>
      <c r="J72" s="507">
        <v>1.8721167014049665E-4</v>
      </c>
      <c r="K72" s="507">
        <v>0</v>
      </c>
      <c r="L72" s="507">
        <v>1.8084473004417894E-4</v>
      </c>
      <c r="M72" s="507">
        <v>1.9853514013413976E-4</v>
      </c>
      <c r="N72" s="506">
        <v>4.3809274124417038E-4</v>
      </c>
      <c r="O72" s="506">
        <v>1.8084473004417894E-4</v>
      </c>
      <c r="P72" s="506">
        <v>1.9853514013413976E-4</v>
      </c>
      <c r="Q72" s="506">
        <v>3.7937987017831873E-4</v>
      </c>
      <c r="R72" s="506">
        <v>6.1893747128834934E-4</v>
      </c>
      <c r="S72" s="506">
        <v>8.3020649161512448E-4</v>
      </c>
    </row>
    <row r="73" spans="1:67" hidden="1" x14ac:dyDescent="0.25">
      <c r="A73" t="s">
        <v>679</v>
      </c>
      <c r="B73" s="812" t="s">
        <v>666</v>
      </c>
      <c r="C73" s="812" t="s">
        <v>681</v>
      </c>
      <c r="D73" s="507">
        <v>6.3669400963177099E-6</v>
      </c>
      <c r="E73" s="507">
        <v>0</v>
      </c>
      <c r="F73" s="507">
        <v>6.3669400963177099E-6</v>
      </c>
      <c r="G73" s="507">
        <v>9.7218130469841938E-5</v>
      </c>
      <c r="H73" s="507">
        <v>3.3479795215650768E-4</v>
      </c>
      <c r="I73" s="507">
        <v>2.0679963958573287E-4</v>
      </c>
      <c r="J73" s="507">
        <v>2.9022026159810049E-4</v>
      </c>
      <c r="K73" s="507">
        <v>3.3077738255083685E-4</v>
      </c>
      <c r="L73" s="507">
        <v>9.6657784293289215E-4</v>
      </c>
      <c r="M73" s="507">
        <v>1.2053548408294886E-3</v>
      </c>
      <c r="N73" s="506">
        <v>9.2903598381018299E-4</v>
      </c>
      <c r="O73" s="506">
        <v>1.2973552254837289E-3</v>
      </c>
      <c r="P73" s="506">
        <v>1.2053548408294886E-3</v>
      </c>
      <c r="Q73" s="506">
        <v>2.5027100663132175E-3</v>
      </c>
      <c r="R73" s="506">
        <v>2.2263912092939119E-3</v>
      </c>
      <c r="S73" s="506">
        <v>3.4444799303160359E-3</v>
      </c>
    </row>
    <row r="74" spans="1:67" hidden="1" x14ac:dyDescent="0.25">
      <c r="A74" t="s">
        <v>679</v>
      </c>
      <c r="B74" s="812" t="s">
        <v>670</v>
      </c>
      <c r="C74" s="812" t="s">
        <v>681</v>
      </c>
      <c r="D74" s="507">
        <v>-4.517201864892815E-4</v>
      </c>
      <c r="E74" s="507">
        <v>-2.201584343678399E-3</v>
      </c>
      <c r="F74" s="507">
        <v>-4.654801746228638E-3</v>
      </c>
      <c r="G74" s="507">
        <v>-2.7923236394309877E-4</v>
      </c>
      <c r="H74" s="507">
        <v>-4.0007132403976084E-4</v>
      </c>
      <c r="I74" s="507">
        <v>-2.8353715938971328E-4</v>
      </c>
      <c r="J74" s="507">
        <v>-7.3414331073422062E-4</v>
      </c>
      <c r="K74" s="507">
        <v>-3.3106162123021403E-4</v>
      </c>
      <c r="L74" s="507">
        <v>-6.7418947182844812E-4</v>
      </c>
      <c r="M74" s="507">
        <v>-5.0666900054632303E-4</v>
      </c>
      <c r="N74" s="506">
        <v>-1.6969841581067936E-3</v>
      </c>
      <c r="O74" s="506">
        <v>-1.0052510930586621E-3</v>
      </c>
      <c r="P74" s="506">
        <v>-5.0666900054632303E-4</v>
      </c>
      <c r="Q74" s="506">
        <v>-1.5119200936049852E-3</v>
      </c>
      <c r="R74" s="506">
        <v>-2.7022352511654555E-3</v>
      </c>
      <c r="S74" s="506">
        <v>-1.0517010528108097E-2</v>
      </c>
    </row>
    <row r="75" spans="1:67" hidden="1" x14ac:dyDescent="0.25">
      <c r="A75" t="s">
        <v>679</v>
      </c>
      <c r="B75" s="812" t="s">
        <v>672</v>
      </c>
      <c r="C75" s="812" t="s">
        <v>681</v>
      </c>
      <c r="D75" s="507">
        <v>0</v>
      </c>
      <c r="E75" s="507">
        <v>-6.5025744286171822E-4</v>
      </c>
      <c r="F75" s="507">
        <v>-4.8769308214628888E-3</v>
      </c>
      <c r="G75" s="507">
        <v>-3.2020595428937457E-4</v>
      </c>
      <c r="H75" s="507">
        <v>1.0665995473216415E-5</v>
      </c>
      <c r="I75" s="507">
        <v>7.3631739954192219E-6</v>
      </c>
      <c r="J75" s="507">
        <v>3.2818447609896663E-6</v>
      </c>
      <c r="K75" s="507">
        <v>0</v>
      </c>
      <c r="L75" s="507">
        <v>0</v>
      </c>
      <c r="M75" s="507">
        <v>8.2046119024741658E-7</v>
      </c>
      <c r="N75" s="506">
        <v>-2.9889494005974924E-4</v>
      </c>
      <c r="O75" s="506">
        <v>0</v>
      </c>
      <c r="P75" s="506">
        <v>8.2046119024741658E-7</v>
      </c>
      <c r="Q75" s="506">
        <v>8.2046119024741658E-7</v>
      </c>
      <c r="R75" s="506">
        <v>-2.9889494005974924E-4</v>
      </c>
      <c r="S75" s="506">
        <v>-5.825262743194109E-3</v>
      </c>
    </row>
    <row r="76" spans="1:67" hidden="1" x14ac:dyDescent="0.25">
      <c r="A76" s="3" t="s">
        <v>679</v>
      </c>
      <c r="B76" s="813" t="s">
        <v>675</v>
      </c>
      <c r="C76" s="813" t="s">
        <v>681</v>
      </c>
      <c r="D76" s="88" t="b">
        <v>1</v>
      </c>
      <c r="E76" s="88" t="b">
        <v>1</v>
      </c>
      <c r="F76" s="88" t="b">
        <v>1</v>
      </c>
      <c r="G76" s="88" t="b">
        <v>1</v>
      </c>
      <c r="H76" s="88" t="b">
        <v>1</v>
      </c>
      <c r="I76" s="88" t="b">
        <v>1</v>
      </c>
      <c r="J76" s="88" t="b">
        <v>1</v>
      </c>
      <c r="K76" s="88" t="b">
        <v>1</v>
      </c>
      <c r="L76" s="88" t="b">
        <v>1</v>
      </c>
      <c r="M76" s="88" t="b">
        <v>1</v>
      </c>
      <c r="N76" s="88" t="b">
        <v>1</v>
      </c>
      <c r="O76" s="88" t="b">
        <v>1</v>
      </c>
      <c r="P76" s="88" t="b">
        <v>1</v>
      </c>
      <c r="Q76" s="88" t="b">
        <v>1</v>
      </c>
      <c r="R76" s="88" t="b">
        <v>1</v>
      </c>
      <c r="S76" s="88" t="b">
        <v>1</v>
      </c>
    </row>
    <row r="77" spans="1:67" x14ac:dyDescent="0.25">
      <c r="A77" s="756" t="s">
        <v>682</v>
      </c>
      <c r="B77" s="757" t="s">
        <v>616</v>
      </c>
      <c r="C77" s="757" t="s">
        <v>616</v>
      </c>
      <c r="D77" s="758">
        <v>1.4944777417975501E-4</v>
      </c>
      <c r="E77" s="758">
        <v>1.6559744857281704E-4</v>
      </c>
      <c r="F77" s="758">
        <v>1.6202242427802336E-4</v>
      </c>
      <c r="G77" s="758">
        <v>1.6414996706392294E-4</v>
      </c>
      <c r="H77" s="758">
        <v>2.6845658160215623E-4</v>
      </c>
      <c r="I77" s="758">
        <v>2.3324591037562361E-4</v>
      </c>
      <c r="J77" s="758">
        <v>2.4876739149139654E-4</v>
      </c>
      <c r="K77" s="758">
        <v>3.2912778267449951E-4</v>
      </c>
      <c r="L77" s="758">
        <v>6.2437896795423855E-4</v>
      </c>
      <c r="M77" s="758">
        <v>5.9750530937429909E-4</v>
      </c>
      <c r="N77" s="759">
        <v>2.3588621740076935E-4</v>
      </c>
      <c r="O77" s="759">
        <v>5.1040332657786868E-4</v>
      </c>
      <c r="P77" s="759">
        <v>5.9750530937429909E-4</v>
      </c>
      <c r="Q77" s="760">
        <v>5.4450365541316027E-4</v>
      </c>
      <c r="R77" s="759">
        <v>2.8209206746028113E-4</v>
      </c>
      <c r="S77" s="759">
        <v>2.5855898707418892E-4</v>
      </c>
    </row>
    <row r="78" spans="1:67" x14ac:dyDescent="0.25">
      <c r="A78" s="756" t="s">
        <v>682</v>
      </c>
      <c r="B78" s="757" t="s">
        <v>663</v>
      </c>
      <c r="C78" s="757" t="s">
        <v>616</v>
      </c>
      <c r="D78" s="758">
        <v>1.2460078784420209E-4</v>
      </c>
      <c r="E78" s="758">
        <v>1.2079203040267886E-4</v>
      </c>
      <c r="F78" s="758">
        <v>1.2424777533520507E-4</v>
      </c>
      <c r="G78" s="758">
        <v>1.6209387641597252E-4</v>
      </c>
      <c r="H78" s="758">
        <v>3.0815558815355901E-4</v>
      </c>
      <c r="I78" s="758">
        <v>2.9272640377759652E-4</v>
      </c>
      <c r="J78" s="758">
        <v>2.4698603051113928E-4</v>
      </c>
      <c r="K78" s="758">
        <v>2.3385624271573115E-4</v>
      </c>
      <c r="L78" s="758">
        <v>3.634145887657787E-4</v>
      </c>
      <c r="M78" s="758">
        <v>3.3322629045964342E-4</v>
      </c>
      <c r="N78" s="759">
        <v>2.6669227757376672E-4</v>
      </c>
      <c r="O78" s="759">
        <v>2.8617788246671188E-4</v>
      </c>
      <c r="P78" s="759">
        <v>3.3322629045964342E-4</v>
      </c>
      <c r="Q78" s="760">
        <v>2.9245100353243611E-4</v>
      </c>
      <c r="R78" s="759">
        <v>2.6858443715254012E-4</v>
      </c>
      <c r="S78" s="759">
        <v>2.120181446644329E-4</v>
      </c>
      <c r="W78" s="825">
        <v>2019</v>
      </c>
      <c r="AI78" s="825">
        <v>2019</v>
      </c>
      <c r="AJ78" s="825">
        <v>2020</v>
      </c>
      <c r="AK78" s="825">
        <v>2021</v>
      </c>
      <c r="AL78" s="825">
        <v>2022</v>
      </c>
      <c r="AM78" s="825">
        <v>2023</v>
      </c>
      <c r="AN78" s="825">
        <v>2024</v>
      </c>
      <c r="AO78" s="825">
        <v>2025</v>
      </c>
      <c r="AP78" s="825">
        <v>2026</v>
      </c>
      <c r="AQ78" s="825">
        <v>2029</v>
      </c>
      <c r="AU78" s="825">
        <f>W78</f>
        <v>2019</v>
      </c>
      <c r="BG78" s="825">
        <v>2019</v>
      </c>
      <c r="BH78" s="825">
        <v>2020</v>
      </c>
      <c r="BI78" s="825">
        <v>2021</v>
      </c>
      <c r="BJ78" s="825">
        <v>2022</v>
      </c>
      <c r="BK78" s="825">
        <v>2023</v>
      </c>
      <c r="BL78" s="825">
        <v>2024</v>
      </c>
      <c r="BM78" s="825">
        <v>2025</v>
      </c>
      <c r="BN78" s="825">
        <v>2026</v>
      </c>
      <c r="BO78" s="825">
        <v>2029</v>
      </c>
    </row>
    <row r="79" spans="1:67" x14ac:dyDescent="0.25">
      <c r="A79" s="756" t="s">
        <v>682</v>
      </c>
      <c r="B79" s="757" t="s">
        <v>664</v>
      </c>
      <c r="C79" s="757" t="s">
        <v>616</v>
      </c>
      <c r="D79" s="758">
        <v>0</v>
      </c>
      <c r="E79" s="758">
        <v>0</v>
      </c>
      <c r="F79" s="758">
        <v>0</v>
      </c>
      <c r="G79" s="758">
        <v>8.3472309297544163E-5</v>
      </c>
      <c r="H79" s="758">
        <v>1.0833977366493296E-4</v>
      </c>
      <c r="I79" s="758">
        <v>9.0305219964902098E-5</v>
      </c>
      <c r="J79" s="758">
        <v>9.6370103183918184E-5</v>
      </c>
      <c r="K79" s="758">
        <v>9.9724683821975738E-5</v>
      </c>
      <c r="L79" s="758">
        <v>9.6212986424370727E-5</v>
      </c>
      <c r="M79" s="758">
        <v>1.0779001081207954E-4</v>
      </c>
      <c r="N79" s="759">
        <v>9.6986964315542236E-5</v>
      </c>
      <c r="O79" s="759">
        <v>9.8320004862933739E-5</v>
      </c>
      <c r="P79" s="759">
        <v>1.0779001081207954E-4</v>
      </c>
      <c r="Q79" s="760">
        <v>9.9898339187791364E-5</v>
      </c>
      <c r="R79" s="759">
        <v>9.7017821735620748E-5</v>
      </c>
      <c r="S79" s="759">
        <v>9.7067463159936237E-5</v>
      </c>
      <c r="W79" s="812" t="s">
        <v>683</v>
      </c>
      <c r="X79" s="845" t="str">
        <f>"Relative to "&amp;W$78&amp;"BSR"</f>
        <v>Relative to 2019BSR</v>
      </c>
      <c r="Y79" s="845"/>
      <c r="Z79" s="845"/>
      <c r="AA79" s="845"/>
      <c r="AI79" s="753" t="s">
        <v>653</v>
      </c>
      <c r="AJ79" s="753" t="s">
        <v>653</v>
      </c>
      <c r="AK79" s="753" t="s">
        <v>653</v>
      </c>
      <c r="AL79" s="753" t="s">
        <v>653</v>
      </c>
      <c r="AM79" s="753" t="s">
        <v>653</v>
      </c>
      <c r="AN79" s="753" t="s">
        <v>653</v>
      </c>
      <c r="AO79" s="753" t="s">
        <v>653</v>
      </c>
      <c r="AP79" s="753" t="s">
        <v>653</v>
      </c>
      <c r="AQ79" s="753" t="s">
        <v>653</v>
      </c>
      <c r="AU79" s="812" t="s">
        <v>683</v>
      </c>
      <c r="AV79" s="845" t="str">
        <f>"Relative to "&amp;AU$78&amp;"BSR"</f>
        <v>Relative to 2019BSR</v>
      </c>
      <c r="AW79" s="845"/>
      <c r="AX79" s="845"/>
      <c r="AY79" s="845"/>
      <c r="BG79" s="753" t="s">
        <v>653</v>
      </c>
      <c r="BH79" s="753" t="s">
        <v>653</v>
      </c>
      <c r="BI79" s="753" t="s">
        <v>653</v>
      </c>
      <c r="BJ79" s="753" t="s">
        <v>653</v>
      </c>
      <c r="BK79" s="753" t="s">
        <v>653</v>
      </c>
      <c r="BL79" s="753" t="s">
        <v>653</v>
      </c>
      <c r="BM79" s="753" t="s">
        <v>653</v>
      </c>
      <c r="BN79" s="753" t="s">
        <v>653</v>
      </c>
      <c r="BO79" s="753" t="s">
        <v>653</v>
      </c>
    </row>
    <row r="80" spans="1:67" x14ac:dyDescent="0.25">
      <c r="A80" s="756" t="s">
        <v>682</v>
      </c>
      <c r="B80" s="757" t="s">
        <v>665</v>
      </c>
      <c r="C80" s="757" t="s">
        <v>616</v>
      </c>
      <c r="D80" s="758">
        <v>0</v>
      </c>
      <c r="E80" s="758">
        <v>0</v>
      </c>
      <c r="F80" s="758">
        <v>0</v>
      </c>
      <c r="G80" s="758">
        <v>0</v>
      </c>
      <c r="H80" s="758">
        <v>0</v>
      </c>
      <c r="I80" s="758">
        <v>2.9336515060811525E-4</v>
      </c>
      <c r="J80" s="758">
        <v>0</v>
      </c>
      <c r="K80" s="758">
        <v>2.1355163503153593E-4</v>
      </c>
      <c r="L80" s="758">
        <v>3.9559543516859766E-4</v>
      </c>
      <c r="M80" s="758">
        <v>5.3811773299540326E-4</v>
      </c>
      <c r="N80" s="759">
        <v>2.9336515060811525E-4</v>
      </c>
      <c r="O80" s="759">
        <v>3.4358292084372288E-4</v>
      </c>
      <c r="P80" s="759">
        <v>5.3811773299540326E-4</v>
      </c>
      <c r="Q80" s="754">
        <v>4.6246530604752756E-4</v>
      </c>
      <c r="R80" s="759">
        <v>3.3730569956427195E-4</v>
      </c>
      <c r="S80" s="759">
        <v>4.5356529786650583E-4</v>
      </c>
      <c r="U80" s="3"/>
      <c r="V80" s="813" t="s">
        <v>654</v>
      </c>
      <c r="W80" s="813" t="s">
        <v>684</v>
      </c>
      <c r="X80" s="813" t="s">
        <v>656</v>
      </c>
      <c r="Y80" s="813" t="s">
        <v>659</v>
      </c>
      <c r="Z80" s="813" t="s">
        <v>685</v>
      </c>
      <c r="AA80" s="813" t="s">
        <v>686</v>
      </c>
      <c r="AB80" s="813">
        <v>2020</v>
      </c>
      <c r="AC80" s="813">
        <v>2021</v>
      </c>
      <c r="AD80" s="813">
        <v>2022</v>
      </c>
      <c r="AE80" s="813">
        <v>2023</v>
      </c>
      <c r="AF80" s="813">
        <v>2024</v>
      </c>
      <c r="AG80" s="813">
        <v>2025</v>
      </c>
      <c r="AI80" s="813">
        <v>2018</v>
      </c>
      <c r="AJ80" s="813">
        <v>2019</v>
      </c>
      <c r="AK80" s="813">
        <v>2020</v>
      </c>
      <c r="AL80" s="813">
        <v>2021</v>
      </c>
      <c r="AM80" s="813">
        <v>2022</v>
      </c>
      <c r="AN80" s="813">
        <v>2023</v>
      </c>
      <c r="AO80" s="813">
        <v>2024</v>
      </c>
      <c r="AP80" s="813">
        <v>2025</v>
      </c>
      <c r="AQ80" s="813">
        <v>2031</v>
      </c>
      <c r="AS80" s="3"/>
      <c r="AT80" s="813" t="s">
        <v>654</v>
      </c>
      <c r="AU80" s="813" t="s">
        <v>684</v>
      </c>
      <c r="AV80" s="813" t="s">
        <v>656</v>
      </c>
      <c r="AW80" s="813" t="s">
        <v>659</v>
      </c>
      <c r="AX80" s="813" t="s">
        <v>685</v>
      </c>
      <c r="AY80" s="813" t="s">
        <v>686</v>
      </c>
      <c r="AZ80" s="813">
        <v>2020</v>
      </c>
      <c r="BA80" s="813">
        <v>2021</v>
      </c>
      <c r="BB80" s="813">
        <v>2022</v>
      </c>
      <c r="BC80" s="813">
        <v>2023</v>
      </c>
      <c r="BD80" s="813">
        <v>2024</v>
      </c>
      <c r="BE80" s="813">
        <v>2025</v>
      </c>
      <c r="BG80" s="813">
        <v>2018</v>
      </c>
      <c r="BH80" s="813">
        <v>2019</v>
      </c>
      <c r="BI80" s="813">
        <v>2020</v>
      </c>
      <c r="BJ80" s="813">
        <v>2021</v>
      </c>
      <c r="BK80" s="813">
        <v>2022</v>
      </c>
      <c r="BL80" s="813">
        <v>2023</v>
      </c>
      <c r="BM80" s="813">
        <v>2024</v>
      </c>
      <c r="BN80" s="813">
        <v>2025</v>
      </c>
      <c r="BO80" s="813">
        <v>2031</v>
      </c>
    </row>
    <row r="81" spans="1:67" x14ac:dyDescent="0.25">
      <c r="A81" s="756" t="s">
        <v>682</v>
      </c>
      <c r="B81" s="757" t="s">
        <v>667</v>
      </c>
      <c r="C81" s="757" t="s">
        <v>616</v>
      </c>
      <c r="D81" s="758">
        <v>0</v>
      </c>
      <c r="E81" s="758">
        <v>0</v>
      </c>
      <c r="F81" s="758">
        <v>0</v>
      </c>
      <c r="G81" s="758">
        <v>0</v>
      </c>
      <c r="H81" s="758">
        <v>5.9236838122416759E-4</v>
      </c>
      <c r="I81" s="758">
        <v>3.5401585120878998E-4</v>
      </c>
      <c r="J81" s="758">
        <v>2.9969034867413131E-4</v>
      </c>
      <c r="K81" s="758">
        <v>8.0420841487945235E-4</v>
      </c>
      <c r="L81" s="758">
        <v>9.4419577411073341E-4</v>
      </c>
      <c r="M81" s="758">
        <v>7.7316537332100619E-4</v>
      </c>
      <c r="N81" s="759">
        <v>3.9775904547335894E-4</v>
      </c>
      <c r="O81" s="759">
        <v>9.2140713423587357E-4</v>
      </c>
      <c r="P81" s="759">
        <v>7.7316537332100619E-4</v>
      </c>
      <c r="Q81" s="754">
        <v>8.4207775947602558E-4</v>
      </c>
      <c r="R81" s="759">
        <v>8.0715664214223409E-4</v>
      </c>
      <c r="S81" s="759">
        <v>7.9105551480586301E-4</v>
      </c>
      <c r="U81" t="s">
        <v>677</v>
      </c>
      <c r="V81" s="812" t="s">
        <v>616</v>
      </c>
      <c r="W81" s="609">
        <f ca="1">INDIRECT("'DevSumOut-"&amp;W$78&amp;"BSR'!$R$70")</f>
        <v>2.4594859595772975</v>
      </c>
      <c r="X81" s="768">
        <f ca="1">SUM(X82:X83)</f>
        <v>2.4045530141170439E-2</v>
      </c>
      <c r="Y81" s="768">
        <f ca="1">SUM(Y82:Y83)</f>
        <v>8.0492164564340815E-2</v>
      </c>
      <c r="Z81" s="768">
        <f ca="1">SUM(Z82:Z83)</f>
        <v>4.2514342776924494E-2</v>
      </c>
      <c r="AA81" s="768">
        <f ca="1">SUM(Y81:Z81)</f>
        <v>0.12300650734126531</v>
      </c>
      <c r="AB81" s="768">
        <f t="shared" ref="AB81:AG81" ca="1" si="104">SUM(AB82:AB83)</f>
        <v>7.1819258675516764E-2</v>
      </c>
      <c r="AC81" s="768">
        <f t="shared" ca="1" si="104"/>
        <v>7.1911608773660526E-2</v>
      </c>
      <c r="AD81" s="768">
        <f t="shared" ca="1" si="104"/>
        <v>5.5516716436055012E-2</v>
      </c>
      <c r="AE81" s="768">
        <f t="shared" ca="1" si="104"/>
        <v>3.0190667690192765E-2</v>
      </c>
      <c r="AF81" s="768">
        <f t="shared" ca="1" si="104"/>
        <v>1.0252602669935851E-2</v>
      </c>
      <c r="AG81" s="768">
        <f t="shared" ca="1" si="104"/>
        <v>0</v>
      </c>
      <c r="AI81" s="769">
        <f t="shared" ref="AI81:AQ81" ca="1" si="105">SUM(AI82:AI83)</f>
        <v>8.0492164564340815E-2</v>
      </c>
      <c r="AJ81" s="769">
        <f t="shared" ca="1" si="105"/>
        <v>0.12300650734126532</v>
      </c>
      <c r="AK81" s="769">
        <f t="shared" ca="1" si="105"/>
        <v>0.18626152135269536</v>
      </c>
      <c r="AL81" s="769">
        <f t="shared" ca="1" si="105"/>
        <v>0.2581731301263559</v>
      </c>
      <c r="AM81" s="769">
        <f t="shared" ca="1" si="105"/>
        <v>0.31368984656241095</v>
      </c>
      <c r="AN81" s="769">
        <f t="shared" ca="1" si="105"/>
        <v>0.34388051425260369</v>
      </c>
      <c r="AO81" s="769">
        <f t="shared" ca="1" si="105"/>
        <v>0.35413311692253951</v>
      </c>
      <c r="AP81" s="769">
        <f t="shared" ca="1" si="105"/>
        <v>0.35413311692253951</v>
      </c>
      <c r="AQ81" s="769">
        <f t="shared" ca="1" si="105"/>
        <v>0.35413311692253951</v>
      </c>
      <c r="AS81" t="s">
        <v>677</v>
      </c>
      <c r="AT81" s="812" t="s">
        <v>616</v>
      </c>
      <c r="AU81" s="609">
        <f ca="1">INDIRECT("'DevSumOut-"&amp;AU$78&amp;"BSR'!$R$70")</f>
        <v>2.4594859595772975</v>
      </c>
      <c r="AV81" s="768">
        <f ca="1">SUM(AV82:AV83)</f>
        <v>2.4045530141170439E-2</v>
      </c>
      <c r="AW81" s="768">
        <f ca="1">SUM(AW82:AW83)</f>
        <v>8.0492164564340815E-2</v>
      </c>
      <c r="AX81" s="768">
        <f ca="1">SUM(AX82:AX83)</f>
        <v>4.2514342776924494E-2</v>
      </c>
      <c r="AY81" s="768">
        <f ca="1">SUM(AW81:AX81)</f>
        <v>0.12300650734126531</v>
      </c>
      <c r="AZ81" s="768">
        <f t="shared" ref="AZ81:BE81" ca="1" si="106">SUM(AZ82:AZ83)</f>
        <v>7.1819258675516764E-2</v>
      </c>
      <c r="BA81" s="768">
        <f t="shared" ca="1" si="106"/>
        <v>9.1807920478019445E-2</v>
      </c>
      <c r="BB81" s="768">
        <f t="shared" ca="1" si="106"/>
        <v>9.8179409489805858E-2</v>
      </c>
      <c r="BC81" s="768">
        <f t="shared" ca="1" si="106"/>
        <v>9.7201416430711007E-2</v>
      </c>
      <c r="BD81" s="768">
        <f t="shared" ca="1" si="106"/>
        <v>9.5623744200068958E-2</v>
      </c>
      <c r="BE81" s="768">
        <f t="shared" ca="1" si="106"/>
        <v>9.6855216297056623E-2</v>
      </c>
      <c r="BG81" s="769">
        <f t="shared" ref="BG81:BO81" ca="1" si="107">SUM(BG82:BG83)</f>
        <v>8.0492164564340815E-2</v>
      </c>
      <c r="BH81" s="769">
        <f t="shared" ca="1" si="107"/>
        <v>0.12300650734126532</v>
      </c>
      <c r="BI81" s="769">
        <f t="shared" ca="1" si="107"/>
        <v>0.18626152135269536</v>
      </c>
      <c r="BJ81" s="769">
        <f t="shared" ca="1" si="107"/>
        <v>0.2780694418307148</v>
      </c>
      <c r="BK81" s="769">
        <f t="shared" ca="1" si="107"/>
        <v>0.37624885132052066</v>
      </c>
      <c r="BL81" s="769">
        <f t="shared" ca="1" si="107"/>
        <v>0.47345026775123161</v>
      </c>
      <c r="BM81" s="769">
        <f t="shared" ca="1" si="107"/>
        <v>0.56907401195130047</v>
      </c>
      <c r="BN81" s="769">
        <f t="shared" ca="1" si="107"/>
        <v>0.66592922824835721</v>
      </c>
      <c r="BO81" s="769">
        <f t="shared" ca="1" si="107"/>
        <v>0.66592922824835721</v>
      </c>
    </row>
    <row r="82" spans="1:67" x14ac:dyDescent="0.25">
      <c r="A82" s="756" t="s">
        <v>682</v>
      </c>
      <c r="B82" s="757" t="s">
        <v>669</v>
      </c>
      <c r="C82" s="757" t="s">
        <v>616</v>
      </c>
      <c r="D82" s="758">
        <v>2.4721392523239887E-4</v>
      </c>
      <c r="E82" s="758">
        <v>0</v>
      </c>
      <c r="F82" s="758">
        <v>2.4721392523239887E-4</v>
      </c>
      <c r="G82" s="758">
        <v>3.3584103237151869E-4</v>
      </c>
      <c r="H82" s="758">
        <v>2.7642334691369388E-4</v>
      </c>
      <c r="I82" s="758">
        <v>3.3170024835084655E-4</v>
      </c>
      <c r="J82" s="758">
        <v>3.8655852843804897E-4</v>
      </c>
      <c r="K82" s="758">
        <v>2.8487259909705531E-4</v>
      </c>
      <c r="L82" s="758">
        <v>4.0903629877972746E-4</v>
      </c>
      <c r="M82" s="758">
        <v>2.6715015957186881E-4</v>
      </c>
      <c r="N82" s="759">
        <v>3.2842701222568455E-4</v>
      </c>
      <c r="O82" s="759">
        <v>3.8316886134583746E-4</v>
      </c>
      <c r="P82" s="759">
        <v>2.6715015957186881E-4</v>
      </c>
      <c r="Q82" s="754">
        <v>3.2397564615503708E-4</v>
      </c>
      <c r="R82" s="759">
        <v>3.4719564620973694E-4</v>
      </c>
      <c r="S82" s="759">
        <v>3.2294247398896873E-4</v>
      </c>
      <c r="U82" t="s">
        <v>677</v>
      </c>
      <c r="V82" s="812" t="s">
        <v>663</v>
      </c>
      <c r="W82" s="609">
        <f t="shared" ref="W82:W83" ca="1" si="108">INDIRECT("'DevSumOut-"&amp;W$78&amp;"BSR'!$R$70")</f>
        <v>2.4594859595772975</v>
      </c>
      <c r="X82" s="648"/>
      <c r="Y82" s="768">
        <f ca="1">Y18/$W82</f>
        <v>1.2101105786207945E-2</v>
      </c>
      <c r="Z82" s="768">
        <f ca="1">Z18/$W82</f>
        <v>2.1677784443504692E-3</v>
      </c>
      <c r="AA82" s="768">
        <f ca="1">SUM(Y82:Z82)</f>
        <v>1.4268884230558415E-2</v>
      </c>
      <c r="AB82" s="768">
        <f t="shared" ref="AB82:AG82" ca="1" si="109">AB18/$W82</f>
        <v>1.7836105288198017E-3</v>
      </c>
      <c r="AC82" s="768">
        <f t="shared" ca="1" si="109"/>
        <v>1.189073685879868E-3</v>
      </c>
      <c r="AD82" s="768">
        <f t="shared" ca="1" si="109"/>
        <v>0</v>
      </c>
      <c r="AE82" s="768">
        <f t="shared" ca="1" si="109"/>
        <v>0</v>
      </c>
      <c r="AF82" s="768">
        <f t="shared" ca="1" si="109"/>
        <v>0</v>
      </c>
      <c r="AG82" s="768">
        <f t="shared" ca="1" si="109"/>
        <v>0</v>
      </c>
      <c r="AI82" s="770">
        <f ca="1">AI18/$W82</f>
        <v>1.2101105786207945E-2</v>
      </c>
      <c r="AJ82" s="770">
        <f t="shared" ref="AJ82:AQ82" ca="1" si="110">AJ18/$W82</f>
        <v>1.4268884230558413E-2</v>
      </c>
      <c r="AK82" s="770">
        <f t="shared" ca="1" si="110"/>
        <v>1.6052494759378217E-2</v>
      </c>
      <c r="AL82" s="770">
        <f t="shared" ca="1" si="110"/>
        <v>1.7241568445258083E-2</v>
      </c>
      <c r="AM82" s="770">
        <f t="shared" ca="1" si="110"/>
        <v>1.7241568445258083E-2</v>
      </c>
      <c r="AN82" s="770">
        <f t="shared" ca="1" si="110"/>
        <v>1.7241568445258083E-2</v>
      </c>
      <c r="AO82" s="770">
        <f t="shared" ca="1" si="110"/>
        <v>1.7241568445258083E-2</v>
      </c>
      <c r="AP82" s="770">
        <f t="shared" ca="1" si="110"/>
        <v>1.7241568445258083E-2</v>
      </c>
      <c r="AQ82" s="770">
        <f t="shared" ca="1" si="110"/>
        <v>1.7241568445258083E-2</v>
      </c>
      <c r="AS82" t="s">
        <v>677</v>
      </c>
      <c r="AT82" s="812" t="s">
        <v>663</v>
      </c>
      <c r="AU82" s="609">
        <f t="shared" ref="AU82:AU83" ca="1" si="111">INDIRECT("'DevSumOut-"&amp;AU$78&amp;"BSR'!$R$70")</f>
        <v>2.4594859595772975</v>
      </c>
      <c r="AV82" s="648"/>
      <c r="AW82" s="768">
        <f ca="1">AW18/$AU82</f>
        <v>1.2101105786207945E-2</v>
      </c>
      <c r="AX82" s="768">
        <f ca="1">AX18/$AU82</f>
        <v>2.1677784443504692E-3</v>
      </c>
      <c r="AY82" s="768">
        <f ca="1">SUM(AW82:AX82)</f>
        <v>1.4268884230558415E-2</v>
      </c>
      <c r="AZ82" s="768">
        <f t="shared" ref="AZ82:BE82" ca="1" si="112">AZ18/$AU82</f>
        <v>1.7836105288198017E-3</v>
      </c>
      <c r="BA82" s="768">
        <f t="shared" ca="1" si="112"/>
        <v>3.5672210576396034E-3</v>
      </c>
      <c r="BB82" s="768">
        <f t="shared" ca="1" si="112"/>
        <v>5.3508315864594057E-3</v>
      </c>
      <c r="BC82" s="768">
        <f t="shared" ca="1" si="112"/>
        <v>8.3235158011590767E-3</v>
      </c>
      <c r="BD82" s="768">
        <f t="shared" ca="1" si="112"/>
        <v>1.0463848435742837E-2</v>
      </c>
      <c r="BE82" s="768">
        <f t="shared" ca="1" si="112"/>
        <v>1.1890736858798679E-2</v>
      </c>
      <c r="BG82" s="770">
        <f t="shared" ref="BG82:BO82" ca="1" si="113">BG18/$AU82</f>
        <v>1.2101105786207945E-2</v>
      </c>
      <c r="BH82" s="770">
        <f t="shared" ca="1" si="113"/>
        <v>1.4268884230558413E-2</v>
      </c>
      <c r="BI82" s="770">
        <f t="shared" ca="1" si="113"/>
        <v>1.6052494759378217E-2</v>
      </c>
      <c r="BJ82" s="770">
        <f t="shared" ca="1" si="113"/>
        <v>1.9619715817017821E-2</v>
      </c>
      <c r="BK82" s="770">
        <f t="shared" ca="1" si="113"/>
        <v>2.4970547403477227E-2</v>
      </c>
      <c r="BL82" s="770">
        <f t="shared" ca="1" si="113"/>
        <v>3.3294063204636307E-2</v>
      </c>
      <c r="BM82" s="770">
        <f t="shared" ca="1" si="113"/>
        <v>4.3757911640379142E-2</v>
      </c>
      <c r="BN82" s="770">
        <f t="shared" ca="1" si="113"/>
        <v>5.5648648499177819E-2</v>
      </c>
      <c r="BO82" s="770">
        <f t="shared" ca="1" si="113"/>
        <v>5.5648648499177819E-2</v>
      </c>
    </row>
    <row r="83" spans="1:67" x14ac:dyDescent="0.25">
      <c r="A83" s="756" t="s">
        <v>682</v>
      </c>
      <c r="B83" s="757" t="s">
        <v>666</v>
      </c>
      <c r="C83" s="757" t="s">
        <v>616</v>
      </c>
      <c r="D83" s="758">
        <v>2.4721392523239887E-4</v>
      </c>
      <c r="E83" s="758">
        <v>0</v>
      </c>
      <c r="F83" s="758">
        <v>2.4721392523239887E-4</v>
      </c>
      <c r="G83" s="758">
        <v>3.3584103237151869E-4</v>
      </c>
      <c r="H83" s="758">
        <v>3.6259017445291401E-4</v>
      </c>
      <c r="I83" s="758">
        <v>3.3845230578892315E-4</v>
      </c>
      <c r="J83" s="758">
        <v>3.5615466552067781E-4</v>
      </c>
      <c r="K83" s="758">
        <v>5.8858640625755439E-4</v>
      </c>
      <c r="L83" s="758">
        <v>7.8920534420270883E-4</v>
      </c>
      <c r="M83" s="758">
        <v>6.5110079502722748E-4</v>
      </c>
      <c r="N83" s="759">
        <v>3.5056374937442132E-4</v>
      </c>
      <c r="O83" s="759">
        <v>7.5199376700320439E-4</v>
      </c>
      <c r="P83" s="759">
        <v>6.5110079502722748E-4</v>
      </c>
      <c r="Q83" s="760">
        <v>6.9743682660137985E-4</v>
      </c>
      <c r="R83" s="759">
        <v>6.0452967889467184E-4</v>
      </c>
      <c r="S83" s="759">
        <v>6.2005025675797841E-4</v>
      </c>
      <c r="U83" t="s">
        <v>677</v>
      </c>
      <c r="V83" s="812" t="s">
        <v>678</v>
      </c>
      <c r="W83" s="609">
        <f t="shared" ca="1" si="108"/>
        <v>2.4594859595772975</v>
      </c>
      <c r="X83" s="768">
        <f ca="1">W26/$W83</f>
        <v>2.4045530141170439E-2</v>
      </c>
      <c r="Y83" s="768">
        <f ca="1">Y26/$W83</f>
        <v>6.8391058778132868E-2</v>
      </c>
      <c r="Z83" s="768">
        <f ca="1">Z26/$W83</f>
        <v>4.0346564332574025E-2</v>
      </c>
      <c r="AA83" s="768">
        <f t="shared" ref="AA83:AA86" ca="1" si="114">SUM(Y83:Z83)</f>
        <v>0.10873762311070689</v>
      </c>
      <c r="AB83" s="768">
        <f t="shared" ref="AB83:AG83" ca="1" si="115">AB26/$W83</f>
        <v>7.0035648146696966E-2</v>
      </c>
      <c r="AC83" s="768">
        <f t="shared" ca="1" si="115"/>
        <v>7.0722535087780661E-2</v>
      </c>
      <c r="AD83" s="768">
        <f t="shared" ca="1" si="115"/>
        <v>5.5516716436055012E-2</v>
      </c>
      <c r="AE83" s="768">
        <f t="shared" ca="1" si="115"/>
        <v>3.0190667690192765E-2</v>
      </c>
      <c r="AF83" s="768">
        <f t="shared" ca="1" si="115"/>
        <v>1.0252602669935851E-2</v>
      </c>
      <c r="AG83" s="768">
        <f t="shared" ca="1" si="115"/>
        <v>0</v>
      </c>
      <c r="AI83" s="770">
        <f t="shared" ref="AI83:AQ83" ca="1" si="116">AI26/$W83</f>
        <v>6.8391058778132868E-2</v>
      </c>
      <c r="AJ83" s="770">
        <f t="shared" ca="1" si="116"/>
        <v>0.10873762311070691</v>
      </c>
      <c r="AK83" s="770">
        <f t="shared" ca="1" si="116"/>
        <v>0.17020902659331713</v>
      </c>
      <c r="AL83" s="770">
        <f t="shared" ca="1" si="116"/>
        <v>0.24093156168109781</v>
      </c>
      <c r="AM83" s="770">
        <f t="shared" ca="1" si="116"/>
        <v>0.29644827811715285</v>
      </c>
      <c r="AN83" s="770">
        <f t="shared" ca="1" si="116"/>
        <v>0.32663894580734559</v>
      </c>
      <c r="AO83" s="770">
        <f t="shared" ca="1" si="116"/>
        <v>0.33689154847728142</v>
      </c>
      <c r="AP83" s="770">
        <f t="shared" ca="1" si="116"/>
        <v>0.33689154847728142</v>
      </c>
      <c r="AQ83" s="770">
        <f t="shared" ca="1" si="116"/>
        <v>0.33689154847728142</v>
      </c>
      <c r="AS83" t="s">
        <v>677</v>
      </c>
      <c r="AT83" s="812" t="s">
        <v>678</v>
      </c>
      <c r="AU83" s="609">
        <f t="shared" ca="1" si="111"/>
        <v>2.4594859595772975</v>
      </c>
      <c r="AV83" s="768">
        <f ca="1">AU26/$AU83</f>
        <v>2.4045530141170439E-2</v>
      </c>
      <c r="AW83" s="768">
        <f ca="1">AW26/$AU83</f>
        <v>6.8391058778132868E-2</v>
      </c>
      <c r="AX83" s="768">
        <f ca="1">AX26/$AU83</f>
        <v>4.0346564332574025E-2</v>
      </c>
      <c r="AY83" s="768">
        <f t="shared" ref="AY83:AY86" ca="1" si="117">SUM(AW83:AX83)</f>
        <v>0.10873762311070689</v>
      </c>
      <c r="AZ83" s="768">
        <f t="shared" ref="AZ83:BE83" ca="1" si="118">AZ26/$AU83</f>
        <v>7.0035648146696966E-2</v>
      </c>
      <c r="BA83" s="768">
        <f t="shared" ca="1" si="118"/>
        <v>8.8240699420379848E-2</v>
      </c>
      <c r="BB83" s="768">
        <f t="shared" ca="1" si="118"/>
        <v>9.2828577903346449E-2</v>
      </c>
      <c r="BC83" s="768">
        <f t="shared" ca="1" si="118"/>
        <v>8.8877900629551934E-2</v>
      </c>
      <c r="BD83" s="768">
        <f t="shared" ca="1" si="118"/>
        <v>8.5159895764326116E-2</v>
      </c>
      <c r="BE83" s="768">
        <f t="shared" ca="1" si="118"/>
        <v>8.4964479438257939E-2</v>
      </c>
      <c r="BG83" s="770">
        <f t="shared" ref="BG83:BO83" ca="1" si="119">BG26/$AU83</f>
        <v>6.8391058778132868E-2</v>
      </c>
      <c r="BH83" s="770">
        <f t="shared" ca="1" si="119"/>
        <v>0.10873762311070691</v>
      </c>
      <c r="BI83" s="770">
        <f t="shared" ca="1" si="119"/>
        <v>0.17020902659331713</v>
      </c>
      <c r="BJ83" s="770">
        <f t="shared" ca="1" si="119"/>
        <v>0.25844972601369698</v>
      </c>
      <c r="BK83" s="770">
        <f t="shared" ca="1" si="119"/>
        <v>0.35127830391704346</v>
      </c>
      <c r="BL83" s="770">
        <f t="shared" ca="1" si="119"/>
        <v>0.44015620454659532</v>
      </c>
      <c r="BM83" s="770">
        <f t="shared" ca="1" si="119"/>
        <v>0.52531610031092135</v>
      </c>
      <c r="BN83" s="770">
        <f t="shared" ca="1" si="119"/>
        <v>0.61028057974917937</v>
      </c>
      <c r="BO83" s="770">
        <f t="shared" ca="1" si="119"/>
        <v>0.61028057974917937</v>
      </c>
    </row>
    <row r="84" spans="1:67" x14ac:dyDescent="0.25">
      <c r="A84" s="756" t="s">
        <v>682</v>
      </c>
      <c r="B84" s="757" t="s">
        <v>670</v>
      </c>
      <c r="C84" s="757" t="s">
        <v>616</v>
      </c>
      <c r="D84" s="758">
        <v>2.8719150719190323E-4</v>
      </c>
      <c r="E84" s="758">
        <v>2.883949485251056E-4</v>
      </c>
      <c r="F84" s="758">
        <v>2.6756057529840046E-4</v>
      </c>
      <c r="G84" s="758">
        <v>2.7445579062400642E-4</v>
      </c>
      <c r="H84" s="758">
        <v>2.8543605840339987E-4</v>
      </c>
      <c r="I84" s="758">
        <v>2.7685307548126417E-4</v>
      </c>
      <c r="J84" s="758">
        <v>2.6825504824399079E-4</v>
      </c>
      <c r="K84" s="758">
        <v>4.1255840053790258E-4</v>
      </c>
      <c r="L84" s="758">
        <v>4.1389587194875718E-4</v>
      </c>
      <c r="M84" s="758">
        <v>3.6783236762420556E-4</v>
      </c>
      <c r="N84" s="759">
        <v>2.7366138556110439E-4</v>
      </c>
      <c r="O84" s="759">
        <v>4.1335365380922148E-4</v>
      </c>
      <c r="P84" s="759">
        <v>3.6783236762420556E-4</v>
      </c>
      <c r="Q84" s="760">
        <v>4.0292169239182198E-4</v>
      </c>
      <c r="R84" s="759">
        <v>3.3593384249098795E-4</v>
      </c>
      <c r="S84" s="759">
        <v>2.9091408280406322E-4</v>
      </c>
      <c r="U84" t="s">
        <v>680</v>
      </c>
      <c r="V84" s="812" t="s">
        <v>616</v>
      </c>
      <c r="W84" s="609">
        <f ca="1">INDIRECT("'DevSumOut-"&amp;W$78&amp;"BSR'!$P$70")</f>
        <v>3.8113418574800706</v>
      </c>
      <c r="X84" s="768">
        <f ca="1">SUM(X85:X86)</f>
        <v>-6.6557397717331127E-4</v>
      </c>
      <c r="Y84" s="768">
        <f t="shared" ref="Y84:Z84" ca="1" si="120">SUM(Y85:Y86)</f>
        <v>-6.8545461340764461E-4</v>
      </c>
      <c r="Z84" s="768">
        <f t="shared" ca="1" si="120"/>
        <v>2.9342968909626367E-4</v>
      </c>
      <c r="AA84" s="768">
        <f t="shared" ca="1" si="114"/>
        <v>-3.9202492431138095E-4</v>
      </c>
      <c r="AB84" s="768">
        <f t="shared" ref="AB84:AG84" ca="1" si="121">SUM(AB85:AB86)</f>
        <v>5.2232514447664085E-4</v>
      </c>
      <c r="AC84" s="768">
        <f t="shared" ca="1" si="121"/>
        <v>5.4403788434401852E-4</v>
      </c>
      <c r="AD84" s="768">
        <f t="shared" ca="1" si="121"/>
        <v>4.8783547128519234E-4</v>
      </c>
      <c r="AE84" s="768">
        <f t="shared" ca="1" si="121"/>
        <v>2.5570326213630753E-4</v>
      </c>
      <c r="AF84" s="768">
        <f t="shared" ca="1" si="121"/>
        <v>8.7433891701424953E-5</v>
      </c>
      <c r="AG84" s="768">
        <f t="shared" ca="1" si="121"/>
        <v>0</v>
      </c>
      <c r="AI84" s="769">
        <f t="shared" ref="AI84:AQ84" ca="1" si="122">SUM(AI85:AI86)</f>
        <v>-6.8545461340764461E-4</v>
      </c>
      <c r="AJ84" s="769">
        <f t="shared" ca="1" si="122"/>
        <v>-3.9202492431138084E-4</v>
      </c>
      <c r="AK84" s="769">
        <f t="shared" ca="1" si="122"/>
        <v>3.8304675565768677E-4</v>
      </c>
      <c r="AL84" s="769">
        <f t="shared" ca="1" si="122"/>
        <v>9.2708464000170528E-4</v>
      </c>
      <c r="AM84" s="769">
        <f t="shared" ca="1" si="122"/>
        <v>1.4149201112868973E-3</v>
      </c>
      <c r="AN84" s="769">
        <f t="shared" ca="1" si="122"/>
        <v>1.6706233734232047E-3</v>
      </c>
      <c r="AO84" s="769">
        <f t="shared" ca="1" si="122"/>
        <v>1.7580572651246292E-3</v>
      </c>
      <c r="AP84" s="769">
        <f t="shared" ca="1" si="122"/>
        <v>1.7580572651246292E-3</v>
      </c>
      <c r="AQ84" s="769">
        <f t="shared" ca="1" si="122"/>
        <v>1.7580572651246292E-3</v>
      </c>
      <c r="AS84" t="s">
        <v>680</v>
      </c>
      <c r="AT84" s="812" t="s">
        <v>616</v>
      </c>
      <c r="AU84" s="609">
        <f ca="1">INDIRECT("'DevSumOut-"&amp;AU$78&amp;"BSR'!$P$70")</f>
        <v>3.8113418574800706</v>
      </c>
      <c r="AV84" s="768">
        <f ca="1">SUM(AV85:AV86)</f>
        <v>-6.6557397717331127E-4</v>
      </c>
      <c r="AW84" s="768">
        <f t="shared" ref="AW84:AX84" ca="1" si="123">SUM(AW85:AW86)</f>
        <v>-6.8545461340764461E-4</v>
      </c>
      <c r="AX84" s="768">
        <f t="shared" ca="1" si="123"/>
        <v>2.9342968909626367E-4</v>
      </c>
      <c r="AY84" s="768">
        <f t="shared" ca="1" si="117"/>
        <v>-3.9202492431138095E-4</v>
      </c>
      <c r="AZ84" s="768">
        <f t="shared" ref="AZ84:BE84" ca="1" si="124">SUM(AZ85:AZ86)</f>
        <v>5.2232514447664085E-4</v>
      </c>
      <c r="BA84" s="768">
        <f t="shared" ca="1" si="124"/>
        <v>5.9741796007138788E-4</v>
      </c>
      <c r="BB84" s="768">
        <f t="shared" ca="1" si="124"/>
        <v>6.2340859014367676E-4</v>
      </c>
      <c r="BC84" s="768">
        <f t="shared" ca="1" si="124"/>
        <v>4.7594628892682402E-4</v>
      </c>
      <c r="BD84" s="768">
        <f t="shared" ca="1" si="124"/>
        <v>3.6099771702094755E-4</v>
      </c>
      <c r="BE84" s="768">
        <f t="shared" ca="1" si="124"/>
        <v>3.0031314038157027E-4</v>
      </c>
      <c r="BG84" s="769">
        <f t="shared" ref="BG84:BO84" ca="1" si="125">SUM(BG85:BG86)</f>
        <v>-6.8545461340764461E-4</v>
      </c>
      <c r="BH84" s="769">
        <f t="shared" ca="1" si="125"/>
        <v>-3.9202492431138084E-4</v>
      </c>
      <c r="BI84" s="769">
        <f t="shared" ca="1" si="125"/>
        <v>3.8304675565768677E-4</v>
      </c>
      <c r="BJ84" s="769">
        <f t="shared" ca="1" si="125"/>
        <v>9.8046471572907422E-4</v>
      </c>
      <c r="BK84" s="769">
        <f t="shared" ca="1" si="125"/>
        <v>1.603873305872751E-3</v>
      </c>
      <c r="BL84" s="769">
        <f t="shared" ca="1" si="125"/>
        <v>2.0798195947995752E-3</v>
      </c>
      <c r="BM84" s="769">
        <f t="shared" ca="1" si="125"/>
        <v>2.4408173118205226E-3</v>
      </c>
      <c r="BN84" s="769">
        <f t="shared" ca="1" si="125"/>
        <v>2.7411304522020927E-3</v>
      </c>
      <c r="BO84" s="769">
        <f t="shared" ca="1" si="125"/>
        <v>2.7411304522020927E-3</v>
      </c>
    </row>
    <row r="85" spans="1:67" x14ac:dyDescent="0.25">
      <c r="A85" s="756" t="s">
        <v>682</v>
      </c>
      <c r="B85" s="757" t="s">
        <v>672</v>
      </c>
      <c r="C85" s="757" t="s">
        <v>616</v>
      </c>
      <c r="D85" s="758">
        <v>3.3767870417767522E-5</v>
      </c>
      <c r="E85" s="758">
        <v>2.4905159703855541E-5</v>
      </c>
      <c r="F85" s="758">
        <v>2.4905159703855541E-5</v>
      </c>
      <c r="G85" s="758">
        <v>1.8008452851048647E-5</v>
      </c>
      <c r="H85" s="758">
        <v>1.7515830932991011E-5</v>
      </c>
      <c r="I85" s="758">
        <v>1.7749251056028457E-5</v>
      </c>
      <c r="J85" s="758">
        <v>1.7146364494447786E-5</v>
      </c>
      <c r="K85" s="758">
        <v>1.7146364494447786E-5</v>
      </c>
      <c r="L85" s="758">
        <v>0</v>
      </c>
      <c r="M85" s="758">
        <v>1.7146364494447786E-5</v>
      </c>
      <c r="N85" s="759">
        <v>1.7632929405267872E-5</v>
      </c>
      <c r="O85" s="759">
        <v>1.7146364494447786E-5</v>
      </c>
      <c r="P85" s="759">
        <v>1.7146364494447786E-5</v>
      </c>
      <c r="Q85" s="760">
        <v>1.7146364494447786E-5</v>
      </c>
      <c r="R85" s="759">
        <v>1.7613466808835068E-5</v>
      </c>
      <c r="S85" s="759">
        <v>2.0122518529559234E-5</v>
      </c>
      <c r="U85" t="s">
        <v>680</v>
      </c>
      <c r="V85" s="812" t="s">
        <v>663</v>
      </c>
      <c r="W85" s="609">
        <f t="shared" ref="W85:W86" ca="1" si="126">INDIRECT("'DevSumOut-"&amp;W$78&amp;"BSR'!$P$70")</f>
        <v>3.8113418574800706</v>
      </c>
      <c r="X85" s="648"/>
      <c r="Y85" s="768">
        <f ca="1">Y28/$W85</f>
        <v>3.5289573904086858E-5</v>
      </c>
      <c r="Z85" s="768">
        <f ca="1">Z28/$W85</f>
        <v>1.7607558981709203E-5</v>
      </c>
      <c r="AA85" s="768">
        <f t="shared" ca="1" si="114"/>
        <v>5.2897132885796061E-5</v>
      </c>
      <c r="AB85" s="768">
        <f t="shared" ref="AB85:AG85" ca="1" si="127">AB28/$W85</f>
        <v>6.6121416107245068E-6</v>
      </c>
      <c r="AC85" s="768">
        <f t="shared" ca="1" si="127"/>
        <v>4.4080944071496706E-6</v>
      </c>
      <c r="AD85" s="768">
        <f t="shared" ca="1" si="127"/>
        <v>0</v>
      </c>
      <c r="AE85" s="768">
        <f t="shared" ca="1" si="127"/>
        <v>0</v>
      </c>
      <c r="AF85" s="768">
        <f t="shared" ca="1" si="127"/>
        <v>0</v>
      </c>
      <c r="AG85" s="768">
        <f t="shared" ca="1" si="127"/>
        <v>0</v>
      </c>
      <c r="AI85" s="770">
        <f t="shared" ref="AI85:AQ85" ca="1" si="128">AI28/$W85</f>
        <v>3.5289573904086858E-5</v>
      </c>
      <c r="AJ85" s="770">
        <f t="shared" ca="1" si="128"/>
        <v>5.2897132885796054E-5</v>
      </c>
      <c r="AK85" s="770">
        <f t="shared" ca="1" si="128"/>
        <v>5.9509274496520561E-5</v>
      </c>
      <c r="AL85" s="770">
        <f t="shared" ca="1" si="128"/>
        <v>6.391736890367023E-5</v>
      </c>
      <c r="AM85" s="770">
        <f t="shared" ca="1" si="128"/>
        <v>6.391736890367023E-5</v>
      </c>
      <c r="AN85" s="770">
        <f t="shared" ca="1" si="128"/>
        <v>6.391736890367023E-5</v>
      </c>
      <c r="AO85" s="770">
        <f t="shared" ca="1" si="128"/>
        <v>6.391736890367023E-5</v>
      </c>
      <c r="AP85" s="770">
        <f t="shared" ca="1" si="128"/>
        <v>6.391736890367023E-5</v>
      </c>
      <c r="AQ85" s="770">
        <f t="shared" ca="1" si="128"/>
        <v>6.391736890367023E-5</v>
      </c>
      <c r="AS85" t="s">
        <v>680</v>
      </c>
      <c r="AT85" s="812" t="s">
        <v>663</v>
      </c>
      <c r="AU85" s="609">
        <f t="shared" ref="AU85:AU86" ca="1" si="129">INDIRECT("'DevSumOut-"&amp;AU$78&amp;"BSR'!$P$70")</f>
        <v>3.8113418574800706</v>
      </c>
      <c r="AV85" s="648"/>
      <c r="AW85" s="768">
        <f ca="1">AW28/$AU85</f>
        <v>3.5289573904086858E-5</v>
      </c>
      <c r="AX85" s="768">
        <f ca="1">AX28/$AU85</f>
        <v>1.7607558981709203E-5</v>
      </c>
      <c r="AY85" s="768">
        <f t="shared" ca="1" si="117"/>
        <v>5.2897132885796061E-5</v>
      </c>
      <c r="AZ85" s="768">
        <f t="shared" ref="AZ85:BE85" ca="1" si="130">AZ28/$AU85</f>
        <v>6.6121416107245068E-6</v>
      </c>
      <c r="BA85" s="768">
        <f t="shared" ca="1" si="130"/>
        <v>1.3224283221449014E-5</v>
      </c>
      <c r="BB85" s="768">
        <f t="shared" ca="1" si="130"/>
        <v>1.983642483217352E-5</v>
      </c>
      <c r="BC85" s="768">
        <f t="shared" ca="1" si="130"/>
        <v>3.0856660850047696E-5</v>
      </c>
      <c r="BD85" s="768">
        <f t="shared" ca="1" si="130"/>
        <v>3.8791230782917104E-5</v>
      </c>
      <c r="BE85" s="768">
        <f t="shared" ca="1" si="130"/>
        <v>4.4080944071496717E-5</v>
      </c>
      <c r="BG85" s="770">
        <f t="shared" ref="BG85:BO85" ca="1" si="131">BG28/$AU85</f>
        <v>3.5289573904086858E-5</v>
      </c>
      <c r="BH85" s="770">
        <f t="shared" ca="1" si="131"/>
        <v>5.2897132885796054E-5</v>
      </c>
      <c r="BI85" s="770">
        <f t="shared" ca="1" si="131"/>
        <v>5.9509274496520561E-5</v>
      </c>
      <c r="BJ85" s="770">
        <f t="shared" ca="1" si="131"/>
        <v>7.2733557717969568E-5</v>
      </c>
      <c r="BK85" s="770">
        <f t="shared" ca="1" si="131"/>
        <v>9.2569982550143095E-5</v>
      </c>
      <c r="BL85" s="770">
        <f t="shared" ca="1" si="131"/>
        <v>1.2342664340019078E-4</v>
      </c>
      <c r="BM85" s="770">
        <f t="shared" ca="1" si="131"/>
        <v>1.6221787418310788E-4</v>
      </c>
      <c r="BN85" s="770">
        <f t="shared" ca="1" si="131"/>
        <v>2.0629881825460461E-4</v>
      </c>
      <c r="BO85" s="770">
        <f t="shared" ca="1" si="131"/>
        <v>2.0629881825460461E-4</v>
      </c>
    </row>
    <row r="86" spans="1:67" x14ac:dyDescent="0.25">
      <c r="A86" s="761" t="s">
        <v>682</v>
      </c>
      <c r="B86" s="762" t="s">
        <v>675</v>
      </c>
      <c r="C86" s="762" t="s">
        <v>616</v>
      </c>
      <c r="D86" s="763"/>
      <c r="E86" s="763"/>
      <c r="F86" s="763"/>
      <c r="G86" s="763"/>
      <c r="H86" s="763"/>
      <c r="I86" s="763"/>
      <c r="J86" s="763"/>
      <c r="K86" s="763"/>
      <c r="L86" s="763"/>
      <c r="M86" s="763"/>
      <c r="N86" s="763"/>
      <c r="O86" s="763"/>
      <c r="P86" s="763"/>
      <c r="Q86" s="764"/>
      <c r="R86" s="763"/>
      <c r="S86" s="763"/>
      <c r="U86" t="s">
        <v>680</v>
      </c>
      <c r="V86" s="812" t="s">
        <v>678</v>
      </c>
      <c r="W86" s="609">
        <f t="shared" ca="1" si="126"/>
        <v>3.8113418574800706</v>
      </c>
      <c r="X86" s="768">
        <f ca="1">W36/$W86</f>
        <v>-6.6557397717331127E-4</v>
      </c>
      <c r="Y86" s="768">
        <f ca="1">Y36/$W86</f>
        <v>-7.207441873117315E-4</v>
      </c>
      <c r="Z86" s="768">
        <f ca="1">Z36/$W86</f>
        <v>2.7582213011455444E-4</v>
      </c>
      <c r="AA86" s="768">
        <f t="shared" ca="1" si="114"/>
        <v>-4.4492205719717706E-4</v>
      </c>
      <c r="AB86" s="768">
        <f t="shared" ref="AB86:AG86" ca="1" si="132">AB36/$W86</f>
        <v>5.1571300286591638E-4</v>
      </c>
      <c r="AC86" s="768">
        <f t="shared" ca="1" si="132"/>
        <v>5.3962978993686887E-4</v>
      </c>
      <c r="AD86" s="768">
        <f t="shared" ca="1" si="132"/>
        <v>4.8783547128519234E-4</v>
      </c>
      <c r="AE86" s="768">
        <f t="shared" ca="1" si="132"/>
        <v>2.5570326213630753E-4</v>
      </c>
      <c r="AF86" s="768">
        <f t="shared" ca="1" si="132"/>
        <v>8.7433891701424953E-5</v>
      </c>
      <c r="AG86" s="768">
        <f t="shared" ca="1" si="132"/>
        <v>0</v>
      </c>
      <c r="AI86" s="770">
        <f t="shared" ref="AI86:AQ86" ca="1" si="133">AI36/$W86</f>
        <v>-7.207441873117315E-4</v>
      </c>
      <c r="AJ86" s="770">
        <f t="shared" ca="1" si="133"/>
        <v>-4.4492205719717689E-4</v>
      </c>
      <c r="AK86" s="770">
        <f t="shared" ca="1" si="133"/>
        <v>3.2353748116116618E-4</v>
      </c>
      <c r="AL86" s="770">
        <f t="shared" ca="1" si="133"/>
        <v>8.6316727109803505E-4</v>
      </c>
      <c r="AM86" s="770">
        <f t="shared" ca="1" si="133"/>
        <v>1.3510027423832272E-3</v>
      </c>
      <c r="AN86" s="770">
        <f t="shared" ca="1" si="133"/>
        <v>1.6067060045195345E-3</v>
      </c>
      <c r="AO86" s="770">
        <f t="shared" ca="1" si="133"/>
        <v>1.6941398962209591E-3</v>
      </c>
      <c r="AP86" s="770">
        <f t="shared" ca="1" si="133"/>
        <v>1.6941398962209591E-3</v>
      </c>
      <c r="AQ86" s="770">
        <f t="shared" ca="1" si="133"/>
        <v>1.6941398962209591E-3</v>
      </c>
      <c r="AS86" t="s">
        <v>680</v>
      </c>
      <c r="AT86" s="812" t="s">
        <v>678</v>
      </c>
      <c r="AU86" s="609">
        <f t="shared" ca="1" si="129"/>
        <v>3.8113418574800706</v>
      </c>
      <c r="AV86" s="768">
        <f ca="1">AU36/$AU86</f>
        <v>-6.6557397717331127E-4</v>
      </c>
      <c r="AW86" s="768">
        <f ca="1">AW36/$AU86</f>
        <v>-7.207441873117315E-4</v>
      </c>
      <c r="AX86" s="768">
        <f ca="1">AX36/$AU86</f>
        <v>2.7582213011455444E-4</v>
      </c>
      <c r="AY86" s="768">
        <f t="shared" ca="1" si="117"/>
        <v>-4.4492205719717706E-4</v>
      </c>
      <c r="AZ86" s="768">
        <f t="shared" ref="AZ86:BE86" ca="1" si="134">AZ36/$AU86</f>
        <v>5.1571300286591638E-4</v>
      </c>
      <c r="BA86" s="768">
        <f t="shared" ca="1" si="134"/>
        <v>5.8419367684993883E-4</v>
      </c>
      <c r="BB86" s="768">
        <f t="shared" ca="1" si="134"/>
        <v>6.0357216531150323E-4</v>
      </c>
      <c r="BC86" s="768">
        <f t="shared" ca="1" si="134"/>
        <v>4.4508962807677632E-4</v>
      </c>
      <c r="BD86" s="768">
        <f t="shared" ca="1" si="134"/>
        <v>3.2220648623803043E-4</v>
      </c>
      <c r="BE86" s="768">
        <f t="shared" ca="1" si="134"/>
        <v>2.5623219631007357E-4</v>
      </c>
      <c r="BG86" s="770">
        <f t="shared" ref="BG86:BO86" ca="1" si="135">BG36/$AU86</f>
        <v>-7.207441873117315E-4</v>
      </c>
      <c r="BH86" s="770">
        <f t="shared" ca="1" si="135"/>
        <v>-4.4492205719717689E-4</v>
      </c>
      <c r="BI86" s="770">
        <f t="shared" ca="1" si="135"/>
        <v>3.2353748116116618E-4</v>
      </c>
      <c r="BJ86" s="770">
        <f t="shared" ca="1" si="135"/>
        <v>9.0773115801110469E-4</v>
      </c>
      <c r="BK86" s="770">
        <f t="shared" ca="1" si="135"/>
        <v>1.5113033233226079E-3</v>
      </c>
      <c r="BL86" s="770">
        <f t="shared" ca="1" si="135"/>
        <v>1.9563929513993846E-3</v>
      </c>
      <c r="BM86" s="770">
        <f t="shared" ca="1" si="135"/>
        <v>2.2785994376374147E-3</v>
      </c>
      <c r="BN86" s="770">
        <f t="shared" ca="1" si="135"/>
        <v>2.5348316339474882E-3</v>
      </c>
      <c r="BO86" s="770">
        <f t="shared" ca="1" si="135"/>
        <v>2.5348316339474882E-3</v>
      </c>
    </row>
    <row r="87" spans="1:67" x14ac:dyDescent="0.25">
      <c r="A87" s="756" t="s">
        <v>687</v>
      </c>
      <c r="B87" s="757" t="s">
        <v>616</v>
      </c>
      <c r="C87" s="757" t="s">
        <v>616</v>
      </c>
      <c r="D87" s="758">
        <v>-1.3809829393092591E-5</v>
      </c>
      <c r="E87" s="758">
        <v>-3.3646775583037222E-5</v>
      </c>
      <c r="F87" s="758">
        <v>-2.7317007136529208E-5</v>
      </c>
      <c r="G87" s="758">
        <v>-5.4865143697073621E-6</v>
      </c>
      <c r="H87" s="758">
        <v>-9.9015354345424047E-7</v>
      </c>
      <c r="I87" s="758">
        <v>-4.0985158412898394E-6</v>
      </c>
      <c r="J87" s="758">
        <v>-7.0590521057917083E-6</v>
      </c>
      <c r="K87" s="758">
        <v>-6.1690739001608451E-7</v>
      </c>
      <c r="L87" s="758">
        <v>-6.5848054380606598E-8</v>
      </c>
      <c r="M87" s="758">
        <v>6.3906334644568723E-6</v>
      </c>
      <c r="N87" s="759">
        <v>-3.4461733385982121E-6</v>
      </c>
      <c r="O87" s="759">
        <v>-2.0302142398266418E-7</v>
      </c>
      <c r="P87" s="759">
        <v>6.3906334644568723E-6</v>
      </c>
      <c r="Q87" s="760">
        <v>2.6296598207978639E-6</v>
      </c>
      <c r="R87" s="759">
        <v>-2.3028758603510101E-6</v>
      </c>
      <c r="S87" s="759">
        <v>-6.5895328256152264E-6</v>
      </c>
    </row>
    <row r="88" spans="1:67" x14ac:dyDescent="0.25">
      <c r="A88" s="756" t="s">
        <v>687</v>
      </c>
      <c r="B88" s="757" t="s">
        <v>663</v>
      </c>
      <c r="C88" s="757" t="s">
        <v>616</v>
      </c>
      <c r="D88" s="758">
        <v>-2.5593015665289223E-6</v>
      </c>
      <c r="E88" s="758">
        <v>-9.5078607272725883E-6</v>
      </c>
      <c r="F88" s="758">
        <v>-5.4327710152788817E-6</v>
      </c>
      <c r="G88" s="758">
        <v>-3.1063603941398775E-6</v>
      </c>
      <c r="H88" s="758">
        <v>-2.2485011579598421E-6</v>
      </c>
      <c r="I88" s="758">
        <v>-1.6247251628949162E-6</v>
      </c>
      <c r="J88" s="758">
        <v>-1.2265464316737675E-6</v>
      </c>
      <c r="K88" s="758">
        <v>1.8443721332897936E-6</v>
      </c>
      <c r="L88" s="758">
        <v>4.797513783170337E-7</v>
      </c>
      <c r="M88" s="758">
        <v>4.1942766596898405E-6</v>
      </c>
      <c r="N88" s="759">
        <v>-2.1664188300163977E-6</v>
      </c>
      <c r="O88" s="759">
        <v>1.2932752899354098E-6</v>
      </c>
      <c r="P88" s="759">
        <v>4.1942766596898405E-6</v>
      </c>
      <c r="Q88" s="760">
        <v>1.6800754725693338E-6</v>
      </c>
      <c r="R88" s="759">
        <v>-1.8304634719631872E-6</v>
      </c>
      <c r="S88" s="759">
        <v>-3.363033893227169E-6</v>
      </c>
    </row>
    <row r="89" spans="1:67" x14ac:dyDescent="0.25">
      <c r="A89" s="756" t="s">
        <v>687</v>
      </c>
      <c r="B89" s="757" t="s">
        <v>664</v>
      </c>
      <c r="C89" s="757" t="s">
        <v>616</v>
      </c>
      <c r="D89" s="758">
        <v>0</v>
      </c>
      <c r="E89" s="758">
        <v>0</v>
      </c>
      <c r="F89" s="758">
        <v>0</v>
      </c>
      <c r="G89" s="758">
        <v>4.0298809167172802E-6</v>
      </c>
      <c r="H89" s="758">
        <v>6.4989541550143176E-7</v>
      </c>
      <c r="I89" s="758">
        <v>-8.5385923779165088E-6</v>
      </c>
      <c r="J89" s="758">
        <v>5.1068938239832631E-7</v>
      </c>
      <c r="K89" s="758">
        <v>6.8047931694502494E-7</v>
      </c>
      <c r="L89" s="758">
        <v>2.0387987933186144E-6</v>
      </c>
      <c r="M89" s="758">
        <v>2.0387987933186144E-6</v>
      </c>
      <c r="N89" s="759">
        <v>-4.6040819165220295E-6</v>
      </c>
      <c r="O89" s="759">
        <v>1.2238071074944607E-6</v>
      </c>
      <c r="P89" s="759">
        <v>2.0387987933186144E-6</v>
      </c>
      <c r="Q89" s="760">
        <v>1.3596390551318197E-6</v>
      </c>
      <c r="R89" s="759">
        <v>-4.4691770780031294E-6</v>
      </c>
      <c r="S89" s="759">
        <v>-4.4391864057850567E-6</v>
      </c>
    </row>
    <row r="90" spans="1:67" x14ac:dyDescent="0.25">
      <c r="A90" s="756" t="s">
        <v>687</v>
      </c>
      <c r="B90" s="757" t="s">
        <v>665</v>
      </c>
      <c r="C90" s="757" t="s">
        <v>616</v>
      </c>
      <c r="D90" s="758">
        <v>0</v>
      </c>
      <c r="E90" s="758">
        <v>0</v>
      </c>
      <c r="F90" s="758">
        <v>0</v>
      </c>
      <c r="G90" s="758">
        <v>0</v>
      </c>
      <c r="H90" s="758">
        <v>0</v>
      </c>
      <c r="I90" s="758">
        <v>1.7173408163045558E-5</v>
      </c>
      <c r="J90" s="758">
        <v>0</v>
      </c>
      <c r="K90" s="758">
        <v>5.9881532151898283E-5</v>
      </c>
      <c r="L90" s="758">
        <v>8.7001376541404257E-6</v>
      </c>
      <c r="M90" s="758">
        <v>1.038372506449494E-5</v>
      </c>
      <c r="N90" s="759">
        <v>1.7173408163045558E-5</v>
      </c>
      <c r="O90" s="759">
        <v>2.3323393224928385E-5</v>
      </c>
      <c r="P90" s="759">
        <v>1.038372506449494E-5</v>
      </c>
      <c r="Q90" s="754">
        <v>1.5415818237996836E-5</v>
      </c>
      <c r="R90" s="759">
        <v>2.255464509219303E-5</v>
      </c>
      <c r="S90" s="759">
        <v>1.5508322970894137E-5</v>
      </c>
    </row>
    <row r="91" spans="1:67" x14ac:dyDescent="0.25">
      <c r="A91" s="756" t="s">
        <v>687</v>
      </c>
      <c r="B91" s="757" t="s">
        <v>667</v>
      </c>
      <c r="C91" s="757" t="s">
        <v>616</v>
      </c>
      <c r="D91" s="758">
        <v>0</v>
      </c>
      <c r="E91" s="758">
        <v>0</v>
      </c>
      <c r="F91" s="758">
        <v>0</v>
      </c>
      <c r="G91" s="758">
        <v>0</v>
      </c>
      <c r="H91" s="758">
        <v>4.7053907249369182E-5</v>
      </c>
      <c r="I91" s="758">
        <v>1.3467399772149629E-5</v>
      </c>
      <c r="J91" s="758">
        <v>1.8449355184920364E-5</v>
      </c>
      <c r="K91" s="758">
        <v>1.5777825798090426E-5</v>
      </c>
      <c r="L91" s="758">
        <v>1.2070153566521093E-5</v>
      </c>
      <c r="M91" s="758">
        <v>1.0984586923347412E-5</v>
      </c>
      <c r="N91" s="759">
        <v>2.3317096970179313E-5</v>
      </c>
      <c r="O91" s="759">
        <v>1.2673728115846333E-5</v>
      </c>
      <c r="P91" s="759">
        <v>1.0984586923347412E-5</v>
      </c>
      <c r="Q91" s="754">
        <v>1.1769809315536099E-5</v>
      </c>
      <c r="R91" s="759">
        <v>1.4995917684064438E-5</v>
      </c>
      <c r="S91" s="759">
        <v>1.3095813639514268E-5</v>
      </c>
    </row>
    <row r="92" spans="1:67" x14ac:dyDescent="0.25">
      <c r="A92" s="756" t="s">
        <v>687</v>
      </c>
      <c r="B92" s="757" t="s">
        <v>669</v>
      </c>
      <c r="C92" s="757" t="s">
        <v>616</v>
      </c>
      <c r="D92" s="758">
        <v>6.3669400963177099E-6</v>
      </c>
      <c r="E92" s="758">
        <v>0</v>
      </c>
      <c r="F92" s="758">
        <v>6.3669400963177099E-6</v>
      </c>
      <c r="G92" s="758">
        <v>2.4304532617460484E-5</v>
      </c>
      <c r="H92" s="758">
        <v>2.6012767354102282E-5</v>
      </c>
      <c r="I92" s="758">
        <v>9.7187106519779898E-6</v>
      </c>
      <c r="J92" s="758">
        <v>2.1879215431564503E-5</v>
      </c>
      <c r="K92" s="758">
        <v>1.7129495609003376E-5</v>
      </c>
      <c r="L92" s="758">
        <v>1.5549914705117629E-5</v>
      </c>
      <c r="M92" s="758">
        <v>1.1264359208494161E-5</v>
      </c>
      <c r="N92" s="759">
        <v>2.0408288460587246E-5</v>
      </c>
      <c r="O92" s="759">
        <v>1.5878994060093825E-5</v>
      </c>
      <c r="P92" s="759">
        <v>1.1264359208494161E-5</v>
      </c>
      <c r="Q92" s="754">
        <v>1.3524588523563385E-5</v>
      </c>
      <c r="R92" s="759">
        <v>1.8855387523275217E-5</v>
      </c>
      <c r="S92" s="759">
        <v>1.6433877446736261E-5</v>
      </c>
    </row>
    <row r="93" spans="1:67" x14ac:dyDescent="0.25">
      <c r="A93" s="756" t="s">
        <v>687</v>
      </c>
      <c r="B93" s="757" t="s">
        <v>666</v>
      </c>
      <c r="C93" s="757" t="s">
        <v>616</v>
      </c>
      <c r="D93" s="758">
        <v>6.3669400963177099E-6</v>
      </c>
      <c r="E93" s="758">
        <v>0</v>
      </c>
      <c r="F93" s="758">
        <v>6.3669400963177099E-6</v>
      </c>
      <c r="G93" s="758">
        <v>2.4304532617460484E-5</v>
      </c>
      <c r="H93" s="758">
        <v>3.1751260052811433E-5</v>
      </c>
      <c r="I93" s="758">
        <v>1.1964509665738916E-5</v>
      </c>
      <c r="J93" s="758">
        <v>2.0678764345239053E-5</v>
      </c>
      <c r="K93" s="758">
        <v>2.3741876861994607E-5</v>
      </c>
      <c r="L93" s="758">
        <v>1.2391097155724337E-5</v>
      </c>
      <c r="M93" s="758">
        <v>1.0941952308511209E-5</v>
      </c>
      <c r="N93" s="759">
        <v>2.128803351107511E-5</v>
      </c>
      <c r="O93" s="759">
        <v>1.4496483714145436E-5</v>
      </c>
      <c r="P93" s="759">
        <v>1.0941952308511209E-5</v>
      </c>
      <c r="Q93" s="760">
        <v>1.2574403768876558E-5</v>
      </c>
      <c r="R93" s="759">
        <v>1.6991338741588989E-5</v>
      </c>
      <c r="S93" s="759">
        <v>1.4315882054275574E-5</v>
      </c>
    </row>
    <row r="94" spans="1:67" x14ac:dyDescent="0.25">
      <c r="A94" s="756" t="s">
        <v>687</v>
      </c>
      <c r="B94" s="757" t="s">
        <v>670</v>
      </c>
      <c r="C94" s="757" t="s">
        <v>616</v>
      </c>
      <c r="D94" s="758">
        <v>-6.7903042735656773E-5</v>
      </c>
      <c r="E94" s="758">
        <v>-6.8678501679690461E-5</v>
      </c>
      <c r="F94" s="758">
        <v>-5.1017143320519253E-5</v>
      </c>
      <c r="G94" s="758">
        <v>-4.3672596401048682E-5</v>
      </c>
      <c r="H94" s="758">
        <v>-8.0014264807952174E-5</v>
      </c>
      <c r="I94" s="758">
        <v>-6.1940674048396491E-5</v>
      </c>
      <c r="J94" s="758">
        <v>-6.5768513982720545E-5</v>
      </c>
      <c r="K94" s="758">
        <v>-4.8591458424857492E-5</v>
      </c>
      <c r="L94" s="758">
        <v>-5.8487481512985081E-5</v>
      </c>
      <c r="M94" s="758">
        <v>-4.9921078845571536E-5</v>
      </c>
      <c r="N94" s="759">
        <v>-6.1117805753377138E-5</v>
      </c>
      <c r="O94" s="759">
        <v>-5.4475580261041462E-5</v>
      </c>
      <c r="P94" s="759">
        <v>-4.9921078845571536E-5</v>
      </c>
      <c r="Q94" s="760">
        <v>-5.3431840353329597E-5</v>
      </c>
      <c r="R94" s="759">
        <v>-5.8156813666432324E-5</v>
      </c>
      <c r="S94" s="759">
        <v>-5.6398434555574953E-5</v>
      </c>
    </row>
    <row r="95" spans="1:67" x14ac:dyDescent="0.25">
      <c r="A95" s="756" t="s">
        <v>687</v>
      </c>
      <c r="B95" s="757" t="s">
        <v>672</v>
      </c>
      <c r="C95" s="757" t="s">
        <v>616</v>
      </c>
      <c r="D95" s="758">
        <v>-2.392898943418151E-4</v>
      </c>
      <c r="E95" s="758">
        <v>-3.2512872143085917E-4</v>
      </c>
      <c r="F95" s="758">
        <v>-3.2512872143085927E-4</v>
      </c>
      <c r="G95" s="758">
        <v>-3.5396114656542193E-5</v>
      </c>
      <c r="H95" s="758">
        <v>8.2046119024741658E-7</v>
      </c>
      <c r="I95" s="758">
        <v>8.1884759664683763E-7</v>
      </c>
      <c r="J95" s="758">
        <v>8.2046119024741648E-7</v>
      </c>
      <c r="K95" s="758">
        <v>8.2046119024741658E-7</v>
      </c>
      <c r="L95" s="758">
        <v>0</v>
      </c>
      <c r="M95" s="758">
        <v>8.2046119024741658E-7</v>
      </c>
      <c r="N95" s="759">
        <v>-5.9705837959591249E-6</v>
      </c>
      <c r="O95" s="759">
        <v>8.2046119024741658E-7</v>
      </c>
      <c r="P95" s="759">
        <v>8.2046119024741658E-7</v>
      </c>
      <c r="Q95" s="760">
        <v>8.2046119024741658E-7</v>
      </c>
      <c r="R95" s="759">
        <v>-5.6989419965108643E-6</v>
      </c>
      <c r="S95" s="759">
        <v>-1.0955928746470697E-4</v>
      </c>
    </row>
    <row r="96" spans="1:67" x14ac:dyDescent="0.25">
      <c r="A96" s="761" t="s">
        <v>687</v>
      </c>
      <c r="B96" s="762" t="s">
        <v>675</v>
      </c>
      <c r="C96" s="762" t="s">
        <v>616</v>
      </c>
      <c r="D96" s="763"/>
      <c r="E96" s="763"/>
      <c r="F96" s="763"/>
      <c r="G96" s="763"/>
      <c r="H96" s="763"/>
      <c r="I96" s="763"/>
      <c r="J96" s="763"/>
      <c r="K96" s="763"/>
      <c r="L96" s="763"/>
      <c r="M96" s="763"/>
      <c r="N96" s="763"/>
      <c r="O96" s="763"/>
      <c r="P96" s="763"/>
      <c r="Q96" s="764"/>
      <c r="R96" s="763"/>
      <c r="S96" s="763"/>
    </row>
    <row r="97" spans="1:19" hidden="1" x14ac:dyDescent="0.25">
      <c r="A97" s="756" t="s">
        <v>682</v>
      </c>
      <c r="B97" s="757" t="s">
        <v>616</v>
      </c>
      <c r="C97" s="757">
        <v>99705</v>
      </c>
      <c r="D97" s="758">
        <v>7.5603137220873866E-5</v>
      </c>
      <c r="E97" s="758">
        <v>7.3639930199722551E-5</v>
      </c>
      <c r="F97" s="758">
        <v>5.4809707159342737E-5</v>
      </c>
      <c r="G97" s="758">
        <v>5.5212228244498841E-5</v>
      </c>
      <c r="H97" s="758">
        <v>6.3306972480475955E-5</v>
      </c>
      <c r="I97" s="758">
        <v>7.3161035598779119E-5</v>
      </c>
      <c r="J97" s="758">
        <v>8.9870570257592536E-5</v>
      </c>
      <c r="K97" s="758">
        <v>1.1245814717126371E-4</v>
      </c>
      <c r="L97" s="758">
        <v>1.5991521404091016E-4</v>
      </c>
      <c r="M97" s="758">
        <v>9.8138179760753539E-5</v>
      </c>
      <c r="N97" s="759">
        <v>6.7815981158652236E-5</v>
      </c>
      <c r="O97" s="759">
        <v>1.1934549676550288E-4</v>
      </c>
      <c r="P97" s="759">
        <v>9.8138179760753539E-5</v>
      </c>
      <c r="Q97" s="759">
        <v>9.6596902426883852E-5</v>
      </c>
      <c r="R97" s="759">
        <v>7.1100874894264234E-5</v>
      </c>
      <c r="S97" s="759">
        <v>6.1252374554593018E-5</v>
      </c>
    </row>
    <row r="98" spans="1:19" hidden="1" x14ac:dyDescent="0.25">
      <c r="A98" s="756" t="s">
        <v>682</v>
      </c>
      <c r="B98" s="757" t="s">
        <v>663</v>
      </c>
      <c r="C98" s="757">
        <v>99705</v>
      </c>
      <c r="D98" s="758">
        <v>5.908546447241407E-5</v>
      </c>
      <c r="E98" s="758">
        <v>5.3399465982721595E-5</v>
      </c>
      <c r="F98" s="758">
        <v>2.8109649477904751E-5</v>
      </c>
      <c r="G98" s="758">
        <v>5.7117349304705747E-5</v>
      </c>
      <c r="H98" s="758">
        <v>6.5815984198485479E-5</v>
      </c>
      <c r="I98" s="758">
        <v>8.9062919494886097E-5</v>
      </c>
      <c r="J98" s="758">
        <v>1.022526667876045E-4</v>
      </c>
      <c r="K98" s="758">
        <v>8.2350709317594823E-5</v>
      </c>
      <c r="L98" s="758">
        <v>2.0406286941293989E-4</v>
      </c>
      <c r="M98" s="758">
        <v>7.5676185595677578E-5</v>
      </c>
      <c r="N98" s="759">
        <v>7.381826271690974E-5</v>
      </c>
      <c r="O98" s="759">
        <v>1.3150369704840727E-4</v>
      </c>
      <c r="P98" s="759">
        <v>7.5676185595677578E-5</v>
      </c>
      <c r="Q98" s="759">
        <v>1.2406002885470996E-4</v>
      </c>
      <c r="R98" s="759">
        <v>7.9419836172069173E-5</v>
      </c>
      <c r="S98" s="759">
        <v>6.3002122544500159E-5</v>
      </c>
    </row>
    <row r="99" spans="1:19" hidden="1" x14ac:dyDescent="0.25">
      <c r="A99" s="756" t="s">
        <v>682</v>
      </c>
      <c r="B99" s="757" t="s">
        <v>664</v>
      </c>
      <c r="C99" s="757">
        <v>99705</v>
      </c>
      <c r="D99" s="758">
        <v>0</v>
      </c>
      <c r="E99" s="758">
        <v>0</v>
      </c>
      <c r="F99" s="758">
        <v>0</v>
      </c>
      <c r="G99" s="758">
        <v>3.9116130827807636E-5</v>
      </c>
      <c r="H99" s="758">
        <v>5.1141671091746427E-5</v>
      </c>
      <c r="I99" s="758">
        <v>3.5000983642972626E-5</v>
      </c>
      <c r="J99" s="758">
        <v>3.9089896249943318E-5</v>
      </c>
      <c r="K99" s="758">
        <v>7.052038010033243E-5</v>
      </c>
      <c r="L99" s="758">
        <v>9.6212986424370727E-5</v>
      </c>
      <c r="M99" s="758">
        <v>1.0779001081207954E-4</v>
      </c>
      <c r="N99" s="759">
        <v>4.1124229250321859E-5</v>
      </c>
      <c r="O99" s="759">
        <v>8.0797422629947754E-5</v>
      </c>
      <c r="P99" s="759">
        <v>1.0779001081207954E-4</v>
      </c>
      <c r="Q99" s="759">
        <v>8.529618732696971E-5</v>
      </c>
      <c r="R99" s="759">
        <v>4.204259020818357E-5</v>
      </c>
      <c r="S99" s="759">
        <v>4.2345573713270652E-5</v>
      </c>
    </row>
    <row r="100" spans="1:19" hidden="1" x14ac:dyDescent="0.25">
      <c r="A100" s="756" t="s">
        <v>682</v>
      </c>
      <c r="B100" s="757" t="s">
        <v>665</v>
      </c>
      <c r="C100" s="757">
        <v>99705</v>
      </c>
      <c r="D100" s="758">
        <v>0</v>
      </c>
      <c r="E100" s="758">
        <v>0</v>
      </c>
      <c r="F100" s="758">
        <v>0</v>
      </c>
      <c r="G100" s="758">
        <v>0</v>
      </c>
      <c r="H100" s="758">
        <v>0</v>
      </c>
      <c r="I100" s="758">
        <v>1.2452579851927767E-4</v>
      </c>
      <c r="J100" s="758">
        <v>0</v>
      </c>
      <c r="K100" s="758">
        <v>0</v>
      </c>
      <c r="L100" s="758">
        <v>1.5837364542587983E-4</v>
      </c>
      <c r="M100" s="758">
        <v>2.4690069803831935E-4</v>
      </c>
      <c r="N100" s="759">
        <v>1.2452579851927767E-4</v>
      </c>
      <c r="O100" s="759">
        <v>1.1312403244705701E-4</v>
      </c>
      <c r="P100" s="759">
        <v>2.4690069803831935E-4</v>
      </c>
      <c r="Q100" s="759">
        <v>1.9487643919727292E-4</v>
      </c>
      <c r="R100" s="759">
        <v>1.145492532060846E-4</v>
      </c>
      <c r="S100" s="759">
        <v>1.9117377389843104E-4</v>
      </c>
    </row>
    <row r="101" spans="1:19" hidden="1" x14ac:dyDescent="0.25">
      <c r="A101" s="756" t="s">
        <v>682</v>
      </c>
      <c r="B101" s="757" t="s">
        <v>667</v>
      </c>
      <c r="C101" s="757">
        <v>99705</v>
      </c>
      <c r="D101" s="758">
        <v>0</v>
      </c>
      <c r="E101" s="758">
        <v>0</v>
      </c>
      <c r="F101" s="758">
        <v>0</v>
      </c>
      <c r="G101" s="758">
        <v>0</v>
      </c>
      <c r="H101" s="758">
        <v>9.7786613673778991E-5</v>
      </c>
      <c r="I101" s="758">
        <v>4.6284702722599701E-5</v>
      </c>
      <c r="J101" s="758">
        <v>4.8239056370128133E-5</v>
      </c>
      <c r="K101" s="758">
        <v>2.5156781996810043E-4</v>
      </c>
      <c r="L101" s="758">
        <v>1.3684259847116778E-4</v>
      </c>
      <c r="M101" s="758">
        <v>8.7562134496240601E-5</v>
      </c>
      <c r="N101" s="759">
        <v>5.9730200274256982E-5</v>
      </c>
      <c r="O101" s="759">
        <v>1.5551879731950566E-4</v>
      </c>
      <c r="P101" s="759">
        <v>8.7562134496240601E-5</v>
      </c>
      <c r="Q101" s="759">
        <v>1.1915279937624489E-4</v>
      </c>
      <c r="R101" s="759">
        <v>1.3461946705508777E-4</v>
      </c>
      <c r="S101" s="759">
        <v>1.1232915163247595E-4</v>
      </c>
    </row>
    <row r="102" spans="1:19" hidden="1" x14ac:dyDescent="0.25">
      <c r="A102" s="756" t="s">
        <v>682</v>
      </c>
      <c r="B102" s="757" t="s">
        <v>669</v>
      </c>
      <c r="C102" s="757">
        <v>99705</v>
      </c>
      <c r="D102" s="758">
        <v>1.2360696261619943E-4</v>
      </c>
      <c r="E102" s="758">
        <v>0</v>
      </c>
      <c r="F102" s="758">
        <v>1.2360696261619943E-4</v>
      </c>
      <c r="G102" s="758">
        <v>6.7168206474303751E-5</v>
      </c>
      <c r="H102" s="758">
        <v>1.4173799590510438E-4</v>
      </c>
      <c r="I102" s="758">
        <v>1.1039139444175951E-4</v>
      </c>
      <c r="J102" s="758">
        <v>1.0333570226815961E-4</v>
      </c>
      <c r="K102" s="758">
        <v>2.8487259909705531E-4</v>
      </c>
      <c r="L102" s="758">
        <v>2.2826351904413998E-4</v>
      </c>
      <c r="M102" s="758">
        <v>6.857907259477433E-5</v>
      </c>
      <c r="N102" s="759">
        <v>1.1460238760087777E-4</v>
      </c>
      <c r="O102" s="759">
        <v>2.4005707738849734E-4</v>
      </c>
      <c r="P102" s="759">
        <v>6.857907259477433E-5</v>
      </c>
      <c r="Q102" s="759">
        <v>1.5256829943251622E-4</v>
      </c>
      <c r="R102" s="759">
        <v>1.5761542409949017E-4</v>
      </c>
      <c r="S102" s="759">
        <v>1.3375741769998455E-4</v>
      </c>
    </row>
    <row r="103" spans="1:19" hidden="1" x14ac:dyDescent="0.25">
      <c r="A103" s="756" t="s">
        <v>682</v>
      </c>
      <c r="B103" s="757" t="s">
        <v>666</v>
      </c>
      <c r="C103" s="757">
        <v>99705</v>
      </c>
      <c r="D103" s="758">
        <v>1.2360696261619943E-4</v>
      </c>
      <c r="E103" s="758">
        <v>0</v>
      </c>
      <c r="F103" s="758">
        <v>1.2360696261619943E-4</v>
      </c>
      <c r="G103" s="758">
        <v>6.7168206474303751E-5</v>
      </c>
      <c r="H103" s="758">
        <v>1.297512552965611E-4</v>
      </c>
      <c r="I103" s="758">
        <v>8.3315202411530649E-5</v>
      </c>
      <c r="J103" s="758">
        <v>8.4051876203848597E-5</v>
      </c>
      <c r="K103" s="758">
        <v>2.1505706413211663E-4</v>
      </c>
      <c r="L103" s="758">
        <v>1.5617238025763898E-4</v>
      </c>
      <c r="M103" s="758">
        <v>1.0832153073178221E-4</v>
      </c>
      <c r="N103" s="759">
        <v>9.6587308795293076E-5</v>
      </c>
      <c r="O103" s="759">
        <v>1.6709453936338887E-4</v>
      </c>
      <c r="P103" s="759">
        <v>1.0832153073178221E-4</v>
      </c>
      <c r="Q103" s="759">
        <v>1.3531357914037194E-4</v>
      </c>
      <c r="R103" s="759">
        <v>1.4119392405265982E-4</v>
      </c>
      <c r="S103" s="759">
        <v>1.2711959668100094E-4</v>
      </c>
    </row>
    <row r="104" spans="1:19" hidden="1" x14ac:dyDescent="0.25">
      <c r="A104" s="756" t="s">
        <v>682</v>
      </c>
      <c r="B104" s="757" t="s">
        <v>670</v>
      </c>
      <c r="C104" s="757">
        <v>99705</v>
      </c>
      <c r="D104" s="758">
        <v>1.6711135439330797E-4</v>
      </c>
      <c r="E104" s="758">
        <v>1.2870081066699689E-4</v>
      </c>
      <c r="F104" s="758">
        <v>1.2450380183526278E-4</v>
      </c>
      <c r="G104" s="758">
        <v>6.1143253701378462E-5</v>
      </c>
      <c r="H104" s="758">
        <v>0</v>
      </c>
      <c r="I104" s="758">
        <v>1.3720081841851566E-4</v>
      </c>
      <c r="J104" s="758">
        <v>8.8641103629100114E-5</v>
      </c>
      <c r="K104" s="758">
        <v>1.0067967539754899E-4</v>
      </c>
      <c r="L104" s="758">
        <v>9.8607447755375162E-5</v>
      </c>
      <c r="M104" s="758">
        <v>3.6935446317043478E-6</v>
      </c>
      <c r="N104" s="759">
        <v>8.4042733962429075E-5</v>
      </c>
      <c r="O104" s="759">
        <v>9.9447540042742931E-5</v>
      </c>
      <c r="P104" s="759">
        <v>3.6935446317043478E-6</v>
      </c>
      <c r="Q104" s="759">
        <v>7.7503916094379927E-5</v>
      </c>
      <c r="R104" s="759">
        <v>9.0909936672930428E-5</v>
      </c>
      <c r="S104" s="759">
        <v>1.1583719800678344E-4</v>
      </c>
    </row>
    <row r="105" spans="1:19" hidden="1" x14ac:dyDescent="0.25">
      <c r="A105" s="756" t="s">
        <v>682</v>
      </c>
      <c r="B105" s="757" t="s">
        <v>672</v>
      </c>
      <c r="C105" s="757">
        <v>99705</v>
      </c>
      <c r="D105" s="758">
        <v>3.3767870417767522E-5</v>
      </c>
      <c r="E105" s="758">
        <v>1.4943095822313323E-5</v>
      </c>
      <c r="F105" s="758">
        <v>5.2431915166011666E-6</v>
      </c>
      <c r="G105" s="758">
        <v>3.8103032209883968E-6</v>
      </c>
      <c r="H105" s="758">
        <v>6.9014148173804783E-6</v>
      </c>
      <c r="I105" s="758">
        <v>5.2758044598300878E-6</v>
      </c>
      <c r="J105" s="758">
        <v>3.4292728988895571E-6</v>
      </c>
      <c r="K105" s="758">
        <v>1.7146364494447786E-5</v>
      </c>
      <c r="L105" s="758">
        <v>0</v>
      </c>
      <c r="M105" s="758">
        <v>0</v>
      </c>
      <c r="N105" s="759">
        <v>5.5198804713775949E-6</v>
      </c>
      <c r="O105" s="759">
        <v>1.7146364494447786E-5</v>
      </c>
      <c r="P105" s="759">
        <v>0</v>
      </c>
      <c r="Q105" s="759">
        <v>1.143090966296519E-5</v>
      </c>
      <c r="R105" s="759">
        <v>5.9849398323004025E-6</v>
      </c>
      <c r="S105" s="759">
        <v>6.6756707889444271E-6</v>
      </c>
    </row>
    <row r="106" spans="1:19" hidden="1" x14ac:dyDescent="0.25">
      <c r="A106" s="761" t="s">
        <v>682</v>
      </c>
      <c r="B106" s="762" t="s">
        <v>675</v>
      </c>
      <c r="C106" s="762">
        <v>99705</v>
      </c>
      <c r="D106" s="763"/>
      <c r="E106" s="763"/>
      <c r="F106" s="763"/>
      <c r="G106" s="763"/>
      <c r="H106" s="763"/>
      <c r="I106" s="763"/>
      <c r="J106" s="763"/>
      <c r="K106" s="763"/>
      <c r="L106" s="763"/>
      <c r="M106" s="763"/>
      <c r="N106" s="763"/>
      <c r="O106" s="763"/>
      <c r="P106" s="763"/>
      <c r="Q106" s="763"/>
      <c r="R106" s="763"/>
      <c r="S106" s="763"/>
    </row>
    <row r="107" spans="1:19" hidden="1" x14ac:dyDescent="0.25">
      <c r="A107" s="756" t="s">
        <v>687</v>
      </c>
      <c r="B107" s="757" t="s">
        <v>616</v>
      </c>
      <c r="C107" s="757">
        <v>99705</v>
      </c>
      <c r="D107" s="758">
        <v>-1.11797384163127E-5</v>
      </c>
      <c r="E107" s="758">
        <v>-1.7331331408515655E-5</v>
      </c>
      <c r="F107" s="758">
        <v>-8.6651930723656996E-6</v>
      </c>
      <c r="G107" s="758">
        <v>-3.1090299660697595E-7</v>
      </c>
      <c r="H107" s="758">
        <v>-1.4903529949795764E-6</v>
      </c>
      <c r="I107" s="758">
        <v>-1.6134193948900177E-6</v>
      </c>
      <c r="J107" s="758">
        <v>-1.7856825553323756E-6</v>
      </c>
      <c r="K107" s="758">
        <v>-2.2962515306936773E-6</v>
      </c>
      <c r="L107" s="758">
        <v>4.8860021430350334E-7</v>
      </c>
      <c r="M107" s="758">
        <v>2.0832916850078882E-6</v>
      </c>
      <c r="N107" s="759">
        <v>-1.3505521395894612E-6</v>
      </c>
      <c r="O107" s="759">
        <v>-3.6521577502545891E-7</v>
      </c>
      <c r="P107" s="759">
        <v>2.0832916850078882E-6</v>
      </c>
      <c r="Q107" s="759">
        <v>3.8990229394614027E-7</v>
      </c>
      <c r="R107" s="759">
        <v>-1.0942923477671814E-6</v>
      </c>
      <c r="S107" s="759">
        <v>-3.8200484600803206E-6</v>
      </c>
    </row>
    <row r="108" spans="1:19" hidden="1" x14ac:dyDescent="0.25">
      <c r="A108" s="756" t="s">
        <v>687</v>
      </c>
      <c r="B108" s="757" t="s">
        <v>663</v>
      </c>
      <c r="C108" s="757">
        <v>99705</v>
      </c>
      <c r="D108" s="758">
        <v>-3.7167963749974507E-6</v>
      </c>
      <c r="E108" s="758">
        <v>-5.5736039457011668E-6</v>
      </c>
      <c r="F108" s="758">
        <v>8.9199435401756222E-7</v>
      </c>
      <c r="G108" s="758">
        <v>4.1007552876195707E-7</v>
      </c>
      <c r="H108" s="758">
        <v>-2.9765007895538173E-6</v>
      </c>
      <c r="I108" s="758">
        <v>2.1739435837812586E-6</v>
      </c>
      <c r="J108" s="758">
        <v>1.966039439761591E-6</v>
      </c>
      <c r="K108" s="758">
        <v>-1.004241638835463E-6</v>
      </c>
      <c r="L108" s="758">
        <v>9.6459711872382266E-6</v>
      </c>
      <c r="M108" s="758">
        <v>8.0186978905486327E-7</v>
      </c>
      <c r="N108" s="759">
        <v>-2.9981386008013843E-7</v>
      </c>
      <c r="O108" s="759">
        <v>3.2968058486173731E-6</v>
      </c>
      <c r="P108" s="759">
        <v>8.0186978905486327E-7</v>
      </c>
      <c r="Q108" s="759">
        <v>2.9641477073423716E-6</v>
      </c>
      <c r="R108" s="759">
        <v>4.9437726945576947E-8</v>
      </c>
      <c r="S108" s="759">
        <v>-4.0260037144563752E-7</v>
      </c>
    </row>
    <row r="109" spans="1:19" hidden="1" x14ac:dyDescent="0.25">
      <c r="A109" s="756" t="s">
        <v>687</v>
      </c>
      <c r="B109" s="757" t="s">
        <v>664</v>
      </c>
      <c r="C109" s="757">
        <v>99705</v>
      </c>
      <c r="D109" s="758">
        <v>0</v>
      </c>
      <c r="E109" s="758">
        <v>0</v>
      </c>
      <c r="F109" s="758">
        <v>0</v>
      </c>
      <c r="G109" s="758">
        <v>3.5195214290085115E-6</v>
      </c>
      <c r="H109" s="758">
        <v>2.7953128817672509E-7</v>
      </c>
      <c r="I109" s="758">
        <v>-8.724917590652476E-6</v>
      </c>
      <c r="J109" s="758">
        <v>2.5517974385438435E-7</v>
      </c>
      <c r="K109" s="758">
        <v>6.8003945735894825E-7</v>
      </c>
      <c r="L109" s="758">
        <v>2.0387987933186144E-6</v>
      </c>
      <c r="M109" s="758">
        <v>2.0387987933186144E-6</v>
      </c>
      <c r="N109" s="759">
        <v>-4.8663341857968015E-6</v>
      </c>
      <c r="O109" s="759">
        <v>1.2235431917428147E-6</v>
      </c>
      <c r="P109" s="759">
        <v>2.0387987933186144E-6</v>
      </c>
      <c r="Q109" s="759">
        <v>1.3594191253387815E-6</v>
      </c>
      <c r="R109" s="759">
        <v>-4.7253648020574582E-6</v>
      </c>
      <c r="S109" s="759">
        <v>-4.6941935412492742E-6</v>
      </c>
    </row>
    <row r="110" spans="1:19" hidden="1" x14ac:dyDescent="0.25">
      <c r="A110" s="756" t="s">
        <v>687</v>
      </c>
      <c r="B110" s="757" t="s">
        <v>665</v>
      </c>
      <c r="C110" s="757">
        <v>99705</v>
      </c>
      <c r="D110" s="758">
        <v>0</v>
      </c>
      <c r="E110" s="758">
        <v>0</v>
      </c>
      <c r="F110" s="758">
        <v>0</v>
      </c>
      <c r="G110" s="758">
        <v>0</v>
      </c>
      <c r="H110" s="758">
        <v>0</v>
      </c>
      <c r="I110" s="758">
        <v>4.1023059512370843E-6</v>
      </c>
      <c r="J110" s="758">
        <v>0</v>
      </c>
      <c r="K110" s="758">
        <v>0</v>
      </c>
      <c r="L110" s="758">
        <v>2.8959897333060328E-6</v>
      </c>
      <c r="M110" s="758">
        <v>5.8832327376248294E-6</v>
      </c>
      <c r="N110" s="759">
        <v>4.1023059512370843E-6</v>
      </c>
      <c r="O110" s="759">
        <v>2.0685640952185949E-6</v>
      </c>
      <c r="P110" s="759">
        <v>5.8832327376248294E-6</v>
      </c>
      <c r="Q110" s="759">
        <v>4.3997504878001821E-6</v>
      </c>
      <c r="R110" s="759">
        <v>2.322781827220906E-6</v>
      </c>
      <c r="S110" s="759">
        <v>4.3840955121915988E-6</v>
      </c>
    </row>
    <row r="111" spans="1:19" hidden="1" x14ac:dyDescent="0.25">
      <c r="A111" s="756" t="s">
        <v>687</v>
      </c>
      <c r="B111" s="757" t="s">
        <v>667</v>
      </c>
      <c r="C111" s="757">
        <v>99705</v>
      </c>
      <c r="D111" s="758">
        <v>0</v>
      </c>
      <c r="E111" s="758">
        <v>0</v>
      </c>
      <c r="F111" s="758">
        <v>0</v>
      </c>
      <c r="G111" s="758">
        <v>0</v>
      </c>
      <c r="H111" s="758">
        <v>5.722699525422435E-6</v>
      </c>
      <c r="I111" s="758">
        <v>3.1214724684122376E-6</v>
      </c>
      <c r="J111" s="758">
        <v>3.7338421195483845E-6</v>
      </c>
      <c r="K111" s="758">
        <v>9.2598790878587314E-6</v>
      </c>
      <c r="L111" s="758">
        <v>1.9633253209604094E-6</v>
      </c>
      <c r="M111" s="758">
        <v>1.8148003626988606E-6</v>
      </c>
      <c r="N111" s="759">
        <v>3.9503870475794964E-6</v>
      </c>
      <c r="O111" s="759">
        <v>3.1511363992926946E-6</v>
      </c>
      <c r="P111" s="759">
        <v>1.8148003626988606E-6</v>
      </c>
      <c r="Q111" s="759">
        <v>2.4360160337641022E-6</v>
      </c>
      <c r="R111" s="759">
        <v>3.3255183589189055E-6</v>
      </c>
      <c r="S111" s="759">
        <v>2.6099150975515161E-6</v>
      </c>
    </row>
    <row r="112" spans="1:19" hidden="1" x14ac:dyDescent="0.25">
      <c r="A112" s="756" t="s">
        <v>687</v>
      </c>
      <c r="B112" s="757" t="s">
        <v>669</v>
      </c>
      <c r="C112" s="757">
        <v>99705</v>
      </c>
      <c r="D112" s="758">
        <v>3.183470048158855E-6</v>
      </c>
      <c r="E112" s="758">
        <v>0</v>
      </c>
      <c r="F112" s="758">
        <v>3.183470048158855E-6</v>
      </c>
      <c r="G112" s="758">
        <v>4.8609065234920969E-6</v>
      </c>
      <c r="H112" s="758">
        <v>2.0587098240800577E-5</v>
      </c>
      <c r="I112" s="758">
        <v>4.1476910835609442E-6</v>
      </c>
      <c r="J112" s="758">
        <v>7.4783177284493798E-6</v>
      </c>
      <c r="K112" s="758">
        <v>1.7129495609003376E-5</v>
      </c>
      <c r="L112" s="758">
        <v>6.0317710185818948E-6</v>
      </c>
      <c r="M112" s="758">
        <v>3.3229536031285666E-6</v>
      </c>
      <c r="N112" s="759">
        <v>1.088453321614876E-5</v>
      </c>
      <c r="O112" s="759">
        <v>8.3437969749197032E-6</v>
      </c>
      <c r="P112" s="759">
        <v>3.3229536031285666E-6</v>
      </c>
      <c r="Q112" s="759">
        <v>5.782142193393613E-6</v>
      </c>
      <c r="R112" s="759">
        <v>1.001342364772737E-5</v>
      </c>
      <c r="S112" s="759">
        <v>8.047953289007731E-6</v>
      </c>
    </row>
    <row r="113" spans="1:19" hidden="1" x14ac:dyDescent="0.25">
      <c r="A113" s="756" t="s">
        <v>687</v>
      </c>
      <c r="B113" s="757" t="s">
        <v>666</v>
      </c>
      <c r="C113" s="757">
        <v>99705</v>
      </c>
      <c r="D113" s="758">
        <v>3.183470048158855E-6</v>
      </c>
      <c r="E113" s="758">
        <v>0</v>
      </c>
      <c r="F113" s="758">
        <v>3.183470048158855E-6</v>
      </c>
      <c r="G113" s="758">
        <v>4.8609065234920969E-6</v>
      </c>
      <c r="H113" s="758">
        <v>1.653317131842472E-5</v>
      </c>
      <c r="I113" s="758">
        <v>3.6925240823096046E-6</v>
      </c>
      <c r="J113" s="758">
        <v>6.167751265334031E-6</v>
      </c>
      <c r="K113" s="758">
        <v>9.360251533697354E-6</v>
      </c>
      <c r="L113" s="758">
        <v>2.8210195029234239E-6</v>
      </c>
      <c r="M113" s="758">
        <v>2.6860972343366273E-6</v>
      </c>
      <c r="N113" s="759">
        <v>8.3847559581559043E-6</v>
      </c>
      <c r="O113" s="759">
        <v>4.0339415731476204E-6</v>
      </c>
      <c r="P113" s="759">
        <v>2.6860972343366273E-6</v>
      </c>
      <c r="Q113" s="759">
        <v>3.3051072269757499E-6</v>
      </c>
      <c r="R113" s="759">
        <v>5.6321999186608678E-6</v>
      </c>
      <c r="S113" s="759">
        <v>4.360737747003795E-6</v>
      </c>
    </row>
    <row r="114" spans="1:19" hidden="1" x14ac:dyDescent="0.25">
      <c r="A114" s="756" t="s">
        <v>687</v>
      </c>
      <c r="B114" s="757" t="s">
        <v>670</v>
      </c>
      <c r="C114" s="757">
        <v>99705</v>
      </c>
      <c r="D114" s="758">
        <v>-4.280747681958557E-5</v>
      </c>
      <c r="E114" s="758">
        <v>-3.1363512803785354E-5</v>
      </c>
      <c r="F114" s="758">
        <v>-2.6125155372772663E-5</v>
      </c>
      <c r="G114" s="758">
        <v>-1.8287836042585161E-5</v>
      </c>
      <c r="H114" s="758">
        <v>0</v>
      </c>
      <c r="I114" s="758">
        <v>-3.6164568649331664E-5</v>
      </c>
      <c r="J114" s="758">
        <v>-2.7129392365130004E-5</v>
      </c>
      <c r="K114" s="758">
        <v>-2.6520683676176551E-5</v>
      </c>
      <c r="L114" s="758">
        <v>-2.7842505520782897E-5</v>
      </c>
      <c r="M114" s="758">
        <v>-3.8602606140876245E-6</v>
      </c>
      <c r="N114" s="759">
        <v>-2.4226845794533804E-5</v>
      </c>
      <c r="O114" s="759">
        <v>-2.7306631799996542E-5</v>
      </c>
      <c r="P114" s="759">
        <v>-3.8602606140876245E-6</v>
      </c>
      <c r="Q114" s="759">
        <v>-2.1933505069892415E-5</v>
      </c>
      <c r="R114" s="759">
        <v>-2.5599762447571411E-5</v>
      </c>
      <c r="S114" s="759">
        <v>-2.7021310175384791E-5</v>
      </c>
    </row>
    <row r="115" spans="1:19" hidden="1" x14ac:dyDescent="0.25">
      <c r="A115" s="756" t="s">
        <v>687</v>
      </c>
      <c r="B115" s="757" t="s">
        <v>672</v>
      </c>
      <c r="C115" s="757">
        <v>99705</v>
      </c>
      <c r="D115" s="758">
        <v>-2.392898943418151E-4</v>
      </c>
      <c r="E115" s="758">
        <v>-1.950772328585155E-4</v>
      </c>
      <c r="F115" s="758">
        <v>-6.8448151880180869E-5</v>
      </c>
      <c r="G115" s="758">
        <v>1.8232470894387035E-7</v>
      </c>
      <c r="H115" s="758">
        <v>3.1255664390377774E-7</v>
      </c>
      <c r="I115" s="758">
        <v>2.5244959699920509E-7</v>
      </c>
      <c r="J115" s="758">
        <v>1.6409223804948332E-7</v>
      </c>
      <c r="K115" s="758">
        <v>8.2046119024741658E-7</v>
      </c>
      <c r="L115" s="758">
        <v>0</v>
      </c>
      <c r="M115" s="758">
        <v>0</v>
      </c>
      <c r="N115" s="759">
        <v>2.5639412195231766E-7</v>
      </c>
      <c r="O115" s="759">
        <v>8.2046119024741658E-7</v>
      </c>
      <c r="P115" s="759">
        <v>0</v>
      </c>
      <c r="Q115" s="759">
        <v>5.4697412683161109E-7</v>
      </c>
      <c r="R115" s="759">
        <v>2.7895680468412162E-7</v>
      </c>
      <c r="S115" s="759">
        <v>-3.2911093475310836E-5</v>
      </c>
    </row>
    <row r="116" spans="1:19" hidden="1" x14ac:dyDescent="0.25">
      <c r="A116" s="761" t="s">
        <v>687</v>
      </c>
      <c r="B116" s="762" t="s">
        <v>675</v>
      </c>
      <c r="C116" s="762">
        <v>99705</v>
      </c>
      <c r="D116" s="763"/>
      <c r="E116" s="763"/>
      <c r="F116" s="763"/>
      <c r="G116" s="763"/>
      <c r="H116" s="763"/>
      <c r="I116" s="763"/>
      <c r="J116" s="763"/>
      <c r="K116" s="763"/>
      <c r="L116" s="763"/>
      <c r="M116" s="763"/>
      <c r="N116" s="763"/>
      <c r="O116" s="763"/>
      <c r="P116" s="763"/>
      <c r="Q116" s="763"/>
      <c r="R116" s="763"/>
      <c r="S116" s="763"/>
    </row>
    <row r="117" spans="1:19" hidden="1" x14ac:dyDescent="0.25">
      <c r="A117" s="756" t="s">
        <v>682</v>
      </c>
      <c r="B117" s="757" t="s">
        <v>616</v>
      </c>
      <c r="C117" s="757" t="s">
        <v>681</v>
      </c>
      <c r="D117" s="758">
        <v>7.3844636958881303E-5</v>
      </c>
      <c r="E117" s="758">
        <v>9.1957518373094734E-5</v>
      </c>
      <c r="F117" s="758">
        <v>1.0721271711867984E-4</v>
      </c>
      <c r="G117" s="758">
        <v>1.0893773881942383E-4</v>
      </c>
      <c r="H117" s="758">
        <v>2.0514960912167997E-4</v>
      </c>
      <c r="I117" s="758">
        <v>1.6008487477684437E-4</v>
      </c>
      <c r="J117" s="758">
        <v>1.5889682123380416E-4</v>
      </c>
      <c r="K117" s="758">
        <v>2.1666963550323576E-4</v>
      </c>
      <c r="L117" s="758">
        <v>4.6446375391332774E-4</v>
      </c>
      <c r="M117" s="758">
        <v>4.9936712961354539E-4</v>
      </c>
      <c r="N117" s="759">
        <v>1.6807023624211691E-4</v>
      </c>
      <c r="O117" s="759">
        <v>8.9912409381541418E-5</v>
      </c>
      <c r="P117" s="759">
        <v>4.9936712961354539E-4</v>
      </c>
      <c r="Q117" s="759">
        <v>8.1786086077524677E-4</v>
      </c>
      <c r="R117" s="759">
        <v>1.6982526603707507E-4</v>
      </c>
      <c r="S117" s="759">
        <v>9.7451072071199499E-5</v>
      </c>
    </row>
    <row r="118" spans="1:19" hidden="1" x14ac:dyDescent="0.25">
      <c r="A118" s="756" t="s">
        <v>682</v>
      </c>
      <c r="B118" s="757" t="s">
        <v>663</v>
      </c>
      <c r="C118" s="757" t="s">
        <v>681</v>
      </c>
      <c r="D118" s="758">
        <v>6.5515323371788045E-5</v>
      </c>
      <c r="E118" s="758">
        <v>6.7392564419957327E-5</v>
      </c>
      <c r="F118" s="758">
        <v>9.6138125857300296E-5</v>
      </c>
      <c r="G118" s="758">
        <v>1.049765271112666E-4</v>
      </c>
      <c r="H118" s="758">
        <v>2.4233960395507334E-4</v>
      </c>
      <c r="I118" s="758">
        <v>2.0366348428271064E-4</v>
      </c>
      <c r="J118" s="758">
        <v>1.447333637235349E-4</v>
      </c>
      <c r="K118" s="758">
        <v>1.5150553339813636E-4</v>
      </c>
      <c r="L118" s="758">
        <v>1.5935171935283887E-4</v>
      </c>
      <c r="M118" s="758">
        <v>2.5755010486396576E-4</v>
      </c>
      <c r="N118" s="759">
        <v>1.9287401485685698E-4</v>
      </c>
      <c r="O118" s="759">
        <v>1.546741854183047E-4</v>
      </c>
      <c r="P118" s="759">
        <v>2.5755010486396576E-4</v>
      </c>
      <c r="Q118" s="759">
        <v>1.6839097467772618E-4</v>
      </c>
      <c r="R118" s="759">
        <v>1.8916460098047095E-4</v>
      </c>
      <c r="S118" s="759">
        <v>1.4901602211993275E-4</v>
      </c>
    </row>
    <row r="119" spans="1:19" hidden="1" x14ac:dyDescent="0.25">
      <c r="A119" s="756" t="s">
        <v>682</v>
      </c>
      <c r="B119" s="757" t="s">
        <v>664</v>
      </c>
      <c r="C119" s="757" t="s">
        <v>681</v>
      </c>
      <c r="D119" s="758">
        <v>0</v>
      </c>
      <c r="E119" s="758">
        <v>0</v>
      </c>
      <c r="F119" s="758">
        <v>0</v>
      </c>
      <c r="G119" s="758">
        <v>4.4356178469736528E-5</v>
      </c>
      <c r="H119" s="758">
        <v>5.7198102573186432E-5</v>
      </c>
      <c r="I119" s="758">
        <v>5.5304236321929464E-5</v>
      </c>
      <c r="J119" s="758">
        <v>5.7280206933974886E-5</v>
      </c>
      <c r="K119" s="758">
        <v>2.9204303721643295E-5</v>
      </c>
      <c r="L119" s="758">
        <v>0</v>
      </c>
      <c r="M119" s="758">
        <v>0</v>
      </c>
      <c r="N119" s="759">
        <v>5.5862735065220357E-5</v>
      </c>
      <c r="O119" s="759">
        <v>1.7522582232985978E-5</v>
      </c>
      <c r="P119" s="759">
        <v>0</v>
      </c>
      <c r="Q119" s="759">
        <v>1.4602151860821647E-5</v>
      </c>
      <c r="R119" s="759">
        <v>5.497523152743715E-5</v>
      </c>
      <c r="S119" s="759">
        <v>5.4721889446665551E-5</v>
      </c>
    </row>
    <row r="120" spans="1:19" hidden="1" x14ac:dyDescent="0.25">
      <c r="A120" s="756" t="s">
        <v>682</v>
      </c>
      <c r="B120" s="757" t="s">
        <v>665</v>
      </c>
      <c r="C120" s="757" t="s">
        <v>681</v>
      </c>
      <c r="D120" s="758">
        <v>0</v>
      </c>
      <c r="E120" s="758">
        <v>0</v>
      </c>
      <c r="F120" s="758">
        <v>0</v>
      </c>
      <c r="G120" s="758">
        <v>0</v>
      </c>
      <c r="H120" s="758">
        <v>0</v>
      </c>
      <c r="I120" s="758">
        <v>1.6883935208883761E-4</v>
      </c>
      <c r="J120" s="758">
        <v>0</v>
      </c>
      <c r="K120" s="758">
        <v>2.1355163503153593E-4</v>
      </c>
      <c r="L120" s="758">
        <v>2.3722178974271792E-4</v>
      </c>
      <c r="M120" s="758">
        <v>2.9121703495708391E-4</v>
      </c>
      <c r="N120" s="759">
        <v>1.6883935208883761E-4</v>
      </c>
      <c r="O120" s="759">
        <v>2.3045888839666592E-4</v>
      </c>
      <c r="P120" s="759">
        <v>2.9121703495708391E-4</v>
      </c>
      <c r="Q120" s="759">
        <v>2.6758886685025469E-4</v>
      </c>
      <c r="R120" s="759">
        <v>2.227564463581874E-4</v>
      </c>
      <c r="S120" s="759">
        <v>2.6239152396807488E-4</v>
      </c>
    </row>
    <row r="121" spans="1:19" hidden="1" x14ac:dyDescent="0.25">
      <c r="A121" s="756" t="s">
        <v>682</v>
      </c>
      <c r="B121" s="757" t="s">
        <v>667</v>
      </c>
      <c r="C121" s="757" t="s">
        <v>681</v>
      </c>
      <c r="D121" s="758">
        <v>0</v>
      </c>
      <c r="E121" s="758">
        <v>0</v>
      </c>
      <c r="F121" s="758">
        <v>0</v>
      </c>
      <c r="G121" s="758">
        <v>0</v>
      </c>
      <c r="H121" s="758">
        <v>4.945817675503886E-4</v>
      </c>
      <c r="I121" s="758">
        <v>3.077311484861903E-4</v>
      </c>
      <c r="J121" s="758">
        <v>2.5145129230400313E-4</v>
      </c>
      <c r="K121" s="758">
        <v>5.5264059491135203E-4</v>
      </c>
      <c r="L121" s="758">
        <v>8.0735317563956541E-4</v>
      </c>
      <c r="M121" s="758">
        <v>6.8560323882476553E-4</v>
      </c>
      <c r="N121" s="759">
        <v>3.3802884519910193E-4</v>
      </c>
      <c r="O121" s="759">
        <v>7.6588833691636801E-4</v>
      </c>
      <c r="P121" s="759">
        <v>6.8560323882476553E-4</v>
      </c>
      <c r="Q121" s="759">
        <v>7.2292496009978061E-4</v>
      </c>
      <c r="R121" s="759">
        <v>6.7253717508714624E-4</v>
      </c>
      <c r="S121" s="759">
        <v>6.7872636317338692E-4</v>
      </c>
    </row>
    <row r="122" spans="1:19" hidden="1" x14ac:dyDescent="0.25">
      <c r="A122" s="756" t="s">
        <v>682</v>
      </c>
      <c r="B122" s="757" t="s">
        <v>669</v>
      </c>
      <c r="C122" s="757" t="s">
        <v>681</v>
      </c>
      <c r="D122" s="758">
        <v>1.2360696261619943E-4</v>
      </c>
      <c r="E122" s="758">
        <v>0</v>
      </c>
      <c r="F122" s="758">
        <v>1.2360696261619943E-4</v>
      </c>
      <c r="G122" s="758">
        <v>2.68672825897215E-4</v>
      </c>
      <c r="H122" s="758">
        <v>1.3468535100858941E-4</v>
      </c>
      <c r="I122" s="758">
        <v>2.2130885390908702E-4</v>
      </c>
      <c r="J122" s="758">
        <v>2.832228261698893E-4</v>
      </c>
      <c r="K122" s="758">
        <v>0</v>
      </c>
      <c r="L122" s="758">
        <v>1.8077277973558745E-4</v>
      </c>
      <c r="M122" s="758">
        <v>1.9857108697709453E-4</v>
      </c>
      <c r="N122" s="759">
        <v>2.1382462462480673E-4</v>
      </c>
      <c r="O122" s="759">
        <v>1.4311178395734006E-4</v>
      </c>
      <c r="P122" s="759">
        <v>1.9857108697709453E-4</v>
      </c>
      <c r="Q122" s="759">
        <v>1.7140734672252091E-4</v>
      </c>
      <c r="R122" s="759">
        <v>1.8958022211024671E-4</v>
      </c>
      <c r="S122" s="759">
        <v>1.8918505628898416E-4</v>
      </c>
    </row>
    <row r="123" spans="1:19" hidden="1" x14ac:dyDescent="0.25">
      <c r="A123" s="756" t="s">
        <v>682</v>
      </c>
      <c r="B123" s="757" t="s">
        <v>666</v>
      </c>
      <c r="C123" s="757" t="s">
        <v>681</v>
      </c>
      <c r="D123" s="758">
        <v>1.2360696261619943E-4</v>
      </c>
      <c r="E123" s="758">
        <v>0</v>
      </c>
      <c r="F123" s="758">
        <v>1.2360696261619943E-4</v>
      </c>
      <c r="G123" s="758">
        <v>2.68672825897215E-4</v>
      </c>
      <c r="H123" s="758">
        <v>2.3283891915635283E-4</v>
      </c>
      <c r="I123" s="758">
        <v>2.5513710337739254E-4</v>
      </c>
      <c r="J123" s="758">
        <v>2.7210278931682916E-4</v>
      </c>
      <c r="K123" s="758">
        <v>3.7352934212543789E-4</v>
      </c>
      <c r="L123" s="758">
        <v>6.3303296394506977E-4</v>
      </c>
      <c r="M123" s="758">
        <v>5.4277926429544519E-4</v>
      </c>
      <c r="N123" s="759">
        <v>2.5397644057912824E-4</v>
      </c>
      <c r="O123" s="759">
        <v>5.8489922763981547E-4</v>
      </c>
      <c r="P123" s="759">
        <v>5.4277926429544519E-4</v>
      </c>
      <c r="Q123" s="759">
        <v>5.6212324746100783E-4</v>
      </c>
      <c r="R123" s="759">
        <v>4.6333575484201197E-4</v>
      </c>
      <c r="S123" s="759">
        <v>4.9293066007697727E-4</v>
      </c>
    </row>
    <row r="124" spans="1:19" hidden="1" x14ac:dyDescent="0.25">
      <c r="A124" s="756" t="s">
        <v>682</v>
      </c>
      <c r="B124" s="757" t="s">
        <v>670</v>
      </c>
      <c r="C124" s="757" t="s">
        <v>681</v>
      </c>
      <c r="D124" s="758">
        <v>1.200801527985952E-4</v>
      </c>
      <c r="E124" s="758">
        <v>1.5969413785810879E-4</v>
      </c>
      <c r="F124" s="758">
        <v>1.4305677346313804E-4</v>
      </c>
      <c r="G124" s="758">
        <v>2.13312536922628E-4</v>
      </c>
      <c r="H124" s="758">
        <v>2.8543605840339987E-4</v>
      </c>
      <c r="I124" s="758">
        <v>1.3965225706274846E-4</v>
      </c>
      <c r="J124" s="758">
        <v>1.7961394461489061E-4</v>
      </c>
      <c r="K124" s="758">
        <v>3.118787251403536E-4</v>
      </c>
      <c r="L124" s="758">
        <v>3.1528842419338197E-4</v>
      </c>
      <c r="M124" s="758">
        <v>3.641388229925012E-4</v>
      </c>
      <c r="N124" s="759">
        <v>1.8961865159867526E-4</v>
      </c>
      <c r="O124" s="759">
        <v>3.1390611376647858E-4</v>
      </c>
      <c r="P124" s="759">
        <v>3.641388229925012E-4</v>
      </c>
      <c r="Q124" s="759">
        <v>3.2541777629744206E-4</v>
      </c>
      <c r="R124" s="759">
        <v>2.4502390581805747E-4</v>
      </c>
      <c r="S124" s="759">
        <v>1.7507688479727993E-4</v>
      </c>
    </row>
    <row r="125" spans="1:19" hidden="1" x14ac:dyDescent="0.25">
      <c r="A125" s="756" t="s">
        <v>682</v>
      </c>
      <c r="B125" s="757" t="s">
        <v>672</v>
      </c>
      <c r="C125" s="757" t="s">
        <v>681</v>
      </c>
      <c r="D125" s="758">
        <v>0</v>
      </c>
      <c r="E125" s="758">
        <v>9.9620638815422159E-6</v>
      </c>
      <c r="F125" s="758">
        <v>1.9661968187254375E-5</v>
      </c>
      <c r="G125" s="758">
        <v>1.419814963006025E-5</v>
      </c>
      <c r="H125" s="758">
        <v>1.0614416115610534E-5</v>
      </c>
      <c r="I125" s="758">
        <v>1.2473446596198369E-5</v>
      </c>
      <c r="J125" s="758">
        <v>1.3717091595558228E-5</v>
      </c>
      <c r="K125" s="758">
        <v>0</v>
      </c>
      <c r="L125" s="758">
        <v>0</v>
      </c>
      <c r="M125" s="758">
        <v>1.7146364494447786E-5</v>
      </c>
      <c r="N125" s="759">
        <v>1.2113048933890278E-5</v>
      </c>
      <c r="O125" s="759">
        <v>0</v>
      </c>
      <c r="P125" s="759">
        <v>1.7146364494447786E-5</v>
      </c>
      <c r="Q125" s="759">
        <v>5.7154548314825952E-6</v>
      </c>
      <c r="R125" s="759">
        <v>1.1628526976534668E-5</v>
      </c>
      <c r="S125" s="759">
        <v>1.3446847740614811E-5</v>
      </c>
    </row>
    <row r="126" spans="1:19" hidden="1" x14ac:dyDescent="0.25">
      <c r="A126" s="761" t="s">
        <v>682</v>
      </c>
      <c r="B126" s="762" t="s">
        <v>675</v>
      </c>
      <c r="C126" s="762" t="s">
        <v>681</v>
      </c>
      <c r="D126" s="763"/>
      <c r="E126" s="763"/>
      <c r="F126" s="763"/>
      <c r="G126" s="763"/>
      <c r="H126" s="763"/>
      <c r="I126" s="763"/>
      <c r="J126" s="763"/>
      <c r="K126" s="763"/>
      <c r="L126" s="763"/>
      <c r="M126" s="763"/>
      <c r="N126" s="763"/>
      <c r="O126" s="763"/>
      <c r="P126" s="763"/>
      <c r="Q126" s="763"/>
      <c r="R126" s="763"/>
      <c r="S126" s="763"/>
    </row>
    <row r="127" spans="1:19" hidden="1" x14ac:dyDescent="0.25">
      <c r="A127" s="756" t="s">
        <v>687</v>
      </c>
      <c r="B127" s="757" t="s">
        <v>616</v>
      </c>
      <c r="C127" s="757" t="s">
        <v>681</v>
      </c>
      <c r="D127" s="758">
        <v>-2.6300909767798826E-6</v>
      </c>
      <c r="E127" s="758">
        <v>-1.6315444174521649E-5</v>
      </c>
      <c r="F127" s="758">
        <v>-1.8651814064163625E-5</v>
      </c>
      <c r="G127" s="758">
        <v>-5.1756113731003697E-6</v>
      </c>
      <c r="H127" s="758">
        <v>5.0019945152533069E-7</v>
      </c>
      <c r="I127" s="758">
        <v>-2.4850964463998116E-6</v>
      </c>
      <c r="J127" s="758">
        <v>-5.2733695504593316E-6</v>
      </c>
      <c r="K127" s="758">
        <v>1.6793441406775912E-6</v>
      </c>
      <c r="L127" s="758">
        <v>-5.5444826868411263E-7</v>
      </c>
      <c r="M127" s="758">
        <v>4.3073417794489862E-6</v>
      </c>
      <c r="N127" s="759">
        <v>-2.0956211990087459E-6</v>
      </c>
      <c r="O127" s="759">
        <v>-4.7853150014777317E-8</v>
      </c>
      <c r="P127" s="759">
        <v>4.3073417794489862E-6</v>
      </c>
      <c r="Q127" s="759">
        <v>1.9797816790732161E-6</v>
      </c>
      <c r="R127" s="759">
        <v>-1.1641328125190154E-6</v>
      </c>
      <c r="S127" s="759">
        <v>-3.2607753382019732E-6</v>
      </c>
    </row>
    <row r="128" spans="1:19" hidden="1" x14ac:dyDescent="0.25">
      <c r="A128" s="756" t="s">
        <v>687</v>
      </c>
      <c r="B128" s="757" t="s">
        <v>663</v>
      </c>
      <c r="C128" s="757" t="s">
        <v>681</v>
      </c>
      <c r="D128" s="758">
        <v>1.1574948084685269E-6</v>
      </c>
      <c r="E128" s="758">
        <v>-3.9342567815714004E-6</v>
      </c>
      <c r="F128" s="758">
        <v>-6.3247653692964319E-6</v>
      </c>
      <c r="G128" s="758">
        <v>-3.5164359229018478E-6</v>
      </c>
      <c r="H128" s="758">
        <v>7.2799963159396607E-7</v>
      </c>
      <c r="I128" s="758">
        <v>-3.7986687466761772E-6</v>
      </c>
      <c r="J128" s="758">
        <v>-3.1925858714353604E-6</v>
      </c>
      <c r="K128" s="758">
        <v>2.8486137721252568E-6</v>
      </c>
      <c r="L128" s="758">
        <v>-9.1662198089211952E-6</v>
      </c>
      <c r="M128" s="758">
        <v>3.3924068706349779E-6</v>
      </c>
      <c r="N128" s="759">
        <v>-1.8666049699362664E-6</v>
      </c>
      <c r="O128" s="759">
        <v>-2.0035305586819645E-6</v>
      </c>
      <c r="P128" s="759">
        <v>3.3924068706349779E-6</v>
      </c>
      <c r="Q128" s="759">
        <v>-1.2840722347730389E-6</v>
      </c>
      <c r="R128" s="759">
        <v>-1.879901198908771E-6</v>
      </c>
      <c r="S128" s="759">
        <v>-2.9604335217815311E-6</v>
      </c>
    </row>
    <row r="129" spans="1:19" hidden="1" x14ac:dyDescent="0.25">
      <c r="A129" s="756" t="s">
        <v>687</v>
      </c>
      <c r="B129" s="757" t="s">
        <v>664</v>
      </c>
      <c r="C129" s="757" t="s">
        <v>681</v>
      </c>
      <c r="D129" s="758">
        <v>0</v>
      </c>
      <c r="E129" s="758">
        <v>0</v>
      </c>
      <c r="F129" s="758">
        <v>0</v>
      </c>
      <c r="G129" s="758">
        <v>5.1035948770876871E-7</v>
      </c>
      <c r="H129" s="758">
        <v>3.7036412732470709E-7</v>
      </c>
      <c r="I129" s="758">
        <v>1.863252127359531E-7</v>
      </c>
      <c r="J129" s="758">
        <v>2.555096385439419E-7</v>
      </c>
      <c r="K129" s="758">
        <v>4.3985958607673421E-10</v>
      </c>
      <c r="L129" s="758">
        <v>0</v>
      </c>
      <c r="M129" s="758">
        <v>0</v>
      </c>
      <c r="N129" s="759">
        <v>2.6225226927476461E-7</v>
      </c>
      <c r="O129" s="759">
        <v>2.6391575164604051E-10</v>
      </c>
      <c r="P129" s="759">
        <v>0</v>
      </c>
      <c r="Q129" s="759">
        <v>2.1992979303836711E-10</v>
      </c>
      <c r="R129" s="759">
        <v>2.5618772405432204E-7</v>
      </c>
      <c r="S129" s="759">
        <v>2.5500713546420994E-7</v>
      </c>
    </row>
    <row r="130" spans="1:19" hidden="1" x14ac:dyDescent="0.25">
      <c r="A130" s="756" t="s">
        <v>687</v>
      </c>
      <c r="B130" s="757" t="s">
        <v>665</v>
      </c>
      <c r="C130" s="757" t="s">
        <v>681</v>
      </c>
      <c r="D130" s="758">
        <v>0</v>
      </c>
      <c r="E130" s="758">
        <v>0</v>
      </c>
      <c r="F130" s="758">
        <v>0</v>
      </c>
      <c r="G130" s="758">
        <v>0</v>
      </c>
      <c r="H130" s="758">
        <v>0</v>
      </c>
      <c r="I130" s="758">
        <v>1.3071102211808472E-5</v>
      </c>
      <c r="J130" s="758">
        <v>0</v>
      </c>
      <c r="K130" s="758">
        <v>5.9881532151898283E-5</v>
      </c>
      <c r="L130" s="758">
        <v>5.8041479208343946E-6</v>
      </c>
      <c r="M130" s="758">
        <v>4.5004923268701094E-6</v>
      </c>
      <c r="N130" s="759">
        <v>1.3071102211808472E-5</v>
      </c>
      <c r="O130" s="759">
        <v>2.1254829129709788E-5</v>
      </c>
      <c r="P130" s="759">
        <v>4.5004923268701094E-6</v>
      </c>
      <c r="Q130" s="759">
        <v>1.1016067750196652E-5</v>
      </c>
      <c r="R130" s="759">
        <v>2.0231863264972127E-5</v>
      </c>
      <c r="S130" s="759">
        <v>1.1124227458702537E-5</v>
      </c>
    </row>
    <row r="131" spans="1:19" hidden="1" x14ac:dyDescent="0.25">
      <c r="A131" s="756" t="s">
        <v>687</v>
      </c>
      <c r="B131" s="757" t="s">
        <v>667</v>
      </c>
      <c r="C131" s="757" t="s">
        <v>681</v>
      </c>
      <c r="D131" s="758">
        <v>0</v>
      </c>
      <c r="E131" s="758">
        <v>0</v>
      </c>
      <c r="F131" s="758">
        <v>0</v>
      </c>
      <c r="G131" s="758">
        <v>0</v>
      </c>
      <c r="H131" s="758">
        <v>4.1331207723946742E-5</v>
      </c>
      <c r="I131" s="758">
        <v>1.0345927303737396E-5</v>
      </c>
      <c r="J131" s="758">
        <v>1.4715513065371976E-5</v>
      </c>
      <c r="K131" s="758">
        <v>6.5179467102316933E-6</v>
      </c>
      <c r="L131" s="758">
        <v>1.0106828245560685E-5</v>
      </c>
      <c r="M131" s="758">
        <v>9.1697865606485496E-6</v>
      </c>
      <c r="N131" s="759">
        <v>1.9366709922599819E-5</v>
      </c>
      <c r="O131" s="759">
        <v>9.5225917165536403E-6</v>
      </c>
      <c r="P131" s="759">
        <v>9.1697865606485496E-6</v>
      </c>
      <c r="Q131" s="759">
        <v>9.3337932817719977E-6</v>
      </c>
      <c r="R131" s="759">
        <v>1.1670399325145533E-5</v>
      </c>
      <c r="S131" s="759">
        <v>1.0485898541962752E-5</v>
      </c>
    </row>
    <row r="132" spans="1:19" hidden="1" x14ac:dyDescent="0.25">
      <c r="A132" s="756" t="s">
        <v>687</v>
      </c>
      <c r="B132" s="757" t="s">
        <v>669</v>
      </c>
      <c r="C132" s="757" t="s">
        <v>681</v>
      </c>
      <c r="D132" s="758">
        <v>3.183470048158855E-6</v>
      </c>
      <c r="E132" s="758">
        <v>0</v>
      </c>
      <c r="F132" s="758">
        <v>3.183470048158855E-6</v>
      </c>
      <c r="G132" s="758">
        <v>1.9443626093968388E-5</v>
      </c>
      <c r="H132" s="758">
        <v>5.4256691133017009E-6</v>
      </c>
      <c r="I132" s="758">
        <v>5.5710195684170472E-6</v>
      </c>
      <c r="J132" s="758">
        <v>1.4400897703115127E-5</v>
      </c>
      <c r="K132" s="758">
        <v>0</v>
      </c>
      <c r="L132" s="758">
        <v>9.5181436865357338E-6</v>
      </c>
      <c r="M132" s="758">
        <v>7.9414056053655911E-6</v>
      </c>
      <c r="N132" s="759">
        <v>9.5237552444384861E-6</v>
      </c>
      <c r="O132" s="759">
        <v>7.5351970851741226E-6</v>
      </c>
      <c r="P132" s="759">
        <v>7.9414056053655911E-6</v>
      </c>
      <c r="Q132" s="759">
        <v>7.7424463301697699E-6</v>
      </c>
      <c r="R132" s="759">
        <v>8.8419638755478471E-6</v>
      </c>
      <c r="S132" s="759">
        <v>8.3859241577285304E-6</v>
      </c>
    </row>
    <row r="133" spans="1:19" hidden="1" x14ac:dyDescent="0.25">
      <c r="A133" s="756" t="s">
        <v>687</v>
      </c>
      <c r="B133" s="757" t="s">
        <v>666</v>
      </c>
      <c r="C133" s="757" t="s">
        <v>681</v>
      </c>
      <c r="D133" s="758">
        <v>3.183470048158855E-6</v>
      </c>
      <c r="E133" s="758">
        <v>0</v>
      </c>
      <c r="F133" s="758">
        <v>3.183470048158855E-6</v>
      </c>
      <c r="G133" s="758">
        <v>1.9443626093968388E-5</v>
      </c>
      <c r="H133" s="758">
        <v>1.5218088734386713E-5</v>
      </c>
      <c r="I133" s="758">
        <v>8.2719855834293149E-6</v>
      </c>
      <c r="J133" s="758">
        <v>1.4511013079905025E-5</v>
      </c>
      <c r="K133" s="758">
        <v>1.4381625328297254E-5</v>
      </c>
      <c r="L133" s="758">
        <v>9.5700776528009119E-6</v>
      </c>
      <c r="M133" s="758">
        <v>8.2558550741745789E-6</v>
      </c>
      <c r="N133" s="759">
        <v>1.2903277552919207E-5</v>
      </c>
      <c r="O133" s="759">
        <v>1.0462542140997814E-5</v>
      </c>
      <c r="P133" s="759">
        <v>8.2558550741745789E-6</v>
      </c>
      <c r="Q133" s="759">
        <v>9.2692965419008055E-6</v>
      </c>
      <c r="R133" s="759">
        <v>1.1359138822928123E-5</v>
      </c>
      <c r="S133" s="759">
        <v>9.9551443072717804E-6</v>
      </c>
    </row>
    <row r="134" spans="1:19" hidden="1" x14ac:dyDescent="0.25">
      <c r="A134" s="756" t="s">
        <v>687</v>
      </c>
      <c r="B134" s="757" t="s">
        <v>670</v>
      </c>
      <c r="C134" s="757" t="s">
        <v>681</v>
      </c>
      <c r="D134" s="758">
        <v>-2.5095565916071196E-5</v>
      </c>
      <c r="E134" s="758">
        <v>-3.7314988875905066E-5</v>
      </c>
      <c r="F134" s="758">
        <v>-2.4891987947746726E-5</v>
      </c>
      <c r="G134" s="758">
        <v>-2.5384760358463525E-5</v>
      </c>
      <c r="H134" s="758">
        <v>-8.0014264807952174E-5</v>
      </c>
      <c r="I134" s="758">
        <v>-2.5776105399064844E-5</v>
      </c>
      <c r="J134" s="758">
        <v>-3.8639121617590558E-5</v>
      </c>
      <c r="K134" s="758">
        <v>-2.2070774748680934E-5</v>
      </c>
      <c r="L134" s="758">
        <v>-3.0644975992202184E-5</v>
      </c>
      <c r="M134" s="758">
        <v>-4.6060818231483913E-5</v>
      </c>
      <c r="N134" s="759">
        <v>-3.689095995884334E-5</v>
      </c>
      <c r="O134" s="759">
        <v>-2.716894846104492E-5</v>
      </c>
      <c r="P134" s="759">
        <v>-4.6060818231483913E-5</v>
      </c>
      <c r="Q134" s="759">
        <v>-3.1498335283437192E-5</v>
      </c>
      <c r="R134" s="759">
        <v>-3.2557051218860913E-5</v>
      </c>
      <c r="S134" s="759">
        <v>-2.9377124380190216E-5</v>
      </c>
    </row>
    <row r="135" spans="1:19" hidden="1" x14ac:dyDescent="0.25">
      <c r="A135" s="756" t="s">
        <v>687</v>
      </c>
      <c r="B135" s="757" t="s">
        <v>672</v>
      </c>
      <c r="C135" s="757" t="s">
        <v>681</v>
      </c>
      <c r="D135" s="758">
        <v>0</v>
      </c>
      <c r="E135" s="758">
        <v>-1.3005148857234364E-4</v>
      </c>
      <c r="F135" s="758">
        <v>-2.5668056955067834E-4</v>
      </c>
      <c r="G135" s="758">
        <v>-3.5578439365486062E-5</v>
      </c>
      <c r="H135" s="758">
        <v>5.0790454634363885E-7</v>
      </c>
      <c r="I135" s="758">
        <v>5.6639799964763243E-7</v>
      </c>
      <c r="J135" s="758">
        <v>6.5636895219793329E-7</v>
      </c>
      <c r="K135" s="758">
        <v>0</v>
      </c>
      <c r="L135" s="758">
        <v>0</v>
      </c>
      <c r="M135" s="758">
        <v>8.2046119024741658E-7</v>
      </c>
      <c r="N135" s="759">
        <v>-6.2269779179114423E-6</v>
      </c>
      <c r="O135" s="759">
        <v>0</v>
      </c>
      <c r="P135" s="759">
        <v>8.2046119024741658E-7</v>
      </c>
      <c r="Q135" s="759">
        <v>2.7348706341580554E-7</v>
      </c>
      <c r="R135" s="759">
        <v>-5.9778988011949846E-6</v>
      </c>
      <c r="S135" s="759">
        <v>-7.6648193989396177E-5</v>
      </c>
    </row>
    <row r="136" spans="1:19" hidden="1" x14ac:dyDescent="0.25">
      <c r="A136" s="761" t="s">
        <v>687</v>
      </c>
      <c r="B136" s="762" t="s">
        <v>675</v>
      </c>
      <c r="C136" s="762" t="s">
        <v>681</v>
      </c>
      <c r="D136" s="763"/>
      <c r="E136" s="763"/>
      <c r="F136" s="763"/>
      <c r="G136" s="763"/>
      <c r="H136" s="763"/>
      <c r="I136" s="763"/>
      <c r="J136" s="763"/>
      <c r="K136" s="763"/>
      <c r="L136" s="763"/>
      <c r="M136" s="763"/>
      <c r="N136" s="763"/>
      <c r="O136" s="763"/>
      <c r="P136" s="763"/>
      <c r="Q136" s="763"/>
      <c r="R136" s="763"/>
      <c r="S136" s="763"/>
    </row>
    <row r="137" spans="1:19" x14ac:dyDescent="0.25">
      <c r="R137" s="810"/>
      <c r="S137" s="810"/>
    </row>
    <row r="138" spans="1:19" x14ac:dyDescent="0.25">
      <c r="R138" s="810"/>
      <c r="S138" s="810"/>
    </row>
    <row r="139" spans="1:19" x14ac:dyDescent="0.25">
      <c r="R139" s="810"/>
      <c r="S139" s="810"/>
    </row>
    <row r="140" spans="1:19" x14ac:dyDescent="0.25">
      <c r="R140" s="810"/>
      <c r="S140" s="810"/>
    </row>
    <row r="141" spans="1:19" x14ac:dyDescent="0.25">
      <c r="R141" s="810"/>
      <c r="S141" s="810"/>
    </row>
    <row r="142" spans="1:19" x14ac:dyDescent="0.25">
      <c r="R142" s="810"/>
      <c r="S142" s="810"/>
    </row>
    <row r="143" spans="1:19" x14ac:dyDescent="0.25">
      <c r="R143" s="810"/>
      <c r="S143" s="810"/>
    </row>
    <row r="144" spans="1:19" x14ac:dyDescent="0.25">
      <c r="R144" s="810"/>
      <c r="S144" s="810"/>
    </row>
    <row r="145" spans="18:19" x14ac:dyDescent="0.25">
      <c r="R145" s="810"/>
      <c r="S145" s="810"/>
    </row>
    <row r="146" spans="18:19" x14ac:dyDescent="0.25">
      <c r="R146" s="810"/>
      <c r="S146" s="810"/>
    </row>
    <row r="147" spans="18:19" x14ac:dyDescent="0.25">
      <c r="R147" s="810"/>
      <c r="S147" s="810"/>
    </row>
    <row r="148" spans="18:19" x14ac:dyDescent="0.25">
      <c r="R148" s="810"/>
      <c r="S148" s="810"/>
    </row>
  </sheetData>
  <mergeCells count="15">
    <mergeCell ref="AS1:BO1"/>
    <mergeCell ref="U2:AQ2"/>
    <mergeCell ref="AS2:BO2"/>
    <mergeCell ref="X79:AA79"/>
    <mergeCell ref="AV79:AY79"/>
    <mergeCell ref="D5:F5"/>
    <mergeCell ref="G5:J5"/>
    <mergeCell ref="K5:L5"/>
    <mergeCell ref="N5:O5"/>
    <mergeCell ref="U1:AQ1"/>
    <mergeCell ref="A1:S1"/>
    <mergeCell ref="D3:P3"/>
    <mergeCell ref="D4:F4"/>
    <mergeCell ref="G4:L4"/>
    <mergeCell ref="N4:S4"/>
  </mergeCells>
  <conditionalFormatting sqref="G16">
    <cfRule type="cellIs" dxfId="53" priority="43" operator="equal">
      <formula>FALSE</formula>
    </cfRule>
  </conditionalFormatting>
  <conditionalFormatting sqref="H16:M16">
    <cfRule type="cellIs" dxfId="52" priority="42" operator="equal">
      <formula>FALSE</formula>
    </cfRule>
  </conditionalFormatting>
  <conditionalFormatting sqref="D16:F16">
    <cfRule type="cellIs" dxfId="51" priority="41" operator="equal">
      <formula>FALSE</formula>
    </cfRule>
  </conditionalFormatting>
  <conditionalFormatting sqref="D26">
    <cfRule type="cellIs" dxfId="50" priority="40" operator="equal">
      <formula>FALSE</formula>
    </cfRule>
  </conditionalFormatting>
  <conditionalFormatting sqref="E26:G26">
    <cfRule type="cellIs" dxfId="49" priority="39" operator="equal">
      <formula>FALSE</formula>
    </cfRule>
  </conditionalFormatting>
  <conditionalFormatting sqref="H26:M26">
    <cfRule type="cellIs" dxfId="48" priority="38" operator="equal">
      <formula>FALSE</formula>
    </cfRule>
  </conditionalFormatting>
  <conditionalFormatting sqref="N16">
    <cfRule type="cellIs" dxfId="47" priority="37" operator="equal">
      <formula>FALSE</formula>
    </cfRule>
  </conditionalFormatting>
  <conditionalFormatting sqref="O16">
    <cfRule type="cellIs" dxfId="46" priority="36" operator="equal">
      <formula>FALSE</formula>
    </cfRule>
  </conditionalFormatting>
  <conditionalFormatting sqref="P16">
    <cfRule type="cellIs" dxfId="45" priority="35" operator="equal">
      <formula>FALSE</formula>
    </cfRule>
  </conditionalFormatting>
  <conditionalFormatting sqref="N26:P26">
    <cfRule type="cellIs" dxfId="44" priority="34" operator="equal">
      <formula>FALSE</formula>
    </cfRule>
  </conditionalFormatting>
  <conditionalFormatting sqref="D36">
    <cfRule type="cellIs" dxfId="43" priority="33" operator="equal">
      <formula>FALSE</formula>
    </cfRule>
  </conditionalFormatting>
  <conditionalFormatting sqref="E36:G36">
    <cfRule type="cellIs" dxfId="42" priority="32" operator="equal">
      <formula>FALSE</formula>
    </cfRule>
  </conditionalFormatting>
  <conditionalFormatting sqref="H36:M36">
    <cfRule type="cellIs" dxfId="41" priority="31" operator="equal">
      <formula>FALSE</formula>
    </cfRule>
  </conditionalFormatting>
  <conditionalFormatting sqref="N36:P36">
    <cfRule type="cellIs" dxfId="40" priority="30" operator="equal">
      <formula>FALSE</formula>
    </cfRule>
  </conditionalFormatting>
  <conditionalFormatting sqref="D46">
    <cfRule type="cellIs" dxfId="39" priority="29" operator="equal">
      <formula>FALSE</formula>
    </cfRule>
  </conditionalFormatting>
  <conditionalFormatting sqref="E46:G46">
    <cfRule type="cellIs" dxfId="38" priority="28" operator="equal">
      <formula>FALSE</formula>
    </cfRule>
  </conditionalFormatting>
  <conditionalFormatting sqref="H46:M46">
    <cfRule type="cellIs" dxfId="37" priority="27" operator="equal">
      <formula>FALSE</formula>
    </cfRule>
  </conditionalFormatting>
  <conditionalFormatting sqref="N46:P46">
    <cfRule type="cellIs" dxfId="36" priority="26" operator="equal">
      <formula>FALSE</formula>
    </cfRule>
  </conditionalFormatting>
  <conditionalFormatting sqref="D56">
    <cfRule type="cellIs" dxfId="35" priority="25" operator="equal">
      <formula>FALSE</formula>
    </cfRule>
  </conditionalFormatting>
  <conditionalFormatting sqref="E56:G56">
    <cfRule type="cellIs" dxfId="34" priority="24" operator="equal">
      <formula>FALSE</formula>
    </cfRule>
  </conditionalFormatting>
  <conditionalFormatting sqref="H56:M56">
    <cfRule type="cellIs" dxfId="33" priority="23" operator="equal">
      <formula>FALSE</formula>
    </cfRule>
  </conditionalFormatting>
  <conditionalFormatting sqref="N56:P56">
    <cfRule type="cellIs" dxfId="32" priority="22" operator="equal">
      <formula>FALSE</formula>
    </cfRule>
  </conditionalFormatting>
  <conditionalFormatting sqref="D66">
    <cfRule type="cellIs" dxfId="31" priority="21" operator="equal">
      <formula>FALSE</formula>
    </cfRule>
  </conditionalFormatting>
  <conditionalFormatting sqref="E66:G66">
    <cfRule type="cellIs" dxfId="30" priority="20" operator="equal">
      <formula>FALSE</formula>
    </cfRule>
  </conditionalFormatting>
  <conditionalFormatting sqref="H66:M66">
    <cfRule type="cellIs" dxfId="29" priority="19" operator="equal">
      <formula>FALSE</formula>
    </cfRule>
  </conditionalFormatting>
  <conditionalFormatting sqref="N66:P66">
    <cfRule type="cellIs" dxfId="28" priority="18" operator="equal">
      <formula>FALSE</formula>
    </cfRule>
  </conditionalFormatting>
  <conditionalFormatting sqref="D76">
    <cfRule type="cellIs" dxfId="27" priority="17" operator="equal">
      <formula>FALSE</formula>
    </cfRule>
  </conditionalFormatting>
  <conditionalFormatting sqref="E76:G76">
    <cfRule type="cellIs" dxfId="26" priority="16" operator="equal">
      <formula>FALSE</formula>
    </cfRule>
  </conditionalFormatting>
  <conditionalFormatting sqref="H76:M76">
    <cfRule type="cellIs" dxfId="25" priority="15" operator="equal">
      <formula>FALSE</formula>
    </cfRule>
  </conditionalFormatting>
  <conditionalFormatting sqref="N76:P76">
    <cfRule type="cellIs" dxfId="24" priority="14" operator="equal">
      <formula>FALSE</formula>
    </cfRule>
  </conditionalFormatting>
  <conditionalFormatting sqref="Q16:S16">
    <cfRule type="cellIs" dxfId="23" priority="13" operator="equal">
      <formula>FALSE</formula>
    </cfRule>
  </conditionalFormatting>
  <conditionalFormatting sqref="R26:S26">
    <cfRule type="cellIs" dxfId="22" priority="12" operator="equal">
      <formula>FALSE</formula>
    </cfRule>
  </conditionalFormatting>
  <conditionalFormatting sqref="Q26">
    <cfRule type="cellIs" dxfId="21" priority="11" operator="equal">
      <formula>FALSE</formula>
    </cfRule>
  </conditionalFormatting>
  <conditionalFormatting sqref="Q36">
    <cfRule type="cellIs" dxfId="20" priority="10" operator="equal">
      <formula>FALSE</formula>
    </cfRule>
  </conditionalFormatting>
  <conditionalFormatting sqref="R36:S36">
    <cfRule type="cellIs" dxfId="19" priority="9" operator="equal">
      <formula>FALSE</formula>
    </cfRule>
  </conditionalFormatting>
  <conditionalFormatting sqref="Q46">
    <cfRule type="cellIs" dxfId="18" priority="8" operator="equal">
      <formula>FALSE</formula>
    </cfRule>
  </conditionalFormatting>
  <conditionalFormatting sqref="R46:S46">
    <cfRule type="cellIs" dxfId="17" priority="7" operator="equal">
      <formula>FALSE</formula>
    </cfRule>
  </conditionalFormatting>
  <conditionalFormatting sqref="Q56">
    <cfRule type="cellIs" dxfId="16" priority="6" operator="equal">
      <formula>FALSE</formula>
    </cfRule>
  </conditionalFormatting>
  <conditionalFormatting sqref="R56:S56">
    <cfRule type="cellIs" dxfId="15" priority="5" operator="equal">
      <formula>FALSE</formula>
    </cfRule>
  </conditionalFormatting>
  <conditionalFormatting sqref="Q66">
    <cfRule type="cellIs" dxfId="14" priority="4" operator="equal">
      <formula>FALSE</formula>
    </cfRule>
  </conditionalFormatting>
  <conditionalFormatting sqref="R66:S66">
    <cfRule type="cellIs" dxfId="13" priority="3" operator="equal">
      <formula>FALSE</formula>
    </cfRule>
  </conditionalFormatting>
  <conditionalFormatting sqref="Q76">
    <cfRule type="cellIs" dxfId="12" priority="2" operator="equal">
      <formula>FALSE</formula>
    </cfRule>
  </conditionalFormatting>
  <conditionalFormatting sqref="R76:S76">
    <cfRule type="cellIs" dxfId="11" priority="1" operator="equal">
      <formula>FALSE</formula>
    </cfRule>
  </conditionalFormatting>
  <pageMargins left="0.7" right="0.7" top="0.75" bottom="0.75" header="0.3" footer="0.3"/>
  <pageSetup scale="83" orientation="landscape" r:id="rId1"/>
  <headerFooter>
    <oddHeader>&amp;A</oddHeader>
    <oddFoote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7725-B05B-474A-A1C4-E69630871D7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 min="37" max="37" width="8.85546875" customWidth="1"/>
  </cols>
  <sheetData>
    <row r="1" spans="1:38"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8" ht="15.75" x14ac:dyDescent="0.25">
      <c r="A2" s="273" t="s">
        <v>105</v>
      </c>
      <c r="B2" s="665">
        <v>2029</v>
      </c>
      <c r="AJ2" s="365" t="s">
        <v>106</v>
      </c>
    </row>
    <row r="3" spans="1:38"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8"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1</v>
      </c>
      <c r="J4" s="834"/>
      <c r="K4" s="836">
        <f ca="1">IF(OFFSET(Summary!$D$5,MATCH(K6,Summary!$A$6:$A$18,0),MATCH($B$2,Summary!$E$5:$O$5,0))="n/a",0,OFFSET(Summary!$D$5,MATCH(K6,Summary!$A$6:$A$18,0),MATCH($B$2,Summary!$E$5:$O$5,0)))</f>
        <v>1</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0.8</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1</v>
      </c>
      <c r="X4" s="834"/>
      <c r="AA4" s="833">
        <f ca="1">OFFSET(Summary!$D$5,MATCH("CURT",Summary!$A$6:$A$18,0),MATCH($B$2,Summary!$E$5:$O$5,0))</f>
        <v>0.5</v>
      </c>
      <c r="AB4" s="833"/>
      <c r="AC4" s="833"/>
      <c r="AD4" s="833"/>
      <c r="AH4" s="1" t="s">
        <v>111</v>
      </c>
      <c r="AI4" s="1" t="s">
        <v>112</v>
      </c>
      <c r="AJ4">
        <v>8</v>
      </c>
    </row>
    <row r="5" spans="1:38"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8"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8" x14ac:dyDescent="0.25">
      <c r="A7" s="812" t="s">
        <v>122</v>
      </c>
      <c r="B7" s="812"/>
      <c r="C7" s="829" t="str">
        <f>B2&amp;"BSR"</f>
        <v>2029BSR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8"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8" ht="15.75" thickTop="1" x14ac:dyDescent="0.25">
      <c r="A9" s="812" t="s">
        <v>137</v>
      </c>
      <c r="B9" s="812">
        <v>2104008100</v>
      </c>
      <c r="C9" s="5">
        <f ca="1">INDIRECT("'DevSumOut-"&amp;Year&amp;"BSR'!R50")</f>
        <v>0.70760873023590076</v>
      </c>
      <c r="D9" s="5">
        <f ca="1">INDIRECT("'DevSumOut-"&amp;Year&amp;"BSR'!P50")</f>
        <v>8.1804477483919183E-3</v>
      </c>
      <c r="E9" s="5">
        <f ca="1">OFFSET('WSCOReductions-5PctSIP'!$U$81,0,MATCH($B$2,'WSCOReductions-5PctSIP'!$X$78:$AQ$78,1)+2)</f>
        <v>0.35413311692253951</v>
      </c>
      <c r="F9" s="5">
        <f ca="1">OFFSET('WSCOReductions-5PctSIP'!$U$84,0,MATCH($B$2,'WSCOReductions-5PctSIP'!$X$78:$AQ$78,1)+2)</f>
        <v>1.7580572651246292E-3</v>
      </c>
      <c r="G9" s="5">
        <f ca="1">'STF-12'!Q186</f>
        <v>-1.0398269896193826E-2</v>
      </c>
      <c r="H9" s="5">
        <f ca="1">'STF-12'!P186</f>
        <v>-1.0398269896193822E-2</v>
      </c>
      <c r="I9" s="5">
        <f ca="1">'STF-13'!Q82</f>
        <v>7.0666842515634043E-2</v>
      </c>
      <c r="J9" s="5">
        <f ca="1">'STF-13'!P82</f>
        <v>7.0666842515634251E-2</v>
      </c>
      <c r="K9" s="5">
        <f ca="1">'STF-17'!R114</f>
        <v>1</v>
      </c>
      <c r="L9" s="5">
        <f ca="1">'STF-17'!Q114</f>
        <v>1</v>
      </c>
      <c r="M9" s="5">
        <f ca="1">'BACM-R8'!P153*($B$2-$M$3+1)</f>
        <v>0.47937569676700109</v>
      </c>
      <c r="N9" s="5">
        <f ca="1">'BACM-R8'!O153*($B$2-$M$3+1)</f>
        <v>0.4793756967670012</v>
      </c>
      <c r="O9" s="5">
        <f ca="1">'BACM-48'!R73</f>
        <v>0</v>
      </c>
      <c r="P9" s="5">
        <f ca="1">'BACM-48'!Q73</f>
        <v>0</v>
      </c>
      <c r="Q9" s="5">
        <f ca="1">OFFSET('STF-22'!$E$173,MATCH($B9,'STF-22'!$A$174:$A$191,0),MATCH($B$2,'STF-22'!$F$172:$AD$172,0))</f>
        <v>0.29036880685728772</v>
      </c>
      <c r="R9" s="5">
        <f ca="1">OFFSET('STF-22'!$E$173,MATCH($B9,'STF-22'!$A$174:$A$191,0),MATCH($B$2,'STF-22'!$F$172:$AD$172,0)-1)</f>
        <v>0.29036880685728778</v>
      </c>
      <c r="S9" s="5">
        <f>'STF-23'!H84</f>
        <v>0</v>
      </c>
      <c r="T9" s="5">
        <f>'STF-23'!G84</f>
        <v>0</v>
      </c>
      <c r="U9" s="688">
        <f ca="1">'CM-SerSIP'!R90</f>
        <v>0</v>
      </c>
      <c r="V9" s="688">
        <f ca="1">'CM-SerSIP'!Q90</f>
        <v>0</v>
      </c>
      <c r="W9" s="701">
        <f t="shared" ref="W9:X21" si="0">W46</f>
        <v>0.16460262252193775</v>
      </c>
      <c r="X9" s="701">
        <f t="shared" si="0"/>
        <v>0.1578227268725815</v>
      </c>
      <c r="Y9" s="510">
        <f ca="1">1-(1-E9)*(1-G9)*(1-I9)*(1-K9)*(1-M9)*(1-O9)*(1-Q9)*(1-S9)*(1-W9)</f>
        <v>1</v>
      </c>
      <c r="Z9" s="510">
        <f ca="1">1-(1-F9)*(1-H9)*(1-J9)*(1-L9)*(1-N9)*(1-P9)*(1-R9)*(1-T9)*(1-X9)</f>
        <v>1</v>
      </c>
      <c r="AA9" s="617">
        <f ca="1">VLOOKUP($B9,'CurtailCalcsFull-2Stage'!$AS$91:$BE$109,10,FALSE)</f>
        <v>0</v>
      </c>
      <c r="AB9" s="617">
        <f ca="1">VLOOKUP($B9,'CurtailCalcsFull-2Stage'!$AS$91:$BE$109,11,FALSE)</f>
        <v>0.47992943807892907</v>
      </c>
      <c r="AC9" s="617">
        <f ca="1">VLOOKUP($B9,'CurtailCalcsFull-2Stage'!$AS$91:$BE$109,12,FALSE)</f>
        <v>0</v>
      </c>
      <c r="AD9" s="617">
        <f ca="1">VLOOKUP($B9,'CurtailCalcsFull-2Stage'!$AS$91:$BE$109,13,FALSE)</f>
        <v>9.3641964199060457E-2</v>
      </c>
      <c r="AE9" s="510">
        <f ca="1">1-(1-$Y9)*(1-AA9)</f>
        <v>1</v>
      </c>
      <c r="AF9" s="510">
        <f ca="1">1-(1-$Y9)*(1-AB9)</f>
        <v>1</v>
      </c>
      <c r="AG9" s="510">
        <f ca="1">1-(1-$Z9)*(1-AC9)</f>
        <v>1</v>
      </c>
      <c r="AH9" s="510">
        <f ca="1">1-(1-$Z9)*(1-AD9)</f>
        <v>1</v>
      </c>
      <c r="AI9" s="530">
        <f ca="1">(Y9*$AJ$3+AE9*$AJ$4+AF9*$AJ$5)/35</f>
        <v>1</v>
      </c>
      <c r="AJ9" s="530">
        <f ca="1">(Z9*$AJ$3+AG9*$AJ$4+AH9*$AJ$5)/35</f>
        <v>1</v>
      </c>
      <c r="AK9" s="133"/>
      <c r="AL9" s="5"/>
    </row>
    <row r="10" spans="1:38" x14ac:dyDescent="0.25">
      <c r="A10" s="812" t="s">
        <v>138</v>
      </c>
      <c r="B10" s="812">
        <v>2104008210</v>
      </c>
      <c r="C10" s="5">
        <f ca="1">INDIRECT("'DevSumOut-"&amp;Year&amp;"BSR'!R51")</f>
        <v>5.5224662623176032E-2</v>
      </c>
      <c r="D10" s="5">
        <f ca="1">INDIRECT("'DevSumOut-"&amp;Year&amp;"BSR'!P51")</f>
        <v>7.2189101468203944E-4</v>
      </c>
      <c r="E10" s="5">
        <f ca="1">OFFSET('WSCOReductions-5PctSIP'!$U$81,0,MATCH($B$2,'WSCOReductions-5PctSIP'!$X$78:$AQ$78,1)+2)</f>
        <v>0.35413311692253951</v>
      </c>
      <c r="F10" s="5">
        <f ca="1">OFFSET('WSCOReductions-5PctSIP'!$U$84,0,MATCH($B$2,'WSCOReductions-5PctSIP'!$X$78:$AQ$78,1)+2)</f>
        <v>1.7580572651246292E-3</v>
      </c>
      <c r="G10" s="5">
        <f ca="1">'STF-12'!Q187</f>
        <v>-1.0398269896193826E-2</v>
      </c>
      <c r="H10" s="5">
        <f ca="1">'STF-12'!P187</f>
        <v>-1.0398269896193822E-2</v>
      </c>
      <c r="I10" s="5">
        <f ca="1">'STF-13'!Q83</f>
        <v>7.0666842515634209E-2</v>
      </c>
      <c r="J10" s="5">
        <f ca="1">'STF-13'!P83</f>
        <v>7.0666842515634209E-2</v>
      </c>
      <c r="K10" s="5">
        <f ca="1">'STF-17'!R115</f>
        <v>1</v>
      </c>
      <c r="L10" s="5">
        <f ca="1">'STF-17'!Q115</f>
        <v>1</v>
      </c>
      <c r="M10" s="5">
        <f ca="1">'BACM-R8'!P154*($B$2-$M$3+1)</f>
        <v>0.81081081081081086</v>
      </c>
      <c r="N10" s="5">
        <f ca="1">'BACM-R8'!O154*($B$2-$M$3+1)</f>
        <v>0.81081081081081086</v>
      </c>
      <c r="O10" s="5">
        <f ca="1">'BACM-48'!R74</f>
        <v>0</v>
      </c>
      <c r="P10" s="5">
        <f ca="1">'BACM-48'!Q74</f>
        <v>0</v>
      </c>
      <c r="Q10" s="5">
        <f ca="1">OFFSET('STF-22'!$E$173,MATCH($B10,'STF-22'!$A$174:$A$191,0),MATCH($B$2,'STF-22'!$F$172:$AD$172,0))</f>
        <v>0.28242495635497405</v>
      </c>
      <c r="R10" s="5">
        <f ca="1">OFFSET('STF-22'!$E$173,MATCH($B10,'STF-22'!$A$174:$A$191,0),MATCH($B$2,'STF-22'!$F$172:$AD$172,0)-1)</f>
        <v>0.28242495635497411</v>
      </c>
      <c r="S10" s="5">
        <f>'STF-23'!H85</f>
        <v>0</v>
      </c>
      <c r="T10" s="5">
        <f>'STF-23'!G85</f>
        <v>0</v>
      </c>
      <c r="U10" s="688">
        <f ca="1">'CM-SerSIP'!R91</f>
        <v>0</v>
      </c>
      <c r="V10" s="688">
        <f ca="1">'CM-SerSIP'!Q91</f>
        <v>0</v>
      </c>
      <c r="W10" s="701">
        <f t="shared" si="0"/>
        <v>0.16460262252193775</v>
      </c>
      <c r="X10" s="701">
        <f t="shared" si="0"/>
        <v>0.15782272687258148</v>
      </c>
      <c r="Y10" s="510">
        <f t="shared" ref="Y10:Y26" ca="1" si="1">1-(1-E10)*(1-G10)*(1-I10)*(1-K10)*(1-M10)*(1-O10)*(1-Q10)*(1-S10)*(1-W10)</f>
        <v>1</v>
      </c>
      <c r="Z10" s="510">
        <f t="shared" ref="Z10:Z26" ca="1" si="2">1-(1-F10)*(1-H10)*(1-J10)*(1-L10)*(1-N10)*(1-P10)*(1-R10)*(1-T10)*(1-X10)</f>
        <v>1</v>
      </c>
      <c r="AA10" s="617">
        <f ca="1">VLOOKUP($B10,'CurtailCalcsFull-2Stage'!$AS$91:$BE$109,10,FALSE)</f>
        <v>0.47954408170512597</v>
      </c>
      <c r="AB10" s="617">
        <f ca="1">VLOOKUP($B10,'CurtailCalcsFull-2Stage'!$AS$91:$BE$109,11,FALSE)</f>
        <v>0.47954408170512597</v>
      </c>
      <c r="AC10" s="617">
        <f ca="1">VLOOKUP($B10,'CurtailCalcsFull-2Stage'!$AS$91:$BE$109,12,FALSE)</f>
        <v>-1.7277602045767972</v>
      </c>
      <c r="AD10" s="617">
        <f ca="1">VLOOKUP($B10,'CurtailCalcsFull-2Stage'!$AS$91:$BE$109,13,FALSE)</f>
        <v>-1.7277602045767972</v>
      </c>
      <c r="AE10" s="510">
        <f t="shared" ref="AE10:AF26" ca="1" si="3">1-(1-$Y10)*(1-AA10)</f>
        <v>1</v>
      </c>
      <c r="AF10" s="510">
        <f t="shared" ca="1" si="3"/>
        <v>1</v>
      </c>
      <c r="AG10" s="510">
        <f t="shared" ref="AG10:AH26" ca="1" si="4">1-(1-$Z10)*(1-AC10)</f>
        <v>1</v>
      </c>
      <c r="AH10" s="510">
        <f t="shared" ca="1" si="4"/>
        <v>1</v>
      </c>
      <c r="AI10" s="530">
        <f t="shared" ref="AI10:AI26" ca="1" si="5">(Y10*$AJ$3+AE10*$AJ$4+AF10*$AJ$5)/35</f>
        <v>1</v>
      </c>
      <c r="AJ10" s="530">
        <f t="shared" ref="AJ10:AJ26" ca="1" si="6">(Z10*$AJ$3+AG10*$AJ$4+AH10*$AJ$5)/35</f>
        <v>1</v>
      </c>
      <c r="AK10" s="133"/>
      <c r="AL10" s="5"/>
    </row>
    <row r="11" spans="1:38" x14ac:dyDescent="0.25">
      <c r="A11" s="812" t="s">
        <v>139</v>
      </c>
      <c r="B11" s="812">
        <v>2104008220</v>
      </c>
      <c r="C11" s="5">
        <f ca="1">INDIRECT("'DevSumOut-"&amp;Year&amp;"BSR'!R52")</f>
        <v>4.5596433431037281E-2</v>
      </c>
      <c r="D11" s="5">
        <f ca="1">INDIRECT("'DevSumOut-"&amp;Year&amp;"BSR'!P52")</f>
        <v>1.5198811143679099E-3</v>
      </c>
      <c r="E11" s="5">
        <f ca="1">OFFSET('WSCOReductions-5PctSIP'!$U$81,0,MATCH($B$2,'WSCOReductions-5PctSIP'!$X$78:$AQ$78,1)+2)</f>
        <v>0.35413311692253951</v>
      </c>
      <c r="F11" s="5">
        <f ca="1">OFFSET('WSCOReductions-5PctSIP'!$U$84,0,MATCH($B$2,'WSCOReductions-5PctSIP'!$X$78:$AQ$78,1)+2)</f>
        <v>1.7580572651246292E-3</v>
      </c>
      <c r="G11" s="5">
        <f ca="1">'STF-12'!Q188</f>
        <v>-1.0398269896193826E-2</v>
      </c>
      <c r="H11" s="5">
        <f ca="1">'STF-12'!P188</f>
        <v>-1.0398269896193822E-2</v>
      </c>
      <c r="I11" s="5">
        <f ca="1">'STF-13'!Q84</f>
        <v>7.0666842515634251E-2</v>
      </c>
      <c r="J11" s="5">
        <f ca="1">'STF-13'!P84</f>
        <v>7.0666842515634182E-2</v>
      </c>
      <c r="K11" s="5">
        <f ca="1">'STF-17'!R116</f>
        <v>-6.7764400399931451E-2</v>
      </c>
      <c r="L11" s="5">
        <f ca="1">'STF-17'!Q116</f>
        <v>-6.5706639279792256E-2</v>
      </c>
      <c r="M11" s="5">
        <f ca="1">'BACM-R8'!P155*($B$2-$M$3+1)</f>
        <v>0.3344616103004534</v>
      </c>
      <c r="N11" s="5">
        <f ca="1">'BACM-R8'!O155*($B$2-$M$3+1)</f>
        <v>0.11095539879353944</v>
      </c>
      <c r="O11" s="5">
        <f ca="1">'BACM-48'!R75</f>
        <v>0</v>
      </c>
      <c r="P11" s="5">
        <f ca="1">'BACM-48'!Q75</f>
        <v>0</v>
      </c>
      <c r="Q11" s="5">
        <f ca="1">OFFSET('STF-22'!$E$173,MATCH($B11,'STF-22'!$A$174:$A$191,0),MATCH($B$2,'STF-22'!$F$172:$AD$172,0))</f>
        <v>1</v>
      </c>
      <c r="R11" s="5">
        <f ca="1">OFFSET('STF-22'!$E$173,MATCH($B11,'STF-22'!$A$174:$A$191,0),MATCH($B$2,'STF-22'!$F$172:$AD$172,0)-1)</f>
        <v>1</v>
      </c>
      <c r="S11" s="5">
        <f>'STF-23'!H86</f>
        <v>0</v>
      </c>
      <c r="T11" s="5">
        <f>'STF-23'!G86</f>
        <v>0</v>
      </c>
      <c r="U11" s="688">
        <f ca="1">'CM-SerSIP'!R92</f>
        <v>0.41580305769991144</v>
      </c>
      <c r="V11" s="688">
        <f ca="1">'CM-SerSIP'!Q92</f>
        <v>0.40317661430603374</v>
      </c>
      <c r="W11" s="701">
        <f t="shared" si="0"/>
        <v>0.16460262252193772</v>
      </c>
      <c r="X11" s="701">
        <f t="shared" si="0"/>
        <v>0.15782272687258148</v>
      </c>
      <c r="Y11" s="510">
        <f t="shared" ca="1" si="1"/>
        <v>1</v>
      </c>
      <c r="Z11" s="510">
        <f t="shared" ca="1" si="2"/>
        <v>1</v>
      </c>
      <c r="AA11" s="617">
        <f ca="1">VLOOKUP($B11,'CurtailCalcsFull-2Stage'!$AS$91:$BE$109,10,FALSE)</f>
        <v>0.29420413770727238</v>
      </c>
      <c r="AB11" s="617">
        <f ca="1">VLOOKUP($B11,'CurtailCalcsFull-2Stage'!$AS$91:$BE$109,11,FALSE)</f>
        <v>0.47808172377431757</v>
      </c>
      <c r="AC11" s="617">
        <f ca="1">VLOOKUP($B11,'CurtailCalcsFull-2Stage'!$AS$91:$BE$109,12,FALSE)</f>
        <v>-1.9463411308010556</v>
      </c>
      <c r="AD11" s="617">
        <f ca="1">VLOOKUP($B11,'CurtailCalcsFull-2Stage'!$AS$91:$BE$109,13,FALSE)</f>
        <v>-3.1628043375517159</v>
      </c>
      <c r="AE11" s="510">
        <f t="shared" ca="1" si="3"/>
        <v>1</v>
      </c>
      <c r="AF11" s="510">
        <f t="shared" ca="1" si="3"/>
        <v>1</v>
      </c>
      <c r="AG11" s="510">
        <f t="shared" ca="1" si="4"/>
        <v>1</v>
      </c>
      <c r="AH11" s="510">
        <f t="shared" ca="1" si="4"/>
        <v>1</v>
      </c>
      <c r="AI11" s="530">
        <f t="shared" ca="1" si="5"/>
        <v>1</v>
      </c>
      <c r="AJ11" s="530">
        <f t="shared" ca="1" si="6"/>
        <v>1</v>
      </c>
      <c r="AK11" s="133"/>
      <c r="AL11" s="5"/>
    </row>
    <row r="12" spans="1:38" x14ac:dyDescent="0.25">
      <c r="A12" s="812" t="s">
        <v>140</v>
      </c>
      <c r="B12" s="812">
        <v>2104008230</v>
      </c>
      <c r="C12" s="5">
        <f ca="1">INDIRECT("'DevSumOut-"&amp;Year&amp;"BSR'!R53")</f>
        <v>2.9740090689211549E-2</v>
      </c>
      <c r="D12" s="5">
        <f ca="1">INDIRECT("'DevSumOut-"&amp;Year&amp;"BSR'!P53")</f>
        <v>9.1507971351420146E-4</v>
      </c>
      <c r="E12" s="5">
        <f ca="1">OFFSET('WSCOReductions-5PctSIP'!$U$81,0,MATCH($B$2,'WSCOReductions-5PctSIP'!$X$78:$AQ$78,1)+2)</f>
        <v>0.35413311692253951</v>
      </c>
      <c r="F12" s="5">
        <f ca="1">OFFSET('WSCOReductions-5PctSIP'!$U$84,0,MATCH($B$2,'WSCOReductions-5PctSIP'!$X$78:$AQ$78,1)+2)</f>
        <v>1.7580572651246292E-3</v>
      </c>
      <c r="G12" s="5">
        <f ca="1">'STF-12'!Q189</f>
        <v>-1.0398269896193826E-2</v>
      </c>
      <c r="H12" s="5">
        <f ca="1">'STF-12'!P189</f>
        <v>-1.0398269896193822E-2</v>
      </c>
      <c r="I12" s="5">
        <f ca="1">'STF-13'!Q85</f>
        <v>7.0666842515634237E-2</v>
      </c>
      <c r="J12" s="5">
        <f ca="1">'STF-13'!P85</f>
        <v>7.0666842515634209E-2</v>
      </c>
      <c r="K12" s="5">
        <f ca="1">'STF-17'!R117</f>
        <v>-6.7764400399931465E-2</v>
      </c>
      <c r="L12" s="5">
        <f ca="1">'STF-17'!Q117</f>
        <v>-7.1182192553108287E-2</v>
      </c>
      <c r="M12" s="5">
        <f ca="1">'BACM-R8'!P156*($B$2-$M$3+1)</f>
        <v>0.33446161030045357</v>
      </c>
      <c r="N12" s="5">
        <f ca="1">'BACM-R8'!O156*($B$2-$M$3+1)</f>
        <v>0.12020168202633447</v>
      </c>
      <c r="O12" s="5">
        <f ca="1">'BACM-48'!R76</f>
        <v>0</v>
      </c>
      <c r="P12" s="5">
        <f ca="1">'BACM-48'!Q76</f>
        <v>0</v>
      </c>
      <c r="Q12" s="5">
        <f ca="1">OFFSET('STF-22'!$E$173,MATCH($B12,'STF-22'!$A$174:$A$191,0),MATCH($B$2,'STF-22'!$F$172:$AD$172,0))</f>
        <v>1</v>
      </c>
      <c r="R12" s="5">
        <f ca="1">OFFSET('STF-22'!$E$173,MATCH($B12,'STF-22'!$A$174:$A$191,0),MATCH($B$2,'STF-22'!$F$172:$AD$172,0)-1)</f>
        <v>1</v>
      </c>
      <c r="S12" s="5">
        <f ca="1">'STF-23'!H87</f>
        <v>1.9672510559509311E-2</v>
      </c>
      <c r="T12" s="5">
        <f ca="1">'STF-23'!G87</f>
        <v>0</v>
      </c>
      <c r="U12" s="688">
        <f ca="1">'CM-SerSIP'!R93</f>
        <v>0.41580305769991133</v>
      </c>
      <c r="V12" s="688">
        <f ca="1">'CM-SerSIP'!Q93</f>
        <v>0.43677466549820326</v>
      </c>
      <c r="W12" s="701">
        <f t="shared" si="0"/>
        <v>0.16460262252193772</v>
      </c>
      <c r="X12" s="701">
        <f t="shared" si="0"/>
        <v>0.1578227268725815</v>
      </c>
      <c r="Y12" s="510">
        <f t="shared" ca="1" si="1"/>
        <v>1</v>
      </c>
      <c r="Z12" s="510">
        <f t="shared" ca="1" si="2"/>
        <v>1</v>
      </c>
      <c r="AA12" s="617">
        <f ca="1">VLOOKUP($B12,'CurtailCalcsFull-2Stage'!$AS$91:$BE$109,10,FALSE)</f>
        <v>0.29422890297323068</v>
      </c>
      <c r="AB12" s="617">
        <f ca="1">VLOOKUP($B12,'CurtailCalcsFull-2Stage'!$AS$91:$BE$109,11,FALSE)</f>
        <v>0.47812196733149981</v>
      </c>
      <c r="AC12" s="617">
        <f ca="1">VLOOKUP($B12,'CurtailCalcsFull-2Stage'!$AS$91:$BE$109,12,FALSE)</f>
        <v>-2.0822032972365512</v>
      </c>
      <c r="AD12" s="617">
        <f ca="1">VLOOKUP($B12,'CurtailCalcsFull-2Stage'!$AS$91:$BE$109,13,FALSE)</f>
        <v>-3.3835803580093948</v>
      </c>
      <c r="AE12" s="510">
        <f t="shared" ca="1" si="3"/>
        <v>1</v>
      </c>
      <c r="AF12" s="510">
        <f t="shared" ca="1" si="3"/>
        <v>1</v>
      </c>
      <c r="AG12" s="510">
        <f t="shared" ca="1" si="4"/>
        <v>1</v>
      </c>
      <c r="AH12" s="510">
        <f t="shared" ca="1" si="4"/>
        <v>1</v>
      </c>
      <c r="AI12" s="530">
        <f t="shared" ca="1" si="5"/>
        <v>1</v>
      </c>
      <c r="AJ12" s="530">
        <f t="shared" ca="1" si="6"/>
        <v>1</v>
      </c>
      <c r="AK12" s="133"/>
      <c r="AL12" s="5"/>
    </row>
    <row r="13" spans="1:38" x14ac:dyDescent="0.25">
      <c r="A13" s="812" t="s">
        <v>141</v>
      </c>
      <c r="B13" s="812">
        <v>2104008310</v>
      </c>
      <c r="C13" s="5">
        <f ca="1">INDIRECT("'DevSumOut-"&amp;Year&amp;"BSR'!R54")</f>
        <v>0.44470836940199449</v>
      </c>
      <c r="D13" s="5">
        <f ca="1">INDIRECT("'DevSumOut-"&amp;Year&amp;"BSR'!P54")</f>
        <v>1.465021555417146E-2</v>
      </c>
      <c r="E13" s="5">
        <f ca="1">OFFSET('WSCOReductions-5PctSIP'!$U$81,0,MATCH($B$2,'WSCOReductions-5PctSIP'!$X$78:$AQ$78,1)+2)</f>
        <v>0.35413311692253951</v>
      </c>
      <c r="F13" s="5">
        <f ca="1">OFFSET('WSCOReductions-5PctSIP'!$U$84,0,MATCH($B$2,'WSCOReductions-5PctSIP'!$X$78:$AQ$78,1)+2)</f>
        <v>1.7580572651246292E-3</v>
      </c>
      <c r="G13" s="5">
        <f ca="1">'STF-12'!Q190</f>
        <v>-1.0398269896193826E-2</v>
      </c>
      <c r="H13" s="5">
        <f ca="1">'STF-12'!P190</f>
        <v>-1.0398269896193822E-2</v>
      </c>
      <c r="I13" s="5">
        <f ca="1">'STF-13'!Q86</f>
        <v>7.0666842515634182E-2</v>
      </c>
      <c r="J13" s="5">
        <f ca="1">'STF-13'!P86</f>
        <v>7.0666842515634154E-2</v>
      </c>
      <c r="K13" s="5">
        <f ca="1">'STF-17'!R118</f>
        <v>1</v>
      </c>
      <c r="L13" s="5">
        <f ca="1">'STF-17'!Q118</f>
        <v>1</v>
      </c>
      <c r="M13" s="5">
        <f ca="1">'BACM-R8'!P157*($B$2-$M$3+1)</f>
        <v>0.77253218884120167</v>
      </c>
      <c r="N13" s="5">
        <f ca="1">'BACM-R8'!O157*($B$2-$M$3+1)</f>
        <v>0.77253218884120167</v>
      </c>
      <c r="O13" s="5">
        <f ca="1">'BACM-48'!R77</f>
        <v>0</v>
      </c>
      <c r="P13" s="5">
        <f ca="1">'BACM-48'!Q77</f>
        <v>0</v>
      </c>
      <c r="Q13" s="5">
        <f ca="1">OFFSET('STF-22'!$E$173,MATCH($B13,'STF-22'!$A$174:$A$191,0),MATCH($B$2,'STF-22'!$F$172:$AD$172,0))</f>
        <v>4.7701398622622092E-2</v>
      </c>
      <c r="R13" s="5">
        <f ca="1">OFFSET('STF-22'!$E$173,MATCH($B13,'STF-22'!$A$174:$A$191,0),MATCH($B$2,'STF-22'!$F$172:$AD$172,0)-1)</f>
        <v>4.6800317702848392E-2</v>
      </c>
      <c r="S13" s="5">
        <f>'STF-23'!H88</f>
        <v>0</v>
      </c>
      <c r="T13" s="5">
        <f>'STF-23'!G88</f>
        <v>0</v>
      </c>
      <c r="U13" s="688">
        <f ca="1">'CM-SerSIP'!R94</f>
        <v>0</v>
      </c>
      <c r="V13" s="688">
        <f ca="1">'CM-SerSIP'!Q94</f>
        <v>0</v>
      </c>
      <c r="W13" s="701">
        <f t="shared" si="0"/>
        <v>0.16460262252193775</v>
      </c>
      <c r="X13" s="701">
        <f t="shared" si="0"/>
        <v>0.1578227268725815</v>
      </c>
      <c r="Y13" s="510">
        <f t="shared" ca="1" si="1"/>
        <v>1</v>
      </c>
      <c r="Z13" s="510">
        <f t="shared" ca="1" si="2"/>
        <v>1</v>
      </c>
      <c r="AA13" s="617">
        <f ca="1">VLOOKUP($B13,'CurtailCalcsFull-2Stage'!$AS$91:$BE$109,10,FALSE)</f>
        <v>0.47844886022233368</v>
      </c>
      <c r="AB13" s="617">
        <f ca="1">VLOOKUP($B13,'CurtailCalcsFull-2Stage'!$AS$91:$BE$109,11,FALSE)</f>
        <v>0.47844886022233368</v>
      </c>
      <c r="AC13" s="617">
        <f ca="1">VLOOKUP($B13,'CurtailCalcsFull-2Stage'!$AS$91:$BE$109,12,FALSE)</f>
        <v>-2.5004762761786767</v>
      </c>
      <c r="AD13" s="617">
        <f ca="1">VLOOKUP($B13,'CurtailCalcsFull-2Stage'!$AS$91:$BE$109,13,FALSE)</f>
        <v>-2.5004762761786767</v>
      </c>
      <c r="AE13" s="510">
        <f t="shared" ca="1" si="3"/>
        <v>1</v>
      </c>
      <c r="AF13" s="510">
        <f t="shared" ca="1" si="3"/>
        <v>1</v>
      </c>
      <c r="AG13" s="510">
        <f t="shared" ca="1" si="4"/>
        <v>1</v>
      </c>
      <c r="AH13" s="510">
        <f t="shared" ca="1" si="4"/>
        <v>1</v>
      </c>
      <c r="AI13" s="530">
        <f t="shared" ca="1" si="5"/>
        <v>1</v>
      </c>
      <c r="AJ13" s="530">
        <f t="shared" ca="1" si="6"/>
        <v>1</v>
      </c>
      <c r="AK13" s="133"/>
      <c r="AL13" s="5"/>
    </row>
    <row r="14" spans="1:38" x14ac:dyDescent="0.25">
      <c r="A14" s="812" t="s">
        <v>142</v>
      </c>
      <c r="B14" s="812">
        <v>2104008320</v>
      </c>
      <c r="C14" s="5">
        <f ca="1">INDIRECT("'DevSumOut-"&amp;Year&amp;"BSR'!R55")</f>
        <v>0.61112231325346655</v>
      </c>
      <c r="D14" s="5">
        <f ca="1">INDIRECT("'DevSumOut-"&amp;Year&amp;"BSR'!P55")</f>
        <v>3.0844802732461808E-2</v>
      </c>
      <c r="E14" s="5">
        <f ca="1">OFFSET('WSCOReductions-5PctSIP'!$U$81,0,MATCH($B$2,'WSCOReductions-5PctSIP'!$X$78:$AQ$78,1)+2)</f>
        <v>0.35413311692253951</v>
      </c>
      <c r="F14" s="5">
        <f ca="1">OFFSET('WSCOReductions-5PctSIP'!$U$84,0,MATCH($B$2,'WSCOReductions-5PctSIP'!$X$78:$AQ$78,1)+2)</f>
        <v>1.7580572651246292E-3</v>
      </c>
      <c r="G14" s="5">
        <f ca="1">'STF-12'!Q191</f>
        <v>-1.0398269896193826E-2</v>
      </c>
      <c r="H14" s="5">
        <f ca="1">'STF-12'!P191</f>
        <v>-1.0398269896193822E-2</v>
      </c>
      <c r="I14" s="5">
        <f ca="1">'STF-13'!Q87</f>
        <v>7.0666842515634209E-2</v>
      </c>
      <c r="J14" s="5">
        <f ca="1">'STF-13'!P87</f>
        <v>7.0666842515634168E-2</v>
      </c>
      <c r="K14" s="5">
        <f ca="1">'STF-17'!R119</f>
        <v>-8.8940775524910032E-2</v>
      </c>
      <c r="L14" s="5">
        <f ca="1">'STF-17'!Q119</f>
        <v>-8.5422682796050392E-2</v>
      </c>
      <c r="M14" s="5">
        <f ca="1">'BACM-R8'!P158*($B$2-$M$3+1)</f>
        <v>0.17270455321147779</v>
      </c>
      <c r="N14" s="5">
        <f ca="1">'BACM-R8'!O158*($B$2-$M$3+1)</f>
        <v>-4.8441973897249427E-2</v>
      </c>
      <c r="O14" s="5">
        <f ca="1">'BACM-48'!R78</f>
        <v>0</v>
      </c>
      <c r="P14" s="5">
        <f ca="1">'BACM-48'!Q78</f>
        <v>0</v>
      </c>
      <c r="Q14" s="5">
        <f ca="1">OFFSET('STF-22'!$E$173,MATCH($B14,'STF-22'!$A$174:$A$191,0),MATCH($B$2,'STF-22'!$F$172:$AD$172,0))</f>
        <v>0.30027108935838803</v>
      </c>
      <c r="R14" s="5">
        <f ca="1">OFFSET('STF-22'!$E$173,MATCH($B14,'STF-22'!$A$174:$A$191,0),MATCH($B$2,'STF-22'!$F$172:$AD$172,0)-1)</f>
        <v>0.288393730183994</v>
      </c>
      <c r="S14" s="5">
        <f>'STF-23'!H89</f>
        <v>0</v>
      </c>
      <c r="T14" s="5">
        <f>'STF-23'!G89</f>
        <v>0</v>
      </c>
      <c r="U14" s="688">
        <f ca="1">'CM-SerSIP'!R95</f>
        <v>0.31156739863891281</v>
      </c>
      <c r="V14" s="688">
        <f ca="1">'CM-SerSIP'!Q95</f>
        <v>0.29924320882572353</v>
      </c>
      <c r="W14" s="701">
        <f t="shared" si="0"/>
        <v>0.16460262252193775</v>
      </c>
      <c r="X14" s="701">
        <f t="shared" si="0"/>
        <v>0.15782272687258153</v>
      </c>
      <c r="Y14" s="510">
        <f t="shared" ca="1" si="1"/>
        <v>0.68062945235006289</v>
      </c>
      <c r="Z14" s="510">
        <f t="shared" ca="1" si="2"/>
        <v>0.36072692115321059</v>
      </c>
      <c r="AA14" s="617">
        <f ca="1">VLOOKUP($B14,'CurtailCalcsFull-2Stage'!$AS$91:$BE$109,10,FALSE)</f>
        <v>0.2935430045257772</v>
      </c>
      <c r="AB14" s="617">
        <f ca="1">VLOOKUP($B14,'CurtailCalcsFull-2Stage'!$AS$91:$BE$109,11,FALSE)</f>
        <v>0.477007382354388</v>
      </c>
      <c r="AC14" s="617">
        <f ca="1">VLOOKUP($B14,'CurtailCalcsFull-2Stage'!$AS$91:$BE$109,12,FALSE)</f>
        <v>-2.0142722140188036</v>
      </c>
      <c r="AD14" s="617">
        <f ca="1">VLOOKUP($B14,'CurtailCalcsFull-2Stage'!$AS$91:$BE$109,13,FALSE)</f>
        <v>-3.2731923477805553</v>
      </c>
      <c r="AE14" s="510">
        <f t="shared" ca="1" si="3"/>
        <v>0.77437844246426835</v>
      </c>
      <c r="AF14" s="510">
        <f t="shared" ca="1" si="3"/>
        <v>0.83297156128564676</v>
      </c>
      <c r="AG14" s="510">
        <f t="shared" ca="1" si="4"/>
        <v>-0.9269430787381292</v>
      </c>
      <c r="AH14" s="510">
        <f t="shared" ca="1" si="4"/>
        <v>-1.7317368286702162</v>
      </c>
      <c r="AI14" s="530">
        <f t="shared" ca="1" si="5"/>
        <v>0.78040516325732445</v>
      </c>
      <c r="AJ14" s="530">
        <f t="shared" ca="1" si="6"/>
        <v>-1.0097218644454293</v>
      </c>
      <c r="AK14" s="133"/>
      <c r="AL14" s="5"/>
    </row>
    <row r="15" spans="1:38" x14ac:dyDescent="0.25">
      <c r="A15" s="812" t="s">
        <v>143</v>
      </c>
      <c r="B15" s="812">
        <v>2104008330</v>
      </c>
      <c r="C15" s="5">
        <f ca="1">INDIRECT("'DevSumOut-"&amp;Year&amp;"BSR'!R56")</f>
        <v>0.4082626109123853</v>
      </c>
      <c r="D15" s="5">
        <f ca="1">INDIRECT("'DevSumOut-"&amp;Year&amp;"BSR'!P56")</f>
        <v>1.8570829639896966E-2</v>
      </c>
      <c r="E15" s="5">
        <f ca="1">OFFSET('WSCOReductions-5PctSIP'!$U$81,0,MATCH($B$2,'WSCOReductions-5PctSIP'!$X$78:$AQ$78,1)+2)</f>
        <v>0.35413311692253951</v>
      </c>
      <c r="F15" s="5">
        <f ca="1">OFFSET('WSCOReductions-5PctSIP'!$U$84,0,MATCH($B$2,'WSCOReductions-5PctSIP'!$X$78:$AQ$78,1)+2)</f>
        <v>1.7580572651246292E-3</v>
      </c>
      <c r="G15" s="5">
        <f ca="1">'STF-12'!Q192</f>
        <v>-1.0398269896193826E-2</v>
      </c>
      <c r="H15" s="5">
        <f ca="1">'STF-12'!P192</f>
        <v>-1.0398269896193822E-2</v>
      </c>
      <c r="I15" s="5">
        <f ca="1">'STF-13'!Q88</f>
        <v>7.0666842515634182E-2</v>
      </c>
      <c r="J15" s="5">
        <f ca="1">'STF-13'!P88</f>
        <v>7.0666842515634223E-2</v>
      </c>
      <c r="K15" s="5">
        <f ca="1">'STF-17'!R120</f>
        <v>-8.8940775524910101E-2</v>
      </c>
      <c r="L15" s="5">
        <f ca="1">'STF-17'!Q120</f>
        <v>-9.4784072691508056E-2</v>
      </c>
      <c r="M15" s="5">
        <f ca="1">'BACM-R8'!P159*($B$2-$M$3+1)</f>
        <v>0.17270455321147771</v>
      </c>
      <c r="N15" s="5">
        <f ca="1">'BACM-R8'!O159*($B$2-$M$3+1)</f>
        <v>-5.3750683365441157E-2</v>
      </c>
      <c r="O15" s="5">
        <f ca="1">'BACM-48'!R79</f>
        <v>0</v>
      </c>
      <c r="P15" s="5">
        <f ca="1">'BACM-48'!Q79</f>
        <v>0</v>
      </c>
      <c r="Q15" s="5">
        <f ca="1">OFFSET('STF-22'!$E$173,MATCH($B15,'STF-22'!$A$174:$A$191,0),MATCH($B$2,'STF-22'!$F$172:$AD$172,0))</f>
        <v>0.30027108935838798</v>
      </c>
      <c r="R15" s="5">
        <f ca="1">OFFSET('STF-22'!$E$173,MATCH($B15,'STF-22'!$A$174:$A$191,0),MATCH($B$2,'STF-22'!$F$172:$AD$172,0)-1)</f>
        <v>0.31999852253292499</v>
      </c>
      <c r="S15" s="5">
        <f ca="1">'STF-23'!H90</f>
        <v>0</v>
      </c>
      <c r="T15" s="5">
        <f ca="1">'STF-23'!G90</f>
        <v>0</v>
      </c>
      <c r="U15" s="688">
        <f ca="1">'CM-SerSIP'!R96</f>
        <v>0.31156739863891253</v>
      </c>
      <c r="V15" s="688">
        <f ca="1">'CM-SerSIP'!Q96</f>
        <v>0.33203698513539182</v>
      </c>
      <c r="W15" s="701">
        <f t="shared" si="0"/>
        <v>0.16460262252193775</v>
      </c>
      <c r="X15" s="701">
        <f t="shared" si="0"/>
        <v>0.1578227268725815</v>
      </c>
      <c r="Y15" s="510">
        <f t="shared" ca="1" si="1"/>
        <v>0.68062945235006289</v>
      </c>
      <c r="Z15" s="510">
        <f t="shared" ca="1" si="2"/>
        <v>0.38073069589246233</v>
      </c>
      <c r="AA15" s="617">
        <f ca="1">VLOOKUP($B15,'CurtailCalcsFull-2Stage'!$AS$91:$BE$109,10,FALSE)</f>
        <v>0.29362726123173721</v>
      </c>
      <c r="AB15" s="617">
        <f ca="1">VLOOKUP($B15,'CurtailCalcsFull-2Stage'!$AS$91:$BE$109,11,FALSE)</f>
        <v>0.47714429950157289</v>
      </c>
      <c r="AC15" s="617">
        <f ca="1">VLOOKUP($B15,'CurtailCalcsFull-2Stage'!$AS$91:$BE$109,12,FALSE)</f>
        <v>-2.1501343804542987</v>
      </c>
      <c r="AD15" s="617">
        <f ca="1">VLOOKUP($B15,'CurtailCalcsFull-2Stage'!$AS$91:$BE$109,13,FALSE)</f>
        <v>-3.4939683682382343</v>
      </c>
      <c r="AE15" s="510">
        <f t="shared" ca="1" si="3"/>
        <v>0.77440535157459389</v>
      </c>
      <c r="AF15" s="510">
        <f t="shared" ca="1" si="3"/>
        <v>0.8330152885899258</v>
      </c>
      <c r="AG15" s="510">
        <f t="shared" ca="1" si="4"/>
        <v>-0.95078152562916296</v>
      </c>
      <c r="AH15" s="510">
        <f t="shared" ca="1" si="4"/>
        <v>-1.7829766640801781</v>
      </c>
      <c r="AI15" s="530">
        <f t="shared" ca="1" si="5"/>
        <v>0.78043380223902814</v>
      </c>
      <c r="AJ15" s="530">
        <f t="shared" ca="1" si="6"/>
        <v>-1.0363787398698383</v>
      </c>
      <c r="AK15" s="133"/>
      <c r="AL15" s="5"/>
    </row>
    <row r="16" spans="1:38" x14ac:dyDescent="0.25">
      <c r="A16" s="812" t="s">
        <v>144</v>
      </c>
      <c r="B16" s="812">
        <v>2104008410</v>
      </c>
      <c r="C16" s="5">
        <f ca="1">INDIRECT("'DevSumOut-"&amp;Year&amp;"BSR'!R57")</f>
        <v>1.50643570165E-2</v>
      </c>
      <c r="D16" s="5">
        <f ca="1">INDIRECT("'DevSumOut-"&amp;Year&amp;"BSR'!P57")</f>
        <v>1.6285791369189189E-3</v>
      </c>
      <c r="E16" s="5">
        <f ca="1">OFFSET('WSCOReductions-5PctSIP'!$U$81,0,MATCH($B$2,'WSCOReductions-5PctSIP'!$X$78:$AQ$78,1)+2)</f>
        <v>0.35413311692253951</v>
      </c>
      <c r="F16" s="5">
        <f ca="1">OFFSET('WSCOReductions-5PctSIP'!$U$84,0,MATCH($B$2,'WSCOReductions-5PctSIP'!$X$78:$AQ$78,1)+2)</f>
        <v>1.7580572651246292E-3</v>
      </c>
      <c r="G16" s="5">
        <f ca="1">'STF-12'!Q193</f>
        <v>-1.0398269896193826E-2</v>
      </c>
      <c r="H16" s="5">
        <f ca="1">'STF-12'!P193</f>
        <v>-1.0398269896193822E-2</v>
      </c>
      <c r="I16" s="5">
        <f ca="1">'STF-13'!Q89</f>
        <v>7.0666842515634057E-2</v>
      </c>
      <c r="J16" s="5">
        <f ca="1">'STF-13'!P89</f>
        <v>7.0666842515634168E-2</v>
      </c>
      <c r="K16" s="5">
        <f ca="1">'STF-17'!R121</f>
        <v>0</v>
      </c>
      <c r="L16" s="5">
        <f ca="1">'STF-17'!Q121</f>
        <v>0</v>
      </c>
      <c r="M16" s="5">
        <f ca="1">'BACM-R8'!P160*($B$2-$M$3+1)</f>
        <v>0</v>
      </c>
      <c r="N16" s="5">
        <f ca="1">'BACM-R8'!O160*($B$2-$M$3+1)</f>
        <v>0</v>
      </c>
      <c r="O16" s="5">
        <f ca="1">'BACM-48'!R80</f>
        <v>0</v>
      </c>
      <c r="P16" s="5">
        <f ca="1">'BACM-48'!Q80</f>
        <v>0</v>
      </c>
      <c r="Q16" s="5">
        <f ca="1">OFFSET('STF-22'!$E$173,MATCH($B16,'STF-22'!$A$174:$A$191,0),MATCH($B$2,'STF-22'!$F$172:$AD$172,0))</f>
        <v>0.23185216605550718</v>
      </c>
      <c r="R16" s="5">
        <f ca="1">OFFSET('STF-22'!$E$173,MATCH($B16,'STF-22'!$A$174:$A$191,0),MATCH($B$2,'STF-22'!$F$172:$AD$172,0)-1)</f>
        <v>0.23185216605550721</v>
      </c>
      <c r="S16" s="5">
        <f>'STF-23'!H91</f>
        <v>0</v>
      </c>
      <c r="T16" s="5">
        <f>'STF-23'!G91</f>
        <v>0</v>
      </c>
      <c r="U16" s="688">
        <f ca="1">'CM-SerSIP'!R97</f>
        <v>0</v>
      </c>
      <c r="V16" s="688">
        <f ca="1">'CM-SerSIP'!Q97</f>
        <v>0</v>
      </c>
      <c r="W16" s="701">
        <f t="shared" si="0"/>
        <v>0.16460262252193772</v>
      </c>
      <c r="X16" s="701">
        <f t="shared" si="0"/>
        <v>0.1578227268725815</v>
      </c>
      <c r="Y16" s="510">
        <f t="shared" ca="1" si="1"/>
        <v>0.61082497601241381</v>
      </c>
      <c r="Z16" s="510">
        <f t="shared" ca="1" si="2"/>
        <v>0.39361539389220457</v>
      </c>
      <c r="AA16" s="617">
        <f ca="1">VLOOKUP($B16,'CurtailCalcsFull-2Stage'!$AS$91:$BE$109,10,FALSE)</f>
        <v>0.47369614984746644</v>
      </c>
      <c r="AB16" s="617">
        <f ca="1">VLOOKUP($B16,'CurtailCalcsFull-2Stage'!$AS$91:$BE$109,11,FALSE)</f>
        <v>0.47369614984746644</v>
      </c>
      <c r="AC16" s="617">
        <f ca="1">VLOOKUP($B16,'CurtailCalcsFull-2Stage'!$AS$91:$BE$109,12,FALSE)</f>
        <v>-3.2110596162013136</v>
      </c>
      <c r="AD16" s="617">
        <f ca="1">VLOOKUP($B16,'CurtailCalcsFull-2Stage'!$AS$91:$BE$109,13,FALSE)</f>
        <v>-3.2110596162013136</v>
      </c>
      <c r="AE16" s="510">
        <f t="shared" ca="1" si="3"/>
        <v>0.79517568649212877</v>
      </c>
      <c r="AF16" s="510">
        <f t="shared" ca="1" si="3"/>
        <v>0.79517568649212877</v>
      </c>
      <c r="AG16" s="510">
        <f t="shared" ca="1" si="4"/>
        <v>-1.5535217266666779</v>
      </c>
      <c r="AH16" s="510">
        <f t="shared" ca="1" si="4"/>
        <v>-1.5535217266666779</v>
      </c>
      <c r="AI16" s="530">
        <f t="shared" ca="1" si="5"/>
        <v>0.74777121808305913</v>
      </c>
      <c r="AJ16" s="530">
        <f t="shared" ca="1" si="6"/>
        <v>-1.0528293242372508</v>
      </c>
      <c r="AK16" s="133"/>
      <c r="AL16" s="5"/>
    </row>
    <row r="17" spans="1:40" x14ac:dyDescent="0.25">
      <c r="A17" s="812" t="s">
        <v>145</v>
      </c>
      <c r="B17" s="812">
        <v>2104008420</v>
      </c>
      <c r="C17" s="5">
        <f ca="1">INDIRECT("'DevSumOut-"&amp;Year&amp;"BSR'!R58")</f>
        <v>5.0812544395728347E-2</v>
      </c>
      <c r="D17" s="5">
        <f ca="1">INDIRECT("'DevSumOut-"&amp;Year&amp;"BSR'!P58")</f>
        <v>5.4932480427814434E-3</v>
      </c>
      <c r="E17" s="5">
        <f ca="1">OFFSET('WSCOReductions-5PctSIP'!$U$81,0,MATCH($B$2,'WSCOReductions-5PctSIP'!$X$78:$AQ$78,1)+2)</f>
        <v>0.35413311692253951</v>
      </c>
      <c r="F17" s="5">
        <f ca="1">OFFSET('WSCOReductions-5PctSIP'!$U$84,0,MATCH($B$2,'WSCOReductions-5PctSIP'!$X$78:$AQ$78,1)+2)</f>
        <v>1.7580572651246292E-3</v>
      </c>
      <c r="G17" s="5">
        <f ca="1">'STF-12'!Q194</f>
        <v>-1.0398269896193826E-2</v>
      </c>
      <c r="H17" s="5">
        <f ca="1">'STF-12'!P194</f>
        <v>-1.0398269896193822E-2</v>
      </c>
      <c r="I17" s="5">
        <f ca="1">'STF-13'!Q90</f>
        <v>7.0666842515634182E-2</v>
      </c>
      <c r="J17" s="5">
        <f ca="1">'STF-13'!P90</f>
        <v>7.0666842515634182E-2</v>
      </c>
      <c r="K17" s="5">
        <f ca="1">'STF-17'!R122</f>
        <v>0</v>
      </c>
      <c r="L17" s="5">
        <f ca="1">'STF-17'!Q122</f>
        <v>0</v>
      </c>
      <c r="M17" s="5">
        <f ca="1">'BACM-R8'!P161*($B$2-$M$3+1)</f>
        <v>0</v>
      </c>
      <c r="N17" s="5">
        <f ca="1">'BACM-R8'!O161*($B$2-$M$3+1)</f>
        <v>0</v>
      </c>
      <c r="O17" s="5">
        <f ca="1">'BACM-48'!R81</f>
        <v>0</v>
      </c>
      <c r="P17" s="5">
        <f ca="1">'BACM-48'!Q81</f>
        <v>0</v>
      </c>
      <c r="Q17" s="5">
        <f ca="1">OFFSET('STF-22'!$E$173,MATCH($B17,'STF-22'!$A$174:$A$191,0),MATCH($B$2,'STF-22'!$F$172:$AD$172,0))</f>
        <v>0.38335708379707661</v>
      </c>
      <c r="R17" s="5">
        <f ca="1">OFFSET('STF-22'!$E$173,MATCH($B17,'STF-22'!$A$174:$A$191,0),MATCH($B$2,'STF-22'!$F$172:$AD$172,0)-1)</f>
        <v>0.38335708379707667</v>
      </c>
      <c r="S17" s="5">
        <f>'STF-23'!H92</f>
        <v>0</v>
      </c>
      <c r="T17" s="5">
        <f>'STF-23'!G92</f>
        <v>0</v>
      </c>
      <c r="U17" s="688">
        <f ca="1">'CM-SerSIP'!R98</f>
        <v>0</v>
      </c>
      <c r="V17" s="688">
        <f ca="1">'CM-SerSIP'!Q98</f>
        <v>0</v>
      </c>
      <c r="W17" s="701">
        <f t="shared" si="0"/>
        <v>0.16460262252193777</v>
      </c>
      <c r="X17" s="701">
        <f t="shared" si="0"/>
        <v>0.15782272687258153</v>
      </c>
      <c r="Y17" s="510">
        <f t="shared" ca="1" si="1"/>
        <v>0.68758354694209933</v>
      </c>
      <c r="Z17" s="510">
        <f t="shared" ca="1" si="2"/>
        <v>0.51321509307557078</v>
      </c>
      <c r="AA17" s="617">
        <f ca="1">VLOOKUP($B17,'CurtailCalcsFull-2Stage'!$AS$91:$BE$109,10,FALSE)</f>
        <v>0.47121963728754257</v>
      </c>
      <c r="AB17" s="617">
        <f ca="1">VLOOKUP($B17,'CurtailCalcsFull-2Stage'!$AS$91:$BE$109,11,FALSE)</f>
        <v>0.47121963728754257</v>
      </c>
      <c r="AC17" s="617">
        <f ca="1">VLOOKUP($B17,'CurtailCalcsFull-2Stage'!$AS$91:$BE$109,12,FALSE)</f>
        <v>-4.6611187511375451</v>
      </c>
      <c r="AD17" s="617">
        <f ca="1">VLOOKUP($B17,'CurtailCalcsFull-2Stage'!$AS$91:$BE$109,13,FALSE)</f>
        <v>-4.6611187511375451</v>
      </c>
      <c r="AE17" s="510">
        <f t="shared" ca="1" si="3"/>
        <v>0.83480031463470383</v>
      </c>
      <c r="AF17" s="510">
        <f t="shared" ca="1" si="3"/>
        <v>0.83480031463470383</v>
      </c>
      <c r="AG17" s="510">
        <f t="shared" ca="1" si="4"/>
        <v>-1.7557471643606308</v>
      </c>
      <c r="AH17" s="510">
        <f t="shared" ca="1" si="4"/>
        <v>-1.7557471643606308</v>
      </c>
      <c r="AI17" s="530">
        <f t="shared" ca="1" si="5"/>
        <v>0.79694457437089128</v>
      </c>
      <c r="AJ17" s="530">
        <f t="shared" ca="1" si="6"/>
        <v>-1.172299726734179</v>
      </c>
      <c r="AK17" s="133"/>
      <c r="AL17" s="5"/>
    </row>
    <row r="18" spans="1:40" x14ac:dyDescent="0.25">
      <c r="A18" s="812" t="s">
        <v>146</v>
      </c>
      <c r="B18" s="812">
        <v>2104008610</v>
      </c>
      <c r="C18" s="5">
        <f ca="1">INDIRECT("'DevSumOut-"&amp;Year&amp;"BSR'!R59")</f>
        <v>0.25245612937457973</v>
      </c>
      <c r="D18" s="5">
        <f ca="1">INDIRECT("'DevSumOut-"&amp;Year&amp;"BSR'!P59")</f>
        <v>1.0231093800626926E-2</v>
      </c>
      <c r="E18" s="5">
        <f ca="1">OFFSET('WSCOReductions-5PctSIP'!$U$81,0,MATCH($B$2,'WSCOReductions-5PctSIP'!$X$78:$AQ$78,1)+2)</f>
        <v>0.35413311692253951</v>
      </c>
      <c r="F18" s="5">
        <f ca="1">OFFSET('WSCOReductions-5PctSIP'!$U$84,0,MATCH($B$2,'WSCOReductions-5PctSIP'!$X$78:$AQ$78,1)+2)</f>
        <v>1.7580572651246292E-3</v>
      </c>
      <c r="G18" s="5">
        <f ca="1">'STF-12'!Q195</f>
        <v>-1.0398269896193826E-2</v>
      </c>
      <c r="H18" s="5">
        <f ca="1">'STF-12'!P195</f>
        <v>-1.0398269896193822E-2</v>
      </c>
      <c r="I18" s="5">
        <f ca="1">'STF-13'!Q91</f>
        <v>7.066684251563414E-2</v>
      </c>
      <c r="J18" s="5">
        <f ca="1">'STF-13'!P91</f>
        <v>7.0666842515634126E-2</v>
      </c>
      <c r="K18" s="5">
        <f ca="1">'STF-17'!R123</f>
        <v>1.0000000000000002</v>
      </c>
      <c r="L18" s="5">
        <f ca="1">'STF-17'!Q123</f>
        <v>1</v>
      </c>
      <c r="M18" s="5">
        <f ca="1">'BACM-R8'!P162*($B$2-$M$3+1)</f>
        <v>0.66276978182150859</v>
      </c>
      <c r="N18" s="5">
        <f ca="1">'BACM-R8'!O162*($B$2-$M$3+1)</f>
        <v>0.26602739238806328</v>
      </c>
      <c r="O18" s="5">
        <f ca="1">'BACM-48'!R82</f>
        <v>0</v>
      </c>
      <c r="P18" s="5">
        <f ca="1">'BACM-48'!Q82</f>
        <v>0</v>
      </c>
      <c r="Q18" s="5">
        <f ca="1">OFFSET('STF-22'!$E$173,MATCH($B18,'STF-22'!$A$174:$A$191,0),MATCH($B$2,'STF-22'!$F$172:$AD$172,0))</f>
        <v>0.23001868096093714</v>
      </c>
      <c r="R18" s="5">
        <f ca="1">OFFSET('STF-22'!$E$173,MATCH($B18,'STF-22'!$A$174:$A$191,0),MATCH($B$2,'STF-22'!$F$172:$AD$172,0)-1)</f>
        <v>0.23001868096093719</v>
      </c>
      <c r="S18" s="5">
        <f>'STF-23'!H93</f>
        <v>0</v>
      </c>
      <c r="T18" s="5">
        <f>'STF-23'!G93</f>
        <v>0</v>
      </c>
      <c r="U18" s="688">
        <f ca="1">'CM-SerSIP'!R99</f>
        <v>0</v>
      </c>
      <c r="V18" s="688">
        <f ca="1">'CM-SerSIP'!Q99</f>
        <v>0</v>
      </c>
      <c r="W18" s="701">
        <f t="shared" si="0"/>
        <v>0.16460262252193772</v>
      </c>
      <c r="X18" s="701">
        <f t="shared" si="0"/>
        <v>0.1578227268725815</v>
      </c>
      <c r="Y18" s="510">
        <f t="shared" ca="1" si="1"/>
        <v>1</v>
      </c>
      <c r="Z18" s="510">
        <f t="shared" ca="1" si="2"/>
        <v>1</v>
      </c>
      <c r="AA18" s="617">
        <f ca="1">VLOOKUP($B18,'CurtailCalcsFull-2Stage'!$AS$91:$BE$109,10,FALSE)</f>
        <v>0.44183095446472742</v>
      </c>
      <c r="AB18" s="617">
        <f ca="1">VLOOKUP($B18,'CurtailCalcsFull-2Stage'!$AS$91:$BE$109,11,FALSE)</f>
        <v>0.47848052672447428</v>
      </c>
      <c r="AC18" s="617">
        <f ca="1">VLOOKUP($B18,'CurtailCalcsFull-2Stage'!$AS$91:$BE$109,12,FALSE)</f>
        <v>-1.7483202626495844</v>
      </c>
      <c r="AD18" s="617">
        <f ca="1">VLOOKUP($B18,'CurtailCalcsFull-2Stage'!$AS$91:$BE$109,13,FALSE)</f>
        <v>-1.8933422199200565</v>
      </c>
      <c r="AE18" s="510">
        <f t="shared" ca="1" si="3"/>
        <v>1</v>
      </c>
      <c r="AF18" s="510">
        <f t="shared" ca="1" si="3"/>
        <v>1</v>
      </c>
      <c r="AG18" s="510">
        <f t="shared" ca="1" si="4"/>
        <v>1</v>
      </c>
      <c r="AH18" s="510">
        <f t="shared" ca="1" si="4"/>
        <v>1</v>
      </c>
      <c r="AI18" s="530">
        <f t="shared" ca="1" si="5"/>
        <v>1</v>
      </c>
      <c r="AJ18" s="530">
        <f t="shared" ca="1" si="6"/>
        <v>1</v>
      </c>
      <c r="AK18" s="133"/>
      <c r="AL18" s="5"/>
    </row>
    <row r="19" spans="1:40" x14ac:dyDescent="0.25">
      <c r="A19" s="812" t="s">
        <v>147</v>
      </c>
      <c r="B19" s="812">
        <v>2104004000</v>
      </c>
      <c r="C19" s="5">
        <f ca="1">INDIRECT("'DevSumOut-"&amp;Year&amp;"BSR'!R60")+INDIRECT("'DevSumOut-"&amp;Year&amp;"BSR'!R62")+INDIRECT("'DevSumOut-"&amp;Year&amp;"BSR'!R63")</f>
        <v>5.6409010005791051E-2</v>
      </c>
      <c r="D19" s="5">
        <f ca="1">INDIRECT("'DevSumOut-"&amp;Year&amp;"BSR'!P60")+INDIRECT("'DevSumOut-"&amp;Year&amp;"BSR'!P62")+INDIRECT("'DevSumOut-"&amp;Year&amp;"BSR'!P63")</f>
        <v>3.573626796461765</v>
      </c>
      <c r="E19" s="5">
        <f ca="1">OFFSET('WSCOReductions-5PctSIP'!$U$81,0,MATCH($B$2,'WSCOReductions-5PctSIP'!$X$78:$AQ$78,1)+2)</f>
        <v>0.35413311692253951</v>
      </c>
      <c r="F19" s="5">
        <f ca="1">OFFSET('WSCOReductions-5PctSIP'!$U$84,0,MATCH($B$2,'WSCOReductions-5PctSIP'!$X$78:$AQ$78,1)+2)</f>
        <v>1.7580572651246292E-3</v>
      </c>
      <c r="G19" s="5">
        <f ca="1">'STF-12'!Q196</f>
        <v>0.48994184890764292</v>
      </c>
      <c r="H19" s="5">
        <f ca="1">'STF-12'!P196</f>
        <v>0.56292492785396708</v>
      </c>
      <c r="I19" s="5"/>
      <c r="J19" s="5"/>
      <c r="K19" s="5">
        <f ca="1">'STF-17'!R124</f>
        <v>-3.6568715450683111E-2</v>
      </c>
      <c r="L19" s="5">
        <f ca="1">'STF-17'!Q124</f>
        <v>-3.6598811072402135E-2</v>
      </c>
      <c r="M19" s="5">
        <f ca="1">'BACM-R8'!P163*($B$2-$M$3+1)</f>
        <v>0</v>
      </c>
      <c r="N19" s="5">
        <f ca="1">'BACM-R8'!O163*($B$2-$M$3+1)</f>
        <v>0</v>
      </c>
      <c r="O19" s="5">
        <f ca="1">'BACM-48'!R83</f>
        <v>-4.9124191080212251E-3</v>
      </c>
      <c r="P19" s="5">
        <f ca="1">'BACM-48'!Q83</f>
        <v>-4.9164619710362345E-3</v>
      </c>
      <c r="Q19" s="5">
        <f ca="1">OFFSET('STF-22'!$E$173,MATCH($B19,'STF-22'!$A$174:$A$191,0),MATCH($B$2,'STF-22'!$F$172:$AD$172,0))</f>
        <v>-1.9220727509524374E-2</v>
      </c>
      <c r="R19" s="5">
        <f ca="1">OFFSET('STF-22'!$E$173,MATCH($B19,'STF-22'!$A$174:$A$191,0),MATCH($B$2,'STF-22'!$F$172:$AD$172,0)-1)</f>
        <v>-1.9236545941677768E-2</v>
      </c>
      <c r="S19" s="5">
        <f>'STF-23'!H94</f>
        <v>0</v>
      </c>
      <c r="T19" s="5">
        <f>'STF-23'!G94</f>
        <v>0</v>
      </c>
      <c r="U19" s="688">
        <f ca="1">'CM-SerSIP'!R100</f>
        <v>0</v>
      </c>
      <c r="V19" s="688">
        <f ca="1">'CM-SerSIP'!Q100</f>
        <v>0</v>
      </c>
      <c r="W19" s="701">
        <f t="shared" si="0"/>
        <v>0.16460262252193772</v>
      </c>
      <c r="X19" s="701">
        <f t="shared" si="0"/>
        <v>0.1578227268725815</v>
      </c>
      <c r="Y19" s="510">
        <f t="shared" ca="1" si="1"/>
        <v>0.70782007424646409</v>
      </c>
      <c r="Z19" s="510">
        <f t="shared" ca="1" si="2"/>
        <v>0.60986849481153982</v>
      </c>
      <c r="AA19" s="617">
        <f ca="1">VLOOKUP($B19,'CurtailCalcsFull-2Stage'!$AS$91:$BE$109,10,FALSE)</f>
        <v>0</v>
      </c>
      <c r="AB19" s="617">
        <f ca="1">VLOOKUP($B19,'CurtailCalcsFull-2Stage'!$AS$91:$BE$109,11,FALSE)</f>
        <v>0</v>
      </c>
      <c r="AC19" s="617">
        <f ca="1">VLOOKUP($B19,'CurtailCalcsFull-2Stage'!$AS$91:$BE$109,12,FALSE)</f>
        <v>0</v>
      </c>
      <c r="AD19" s="617">
        <f ca="1">VLOOKUP($B19,'CurtailCalcsFull-2Stage'!$AS$91:$BE$109,13,FALSE)</f>
        <v>0</v>
      </c>
      <c r="AE19" s="510">
        <f t="shared" ca="1" si="3"/>
        <v>0.70782007424646409</v>
      </c>
      <c r="AF19" s="510">
        <f t="shared" ca="1" si="3"/>
        <v>0.70782007424646409</v>
      </c>
      <c r="AG19" s="510">
        <f t="shared" ca="1" si="4"/>
        <v>0.60986849481153982</v>
      </c>
      <c r="AH19" s="510">
        <f t="shared" ca="1" si="4"/>
        <v>0.60986849481153982</v>
      </c>
      <c r="AI19" s="530">
        <f t="shared" ca="1" si="5"/>
        <v>0.70782007424646409</v>
      </c>
      <c r="AJ19" s="530">
        <f t="shared" ca="1" si="6"/>
        <v>0.60986849481153982</v>
      </c>
      <c r="AK19" s="133"/>
      <c r="AL19" s="5"/>
    </row>
    <row r="20" spans="1:40" x14ac:dyDescent="0.25">
      <c r="A20" s="812" t="s">
        <v>148</v>
      </c>
      <c r="B20" s="812">
        <v>2103004001</v>
      </c>
      <c r="C20" s="5">
        <f ca="1">INDIRECT("'DevSumOut-"&amp;Year&amp;"BSR'!R61")</f>
        <v>1.8739368230717493E-2</v>
      </c>
      <c r="D20" s="5">
        <f ca="1">INDIRECT("'DevSumOut-"&amp;Year&amp;"BSR'!P61")</f>
        <v>0.52217749537133507</v>
      </c>
      <c r="E20" s="5"/>
      <c r="F20" s="5"/>
      <c r="G20" s="5">
        <f ca="1">'STF-12'!Q197</f>
        <v>0.47333324318325304</v>
      </c>
      <c r="H20" s="5">
        <f ca="1">'STF-12'!P197</f>
        <v>-2.6051203077374404E-2</v>
      </c>
      <c r="I20" s="5"/>
      <c r="J20" s="5"/>
      <c r="K20" s="5">
        <f ca="1">'STF-17'!R125</f>
        <v>0</v>
      </c>
      <c r="L20" s="5">
        <f ca="1">'STF-17'!Q125</f>
        <v>0</v>
      </c>
      <c r="M20" s="5">
        <f ca="1">'BACM-R8'!P164*($B$2-$M$3+1)</f>
        <v>0</v>
      </c>
      <c r="N20" s="5">
        <f ca="1">'BACM-R8'!O164*($B$2-$M$3+1)</f>
        <v>0</v>
      </c>
      <c r="O20" s="5">
        <f ca="1">'BACM-48'!R84</f>
        <v>0</v>
      </c>
      <c r="P20" s="5">
        <f ca="1">'BACM-48'!Q84</f>
        <v>0</v>
      </c>
      <c r="Q20" s="5">
        <f ca="1">OFFSET('STF-22'!$E$173,MATCH($B20,'STF-22'!$A$174:$A$191,0),MATCH($B$2,'STF-22'!$F$172:$AD$172,0))</f>
        <v>0</v>
      </c>
      <c r="R20" s="5">
        <f ca="1">OFFSET('STF-22'!$E$173,MATCH($B20,'STF-22'!$A$174:$A$191,0),MATCH($B$2,'STF-22'!$F$172:$AD$172,0)-1)</f>
        <v>0</v>
      </c>
      <c r="S20" s="5">
        <f>'STF-23'!H95</f>
        <v>0</v>
      </c>
      <c r="T20" s="5">
        <f>'STF-23'!G95</f>
        <v>0</v>
      </c>
      <c r="U20" s="688">
        <f ca="1">'CM-SerSIP'!R101</f>
        <v>0</v>
      </c>
      <c r="V20" s="688">
        <f ca="1">'CM-SerSIP'!Q101</f>
        <v>0</v>
      </c>
      <c r="W20" s="701">
        <f t="shared" si="0"/>
        <v>0.16460262252193775</v>
      </c>
      <c r="X20" s="701">
        <f t="shared" si="0"/>
        <v>0.15782272687258153</v>
      </c>
      <c r="Y20" s="510">
        <f t="shared" ca="1" si="1"/>
        <v>0.56002397255041325</v>
      </c>
      <c r="Z20" s="510">
        <f t="shared" ca="1" si="2"/>
        <v>0.13588299570318985</v>
      </c>
      <c r="AA20" s="617">
        <f ca="1">VLOOKUP($B20,'CurtailCalcsFull-2Stage'!$AS$91:$BE$109,10,FALSE)</f>
        <v>0</v>
      </c>
      <c r="AB20" s="617">
        <f ca="1">VLOOKUP($B20,'CurtailCalcsFull-2Stage'!$AS$91:$BE$109,11,FALSE)</f>
        <v>0</v>
      </c>
      <c r="AC20" s="617">
        <f ca="1">VLOOKUP($B20,'CurtailCalcsFull-2Stage'!$AS$91:$BE$109,12,FALSE)</f>
        <v>0</v>
      </c>
      <c r="AD20" s="617">
        <f ca="1">VLOOKUP($B20,'CurtailCalcsFull-2Stage'!$AS$91:$BE$109,13,FALSE)</f>
        <v>0</v>
      </c>
      <c r="AE20" s="510">
        <f t="shared" ca="1" si="3"/>
        <v>0.56002397255041325</v>
      </c>
      <c r="AF20" s="510">
        <f t="shared" ca="1" si="3"/>
        <v>0.56002397255041325</v>
      </c>
      <c r="AG20" s="510">
        <f t="shared" ca="1" si="4"/>
        <v>0.13588299570318985</v>
      </c>
      <c r="AH20" s="510">
        <f t="shared" ca="1" si="4"/>
        <v>0.13588299570318985</v>
      </c>
      <c r="AI20" s="530">
        <f t="shared" ca="1" si="5"/>
        <v>0.56002397255041325</v>
      </c>
      <c r="AJ20" s="530">
        <f t="shared" ca="1" si="6"/>
        <v>0.13588299570318985</v>
      </c>
      <c r="AK20" s="133"/>
      <c r="AL20" s="5"/>
    </row>
    <row r="21" spans="1:40" x14ac:dyDescent="0.25">
      <c r="A21" s="812" t="s">
        <v>149</v>
      </c>
      <c r="B21" s="812">
        <v>2104006010</v>
      </c>
      <c r="C21" s="5">
        <f ca="1">INDIRECT("'DevSumOut-"&amp;Year&amp;"BSR'!R64")</f>
        <v>5.8529310125197298E-6</v>
      </c>
      <c r="D21" s="5">
        <f ca="1">INDIRECT("'DevSumOut-"&amp;Year&amp;"BSR'!P64")</f>
        <v>7.0898784775737665E-5</v>
      </c>
      <c r="E21" s="5">
        <f ca="1">OFFSET('WSCOReductions-5PctSIP'!$U$81,0,MATCH($B$2,'WSCOReductions-5PctSIP'!$X$78:$AQ$78,1)+2)</f>
        <v>0.35413311692253951</v>
      </c>
      <c r="F21" s="5">
        <f ca="1">OFFSET('WSCOReductions-5PctSIP'!$U$84,0,MATCH($B$2,'WSCOReductions-5PctSIP'!$X$78:$AQ$78,1)+2)</f>
        <v>1.7580572651246292E-3</v>
      </c>
      <c r="G21" s="5">
        <f>'STF-12'!Q198</f>
        <v>0</v>
      </c>
      <c r="H21" s="5">
        <f>'STF-12'!P198</f>
        <v>0</v>
      </c>
      <c r="I21" s="5"/>
      <c r="J21" s="5"/>
      <c r="K21" s="5">
        <f ca="1">'STF-17'!R126</f>
        <v>0</v>
      </c>
      <c r="L21" s="5">
        <f ca="1">'STF-17'!Q126</f>
        <v>0</v>
      </c>
      <c r="M21" s="5">
        <f ca="1">'BACM-R8'!P165*($B$2-$M$3+1)</f>
        <v>0</v>
      </c>
      <c r="N21" s="5">
        <f ca="1">'BACM-R8'!O165*($B$2-$M$3+1)</f>
        <v>0</v>
      </c>
      <c r="O21" s="5">
        <f ca="1">'BACM-48'!R85</f>
        <v>0</v>
      </c>
      <c r="P21" s="5">
        <f ca="1">'BACM-48'!Q85</f>
        <v>0</v>
      </c>
      <c r="Q21" s="5">
        <f ca="1">OFFSET('STF-22'!$E$173,MATCH($B21,'STF-22'!$A$174:$A$191,0),MATCH($B$2,'STF-22'!$F$172:$AD$172,0))</f>
        <v>0</v>
      </c>
      <c r="R21" s="5">
        <f ca="1">OFFSET('STF-22'!$E$173,MATCH($B21,'STF-22'!$A$174:$A$191,0),MATCH($B$2,'STF-22'!$F$172:$AD$172,0)-1)</f>
        <v>0</v>
      </c>
      <c r="S21" s="5">
        <f>'STF-23'!H96</f>
        <v>0</v>
      </c>
      <c r="T21" s="5">
        <f>'STF-23'!G96</f>
        <v>0</v>
      </c>
      <c r="U21" s="688">
        <f ca="1">'CM-SerSIP'!R102</f>
        <v>0</v>
      </c>
      <c r="V21" s="688">
        <f ca="1">'CM-SerSIP'!Q102</f>
        <v>0</v>
      </c>
      <c r="W21" s="701">
        <f t="shared" si="0"/>
        <v>-18.635138046902881</v>
      </c>
      <c r="X21" s="701">
        <f t="shared" si="0"/>
        <v>-18.635138046902881</v>
      </c>
      <c r="Y21" s="510">
        <f t="shared" ca="1" si="1"/>
        <v>-11.68168540914882</v>
      </c>
      <c r="Z21" s="510">
        <f t="shared" ca="1" si="2"/>
        <v>-18.600618349807796</v>
      </c>
      <c r="AA21" s="617">
        <f ca="1">VLOOKUP($B21,'CurtailCalcsFull-2Stage'!$AS$91:$BE$109,10,FALSE)</f>
        <v>0</v>
      </c>
      <c r="AB21" s="617">
        <f ca="1">VLOOKUP($B21,'CurtailCalcsFull-2Stage'!$AS$91:$BE$109,11,FALSE)</f>
        <v>0</v>
      </c>
      <c r="AC21" s="617">
        <f ca="1">VLOOKUP($B21,'CurtailCalcsFull-2Stage'!$AS$91:$BE$109,12,FALSE)</f>
        <v>0</v>
      </c>
      <c r="AD21" s="617">
        <f ca="1">VLOOKUP($B21,'CurtailCalcsFull-2Stage'!$AS$91:$BE$109,13,FALSE)</f>
        <v>0</v>
      </c>
      <c r="AE21" s="510">
        <f t="shared" ca="1" si="3"/>
        <v>-11.68168540914882</v>
      </c>
      <c r="AF21" s="510">
        <f t="shared" ca="1" si="3"/>
        <v>-11.68168540914882</v>
      </c>
      <c r="AG21" s="510">
        <f t="shared" ca="1" si="4"/>
        <v>-18.600618349807796</v>
      </c>
      <c r="AH21" s="510">
        <f t="shared" ca="1" si="4"/>
        <v>-18.600618349807796</v>
      </c>
      <c r="AI21" s="530">
        <f t="shared" ca="1" si="5"/>
        <v>-11.68168540914882</v>
      </c>
      <c r="AJ21" s="530">
        <f t="shared" ca="1" si="6"/>
        <v>-18.600618349807799</v>
      </c>
      <c r="AK21" s="133"/>
      <c r="AL21" s="5"/>
    </row>
    <row r="22" spans="1:40" x14ac:dyDescent="0.25">
      <c r="A22" s="812" t="s">
        <v>150</v>
      </c>
      <c r="B22" s="812">
        <v>2103006000</v>
      </c>
      <c r="C22" s="5">
        <f ca="1">INDIRECT("'DevSumOut-"&amp;Year&amp;"BSR'!R65")</f>
        <v>1.0079518569867291E-2</v>
      </c>
      <c r="D22" s="5">
        <f ca="1">INDIRECT("'DevSumOut-"&amp;Year&amp;"BSR'!P65")</f>
        <v>7.9575146604215358E-4</v>
      </c>
      <c r="E22" s="5"/>
      <c r="F22" s="5"/>
      <c r="G22" s="5">
        <f>'STF-12'!Q199</f>
        <v>0</v>
      </c>
      <c r="H22" s="5">
        <f>'STF-12'!P199</f>
        <v>0</v>
      </c>
      <c r="I22" s="5"/>
      <c r="J22" s="5"/>
      <c r="K22" s="5">
        <f ca="1">'STF-17'!R127</f>
        <v>0</v>
      </c>
      <c r="L22" s="5">
        <f ca="1">'STF-17'!Q127</f>
        <v>0</v>
      </c>
      <c r="M22" s="5">
        <f ca="1">'BACM-R8'!P166*($B$2-$M$3+1)</f>
        <v>0</v>
      </c>
      <c r="N22" s="5">
        <f ca="1">'BACM-R8'!O166*($B$2-$M$3+1)</f>
        <v>0</v>
      </c>
      <c r="O22" s="5">
        <f ca="1">'BACM-48'!R86</f>
        <v>0</v>
      </c>
      <c r="P22" s="5">
        <f ca="1">'BACM-48'!Q86</f>
        <v>0</v>
      </c>
      <c r="Q22" s="5">
        <f ca="1">OFFSET('STF-22'!$E$173,MATCH($B22,'STF-22'!$A$174:$A$191,0),MATCH($B$2,'STF-22'!$F$172:$AD$172,0))</f>
        <v>0</v>
      </c>
      <c r="R22" s="5">
        <f ca="1">OFFSET('STF-22'!$E$173,MATCH($B22,'STF-22'!$A$174:$A$191,0),MATCH($B$2,'STF-22'!$F$172:$AD$172,0)-1)</f>
        <v>0</v>
      </c>
      <c r="S22" s="5">
        <f>'STF-23'!H97</f>
        <v>0</v>
      </c>
      <c r="T22" s="5">
        <f>'STF-23'!G97</f>
        <v>0</v>
      </c>
      <c r="U22" s="688">
        <f ca="1">'CM-SerSIP'!R103</f>
        <v>0</v>
      </c>
      <c r="V22" s="688">
        <f ca="1">'CM-SerSIP'!Q103</f>
        <v>0</v>
      </c>
      <c r="W22" s="701"/>
      <c r="X22" s="701"/>
      <c r="Y22" s="510">
        <f t="shared" ca="1" si="1"/>
        <v>0</v>
      </c>
      <c r="Z22" s="510">
        <f t="shared" ca="1" si="2"/>
        <v>0</v>
      </c>
      <c r="AA22" s="617">
        <f ca="1">VLOOKUP($B22,'CurtailCalcsFull-2Stage'!$AS$91:$BE$109,10,FALSE)</f>
        <v>0</v>
      </c>
      <c r="AB22" s="617">
        <f ca="1">VLOOKUP($B22,'CurtailCalcsFull-2Stage'!$AS$91:$BE$109,11,FALSE)</f>
        <v>0</v>
      </c>
      <c r="AC22" s="617">
        <f ca="1">VLOOKUP($B22,'CurtailCalcsFull-2Stage'!$AS$91:$BE$109,12,FALSE)</f>
        <v>0</v>
      </c>
      <c r="AD22" s="617">
        <f ca="1">VLOOKUP($B22,'CurtailCalcsFull-2Stage'!$AS$91:$BE$109,13,FALSE)</f>
        <v>0</v>
      </c>
      <c r="AE22" s="510">
        <f t="shared" ca="1" si="3"/>
        <v>0</v>
      </c>
      <c r="AF22" s="510">
        <f t="shared" ca="1" si="3"/>
        <v>0</v>
      </c>
      <c r="AG22" s="510">
        <f t="shared" ca="1" si="4"/>
        <v>0</v>
      </c>
      <c r="AH22" s="510">
        <f t="shared" ca="1" si="4"/>
        <v>0</v>
      </c>
      <c r="AI22" s="530">
        <f t="shared" ca="1" si="5"/>
        <v>0</v>
      </c>
      <c r="AJ22" s="530">
        <f t="shared" ca="1" si="6"/>
        <v>0</v>
      </c>
      <c r="AK22" s="133"/>
      <c r="AL22" s="5"/>
    </row>
    <row r="23" spans="1:40" x14ac:dyDescent="0.25">
      <c r="A23" s="812" t="s">
        <v>151</v>
      </c>
      <c r="B23" s="812">
        <v>2104002000</v>
      </c>
      <c r="C23" s="5">
        <f ca="1">INDIRECT("'DevSumOut-"&amp;Year&amp;"BSR'!R66")</f>
        <v>9.7907685155159352E-2</v>
      </c>
      <c r="D23" s="5">
        <f ca="1">INDIRECT("'DevSumOut-"&amp;Year&amp;"BSR'!P66")</f>
        <v>0.11396013416057345</v>
      </c>
      <c r="E23" s="5">
        <f ca="1">OFFSET('WSCOReductions-5PctSIP'!$U$81,0,MATCH($B$2,'WSCOReductions-5PctSIP'!$X$78:$AQ$78,1)+2)</f>
        <v>0.35413311692253951</v>
      </c>
      <c r="F23" s="5">
        <f ca="1">OFFSET('WSCOReductions-5PctSIP'!$U$84,0,MATCH($B$2,'WSCOReductions-5PctSIP'!$X$78:$AQ$78,1)+2)</f>
        <v>1.7580572651246292E-3</v>
      </c>
      <c r="G23" s="5">
        <f>'STF-12'!Q200</f>
        <v>0</v>
      </c>
      <c r="H23" s="5">
        <f>'STF-12'!P200</f>
        <v>0</v>
      </c>
      <c r="I23" s="5"/>
      <c r="J23" s="5"/>
      <c r="K23" s="5">
        <f ca="1">'STF-17'!R128</f>
        <v>1</v>
      </c>
      <c r="L23" s="5">
        <f ca="1">'STF-17'!Q128</f>
        <v>1</v>
      </c>
      <c r="M23" s="5">
        <f ca="1">'BACM-R8'!P167*($B$2-$M$3+1)</f>
        <v>0</v>
      </c>
      <c r="N23" s="5">
        <f ca="1">'BACM-R8'!O167*($B$2-$M$3+1)</f>
        <v>0</v>
      </c>
      <c r="O23" s="5">
        <f ca="1">'BACM-48'!R87</f>
        <v>0.8</v>
      </c>
      <c r="P23" s="5">
        <f ca="1">'BACM-48'!Q87</f>
        <v>0.8</v>
      </c>
      <c r="Q23" s="5">
        <f ca="1">OFFSET('STF-22'!$E$173,MATCH($B23,'STF-22'!$A$174:$A$191,0),MATCH($B$2,'STF-22'!$F$172:$AD$172,0))</f>
        <v>0</v>
      </c>
      <c r="R23" s="5">
        <f ca="1">OFFSET('STF-22'!$E$173,MATCH($B23,'STF-22'!$A$174:$A$191,0),MATCH($B$2,'STF-22'!$F$172:$AD$172,0)-1)</f>
        <v>0</v>
      </c>
      <c r="S23" s="5">
        <f>'STF-23'!H98</f>
        <v>0</v>
      </c>
      <c r="T23" s="5">
        <f>'STF-23'!G98</f>
        <v>0</v>
      </c>
      <c r="U23" s="688">
        <f ca="1">'CM-SerSIP'!R104</f>
        <v>0</v>
      </c>
      <c r="V23" s="688">
        <f ca="1">'CM-SerSIP'!Q104</f>
        <v>0</v>
      </c>
      <c r="W23" s="701"/>
      <c r="X23" s="701"/>
      <c r="Y23" s="510">
        <f t="shared" ca="1" si="1"/>
        <v>1</v>
      </c>
      <c r="Z23" s="510">
        <f t="shared" ca="1" si="2"/>
        <v>1</v>
      </c>
      <c r="AA23" s="617">
        <f ca="1">VLOOKUP($B23,'CurtailCalcsFull-2Stage'!$AS$91:$BE$109,10,FALSE)</f>
        <v>0.49828210592064903</v>
      </c>
      <c r="AB23" s="617">
        <f ca="1">VLOOKUP($B23,'CurtailCalcsFull-2Stage'!$AS$91:$BE$109,11,FALSE)</f>
        <v>0.49828210592064903</v>
      </c>
      <c r="AC23" s="617">
        <f ca="1">VLOOKUP($B23,'CurtailCalcsFull-2Stage'!$AS$91:$BE$109,12,FALSE)</f>
        <v>0.4103118857783955</v>
      </c>
      <c r="AD23" s="617">
        <f ca="1">VLOOKUP($B23,'CurtailCalcsFull-2Stage'!$AS$91:$BE$109,13,FALSE)</f>
        <v>0.4103118857783955</v>
      </c>
      <c r="AE23" s="510">
        <f t="shared" ca="1" si="3"/>
        <v>1</v>
      </c>
      <c r="AF23" s="510">
        <f t="shared" ca="1" si="3"/>
        <v>1</v>
      </c>
      <c r="AG23" s="510">
        <f t="shared" ca="1" si="4"/>
        <v>1</v>
      </c>
      <c r="AH23" s="510">
        <f t="shared" ca="1" si="4"/>
        <v>1</v>
      </c>
      <c r="AI23" s="530">
        <f t="shared" ca="1" si="5"/>
        <v>1</v>
      </c>
      <c r="AJ23" s="530">
        <f t="shared" ca="1" si="6"/>
        <v>1</v>
      </c>
      <c r="AK23" s="133"/>
      <c r="AL23" s="5"/>
    </row>
    <row r="24" spans="1:40" x14ac:dyDescent="0.25">
      <c r="A24" s="812" t="s">
        <v>152</v>
      </c>
      <c r="B24" s="812">
        <v>2103002000</v>
      </c>
      <c r="C24" s="5">
        <f ca="1">INDIRECT("'DevSumOut-"&amp;Year&amp;"BSR'!R67")</f>
        <v>2.6304953575588091E-4</v>
      </c>
      <c r="D24" s="5">
        <f ca="1">INDIRECT("'DevSumOut-"&amp;Year&amp;"BSR'!P67")</f>
        <v>3.0617780757568117E-4</v>
      </c>
      <c r="E24" s="5"/>
      <c r="F24" s="5"/>
      <c r="G24" s="5">
        <f>'STF-12'!Q201</f>
        <v>0</v>
      </c>
      <c r="H24" s="5">
        <f>'STF-12'!P201</f>
        <v>0</v>
      </c>
      <c r="I24" s="5"/>
      <c r="J24" s="5"/>
      <c r="K24" s="5">
        <f ca="1">'STF-17'!R129</f>
        <v>0</v>
      </c>
      <c r="L24" s="5">
        <f ca="1">'STF-17'!Q129</f>
        <v>0</v>
      </c>
      <c r="M24" s="5">
        <f ca="1">'BACM-R8'!P168*($B$2-$M$3+1)</f>
        <v>0</v>
      </c>
      <c r="N24" s="5">
        <f ca="1">'BACM-R8'!O168*($B$2-$M$3+1)</f>
        <v>0</v>
      </c>
      <c r="O24" s="5">
        <f ca="1">'BACM-48'!R88</f>
        <v>0</v>
      </c>
      <c r="P24" s="5">
        <f ca="1">'BACM-48'!Q88</f>
        <v>0</v>
      </c>
      <c r="Q24" s="5">
        <f ca="1">OFFSET('STF-22'!$E$173,MATCH($B24,'STF-22'!$A$174:$A$191,0),MATCH($B$2,'STF-22'!$F$172:$AD$172,0))</f>
        <v>0</v>
      </c>
      <c r="R24" s="5">
        <f ca="1">OFFSET('STF-22'!$E$173,MATCH($B24,'STF-22'!$A$174:$A$191,0),MATCH($B$2,'STF-22'!$F$172:$AD$172,0)-1)</f>
        <v>0</v>
      </c>
      <c r="S24" s="5">
        <f>'STF-23'!H99</f>
        <v>0</v>
      </c>
      <c r="T24" s="5">
        <f>'STF-23'!G99</f>
        <v>0</v>
      </c>
      <c r="U24" s="688">
        <f ca="1">'CM-SerSIP'!R105</f>
        <v>0</v>
      </c>
      <c r="V24" s="688">
        <f ca="1">'CM-SerSIP'!Q105</f>
        <v>0</v>
      </c>
      <c r="W24" s="701"/>
      <c r="X24" s="701"/>
      <c r="Y24" s="510">
        <f t="shared" ca="1" si="1"/>
        <v>0</v>
      </c>
      <c r="Z24" s="510">
        <f t="shared" ca="1" si="2"/>
        <v>0</v>
      </c>
      <c r="AA24" s="617">
        <v>0</v>
      </c>
      <c r="AB24" s="617">
        <v>0</v>
      </c>
      <c r="AC24" s="617">
        <v>0</v>
      </c>
      <c r="AD24" s="617">
        <v>0</v>
      </c>
      <c r="AE24" s="510">
        <f t="shared" ca="1" si="3"/>
        <v>0</v>
      </c>
      <c r="AF24" s="510">
        <f t="shared" ca="1" si="3"/>
        <v>0</v>
      </c>
      <c r="AG24" s="510">
        <f t="shared" ca="1" si="4"/>
        <v>0</v>
      </c>
      <c r="AH24" s="510">
        <f t="shared" ca="1" si="4"/>
        <v>0</v>
      </c>
      <c r="AI24" s="530">
        <f t="shared" ca="1" si="5"/>
        <v>0</v>
      </c>
      <c r="AJ24" s="530">
        <f t="shared" ca="1" si="6"/>
        <v>0</v>
      </c>
      <c r="AK24" s="133"/>
      <c r="AL24" s="5"/>
    </row>
    <row r="25" spans="1:40" x14ac:dyDescent="0.25">
      <c r="A25" s="812" t="s">
        <v>153</v>
      </c>
      <c r="B25" s="812">
        <v>2103008000</v>
      </c>
      <c r="C25" s="5">
        <f ca="1">INDIRECT("'DevSumOut-"&amp;Year&amp;"BSR'!R68")</f>
        <v>2.5766689106639578E-4</v>
      </c>
      <c r="D25" s="5">
        <f ca="1">INDIRECT("'DevSumOut-"&amp;Year&amp;"BSR'!P68")</f>
        <v>7.5369704121824448E-6</v>
      </c>
      <c r="E25" s="5"/>
      <c r="F25" s="5"/>
      <c r="G25" s="5">
        <f ca="1">'STF-12'!Q202</f>
        <v>-1.0398269896193826E-2</v>
      </c>
      <c r="H25" s="5">
        <f ca="1">'STF-12'!P202</f>
        <v>-1.0398269896193822E-2</v>
      </c>
      <c r="I25" s="5"/>
      <c r="J25" s="5"/>
      <c r="K25" s="5">
        <f ca="1">'STF-17'!R130</f>
        <v>0</v>
      </c>
      <c r="L25" s="5">
        <f ca="1">'STF-17'!Q130</f>
        <v>0</v>
      </c>
      <c r="M25" s="5">
        <f ca="1">'BACM-R8'!P169*($B$2-$M$3+1)</f>
        <v>0</v>
      </c>
      <c r="N25" s="5">
        <f ca="1">'BACM-R8'!O169*($B$2-$M$3+1)</f>
        <v>0</v>
      </c>
      <c r="O25" s="5">
        <f ca="1">'BACM-48'!R89</f>
        <v>0</v>
      </c>
      <c r="P25" s="5">
        <f ca="1">'BACM-48'!Q89</f>
        <v>0</v>
      </c>
      <c r="Q25" s="5">
        <f ca="1">OFFSET('STF-22'!$E$173,MATCH($B25,'STF-22'!$A$174:$A$191,0),MATCH($B$2,'STF-22'!$F$172:$AD$172,0))</f>
        <v>0</v>
      </c>
      <c r="R25" s="5">
        <f ca="1">OFFSET('STF-22'!$E$173,MATCH($B25,'STF-22'!$A$174:$A$191,0),MATCH($B$2,'STF-22'!$F$172:$AD$172,0)-1)</f>
        <v>0</v>
      </c>
      <c r="S25" s="5">
        <f>'STF-23'!H100</f>
        <v>0</v>
      </c>
      <c r="T25" s="5">
        <f>'STF-23'!G100</f>
        <v>0</v>
      </c>
      <c r="U25" s="688">
        <f ca="1">'CM-SerSIP'!R106</f>
        <v>0</v>
      </c>
      <c r="V25" s="688">
        <f ca="1">'CM-SerSIP'!Q106</f>
        <v>0</v>
      </c>
      <c r="W25" s="701"/>
      <c r="X25" s="701"/>
      <c r="Y25" s="510">
        <f t="shared" ca="1" si="1"/>
        <v>-1.0398269896193746E-2</v>
      </c>
      <c r="Z25" s="510">
        <f t="shared" ca="1" si="2"/>
        <v>-1.0398269896193746E-2</v>
      </c>
      <c r="AA25" s="617">
        <v>0</v>
      </c>
      <c r="AB25" s="617">
        <v>0</v>
      </c>
      <c r="AC25" s="617">
        <v>0</v>
      </c>
      <c r="AD25" s="617">
        <v>0</v>
      </c>
      <c r="AE25" s="510">
        <f t="shared" ca="1" si="3"/>
        <v>-1.0398269896193746E-2</v>
      </c>
      <c r="AF25" s="510">
        <f t="shared" ca="1" si="3"/>
        <v>-1.0398269896193746E-2</v>
      </c>
      <c r="AG25" s="510">
        <f t="shared" ca="1" si="4"/>
        <v>-1.0398269896193746E-2</v>
      </c>
      <c r="AH25" s="510">
        <f t="shared" ca="1" si="4"/>
        <v>-1.0398269896193746E-2</v>
      </c>
      <c r="AI25" s="530">
        <f t="shared" ca="1" si="5"/>
        <v>-1.0398269896193746E-2</v>
      </c>
      <c r="AJ25" s="530">
        <f t="shared" ca="1" si="6"/>
        <v>-1.0398269896193746E-2</v>
      </c>
      <c r="AK25" s="133"/>
      <c r="AL25" s="5"/>
    </row>
    <row r="26" spans="1:40" ht="15.75" thickBot="1" x14ac:dyDescent="0.3">
      <c r="A26" s="6" t="s">
        <v>154</v>
      </c>
      <c r="B26" s="6">
        <v>2102012000</v>
      </c>
      <c r="C26" s="615">
        <f ca="1">INDIRECT("'DevSumOut-"&amp;Year&amp;"BSR'!R69")</f>
        <v>2.3655128992506407E-3</v>
      </c>
      <c r="D26" s="615">
        <f ca="1">INDIRECT("'DevSumOut-"&amp;Year&amp;"BSR'!P69")</f>
        <v>1.6802202817214628E-2</v>
      </c>
      <c r="E26" s="615"/>
      <c r="F26" s="615"/>
      <c r="G26" s="615">
        <f>'STF-12'!Q203</f>
        <v>0</v>
      </c>
      <c r="H26" s="615">
        <f>'STF-12'!P203</f>
        <v>0</v>
      </c>
      <c r="I26" s="615"/>
      <c r="J26" s="615"/>
      <c r="K26" s="615">
        <f ca="1">'STF-17'!R131</f>
        <v>0</v>
      </c>
      <c r="L26" s="615">
        <f ca="1">'STF-17'!Q131</f>
        <v>0</v>
      </c>
      <c r="M26" s="615">
        <f ca="1">'BACM-R8'!P170*($B$2-$M$3+1)</f>
        <v>0</v>
      </c>
      <c r="N26" s="615">
        <f ca="1">'BACM-R8'!O170*($B$2-$M$3+1)</f>
        <v>0</v>
      </c>
      <c r="O26" s="615">
        <f ca="1">'BACM-48'!R90</f>
        <v>0</v>
      </c>
      <c r="P26" s="615">
        <f ca="1">'BACM-48'!Q90</f>
        <v>0</v>
      </c>
      <c r="Q26" s="615">
        <f ca="1">OFFSET('STF-22'!$E$173,MATCH($B26,'STF-22'!$A$174:$A$191,0),MATCH($B$2,'STF-22'!$F$172:$AD$172,0))</f>
        <v>0</v>
      </c>
      <c r="R26" s="615">
        <f ca="1">OFFSET('STF-22'!$E$173,MATCH($B26,'STF-22'!$A$174:$A$191,0),MATCH($B$2,'STF-22'!$F$172:$AD$172,0)-1)</f>
        <v>0</v>
      </c>
      <c r="S26" s="615">
        <f>'STF-23'!H101</f>
        <v>0</v>
      </c>
      <c r="T26" s="615">
        <f>'STF-23'!G101</f>
        <v>0</v>
      </c>
      <c r="U26" s="699">
        <f ca="1">'CM-SerSIP'!R107</f>
        <v>0</v>
      </c>
      <c r="V26" s="699">
        <f ca="1">'CM-SerSIP'!Q107</f>
        <v>0</v>
      </c>
      <c r="W26" s="702"/>
      <c r="X26" s="702"/>
      <c r="Y26" s="705">
        <f t="shared" ca="1" si="1"/>
        <v>0</v>
      </c>
      <c r="Z26" s="705">
        <f t="shared" ca="1" si="2"/>
        <v>0</v>
      </c>
      <c r="AA26" s="618">
        <v>0</v>
      </c>
      <c r="AB26" s="618">
        <v>0</v>
      </c>
      <c r="AC26" s="618">
        <v>0</v>
      </c>
      <c r="AD26" s="618">
        <v>0</v>
      </c>
      <c r="AE26" s="705">
        <f t="shared" ca="1" si="3"/>
        <v>0</v>
      </c>
      <c r="AF26" s="705">
        <f t="shared" ca="1" si="3"/>
        <v>0</v>
      </c>
      <c r="AG26" s="705">
        <f t="shared" ca="1" si="4"/>
        <v>0</v>
      </c>
      <c r="AH26" s="705">
        <f t="shared" ca="1" si="4"/>
        <v>0</v>
      </c>
      <c r="AI26" s="706">
        <f t="shared" ca="1" si="5"/>
        <v>0</v>
      </c>
      <c r="AJ26" s="706">
        <f t="shared" ca="1" si="6"/>
        <v>0</v>
      </c>
      <c r="AK26" s="133"/>
      <c r="AL26" s="5"/>
    </row>
    <row r="27" spans="1:40" ht="15.75" thickTop="1" x14ac:dyDescent="0.25">
      <c r="A27" s="810"/>
      <c r="B27" s="244" t="s">
        <v>155</v>
      </c>
      <c r="C27" s="450">
        <f ca="1">INDIRECT("'DevSumOut-"&amp;Year&amp;"BSR'!R70")</f>
        <v>2.806623905552601</v>
      </c>
      <c r="D27" s="450">
        <f ca="1">INDIRECT("'DevSumOut-"&amp;Year&amp;"BSR'!P70")</f>
        <v>4.320503062337508</v>
      </c>
      <c r="E27" s="450">
        <f ca="1">$C27-E28</f>
        <v>1.8239332654462717</v>
      </c>
      <c r="F27" s="450">
        <f ca="1">$D27-F28</f>
        <v>4.3138568782191182</v>
      </c>
      <c r="G27" s="450">
        <f ca="1">$C27-G28</f>
        <v>2.7973691512516816</v>
      </c>
      <c r="H27" s="450">
        <f ca="1">$D27-H28</f>
        <v>2.3233873887428214</v>
      </c>
      <c r="I27" s="450">
        <f ca="1">$C27-I28</f>
        <v>2.6214346436691898</v>
      </c>
      <c r="J27" s="450">
        <f ca="1">$D27-J28</f>
        <v>4.3139482838526035</v>
      </c>
      <c r="K27" s="450">
        <f ca="1">$C27-K28</f>
        <v>1.3465511538964834</v>
      </c>
      <c r="L27" s="450">
        <f ca="1">$D27-L28</f>
        <v>4.30810984035279</v>
      </c>
      <c r="M27" s="450">
        <f ca="1">$C27-M28</f>
        <v>1.7105153071336081</v>
      </c>
      <c r="N27" s="450">
        <f ca="1">$D27-N28</f>
        <v>4.3041704679419306</v>
      </c>
      <c r="O27" s="450">
        <f ca="1">$C27-O28</f>
        <v>2.7285748621270907</v>
      </c>
      <c r="P27" s="450">
        <f ca="1">$D27-P28</f>
        <v>4.24690455525253</v>
      </c>
      <c r="Q27" s="450">
        <f ca="1">$C27-Q28</f>
        <v>2.1029605666132198</v>
      </c>
      <c r="R27" s="450">
        <f ca="1">$D27-R28</f>
        <v>4.3638725823099174</v>
      </c>
      <c r="S27" s="450">
        <f ca="1">$C27-S28</f>
        <v>2.8060388433044765</v>
      </c>
      <c r="T27" s="450">
        <f ca="1">$D27-T28</f>
        <v>4.320503062337508</v>
      </c>
      <c r="U27" s="786">
        <f ca="1">$C27-U28</f>
        <v>2.4576916394328387</v>
      </c>
      <c r="V27" s="786">
        <f ca="1">$D27-V28</f>
        <v>4.3040942981495425</v>
      </c>
      <c r="W27" s="450">
        <f ca="1">$C27-W28</f>
        <v>2.3630063416992924</v>
      </c>
      <c r="X27" s="450">
        <f ca="1">$D27-X28</f>
        <v>3.6607742532413341</v>
      </c>
      <c r="Y27" s="450">
        <f ca="1">$C27-Y28</f>
        <v>0.38506797325317965</v>
      </c>
      <c r="Z27" s="450">
        <f ca="1">$D27-Z28</f>
        <v>1.8995884338641602</v>
      </c>
      <c r="AA27" s="450">
        <f ca="1">$C27-AA28</f>
        <v>2.0545298902417475</v>
      </c>
      <c r="AB27" s="450">
        <f ca="1">$C27-AB28</f>
        <v>1.5047797421110796</v>
      </c>
      <c r="AC27" s="450">
        <f ca="1">$D27-AC28</f>
        <v>4.4672682080404806</v>
      </c>
      <c r="AD27" s="450">
        <f ca="1">$D27-AD28</f>
        <v>4.5348129065287326</v>
      </c>
      <c r="AE27" s="450">
        <f ca="1">$C27-AE28</f>
        <v>0.27923309662825879</v>
      </c>
      <c r="AF27" s="450">
        <f ca="1">$C27-AF28</f>
        <v>0.21949728840211247</v>
      </c>
      <c r="AG27" s="450">
        <f ca="1">$D27-AG28</f>
        <v>1.9796686869957054</v>
      </c>
      <c r="AH27" s="450">
        <f ca="1">$D27-AH28</f>
        <v>2.0199469455960033</v>
      </c>
      <c r="AI27" s="787">
        <f ca="1">$C27-AI28</f>
        <v>0.27572650638693474</v>
      </c>
      <c r="AJ27" s="787">
        <f ca="1">$D27-AJ28</f>
        <v>1.9797911548991758</v>
      </c>
      <c r="AK27" s="133"/>
      <c r="AL27" s="5"/>
    </row>
    <row r="28" spans="1:40" x14ac:dyDescent="0.25">
      <c r="B28" s="244" t="s">
        <v>156</v>
      </c>
      <c r="E28" s="450">
        <f ca="1">SUMPRODUCT($C9:$C26,E9:E26)</f>
        <v>0.98269064010632934</v>
      </c>
      <c r="F28" s="450">
        <f ca="1">SUMPRODUCT($D9:$D26,F9:F26)</f>
        <v>6.6461841183898772E-3</v>
      </c>
      <c r="G28" s="450">
        <f ca="1">SUMPRODUCT($C9:$C26,G9:G26)</f>
        <v>9.2547543009192865E-3</v>
      </c>
      <c r="H28" s="450">
        <f ca="1">SUMPRODUCT($D9:$D26,H9:H26)</f>
        <v>1.9971156735946867</v>
      </c>
      <c r="I28" s="450">
        <f ca="1">SUMPRODUCT($C9:$C26,I9:I26)</f>
        <v>0.18518926188341117</v>
      </c>
      <c r="J28" s="450">
        <f ca="1">SUMPRODUCT($D9:$D26,J9:J26)</f>
        <v>6.5547784849043708E-3</v>
      </c>
      <c r="K28" s="450">
        <f ca="1">SUMPRODUCT($C9:$C26,K9:K26)</f>
        <v>1.4600727516561176</v>
      </c>
      <c r="L28" s="450">
        <f ca="1">SUMPRODUCT($D9:$D26,L9:L26)</f>
        <v>1.2393221984717789E-2</v>
      </c>
      <c r="M28" s="450">
        <f ca="1">SUMPRODUCT($C9:$C26,M9:M26)</f>
        <v>1.0961085984189929</v>
      </c>
      <c r="N28" s="450">
        <f ca="1">SUMPRODUCT($D9:$D26,N9:N26)</f>
        <v>1.6332594395577431E-2</v>
      </c>
      <c r="O28" s="450">
        <f ca="1">SUMPRODUCT($C9:$C26,O9:O26)</f>
        <v>7.8049043425510473E-2</v>
      </c>
      <c r="P28" s="450">
        <f ca="1">SUMPRODUCT($D9:$D26,P9:P26)</f>
        <v>7.3598507084978448E-2</v>
      </c>
      <c r="Q28" s="450">
        <f ca="1">SUMPRODUCT($C9:$C26,Q9:Q26)</f>
        <v>0.70366333893938127</v>
      </c>
      <c r="R28" s="450">
        <f ca="1">SUMPRODUCT($D9:$D26,R9:R26)</f>
        <v>-4.3369519972409593E-2</v>
      </c>
      <c r="S28" s="450">
        <f ca="1">SUMPRODUCT($C9:$C26,S9:S26)</f>
        <v>5.8506224812427874E-4</v>
      </c>
      <c r="T28" s="450">
        <f ca="1">SUMPRODUCT($D9:$D26,T9:T26)</f>
        <v>0</v>
      </c>
      <c r="U28" s="786">
        <f ca="1">SUMPRODUCT($C9:$C26,U9:U26)</f>
        <v>0.34893226611976236</v>
      </c>
      <c r="V28" s="786">
        <f ca="1">SUMPRODUCT($D9:$D26,V9:V26)</f>
        <v>1.6408764187965573E-2</v>
      </c>
      <c r="W28" s="450">
        <f ca="1">SUMPRODUCT($C9:$C26,W9:W26)</f>
        <v>0.44361756385330847</v>
      </c>
      <c r="X28" s="450">
        <f ca="1">SUMPRODUCT($D9:$D26,X9:X26)</f>
        <v>0.65972880909617382</v>
      </c>
      <c r="Y28" s="450">
        <f ca="1">SUMPRODUCT($C9:$C26,Y9:Y26)</f>
        <v>2.4215559322994213</v>
      </c>
      <c r="Z28" s="450">
        <f ca="1">SUMPRODUCT($D9:$D26,Z9:Z26)</f>
        <v>2.4209146284733478</v>
      </c>
      <c r="AA28" s="450">
        <f ca="1">SUMPRODUCT($C9:$C26,AA9:AA26)</f>
        <v>0.75209401531085329</v>
      </c>
      <c r="AB28" s="450">
        <f ca="1">SUMPRODUCT($C9:$C26,AB9:AB26)</f>
        <v>1.3018441634415214</v>
      </c>
      <c r="AC28" s="450">
        <f ca="1">SUMPRODUCT($D9:$D26,AC9:AC26)</f>
        <v>-0.14676514570297292</v>
      </c>
      <c r="AD28" s="450">
        <f ca="1">SUMPRODUCT($D9:$D26,AD9:AD26)</f>
        <v>-0.21430984419122467</v>
      </c>
      <c r="AE28" s="450">
        <f ca="1">SUMPRODUCT($C9:$C26,AE9:AE26)</f>
        <v>2.5273908089243422</v>
      </c>
      <c r="AF28" s="450">
        <f ca="1">SUMPRODUCT($C9:$C26,AF9:AF26)</f>
        <v>2.5871266171504885</v>
      </c>
      <c r="AG28" s="450">
        <f ca="1">SUMPRODUCT($D9:$D26,AG9:AG26)</f>
        <v>2.3408343753418026</v>
      </c>
      <c r="AH28" s="450">
        <f ca="1">SUMPRODUCT($D9:$D26,AH9:AH26)</f>
        <v>2.3005561167415047</v>
      </c>
      <c r="AI28" s="450">
        <f ca="1">SUMPRODUCT($C9:$C26,AI9:AI26)</f>
        <v>2.5308973991656663</v>
      </c>
      <c r="AJ28" s="450">
        <f ca="1">SUMPRODUCT($D9:$D26,AJ9:AJ26)</f>
        <v>2.3407119074383322</v>
      </c>
    </row>
    <row r="29" spans="1:40" x14ac:dyDescent="0.25">
      <c r="E29" s="659">
        <f ca="1">E28/$C27</f>
        <v>0.35013264091500912</v>
      </c>
      <c r="F29" s="693">
        <f ca="1">F28/$D27</f>
        <v>1.5382894127134615E-3</v>
      </c>
      <c r="G29" s="659">
        <f ca="1">G28/$C27</f>
        <v>3.2974686357547796E-3</v>
      </c>
      <c r="H29" s="693">
        <f ca="1">H28/$D27</f>
        <v>0.46224146697264312</v>
      </c>
      <c r="I29" s="659">
        <f ca="1">I28/$C27</f>
        <v>6.5982927572530936E-2</v>
      </c>
      <c r="J29" s="693">
        <f ca="1">J28/$D27</f>
        <v>1.5171331648954E-3</v>
      </c>
      <c r="K29" s="659">
        <f ca="1">K28/$C27</f>
        <v>0.52022387066807274</v>
      </c>
      <c r="L29" s="693">
        <f ca="1">L28/$D27</f>
        <v>2.8684673534319226E-3</v>
      </c>
      <c r="M29" s="659">
        <f ca="1">M28/$C27</f>
        <v>0.39054345551980119</v>
      </c>
      <c r="N29" s="693">
        <f ca="1">N28/$D27</f>
        <v>3.7802529381245386E-3</v>
      </c>
      <c r="O29" s="659">
        <f ca="1">O28/$C27</f>
        <v>2.7808871459798695E-2</v>
      </c>
      <c r="P29" s="693">
        <f ca="1">P28/$D27</f>
        <v>1.7034707769691914E-2</v>
      </c>
      <c r="Q29" s="659">
        <f ca="1">Q28/$C27</f>
        <v>0.25071522320723472</v>
      </c>
      <c r="R29" s="693">
        <f ca="1">R28/$D27</f>
        <v>-1.0038071804755421E-2</v>
      </c>
      <c r="S29" s="659">
        <f ca="1">S28/$C27</f>
        <v>2.0845765867197116E-4</v>
      </c>
      <c r="T29" s="693">
        <f ca="1">T28/$D27</f>
        <v>0</v>
      </c>
      <c r="U29" s="700">
        <f ca="1">U28/$C27</f>
        <v>0.124324554290811</v>
      </c>
      <c r="V29" s="700">
        <f ca="1">V28/$D27</f>
        <v>3.7978827815222035E-3</v>
      </c>
      <c r="W29" s="659">
        <f ca="1">W28/$C27</f>
        <v>0.15806092258234503</v>
      </c>
      <c r="X29" s="693">
        <f ca="1">X28/$D27</f>
        <v>0.15269722057302346</v>
      </c>
      <c r="Y29" s="659">
        <f ca="1">Y28/$C27</f>
        <v>0.86280029451350271</v>
      </c>
      <c r="Z29" s="693">
        <f t="shared" ref="Z29" ca="1" si="7">Z28/$D27</f>
        <v>0.56033165433368959</v>
      </c>
      <c r="AA29" s="838">
        <f ca="1">(AA28*$AJ$4+AB28*$AJ$5)/SUM($AJ$4:$AJ$5)</f>
        <v>1.1326902717090082</v>
      </c>
      <c r="AB29" s="838"/>
      <c r="AC29" s="838">
        <f ca="1">(AC28*$AJ$4+AD28*$AJ$5)/SUM($AJ$4:$AJ$5)</f>
        <v>-0.19352686004099337</v>
      </c>
      <c r="AD29" s="838"/>
      <c r="AE29" s="659">
        <f ca="1">AE28/$C27</f>
        <v>0.90050925737651333</v>
      </c>
      <c r="AF29" s="659">
        <f ca="1">AF28/$C27</f>
        <v>0.92179312377128231</v>
      </c>
      <c r="AG29" s="693">
        <f t="shared" ref="AG29:AH29" ca="1" si="8">AG28/$D27</f>
        <v>0.54179671708769683</v>
      </c>
      <c r="AH29" s="693">
        <f t="shared" ca="1" si="8"/>
        <v>0.53247413172688329</v>
      </c>
      <c r="AI29" s="659">
        <f ca="1">AI28/$C27</f>
        <v>0.90175865535762034</v>
      </c>
      <c r="AJ29" s="693">
        <f t="shared" ref="AJ29" ca="1" si="9">AJ28/$D27</f>
        <v>0.54176837133681932</v>
      </c>
      <c r="AK29" s="5"/>
      <c r="AL29" s="5"/>
      <c r="AN29" s="5"/>
    </row>
    <row r="30" spans="1:40" x14ac:dyDescent="0.25">
      <c r="B30" s="244" t="s">
        <v>157</v>
      </c>
      <c r="E30" s="450">
        <f ca="1">E28*($Y28/$Y30)</f>
        <v>0.47984059263372819</v>
      </c>
      <c r="F30" s="450">
        <f ca="1">F28*($Z28/$Z30)</f>
        <v>5.8958750051008174E-3</v>
      </c>
      <c r="G30" s="450">
        <f ca="1">G28*($Y28/$Y30)</f>
        <v>4.5190282752180788E-3</v>
      </c>
      <c r="H30" s="450">
        <f ca="1">H28*($Z28/$Z30)</f>
        <v>1.77165485826092</v>
      </c>
      <c r="I30" s="450">
        <f ca="1">I28*($Y28/$Y30)</f>
        <v>9.0426550884746104E-2</v>
      </c>
      <c r="J30" s="450">
        <f ca="1">J28*($Z28/$Z30)</f>
        <v>5.8147884477330438E-3</v>
      </c>
      <c r="K30" s="450">
        <f ca="1">K28*($Y28/$Y30)</f>
        <v>0.71294275721118394</v>
      </c>
      <c r="L30" s="450">
        <f ca="1">L28*($Z28/$Z30)</f>
        <v>1.0994111272088174E-2</v>
      </c>
      <c r="M30" s="450">
        <f ca="1">M28*($Y28/$Y30)</f>
        <v>0.5352217452680581</v>
      </c>
      <c r="N30" s="450">
        <f ca="1">N28*($Z28/$Z30)</f>
        <v>1.4488755254144741E-2</v>
      </c>
      <c r="O30" s="450">
        <f ca="1">O28*($Y28/$Y30)</f>
        <v>3.8110772325805647E-2</v>
      </c>
      <c r="P30" s="450">
        <f ca="1">P28*($Z28/$Z30)</f>
        <v>6.5289734771925692E-2</v>
      </c>
      <c r="Q30" s="450">
        <f ca="1">Q28*($Y28/$Y30)</f>
        <v>0.34359361918290643</v>
      </c>
      <c r="R30" s="450">
        <f ca="1">R28*($Z28/$Z30)</f>
        <v>-3.8473395294757087E-2</v>
      </c>
      <c r="S30" s="450">
        <f ca="1">S28*($Y28/$Y30)</f>
        <v>2.8568158117105798E-4</v>
      </c>
      <c r="T30" s="450">
        <f ca="1">T28*($Z28/$Z30)</f>
        <v>0</v>
      </c>
      <c r="U30" s="786">
        <f ca="1">U28*($Y28/$Y30)</f>
        <v>0.17038105231756356</v>
      </c>
      <c r="V30" s="786">
        <f ca="1">V28*($Z28/$Z30)</f>
        <v>1.4556325993547272E-2</v>
      </c>
      <c r="W30" s="450">
        <f ca="1">W28*($Y28/$Y30)</f>
        <v>0.216615184936604</v>
      </c>
      <c r="X30" s="450">
        <f ca="1">X28*($Z28/$Z30)</f>
        <v>0.58524990075619276</v>
      </c>
      <c r="Y30" s="450">
        <f ca="1">SUM($E28,$G28,$I28,$K28,$M28,$O28,$Q28,$S28,$W28)</f>
        <v>4.9592310148320946</v>
      </c>
      <c r="Z30" s="450">
        <f ca="1">SUM($F28,$H28,$J28,$L28,$N28,$P28,$R28,$T28,$X28)</f>
        <v>2.7290002487870186</v>
      </c>
      <c r="AA30" s="450">
        <f ca="1">AE28-$Y28</f>
        <v>0.10583487662492086</v>
      </c>
      <c r="AB30" s="450">
        <f ca="1">AF28-$Y28</f>
        <v>0.16557068485106718</v>
      </c>
      <c r="AC30" s="450">
        <f ca="1">AG28-$Z28</f>
        <v>-8.0080253131545209E-2</v>
      </c>
      <c r="AD30" s="450">
        <f ca="1">AH28-$Z28</f>
        <v>-0.12035851173184309</v>
      </c>
      <c r="AE30" s="450">
        <f ca="1">SUM($E28,$G28,$I28,$K28,$M28,$O28,$Q28,$S28,$W28,AA28)</f>
        <v>5.7113250301429481</v>
      </c>
      <c r="AF30" s="450">
        <f ca="1">SUM($E28,$G28,$I28,$K28,$M28,$O28,$Q28,$S28,$W28,AB28)</f>
        <v>6.2610751782736163</v>
      </c>
      <c r="AG30" s="450">
        <f ca="1">SUM($F28,$H28,$J28,$L28,$N28,$P28,$R28,$T28,$X28,AC28)</f>
        <v>2.5822351030840456</v>
      </c>
      <c r="AH30" s="450">
        <f ca="1">SUM($F28,$H28,$J28,$L28,$N28,$P28,$R28,$T28,$X28,AD28)</f>
        <v>2.5146904045957941</v>
      </c>
    </row>
    <row r="31" spans="1:40" x14ac:dyDescent="0.25">
      <c r="Y31" s="659">
        <f ca="1">Y30/$C27</f>
        <v>1.7669738382192191</v>
      </c>
      <c r="Z31" s="659">
        <f ca="1">Z30/$C27</f>
        <v>0.97234269379234872</v>
      </c>
      <c r="AA31" s="839" t="s">
        <v>158</v>
      </c>
      <c r="AB31" s="839"/>
      <c r="AC31" s="839"/>
      <c r="AD31" s="839"/>
      <c r="AE31" s="659">
        <f ca="1">AE30/$C27</f>
        <v>2.0349449097343291</v>
      </c>
      <c r="AF31" s="659">
        <f ca="1">AF30/$C27</f>
        <v>2.2308208684059014</v>
      </c>
      <c r="AG31" s="693">
        <f ca="1">AG30/$D27</f>
        <v>0.59767000875286669</v>
      </c>
      <c r="AH31" s="693">
        <f ca="1">AH30/$D27</f>
        <v>0.58203648239871375</v>
      </c>
    </row>
    <row r="32" spans="1:40" x14ac:dyDescent="0.25">
      <c r="Y32" s="698">
        <f ca="1">SUM($E30,$G30,$I30,$K30,$M30,$O30,$Q30,$S30,$W30)</f>
        <v>2.4215559322994213</v>
      </c>
      <c r="Z32" s="698">
        <f ca="1">SUM($F30,$H30,$J30,$L30,$N30,$P30,$R30,$T30,$X30)</f>
        <v>2.4209146284733483</v>
      </c>
      <c r="AA32" s="838">
        <f ca="1">(AA30*$AJ$4+AB30*$AJ$5)/SUM($AJ$4:$AJ$5)</f>
        <v>0.14719043616609909</v>
      </c>
      <c r="AB32" s="838"/>
      <c r="AC32" s="838">
        <f ca="1">(AC30*$AJ$4+AD30*$AJ$5)/SUM($AJ$4:$AJ$5)</f>
        <v>-0.1079652013932899</v>
      </c>
      <c r="AD32" s="838"/>
    </row>
    <row r="33" spans="2:37" x14ac:dyDescent="0.25">
      <c r="C33" s="450">
        <f ca="1">SUM(C9:C18)</f>
        <v>2.6205962413339803</v>
      </c>
      <c r="D33" s="450">
        <f ca="1">SUM(D9:D18)</f>
        <v>9.2756068497813593E-2</v>
      </c>
      <c r="Z33" s="616"/>
      <c r="AA33" s="616"/>
    </row>
    <row r="34" spans="2:37" x14ac:dyDescent="0.25">
      <c r="B34" s="244" t="s">
        <v>159</v>
      </c>
      <c r="E34" s="450">
        <f ca="1">SUMPRODUCT($C9:$C18,E9:E18)</f>
        <v>0.92803991513909401</v>
      </c>
      <c r="F34" s="450">
        <f ca="1">SUMPRODUCT($D9:$D18,F9:F18)</f>
        <v>1.6307048010697896E-4</v>
      </c>
      <c r="G34" s="450">
        <f ca="1">SUMPRODUCT($C9:$C18,G9:G18)</f>
        <v>-2.7249667006341818E-2</v>
      </c>
      <c r="H34" s="450">
        <f ca="1">SUMPRODUCT($D9:$D18,H9:H18)</f>
        <v>-9.645026347501073E-4</v>
      </c>
      <c r="I34" s="450">
        <f ca="1">SUMPRODUCT($C9:$C18,I9:I18)</f>
        <v>0.18518926188341117</v>
      </c>
      <c r="J34" s="450">
        <f ca="1">SUMPRODUCT($D9:$D18,J9:J18)</f>
        <v>6.5547784849043708E-3</v>
      </c>
      <c r="K34" s="450">
        <f ca="1">SUMPRODUCT($C9:$C18,K9:K18)</f>
        <v>1.3642278715367149</v>
      </c>
      <c r="L34" s="450">
        <f ca="1">SUMPRODUCT($D9:$D18,L9:L18)</f>
        <v>2.922357979112215E-2</v>
      </c>
      <c r="M34" s="450">
        <f ca="1">SUMPRODUCT($C9:$C18,M9:M18)</f>
        <v>1.0961085984189929</v>
      </c>
      <c r="N34" s="450">
        <f ca="1">SUMPRODUCT($D9:$D18,N9:N18)</f>
        <v>1.6332594395577431E-2</v>
      </c>
      <c r="O34" s="450">
        <f ca="1">SUMPRODUCT($C9:$C18,O9:O18)</f>
        <v>0</v>
      </c>
      <c r="P34" s="450">
        <f ca="1">SUMPRODUCT($D9:$D18,P9:P18)</f>
        <v>0</v>
      </c>
      <c r="Q34" s="450">
        <f ca="1">SUMPRODUCT($C9:$C18,Q9:Q18)</f>
        <v>0.70474756114978465</v>
      </c>
      <c r="R34" s="450">
        <f ca="1">SUMPRODUCT($D9:$D18,R9:R18)</f>
        <v>2.537471607613789E-2</v>
      </c>
      <c r="S34" s="450"/>
      <c r="T34" s="450"/>
      <c r="U34" s="450">
        <f ca="1">SUMPRODUCT($C9:$C18,U9:U18)</f>
        <v>0.34893226611976236</v>
      </c>
      <c r="V34" s="450">
        <f ca="1">SUMPRODUCT($D9:$D18,V9:V18)</f>
        <v>1.6408764187965573E-2</v>
      </c>
      <c r="W34" s="450">
        <f ca="1">SUMPRODUCT($C9:$C18,W9:W18)</f>
        <v>0.43135701389470599</v>
      </c>
      <c r="X34" s="450">
        <f ca="1">SUMPRODUCT($D9:$D18,X9:X18)</f>
        <v>1.4639015664304898E-2</v>
      </c>
      <c r="Y34" s="450">
        <f ca="1">SUMPRODUCT($C9:$C18,Y9:Y18)</f>
        <v>2.2732973734428281</v>
      </c>
      <c r="Z34" s="450">
        <f ca="1">SUMPRODUCT($D9:$D18,Z9:Z18)</f>
        <v>5.7875896185138123E-2</v>
      </c>
      <c r="AE34" s="450">
        <f ca="1">SUMPRODUCT($C9:$C18,AE9:AE18)</f>
        <v>2.379132250067749</v>
      </c>
      <c r="AF34" s="450">
        <f ca="1">SUMPRODUCT($C9:$C18,AF9:AF18)</f>
        <v>2.4388680582938953</v>
      </c>
      <c r="AG34" s="450">
        <f ca="1">SUMPRODUCT($D9:$D18,AG9:AG18)</f>
        <v>-2.220435694640718E-2</v>
      </c>
      <c r="AH34" s="450">
        <f ca="1">SUMPRODUCT($D9:$D18,AH9:AH18)</f>
        <v>-6.2482615546704867E-2</v>
      </c>
    </row>
    <row r="35" spans="2:37" x14ac:dyDescent="0.25">
      <c r="C35" s="450">
        <f ca="1">SUM(C19:C20)</f>
        <v>7.5148378236508551E-2</v>
      </c>
      <c r="D35" s="450">
        <f ca="1">SUM(D19:D20)</f>
        <v>4.0958042918331001</v>
      </c>
      <c r="AD35" s="244" t="s">
        <v>160</v>
      </c>
      <c r="AE35" s="604">
        <f ca="1">AE34/$C33</f>
        <v>0.90785914004695467</v>
      </c>
      <c r="AF35" s="604">
        <f ca="1">AF34/$C33</f>
        <v>0.93065387938296873</v>
      </c>
      <c r="AG35" s="604">
        <f t="shared" ref="AG35:AH37" ca="1" si="10">AG34/$D33</f>
        <v>-0.23938441231940066</v>
      </c>
      <c r="AH35" s="604">
        <f t="shared" ca="1" si="10"/>
        <v>-0.67362293980989163</v>
      </c>
    </row>
    <row r="36" spans="2:37" x14ac:dyDescent="0.25">
      <c r="B36" s="244" t="s">
        <v>161</v>
      </c>
      <c r="E36" s="450">
        <f ca="1">SUMPRODUCT($C19:$C20,E19:E20)</f>
        <v>1.9976298535865505E-2</v>
      </c>
      <c r="F36" s="450">
        <f ca="1">SUMPRODUCT($D19:$D20,F19:F20)</f>
        <v>6.2826405523636608E-3</v>
      </c>
      <c r="G36" s="450">
        <f ca="1">SUMPRODUCT($C19:$C20,G19:G20)</f>
        <v>3.6507100597137729E-2</v>
      </c>
      <c r="H36" s="450">
        <f ca="1">SUMPRODUCT($D19:$D20,H19:H20)</f>
        <v>1.9980802546008891</v>
      </c>
      <c r="I36" s="450">
        <f ca="1">SUMPRODUCT($C19:$C20,I19:I20)</f>
        <v>0</v>
      </c>
      <c r="J36" s="450">
        <f ca="1">SUMPRODUCT($D19:$D20,J19:J20)</f>
        <v>0</v>
      </c>
      <c r="K36" s="450">
        <f ca="1">SUMPRODUCT($C19:$C20,K19:K20)</f>
        <v>-2.0628050357565093E-3</v>
      </c>
      <c r="L36" s="450">
        <f ca="1">SUMPRODUCT($D19:$D20,L19:L20)</f>
        <v>-0.13079049196697781</v>
      </c>
      <c r="M36" s="450">
        <f ca="1">SUMPRODUCT($C19:$C20,M19:M20)</f>
        <v>0</v>
      </c>
      <c r="N36" s="450">
        <f ca="1">SUMPRODUCT($D19:$D20,N19:N20)</f>
        <v>0</v>
      </c>
      <c r="O36" s="450">
        <f ca="1">SUMPRODUCT($C19:$C20,O19:O20)</f>
        <v>-2.7710469861700845E-4</v>
      </c>
      <c r="P36" s="450">
        <f ca="1">SUMPRODUCT($D19:$D20,P19:P20)</f>
        <v>-1.7569600243480313E-2</v>
      </c>
      <c r="Q36" s="450">
        <f ca="1">SUMPRODUCT($C19:$C20,Q19:Q20)</f>
        <v>-1.0842222104033438E-3</v>
      </c>
      <c r="R36" s="450">
        <f ca="1">SUMPRODUCT($D19:$D20,R19:R20)</f>
        <v>-6.8744236048547486E-2</v>
      </c>
      <c r="S36" s="450"/>
      <c r="T36" s="450"/>
      <c r="U36" s="450">
        <f ca="1">SUMPRODUCT($C19:$C20,U19:U20)</f>
        <v>0</v>
      </c>
      <c r="V36" s="450">
        <f ca="1">SUMPRODUCT($D19:$D20,V19:V20)</f>
        <v>0</v>
      </c>
      <c r="W36" s="450">
        <f ca="1">SUMPRODUCT($C19:$C20,W19:W20)</f>
        <v>1.2369620135999817E-2</v>
      </c>
      <c r="X36" s="450">
        <f ca="1">SUMPRODUCT($D19:$D20,X19:X20)</f>
        <v>0.64641100207352253</v>
      </c>
      <c r="Y36" s="450">
        <f ca="1">SUMPRODUCT($C19:$C20,Y19:Y20)</f>
        <v>5.0421925090119973E-2</v>
      </c>
      <c r="Z36" s="450">
        <f ca="1">SUMPRODUCT($D19:$D20,Z19:Z20)</f>
        <v>2.2503974377361673</v>
      </c>
      <c r="AE36" s="450">
        <f ca="1">SUMPRODUCT($C19:$C20,AE19:AE20)</f>
        <v>5.0421925090119973E-2</v>
      </c>
      <c r="AF36" s="450">
        <f ca="1">SUMPRODUCT($C19:$C20,AF19:AF20)</f>
        <v>5.0421925090119973E-2</v>
      </c>
      <c r="AG36" s="450">
        <f ca="1">SUMPRODUCT($D19:$D20,AG19:AG20)</f>
        <v>2.2503974377361673</v>
      </c>
      <c r="AH36" s="450">
        <f ca="1">SUMPRODUCT($D19:$D20,AH19:AH20)</f>
        <v>2.2503974377361673</v>
      </c>
    </row>
    <row r="37" spans="2:37" x14ac:dyDescent="0.25">
      <c r="AD37" s="244" t="s">
        <v>162</v>
      </c>
      <c r="AE37" s="694">
        <f ca="1">AE36/$C35</f>
        <v>0.67096491332695207</v>
      </c>
      <c r="AF37" s="694">
        <f ca="1">AF36/$C35</f>
        <v>0.67096491332695207</v>
      </c>
      <c r="AG37" s="694">
        <f t="shared" ca="1" si="10"/>
        <v>0.54943968934828902</v>
      </c>
      <c r="AH37" s="694">
        <f t="shared" ca="1" si="10"/>
        <v>0.54943968934828902</v>
      </c>
    </row>
    <row r="38" spans="2:37" x14ac:dyDescent="0.25">
      <c r="Z38" s="133"/>
      <c r="AA38" s="133"/>
    </row>
    <row r="39" spans="2:37" x14ac:dyDescent="0.25">
      <c r="V39" s="1" t="s">
        <v>163</v>
      </c>
      <c r="W39" s="45">
        <f>(3327+360+3290+100)-460</f>
        <v>6617</v>
      </c>
      <c r="X39" t="s">
        <v>164</v>
      </c>
      <c r="Z39" s="133"/>
      <c r="AA39" s="133"/>
    </row>
    <row r="40" spans="2:37" x14ac:dyDescent="0.25">
      <c r="B40" s="812"/>
      <c r="V40" s="1" t="s">
        <v>165</v>
      </c>
      <c r="W40" s="45">
        <f>BuildSizeG3C!CK462</f>
        <v>38476.182928384085</v>
      </c>
      <c r="X40" t="s">
        <v>166</v>
      </c>
    </row>
    <row r="41" spans="2:37" x14ac:dyDescent="0.25">
      <c r="B41" s="812"/>
      <c r="V41" s="1" t="s">
        <v>167</v>
      </c>
      <c r="W41" s="251">
        <f>W39/W40</f>
        <v>0.17197651888484508</v>
      </c>
    </row>
    <row r="42" spans="2:37" x14ac:dyDescent="0.25">
      <c r="B42" s="812"/>
    </row>
    <row r="43" spans="2:37" x14ac:dyDescent="0.25">
      <c r="B43" s="812"/>
      <c r="W43" t="s">
        <v>168</v>
      </c>
    </row>
    <row r="44" spans="2:37" x14ac:dyDescent="0.25">
      <c r="B44" s="812"/>
      <c r="W44" t="s">
        <v>169</v>
      </c>
      <c r="AK44" s="133"/>
    </row>
    <row r="45" spans="2:37" x14ac:dyDescent="0.25">
      <c r="B45" s="812"/>
      <c r="W45" t="s">
        <v>170</v>
      </c>
      <c r="AK45" s="133"/>
    </row>
    <row r="46" spans="2:37" x14ac:dyDescent="0.25">
      <c r="B46" s="812"/>
      <c r="W46" s="695">
        <v>0.16460262252193775</v>
      </c>
      <c r="X46" s="695">
        <v>0.1578227268725815</v>
      </c>
    </row>
    <row r="47" spans="2:37" x14ac:dyDescent="0.25">
      <c r="B47" s="812"/>
      <c r="W47" s="695">
        <v>0.16460262252193775</v>
      </c>
      <c r="X47" s="695">
        <v>0.15782272687258148</v>
      </c>
    </row>
    <row r="48" spans="2:37"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29:AB29"/>
    <mergeCell ref="AC29:AD29"/>
    <mergeCell ref="Q3:R3"/>
    <mergeCell ref="S3:T3"/>
    <mergeCell ref="U3:V3"/>
    <mergeCell ref="W3:X3"/>
    <mergeCell ref="AA31:AD31"/>
    <mergeCell ref="S4:T4"/>
    <mergeCell ref="U4:V4"/>
    <mergeCell ref="W4:X4"/>
    <mergeCell ref="K3:L3"/>
    <mergeCell ref="M3:N3"/>
    <mergeCell ref="O3:P3"/>
    <mergeCell ref="E3:F3"/>
    <mergeCell ref="G3:H3"/>
    <mergeCell ref="I3:J3"/>
    <mergeCell ref="K6:L6"/>
    <mergeCell ref="M6:N6"/>
    <mergeCell ref="O6:P6"/>
    <mergeCell ref="O4:P4"/>
    <mergeCell ref="E5:F5"/>
    <mergeCell ref="G5:H5"/>
    <mergeCell ref="I5:J5"/>
    <mergeCell ref="K5:L5"/>
    <mergeCell ref="M5:N5"/>
    <mergeCell ref="K4:L4"/>
    <mergeCell ref="M4:N4"/>
    <mergeCell ref="O5:P5"/>
    <mergeCell ref="E4:F4"/>
    <mergeCell ref="G4:H4"/>
    <mergeCell ref="I4:J4"/>
    <mergeCell ref="AI6:AJ6"/>
    <mergeCell ref="AI7:AJ7"/>
    <mergeCell ref="M7:N7"/>
    <mergeCell ref="O7:P7"/>
    <mergeCell ref="Q7:R7"/>
    <mergeCell ref="S7:T7"/>
    <mergeCell ref="U7:V7"/>
    <mergeCell ref="W7:X7"/>
    <mergeCell ref="S6:T6"/>
    <mergeCell ref="U6:V6"/>
    <mergeCell ref="W6:X6"/>
    <mergeCell ref="Y6:Z6"/>
    <mergeCell ref="AE6:AH6"/>
    <mergeCell ref="Q6:R6"/>
    <mergeCell ref="A1:AJ1"/>
    <mergeCell ref="AA4:AD4"/>
    <mergeCell ref="Y7:Z7"/>
    <mergeCell ref="AA7:AD7"/>
    <mergeCell ref="AE7:AH7"/>
    <mergeCell ref="C7:D7"/>
    <mergeCell ref="E7:F7"/>
    <mergeCell ref="G7:H7"/>
    <mergeCell ref="I7:J7"/>
    <mergeCell ref="K7:L7"/>
    <mergeCell ref="Q5:R5"/>
    <mergeCell ref="S5:T5"/>
    <mergeCell ref="U5:V5"/>
    <mergeCell ref="W5:X5"/>
    <mergeCell ref="G6:H6"/>
    <mergeCell ref="I6:J6"/>
  </mergeCell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AN101"/>
  <sheetViews>
    <sheetView zoomScale="80" zoomScaleNormal="80" workbookViewId="0">
      <selection activeCell="L7" sqref="L7"/>
    </sheetView>
  </sheetViews>
  <sheetFormatPr defaultRowHeight="15" x14ac:dyDescent="0.25"/>
  <cols>
    <col min="1" max="1" width="43.28515625" customWidth="1"/>
    <col min="3" max="3" width="11.5703125" customWidth="1"/>
    <col min="5" max="17" width="9.28515625" customWidth="1"/>
    <col min="19" max="19" width="32.7109375" customWidth="1"/>
    <col min="20" max="20" width="17.7109375" customWidth="1"/>
    <col min="21" max="30" width="9.7109375" customWidth="1"/>
  </cols>
  <sheetData>
    <row r="1" spans="1:39" ht="15.75" x14ac:dyDescent="0.25">
      <c r="A1" s="859" t="s">
        <v>688</v>
      </c>
      <c r="B1" s="859"/>
      <c r="C1" s="859"/>
      <c r="D1" s="859"/>
      <c r="E1" s="859"/>
      <c r="F1" s="859"/>
      <c r="G1" s="859"/>
      <c r="H1" s="859"/>
      <c r="I1" s="859"/>
      <c r="J1" s="859"/>
      <c r="K1" s="859"/>
      <c r="L1" s="859"/>
      <c r="Y1" s="859" t="s">
        <v>689</v>
      </c>
      <c r="Z1" s="859"/>
      <c r="AA1" s="859"/>
      <c r="AB1" s="859"/>
      <c r="AC1" s="859"/>
      <c r="AD1" s="859"/>
    </row>
    <row r="2" spans="1:39" x14ac:dyDescent="0.25">
      <c r="A2" s="829" t="s">
        <v>690</v>
      </c>
      <c r="B2" s="829"/>
      <c r="C2" s="829"/>
      <c r="D2" s="829"/>
      <c r="E2" s="829"/>
      <c r="F2" s="829"/>
      <c r="G2" s="829"/>
      <c r="H2" s="829"/>
      <c r="I2" s="829"/>
      <c r="J2" s="829"/>
      <c r="K2" s="829"/>
      <c r="L2" s="829"/>
      <c r="Y2" s="866" t="s">
        <v>691</v>
      </c>
      <c r="Z2" s="866"/>
      <c r="AA2" s="866"/>
      <c r="AB2" s="866"/>
      <c r="AC2" s="866"/>
      <c r="AD2" s="866"/>
    </row>
    <row r="4" spans="1:39" x14ac:dyDescent="0.25">
      <c r="E4" s="840" t="s">
        <v>640</v>
      </c>
      <c r="F4" s="840"/>
      <c r="G4" s="840"/>
      <c r="H4" s="840"/>
      <c r="I4" s="840"/>
      <c r="J4" s="840"/>
      <c r="K4" s="840"/>
      <c r="L4" s="840"/>
      <c r="M4" s="812" t="s">
        <v>692</v>
      </c>
      <c r="X4" s="825">
        <f>X6+1</f>
        <v>2019</v>
      </c>
      <c r="AE4" s="825">
        <f t="shared" ref="AE4:AH4" si="0">AE6+1</f>
        <v>2020</v>
      </c>
      <c r="AF4" s="825">
        <f t="shared" si="0"/>
        <v>2021</v>
      </c>
      <c r="AG4" s="825">
        <f t="shared" si="0"/>
        <v>2022</v>
      </c>
      <c r="AH4" s="825">
        <f t="shared" si="0"/>
        <v>2023</v>
      </c>
      <c r="AI4" s="825">
        <f>AI6+1</f>
        <v>2024</v>
      </c>
      <c r="AJ4" s="825">
        <f>AJ6+1</f>
        <v>2025</v>
      </c>
      <c r="AK4" s="825">
        <f>AK6+1</f>
        <v>2026</v>
      </c>
      <c r="AL4" s="825">
        <f t="shared" ref="AL4:AM4" si="1">AL6+1</f>
        <v>2029</v>
      </c>
      <c r="AM4" s="825">
        <f t="shared" si="1"/>
        <v>2032</v>
      </c>
    </row>
    <row r="5" spans="1:39" x14ac:dyDescent="0.25">
      <c r="B5" s="812" t="s">
        <v>693</v>
      </c>
      <c r="C5" s="812" t="s">
        <v>427</v>
      </c>
      <c r="E5" s="845" t="s">
        <v>694</v>
      </c>
      <c r="F5" s="845"/>
      <c r="G5" s="845"/>
      <c r="H5" s="845"/>
      <c r="I5" s="845" t="s">
        <v>328</v>
      </c>
      <c r="J5" s="845"/>
      <c r="K5" t="s">
        <v>652</v>
      </c>
      <c r="L5" s="812" t="s">
        <v>328</v>
      </c>
      <c r="M5" s="812" t="s">
        <v>328</v>
      </c>
      <c r="V5" s="812" t="s">
        <v>652</v>
      </c>
      <c r="W5" s="812" t="s">
        <v>328</v>
      </c>
      <c r="X5" s="812" t="s">
        <v>653</v>
      </c>
      <c r="AE5" s="812" t="s">
        <v>653</v>
      </c>
      <c r="AF5" s="812" t="s">
        <v>653</v>
      </c>
      <c r="AG5" s="812" t="s">
        <v>653</v>
      </c>
      <c r="AH5" s="812" t="s">
        <v>653</v>
      </c>
      <c r="AI5" s="812" t="s">
        <v>653</v>
      </c>
      <c r="AJ5" s="812" t="s">
        <v>653</v>
      </c>
      <c r="AK5" s="812" t="s">
        <v>653</v>
      </c>
      <c r="AL5" s="812" t="s">
        <v>653</v>
      </c>
      <c r="AM5" s="812" t="s">
        <v>653</v>
      </c>
    </row>
    <row r="6" spans="1:39" x14ac:dyDescent="0.25">
      <c r="A6" s="3"/>
      <c r="B6" s="813" t="s">
        <v>654</v>
      </c>
      <c r="C6" s="813" t="s">
        <v>654</v>
      </c>
      <c r="D6" s="813" t="s">
        <v>655</v>
      </c>
      <c r="E6" s="813">
        <v>2013</v>
      </c>
      <c r="F6" s="813">
        <v>2014</v>
      </c>
      <c r="G6" s="813">
        <v>2015</v>
      </c>
      <c r="H6" s="813">
        <v>2016</v>
      </c>
      <c r="I6" s="813">
        <v>2017</v>
      </c>
      <c r="J6" s="813">
        <v>2018</v>
      </c>
      <c r="K6" s="813" t="s">
        <v>656</v>
      </c>
      <c r="L6" s="3" t="s">
        <v>657</v>
      </c>
      <c r="M6" s="731">
        <v>2019</v>
      </c>
      <c r="S6" s="813"/>
      <c r="T6" s="813" t="s">
        <v>654</v>
      </c>
      <c r="U6" s="813" t="s">
        <v>695</v>
      </c>
      <c r="V6" s="813" t="s">
        <v>656</v>
      </c>
      <c r="W6" s="3" t="s">
        <v>657</v>
      </c>
      <c r="X6" s="813">
        <v>2018</v>
      </c>
      <c r="Y6" s="813">
        <v>2019</v>
      </c>
      <c r="Z6" s="813">
        <v>2020</v>
      </c>
      <c r="AA6" s="813">
        <v>2021</v>
      </c>
      <c r="AB6" s="813">
        <v>2022</v>
      </c>
      <c r="AC6" s="813">
        <v>2023</v>
      </c>
      <c r="AD6" s="813">
        <v>2024</v>
      </c>
      <c r="AE6" s="813">
        <v>2019</v>
      </c>
      <c r="AF6" s="813">
        <v>2020</v>
      </c>
      <c r="AG6" s="813">
        <v>2021</v>
      </c>
      <c r="AH6" s="813">
        <v>2022</v>
      </c>
      <c r="AI6" s="813">
        <v>2023</v>
      </c>
      <c r="AJ6" s="813">
        <v>2024</v>
      </c>
      <c r="AK6" s="813">
        <v>2025</v>
      </c>
      <c r="AL6" s="813">
        <v>2028</v>
      </c>
      <c r="AM6" s="813">
        <v>2031</v>
      </c>
    </row>
    <row r="7" spans="1:39" x14ac:dyDescent="0.25">
      <c r="A7" t="s">
        <v>662</v>
      </c>
      <c r="B7" s="812" t="s">
        <v>616</v>
      </c>
      <c r="C7" s="812"/>
      <c r="D7" s="812" t="s">
        <v>616</v>
      </c>
      <c r="E7" s="45">
        <v>240</v>
      </c>
      <c r="F7" s="45">
        <v>514</v>
      </c>
      <c r="G7" s="45">
        <v>459</v>
      </c>
      <c r="H7" s="45">
        <v>131</v>
      </c>
      <c r="I7" s="45">
        <v>104</v>
      </c>
      <c r="J7" s="45">
        <v>153</v>
      </c>
      <c r="K7" s="87">
        <v>1344</v>
      </c>
      <c r="L7" s="87">
        <v>410</v>
      </c>
      <c r="S7" t="s">
        <v>662</v>
      </c>
      <c r="T7" s="865" t="s">
        <v>249</v>
      </c>
      <c r="U7" s="865"/>
      <c r="V7" s="45">
        <f>SUM(V8:V11)</f>
        <v>396</v>
      </c>
      <c r="W7" s="45">
        <f>SUM(W8:W11)</f>
        <v>410</v>
      </c>
      <c r="X7" s="45">
        <f>SUM(V7:W7)</f>
        <v>806</v>
      </c>
      <c r="Y7" s="45">
        <f t="shared" ref="Y7:AC7" si="2">SUM(Y8:Y11)</f>
        <v>260</v>
      </c>
      <c r="Z7" s="45">
        <f t="shared" si="2"/>
        <v>200</v>
      </c>
      <c r="AA7" s="45">
        <f t="shared" si="2"/>
        <v>175</v>
      </c>
      <c r="AB7" s="45">
        <f t="shared" si="2"/>
        <v>128</v>
      </c>
      <c r="AC7" s="45">
        <f t="shared" si="2"/>
        <v>80</v>
      </c>
      <c r="AE7" s="45">
        <f>SUM($X7:Y7)</f>
        <v>1066</v>
      </c>
      <c r="AF7" s="45">
        <f>SUM($X7:Z7)</f>
        <v>1266</v>
      </c>
      <c r="AG7" s="45">
        <f>SUM($X7:AA7)</f>
        <v>1441</v>
      </c>
      <c r="AH7" s="45">
        <f>SUM($X7:AB7)</f>
        <v>1569</v>
      </c>
      <c r="AI7" s="45">
        <f>SUM($X7:AC7)</f>
        <v>1649</v>
      </c>
      <c r="AJ7" s="45">
        <f>SUM($X7:AD7)</f>
        <v>1649</v>
      </c>
      <c r="AK7" s="508">
        <f t="shared" ref="AK7:AM12" si="3">$AJ7</f>
        <v>1649</v>
      </c>
      <c r="AL7" s="508">
        <f t="shared" si="3"/>
        <v>1649</v>
      </c>
      <c r="AM7" s="508">
        <f t="shared" si="3"/>
        <v>1649</v>
      </c>
    </row>
    <row r="8" spans="1:39" x14ac:dyDescent="0.25">
      <c r="A8" t="s">
        <v>662</v>
      </c>
      <c r="B8" s="812" t="s">
        <v>696</v>
      </c>
      <c r="C8" s="812" t="s">
        <v>697</v>
      </c>
      <c r="D8" s="812" t="s">
        <v>616</v>
      </c>
      <c r="E8" s="45">
        <v>208</v>
      </c>
      <c r="F8" s="45">
        <v>382</v>
      </c>
      <c r="G8" s="45">
        <v>279</v>
      </c>
      <c r="H8" s="45">
        <v>79</v>
      </c>
      <c r="I8" s="45">
        <v>58</v>
      </c>
      <c r="J8" s="45">
        <v>27</v>
      </c>
      <c r="K8" s="87">
        <v>948</v>
      </c>
      <c r="L8" s="87">
        <v>112</v>
      </c>
      <c r="S8" t="s">
        <v>662</v>
      </c>
      <c r="T8" s="812" t="s">
        <v>696</v>
      </c>
      <c r="U8" s="812" t="s">
        <v>697</v>
      </c>
      <c r="V8" s="573"/>
      <c r="W8" s="45">
        <f>L8</f>
        <v>112</v>
      </c>
      <c r="X8" s="45">
        <f>SUM(V8:W8)</f>
        <v>112</v>
      </c>
      <c r="Y8" s="249">
        <v>160</v>
      </c>
      <c r="Z8" s="249">
        <v>100</v>
      </c>
      <c r="AA8" s="249">
        <v>75</v>
      </c>
      <c r="AB8" s="249">
        <v>28</v>
      </c>
      <c r="AE8" s="45">
        <f>SUM($X8:Y8)</f>
        <v>272</v>
      </c>
      <c r="AF8" s="45">
        <f>SUM($X8:Z8)</f>
        <v>372</v>
      </c>
      <c r="AG8" s="45">
        <f>SUM($X8:AA8)</f>
        <v>447</v>
      </c>
      <c r="AH8" s="45">
        <f>SUM($X8:AB8)</f>
        <v>475</v>
      </c>
      <c r="AI8" s="45">
        <f>SUM($X8:AC8)</f>
        <v>475</v>
      </c>
      <c r="AJ8" s="45">
        <f>SUM($X8:AD8)</f>
        <v>475</v>
      </c>
      <c r="AK8" s="508">
        <f t="shared" si="3"/>
        <v>475</v>
      </c>
      <c r="AL8" s="508">
        <f t="shared" si="3"/>
        <v>475</v>
      </c>
      <c r="AM8" s="508">
        <f t="shared" si="3"/>
        <v>475</v>
      </c>
    </row>
    <row r="9" spans="1:39" x14ac:dyDescent="0.25">
      <c r="A9" t="s">
        <v>662</v>
      </c>
      <c r="B9" s="812" t="s">
        <v>696</v>
      </c>
      <c r="C9" s="812" t="s">
        <v>698</v>
      </c>
      <c r="D9" s="812" t="s">
        <v>616</v>
      </c>
      <c r="E9" s="45">
        <v>3</v>
      </c>
      <c r="F9" s="45">
        <v>76</v>
      </c>
      <c r="G9" s="45">
        <v>121</v>
      </c>
      <c r="H9" s="45">
        <v>8</v>
      </c>
      <c r="I9" s="45">
        <v>3</v>
      </c>
      <c r="J9" s="45">
        <v>0</v>
      </c>
      <c r="K9" s="87">
        <v>208</v>
      </c>
      <c r="L9" s="87">
        <v>3</v>
      </c>
      <c r="S9" t="s">
        <v>662</v>
      </c>
      <c r="T9" s="812" t="s">
        <v>696</v>
      </c>
      <c r="U9" s="812" t="s">
        <v>698</v>
      </c>
      <c r="V9" s="45">
        <f>K9</f>
        <v>208</v>
      </c>
      <c r="W9" s="45">
        <f>L9</f>
        <v>3</v>
      </c>
      <c r="X9" s="45">
        <f t="shared" ref="X9:X11" si="4">SUM(V9:W9)</f>
        <v>211</v>
      </c>
      <c r="AE9" s="45">
        <f>SUM($X9:Y9)</f>
        <v>211</v>
      </c>
      <c r="AF9" s="45">
        <f>SUM($X9:Z9)</f>
        <v>211</v>
      </c>
      <c r="AG9" s="45">
        <f>SUM($X9:AA9)</f>
        <v>211</v>
      </c>
      <c r="AH9" s="45">
        <f>SUM($X9:AB9)</f>
        <v>211</v>
      </c>
      <c r="AI9" s="45">
        <f>SUM($X9:AC9)</f>
        <v>211</v>
      </c>
      <c r="AJ9" s="45">
        <f>SUM($X9:AD9)</f>
        <v>211</v>
      </c>
      <c r="AK9" s="508">
        <f t="shared" si="3"/>
        <v>211</v>
      </c>
      <c r="AL9" s="508">
        <f t="shared" si="3"/>
        <v>211</v>
      </c>
      <c r="AM9" s="508">
        <f t="shared" si="3"/>
        <v>211</v>
      </c>
    </row>
    <row r="10" spans="1:39" x14ac:dyDescent="0.25">
      <c r="A10" t="s">
        <v>662</v>
      </c>
      <c r="B10" t="s">
        <v>699</v>
      </c>
      <c r="C10" s="812"/>
      <c r="D10" s="812" t="s">
        <v>616</v>
      </c>
      <c r="E10" s="45">
        <v>11</v>
      </c>
      <c r="F10" s="45">
        <v>27</v>
      </c>
      <c r="G10" s="45">
        <v>37</v>
      </c>
      <c r="H10" s="45">
        <v>39</v>
      </c>
      <c r="I10" s="45">
        <v>36</v>
      </c>
      <c r="J10" s="45">
        <v>118</v>
      </c>
      <c r="K10" s="87">
        <v>114</v>
      </c>
      <c r="L10" s="87">
        <v>272</v>
      </c>
      <c r="S10" t="s">
        <v>662</v>
      </c>
      <c r="T10" s="812" t="s">
        <v>700</v>
      </c>
      <c r="U10" s="812"/>
      <c r="V10" s="45">
        <f>K10</f>
        <v>114</v>
      </c>
      <c r="W10" s="45">
        <f>L10</f>
        <v>272</v>
      </c>
      <c r="X10" s="45">
        <f t="shared" si="4"/>
        <v>386</v>
      </c>
      <c r="Y10" s="249">
        <v>100</v>
      </c>
      <c r="Z10" s="249">
        <v>100</v>
      </c>
      <c r="AA10" s="249">
        <v>100</v>
      </c>
      <c r="AB10" s="249">
        <v>100</v>
      </c>
      <c r="AC10" s="249">
        <v>80</v>
      </c>
      <c r="AE10" s="45">
        <f>SUM($X10:Y10)</f>
        <v>486</v>
      </c>
      <c r="AF10" s="45">
        <f>SUM($X10:Z10)</f>
        <v>586</v>
      </c>
      <c r="AG10" s="45">
        <f>SUM($X10:AA10)</f>
        <v>686</v>
      </c>
      <c r="AH10" s="45">
        <f>SUM($X10:AB10)</f>
        <v>786</v>
      </c>
      <c r="AI10" s="45">
        <f>SUM($X10:AC10)</f>
        <v>866</v>
      </c>
      <c r="AJ10" s="45">
        <f>SUM($X10:AD10)</f>
        <v>866</v>
      </c>
      <c r="AK10" s="508">
        <f t="shared" si="3"/>
        <v>866</v>
      </c>
      <c r="AL10" s="508">
        <f t="shared" si="3"/>
        <v>866</v>
      </c>
      <c r="AM10" s="508">
        <f t="shared" si="3"/>
        <v>866</v>
      </c>
    </row>
    <row r="11" spans="1:39" x14ac:dyDescent="0.25">
      <c r="A11" t="s">
        <v>662</v>
      </c>
      <c r="B11" t="s">
        <v>701</v>
      </c>
      <c r="C11" s="812"/>
      <c r="D11" s="812" t="s">
        <v>616</v>
      </c>
      <c r="E11" s="45">
        <v>18</v>
      </c>
      <c r="F11" s="45">
        <v>29</v>
      </c>
      <c r="G11" s="45">
        <v>22</v>
      </c>
      <c r="H11" s="45">
        <v>5</v>
      </c>
      <c r="I11" s="45">
        <v>7</v>
      </c>
      <c r="J11" s="45">
        <v>8</v>
      </c>
      <c r="K11" s="87">
        <v>74</v>
      </c>
      <c r="L11" s="87">
        <v>23</v>
      </c>
      <c r="S11" t="s">
        <v>662</v>
      </c>
      <c r="T11" s="812" t="s">
        <v>521</v>
      </c>
      <c r="U11" s="812"/>
      <c r="V11" s="45">
        <f>K11</f>
        <v>74</v>
      </c>
      <c r="W11" s="45">
        <f>L11</f>
        <v>23</v>
      </c>
      <c r="X11" s="45">
        <f t="shared" si="4"/>
        <v>97</v>
      </c>
      <c r="AE11" s="45">
        <f>SUM($X11:Y11)</f>
        <v>97</v>
      </c>
      <c r="AF11" s="45">
        <f>SUM($X11:Z11)</f>
        <v>97</v>
      </c>
      <c r="AG11" s="45">
        <f>SUM($X11:AA11)</f>
        <v>97</v>
      </c>
      <c r="AH11" s="45">
        <f>SUM($X11:AB11)</f>
        <v>97</v>
      </c>
      <c r="AI11" s="45">
        <f>SUM($X11:AC11)</f>
        <v>97</v>
      </c>
      <c r="AJ11" s="45">
        <f>SUM($X11:AD11)</f>
        <v>97</v>
      </c>
      <c r="AK11" s="508">
        <f t="shared" si="3"/>
        <v>97</v>
      </c>
      <c r="AL11" s="508">
        <f t="shared" si="3"/>
        <v>97</v>
      </c>
      <c r="AM11" s="508">
        <f t="shared" si="3"/>
        <v>97</v>
      </c>
    </row>
    <row r="12" spans="1:39" x14ac:dyDescent="0.25">
      <c r="A12" t="s">
        <v>662</v>
      </c>
      <c r="B12" s="812" t="s">
        <v>616</v>
      </c>
      <c r="C12" s="812"/>
      <c r="D12" s="812">
        <v>99705</v>
      </c>
      <c r="E12" s="45">
        <v>82</v>
      </c>
      <c r="F12" s="45">
        <v>163</v>
      </c>
      <c r="G12" s="45">
        <v>172</v>
      </c>
      <c r="H12" s="45">
        <v>57</v>
      </c>
      <c r="I12" s="45">
        <v>45</v>
      </c>
      <c r="J12" s="45">
        <v>56</v>
      </c>
      <c r="K12" s="87">
        <v>474</v>
      </c>
      <c r="L12" s="87">
        <v>157</v>
      </c>
      <c r="S12" t="s">
        <v>662</v>
      </c>
      <c r="T12" s="845" t="s">
        <v>702</v>
      </c>
      <c r="U12" s="845"/>
      <c r="V12" s="45">
        <f>SUM(V9:V11)</f>
        <v>396</v>
      </c>
      <c r="W12" s="45">
        <f t="shared" ref="W12:X12" si="5">SUM(W9:W11)</f>
        <v>298</v>
      </c>
      <c r="X12" s="45">
        <f t="shared" si="5"/>
        <v>694</v>
      </c>
      <c r="AE12" s="45">
        <f>SUM($X12:Y12)</f>
        <v>694</v>
      </c>
      <c r="AF12" s="45">
        <f>SUM($X12:Z12)</f>
        <v>694</v>
      </c>
      <c r="AG12" s="45">
        <f>SUM($X12:AA12)</f>
        <v>694</v>
      </c>
      <c r="AH12" s="45">
        <f>SUM($X12:AB12)</f>
        <v>694</v>
      </c>
      <c r="AI12" s="45">
        <f>SUM($X12:AC12)</f>
        <v>694</v>
      </c>
      <c r="AJ12" s="45">
        <f>SUM($X12:AD12)</f>
        <v>694</v>
      </c>
      <c r="AK12" s="508">
        <f t="shared" si="3"/>
        <v>694</v>
      </c>
      <c r="AL12" s="508">
        <f t="shared" si="3"/>
        <v>694</v>
      </c>
      <c r="AM12" s="508">
        <f t="shared" si="3"/>
        <v>694</v>
      </c>
    </row>
    <row r="13" spans="1:39" x14ac:dyDescent="0.25">
      <c r="A13" t="s">
        <v>662</v>
      </c>
      <c r="B13" s="812" t="s">
        <v>696</v>
      </c>
      <c r="C13" s="812" t="s">
        <v>697</v>
      </c>
      <c r="D13" s="812">
        <v>99705</v>
      </c>
      <c r="E13" s="45">
        <v>75</v>
      </c>
      <c r="F13" s="45">
        <v>109</v>
      </c>
      <c r="G13" s="45">
        <v>101</v>
      </c>
      <c r="H13" s="45">
        <v>42</v>
      </c>
      <c r="I13" s="45">
        <v>24</v>
      </c>
      <c r="J13" s="45">
        <v>14</v>
      </c>
      <c r="K13" s="87">
        <v>327</v>
      </c>
      <c r="L13" s="87">
        <v>52</v>
      </c>
      <c r="AK13" s="267"/>
      <c r="AL13" s="267"/>
      <c r="AM13" s="267"/>
    </row>
    <row r="14" spans="1:39" x14ac:dyDescent="0.25">
      <c r="A14" t="s">
        <v>662</v>
      </c>
      <c r="B14" s="812" t="s">
        <v>696</v>
      </c>
      <c r="C14" s="812" t="s">
        <v>698</v>
      </c>
      <c r="D14" s="812">
        <v>99705</v>
      </c>
      <c r="E14" s="45">
        <v>1</v>
      </c>
      <c r="F14" s="45">
        <v>31</v>
      </c>
      <c r="G14" s="45">
        <v>52</v>
      </c>
      <c r="H14" s="45">
        <v>3</v>
      </c>
      <c r="I14" s="45">
        <v>2</v>
      </c>
      <c r="J14" s="45">
        <v>0</v>
      </c>
      <c r="K14" s="87">
        <v>87</v>
      </c>
      <c r="L14" s="87">
        <v>2</v>
      </c>
      <c r="S14" t="s">
        <v>677</v>
      </c>
      <c r="T14" s="845" t="s">
        <v>249</v>
      </c>
      <c r="U14" s="845"/>
      <c r="V14" s="514">
        <f>SUM(V15:V18)</f>
        <v>9.8264984281552684E-2</v>
      </c>
      <c r="W14" s="514">
        <f>SUM(W15:W18)</f>
        <v>0.20925365919688277</v>
      </c>
      <c r="X14" s="514">
        <f>SUM(V14:W14)</f>
        <v>0.30751864347843544</v>
      </c>
      <c r="Y14" s="514">
        <f t="shared" ref="Y14:AC14" si="6">SUM(Y15:Y18)</f>
        <v>0.10086448002120063</v>
      </c>
      <c r="Z14" s="514">
        <f t="shared" si="6"/>
        <v>8.2699510213839283E-2</v>
      </c>
      <c r="AA14" s="514">
        <f t="shared" si="6"/>
        <v>7.5130772794105377E-2</v>
      </c>
      <c r="AB14" s="514">
        <f t="shared" si="6"/>
        <v>6.0901546445005658E-2</v>
      </c>
      <c r="AC14" s="514">
        <f t="shared" si="6"/>
        <v>4.1939648427922957E-2</v>
      </c>
      <c r="AE14" s="514">
        <f>SUM($X14:Y14)</f>
        <v>0.40838312349963607</v>
      </c>
      <c r="AF14" s="514">
        <f>SUM($X14:Z14)</f>
        <v>0.49108263371347538</v>
      </c>
      <c r="AG14" s="514">
        <f>SUM($X14:AA14)</f>
        <v>0.56621340650758079</v>
      </c>
      <c r="AH14" s="514">
        <f>SUM($X14:AB14)</f>
        <v>0.62711495295258646</v>
      </c>
      <c r="AI14" s="514">
        <f>SUM($X14:AC14)</f>
        <v>0.66905460138050943</v>
      </c>
      <c r="AJ14" s="514">
        <f>SUM($X14:AD14)</f>
        <v>0.66905460138050943</v>
      </c>
      <c r="AK14" s="708">
        <f t="shared" ref="AK14:AM19" si="7">$AJ14</f>
        <v>0.66905460138050943</v>
      </c>
      <c r="AL14" s="708">
        <f t="shared" si="7"/>
        <v>0.66905460138050943</v>
      </c>
      <c r="AM14" s="708">
        <f t="shared" si="7"/>
        <v>0.66905460138050943</v>
      </c>
    </row>
    <row r="15" spans="1:39" x14ac:dyDescent="0.25">
      <c r="A15" t="s">
        <v>662</v>
      </c>
      <c r="B15" t="s">
        <v>699</v>
      </c>
      <c r="C15" s="812"/>
      <c r="D15" s="812">
        <v>99705</v>
      </c>
      <c r="E15" s="45">
        <v>3</v>
      </c>
      <c r="F15" s="45">
        <v>10</v>
      </c>
      <c r="G15" s="45">
        <v>14</v>
      </c>
      <c r="H15" s="45">
        <v>11</v>
      </c>
      <c r="I15" s="45">
        <v>16</v>
      </c>
      <c r="J15" s="45">
        <v>37</v>
      </c>
      <c r="K15" s="87">
        <v>38</v>
      </c>
      <c r="L15" s="87">
        <v>90</v>
      </c>
      <c r="S15" t="s">
        <v>677</v>
      </c>
      <c r="T15" s="812" t="s">
        <v>696</v>
      </c>
      <c r="U15" s="812" t="s">
        <v>697</v>
      </c>
      <c r="V15" s="611"/>
      <c r="W15" s="506">
        <f>L18</f>
        <v>3.3907943640407862E-2</v>
      </c>
      <c r="X15" s="612">
        <f>SUM(V15:W15)</f>
        <v>3.3907943640407862E-2</v>
      </c>
      <c r="Y15" s="137">
        <f>Y8/$X8*$X15</f>
        <v>4.8439919486296945E-2</v>
      </c>
      <c r="Z15" s="137">
        <f t="shared" ref="Z15:AC17" si="8">Z8/$X8*$X15</f>
        <v>3.0274949678935591E-2</v>
      </c>
      <c r="AA15" s="137">
        <f t="shared" si="8"/>
        <v>2.2706212259201691E-2</v>
      </c>
      <c r="AB15" s="137">
        <f t="shared" si="8"/>
        <v>8.4769859101019654E-3</v>
      </c>
      <c r="AC15" s="137">
        <f t="shared" si="8"/>
        <v>0</v>
      </c>
      <c r="AE15" s="612">
        <f>SUM($X15:Y15)</f>
        <v>8.2347863126704807E-2</v>
      </c>
      <c r="AF15" s="612">
        <f>SUM($X15:Z15)</f>
        <v>0.1126228128056404</v>
      </c>
      <c r="AG15" s="612">
        <f>SUM($X15:AA15)</f>
        <v>0.1353290250648421</v>
      </c>
      <c r="AH15" s="612">
        <f>SUM($X15:AB15)</f>
        <v>0.14380601097494405</v>
      </c>
      <c r="AI15" s="612">
        <f>SUM($X15:AC15)</f>
        <v>0.14380601097494405</v>
      </c>
      <c r="AJ15" s="612">
        <f>SUM($X15:AD15)</f>
        <v>0.14380601097494405</v>
      </c>
      <c r="AK15" s="709">
        <f t="shared" si="7"/>
        <v>0.14380601097494405</v>
      </c>
      <c r="AL15" s="709">
        <f t="shared" si="7"/>
        <v>0.14380601097494405</v>
      </c>
      <c r="AM15" s="709">
        <f t="shared" si="7"/>
        <v>0.14380601097494405</v>
      </c>
    </row>
    <row r="16" spans="1:39" x14ac:dyDescent="0.25">
      <c r="A16" t="s">
        <v>662</v>
      </c>
      <c r="B16" t="s">
        <v>701</v>
      </c>
      <c r="C16" s="812"/>
      <c r="D16" s="812">
        <v>99705</v>
      </c>
      <c r="E16" s="45">
        <v>3</v>
      </c>
      <c r="F16" s="45">
        <v>13</v>
      </c>
      <c r="G16" s="45">
        <v>5</v>
      </c>
      <c r="H16" s="45">
        <v>1</v>
      </c>
      <c r="I16" s="45">
        <v>3</v>
      </c>
      <c r="J16" s="45">
        <v>5</v>
      </c>
      <c r="K16" s="87">
        <v>22</v>
      </c>
      <c r="L16" s="87">
        <v>13</v>
      </c>
      <c r="S16" t="s">
        <v>677</v>
      </c>
      <c r="T16" s="812" t="s">
        <v>696</v>
      </c>
      <c r="U16" s="812" t="s">
        <v>698</v>
      </c>
      <c r="V16" s="507">
        <f>K19</f>
        <v>4.937669923802239E-2</v>
      </c>
      <c r="W16" s="507">
        <f>L19</f>
        <v>1.1430610467687567E-3</v>
      </c>
      <c r="X16" s="514">
        <f>SUM(V16:W16)</f>
        <v>5.0519760284791146E-2</v>
      </c>
      <c r="AE16" s="514">
        <f>SUM($X16:Y16)</f>
        <v>5.0519760284791146E-2</v>
      </c>
      <c r="AF16" s="514">
        <f>SUM($X16:Z16)</f>
        <v>5.0519760284791146E-2</v>
      </c>
      <c r="AG16" s="514">
        <f>SUM($X16:AA16)</f>
        <v>5.0519760284791146E-2</v>
      </c>
      <c r="AH16" s="514">
        <f>SUM($X16:AB16)</f>
        <v>5.0519760284791146E-2</v>
      </c>
      <c r="AI16" s="514">
        <f>SUM($X16:AC16)</f>
        <v>5.0519760284791146E-2</v>
      </c>
      <c r="AJ16" s="514">
        <f>SUM($X16:AD16)</f>
        <v>5.0519760284791146E-2</v>
      </c>
      <c r="AK16" s="708">
        <f t="shared" si="7"/>
        <v>5.0519760284791146E-2</v>
      </c>
      <c r="AL16" s="708">
        <f t="shared" si="7"/>
        <v>5.0519760284791146E-2</v>
      </c>
      <c r="AM16" s="708">
        <f t="shared" si="7"/>
        <v>5.0519760284791146E-2</v>
      </c>
    </row>
    <row r="17" spans="1:40" x14ac:dyDescent="0.25">
      <c r="A17" t="s">
        <v>676</v>
      </c>
      <c r="B17" s="812" t="s">
        <v>616</v>
      </c>
      <c r="C17" s="812"/>
      <c r="D17" s="812" t="s">
        <v>616</v>
      </c>
      <c r="E17" s="507">
        <v>4.6541707439230168E-2</v>
      </c>
      <c r="F17" s="507">
        <v>0.15090769122034206</v>
      </c>
      <c r="G17" s="507">
        <v>0.12917445158930768</v>
      </c>
      <c r="H17" s="507">
        <v>3.6658372002381374E-2</v>
      </c>
      <c r="I17" s="507">
        <v>3.5462202056741152E-2</v>
      </c>
      <c r="J17" s="507">
        <v>8.6895728570070815E-2</v>
      </c>
      <c r="K17" s="506">
        <v>0.36328222225126128</v>
      </c>
      <c r="L17" s="506">
        <v>0.20925365919688277</v>
      </c>
      <c r="S17" t="s">
        <v>677</v>
      </c>
      <c r="T17" s="812" t="s">
        <v>700</v>
      </c>
      <c r="U17" s="812"/>
      <c r="V17" s="507">
        <f>K20</f>
        <v>3.8686006772832432E-2</v>
      </c>
      <c r="W17" s="507">
        <f>L20</f>
        <v>0.16367279689189584</v>
      </c>
      <c r="X17" s="514">
        <f>SUM(V17:W17)</f>
        <v>0.20235880366472828</v>
      </c>
      <c r="Y17" s="133">
        <f>Y10/$X10*$X17</f>
        <v>5.2424560534903693E-2</v>
      </c>
      <c r="Z17" s="133">
        <f t="shared" si="8"/>
        <v>5.2424560534903693E-2</v>
      </c>
      <c r="AA17" s="133">
        <f t="shared" si="8"/>
        <v>5.2424560534903693E-2</v>
      </c>
      <c r="AB17" s="133">
        <f t="shared" si="8"/>
        <v>5.2424560534903693E-2</v>
      </c>
      <c r="AC17" s="133">
        <f t="shared" si="8"/>
        <v>4.1939648427922957E-2</v>
      </c>
      <c r="AE17" s="514">
        <f>SUM($X17:Y17)</f>
        <v>0.25478336419963199</v>
      </c>
      <c r="AF17" s="514">
        <f>SUM($X17:Z17)</f>
        <v>0.30720792473453568</v>
      </c>
      <c r="AG17" s="514">
        <f>SUM($X17:AA17)</f>
        <v>0.35963248526943936</v>
      </c>
      <c r="AH17" s="514">
        <f>SUM($X17:AB17)</f>
        <v>0.41205704580434305</v>
      </c>
      <c r="AI17" s="514">
        <f>SUM($X17:AC17)</f>
        <v>0.45399669423226602</v>
      </c>
      <c r="AJ17" s="514">
        <f>SUM($X17:AD17)</f>
        <v>0.45399669423226602</v>
      </c>
      <c r="AK17" s="708">
        <f t="shared" si="7"/>
        <v>0.45399669423226602</v>
      </c>
      <c r="AL17" s="708">
        <f t="shared" si="7"/>
        <v>0.45399669423226602</v>
      </c>
      <c r="AM17" s="708">
        <f t="shared" si="7"/>
        <v>0.45399669423226602</v>
      </c>
    </row>
    <row r="18" spans="1:40" x14ac:dyDescent="0.25">
      <c r="A18" t="s">
        <v>676</v>
      </c>
      <c r="B18" s="812" t="s">
        <v>696</v>
      </c>
      <c r="C18" s="812" t="s">
        <v>697</v>
      </c>
      <c r="D18" s="812" t="s">
        <v>616</v>
      </c>
      <c r="E18" s="507">
        <v>4.11110244851089E-2</v>
      </c>
      <c r="F18" s="507">
        <v>0.12132695577477229</v>
      </c>
      <c r="G18" s="507">
        <v>8.1337915642470116E-2</v>
      </c>
      <c r="H18" s="507">
        <v>2.12413420673573E-2</v>
      </c>
      <c r="I18" s="507">
        <v>1.5041210877258168E-2</v>
      </c>
      <c r="J18" s="507">
        <v>9.4333663815748467E-3</v>
      </c>
      <c r="K18" s="506">
        <v>0.26501723796970861</v>
      </c>
      <c r="L18" s="506">
        <v>3.3907943640407862E-2</v>
      </c>
      <c r="S18" t="s">
        <v>677</v>
      </c>
      <c r="T18" s="812" t="s">
        <v>521</v>
      </c>
      <c r="U18" s="812"/>
      <c r="V18" s="507">
        <f>K21</f>
        <v>1.0202278270697862E-2</v>
      </c>
      <c r="W18" s="507">
        <f>L21</f>
        <v>1.0529857617810306E-2</v>
      </c>
      <c r="X18" s="514">
        <f>SUM(V18:W18)</f>
        <v>2.0732135888508169E-2</v>
      </c>
      <c r="AE18" s="514">
        <f>SUM($X18:Y18)</f>
        <v>2.0732135888508169E-2</v>
      </c>
      <c r="AF18" s="514">
        <f>SUM($X18:Z18)</f>
        <v>2.0732135888508169E-2</v>
      </c>
      <c r="AG18" s="514">
        <f>SUM($X18:AA18)</f>
        <v>2.0732135888508169E-2</v>
      </c>
      <c r="AH18" s="514">
        <f>SUM($X18:AB18)</f>
        <v>2.0732135888508169E-2</v>
      </c>
      <c r="AI18" s="514">
        <f>SUM($X18:AC18)</f>
        <v>2.0732135888508169E-2</v>
      </c>
      <c r="AJ18" s="514">
        <f>SUM($X18:AD18)</f>
        <v>2.0732135888508169E-2</v>
      </c>
      <c r="AK18" s="708">
        <f t="shared" si="7"/>
        <v>2.0732135888508169E-2</v>
      </c>
      <c r="AL18" s="708">
        <f t="shared" si="7"/>
        <v>2.0732135888508169E-2</v>
      </c>
      <c r="AM18" s="708">
        <f t="shared" si="7"/>
        <v>2.0732135888508169E-2</v>
      </c>
    </row>
    <row r="19" spans="1:40" x14ac:dyDescent="0.25">
      <c r="A19" t="s">
        <v>676</v>
      </c>
      <c r="B19" s="812" t="s">
        <v>696</v>
      </c>
      <c r="C19" s="812" t="s">
        <v>698</v>
      </c>
      <c r="D19" s="812" t="s">
        <v>616</v>
      </c>
      <c r="E19" s="507">
        <v>9.7307827442648701E-4</v>
      </c>
      <c r="F19" s="507">
        <v>1.7425200202478241E-2</v>
      </c>
      <c r="G19" s="507">
        <v>2.8430598945607573E-2</v>
      </c>
      <c r="H19" s="507">
        <v>2.5478218155100909E-3</v>
      </c>
      <c r="I19" s="507">
        <v>1.1430610467687567E-3</v>
      </c>
      <c r="J19" s="507">
        <v>0</v>
      </c>
      <c r="K19" s="506">
        <v>4.937669923802239E-2</v>
      </c>
      <c r="L19" s="506">
        <v>1.1430610467687567E-3</v>
      </c>
      <c r="S19" t="s">
        <v>677</v>
      </c>
      <c r="T19" s="845" t="s">
        <v>702</v>
      </c>
      <c r="U19" s="845"/>
      <c r="V19" s="612">
        <f>SUM(V16:V18)</f>
        <v>9.8264984281552684E-2</v>
      </c>
      <c r="W19" s="612">
        <f>SUM(W16:W18)</f>
        <v>0.17534571555647491</v>
      </c>
      <c r="X19" s="612">
        <f>SUM(X16:X18)</f>
        <v>0.27361069983802755</v>
      </c>
      <c r="Y19" s="612">
        <f t="shared" ref="Y19:AC19" si="9">SUM(Y16:Y18)</f>
        <v>5.2424560534903693E-2</v>
      </c>
      <c r="Z19" s="612">
        <f t="shared" si="9"/>
        <v>5.2424560534903693E-2</v>
      </c>
      <c r="AA19" s="612">
        <f t="shared" si="9"/>
        <v>5.2424560534903693E-2</v>
      </c>
      <c r="AB19" s="612">
        <f t="shared" si="9"/>
        <v>5.2424560534903693E-2</v>
      </c>
      <c r="AC19" s="612">
        <f t="shared" si="9"/>
        <v>4.1939648427922957E-2</v>
      </c>
      <c r="AE19" s="612">
        <f>SUM($X19:Y19)</f>
        <v>0.32603526037293123</v>
      </c>
      <c r="AF19" s="612">
        <f>SUM($X19:Z19)</f>
        <v>0.37845982090783492</v>
      </c>
      <c r="AG19" s="612">
        <f>SUM($X19:AA19)</f>
        <v>0.43088438144273861</v>
      </c>
      <c r="AH19" s="612">
        <f>SUM($X19:AB19)</f>
        <v>0.48330894197764229</v>
      </c>
      <c r="AI19" s="612">
        <f>SUM($X19:AC19)</f>
        <v>0.52524859040556526</v>
      </c>
      <c r="AJ19" s="612">
        <f>SUM($X19:AD19)</f>
        <v>0.52524859040556526</v>
      </c>
      <c r="AK19" s="709">
        <f t="shared" si="7"/>
        <v>0.52524859040556526</v>
      </c>
      <c r="AL19" s="709">
        <f t="shared" si="7"/>
        <v>0.52524859040556526</v>
      </c>
      <c r="AM19" s="709">
        <f t="shared" si="7"/>
        <v>0.52524859040556526</v>
      </c>
    </row>
    <row r="20" spans="1:40" x14ac:dyDescent="0.25">
      <c r="A20" t="s">
        <v>676</v>
      </c>
      <c r="B20" t="s">
        <v>699</v>
      </c>
      <c r="C20" s="812"/>
      <c r="D20" s="812" t="s">
        <v>616</v>
      </c>
      <c r="E20" s="507">
        <v>3.7876695202939182E-3</v>
      </c>
      <c r="F20" s="507">
        <v>9.5244599074475987E-3</v>
      </c>
      <c r="G20" s="507">
        <v>1.2588495603164834E-2</v>
      </c>
      <c r="H20" s="507">
        <v>1.2785381741926083E-2</v>
      </c>
      <c r="I20" s="507">
        <v>1.7666632455451716E-2</v>
      </c>
      <c r="J20" s="507">
        <v>7.3003082218222062E-2</v>
      </c>
      <c r="K20" s="506">
        <v>3.8686006772832432E-2</v>
      </c>
      <c r="L20" s="506">
        <v>0.16367279689189584</v>
      </c>
      <c r="AK20" s="267"/>
      <c r="AL20" s="267"/>
      <c r="AM20" s="267"/>
    </row>
    <row r="21" spans="1:40" x14ac:dyDescent="0.25">
      <c r="A21" t="s">
        <v>676</v>
      </c>
      <c r="B21" t="s">
        <v>701</v>
      </c>
      <c r="C21" s="812"/>
      <c r="D21" s="812" t="s">
        <v>616</v>
      </c>
      <c r="E21" s="507">
        <v>6.6993515940086401E-4</v>
      </c>
      <c r="F21" s="507">
        <v>2.6310753356439398E-3</v>
      </c>
      <c r="G21" s="507">
        <v>6.8174413980651716E-3</v>
      </c>
      <c r="H21" s="507">
        <v>8.3826377587900569E-5</v>
      </c>
      <c r="I21" s="507">
        <v>1.6112976772625076E-3</v>
      </c>
      <c r="J21" s="507">
        <v>4.4592799702739133E-3</v>
      </c>
      <c r="K21" s="506">
        <v>1.0202278270697862E-2</v>
      </c>
      <c r="L21" s="506">
        <v>1.0529857617810306E-2</v>
      </c>
      <c r="S21" t="s">
        <v>680</v>
      </c>
      <c r="T21" s="845" t="s">
        <v>249</v>
      </c>
      <c r="U21" s="845"/>
      <c r="V21" s="514">
        <f>SUM(V22:V25)</f>
        <v>-1.0340790056740087E-2</v>
      </c>
      <c r="W21" s="514">
        <f>SUM(W22:W25)</f>
        <v>-7.4222660363662844E-3</v>
      </c>
      <c r="X21" s="507">
        <f>SUM(V21:W21)</f>
        <v>-1.7763056093106373E-2</v>
      </c>
      <c r="Y21" s="507">
        <f t="shared" ref="Y21:AC21" si="10">SUM(Y22:Y25)</f>
        <v>-2.9254163589973528E-3</v>
      </c>
      <c r="Z21" s="507">
        <f t="shared" si="10"/>
        <v>-3.1252309588495749E-3</v>
      </c>
      <c r="AA21" s="507">
        <f t="shared" si="10"/>
        <v>-3.2084870421213341E-3</v>
      </c>
      <c r="AB21" s="507">
        <f t="shared" si="10"/>
        <v>-3.3650084786722417E-3</v>
      </c>
      <c r="AC21" s="507">
        <f t="shared" si="10"/>
        <v>-2.7666042335492895E-3</v>
      </c>
      <c r="AE21" s="507">
        <f>SUM($X21:Y21)</f>
        <v>-2.0688472452103725E-2</v>
      </c>
      <c r="AF21" s="507">
        <f>SUM($X21:Z21)</f>
        <v>-2.3813703410953301E-2</v>
      </c>
      <c r="AG21" s="507">
        <f>SUM($X21:AA21)</f>
        <v>-2.7022190453074635E-2</v>
      </c>
      <c r="AH21" s="507">
        <f>SUM($X21:AB21)</f>
        <v>-3.0387198931746878E-2</v>
      </c>
      <c r="AI21" s="507">
        <f>SUM($X21:AC21)</f>
        <v>-3.3153803165296168E-2</v>
      </c>
      <c r="AJ21" s="507">
        <f>SUM($X21:AD21)</f>
        <v>-3.3153803165296168E-2</v>
      </c>
      <c r="AK21" s="710">
        <f t="shared" ref="AK21:AM26" si="11">$AJ21</f>
        <v>-3.3153803165296168E-2</v>
      </c>
      <c r="AL21" s="710">
        <f t="shared" si="11"/>
        <v>-3.3153803165296168E-2</v>
      </c>
      <c r="AM21" s="710">
        <f t="shared" si="11"/>
        <v>-3.3153803165296168E-2</v>
      </c>
    </row>
    <row r="22" spans="1:40" x14ac:dyDescent="0.25">
      <c r="A22" t="s">
        <v>679</v>
      </c>
      <c r="B22" s="812" t="s">
        <v>616</v>
      </c>
      <c r="C22" s="812"/>
      <c r="D22" s="812" t="s">
        <v>616</v>
      </c>
      <c r="E22" s="507">
        <v>-8.7349623372763249E-4</v>
      </c>
      <c r="F22" s="507">
        <v>-1.8587891031776505E-3</v>
      </c>
      <c r="G22" s="507">
        <v>-2.2322521960723863E-3</v>
      </c>
      <c r="H22" s="507">
        <v>-2.2183421728464202E-3</v>
      </c>
      <c r="I22" s="507">
        <v>-1.3696701194459582E-3</v>
      </c>
      <c r="J22" s="507">
        <v>-3.0262979584601631E-3</v>
      </c>
      <c r="K22" s="506">
        <v>-7.1828797058240889E-3</v>
      </c>
      <c r="L22" s="506">
        <v>-7.4222660363662844E-3</v>
      </c>
      <c r="S22" t="s">
        <v>680</v>
      </c>
      <c r="T22" s="812" t="s">
        <v>696</v>
      </c>
      <c r="U22" s="812" t="s">
        <v>697</v>
      </c>
      <c r="V22" s="613"/>
      <c r="W22" s="507">
        <f>L23</f>
        <v>3.7298725305748152E-4</v>
      </c>
      <c r="X22" s="506">
        <f>SUM(V22:W22)</f>
        <v>3.7298725305748152E-4</v>
      </c>
      <c r="Y22" s="506">
        <f>Y8/$X8*$X22</f>
        <v>5.3283893293925937E-4</v>
      </c>
      <c r="Z22" s="506">
        <f t="shared" ref="Z22:AC22" si="12">Z15/$X15*$X22</f>
        <v>3.3302433308703708E-4</v>
      </c>
      <c r="AA22" s="506">
        <f t="shared" si="12"/>
        <v>2.4976824981527777E-4</v>
      </c>
      <c r="AB22" s="506">
        <f t="shared" si="12"/>
        <v>9.3246813264370379E-5</v>
      </c>
      <c r="AC22" s="506">
        <f t="shared" si="12"/>
        <v>0</v>
      </c>
      <c r="AE22" s="506">
        <f>SUM($X22:Y22)</f>
        <v>9.0582618599674089E-4</v>
      </c>
      <c r="AF22" s="506">
        <f>SUM($X22:Z22)</f>
        <v>1.238850519083778E-3</v>
      </c>
      <c r="AG22" s="506">
        <f>SUM($X22:AA22)</f>
        <v>1.4886187688990557E-3</v>
      </c>
      <c r="AH22" s="506">
        <f>SUM($X22:AB22)</f>
        <v>1.581865582163426E-3</v>
      </c>
      <c r="AI22" s="506">
        <f>SUM($X22:AC22)</f>
        <v>1.581865582163426E-3</v>
      </c>
      <c r="AJ22" s="506">
        <f>SUM($X22:AD22)</f>
        <v>1.581865582163426E-3</v>
      </c>
      <c r="AK22" s="711">
        <f t="shared" si="11"/>
        <v>1.581865582163426E-3</v>
      </c>
      <c r="AL22" s="711">
        <f t="shared" si="11"/>
        <v>1.581865582163426E-3</v>
      </c>
      <c r="AM22" s="711">
        <f t="shared" si="11"/>
        <v>1.581865582163426E-3</v>
      </c>
    </row>
    <row r="23" spans="1:40" x14ac:dyDescent="0.25">
      <c r="A23" t="s">
        <v>679</v>
      </c>
      <c r="B23" s="812" t="s">
        <v>696</v>
      </c>
      <c r="C23" s="812" t="s">
        <v>697</v>
      </c>
      <c r="D23" s="812" t="s">
        <v>616</v>
      </c>
      <c r="E23" s="507">
        <v>5.3627854961495354E-4</v>
      </c>
      <c r="F23" s="507">
        <v>1.4100222915731E-3</v>
      </c>
      <c r="G23" s="507">
        <v>9.6581406623671897E-4</v>
      </c>
      <c r="H23" s="507">
        <v>2.4579544349122491E-4</v>
      </c>
      <c r="I23" s="507">
        <v>1.6090498088039133E-4</v>
      </c>
      <c r="J23" s="507">
        <v>1.0604113608854508E-4</v>
      </c>
      <c r="K23" s="506">
        <v>3.1579103509159975E-3</v>
      </c>
      <c r="L23" s="506">
        <v>3.7298725305748152E-4</v>
      </c>
      <c r="S23" t="s">
        <v>680</v>
      </c>
      <c r="T23" s="812" t="s">
        <v>696</v>
      </c>
      <c r="U23" s="812" t="s">
        <v>698</v>
      </c>
      <c r="V23" s="507">
        <f>K24</f>
        <v>3.9828478636630302E-5</v>
      </c>
      <c r="W23" s="507">
        <f>L24</f>
        <v>1.0914361938639399E-6</v>
      </c>
      <c r="X23" s="507">
        <f>SUM(V23:W23)</f>
        <v>4.0919914830494242E-5</v>
      </c>
      <c r="Y23" s="507"/>
      <c r="Z23" s="507"/>
      <c r="AA23" s="507"/>
      <c r="AB23" s="507"/>
      <c r="AC23" s="507"/>
      <c r="AE23" s="507">
        <f>SUM($X23:Y23)</f>
        <v>4.0919914830494242E-5</v>
      </c>
      <c r="AF23" s="507">
        <f>SUM($X23:Z23)</f>
        <v>4.0919914830494242E-5</v>
      </c>
      <c r="AG23" s="507">
        <f>SUM($X23:AA23)</f>
        <v>4.0919914830494242E-5</v>
      </c>
      <c r="AH23" s="507">
        <f>SUM($X23:AB23)</f>
        <v>4.0919914830494242E-5</v>
      </c>
      <c r="AI23" s="507">
        <f>SUM($X23:AC23)</f>
        <v>4.0919914830494242E-5</v>
      </c>
      <c r="AJ23" s="507">
        <f>SUM($X23:AD23)</f>
        <v>4.0919914830494242E-5</v>
      </c>
      <c r="AK23" s="710">
        <f t="shared" si="11"/>
        <v>4.0919914830494242E-5</v>
      </c>
      <c r="AL23" s="710">
        <f t="shared" si="11"/>
        <v>4.0919914830494242E-5</v>
      </c>
      <c r="AM23" s="710">
        <f t="shared" si="11"/>
        <v>4.0919914830494242E-5</v>
      </c>
    </row>
    <row r="24" spans="1:40" x14ac:dyDescent="0.25">
      <c r="A24" t="s">
        <v>679</v>
      </c>
      <c r="B24" s="812" t="s">
        <v>696</v>
      </c>
      <c r="C24" s="812" t="s">
        <v>698</v>
      </c>
      <c r="D24" s="812" t="s">
        <v>616</v>
      </c>
      <c r="E24" s="507">
        <v>0</v>
      </c>
      <c r="F24" s="507">
        <v>1.3370093374833265E-5</v>
      </c>
      <c r="G24" s="507">
        <v>2.4275512874069159E-5</v>
      </c>
      <c r="H24" s="507">
        <v>2.1828723877278798E-6</v>
      </c>
      <c r="I24" s="507">
        <v>1.0914361938639399E-6</v>
      </c>
      <c r="J24" s="507">
        <v>0</v>
      </c>
      <c r="K24" s="506">
        <v>3.9828478636630302E-5</v>
      </c>
      <c r="L24" s="506">
        <v>1.0914361938639399E-6</v>
      </c>
      <c r="S24" t="s">
        <v>680</v>
      </c>
      <c r="T24" s="812" t="s">
        <v>700</v>
      </c>
      <c r="U24" s="812"/>
      <c r="V24" s="507">
        <f>K25</f>
        <v>-5.9655194890461567E-3</v>
      </c>
      <c r="W24" s="507">
        <f>L25</f>
        <v>-7.3833459378291662E-3</v>
      </c>
      <c r="X24" s="507">
        <f>SUM(V24:W24)</f>
        <v>-1.3348865426875323E-2</v>
      </c>
      <c r="Y24" s="507">
        <f>Y10/$X10*$X24</f>
        <v>-3.458255291936612E-3</v>
      </c>
      <c r="Z24" s="507">
        <f t="shared" ref="Z24:AC24" si="13">Z17/$X17*$X24</f>
        <v>-3.458255291936612E-3</v>
      </c>
      <c r="AA24" s="507">
        <f t="shared" si="13"/>
        <v>-3.458255291936612E-3</v>
      </c>
      <c r="AB24" s="507">
        <f t="shared" si="13"/>
        <v>-3.458255291936612E-3</v>
      </c>
      <c r="AC24" s="507">
        <f t="shared" si="13"/>
        <v>-2.7666042335492895E-3</v>
      </c>
      <c r="AE24" s="507">
        <f>SUM($X24:Y24)</f>
        <v>-1.6807120718811935E-2</v>
      </c>
      <c r="AF24" s="507">
        <f>SUM($X24:Z24)</f>
        <v>-2.0265376010748546E-2</v>
      </c>
      <c r="AG24" s="507">
        <f>SUM($X24:AA24)</f>
        <v>-2.3723631302685157E-2</v>
      </c>
      <c r="AH24" s="507">
        <f>SUM($X24:AB24)</f>
        <v>-2.7181886594621767E-2</v>
      </c>
      <c r="AI24" s="507">
        <f>SUM($X24:AC24)</f>
        <v>-2.9948490828171057E-2</v>
      </c>
      <c r="AJ24" s="507">
        <f>SUM($X24:AD24)</f>
        <v>-2.9948490828171057E-2</v>
      </c>
      <c r="AK24" s="710">
        <f t="shared" si="11"/>
        <v>-2.9948490828171057E-2</v>
      </c>
      <c r="AL24" s="710">
        <f t="shared" si="11"/>
        <v>-2.9948490828171057E-2</v>
      </c>
      <c r="AM24" s="710">
        <f t="shared" si="11"/>
        <v>-2.9948490828171057E-2</v>
      </c>
    </row>
    <row r="25" spans="1:40" x14ac:dyDescent="0.25">
      <c r="A25" t="s">
        <v>679</v>
      </c>
      <c r="B25" t="s">
        <v>699</v>
      </c>
      <c r="C25" s="812"/>
      <c r="D25" s="812" t="s">
        <v>616</v>
      </c>
      <c r="E25" s="507">
        <v>-5.6422367374801006E-4</v>
      </c>
      <c r="F25" s="507">
        <v>-1.3363756993052354E-3</v>
      </c>
      <c r="G25" s="507">
        <v>-2.0689565971500033E-3</v>
      </c>
      <c r="H25" s="507">
        <v>-1.9959635188429073E-3</v>
      </c>
      <c r="I25" s="507">
        <v>-1.2677499613702179E-3</v>
      </c>
      <c r="J25" s="507">
        <v>-3.0577979882294741E-3</v>
      </c>
      <c r="K25" s="506">
        <v>-5.9655194890461567E-3</v>
      </c>
      <c r="L25" s="506">
        <v>-7.3833459378291662E-3</v>
      </c>
      <c r="S25" t="s">
        <v>680</v>
      </c>
      <c r="T25" s="812" t="s">
        <v>521</v>
      </c>
      <c r="U25" s="812"/>
      <c r="V25" s="507">
        <f>K26</f>
        <v>-4.4150990463305596E-3</v>
      </c>
      <c r="W25" s="507">
        <f>L26</f>
        <v>-4.1299878778846329E-4</v>
      </c>
      <c r="X25" s="507">
        <f>SUM(V25:W25)</f>
        <v>-4.8280978341190229E-3</v>
      </c>
      <c r="Y25" s="507"/>
      <c r="Z25" s="507"/>
      <c r="AA25" s="507"/>
      <c r="AB25" s="507"/>
      <c r="AC25" s="507"/>
      <c r="AE25" s="507">
        <f>SUM($X25:Y25)</f>
        <v>-4.8280978341190229E-3</v>
      </c>
      <c r="AF25" s="507">
        <f>SUM($X25:Z25)</f>
        <v>-4.8280978341190229E-3</v>
      </c>
      <c r="AG25" s="507">
        <f>SUM($X25:AA25)</f>
        <v>-4.8280978341190229E-3</v>
      </c>
      <c r="AH25" s="507">
        <f>SUM($X25:AB25)</f>
        <v>-4.8280978341190229E-3</v>
      </c>
      <c r="AI25" s="507">
        <f>SUM($X25:AC25)</f>
        <v>-4.8280978341190229E-3</v>
      </c>
      <c r="AJ25" s="507">
        <f>SUM($X25:AD25)</f>
        <v>-4.8280978341190229E-3</v>
      </c>
      <c r="AK25" s="710">
        <f t="shared" si="11"/>
        <v>-4.8280978341190229E-3</v>
      </c>
      <c r="AL25" s="710">
        <f t="shared" si="11"/>
        <v>-4.8280978341190229E-3</v>
      </c>
      <c r="AM25" s="710">
        <f t="shared" si="11"/>
        <v>-4.8280978341190229E-3</v>
      </c>
    </row>
    <row r="26" spans="1:40" x14ac:dyDescent="0.25">
      <c r="A26" t="s">
        <v>679</v>
      </c>
      <c r="B26" t="s">
        <v>701</v>
      </c>
      <c r="C26" s="812"/>
      <c r="D26" s="812" t="s">
        <v>616</v>
      </c>
      <c r="E26" s="507">
        <v>-8.4555110959457598E-4</v>
      </c>
      <c r="F26" s="507">
        <v>-1.9458057888203483E-3</v>
      </c>
      <c r="G26" s="507">
        <v>-1.1533851780331711E-3</v>
      </c>
      <c r="H26" s="507">
        <v>-4.7035696988246569E-4</v>
      </c>
      <c r="I26" s="507">
        <v>-2.6391657514999566E-4</v>
      </c>
      <c r="J26" s="507">
        <v>-7.4541106319234249E-5</v>
      </c>
      <c r="K26" s="506">
        <v>-4.4150990463305596E-3</v>
      </c>
      <c r="L26" s="506">
        <v>-4.1299878778846329E-4</v>
      </c>
      <c r="S26" t="s">
        <v>680</v>
      </c>
      <c r="T26" s="845" t="s">
        <v>702</v>
      </c>
      <c r="U26" s="845"/>
      <c r="V26" s="506">
        <f>SUM(V23:V25)</f>
        <v>-1.0340790056740087E-2</v>
      </c>
      <c r="W26" s="506">
        <f>SUM(W23:W25)</f>
        <v>-7.7952532894237656E-3</v>
      </c>
      <c r="X26" s="506">
        <f>SUM(X23:X25)</f>
        <v>-1.8136043346163852E-2</v>
      </c>
      <c r="Y26" s="506">
        <f t="shared" ref="Y26:AC26" si="14">SUM(Y23:Y25)</f>
        <v>-3.458255291936612E-3</v>
      </c>
      <c r="Z26" s="506">
        <f t="shared" si="14"/>
        <v>-3.458255291936612E-3</v>
      </c>
      <c r="AA26" s="506">
        <f t="shared" si="14"/>
        <v>-3.458255291936612E-3</v>
      </c>
      <c r="AB26" s="506">
        <f t="shared" si="14"/>
        <v>-3.458255291936612E-3</v>
      </c>
      <c r="AC26" s="506">
        <f t="shared" si="14"/>
        <v>-2.7666042335492895E-3</v>
      </c>
      <c r="AE26" s="506">
        <f>SUM($X26:Y26)</f>
        <v>-2.1594298638100463E-2</v>
      </c>
      <c r="AF26" s="506">
        <f>SUM($X26:Z26)</f>
        <v>-2.5052553930037073E-2</v>
      </c>
      <c r="AG26" s="506">
        <f>SUM($X26:AA26)</f>
        <v>-2.8510809221973684E-2</v>
      </c>
      <c r="AH26" s="506">
        <f>SUM($X26:AB26)</f>
        <v>-3.1969064513910295E-2</v>
      </c>
      <c r="AI26" s="506">
        <f>SUM($X26:AC26)</f>
        <v>-3.4735668747459585E-2</v>
      </c>
      <c r="AJ26" s="506">
        <f>SUM($X26:AD26)</f>
        <v>-3.4735668747459585E-2</v>
      </c>
      <c r="AK26" s="711">
        <f t="shared" si="11"/>
        <v>-3.4735668747459585E-2</v>
      </c>
      <c r="AL26" s="711">
        <f t="shared" si="11"/>
        <v>-3.4735668747459585E-2</v>
      </c>
      <c r="AM26" s="711">
        <f t="shared" si="11"/>
        <v>-3.4735668747459585E-2</v>
      </c>
    </row>
    <row r="27" spans="1:40" x14ac:dyDescent="0.25">
      <c r="A27" t="s">
        <v>676</v>
      </c>
      <c r="B27" s="812" t="s">
        <v>616</v>
      </c>
      <c r="C27" s="812"/>
      <c r="D27" s="812">
        <v>99705</v>
      </c>
      <c r="E27" s="507">
        <v>1.7077927179965882E-2</v>
      </c>
      <c r="F27" s="507">
        <v>3.8935951510637376E-2</v>
      </c>
      <c r="G27" s="507">
        <v>4.4491265428928985E-2</v>
      </c>
      <c r="H27" s="507">
        <v>1.4045749374138007E-2</v>
      </c>
      <c r="I27" s="507">
        <v>1.3352401811403786E-2</v>
      </c>
      <c r="J27" s="507">
        <v>2.3483229786058518E-2</v>
      </c>
      <c r="K27" s="506">
        <v>0.11455089349367024</v>
      </c>
      <c r="L27" s="506">
        <v>6.0318861383520821E-2</v>
      </c>
    </row>
    <row r="28" spans="1:40" x14ac:dyDescent="0.25">
      <c r="A28" t="s">
        <v>676</v>
      </c>
      <c r="B28" s="812" t="s">
        <v>696</v>
      </c>
      <c r="C28" s="812" t="s">
        <v>697</v>
      </c>
      <c r="D28" s="812">
        <v>99705</v>
      </c>
      <c r="E28" s="507">
        <v>1.5633951599195804E-2</v>
      </c>
      <c r="F28" s="507">
        <v>2.8269507121586424E-2</v>
      </c>
      <c r="G28" s="507">
        <v>2.7628018943680808E-2</v>
      </c>
      <c r="H28" s="507">
        <v>9.8563950527908242E-3</v>
      </c>
      <c r="I28" s="507">
        <v>6.0692131801230766E-3</v>
      </c>
      <c r="J28" s="507">
        <v>4.8865426940520873E-3</v>
      </c>
      <c r="K28" s="506">
        <v>8.1387872717253867E-2</v>
      </c>
      <c r="L28" s="506">
        <v>1.5842298568227251E-2</v>
      </c>
      <c r="X28" s="825">
        <v>2019</v>
      </c>
      <c r="AE28" s="825">
        <f t="shared" ref="AE28:AH28" si="15">AE30+1</f>
        <v>2020</v>
      </c>
      <c r="AF28" s="825">
        <f t="shared" si="15"/>
        <v>2021</v>
      </c>
      <c r="AG28" s="825">
        <f t="shared" si="15"/>
        <v>2022</v>
      </c>
      <c r="AH28" s="825">
        <f t="shared" si="15"/>
        <v>2023</v>
      </c>
      <c r="AI28" s="825">
        <f>AI30+1</f>
        <v>2024</v>
      </c>
      <c r="AJ28" s="825">
        <f>AJ30+1</f>
        <v>2025</v>
      </c>
      <c r="AK28" s="825">
        <f>AK30+1</f>
        <v>2026</v>
      </c>
      <c r="AL28" s="825">
        <f t="shared" ref="AL28:AM28" si="16">AL30+1</f>
        <v>2029</v>
      </c>
      <c r="AM28" s="825">
        <f t="shared" si="16"/>
        <v>2032</v>
      </c>
    </row>
    <row r="29" spans="1:40" x14ac:dyDescent="0.25">
      <c r="A29" t="s">
        <v>676</v>
      </c>
      <c r="B29" s="812" t="s">
        <v>696</v>
      </c>
      <c r="C29" s="812" t="s">
        <v>698</v>
      </c>
      <c r="D29" s="812">
        <v>99705</v>
      </c>
      <c r="E29" s="507">
        <v>3.1786393532082387E-4</v>
      </c>
      <c r="F29" s="507">
        <v>6.6034217978595032E-3</v>
      </c>
      <c r="G29" s="507">
        <v>1.2392981766860014E-2</v>
      </c>
      <c r="H29" s="507">
        <v>7.2478453002897993E-4</v>
      </c>
      <c r="I29" s="507">
        <v>8.2657370281432414E-4</v>
      </c>
      <c r="J29" s="507">
        <v>0</v>
      </c>
      <c r="K29" s="506">
        <v>2.0039052030069324E-2</v>
      </c>
      <c r="L29" s="506">
        <v>8.2657370281432414E-4</v>
      </c>
      <c r="U29" s="812" t="s">
        <v>683</v>
      </c>
      <c r="V29" s="845" t="str">
        <f>"Relative to "&amp;2019&amp;"PB"</f>
        <v>Relative to 2019PB</v>
      </c>
      <c r="W29" s="845"/>
      <c r="X29" s="845"/>
      <c r="AE29" s="812" t="s">
        <v>653</v>
      </c>
      <c r="AF29" s="812" t="s">
        <v>653</v>
      </c>
      <c r="AG29" s="812" t="s">
        <v>653</v>
      </c>
      <c r="AH29" s="812" t="s">
        <v>653</v>
      </c>
      <c r="AI29" s="812" t="s">
        <v>653</v>
      </c>
      <c r="AJ29" s="812" t="s">
        <v>653</v>
      </c>
      <c r="AK29" s="812" t="s">
        <v>653</v>
      </c>
      <c r="AL29" s="812" t="s">
        <v>653</v>
      </c>
      <c r="AM29" s="812" t="s">
        <v>653</v>
      </c>
    </row>
    <row r="30" spans="1:40" x14ac:dyDescent="0.25">
      <c r="A30" t="s">
        <v>676</v>
      </c>
      <c r="B30" t="s">
        <v>699</v>
      </c>
      <c r="C30" s="812"/>
      <c r="D30" s="812">
        <v>99705</v>
      </c>
      <c r="E30" s="507">
        <v>8.7909112428990425E-4</v>
      </c>
      <c r="F30" s="507">
        <v>3.074376002702028E-3</v>
      </c>
      <c r="G30" s="507">
        <v>4.2255753025863619E-3</v>
      </c>
      <c r="H30" s="507">
        <v>3.4440408825211545E-3</v>
      </c>
      <c r="I30" s="507">
        <v>6.2607223611217035E-3</v>
      </c>
      <c r="J30" s="507">
        <v>1.5286854012328705E-2</v>
      </c>
      <c r="K30" s="506">
        <v>1.1623083312099448E-2</v>
      </c>
      <c r="L30" s="506">
        <v>3.6834430385779111E-2</v>
      </c>
      <c r="S30" s="3"/>
      <c r="T30" s="813" t="s">
        <v>654</v>
      </c>
      <c r="U30" s="813" t="s">
        <v>684</v>
      </c>
      <c r="V30" s="3" t="s">
        <v>656</v>
      </c>
      <c r="W30" s="3" t="s">
        <v>657</v>
      </c>
      <c r="X30" s="813" t="s">
        <v>703</v>
      </c>
      <c r="Y30" s="813">
        <v>2019</v>
      </c>
      <c r="Z30" s="813">
        <v>2020</v>
      </c>
      <c r="AA30" s="813">
        <v>2021</v>
      </c>
      <c r="AB30" s="813">
        <v>2022</v>
      </c>
      <c r="AC30" s="813">
        <v>2023</v>
      </c>
      <c r="AE30" s="813">
        <v>2019</v>
      </c>
      <c r="AF30" s="813">
        <v>2020</v>
      </c>
      <c r="AG30" s="813">
        <v>2021</v>
      </c>
      <c r="AH30" s="813">
        <v>2022</v>
      </c>
      <c r="AI30" s="813">
        <v>2023</v>
      </c>
      <c r="AJ30" s="813">
        <v>2024</v>
      </c>
      <c r="AK30" s="813">
        <v>2025</v>
      </c>
      <c r="AL30" s="813">
        <v>2028</v>
      </c>
      <c r="AM30" s="813">
        <v>2031</v>
      </c>
    </row>
    <row r="31" spans="1:40" x14ac:dyDescent="0.25">
      <c r="A31" t="s">
        <v>676</v>
      </c>
      <c r="B31" t="s">
        <v>701</v>
      </c>
      <c r="C31" s="812"/>
      <c r="D31" s="812">
        <v>99705</v>
      </c>
      <c r="E31" s="507">
        <v>2.4702052115935236E-4</v>
      </c>
      <c r="F31" s="507">
        <v>9.8864658848941966E-4</v>
      </c>
      <c r="G31" s="507">
        <v>2.4468941580180203E-4</v>
      </c>
      <c r="H31" s="507">
        <v>2.0528908797048592E-5</v>
      </c>
      <c r="I31" s="507">
        <v>1.9589256734468298E-4</v>
      </c>
      <c r="J31" s="507">
        <v>3.3098330796777278E-3</v>
      </c>
      <c r="K31" s="506">
        <v>1.5008854342476036E-3</v>
      </c>
      <c r="L31" s="506">
        <v>6.8155587267001369E-3</v>
      </c>
      <c r="S31" t="s">
        <v>677</v>
      </c>
      <c r="T31" s="812" t="s">
        <v>341</v>
      </c>
      <c r="U31" s="609">
        <f ca="1">INDIRECT("'DevSumOut-"&amp;2019&amp;"BSR'!$R$70")</f>
        <v>2.4594859595772975</v>
      </c>
      <c r="V31" s="529">
        <f ca="1">V14/$U31</f>
        <v>3.9953464218369074E-2</v>
      </c>
      <c r="W31" s="529">
        <f ca="1">W14/$U31</f>
        <v>8.5080241414692365E-2</v>
      </c>
      <c r="X31" s="529">
        <f ca="1">X14/$U31</f>
        <v>0.12503370563306143</v>
      </c>
      <c r="Y31" s="529">
        <f t="shared" ref="Y31:AC32" ca="1" si="17">Y14/$U31</f>
        <v>4.1010390658434911E-2</v>
      </c>
      <c r="Z31" s="529">
        <f t="shared" ca="1" si="17"/>
        <v>3.362471328279204E-2</v>
      </c>
      <c r="AA31" s="529">
        <f t="shared" ca="1" si="17"/>
        <v>3.0547347709607504E-2</v>
      </c>
      <c r="AB31" s="529">
        <f t="shared" ca="1" si="17"/>
        <v>2.4761900432020589E-2</v>
      </c>
      <c r="AC31" s="529">
        <f t="shared" ca="1" si="17"/>
        <v>1.7052200792043132E-2</v>
      </c>
      <c r="AE31" s="529">
        <f t="shared" ref="AE31:AJ32" ca="1" si="18">AE14/$U31</f>
        <v>0.16604409629149633</v>
      </c>
      <c r="AF31" s="529">
        <f t="shared" ca="1" si="18"/>
        <v>0.1996688095742884</v>
      </c>
      <c r="AG31" s="529">
        <f t="shared" ca="1" si="18"/>
        <v>0.23021615728389591</v>
      </c>
      <c r="AH31" s="529">
        <f t="shared" ca="1" si="18"/>
        <v>0.25497805771591653</v>
      </c>
      <c r="AI31" s="529">
        <f t="shared" ca="1" si="18"/>
        <v>0.27203025850795964</v>
      </c>
      <c r="AJ31" s="529">
        <f t="shared" ca="1" si="18"/>
        <v>0.27203025850795964</v>
      </c>
      <c r="AK31" s="712">
        <f t="shared" ref="AK31:AM36" ca="1" si="19">$AJ31</f>
        <v>0.27203025850795964</v>
      </c>
      <c r="AL31" s="712">
        <f t="shared" ca="1" si="19"/>
        <v>0.27203025850795964</v>
      </c>
      <c r="AM31" s="712">
        <f t="shared" ca="1" si="19"/>
        <v>0.27203025850795964</v>
      </c>
    </row>
    <row r="32" spans="1:40" x14ac:dyDescent="0.25">
      <c r="A32" t="s">
        <v>679</v>
      </c>
      <c r="B32" s="812" t="s">
        <v>616</v>
      </c>
      <c r="C32" s="812"/>
      <c r="D32" s="812">
        <v>99705</v>
      </c>
      <c r="E32" s="507">
        <v>-1.3380205961363304E-4</v>
      </c>
      <c r="F32" s="507">
        <v>-9.2541468397162538E-4</v>
      </c>
      <c r="G32" s="507">
        <v>-8.5976693768663665E-4</v>
      </c>
      <c r="H32" s="507">
        <v>-5.4783782691906601E-4</v>
      </c>
      <c r="I32" s="507">
        <v>-8.7228840849322366E-4</v>
      </c>
      <c r="J32" s="507">
        <v>-1.7624593471872783E-3</v>
      </c>
      <c r="K32" s="506">
        <v>-2.4668215081909612E-3</v>
      </c>
      <c r="L32" s="506">
        <v>-4.3972071028677805E-3</v>
      </c>
      <c r="S32" t="s">
        <v>677</v>
      </c>
      <c r="T32" s="812" t="s">
        <v>704</v>
      </c>
      <c r="U32" s="609">
        <f t="shared" ref="U32:U33" ca="1" si="20">INDIRECT("'DevSumOut-"&amp;2019&amp;"BSR'!$R$70")</f>
        <v>2.4594859595772975</v>
      </c>
      <c r="V32" s="610"/>
      <c r="W32" s="529">
        <f ca="1">W15/$U32</f>
        <v>1.37865977678667E-2</v>
      </c>
      <c r="X32" s="529">
        <f ca="1">X15/$U32</f>
        <v>1.37865977678667E-2</v>
      </c>
      <c r="Y32" s="529">
        <f t="shared" ca="1" si="17"/>
        <v>1.9695139668381E-2</v>
      </c>
      <c r="Z32" s="529">
        <f t="shared" ca="1" si="17"/>
        <v>1.2309462292738126E-2</v>
      </c>
      <c r="AA32" s="529">
        <f t="shared" ca="1" si="17"/>
        <v>9.2320967195535942E-3</v>
      </c>
      <c r="AB32" s="529">
        <f t="shared" ca="1" si="17"/>
        <v>3.446649441966675E-3</v>
      </c>
      <c r="AC32" s="529">
        <f t="shared" ca="1" si="17"/>
        <v>0</v>
      </c>
      <c r="AE32" s="614">
        <f t="shared" ca="1" si="18"/>
        <v>3.3481737436247702E-2</v>
      </c>
      <c r="AF32" s="614">
        <f t="shared" ca="1" si="18"/>
        <v>4.5791199728985835E-2</v>
      </c>
      <c r="AG32" s="614">
        <f t="shared" ca="1" si="18"/>
        <v>5.5023296448539427E-2</v>
      </c>
      <c r="AH32" s="614">
        <f t="shared" ca="1" si="18"/>
        <v>5.8469945890506095E-2</v>
      </c>
      <c r="AI32" s="614">
        <f t="shared" ca="1" si="18"/>
        <v>5.8469945890506095E-2</v>
      </c>
      <c r="AJ32" s="614">
        <f t="shared" ca="1" si="18"/>
        <v>5.8469945890506095E-2</v>
      </c>
      <c r="AK32" s="713">
        <f t="shared" ca="1" si="19"/>
        <v>5.8469945890506095E-2</v>
      </c>
      <c r="AL32" s="713">
        <f t="shared" ca="1" si="19"/>
        <v>5.8469945890506095E-2</v>
      </c>
      <c r="AM32" s="713">
        <f t="shared" ca="1" si="19"/>
        <v>5.8469945890506095E-2</v>
      </c>
      <c r="AN32" t="s">
        <v>705</v>
      </c>
    </row>
    <row r="33" spans="1:40" x14ac:dyDescent="0.25">
      <c r="A33" t="s">
        <v>679</v>
      </c>
      <c r="B33" s="812" t="s">
        <v>696</v>
      </c>
      <c r="C33" s="812" t="s">
        <v>697</v>
      </c>
      <c r="D33" s="812">
        <v>99705</v>
      </c>
      <c r="E33" s="507">
        <v>1.8918120356759869E-4</v>
      </c>
      <c r="F33" s="507">
        <v>3.2881051605382008E-4</v>
      </c>
      <c r="G33" s="507">
        <v>3.3618539168855596E-4</v>
      </c>
      <c r="H33" s="507">
        <v>1.0936580461157339E-4</v>
      </c>
      <c r="I33" s="507">
        <v>6.8729296322174926E-5</v>
      </c>
      <c r="J33" s="507">
        <v>5.7432931715683143E-5</v>
      </c>
      <c r="K33" s="506">
        <v>9.6354291592154809E-4</v>
      </c>
      <c r="L33" s="506">
        <v>1.8359515975354123E-4</v>
      </c>
      <c r="S33" t="s">
        <v>677</v>
      </c>
      <c r="T33" s="812" t="s">
        <v>706</v>
      </c>
      <c r="U33" s="609">
        <f t="shared" ca="1" si="20"/>
        <v>2.4594859595772975</v>
      </c>
      <c r="V33" s="529">
        <f ca="1">V19/$U33</f>
        <v>3.9953464218369074E-2</v>
      </c>
      <c r="W33" s="529">
        <f t="shared" ref="W33:AC33" ca="1" si="21">W19/$U33</f>
        <v>7.1293643646825652E-2</v>
      </c>
      <c r="X33" s="529">
        <f t="shared" ca="1" si="21"/>
        <v>0.11124710786519472</v>
      </c>
      <c r="Y33" s="529">
        <f t="shared" ca="1" si="21"/>
        <v>2.1315250990053915E-2</v>
      </c>
      <c r="Z33" s="529">
        <f t="shared" ca="1" si="21"/>
        <v>2.1315250990053915E-2</v>
      </c>
      <c r="AA33" s="529">
        <f t="shared" ca="1" si="21"/>
        <v>2.1315250990053915E-2</v>
      </c>
      <c r="AB33" s="529">
        <f t="shared" ca="1" si="21"/>
        <v>2.1315250990053915E-2</v>
      </c>
      <c r="AC33" s="529">
        <f t="shared" ca="1" si="21"/>
        <v>1.7052200792043132E-2</v>
      </c>
      <c r="AE33" s="614">
        <f t="shared" ref="AE33:AJ33" ca="1" si="22">AE19/$U33</f>
        <v>0.13256235885524861</v>
      </c>
      <c r="AF33" s="614">
        <f t="shared" ca="1" si="22"/>
        <v>0.15387760984530255</v>
      </c>
      <c r="AG33" s="614">
        <f t="shared" ca="1" si="22"/>
        <v>0.17519286083535646</v>
      </c>
      <c r="AH33" s="614">
        <f t="shared" ca="1" si="22"/>
        <v>0.19650811182541036</v>
      </c>
      <c r="AI33" s="614">
        <f t="shared" ca="1" si="22"/>
        <v>0.21356031261745351</v>
      </c>
      <c r="AJ33" s="614">
        <f t="shared" ca="1" si="22"/>
        <v>0.21356031261745351</v>
      </c>
      <c r="AK33" s="713">
        <f t="shared" ca="1" si="19"/>
        <v>0.21356031261745351</v>
      </c>
      <c r="AL33" s="713">
        <f t="shared" ca="1" si="19"/>
        <v>0.21356031261745351</v>
      </c>
      <c r="AM33" s="713">
        <f t="shared" ca="1" si="19"/>
        <v>0.21356031261745351</v>
      </c>
      <c r="AN33" t="s">
        <v>705</v>
      </c>
    </row>
    <row r="34" spans="1:40" x14ac:dyDescent="0.25">
      <c r="A34" t="s">
        <v>679</v>
      </c>
      <c r="B34" s="812" t="s">
        <v>696</v>
      </c>
      <c r="C34" s="812" t="s">
        <v>698</v>
      </c>
      <c r="D34" s="812">
        <v>99705</v>
      </c>
      <c r="E34" s="507">
        <v>0</v>
      </c>
      <c r="F34" s="507">
        <v>5.4571809693196998E-6</v>
      </c>
      <c r="G34" s="507">
        <v>1.1965671801846577E-5</v>
      </c>
      <c r="H34" s="507">
        <v>1.0914361938639399E-6</v>
      </c>
      <c r="I34" s="507">
        <v>1.0914361938639399E-6</v>
      </c>
      <c r="J34" s="507">
        <v>0</v>
      </c>
      <c r="K34" s="506">
        <v>1.8514288965030217E-5</v>
      </c>
      <c r="L34" s="506">
        <v>1.0914361938639399E-6</v>
      </c>
      <c r="S34" t="s">
        <v>680</v>
      </c>
      <c r="T34" s="812" t="s">
        <v>341</v>
      </c>
      <c r="U34" s="609">
        <f ca="1">INDIRECT("'DevSumOut-"&amp;2019&amp;"BSR'!$P$70")</f>
        <v>3.8113418574800706</v>
      </c>
      <c r="V34" s="529">
        <f ca="1">V21/$U34</f>
        <v>-2.7131625667336664E-3</v>
      </c>
      <c r="W34" s="529">
        <f t="shared" ref="W34:AC35" ca="1" si="23">W21/$U34</f>
        <v>-1.9474154546907094E-3</v>
      </c>
      <c r="X34" s="529">
        <f t="shared" ca="1" si="23"/>
        <v>-4.6605780214243756E-3</v>
      </c>
      <c r="Y34" s="529">
        <f t="shared" ca="1" si="23"/>
        <v>-7.675554879067024E-4</v>
      </c>
      <c r="Z34" s="529">
        <f t="shared" ca="1" si="23"/>
        <v>-8.1998180056088463E-4</v>
      </c>
      <c r="AA34" s="529">
        <f t="shared" ca="1" si="23"/>
        <v>-8.4182609750012728E-4</v>
      </c>
      <c r="AB34" s="529">
        <f t="shared" ca="1" si="23"/>
        <v>-8.8289337574590351E-4</v>
      </c>
      <c r="AC34" s="529">
        <f t="shared" ca="1" si="23"/>
        <v>-7.2588719065428417E-4</v>
      </c>
      <c r="AE34" s="529">
        <f t="shared" ref="AE34:AJ35" ca="1" si="24">AE21/$U34</f>
        <v>-5.4281335093310781E-3</v>
      </c>
      <c r="AF34" s="529">
        <f t="shared" ca="1" si="24"/>
        <v>-6.2481153098919631E-3</v>
      </c>
      <c r="AG34" s="529">
        <f t="shared" ca="1" si="24"/>
        <v>-7.0899414073920903E-3</v>
      </c>
      <c r="AH34" s="529">
        <f t="shared" ca="1" si="24"/>
        <v>-7.9728347831379935E-3</v>
      </c>
      <c r="AI34" s="529">
        <f t="shared" ca="1" si="24"/>
        <v>-8.698721973792279E-3</v>
      </c>
      <c r="AJ34" s="529">
        <f t="shared" ca="1" si="24"/>
        <v>-8.698721973792279E-3</v>
      </c>
      <c r="AK34" s="712">
        <f t="shared" ca="1" si="19"/>
        <v>-8.698721973792279E-3</v>
      </c>
      <c r="AL34" s="712">
        <f t="shared" ca="1" si="19"/>
        <v>-8.698721973792279E-3</v>
      </c>
      <c r="AM34" s="712">
        <f t="shared" ca="1" si="19"/>
        <v>-8.698721973792279E-3</v>
      </c>
    </row>
    <row r="35" spans="1:40" x14ac:dyDescent="0.25">
      <c r="A35" t="s">
        <v>679</v>
      </c>
      <c r="B35" t="s">
        <v>699</v>
      </c>
      <c r="C35" s="812"/>
      <c r="D35" s="812">
        <v>99705</v>
      </c>
      <c r="E35" s="507">
        <v>-1.3484047522824516E-4</v>
      </c>
      <c r="F35" s="507">
        <v>-5.20569600485097E-4</v>
      </c>
      <c r="G35" s="507">
        <v>-8.3351033754580238E-4</v>
      </c>
      <c r="H35" s="507">
        <v>-5.6422367374801006E-4</v>
      </c>
      <c r="I35" s="507">
        <v>-7.5922450742553808E-4</v>
      </c>
      <c r="J35" s="507">
        <v>-1.7453511725837277E-3</v>
      </c>
      <c r="K35" s="506">
        <v>-3.4303644241125094E-3</v>
      </c>
      <c r="L35" s="506">
        <v>-4.5808022626213215E-3</v>
      </c>
      <c r="S35" t="s">
        <v>680</v>
      </c>
      <c r="T35" s="812" t="s">
        <v>704</v>
      </c>
      <c r="U35" s="609">
        <f t="shared" ref="U35:U36" ca="1" si="25">INDIRECT("'DevSumOut-"&amp;2019&amp;"BSR'!$P$70")</f>
        <v>3.8113418574800706</v>
      </c>
      <c r="V35" s="610"/>
      <c r="W35" s="529">
        <f t="shared" ca="1" si="23"/>
        <v>9.7862450287807034E-5</v>
      </c>
      <c r="X35" s="529">
        <f t="shared" ca="1" si="23"/>
        <v>9.7862450287807034E-5</v>
      </c>
      <c r="Y35" s="529">
        <f t="shared" ca="1" si="23"/>
        <v>1.3980350041115292E-4</v>
      </c>
      <c r="Z35" s="529">
        <f t="shared" ca="1" si="23"/>
        <v>8.7377187756970562E-5</v>
      </c>
      <c r="AA35" s="529">
        <f t="shared" ca="1" si="23"/>
        <v>6.5532890817727915E-5</v>
      </c>
      <c r="AB35" s="529">
        <f t="shared" ca="1" si="23"/>
        <v>2.4465612571951758E-5</v>
      </c>
      <c r="AC35" s="529">
        <f t="shared" ca="1" si="23"/>
        <v>0</v>
      </c>
      <c r="AE35" s="614">
        <f t="shared" ca="1" si="24"/>
        <v>2.3766595069895995E-4</v>
      </c>
      <c r="AF35" s="614">
        <f t="shared" ca="1" si="24"/>
        <v>3.2504313845593054E-4</v>
      </c>
      <c r="AG35" s="614">
        <f t="shared" ca="1" si="24"/>
        <v>3.9057602927365843E-4</v>
      </c>
      <c r="AH35" s="614">
        <f t="shared" ca="1" si="24"/>
        <v>4.1504164184561013E-4</v>
      </c>
      <c r="AI35" s="614">
        <f t="shared" ca="1" si="24"/>
        <v>4.1504164184561013E-4</v>
      </c>
      <c r="AJ35" s="614">
        <f t="shared" ca="1" si="24"/>
        <v>4.1504164184561013E-4</v>
      </c>
      <c r="AK35" s="713">
        <f t="shared" ca="1" si="19"/>
        <v>4.1504164184561013E-4</v>
      </c>
      <c r="AL35" s="713">
        <f t="shared" ca="1" si="19"/>
        <v>4.1504164184561013E-4</v>
      </c>
      <c r="AM35" s="713">
        <f t="shared" ca="1" si="19"/>
        <v>4.1504164184561013E-4</v>
      </c>
      <c r="AN35" t="s">
        <v>705</v>
      </c>
    </row>
    <row r="36" spans="1:40" x14ac:dyDescent="0.25">
      <c r="A36" t="s">
        <v>679</v>
      </c>
      <c r="B36" t="s">
        <v>701</v>
      </c>
      <c r="C36" s="812"/>
      <c r="D36" s="812">
        <v>99705</v>
      </c>
      <c r="E36" s="507">
        <v>-1.8814278795298658E-4</v>
      </c>
      <c r="F36" s="507">
        <v>-7.3911278050966818E-4</v>
      </c>
      <c r="G36" s="507">
        <v>-3.7440766363123682E-4</v>
      </c>
      <c r="H36" s="507">
        <v>-9.407139397649329E-5</v>
      </c>
      <c r="I36" s="507">
        <v>-1.8288463358372446E-4</v>
      </c>
      <c r="J36" s="507">
        <v>-7.4541106319233816E-5</v>
      </c>
      <c r="K36" s="506">
        <v>-1.8514288965030146E-5</v>
      </c>
      <c r="L36" s="506">
        <v>-1.0914361938639539E-6</v>
      </c>
      <c r="S36" t="s">
        <v>680</v>
      </c>
      <c r="T36" s="812" t="s">
        <v>706</v>
      </c>
      <c r="U36" s="609">
        <f t="shared" ca="1" si="25"/>
        <v>3.8113418574800706</v>
      </c>
      <c r="V36" s="529">
        <f ca="1">V22/$U36</f>
        <v>0</v>
      </c>
      <c r="W36" s="529">
        <f t="shared" ref="W36:AC36" ca="1" si="26">W22/$U36</f>
        <v>9.7862450287807034E-5</v>
      </c>
      <c r="X36" s="529">
        <f t="shared" ca="1" si="26"/>
        <v>9.7862450287807034E-5</v>
      </c>
      <c r="Y36" s="529">
        <f t="shared" ca="1" si="26"/>
        <v>1.3980350041115292E-4</v>
      </c>
      <c r="Z36" s="529">
        <f t="shared" ca="1" si="26"/>
        <v>8.7377187756970562E-5</v>
      </c>
      <c r="AA36" s="529">
        <f t="shared" ca="1" si="26"/>
        <v>6.5532890817727915E-5</v>
      </c>
      <c r="AB36" s="529">
        <f t="shared" ca="1" si="26"/>
        <v>2.4465612571951758E-5</v>
      </c>
      <c r="AC36" s="529">
        <f t="shared" ca="1" si="26"/>
        <v>0</v>
      </c>
      <c r="AE36" s="614">
        <f t="shared" ref="AE36:AJ36" ca="1" si="27">AE22/$U36</f>
        <v>2.3766595069895995E-4</v>
      </c>
      <c r="AF36" s="614">
        <f t="shared" ca="1" si="27"/>
        <v>3.2504313845593054E-4</v>
      </c>
      <c r="AG36" s="614">
        <f t="shared" ca="1" si="27"/>
        <v>3.9057602927365843E-4</v>
      </c>
      <c r="AH36" s="614">
        <f t="shared" ca="1" si="27"/>
        <v>4.1504164184561013E-4</v>
      </c>
      <c r="AI36" s="614">
        <f t="shared" ca="1" si="27"/>
        <v>4.1504164184561013E-4</v>
      </c>
      <c r="AJ36" s="614">
        <f t="shared" ca="1" si="27"/>
        <v>4.1504164184561013E-4</v>
      </c>
      <c r="AK36" s="713">
        <f t="shared" ca="1" si="19"/>
        <v>4.1504164184561013E-4</v>
      </c>
      <c r="AL36" s="713">
        <f t="shared" ca="1" si="19"/>
        <v>4.1504164184561013E-4</v>
      </c>
      <c r="AM36" s="713">
        <f t="shared" ca="1" si="19"/>
        <v>4.1504164184561013E-4</v>
      </c>
      <c r="AN36" t="s">
        <v>705</v>
      </c>
    </row>
    <row r="37" spans="1:40" x14ac:dyDescent="0.25">
      <c r="W37" s="529"/>
      <c r="X37" s="529"/>
    </row>
    <row r="39" spans="1:40" ht="15.75" x14ac:dyDescent="0.25">
      <c r="Z39" s="859" t="s">
        <v>707</v>
      </c>
      <c r="AA39" s="859"/>
      <c r="AB39" s="859"/>
      <c r="AC39" s="859"/>
      <c r="AD39" s="859"/>
      <c r="AE39" s="859"/>
    </row>
    <row r="41" spans="1:40" x14ac:dyDescent="0.25">
      <c r="X41" s="812" t="s">
        <v>708</v>
      </c>
    </row>
    <row r="42" spans="1:40" x14ac:dyDescent="0.25">
      <c r="E42" s="840" t="s">
        <v>640</v>
      </c>
      <c r="F42" s="840"/>
      <c r="G42" s="840"/>
      <c r="H42" s="840"/>
      <c r="I42" s="840"/>
      <c r="J42" s="840"/>
      <c r="K42" s="840"/>
      <c r="L42" s="840"/>
      <c r="M42" s="812" t="s">
        <v>692</v>
      </c>
      <c r="X42" s="812" t="s">
        <v>709</v>
      </c>
      <c r="AE42" s="751">
        <f>SUM(Z45:AE45)</f>
        <v>1578</v>
      </c>
      <c r="AF42" s="825">
        <f t="shared" ref="AF42:AI42" si="28">AF44+1</f>
        <v>2021</v>
      </c>
      <c r="AG42" s="825">
        <f t="shared" si="28"/>
        <v>2022</v>
      </c>
      <c r="AH42" s="825">
        <f t="shared" si="28"/>
        <v>2023</v>
      </c>
      <c r="AI42" s="825">
        <f t="shared" si="28"/>
        <v>2024</v>
      </c>
      <c r="AJ42" s="825">
        <f>AJ44+1</f>
        <v>2025</v>
      </c>
      <c r="AK42" s="825">
        <f>AK44+1</f>
        <v>2026</v>
      </c>
      <c r="AL42" s="825">
        <f t="shared" ref="AL42:AM42" si="29">AL44+1</f>
        <v>2029</v>
      </c>
      <c r="AM42" s="825">
        <f t="shared" si="29"/>
        <v>2032</v>
      </c>
    </row>
    <row r="43" spans="1:40" x14ac:dyDescent="0.25">
      <c r="B43" s="812" t="s">
        <v>693</v>
      </c>
      <c r="C43" s="812" t="s">
        <v>427</v>
      </c>
      <c r="E43" s="845" t="s">
        <v>694</v>
      </c>
      <c r="F43" s="845"/>
      <c r="G43" s="845"/>
      <c r="H43" s="845"/>
      <c r="I43" s="845" t="s">
        <v>328</v>
      </c>
      <c r="J43" s="845"/>
      <c r="K43" t="s">
        <v>652</v>
      </c>
      <c r="L43" s="812" t="s">
        <v>328</v>
      </c>
      <c r="M43" s="812" t="s">
        <v>328</v>
      </c>
      <c r="N43" s="732" t="s">
        <v>710</v>
      </c>
      <c r="O43" s="732"/>
      <c r="P43" s="730"/>
      <c r="Q43" s="730"/>
      <c r="V43" s="812" t="s">
        <v>652</v>
      </c>
      <c r="W43" s="812" t="s">
        <v>328</v>
      </c>
      <c r="X43" s="812" t="s">
        <v>711</v>
      </c>
      <c r="Y43" s="812" t="s">
        <v>653</v>
      </c>
      <c r="Z43" s="45"/>
      <c r="AF43" s="812" t="s">
        <v>653</v>
      </c>
      <c r="AG43" s="812" t="s">
        <v>653</v>
      </c>
      <c r="AH43" s="812" t="s">
        <v>653</v>
      </c>
      <c r="AI43" s="812" t="s">
        <v>653</v>
      </c>
      <c r="AJ43" s="812" t="s">
        <v>653</v>
      </c>
      <c r="AK43" s="812" t="s">
        <v>653</v>
      </c>
      <c r="AL43" s="812" t="s">
        <v>653</v>
      </c>
      <c r="AM43" s="812" t="s">
        <v>653</v>
      </c>
    </row>
    <row r="44" spans="1:40" x14ac:dyDescent="0.25">
      <c r="A44" s="3"/>
      <c r="B44" s="813" t="s">
        <v>654</v>
      </c>
      <c r="C44" s="813" t="s">
        <v>654</v>
      </c>
      <c r="D44" s="813" t="s">
        <v>655</v>
      </c>
      <c r="E44" s="813">
        <v>2013</v>
      </c>
      <c r="F44" s="813">
        <v>2014</v>
      </c>
      <c r="G44" s="813">
        <v>2015</v>
      </c>
      <c r="H44" s="813">
        <v>2016</v>
      </c>
      <c r="I44" s="813">
        <v>2017</v>
      </c>
      <c r="J44" s="813">
        <v>2018</v>
      </c>
      <c r="K44" s="813" t="s">
        <v>656</v>
      </c>
      <c r="L44" s="3" t="s">
        <v>657</v>
      </c>
      <c r="M44" s="731">
        <v>2019</v>
      </c>
      <c r="N44" s="813" t="s">
        <v>656</v>
      </c>
      <c r="O44" s="3" t="s">
        <v>657</v>
      </c>
      <c r="P44" s="731" t="s">
        <v>659</v>
      </c>
      <c r="Q44" s="752"/>
      <c r="S44" s="813"/>
      <c r="T44" s="813" t="s">
        <v>654</v>
      </c>
      <c r="U44" s="813" t="s">
        <v>695</v>
      </c>
      <c r="V44" s="813" t="s">
        <v>656</v>
      </c>
      <c r="W44" s="3" t="s">
        <v>657</v>
      </c>
      <c r="X44" s="813">
        <v>2019</v>
      </c>
      <c r="Y44" s="813">
        <v>2019</v>
      </c>
      <c r="Z44" s="813">
        <v>2020</v>
      </c>
      <c r="AA44" s="813">
        <f>Z44+1</f>
        <v>2021</v>
      </c>
      <c r="AB44" s="813">
        <f t="shared" ref="AB44:AE44" si="30">AA44+1</f>
        <v>2022</v>
      </c>
      <c r="AC44" s="813">
        <f t="shared" si="30"/>
        <v>2023</v>
      </c>
      <c r="AD44" s="813">
        <f t="shared" si="30"/>
        <v>2024</v>
      </c>
      <c r="AE44" s="813">
        <f t="shared" si="30"/>
        <v>2025</v>
      </c>
      <c r="AF44" s="813">
        <f>Z44</f>
        <v>2020</v>
      </c>
      <c r="AG44" s="813">
        <f t="shared" ref="AG44:AK44" si="31">AA44</f>
        <v>2021</v>
      </c>
      <c r="AH44" s="813">
        <f t="shared" si="31"/>
        <v>2022</v>
      </c>
      <c r="AI44" s="813">
        <f t="shared" si="31"/>
        <v>2023</v>
      </c>
      <c r="AJ44" s="813">
        <f t="shared" si="31"/>
        <v>2024</v>
      </c>
      <c r="AK44" s="813">
        <f t="shared" si="31"/>
        <v>2025</v>
      </c>
      <c r="AL44" s="813">
        <v>2028</v>
      </c>
      <c r="AM44" s="813">
        <v>2031</v>
      </c>
    </row>
    <row r="45" spans="1:40" x14ac:dyDescent="0.25">
      <c r="A45" t="s">
        <v>662</v>
      </c>
      <c r="B45" s="812" t="s">
        <v>616</v>
      </c>
      <c r="C45" s="812"/>
      <c r="D45" s="812" t="s">
        <v>616</v>
      </c>
      <c r="E45" s="45">
        <v>240</v>
      </c>
      <c r="F45" s="45">
        <v>514</v>
      </c>
      <c r="G45" s="45">
        <v>459</v>
      </c>
      <c r="H45" s="45">
        <v>131</v>
      </c>
      <c r="I45" s="45">
        <v>104</v>
      </c>
      <c r="J45" s="45">
        <v>153</v>
      </c>
      <c r="K45" s="87">
        <v>1344</v>
      </c>
      <c r="L45" s="87">
        <v>257</v>
      </c>
      <c r="S45" t="s">
        <v>662</v>
      </c>
      <c r="T45" s="865" t="s">
        <v>249</v>
      </c>
      <c r="U45" s="865"/>
      <c r="V45" s="512">
        <f t="shared" ref="V45:AE45" si="32">SUM(V46:V52)</f>
        <v>396</v>
      </c>
      <c r="W45" s="512">
        <f t="shared" si="32"/>
        <v>257</v>
      </c>
      <c r="X45" s="512">
        <f t="shared" si="32"/>
        <v>260</v>
      </c>
      <c r="Y45" s="512">
        <f t="shared" si="32"/>
        <v>913</v>
      </c>
      <c r="Z45" s="512">
        <f t="shared" si="32"/>
        <v>0</v>
      </c>
      <c r="AA45" s="512">
        <f t="shared" si="32"/>
        <v>100</v>
      </c>
      <c r="AB45" s="512">
        <f t="shared" si="32"/>
        <v>216</v>
      </c>
      <c r="AC45" s="512">
        <f t="shared" si="32"/>
        <v>340</v>
      </c>
      <c r="AD45" s="512">
        <f t="shared" si="32"/>
        <v>432</v>
      </c>
      <c r="AE45" s="512">
        <f t="shared" si="32"/>
        <v>490</v>
      </c>
      <c r="AF45" s="45">
        <f>SUM($X45:Z45)</f>
        <v>1173</v>
      </c>
      <c r="AG45" s="45">
        <f>SUM($X45:AA45)</f>
        <v>1273</v>
      </c>
      <c r="AH45" s="45">
        <f>SUM($X45:AB45)</f>
        <v>1489</v>
      </c>
      <c r="AI45" s="45">
        <f>SUM($X45:AC45)</f>
        <v>1829</v>
      </c>
      <c r="AJ45" s="45">
        <f>SUM($X45:AD45)</f>
        <v>2261</v>
      </c>
      <c r="AK45" s="45">
        <f>SUM($X45:AE45)</f>
        <v>2751</v>
      </c>
      <c r="AL45" s="508">
        <f t="shared" ref="AL45:AM50" si="33">$AK45</f>
        <v>2751</v>
      </c>
      <c r="AM45" s="508">
        <f t="shared" si="33"/>
        <v>2751</v>
      </c>
    </row>
    <row r="46" spans="1:40" x14ac:dyDescent="0.25">
      <c r="A46" t="s">
        <v>662</v>
      </c>
      <c r="B46" s="812" t="s">
        <v>696</v>
      </c>
      <c r="C46" s="812" t="s">
        <v>697</v>
      </c>
      <c r="D46" s="812" t="s">
        <v>616</v>
      </c>
      <c r="E46" s="45">
        <v>208</v>
      </c>
      <c r="F46" s="45">
        <v>382</v>
      </c>
      <c r="G46" s="45">
        <v>279</v>
      </c>
      <c r="H46" s="45">
        <v>79</v>
      </c>
      <c r="I46" s="45">
        <v>58</v>
      </c>
      <c r="J46" s="45">
        <v>27</v>
      </c>
      <c r="K46" s="87">
        <v>948</v>
      </c>
      <c r="L46" s="87">
        <v>85</v>
      </c>
      <c r="S46" t="s">
        <v>662</v>
      </c>
      <c r="T46" s="812" t="s">
        <v>696</v>
      </c>
      <c r="U46" s="812" t="s">
        <v>697</v>
      </c>
      <c r="V46" s="573"/>
      <c r="W46" s="45">
        <f>L46</f>
        <v>85</v>
      </c>
      <c r="X46" s="45">
        <f>Y8</f>
        <v>160</v>
      </c>
      <c r="Y46" s="45">
        <f>SUM(V46:X46)</f>
        <v>245</v>
      </c>
      <c r="Z46" s="249">
        <v>0</v>
      </c>
      <c r="AA46" s="249">
        <v>20</v>
      </c>
      <c r="AB46" s="249">
        <v>45</v>
      </c>
      <c r="AC46" s="249">
        <v>70</v>
      </c>
      <c r="AD46" s="249">
        <v>88</v>
      </c>
      <c r="AE46" s="249">
        <v>100</v>
      </c>
      <c r="AF46" s="45">
        <f>SUM($X46:Z46)</f>
        <v>405</v>
      </c>
      <c r="AG46" s="45">
        <f>SUM($X46:AA46)</f>
        <v>425</v>
      </c>
      <c r="AH46" s="45">
        <f>SUM($X46:AB46)</f>
        <v>470</v>
      </c>
      <c r="AI46" s="45">
        <f>SUM($X46:AC46)</f>
        <v>540</v>
      </c>
      <c r="AJ46" s="45">
        <f>SUM($X46:AD46)</f>
        <v>628</v>
      </c>
      <c r="AK46" s="45">
        <f>SUM($X46:AE46)</f>
        <v>728</v>
      </c>
      <c r="AL46" s="508">
        <f t="shared" si="33"/>
        <v>728</v>
      </c>
      <c r="AM46" s="508">
        <f t="shared" si="33"/>
        <v>728</v>
      </c>
    </row>
    <row r="47" spans="1:40" x14ac:dyDescent="0.25">
      <c r="A47" t="s">
        <v>662</v>
      </c>
      <c r="B47" s="812" t="s">
        <v>696</v>
      </c>
      <c r="C47" s="812" t="s">
        <v>698</v>
      </c>
      <c r="D47" s="812" t="s">
        <v>616</v>
      </c>
      <c r="E47" s="45">
        <v>3</v>
      </c>
      <c r="F47" s="45">
        <v>76</v>
      </c>
      <c r="G47" s="45">
        <v>121</v>
      </c>
      <c r="H47" s="45">
        <v>8</v>
      </c>
      <c r="I47" s="45">
        <v>3</v>
      </c>
      <c r="J47" s="45">
        <v>0</v>
      </c>
      <c r="K47" s="87">
        <v>208</v>
      </c>
      <c r="L47" s="87">
        <v>3</v>
      </c>
      <c r="S47" t="s">
        <v>662</v>
      </c>
      <c r="T47" s="812" t="s">
        <v>696</v>
      </c>
      <c r="U47" s="812" t="s">
        <v>698</v>
      </c>
      <c r="V47" s="45">
        <f>K47</f>
        <v>208</v>
      </c>
      <c r="W47" s="45">
        <f>L47</f>
        <v>3</v>
      </c>
      <c r="X47" s="45"/>
      <c r="Y47" s="45">
        <f>SUM(V47:X47)</f>
        <v>211</v>
      </c>
      <c r="Z47" s="573"/>
      <c r="AA47" s="573"/>
      <c r="AB47" s="573"/>
      <c r="AC47" s="573"/>
      <c r="AD47" s="573"/>
      <c r="AE47" s="573"/>
      <c r="AF47" s="45">
        <f>SUM($X47:Z47)</f>
        <v>211</v>
      </c>
      <c r="AG47" s="45">
        <f>SUM($X47:AA47)</f>
        <v>211</v>
      </c>
      <c r="AH47" s="45">
        <f>SUM($X47:AB47)</f>
        <v>211</v>
      </c>
      <c r="AI47" s="45">
        <f>SUM($X47:AC47)</f>
        <v>211</v>
      </c>
      <c r="AJ47" s="45">
        <f>SUM($X47:AD47)</f>
        <v>211</v>
      </c>
      <c r="AK47" s="45">
        <f>SUM($X47:AE47)</f>
        <v>211</v>
      </c>
      <c r="AL47" s="508">
        <f t="shared" si="33"/>
        <v>211</v>
      </c>
      <c r="AM47" s="508">
        <f t="shared" si="33"/>
        <v>211</v>
      </c>
    </row>
    <row r="48" spans="1:40" x14ac:dyDescent="0.25">
      <c r="A48" t="s">
        <v>662</v>
      </c>
      <c r="B48" t="s">
        <v>699</v>
      </c>
      <c r="C48" s="812"/>
      <c r="D48" s="812" t="s">
        <v>616</v>
      </c>
      <c r="E48" s="45">
        <v>11</v>
      </c>
      <c r="F48" s="45">
        <v>27</v>
      </c>
      <c r="G48" s="45">
        <v>37</v>
      </c>
      <c r="H48" s="45">
        <v>39</v>
      </c>
      <c r="I48" s="45">
        <v>36</v>
      </c>
      <c r="J48" s="45">
        <v>118</v>
      </c>
      <c r="K48" s="87">
        <v>114</v>
      </c>
      <c r="L48" s="87">
        <v>154</v>
      </c>
      <c r="S48" t="s">
        <v>662</v>
      </c>
      <c r="T48" s="812" t="s">
        <v>700</v>
      </c>
      <c r="U48" s="812"/>
      <c r="V48" s="45">
        <f t="shared" ref="V48:V49" si="34">K48</f>
        <v>114</v>
      </c>
      <c r="W48" s="45">
        <f t="shared" ref="W48:W49" si="35">L48</f>
        <v>154</v>
      </c>
      <c r="X48" s="45">
        <f>Y10</f>
        <v>100</v>
      </c>
      <c r="Y48" s="45">
        <f t="shared" ref="Y48:Y49" si="36">SUM(V48:X48)</f>
        <v>368</v>
      </c>
      <c r="Z48" s="249">
        <v>0</v>
      </c>
      <c r="AA48" s="249">
        <v>56</v>
      </c>
      <c r="AB48" s="249">
        <v>120</v>
      </c>
      <c r="AC48" s="249">
        <v>189</v>
      </c>
      <c r="AD48" s="249">
        <v>241</v>
      </c>
      <c r="AE48" s="249">
        <v>273</v>
      </c>
      <c r="AF48" s="45">
        <f>SUM($X48:Z48)</f>
        <v>468</v>
      </c>
      <c r="AG48" s="45">
        <f>SUM($X48:AA48)</f>
        <v>524</v>
      </c>
      <c r="AH48" s="45">
        <f>SUM($X48:AB48)</f>
        <v>644</v>
      </c>
      <c r="AI48" s="45">
        <f>SUM($X48:AC48)</f>
        <v>833</v>
      </c>
      <c r="AJ48" s="45">
        <f>SUM($X48:AD48)</f>
        <v>1074</v>
      </c>
      <c r="AK48" s="45">
        <f>SUM($X48:AE48)</f>
        <v>1347</v>
      </c>
      <c r="AL48" s="508">
        <f t="shared" si="33"/>
        <v>1347</v>
      </c>
      <c r="AM48" s="508">
        <f t="shared" si="33"/>
        <v>1347</v>
      </c>
    </row>
    <row r="49" spans="1:39" x14ac:dyDescent="0.25">
      <c r="A49" t="s">
        <v>662</v>
      </c>
      <c r="B49" t="s">
        <v>712</v>
      </c>
      <c r="C49" s="812"/>
      <c r="D49" s="812" t="s">
        <v>616</v>
      </c>
      <c r="E49" s="45">
        <v>10</v>
      </c>
      <c r="F49" s="45">
        <v>8</v>
      </c>
      <c r="G49" s="45">
        <v>9</v>
      </c>
      <c r="H49" s="45">
        <v>0</v>
      </c>
      <c r="I49" s="45">
        <v>5</v>
      </c>
      <c r="J49" s="45">
        <v>8</v>
      </c>
      <c r="K49" s="87">
        <v>27</v>
      </c>
      <c r="L49" s="87">
        <v>13</v>
      </c>
      <c r="S49" t="s">
        <v>662</v>
      </c>
      <c r="T49" s="812" t="s">
        <v>713</v>
      </c>
      <c r="U49" s="812"/>
      <c r="V49" s="45">
        <f t="shared" si="34"/>
        <v>27</v>
      </c>
      <c r="W49" s="45">
        <f t="shared" si="35"/>
        <v>13</v>
      </c>
      <c r="X49" s="45"/>
      <c r="Y49" s="45">
        <f t="shared" si="36"/>
        <v>40</v>
      </c>
      <c r="Z49" s="249">
        <v>0</v>
      </c>
      <c r="AA49" s="249">
        <v>10</v>
      </c>
      <c r="AB49" s="249">
        <v>20</v>
      </c>
      <c r="AC49" s="249">
        <v>31</v>
      </c>
      <c r="AD49" s="249">
        <v>40</v>
      </c>
      <c r="AE49" s="249">
        <v>46</v>
      </c>
      <c r="AF49" s="45">
        <f>SUM($X49:Z49)</f>
        <v>40</v>
      </c>
      <c r="AG49" s="45">
        <f>SUM($X49:AA49)</f>
        <v>50</v>
      </c>
      <c r="AH49" s="45">
        <f>SUM($X49:AB49)</f>
        <v>70</v>
      </c>
      <c r="AI49" s="45">
        <f>SUM($X49:AC49)</f>
        <v>101</v>
      </c>
      <c r="AJ49" s="45">
        <f>SUM($X49:AD49)</f>
        <v>141</v>
      </c>
      <c r="AK49" s="45">
        <f>SUM($X49:AE49)</f>
        <v>187</v>
      </c>
      <c r="AL49" s="508">
        <f t="shared" si="33"/>
        <v>187</v>
      </c>
      <c r="AM49" s="508">
        <f t="shared" si="33"/>
        <v>187</v>
      </c>
    </row>
    <row r="50" spans="1:39" x14ac:dyDescent="0.25">
      <c r="A50" t="s">
        <v>662</v>
      </c>
      <c r="B50" t="s">
        <v>714</v>
      </c>
      <c r="C50" s="812"/>
      <c r="D50" s="812" t="s">
        <v>616</v>
      </c>
      <c r="E50" s="45">
        <v>8</v>
      </c>
      <c r="F50" s="45">
        <v>21</v>
      </c>
      <c r="G50" s="45">
        <v>13</v>
      </c>
      <c r="H50" s="45">
        <v>5</v>
      </c>
      <c r="I50" s="45">
        <v>2</v>
      </c>
      <c r="J50" s="45">
        <v>0</v>
      </c>
      <c r="K50" s="87">
        <v>47</v>
      </c>
      <c r="L50" s="87">
        <v>2</v>
      </c>
      <c r="S50" t="s">
        <v>662</v>
      </c>
      <c r="T50" s="812" t="s">
        <v>671</v>
      </c>
      <c r="V50" s="573"/>
      <c r="W50" s="573"/>
      <c r="X50" s="573"/>
      <c r="Y50" s="573"/>
      <c r="Z50" s="249">
        <v>0</v>
      </c>
      <c r="AA50" s="249">
        <v>10</v>
      </c>
      <c r="AB50" s="249">
        <v>21</v>
      </c>
      <c r="AC50" s="249">
        <v>33</v>
      </c>
      <c r="AD50" s="249">
        <v>42</v>
      </c>
      <c r="AE50" s="249">
        <v>48</v>
      </c>
      <c r="AF50" s="45">
        <f>SUM($X50:Z50)</f>
        <v>0</v>
      </c>
      <c r="AG50" s="45">
        <f>SUM($X50:AA50)</f>
        <v>10</v>
      </c>
      <c r="AH50" s="45">
        <f>SUM($X50:AB50)</f>
        <v>31</v>
      </c>
      <c r="AI50" s="45">
        <f>SUM($X50:AC50)</f>
        <v>64</v>
      </c>
      <c r="AJ50" s="45">
        <f>SUM($X50:AD50)</f>
        <v>106</v>
      </c>
      <c r="AK50" s="45">
        <f>SUM($X50:AE50)</f>
        <v>154</v>
      </c>
      <c r="AL50" s="508">
        <f t="shared" si="33"/>
        <v>154</v>
      </c>
      <c r="AM50" s="508">
        <f t="shared" si="33"/>
        <v>154</v>
      </c>
    </row>
    <row r="51" spans="1:39" x14ac:dyDescent="0.25">
      <c r="A51" t="s">
        <v>676</v>
      </c>
      <c r="B51" s="812" t="s">
        <v>616</v>
      </c>
      <c r="C51" s="812"/>
      <c r="D51" s="812" t="s">
        <v>616</v>
      </c>
      <c r="E51" s="507">
        <v>4.6541707439230168E-2</v>
      </c>
      <c r="F51" s="507">
        <v>0.15090769122034206</v>
      </c>
      <c r="G51" s="507">
        <v>0.12917445158930768</v>
      </c>
      <c r="H51" s="507">
        <v>3.6658372002381374E-2</v>
      </c>
      <c r="I51" s="507">
        <v>3.5462202056741152E-2</v>
      </c>
      <c r="J51" s="507">
        <v>8.6895728570070815E-2</v>
      </c>
      <c r="K51" s="506">
        <v>0.36328222225126128</v>
      </c>
      <c r="L51" s="506">
        <v>0.12235793062681197</v>
      </c>
      <c r="N51" s="733">
        <f t="shared" ref="N51:O56" si="37">K51/K45</f>
        <v>2.7029927250837892E-4</v>
      </c>
      <c r="O51" s="733">
        <f t="shared" si="37"/>
        <v>4.761008973805913E-4</v>
      </c>
      <c r="P51" s="733">
        <f t="shared" ref="P51:P56" si="38">SUM(K51:L51)/SUM(K45:L45)</f>
        <v>3.0333551085451175E-4</v>
      </c>
      <c r="Q51" s="733"/>
      <c r="S51" t="s">
        <v>662</v>
      </c>
      <c r="T51" s="812" t="s">
        <v>672</v>
      </c>
      <c r="U51" s="812"/>
      <c r="V51" s="45">
        <f>K50</f>
        <v>47</v>
      </c>
      <c r="W51" s="45">
        <f>L50</f>
        <v>2</v>
      </c>
      <c r="X51" s="45"/>
      <c r="Y51" s="45">
        <f>SUM(V51:X51)</f>
        <v>49</v>
      </c>
      <c r="Z51" s="249">
        <v>0</v>
      </c>
      <c r="AA51" s="249">
        <v>0</v>
      </c>
      <c r="AB51" s="249">
        <v>1</v>
      </c>
      <c r="AC51" s="249">
        <v>2</v>
      </c>
      <c r="AD51" s="249">
        <v>2</v>
      </c>
      <c r="AE51" s="249">
        <v>2</v>
      </c>
      <c r="AF51" s="45">
        <f>SUM($X51:Z51)</f>
        <v>49</v>
      </c>
      <c r="AG51" s="45">
        <f>SUM($X51:AA51)</f>
        <v>49</v>
      </c>
      <c r="AH51" s="45">
        <f>SUM($X51:AB51)</f>
        <v>50</v>
      </c>
      <c r="AI51" s="45">
        <f>SUM($X51:AC51)</f>
        <v>52</v>
      </c>
      <c r="AJ51" s="45">
        <f>SUM($X51:AD51)</f>
        <v>54</v>
      </c>
      <c r="AK51" s="45">
        <f>SUM($X51:AE51)</f>
        <v>56</v>
      </c>
      <c r="AL51" s="508">
        <f>$AK51</f>
        <v>56</v>
      </c>
      <c r="AM51" s="508">
        <f>$AK51</f>
        <v>56</v>
      </c>
    </row>
    <row r="52" spans="1:39" x14ac:dyDescent="0.25">
      <c r="A52" t="s">
        <v>676</v>
      </c>
      <c r="B52" s="812" t="s">
        <v>696</v>
      </c>
      <c r="C52" s="812" t="s">
        <v>697</v>
      </c>
      <c r="D52" s="812" t="s">
        <v>616</v>
      </c>
      <c r="E52" s="507">
        <v>4.11110244851089E-2</v>
      </c>
      <c r="F52" s="507">
        <v>0.12132695577477229</v>
      </c>
      <c r="G52" s="507">
        <v>8.1337915642470116E-2</v>
      </c>
      <c r="H52" s="507">
        <v>2.12413420673573E-2</v>
      </c>
      <c r="I52" s="507">
        <v>1.5041210877258168E-2</v>
      </c>
      <c r="J52" s="507">
        <v>9.4333663815748467E-3</v>
      </c>
      <c r="K52" s="506">
        <v>0.26501723796970861</v>
      </c>
      <c r="L52" s="506">
        <v>2.4474577258833015E-2</v>
      </c>
      <c r="N52" s="733">
        <f t="shared" si="37"/>
        <v>2.7955404849125382E-4</v>
      </c>
      <c r="O52" s="733">
        <f t="shared" si="37"/>
        <v>2.8793620304509428E-4</v>
      </c>
      <c r="P52" s="733">
        <f t="shared" si="38"/>
        <v>2.8024377079239265E-4</v>
      </c>
      <c r="Q52" s="733"/>
      <c r="S52" t="s">
        <v>662</v>
      </c>
      <c r="T52" s="812" t="s">
        <v>715</v>
      </c>
      <c r="U52" s="812"/>
      <c r="V52" s="573"/>
      <c r="W52" s="573"/>
      <c r="X52" s="573"/>
      <c r="Y52" s="573"/>
      <c r="Z52" s="249">
        <v>0</v>
      </c>
      <c r="AA52" s="249">
        <v>4</v>
      </c>
      <c r="AB52" s="249">
        <v>9</v>
      </c>
      <c r="AC52" s="249">
        <v>15</v>
      </c>
      <c r="AD52" s="249">
        <v>19</v>
      </c>
      <c r="AE52" s="249">
        <v>21</v>
      </c>
      <c r="AF52" s="45">
        <f>SUM($X52:Z52)</f>
        <v>0</v>
      </c>
      <c r="AG52" s="45">
        <f>SUM($X52:AA52)</f>
        <v>4</v>
      </c>
      <c r="AH52" s="45">
        <f>SUM($X52:AB52)</f>
        <v>13</v>
      </c>
      <c r="AI52" s="45">
        <f>SUM($X52:AC52)</f>
        <v>28</v>
      </c>
      <c r="AJ52" s="45">
        <f>SUM($X52:AD52)</f>
        <v>47</v>
      </c>
      <c r="AK52" s="45">
        <f>SUM($X52:AE52)</f>
        <v>68</v>
      </c>
      <c r="AL52" s="508">
        <f>$AK52</f>
        <v>68</v>
      </c>
      <c r="AM52" s="508">
        <f>$AK52</f>
        <v>68</v>
      </c>
    </row>
    <row r="53" spans="1:39" x14ac:dyDescent="0.25">
      <c r="A53" t="s">
        <v>676</v>
      </c>
      <c r="B53" s="812" t="s">
        <v>696</v>
      </c>
      <c r="C53" s="812" t="s">
        <v>698</v>
      </c>
      <c r="D53" s="812" t="s">
        <v>616</v>
      </c>
      <c r="E53" s="507">
        <v>9.7307827442648701E-4</v>
      </c>
      <c r="F53" s="507">
        <v>1.7425200202478241E-2</v>
      </c>
      <c r="G53" s="507">
        <v>2.8430598945607573E-2</v>
      </c>
      <c r="H53" s="507">
        <v>2.5478218155100909E-3</v>
      </c>
      <c r="I53" s="507">
        <v>1.1430610467687567E-3</v>
      </c>
      <c r="J53" s="507">
        <v>0</v>
      </c>
      <c r="K53" s="506">
        <v>4.937669923802239E-2</v>
      </c>
      <c r="L53" s="506">
        <v>1.1430610467687567E-3</v>
      </c>
      <c r="N53" s="733">
        <f t="shared" si="37"/>
        <v>2.3738797710587688E-4</v>
      </c>
      <c r="O53" s="733">
        <f t="shared" si="37"/>
        <v>3.8102034892291891E-4</v>
      </c>
      <c r="P53" s="733">
        <f t="shared" si="38"/>
        <v>2.3943014352981586E-4</v>
      </c>
      <c r="Q53" s="733"/>
      <c r="AL53" s="267"/>
      <c r="AM53" s="267"/>
    </row>
    <row r="54" spans="1:39" x14ac:dyDescent="0.25">
      <c r="A54" t="s">
        <v>676</v>
      </c>
      <c r="B54" t="s">
        <v>699</v>
      </c>
      <c r="C54" s="812"/>
      <c r="D54" s="812" t="s">
        <v>616</v>
      </c>
      <c r="E54" s="507">
        <v>3.7876695202939182E-3</v>
      </c>
      <c r="F54" s="507">
        <v>9.5244599074475987E-3</v>
      </c>
      <c r="G54" s="507">
        <v>1.2588495603164834E-2</v>
      </c>
      <c r="H54" s="507">
        <v>1.2785381741926083E-2</v>
      </c>
      <c r="I54" s="507">
        <v>1.7666632455451716E-2</v>
      </c>
      <c r="J54" s="507">
        <v>7.3003082218222062E-2</v>
      </c>
      <c r="K54" s="506">
        <v>3.8686006772832432E-2</v>
      </c>
      <c r="L54" s="506">
        <v>9.0669714673673782E-2</v>
      </c>
      <c r="N54" s="733">
        <f t="shared" si="37"/>
        <v>3.3935093660379326E-4</v>
      </c>
      <c r="O54" s="733">
        <f t="shared" si="37"/>
        <v>5.8876438099788166E-4</v>
      </c>
      <c r="P54" s="733">
        <f t="shared" si="38"/>
        <v>4.8267060241233658E-4</v>
      </c>
      <c r="Q54" s="733"/>
      <c r="S54" t="s">
        <v>677</v>
      </c>
      <c r="T54" s="812" t="s">
        <v>249</v>
      </c>
      <c r="U54" s="812"/>
      <c r="V54" s="514">
        <f>V14</f>
        <v>9.8264984281552684E-2</v>
      </c>
      <c r="W54" s="514">
        <f>L51</f>
        <v>0.12235793062681197</v>
      </c>
      <c r="X54" s="514">
        <f>X14</f>
        <v>0.30751864347843544</v>
      </c>
      <c r="Y54" s="612">
        <f>SUM(V54:X54)</f>
        <v>0.5281415583868001</v>
      </c>
      <c r="Z54" s="612">
        <f t="shared" ref="Z54:AE54" si="39">SUM(Z55:Z61)</f>
        <v>0</v>
      </c>
      <c r="AA54" s="612">
        <f t="shared" si="39"/>
        <v>4.9860950621292179E-2</v>
      </c>
      <c r="AB54" s="612">
        <f t="shared" si="39"/>
        <v>0.10681984464996569</v>
      </c>
      <c r="AC54" s="612">
        <f t="shared" si="39"/>
        <v>0.16811398823669221</v>
      </c>
      <c r="AD54" s="612">
        <f t="shared" si="39"/>
        <v>0.2141163904925269</v>
      </c>
      <c r="AE54" s="612">
        <f t="shared" si="39"/>
        <v>0.24290541416863048</v>
      </c>
      <c r="AF54" s="612">
        <f>SUM($Y54:Z54)</f>
        <v>0.5281415583868001</v>
      </c>
      <c r="AG54" s="612">
        <f>SUM($Y54:AA54)</f>
        <v>0.57800250900809225</v>
      </c>
      <c r="AH54" s="612">
        <f>SUM($Y54:AB54)</f>
        <v>0.68482235365805799</v>
      </c>
      <c r="AI54" s="612">
        <f>SUM($Y54:AC54)</f>
        <v>0.85293634189475021</v>
      </c>
      <c r="AJ54" s="612">
        <f>SUM($Y54:AD54)</f>
        <v>1.0670527323872772</v>
      </c>
      <c r="AK54" s="612">
        <f>SUM($Y54:AE54)</f>
        <v>1.3099581465559076</v>
      </c>
      <c r="AL54" s="709">
        <f t="shared" ref="AL54:AM62" si="40">$AK54</f>
        <v>1.3099581465559076</v>
      </c>
      <c r="AM54" s="709">
        <f t="shared" si="40"/>
        <v>1.3099581465559076</v>
      </c>
    </row>
    <row r="55" spans="1:39" x14ac:dyDescent="0.25">
      <c r="A55" t="s">
        <v>676</v>
      </c>
      <c r="B55" t="s">
        <v>712</v>
      </c>
      <c r="C55" s="812"/>
      <c r="D55" s="812" t="s">
        <v>616</v>
      </c>
      <c r="E55" s="507">
        <v>5.4385344453901363E-4</v>
      </c>
      <c r="F55" s="507">
        <v>2.296625196492097E-3</v>
      </c>
      <c r="G55" s="507">
        <v>6.5923076982575823E-3</v>
      </c>
      <c r="H55" s="507">
        <v>0</v>
      </c>
      <c r="I55" s="507">
        <v>1.5702398596684208E-3</v>
      </c>
      <c r="J55" s="507">
        <v>4.4592799702739133E-3</v>
      </c>
      <c r="K55" s="506">
        <v>9.4327863392886929E-3</v>
      </c>
      <c r="L55" s="506">
        <v>6.0295198299423342E-3</v>
      </c>
      <c r="N55" s="733">
        <f t="shared" si="37"/>
        <v>3.4936245701069234E-4</v>
      </c>
      <c r="O55" s="733">
        <f t="shared" si="37"/>
        <v>4.6380921768787188E-4</v>
      </c>
      <c r="P55" s="733">
        <f t="shared" si="38"/>
        <v>3.8655765423077567E-4</v>
      </c>
      <c r="Q55" s="733"/>
      <c r="S55" t="s">
        <v>677</v>
      </c>
      <c r="T55" s="812" t="s">
        <v>696</v>
      </c>
      <c r="U55" s="812" t="s">
        <v>697</v>
      </c>
      <c r="V55" s="611"/>
      <c r="W55" s="506">
        <f>L52</f>
        <v>2.4474577258833015E-2</v>
      </c>
      <c r="X55" s="722">
        <f>W55*X46/W46</f>
        <v>4.6069792487215086E-2</v>
      </c>
      <c r="Y55" s="722">
        <f t="shared" ref="Y55:Y58" si="41">SUM(V55:X55)</f>
        <v>7.0544369746048108E-2</v>
      </c>
      <c r="Z55" s="734">
        <f t="shared" ref="Z55:AE55" si="42">Z46*$O52</f>
        <v>0</v>
      </c>
      <c r="AA55" s="734">
        <f t="shared" si="42"/>
        <v>5.7587240609018858E-3</v>
      </c>
      <c r="AB55" s="734">
        <f t="shared" si="42"/>
        <v>1.2957129137029242E-2</v>
      </c>
      <c r="AC55" s="734">
        <f t="shared" si="42"/>
        <v>2.0155534213156599E-2</v>
      </c>
      <c r="AD55" s="734">
        <f t="shared" si="42"/>
        <v>2.5338385867968296E-2</v>
      </c>
      <c r="AE55" s="734">
        <f t="shared" si="42"/>
        <v>2.8793620304509427E-2</v>
      </c>
      <c r="AF55" s="722">
        <f>SUM($Y55:Z55)</f>
        <v>7.0544369746048108E-2</v>
      </c>
      <c r="AG55" s="722">
        <f>SUM($Y55:AA55)</f>
        <v>7.6303093806949995E-2</v>
      </c>
      <c r="AH55" s="722">
        <f>SUM($Y55:AB55)</f>
        <v>8.9260222943979242E-2</v>
      </c>
      <c r="AI55" s="722">
        <f>SUM($Y55:AC55)</f>
        <v>0.10941575715713583</v>
      </c>
      <c r="AJ55" s="722">
        <f>SUM($Y55:AD55)</f>
        <v>0.13475414302510413</v>
      </c>
      <c r="AK55" s="722">
        <f>SUM($Y55:AE55)</f>
        <v>0.16354776332961357</v>
      </c>
      <c r="AL55" s="745">
        <f t="shared" si="40"/>
        <v>0.16354776332961357</v>
      </c>
      <c r="AM55" s="745">
        <f t="shared" si="40"/>
        <v>0.16354776332961357</v>
      </c>
    </row>
    <row r="56" spans="1:39" x14ac:dyDescent="0.25">
      <c r="A56" t="s">
        <v>676</v>
      </c>
      <c r="B56" t="s">
        <v>714</v>
      </c>
      <c r="C56" s="812"/>
      <c r="D56" s="812" t="s">
        <v>616</v>
      </c>
      <c r="E56" s="507">
        <v>1.2608171486184702E-4</v>
      </c>
      <c r="F56" s="507">
        <v>3.3445013915184654E-4</v>
      </c>
      <c r="G56" s="507">
        <v>2.2513369980758571E-4</v>
      </c>
      <c r="H56" s="507">
        <v>8.3826377587930818E-5</v>
      </c>
      <c r="I56" s="507">
        <v>4.1057817594088552E-5</v>
      </c>
      <c r="J56" s="507">
        <v>0</v>
      </c>
      <c r="K56" s="506">
        <v>7.6949193140921004E-4</v>
      </c>
      <c r="L56" s="506">
        <v>4.1057817594088552E-5</v>
      </c>
      <c r="N56" s="733">
        <f t="shared" si="37"/>
        <v>1.6372168753387449E-5</v>
      </c>
      <c r="O56" s="733">
        <f t="shared" si="37"/>
        <v>2.0528908797044276E-5</v>
      </c>
      <c r="P56" s="733">
        <f t="shared" si="38"/>
        <v>1.6541831612312216E-5</v>
      </c>
      <c r="Q56" s="733"/>
      <c r="S56" t="s">
        <v>677</v>
      </c>
      <c r="T56" s="812" t="s">
        <v>696</v>
      </c>
      <c r="U56" s="812" t="s">
        <v>698</v>
      </c>
      <c r="V56" s="514">
        <f>K53</f>
        <v>4.937669923802239E-2</v>
      </c>
      <c r="W56" s="514">
        <f>L53</f>
        <v>1.1430610467687567E-3</v>
      </c>
      <c r="X56" s="722">
        <f>W56*X47/W47</f>
        <v>0</v>
      </c>
      <c r="Y56" s="514">
        <f t="shared" si="41"/>
        <v>5.0519760284791146E-2</v>
      </c>
      <c r="Z56" s="573"/>
      <c r="AA56" s="573"/>
      <c r="AB56" s="573"/>
      <c r="AC56" s="573"/>
      <c r="AD56" s="573"/>
      <c r="AE56" s="573"/>
      <c r="AF56" s="514">
        <f>SUM($Y56:Z56)</f>
        <v>5.0519760284791146E-2</v>
      </c>
      <c r="AG56" s="514">
        <f>SUM($Y56:AA56)</f>
        <v>5.0519760284791146E-2</v>
      </c>
      <c r="AH56" s="514">
        <f>SUM($Y56:AB56)</f>
        <v>5.0519760284791146E-2</v>
      </c>
      <c r="AI56" s="514">
        <f>SUM($Y56:AC56)</f>
        <v>5.0519760284791146E-2</v>
      </c>
      <c r="AJ56" s="514">
        <f>SUM($Y56:AD56)</f>
        <v>5.0519760284791146E-2</v>
      </c>
      <c r="AK56" s="514">
        <f>SUM($Y56:AE56)</f>
        <v>5.0519760284791146E-2</v>
      </c>
      <c r="AL56" s="708">
        <f t="shared" si="40"/>
        <v>5.0519760284791146E-2</v>
      </c>
      <c r="AM56" s="708">
        <f t="shared" si="40"/>
        <v>5.0519760284791146E-2</v>
      </c>
    </row>
    <row r="57" spans="1:39" x14ac:dyDescent="0.25">
      <c r="A57" t="s">
        <v>679</v>
      </c>
      <c r="B57" s="812" t="s">
        <v>616</v>
      </c>
      <c r="C57" s="812"/>
      <c r="D57" s="812" t="s">
        <v>616</v>
      </c>
      <c r="E57" s="507">
        <v>-8.7349623372763249E-4</v>
      </c>
      <c r="F57" s="507">
        <v>-1.8587891031776505E-3</v>
      </c>
      <c r="G57" s="507">
        <v>-2.2322521960723863E-3</v>
      </c>
      <c r="H57" s="507">
        <v>-2.2183421728464202E-3</v>
      </c>
      <c r="I57" s="507">
        <v>-1.3696701194459582E-3</v>
      </c>
      <c r="J57" s="507">
        <v>-3.0262979584601631E-3</v>
      </c>
      <c r="K57" s="506">
        <v>-7.1828797058240889E-3</v>
      </c>
      <c r="L57" s="506">
        <v>-4.3959680779061209E-3</v>
      </c>
      <c r="N57" s="733">
        <f t="shared" ref="N57:O62" si="43">K57/K45</f>
        <v>-5.3444045430238754E-6</v>
      </c>
      <c r="O57" s="733">
        <f t="shared" si="43"/>
        <v>-1.7104934155276734E-5</v>
      </c>
      <c r="P57" s="733">
        <f t="shared" ref="P57:P62" si="44">SUM(K57:L57)/SUM(K45:L45)</f>
        <v>-7.2322597025173075E-6</v>
      </c>
      <c r="Q57" s="733"/>
      <c r="S57" t="s">
        <v>677</v>
      </c>
      <c r="T57" s="812" t="s">
        <v>700</v>
      </c>
      <c r="U57" s="812"/>
      <c r="V57" s="514">
        <f>K54</f>
        <v>3.8686006772832432E-2</v>
      </c>
      <c r="W57" s="514">
        <f>L54</f>
        <v>9.0669714673673782E-2</v>
      </c>
      <c r="X57" s="722">
        <f>W57*X48/W48</f>
        <v>5.8876438099788167E-2</v>
      </c>
      <c r="Y57" s="514">
        <f t="shared" si="41"/>
        <v>0.18823215954629435</v>
      </c>
      <c r="Z57" s="734">
        <f t="shared" ref="Z57:AE58" si="45">Z48*$O54</f>
        <v>0</v>
      </c>
      <c r="AA57" s="734">
        <f t="shared" si="45"/>
        <v>3.297080533588137E-2</v>
      </c>
      <c r="AB57" s="734">
        <f t="shared" si="45"/>
        <v>7.0651725719745803E-2</v>
      </c>
      <c r="AC57" s="734">
        <f t="shared" si="45"/>
        <v>0.11127646800859964</v>
      </c>
      <c r="AD57" s="734">
        <f t="shared" si="45"/>
        <v>0.14189221582048947</v>
      </c>
      <c r="AE57" s="734">
        <f t="shared" si="45"/>
        <v>0.16073267601242169</v>
      </c>
      <c r="AF57" s="514">
        <f>SUM($Y57:Z57)</f>
        <v>0.18823215954629435</v>
      </c>
      <c r="AG57" s="514">
        <f>SUM($Y57:AA57)</f>
        <v>0.22120296488217572</v>
      </c>
      <c r="AH57" s="514">
        <f>SUM($Y57:AB57)</f>
        <v>0.29185469060192154</v>
      </c>
      <c r="AI57" s="514">
        <f>SUM($Y57:AC57)</f>
        <v>0.40313115861052118</v>
      </c>
      <c r="AJ57" s="514">
        <f>SUM($Y57:AD57)</f>
        <v>0.54502337443101068</v>
      </c>
      <c r="AK57" s="514">
        <f>SUM($Y57:AE57)</f>
        <v>0.70575605044343237</v>
      </c>
      <c r="AL57" s="708">
        <f t="shared" si="40"/>
        <v>0.70575605044343237</v>
      </c>
      <c r="AM57" s="708">
        <f t="shared" si="40"/>
        <v>0.70575605044343237</v>
      </c>
    </row>
    <row r="58" spans="1:39" x14ac:dyDescent="0.25">
      <c r="A58" t="s">
        <v>679</v>
      </c>
      <c r="B58" s="812" t="s">
        <v>696</v>
      </c>
      <c r="C58" s="812" t="s">
        <v>697</v>
      </c>
      <c r="D58" s="812" t="s">
        <v>616</v>
      </c>
      <c r="E58" s="507">
        <v>5.3627854961495354E-4</v>
      </c>
      <c r="F58" s="507">
        <v>1.4100222915731E-3</v>
      </c>
      <c r="G58" s="507">
        <v>9.6581406623671897E-4</v>
      </c>
      <c r="H58" s="507">
        <v>2.4579544349122491E-4</v>
      </c>
      <c r="I58" s="507">
        <v>1.6090498088039133E-4</v>
      </c>
      <c r="J58" s="507">
        <v>1.0604113608854508E-4</v>
      </c>
      <c r="K58" s="506">
        <v>3.1579103509159975E-3</v>
      </c>
      <c r="L58" s="506">
        <v>2.6694611696893638E-4</v>
      </c>
      <c r="N58" s="733">
        <f t="shared" si="43"/>
        <v>3.3311290621476767E-6</v>
      </c>
      <c r="O58" s="733">
        <f t="shared" si="43"/>
        <v>3.140542552575722E-6</v>
      </c>
      <c r="P58" s="733">
        <f t="shared" si="44"/>
        <v>3.315446725929268E-6</v>
      </c>
      <c r="Q58" s="733"/>
      <c r="S58" t="s">
        <v>677</v>
      </c>
      <c r="T58" s="812" t="s">
        <v>713</v>
      </c>
      <c r="U58" s="812"/>
      <c r="V58" s="514">
        <f>K55</f>
        <v>9.4327863392886929E-3</v>
      </c>
      <c r="W58" s="514">
        <f>L55</f>
        <v>6.0295198299423342E-3</v>
      </c>
      <c r="X58" s="722"/>
      <c r="Y58" s="514">
        <f t="shared" si="41"/>
        <v>1.5462306169231027E-2</v>
      </c>
      <c r="Z58" s="734">
        <f t="shared" si="45"/>
        <v>0</v>
      </c>
      <c r="AA58" s="734">
        <f t="shared" si="45"/>
        <v>4.638092176878719E-3</v>
      </c>
      <c r="AB58" s="734">
        <f t="shared" si="45"/>
        <v>9.2761843537574381E-3</v>
      </c>
      <c r="AC58" s="734">
        <f t="shared" si="45"/>
        <v>1.4378085748324028E-2</v>
      </c>
      <c r="AD58" s="734">
        <f t="shared" si="45"/>
        <v>1.8552368707514876E-2</v>
      </c>
      <c r="AE58" s="734">
        <f t="shared" si="45"/>
        <v>2.1335224013642108E-2</v>
      </c>
      <c r="AF58" s="514">
        <f>SUM($Y58:Z58)</f>
        <v>1.5462306169231027E-2</v>
      </c>
      <c r="AG58" s="514">
        <f>SUM($Y58:AA58)</f>
        <v>2.0100398346109747E-2</v>
      </c>
      <c r="AH58" s="514">
        <f>SUM($Y58:AB58)</f>
        <v>2.9376582699867183E-2</v>
      </c>
      <c r="AI58" s="514">
        <f>SUM($Y58:AC58)</f>
        <v>4.375466844819121E-2</v>
      </c>
      <c r="AJ58" s="514">
        <f>SUM($Y58:AD58)</f>
        <v>6.2307037155706083E-2</v>
      </c>
      <c r="AK58" s="514">
        <f>SUM($Y58:AE58)</f>
        <v>8.3642261169348198E-2</v>
      </c>
      <c r="AL58" s="708">
        <f t="shared" si="40"/>
        <v>8.3642261169348198E-2</v>
      </c>
      <c r="AM58" s="708">
        <f t="shared" si="40"/>
        <v>8.3642261169348198E-2</v>
      </c>
    </row>
    <row r="59" spans="1:39" x14ac:dyDescent="0.25">
      <c r="A59" t="s">
        <v>679</v>
      </c>
      <c r="B59" s="812" t="s">
        <v>696</v>
      </c>
      <c r="C59" s="812" t="s">
        <v>698</v>
      </c>
      <c r="D59" s="812" t="s">
        <v>616</v>
      </c>
      <c r="E59" s="507">
        <v>0</v>
      </c>
      <c r="F59" s="507">
        <v>1.3370093374833265E-5</v>
      </c>
      <c r="G59" s="507">
        <v>2.4275512874069159E-5</v>
      </c>
      <c r="H59" s="507">
        <v>2.1828723877278798E-6</v>
      </c>
      <c r="I59" s="507">
        <v>1.0914361938639399E-6</v>
      </c>
      <c r="J59" s="507">
        <v>0</v>
      </c>
      <c r="K59" s="506">
        <v>3.9828478636630302E-5</v>
      </c>
      <c r="L59" s="506">
        <v>1.0914361938639399E-6</v>
      </c>
      <c r="N59" s="733">
        <f t="shared" si="43"/>
        <v>1.914830703684149E-7</v>
      </c>
      <c r="O59" s="733">
        <f t="shared" si="43"/>
        <v>3.6381206462131327E-7</v>
      </c>
      <c r="P59" s="733">
        <f t="shared" si="44"/>
        <v>1.9393324564215281E-7</v>
      </c>
      <c r="Q59" s="733"/>
      <c r="S59" t="s">
        <v>677</v>
      </c>
      <c r="T59" s="812" t="s">
        <v>671</v>
      </c>
      <c r="V59" s="573"/>
      <c r="W59" s="573"/>
      <c r="X59" s="573"/>
      <c r="Y59" s="573"/>
      <c r="Z59" s="133">
        <f>IFERROR(Z58*Z$50/Z$49,0)</f>
        <v>0</v>
      </c>
      <c r="AA59" s="133">
        <f t="shared" ref="AA59:AE59" si="46">IFERROR(AA58*AA$50/AA$49,0)</f>
        <v>4.638092176878719E-3</v>
      </c>
      <c r="AB59" s="133">
        <f t="shared" si="46"/>
        <v>9.7399935714453101E-3</v>
      </c>
      <c r="AC59" s="133">
        <f t="shared" si="46"/>
        <v>1.5305704183699772E-2</v>
      </c>
      <c r="AD59" s="133">
        <f t="shared" si="46"/>
        <v>1.947998714289062E-2</v>
      </c>
      <c r="AE59" s="133">
        <f t="shared" si="46"/>
        <v>2.2262842449017856E-2</v>
      </c>
      <c r="AF59" s="514">
        <f>SUM($Y59:Z59)</f>
        <v>0</v>
      </c>
      <c r="AG59" s="514">
        <f>SUM($Y59:AA59)</f>
        <v>4.638092176878719E-3</v>
      </c>
      <c r="AH59" s="514">
        <f>SUM($Y59:AB59)</f>
        <v>1.437808574832403E-2</v>
      </c>
      <c r="AI59" s="514">
        <f>SUM($Y59:AC59)</f>
        <v>2.9683789932023801E-2</v>
      </c>
      <c r="AJ59" s="514">
        <f>SUM($Y59:AD59)</f>
        <v>4.9163777074914421E-2</v>
      </c>
      <c r="AK59" s="514">
        <f>SUM($Y59:AE59)</f>
        <v>7.1426619523932283E-2</v>
      </c>
      <c r="AL59" s="708">
        <f t="shared" si="40"/>
        <v>7.1426619523932283E-2</v>
      </c>
      <c r="AM59" s="708">
        <f t="shared" si="40"/>
        <v>7.1426619523932283E-2</v>
      </c>
    </row>
    <row r="60" spans="1:39" x14ac:dyDescent="0.25">
      <c r="A60" t="s">
        <v>679</v>
      </c>
      <c r="B60" t="s">
        <v>699</v>
      </c>
      <c r="C60" s="812"/>
      <c r="D60" s="812" t="s">
        <v>616</v>
      </c>
      <c r="E60" s="507">
        <v>-5.6422367374801006E-4</v>
      </c>
      <c r="F60" s="507">
        <v>-1.3363756993052354E-3</v>
      </c>
      <c r="G60" s="507">
        <v>-2.0689565971500033E-3</v>
      </c>
      <c r="H60" s="507">
        <v>-1.9959635188429073E-3</v>
      </c>
      <c r="I60" s="507">
        <v>-1.2677499613702179E-3</v>
      </c>
      <c r="J60" s="507">
        <v>-3.0577979882294741E-3</v>
      </c>
      <c r="K60" s="506">
        <v>-5.9655194890461567E-3</v>
      </c>
      <c r="L60" s="506">
        <v>-4.3255479495996922E-3</v>
      </c>
      <c r="N60" s="733">
        <f t="shared" si="43"/>
        <v>-5.2329118324966287E-5</v>
      </c>
      <c r="O60" s="733">
        <f t="shared" si="43"/>
        <v>-2.80879736986993E-5</v>
      </c>
      <c r="P60" s="733">
        <f t="shared" si="44"/>
        <v>-3.8399505368081526E-5</v>
      </c>
      <c r="Q60" s="733"/>
      <c r="S60" t="s">
        <v>677</v>
      </c>
      <c r="T60" s="812" t="s">
        <v>672</v>
      </c>
      <c r="U60" s="812"/>
      <c r="V60" s="514">
        <f>K56</f>
        <v>7.6949193140921004E-4</v>
      </c>
      <c r="W60" s="514">
        <f>L56</f>
        <v>4.1057817594088552E-5</v>
      </c>
      <c r="X60" s="722">
        <f>W60*X51/W51</f>
        <v>0</v>
      </c>
      <c r="Y60" s="514">
        <f>SUM(V60:X60)</f>
        <v>8.1054974900329855E-4</v>
      </c>
      <c r="Z60" s="734">
        <f t="shared" ref="Z60:AE60" si="47">Z51*$O56</f>
        <v>0</v>
      </c>
      <c r="AA60" s="734">
        <f t="shared" si="47"/>
        <v>0</v>
      </c>
      <c r="AB60" s="734">
        <f t="shared" si="47"/>
        <v>2.0528908797044276E-5</v>
      </c>
      <c r="AC60" s="734">
        <f t="shared" si="47"/>
        <v>4.1057817594088552E-5</v>
      </c>
      <c r="AD60" s="734">
        <f t="shared" si="47"/>
        <v>4.1057817594088552E-5</v>
      </c>
      <c r="AE60" s="734">
        <f t="shared" si="47"/>
        <v>4.1057817594088552E-5</v>
      </c>
      <c r="AF60" s="514">
        <f>SUM($Y60:Z60)</f>
        <v>8.1054974900329855E-4</v>
      </c>
      <c r="AG60" s="514">
        <f>SUM($Y60:AA60)</f>
        <v>8.1054974900329855E-4</v>
      </c>
      <c r="AH60" s="514">
        <f>SUM($Y60:AB60)</f>
        <v>8.310786578003428E-4</v>
      </c>
      <c r="AI60" s="514">
        <f>SUM($Y60:AC60)</f>
        <v>8.7213647539443131E-4</v>
      </c>
      <c r="AJ60" s="514">
        <f>SUM($Y60:AD60)</f>
        <v>9.1319429298851982E-4</v>
      </c>
      <c r="AK60" s="514">
        <f>SUM($Y60:AE60)</f>
        <v>9.5425211058260833E-4</v>
      </c>
      <c r="AL60" s="708">
        <f t="shared" si="40"/>
        <v>9.5425211058260833E-4</v>
      </c>
      <c r="AM60" s="708">
        <f t="shared" si="40"/>
        <v>9.5425211058260833E-4</v>
      </c>
    </row>
    <row r="61" spans="1:39" x14ac:dyDescent="0.25">
      <c r="A61" t="s">
        <v>679</v>
      </c>
      <c r="B61" t="s">
        <v>712</v>
      </c>
      <c r="C61" s="812"/>
      <c r="D61" s="812" t="s">
        <v>616</v>
      </c>
      <c r="E61" s="507">
        <v>-9.2979957782630095E-5</v>
      </c>
      <c r="F61" s="507">
        <v>2.9693484686009767E-5</v>
      </c>
      <c r="G61" s="507">
        <v>6.9542943661240857E-5</v>
      </c>
      <c r="H61" s="507">
        <v>0</v>
      </c>
      <c r="I61" s="507">
        <v>-7.5773787197009083E-5</v>
      </c>
      <c r="J61" s="507">
        <v>-7.4541106319234249E-5</v>
      </c>
      <c r="K61" s="506">
        <v>6.2564705646205292E-6</v>
      </c>
      <c r="L61" s="506">
        <v>-1.5031489351624333E-4</v>
      </c>
      <c r="N61" s="733">
        <f t="shared" si="43"/>
        <v>2.3172113202298256E-7</v>
      </c>
      <c r="O61" s="733">
        <f t="shared" si="43"/>
        <v>-1.1562684116634102E-5</v>
      </c>
      <c r="P61" s="733">
        <f t="shared" si="44"/>
        <v>-3.6014605737905699E-6</v>
      </c>
      <c r="Q61" s="733"/>
      <c r="S61" t="s">
        <v>677</v>
      </c>
      <c r="T61" s="812" t="s">
        <v>715</v>
      </c>
      <c r="U61" s="812"/>
      <c r="V61" s="573"/>
      <c r="W61" s="573"/>
      <c r="X61" s="573"/>
      <c r="Y61" s="573"/>
      <c r="Z61" s="133">
        <f t="shared" ref="Z61:AE61" si="48">IFERROR(Z58*Z$52/Z$49,0)</f>
        <v>0</v>
      </c>
      <c r="AA61" s="133">
        <f t="shared" si="48"/>
        <v>1.8552368707514875E-3</v>
      </c>
      <c r="AB61" s="133">
        <f t="shared" si="48"/>
        <v>4.1742829591908471E-3</v>
      </c>
      <c r="AC61" s="133">
        <f t="shared" si="48"/>
        <v>6.9571382653180781E-3</v>
      </c>
      <c r="AD61" s="133">
        <f t="shared" si="48"/>
        <v>8.8123751360695661E-3</v>
      </c>
      <c r="AE61" s="133">
        <f t="shared" si="48"/>
        <v>9.7399935714453101E-3</v>
      </c>
      <c r="AF61" s="514">
        <f>SUM($Y61:Z61)</f>
        <v>0</v>
      </c>
      <c r="AG61" s="514">
        <f>SUM($Y61:AA61)</f>
        <v>1.8552368707514875E-3</v>
      </c>
      <c r="AH61" s="514">
        <f>SUM($Y61:AB61)</f>
        <v>6.0295198299423342E-3</v>
      </c>
      <c r="AI61" s="514">
        <f>SUM($Y61:AC61)</f>
        <v>1.2986658095260412E-2</v>
      </c>
      <c r="AJ61" s="514">
        <f>SUM($Y61:AD61)</f>
        <v>2.1799033231329978E-2</v>
      </c>
      <c r="AK61" s="514">
        <f>SUM($Y61:AE61)</f>
        <v>3.1539026802775288E-2</v>
      </c>
      <c r="AL61" s="708">
        <f t="shared" si="40"/>
        <v>3.1539026802775288E-2</v>
      </c>
      <c r="AM61" s="708">
        <f t="shared" si="40"/>
        <v>3.1539026802775288E-2</v>
      </c>
    </row>
    <row r="62" spans="1:39" x14ac:dyDescent="0.25">
      <c r="A62" t="s">
        <v>679</v>
      </c>
      <c r="B62" t="s">
        <v>714</v>
      </c>
      <c r="C62" s="812"/>
      <c r="D62" s="812" t="s">
        <v>616</v>
      </c>
      <c r="E62" s="507">
        <v>-7.5257115181194588E-4</v>
      </c>
      <c r="F62" s="507">
        <v>-1.9754992735063581E-3</v>
      </c>
      <c r="G62" s="507">
        <v>-1.2229281216944122E-3</v>
      </c>
      <c r="H62" s="507">
        <v>-4.7035696988246623E-4</v>
      </c>
      <c r="I62" s="507">
        <v>-1.881427879529865E-4</v>
      </c>
      <c r="J62" s="507">
        <v>0</v>
      </c>
      <c r="K62" s="506">
        <v>-4.4213555168951821E-3</v>
      </c>
      <c r="L62" s="506">
        <v>-1.881427879529865E-4</v>
      </c>
      <c r="N62" s="733">
        <f t="shared" si="43"/>
        <v>-9.4071393976493235E-5</v>
      </c>
      <c r="O62" s="733">
        <f t="shared" si="43"/>
        <v>-9.4071393976493249E-5</v>
      </c>
      <c r="P62" s="733">
        <f t="shared" si="44"/>
        <v>-9.4071393976493235E-5</v>
      </c>
      <c r="Q62" s="733"/>
      <c r="S62" t="s">
        <v>677</v>
      </c>
      <c r="T62" s="812" t="s">
        <v>702</v>
      </c>
      <c r="U62" s="812"/>
      <c r="V62" s="612">
        <f>SUM(V56:V61)</f>
        <v>9.8264984281552725E-2</v>
      </c>
      <c r="W62" s="612">
        <f>SUM(W56:W61)</f>
        <v>9.7883353367978959E-2</v>
      </c>
      <c r="X62" s="612">
        <f>SUM(X56:X61)</f>
        <v>5.8876438099788167E-2</v>
      </c>
      <c r="Y62" s="612">
        <f>SUM(V62:X62)</f>
        <v>0.25502477574931987</v>
      </c>
      <c r="Z62" s="612">
        <f t="shared" ref="Z62:AE62" si="49">SUM(Z56:Z61)</f>
        <v>0</v>
      </c>
      <c r="AA62" s="612">
        <f t="shared" si="49"/>
        <v>4.4102226560390291E-2</v>
      </c>
      <c r="AB62" s="612">
        <f t="shared" si="49"/>
        <v>9.3862715512936443E-2</v>
      </c>
      <c r="AC62" s="612">
        <f t="shared" si="49"/>
        <v>0.14795845402353561</v>
      </c>
      <c r="AD62" s="612">
        <f t="shared" si="49"/>
        <v>0.1887780046245586</v>
      </c>
      <c r="AE62" s="612">
        <f t="shared" si="49"/>
        <v>0.21411179386412105</v>
      </c>
      <c r="AF62" s="612">
        <f>SUM($Y62:Z62)</f>
        <v>0.25502477574931987</v>
      </c>
      <c r="AG62" s="612">
        <f>SUM($Y62:AA62)</f>
        <v>0.29912700230971018</v>
      </c>
      <c r="AH62" s="612">
        <f>SUM($Y62:AB62)</f>
        <v>0.39298971782264663</v>
      </c>
      <c r="AI62" s="612">
        <f>SUM($Y62:AC62)</f>
        <v>0.54094817184618227</v>
      </c>
      <c r="AJ62" s="612">
        <f>SUM($Y62:AD62)</f>
        <v>0.72972617647074089</v>
      </c>
      <c r="AK62" s="612">
        <f>SUM($Y62:AE62)</f>
        <v>0.94383797033486194</v>
      </c>
      <c r="AL62" s="709">
        <f t="shared" si="40"/>
        <v>0.94383797033486194</v>
      </c>
      <c r="AM62" s="709">
        <f t="shared" si="40"/>
        <v>0.94383797033486194</v>
      </c>
    </row>
    <row r="64" spans="1:39" x14ac:dyDescent="0.25">
      <c r="A64" s="840" t="s">
        <v>716</v>
      </c>
      <c r="B64" s="840"/>
      <c r="C64" s="840"/>
      <c r="D64" s="840"/>
      <c r="E64" s="840"/>
      <c r="F64" s="840"/>
      <c r="G64" s="840"/>
      <c r="H64" s="840"/>
      <c r="I64" s="840"/>
      <c r="J64" s="840"/>
      <c r="K64" s="840"/>
      <c r="S64" t="s">
        <v>680</v>
      </c>
      <c r="T64" s="812" t="s">
        <v>249</v>
      </c>
      <c r="U64" s="812"/>
      <c r="V64" s="507">
        <f>V21</f>
        <v>-1.0340790056740087E-2</v>
      </c>
      <c r="W64" s="507">
        <f>L57</f>
        <v>-4.3959680779061209E-3</v>
      </c>
      <c r="X64" s="507">
        <f>X21</f>
        <v>-1.7763056093106373E-2</v>
      </c>
      <c r="Y64" s="506">
        <f>SUM(V64:X64)</f>
        <v>-3.2499814227752583E-2</v>
      </c>
      <c r="Z64" s="506">
        <f t="shared" ref="Z64:AE64" si="50">SUM(Z65:Z71)</f>
        <v>0</v>
      </c>
      <c r="AA64" s="506">
        <f t="shared" si="50"/>
        <v>-1.7496284184916385E-3</v>
      </c>
      <c r="AB64" s="506">
        <f t="shared" si="50"/>
        <v>-3.8147178979114505E-3</v>
      </c>
      <c r="AC64" s="506">
        <f t="shared" si="50"/>
        <v>-6.0453914954117262E-3</v>
      </c>
      <c r="AD64" s="506">
        <f t="shared" si="50"/>
        <v>-7.6655800384952816E-3</v>
      </c>
      <c r="AE64" s="506">
        <f t="shared" si="50"/>
        <v>-8.66991177243202E-3</v>
      </c>
      <c r="AF64" s="506">
        <f>SUM($Y64:Z64)</f>
        <v>-3.2499814227752583E-2</v>
      </c>
      <c r="AG64" s="506">
        <f>SUM($Y64:AA64)</f>
        <v>-3.4249442646244223E-2</v>
      </c>
      <c r="AH64" s="506">
        <f>SUM($Y64:AB64)</f>
        <v>-3.8064160544155672E-2</v>
      </c>
      <c r="AI64" s="506">
        <f>SUM($Y64:AC64)</f>
        <v>-4.4109552039567401E-2</v>
      </c>
      <c r="AJ64" s="506">
        <f>SUM($Y64:AD64)</f>
        <v>-5.1775132078062683E-2</v>
      </c>
      <c r="AK64" s="506">
        <f>SUM($Y64:AE64)</f>
        <v>-6.0445043850494706E-2</v>
      </c>
      <c r="AL64" s="711">
        <f t="shared" ref="AL64:AM72" si="51">$AK64</f>
        <v>-6.0445043850494706E-2</v>
      </c>
      <c r="AM64" s="711">
        <f t="shared" si="51"/>
        <v>-6.0445043850494706E-2</v>
      </c>
    </row>
    <row r="65" spans="1:39" x14ac:dyDescent="0.25">
      <c r="S65" t="s">
        <v>680</v>
      </c>
      <c r="T65" s="812" t="s">
        <v>696</v>
      </c>
      <c r="U65" s="812" t="s">
        <v>697</v>
      </c>
      <c r="V65" s="613"/>
      <c r="W65" s="507">
        <f>L58</f>
        <v>2.6694611696893638E-4</v>
      </c>
      <c r="X65" s="735">
        <f>X22</f>
        <v>3.7298725305748152E-4</v>
      </c>
      <c r="Y65" s="735">
        <f>SUM(V65:X65)</f>
        <v>6.399333700264179E-4</v>
      </c>
      <c r="Z65" s="735">
        <f t="shared" ref="Z65:AE65" si="52">Z46*$O58</f>
        <v>0</v>
      </c>
      <c r="AA65" s="735">
        <f t="shared" si="52"/>
        <v>6.2810851051514434E-5</v>
      </c>
      <c r="AB65" s="735">
        <f t="shared" si="52"/>
        <v>1.4132441486590749E-4</v>
      </c>
      <c r="AC65" s="735">
        <f t="shared" si="52"/>
        <v>2.1983797868030053E-4</v>
      </c>
      <c r="AD65" s="735">
        <f t="shared" si="52"/>
        <v>2.7636774462666352E-4</v>
      </c>
      <c r="AE65" s="735">
        <f t="shared" si="52"/>
        <v>3.1405425525757221E-4</v>
      </c>
      <c r="AF65" s="735">
        <f>SUM($Y65:Z65)</f>
        <v>6.399333700264179E-4</v>
      </c>
      <c r="AG65" s="735">
        <f>SUM($Y65:AA65)</f>
        <v>7.0274422107793237E-4</v>
      </c>
      <c r="AH65" s="735">
        <f>SUM($Y65:AB65)</f>
        <v>8.4406863594383981E-4</v>
      </c>
      <c r="AI65" s="735">
        <f>SUM($Y65:AC65)</f>
        <v>1.0639066146241403E-3</v>
      </c>
      <c r="AJ65" s="735">
        <f>SUM($Y65:AD65)</f>
        <v>1.3402743592508038E-3</v>
      </c>
      <c r="AK65" s="735">
        <f>SUM($Y65:AE65)</f>
        <v>1.6543286145083761E-3</v>
      </c>
      <c r="AL65" s="746">
        <f t="shared" si="51"/>
        <v>1.6543286145083761E-3</v>
      </c>
      <c r="AM65" s="746">
        <f t="shared" si="51"/>
        <v>1.6543286145083761E-3</v>
      </c>
    </row>
    <row r="66" spans="1:39" x14ac:dyDescent="0.25">
      <c r="A66" s="812"/>
      <c r="B66" s="812"/>
      <c r="C66" s="812" t="s">
        <v>717</v>
      </c>
      <c r="D66" s="812" t="s">
        <v>717</v>
      </c>
      <c r="S66" t="s">
        <v>680</v>
      </c>
      <c r="T66" s="812" t="s">
        <v>696</v>
      </c>
      <c r="U66" s="812" t="s">
        <v>698</v>
      </c>
      <c r="V66" s="507">
        <f>K59</f>
        <v>3.9828478636630302E-5</v>
      </c>
      <c r="W66" s="507">
        <f>L59</f>
        <v>1.0914361938639399E-6</v>
      </c>
      <c r="X66" s="507">
        <f>X23</f>
        <v>4.0919914830494242E-5</v>
      </c>
      <c r="Y66" s="507">
        <f>SUM(V66:X66)</f>
        <v>8.1839829660988484E-5</v>
      </c>
      <c r="Z66" s="573"/>
      <c r="AA66" s="573"/>
      <c r="AB66" s="573"/>
      <c r="AC66" s="573"/>
      <c r="AD66" s="573"/>
      <c r="AE66" s="573"/>
      <c r="AF66" s="507">
        <f>SUM($Y66:Z66)</f>
        <v>8.1839829660988484E-5</v>
      </c>
      <c r="AG66" s="507">
        <f>SUM($Y66:AA66)</f>
        <v>8.1839829660988484E-5</v>
      </c>
      <c r="AH66" s="507">
        <f>SUM($Y66:AB66)</f>
        <v>8.1839829660988484E-5</v>
      </c>
      <c r="AI66" s="507">
        <f>SUM($Y66:AC66)</f>
        <v>8.1839829660988484E-5</v>
      </c>
      <c r="AJ66" s="507">
        <f>SUM($Y66:AD66)</f>
        <v>8.1839829660988484E-5</v>
      </c>
      <c r="AK66" s="507">
        <f>SUM($Y66:AE66)</f>
        <v>8.1839829660988484E-5</v>
      </c>
      <c r="AL66" s="710">
        <f t="shared" si="51"/>
        <v>8.1839829660988484E-5</v>
      </c>
      <c r="AM66" s="710">
        <f t="shared" si="51"/>
        <v>8.1839829660988484E-5</v>
      </c>
    </row>
    <row r="67" spans="1:39" x14ac:dyDescent="0.25">
      <c r="A67" s="812"/>
      <c r="B67" s="812"/>
      <c r="C67" s="812" t="s">
        <v>131</v>
      </c>
      <c r="D67" s="812" t="s">
        <v>132</v>
      </c>
      <c r="S67" t="s">
        <v>680</v>
      </c>
      <c r="T67" s="812" t="s">
        <v>700</v>
      </c>
      <c r="U67" s="812"/>
      <c r="V67" s="507">
        <f>K60</f>
        <v>-5.9655194890461567E-3</v>
      </c>
      <c r="W67" s="507">
        <f>L60</f>
        <v>-4.3255479495996922E-3</v>
      </c>
      <c r="X67" s="507">
        <f>X24</f>
        <v>-1.3348865426875323E-2</v>
      </c>
      <c r="Y67" s="507">
        <f>SUM(V67:X67)</f>
        <v>-2.3639932865521171E-2</v>
      </c>
      <c r="Z67" s="735">
        <f t="shared" ref="Z67:AE68" si="53">Z48*$O60</f>
        <v>0</v>
      </c>
      <c r="AA67" s="735">
        <f t="shared" si="53"/>
        <v>-1.5729265271271608E-3</v>
      </c>
      <c r="AB67" s="735">
        <f t="shared" si="53"/>
        <v>-3.370556843843916E-3</v>
      </c>
      <c r="AC67" s="735">
        <f t="shared" si="53"/>
        <v>-5.3086270290541677E-3</v>
      </c>
      <c r="AD67" s="735">
        <f t="shared" si="53"/>
        <v>-6.7692016613865313E-3</v>
      </c>
      <c r="AE67" s="735">
        <f t="shared" si="53"/>
        <v>-7.6680168197449088E-3</v>
      </c>
      <c r="AF67" s="507">
        <f>SUM($Y67:Z67)</f>
        <v>-2.3639932865521171E-2</v>
      </c>
      <c r="AG67" s="507">
        <f>SUM($Y67:AA67)</f>
        <v>-2.5212859392648331E-2</v>
      </c>
      <c r="AH67" s="507">
        <f>SUM($Y67:AB67)</f>
        <v>-2.8583416236492246E-2</v>
      </c>
      <c r="AI67" s="507">
        <f>SUM($Y67:AC67)</f>
        <v>-3.3892043265546415E-2</v>
      </c>
      <c r="AJ67" s="507">
        <f>SUM($Y67:AD67)</f>
        <v>-4.0661244926932946E-2</v>
      </c>
      <c r="AK67" s="507">
        <f>SUM($Y67:AE67)</f>
        <v>-4.8329261746677857E-2</v>
      </c>
      <c r="AL67" s="710">
        <f t="shared" si="51"/>
        <v>-4.8329261746677857E-2</v>
      </c>
      <c r="AM67" s="710">
        <f t="shared" si="51"/>
        <v>-4.8329261746677857E-2</v>
      </c>
    </row>
    <row r="68" spans="1:39" x14ac:dyDescent="0.25">
      <c r="A68" s="736" t="s">
        <v>696</v>
      </c>
      <c r="B68" s="812"/>
      <c r="C68" s="452">
        <f>O52*2000</f>
        <v>0.57587240609018853</v>
      </c>
      <c r="D68" s="452">
        <f>O58*2000</f>
        <v>6.2810851051514436E-3</v>
      </c>
      <c r="S68" t="s">
        <v>680</v>
      </c>
      <c r="T68" s="812" t="s">
        <v>713</v>
      </c>
      <c r="U68" s="812"/>
      <c r="V68" s="507">
        <f>K61</f>
        <v>6.2564705646205292E-6</v>
      </c>
      <c r="W68" s="507">
        <f>L61</f>
        <v>-1.5031489351624333E-4</v>
      </c>
      <c r="X68" s="507"/>
      <c r="Y68" s="507">
        <f>SUM(V68:X68)</f>
        <v>-1.440584229516228E-4</v>
      </c>
      <c r="Z68" s="735">
        <f t="shared" si="53"/>
        <v>0</v>
      </c>
      <c r="AA68" s="735">
        <f t="shared" si="53"/>
        <v>-1.1562684116634103E-4</v>
      </c>
      <c r="AB68" s="735">
        <f t="shared" si="53"/>
        <v>-2.3125368233268206E-4</v>
      </c>
      <c r="AC68" s="735">
        <f t="shared" si="53"/>
        <v>-3.5844320761565715E-4</v>
      </c>
      <c r="AD68" s="735">
        <f t="shared" si="53"/>
        <v>-4.6250736466536412E-4</v>
      </c>
      <c r="AE68" s="735">
        <f t="shared" si="53"/>
        <v>-5.3188346936516872E-4</v>
      </c>
      <c r="AF68" s="507">
        <f>SUM($Y68:Z68)</f>
        <v>-1.440584229516228E-4</v>
      </c>
      <c r="AG68" s="507">
        <f>SUM($Y68:AA68)</f>
        <v>-2.5968526411796383E-4</v>
      </c>
      <c r="AH68" s="507">
        <f>SUM($Y68:AB68)</f>
        <v>-4.9093894645064595E-4</v>
      </c>
      <c r="AI68" s="507">
        <f>SUM($Y68:AC68)</f>
        <v>-8.493821540663031E-4</v>
      </c>
      <c r="AJ68" s="507">
        <f>SUM($Y68:AD68)</f>
        <v>-1.3118895187316671E-3</v>
      </c>
      <c r="AK68" s="507">
        <f>SUM($Y68:AE68)</f>
        <v>-1.8437729880968357E-3</v>
      </c>
      <c r="AL68" s="710">
        <f t="shared" si="51"/>
        <v>-1.8437729880968357E-3</v>
      </c>
      <c r="AM68" s="710">
        <f t="shared" si="51"/>
        <v>-1.8437729880968357E-3</v>
      </c>
    </row>
    <row r="69" spans="1:39" x14ac:dyDescent="0.25">
      <c r="A69" s="736" t="s">
        <v>700</v>
      </c>
      <c r="C69" s="452">
        <f>O54*2000</f>
        <v>1.1775287619957633</v>
      </c>
      <c r="D69" s="452">
        <f>O60*2000</f>
        <v>-5.6175947397398597E-2</v>
      </c>
      <c r="S69" t="s">
        <v>680</v>
      </c>
      <c r="T69" s="812" t="s">
        <v>671</v>
      </c>
      <c r="V69" s="573"/>
      <c r="W69" s="573"/>
      <c r="X69" s="573"/>
      <c r="Y69" s="573"/>
      <c r="Z69" s="507">
        <f>IFERROR(Z68*Z$50/Z$49,0)</f>
        <v>0</v>
      </c>
      <c r="AA69" s="507">
        <f t="shared" ref="AA69:AE69" si="54">IFERROR(AA68*AA$50/AA$49,0)</f>
        <v>-1.1562684116634102E-4</v>
      </c>
      <c r="AB69" s="507">
        <f t="shared" si="54"/>
        <v>-2.4281636644931615E-4</v>
      </c>
      <c r="AC69" s="507">
        <f t="shared" si="54"/>
        <v>-3.8156857584892534E-4</v>
      </c>
      <c r="AD69" s="507">
        <f t="shared" si="54"/>
        <v>-4.856327328986323E-4</v>
      </c>
      <c r="AE69" s="507">
        <f t="shared" si="54"/>
        <v>-5.5500883759843696E-4</v>
      </c>
      <c r="AF69" s="507">
        <f>SUM($Y69:Z69)</f>
        <v>0</v>
      </c>
      <c r="AG69" s="507">
        <f>SUM($Y69:AA69)</f>
        <v>-1.1562684116634102E-4</v>
      </c>
      <c r="AH69" s="507">
        <f>SUM($Y69:AB69)</f>
        <v>-3.5844320761565715E-4</v>
      </c>
      <c r="AI69" s="507">
        <f>SUM($Y69:AC69)</f>
        <v>-7.4001178346458254E-4</v>
      </c>
      <c r="AJ69" s="507">
        <f>SUM($Y69:AD69)</f>
        <v>-1.2256445163632149E-3</v>
      </c>
      <c r="AK69" s="507">
        <f>SUM($Y69:AE69)</f>
        <v>-1.7806533539616518E-3</v>
      </c>
      <c r="AL69" s="710">
        <f t="shared" si="51"/>
        <v>-1.7806533539616518E-3</v>
      </c>
      <c r="AM69" s="710">
        <f t="shared" si="51"/>
        <v>-1.7806533539616518E-3</v>
      </c>
    </row>
    <row r="70" spans="1:39" x14ac:dyDescent="0.25">
      <c r="A70" t="s">
        <v>670</v>
      </c>
      <c r="C70" s="452">
        <f>O55*2000</f>
        <v>0.92761843537574373</v>
      </c>
      <c r="D70" s="452">
        <f>O61*2000</f>
        <v>-2.3125368233268204E-2</v>
      </c>
      <c r="S70" t="s">
        <v>680</v>
      </c>
      <c r="T70" s="812" t="s">
        <v>672</v>
      </c>
      <c r="U70" s="812"/>
      <c r="V70" s="507">
        <f>K62</f>
        <v>-4.4213555168951821E-3</v>
      </c>
      <c r="W70" s="507">
        <f>L62</f>
        <v>-1.881427879529865E-4</v>
      </c>
      <c r="X70" s="507">
        <f>X25</f>
        <v>-4.8280978341190229E-3</v>
      </c>
      <c r="Y70" s="507">
        <f>SUM(V70:X70)</f>
        <v>-9.4375961389671914E-3</v>
      </c>
      <c r="Z70" s="735">
        <f t="shared" ref="Z70:AE70" si="55">Z51*$O62</f>
        <v>0</v>
      </c>
      <c r="AA70" s="735">
        <f t="shared" si="55"/>
        <v>0</v>
      </c>
      <c r="AB70" s="735">
        <f t="shared" si="55"/>
        <v>-9.4071393976493249E-5</v>
      </c>
      <c r="AC70" s="735">
        <f t="shared" si="55"/>
        <v>-1.881427879529865E-4</v>
      </c>
      <c r="AD70" s="735">
        <f t="shared" si="55"/>
        <v>-1.881427879529865E-4</v>
      </c>
      <c r="AE70" s="735">
        <f t="shared" si="55"/>
        <v>-1.881427879529865E-4</v>
      </c>
      <c r="AF70" s="507">
        <f>SUM($Y70:Z70)</f>
        <v>-9.4375961389671914E-3</v>
      </c>
      <c r="AG70" s="507">
        <f>SUM($Y70:AA70)</f>
        <v>-9.4375961389671914E-3</v>
      </c>
      <c r="AH70" s="507">
        <f>SUM($Y70:AB70)</f>
        <v>-9.5316675329436846E-3</v>
      </c>
      <c r="AI70" s="507">
        <f>SUM($Y70:AC70)</f>
        <v>-9.7198103208966709E-3</v>
      </c>
      <c r="AJ70" s="507">
        <f>SUM($Y70:AD70)</f>
        <v>-9.9079531088496573E-3</v>
      </c>
      <c r="AK70" s="507">
        <f>SUM($Y70:AE70)</f>
        <v>-1.0096095896802644E-2</v>
      </c>
      <c r="AL70" s="710">
        <f t="shared" si="51"/>
        <v>-1.0096095896802644E-2</v>
      </c>
      <c r="AM70" s="710">
        <f t="shared" si="51"/>
        <v>-1.0096095896802644E-2</v>
      </c>
    </row>
    <row r="71" spans="1:39" x14ac:dyDescent="0.25">
      <c r="A71" t="s">
        <v>718</v>
      </c>
      <c r="C71" s="452">
        <f>C70</f>
        <v>0.92761843537574373</v>
      </c>
      <c r="D71" s="452">
        <f>D70</f>
        <v>-2.3125368233268204E-2</v>
      </c>
      <c r="S71" t="s">
        <v>680</v>
      </c>
      <c r="T71" s="812" t="s">
        <v>715</v>
      </c>
      <c r="U71" s="812"/>
      <c r="V71" s="573"/>
      <c r="W71" s="573"/>
      <c r="X71" s="573"/>
      <c r="Y71" s="573"/>
      <c r="Z71" s="507">
        <f>IFERROR(Z68*Z$52/Z$48,0)</f>
        <v>0</v>
      </c>
      <c r="AA71" s="507">
        <f t="shared" ref="AA71:AE71" si="56">IFERROR(AA68*AA$52/AA$48,0)</f>
        <v>-8.2590600833100738E-6</v>
      </c>
      <c r="AB71" s="507">
        <f t="shared" si="56"/>
        <v>-1.7344026174951155E-5</v>
      </c>
      <c r="AC71" s="507">
        <f t="shared" si="56"/>
        <v>-2.8447873620290249E-5</v>
      </c>
      <c r="AD71" s="507">
        <f t="shared" si="56"/>
        <v>-3.6463236218431195E-5</v>
      </c>
      <c r="AE71" s="507">
        <f t="shared" si="56"/>
        <v>-4.09141130280899E-5</v>
      </c>
      <c r="AF71" s="507">
        <f>SUM($Y71:Z71)</f>
        <v>0</v>
      </c>
      <c r="AG71" s="507">
        <f>SUM($Y71:AA71)</f>
        <v>-8.2590600833100738E-6</v>
      </c>
      <c r="AH71" s="507">
        <f>SUM($Y71:AB71)</f>
        <v>-2.5603086258261227E-5</v>
      </c>
      <c r="AI71" s="507">
        <f>SUM($Y71:AC71)</f>
        <v>-5.4050959878551479E-5</v>
      </c>
      <c r="AJ71" s="507">
        <f>SUM($Y71:AD71)</f>
        <v>-9.0514196096982681E-5</v>
      </c>
      <c r="AK71" s="507">
        <f>SUM($Y71:AE71)</f>
        <v>-1.3142830912507257E-4</v>
      </c>
      <c r="AL71" s="710">
        <f t="shared" si="51"/>
        <v>-1.3142830912507257E-4</v>
      </c>
      <c r="AM71" s="710">
        <f t="shared" si="51"/>
        <v>-1.3142830912507257E-4</v>
      </c>
    </row>
    <row r="72" spans="1:39" x14ac:dyDescent="0.25">
      <c r="A72" s="736" t="s">
        <v>672</v>
      </c>
      <c r="C72" s="452">
        <f>O56*2000</f>
        <v>4.1057817594088553E-2</v>
      </c>
      <c r="D72" s="452">
        <f>O62*2000</f>
        <v>-0.1881427879529865</v>
      </c>
      <c r="S72" t="s">
        <v>680</v>
      </c>
      <c r="T72" s="812" t="s">
        <v>702</v>
      </c>
      <c r="U72" s="812"/>
      <c r="V72" s="506">
        <f>SUM(V66:V71)</f>
        <v>-1.0340790056740087E-2</v>
      </c>
      <c r="W72" s="506">
        <f>SUM(W66:W71)</f>
        <v>-4.6629141948750577E-3</v>
      </c>
      <c r="X72" s="506">
        <f>SUM(X66:X71)</f>
        <v>-1.8136043346163852E-2</v>
      </c>
      <c r="Y72" s="506">
        <f t="shared" ref="Y72" si="57">SUM(V72:X72)</f>
        <v>-3.3139747597778997E-2</v>
      </c>
      <c r="Z72" s="506">
        <f t="shared" ref="Z72:AE72" si="58">SUM(Z66:Z71)</f>
        <v>0</v>
      </c>
      <c r="AA72" s="506">
        <f t="shared" si="58"/>
        <v>-1.8124392695431529E-3</v>
      </c>
      <c r="AB72" s="506">
        <f t="shared" si="58"/>
        <v>-3.9560423127773586E-3</v>
      </c>
      <c r="AC72" s="506">
        <f t="shared" si="58"/>
        <v>-6.2652294740920267E-3</v>
      </c>
      <c r="AD72" s="506">
        <f t="shared" si="58"/>
        <v>-7.9419477831219453E-3</v>
      </c>
      <c r="AE72" s="506">
        <f t="shared" si="58"/>
        <v>-8.9839660276895914E-3</v>
      </c>
      <c r="AF72" s="506">
        <f>SUM($Y72:Z72)</f>
        <v>-3.3139747597778997E-2</v>
      </c>
      <c r="AG72" s="506">
        <f>SUM($Y72:AA72)</f>
        <v>-3.4952186867322148E-2</v>
      </c>
      <c r="AH72" s="506">
        <f>SUM($Y72:AB72)</f>
        <v>-3.8908229180099507E-2</v>
      </c>
      <c r="AI72" s="506">
        <f>SUM($Y72:AC72)</f>
        <v>-4.5173458654191534E-2</v>
      </c>
      <c r="AJ72" s="506">
        <f>SUM($Y72:AD72)</f>
        <v>-5.3115406437313481E-2</v>
      </c>
      <c r="AK72" s="506">
        <f>SUM($Y72:AE72)</f>
        <v>-6.2099372465003071E-2</v>
      </c>
      <c r="AL72" s="711">
        <f t="shared" si="51"/>
        <v>-6.2099372465003071E-2</v>
      </c>
      <c r="AM72" s="711">
        <f t="shared" si="51"/>
        <v>-6.2099372465003071E-2</v>
      </c>
    </row>
    <row r="73" spans="1:39" x14ac:dyDescent="0.25">
      <c r="A73" s="736" t="s">
        <v>719</v>
      </c>
      <c r="C73" s="452">
        <f>C70</f>
        <v>0.92761843537574373</v>
      </c>
      <c r="D73" s="452">
        <f>D70</f>
        <v>-2.3125368233268204E-2</v>
      </c>
    </row>
    <row r="74" spans="1:39" x14ac:dyDescent="0.25">
      <c r="V74" s="812" t="str">
        <f>"Relative to "&amp;2020&amp;"PB"</f>
        <v>Relative to 2020PB</v>
      </c>
      <c r="W74" s="812"/>
      <c r="X74" s="812"/>
      <c r="Y74" s="812"/>
      <c r="AF74" s="825">
        <f t="shared" ref="AF74:AI74" si="59">AF76+1</f>
        <v>2021</v>
      </c>
      <c r="AG74" s="825">
        <f t="shared" si="59"/>
        <v>2022</v>
      </c>
      <c r="AH74" s="825">
        <f t="shared" si="59"/>
        <v>2023</v>
      </c>
      <c r="AI74" s="825">
        <f t="shared" si="59"/>
        <v>2024</v>
      </c>
      <c r="AJ74" s="825">
        <f>AJ76+1</f>
        <v>2025</v>
      </c>
      <c r="AK74" s="825">
        <f>AK76+1</f>
        <v>2026</v>
      </c>
      <c r="AL74" s="825">
        <f t="shared" ref="AL74:AM74" si="60">AL76+1</f>
        <v>2029</v>
      </c>
      <c r="AM74" s="825">
        <f t="shared" si="60"/>
        <v>2032</v>
      </c>
    </row>
    <row r="75" spans="1:39" x14ac:dyDescent="0.25">
      <c r="A75" s="736" t="s">
        <v>696</v>
      </c>
      <c r="B75" s="45">
        <f>SUM(Z46:AE46)</f>
        <v>323</v>
      </c>
      <c r="C75" s="452">
        <f t="shared" ref="C75:D80" si="61">$B75*C68/2000</f>
        <v>9.3003393583565436E-2</v>
      </c>
      <c r="D75" s="452">
        <f t="shared" si="61"/>
        <v>1.0143952444819581E-3</v>
      </c>
      <c r="U75" s="812" t="s">
        <v>683</v>
      </c>
      <c r="Y75" s="812" t="s">
        <v>653</v>
      </c>
      <c r="AF75" s="812" t="s">
        <v>653</v>
      </c>
      <c r="AG75" s="812" t="s">
        <v>653</v>
      </c>
      <c r="AH75" s="812" t="s">
        <v>653</v>
      </c>
      <c r="AI75" s="812" t="s">
        <v>653</v>
      </c>
      <c r="AJ75" s="812" t="s">
        <v>653</v>
      </c>
      <c r="AK75" s="812" t="s">
        <v>653</v>
      </c>
      <c r="AL75" s="812" t="s">
        <v>653</v>
      </c>
      <c r="AM75" s="812" t="s">
        <v>653</v>
      </c>
    </row>
    <row r="76" spans="1:39" x14ac:dyDescent="0.25">
      <c r="A76" s="736" t="s">
        <v>700</v>
      </c>
      <c r="B76" s="45">
        <f>SUM(Z48:AE48)</f>
        <v>879</v>
      </c>
      <c r="C76" s="452">
        <f t="shared" si="61"/>
        <v>0.51752389089713802</v>
      </c>
      <c r="D76" s="452">
        <f t="shared" si="61"/>
        <v>-2.4689328881156682E-2</v>
      </c>
      <c r="H76" s="845" t="s">
        <v>720</v>
      </c>
      <c r="I76" s="845"/>
      <c r="J76" s="845" t="s">
        <v>721</v>
      </c>
      <c r="K76" s="845"/>
      <c r="S76" s="3"/>
      <c r="T76" s="813" t="s">
        <v>654</v>
      </c>
      <c r="U76" s="813" t="s">
        <v>684</v>
      </c>
      <c r="V76" s="3" t="s">
        <v>656</v>
      </c>
      <c r="W76" s="3" t="s">
        <v>657</v>
      </c>
      <c r="X76" s="813">
        <v>2019</v>
      </c>
      <c r="Y76" s="813">
        <v>2019</v>
      </c>
      <c r="Z76" s="813">
        <f t="shared" ref="Z76:AK76" si="62">Z44</f>
        <v>2020</v>
      </c>
      <c r="AA76" s="813">
        <f t="shared" si="62"/>
        <v>2021</v>
      </c>
      <c r="AB76" s="813">
        <f t="shared" si="62"/>
        <v>2022</v>
      </c>
      <c r="AC76" s="813">
        <f t="shared" si="62"/>
        <v>2023</v>
      </c>
      <c r="AD76" s="813">
        <f t="shared" si="62"/>
        <v>2024</v>
      </c>
      <c r="AE76" s="813">
        <f t="shared" si="62"/>
        <v>2025</v>
      </c>
      <c r="AF76" s="813">
        <f t="shared" si="62"/>
        <v>2020</v>
      </c>
      <c r="AG76" s="813">
        <f t="shared" si="62"/>
        <v>2021</v>
      </c>
      <c r="AH76" s="813">
        <f t="shared" si="62"/>
        <v>2022</v>
      </c>
      <c r="AI76" s="813">
        <f t="shared" si="62"/>
        <v>2023</v>
      </c>
      <c r="AJ76" s="813">
        <f t="shared" si="62"/>
        <v>2024</v>
      </c>
      <c r="AK76" s="813">
        <f t="shared" si="62"/>
        <v>2025</v>
      </c>
      <c r="AL76" s="813">
        <v>2028</v>
      </c>
      <c r="AM76" s="813">
        <v>2031</v>
      </c>
    </row>
    <row r="77" spans="1:39" x14ac:dyDescent="0.25">
      <c r="A77" t="s">
        <v>670</v>
      </c>
      <c r="B77" s="45">
        <f>SUM(Z49:AE49)</f>
        <v>147</v>
      </c>
      <c r="C77" s="452">
        <f t="shared" si="61"/>
        <v>6.8179955000117157E-2</v>
      </c>
      <c r="D77" s="452">
        <f t="shared" si="61"/>
        <v>-1.6997145651452129E-3</v>
      </c>
      <c r="G77" s="736" t="s">
        <v>722</v>
      </c>
      <c r="H77" s="845" t="s">
        <v>723</v>
      </c>
      <c r="I77" s="845"/>
      <c r="J77" s="845" t="s">
        <v>723</v>
      </c>
      <c r="K77" s="845"/>
      <c r="S77" t="s">
        <v>677</v>
      </c>
      <c r="T77" s="812" t="s">
        <v>341</v>
      </c>
      <c r="U77" s="609">
        <f ca="1">INDIRECT("'DevSumOut-"&amp;2020&amp;"BSR'!$R$70")</f>
        <v>2.5034373567279267</v>
      </c>
      <c r="V77" s="529">
        <f t="shared" ref="V77:AK77" ca="1" si="63">V54/$U77</f>
        <v>3.9252024428519425E-2</v>
      </c>
      <c r="W77" s="529">
        <f t="shared" ca="1" si="63"/>
        <v>4.8875970592185188E-2</v>
      </c>
      <c r="X77" s="529">
        <f t="shared" ca="1" si="63"/>
        <v>0.12283856140917071</v>
      </c>
      <c r="Y77" s="529">
        <f t="shared" ca="1" si="63"/>
        <v>0.21096655642987533</v>
      </c>
      <c r="Z77" s="529">
        <f t="shared" ca="1" si="63"/>
        <v>0</v>
      </c>
      <c r="AA77" s="529">
        <f t="shared" ca="1" si="63"/>
        <v>1.9916995521095063E-2</v>
      </c>
      <c r="AB77" s="529">
        <f t="shared" ca="1" si="63"/>
        <v>4.2669270058981093E-2</v>
      </c>
      <c r="AC77" s="529">
        <f t="shared" ca="1" si="63"/>
        <v>6.7153263405968597E-2</v>
      </c>
      <c r="AD77" s="529">
        <f t="shared" ca="1" si="63"/>
        <v>8.552895878025242E-2</v>
      </c>
      <c r="AE77" s="529">
        <f t="shared" ca="1" si="63"/>
        <v>9.7028756687611184E-2</v>
      </c>
      <c r="AF77" s="529">
        <f t="shared" ca="1" si="63"/>
        <v>0.21096655642987533</v>
      </c>
      <c r="AG77" s="529">
        <f t="shared" ca="1" si="63"/>
        <v>0.23088355195097038</v>
      </c>
      <c r="AH77" s="529">
        <f t="shared" ca="1" si="63"/>
        <v>0.27355282200995151</v>
      </c>
      <c r="AI77" s="529">
        <f t="shared" ca="1" si="63"/>
        <v>0.34070608541592007</v>
      </c>
      <c r="AJ77" s="529">
        <f t="shared" ca="1" si="63"/>
        <v>0.42623504419617253</v>
      </c>
      <c r="AK77" s="529">
        <f t="shared" ca="1" si="63"/>
        <v>0.52326380088378366</v>
      </c>
      <c r="AL77" s="712">
        <f t="shared" ref="AL77:AM82" ca="1" si="64">$AK77</f>
        <v>0.52326380088378366</v>
      </c>
      <c r="AM77" s="712">
        <f t="shared" ca="1" si="64"/>
        <v>0.52326380088378366</v>
      </c>
    </row>
    <row r="78" spans="1:39" x14ac:dyDescent="0.25">
      <c r="A78" t="s">
        <v>718</v>
      </c>
      <c r="B78" s="45">
        <f>SUM(Z50:AE50)</f>
        <v>154</v>
      </c>
      <c r="C78" s="452">
        <f t="shared" si="61"/>
        <v>7.1426619523932269E-2</v>
      </c>
      <c r="D78" s="452">
        <f t="shared" si="61"/>
        <v>-1.7806533539616515E-3</v>
      </c>
      <c r="G78" t="s">
        <v>724</v>
      </c>
      <c r="H78" s="812" t="s">
        <v>131</v>
      </c>
      <c r="I78" s="812" t="s">
        <v>132</v>
      </c>
      <c r="J78" s="812" t="s">
        <v>131</v>
      </c>
      <c r="K78" s="812" t="s">
        <v>132</v>
      </c>
      <c r="S78" t="s">
        <v>677</v>
      </c>
      <c r="T78" s="812" t="s">
        <v>704</v>
      </c>
      <c r="U78" s="609">
        <f t="shared" ref="U78:U79" ca="1" si="65">INDIRECT("'DevSumOut-"&amp;2020&amp;"BSR'!$R$70")</f>
        <v>2.5034373567279267</v>
      </c>
      <c r="V78" s="610"/>
      <c r="W78" s="529">
        <f t="shared" ref="W78:AK78" ca="1" si="66">W55/$U78</f>
        <v>9.776388929029196E-3</v>
      </c>
      <c r="X78" s="529">
        <f t="shared" ca="1" si="66"/>
        <v>1.8402614454643192E-2</v>
      </c>
      <c r="Y78" s="529">
        <f t="shared" ca="1" si="66"/>
        <v>2.817900338367239E-2</v>
      </c>
      <c r="Z78" s="529">
        <f t="shared" ca="1" si="66"/>
        <v>0</v>
      </c>
      <c r="AA78" s="529">
        <f t="shared" ca="1" si="66"/>
        <v>2.300326806830399E-3</v>
      </c>
      <c r="AB78" s="529">
        <f t="shared" ca="1" si="66"/>
        <v>5.1757353153683971E-3</v>
      </c>
      <c r="AC78" s="529">
        <f t="shared" ca="1" si="66"/>
        <v>8.0511438239063964E-3</v>
      </c>
      <c r="AD78" s="529">
        <f t="shared" ca="1" si="66"/>
        <v>1.0121437950053755E-2</v>
      </c>
      <c r="AE78" s="529">
        <f t="shared" ca="1" si="66"/>
        <v>1.1501634034151994E-2</v>
      </c>
      <c r="AF78" s="614">
        <f t="shared" ca="1" si="66"/>
        <v>2.817900338367239E-2</v>
      </c>
      <c r="AG78" s="614">
        <f t="shared" ca="1" si="66"/>
        <v>3.047933019050279E-2</v>
      </c>
      <c r="AH78" s="614">
        <f t="shared" ca="1" si="66"/>
        <v>3.5655065505871185E-2</v>
      </c>
      <c r="AI78" s="614">
        <f t="shared" ca="1" si="66"/>
        <v>4.3706209329777583E-2</v>
      </c>
      <c r="AJ78" s="614">
        <f t="shared" ca="1" si="66"/>
        <v>5.3827647279831338E-2</v>
      </c>
      <c r="AK78" s="614">
        <f t="shared" ca="1" si="66"/>
        <v>6.5329281313983328E-2</v>
      </c>
      <c r="AL78" s="713">
        <f t="shared" ca="1" si="64"/>
        <v>6.5329281313983328E-2</v>
      </c>
      <c r="AM78" s="713">
        <f t="shared" ca="1" si="64"/>
        <v>6.5329281313983328E-2</v>
      </c>
    </row>
    <row r="79" spans="1:39" x14ac:dyDescent="0.25">
      <c r="A79" s="736" t="s">
        <v>672</v>
      </c>
      <c r="B79" s="45">
        <f>SUM(Z51:AE51)</f>
        <v>7</v>
      </c>
      <c r="C79" s="452">
        <f t="shared" si="61"/>
        <v>1.4370236157930992E-4</v>
      </c>
      <c r="D79" s="452">
        <f t="shared" si="61"/>
        <v>-6.5849975783545281E-4</v>
      </c>
      <c r="G79" s="60">
        <v>0.35</v>
      </c>
      <c r="H79" s="723">
        <v>0.32477958001218321</v>
      </c>
      <c r="I79" s="529">
        <v>-3.5494047221245321E-2</v>
      </c>
      <c r="J79" s="452">
        <f ca="1">H79*$U$77</f>
        <v>0.81306533330490616</v>
      </c>
      <c r="K79" s="452">
        <f ca="1">I79*$U$80</f>
        <v>-0.13932143084593282</v>
      </c>
      <c r="S79" t="s">
        <v>677</v>
      </c>
      <c r="T79" s="812" t="s">
        <v>706</v>
      </c>
      <c r="U79" s="609">
        <f t="shared" ca="1" si="65"/>
        <v>2.5034373567279267</v>
      </c>
      <c r="V79" s="529">
        <f t="shared" ref="V79:AK79" ca="1" si="67">V62/$U79</f>
        <v>3.9252024428519446E-2</v>
      </c>
      <c r="W79" s="529">
        <f t="shared" ca="1" si="67"/>
        <v>3.9099581663155997E-2</v>
      </c>
      <c r="X79" s="529">
        <f t="shared" ca="1" si="67"/>
        <v>2.3518239009080528E-2</v>
      </c>
      <c r="Y79" s="529">
        <f t="shared" ca="1" si="67"/>
        <v>0.10186984510075597</v>
      </c>
      <c r="Z79" s="529">
        <f t="shared" ca="1" si="67"/>
        <v>0</v>
      </c>
      <c r="AA79" s="529">
        <f t="shared" ca="1" si="67"/>
        <v>1.7616668714264663E-2</v>
      </c>
      <c r="AB79" s="529">
        <f t="shared" ca="1" si="67"/>
        <v>3.7493534743612694E-2</v>
      </c>
      <c r="AC79" s="529">
        <f t="shared" ca="1" si="67"/>
        <v>5.9102119582062192E-2</v>
      </c>
      <c r="AD79" s="529">
        <f t="shared" ca="1" si="67"/>
        <v>7.5407520830198652E-2</v>
      </c>
      <c r="AE79" s="529">
        <f t="shared" ca="1" si="67"/>
        <v>8.5527122653459187E-2</v>
      </c>
      <c r="AF79" s="614">
        <f t="shared" ca="1" si="67"/>
        <v>0.10186984510075597</v>
      </c>
      <c r="AG79" s="614">
        <f t="shared" ca="1" si="67"/>
        <v>0.11948651381502065</v>
      </c>
      <c r="AH79" s="614">
        <f t="shared" ca="1" si="67"/>
        <v>0.15698004855863334</v>
      </c>
      <c r="AI79" s="614">
        <f t="shared" ca="1" si="67"/>
        <v>0.21608216814069556</v>
      </c>
      <c r="AJ79" s="614">
        <f t="shared" ca="1" si="67"/>
        <v>0.29148968897089422</v>
      </c>
      <c r="AK79" s="614">
        <f t="shared" ca="1" si="67"/>
        <v>0.37701681162435341</v>
      </c>
      <c r="AL79" s="713">
        <f t="shared" ca="1" si="64"/>
        <v>0.37701681162435341</v>
      </c>
      <c r="AM79" s="713">
        <f t="shared" ca="1" si="64"/>
        <v>0.37701681162435341</v>
      </c>
    </row>
    <row r="80" spans="1:39" x14ac:dyDescent="0.25">
      <c r="A80" s="737" t="s">
        <v>719</v>
      </c>
      <c r="B80" s="88">
        <f>SUM(Z52:AE52)</f>
        <v>68</v>
      </c>
      <c r="C80" s="738">
        <f t="shared" si="61"/>
        <v>3.1539026802775288E-2</v>
      </c>
      <c r="D80" s="738">
        <f t="shared" si="61"/>
        <v>-7.8626251993111891E-4</v>
      </c>
      <c r="G80" s="60">
        <v>0.3</v>
      </c>
      <c r="H80" s="723">
        <v>0.27838249715330005</v>
      </c>
      <c r="I80" s="723">
        <v>-3.0423469046781719E-2</v>
      </c>
      <c r="J80" s="452">
        <f ca="1">H80*$U$77</f>
        <v>0.69691314283277705</v>
      </c>
      <c r="K80" s="452">
        <f ca="1">I80*$U$80</f>
        <v>-0.11941836929651391</v>
      </c>
      <c r="S80" t="s">
        <v>680</v>
      </c>
      <c r="T80" s="812" t="s">
        <v>341</v>
      </c>
      <c r="U80" s="609">
        <f ca="1">INDIRECT("'DevSumOut-"&amp;2020&amp;"BSR'!$P$70")</f>
        <v>3.9252055415799574</v>
      </c>
      <c r="V80" s="529">
        <f t="shared" ref="V80:AK80" ca="1" si="68">V64/$U80</f>
        <v>-2.6344582333840678E-3</v>
      </c>
      <c r="W80" s="529">
        <f t="shared" ca="1" si="68"/>
        <v>-1.1199332191242841E-3</v>
      </c>
      <c r="X80" s="529">
        <f t="shared" ca="1" si="68"/>
        <v>-4.5253824048043251E-3</v>
      </c>
      <c r="Y80" s="529">
        <f t="shared" ca="1" si="68"/>
        <v>-8.2797738573126781E-3</v>
      </c>
      <c r="Z80" s="529">
        <f t="shared" ca="1" si="68"/>
        <v>0</v>
      </c>
      <c r="AA80" s="529">
        <f t="shared" ca="1" si="68"/>
        <v>-4.4574185987401448E-4</v>
      </c>
      <c r="AB80" s="529">
        <f t="shared" ca="1" si="68"/>
        <v>-9.7185175591491858E-4</v>
      </c>
      <c r="AC80" s="529">
        <f t="shared" ca="1" si="68"/>
        <v>-1.5401464793047145E-3</v>
      </c>
      <c r="AD80" s="529">
        <f t="shared" ca="1" si="68"/>
        <v>-1.9529117538669744E-3</v>
      </c>
      <c r="AE80" s="529">
        <f t="shared" ca="1" si="68"/>
        <v>-2.2087790513365684E-3</v>
      </c>
      <c r="AF80" s="529">
        <f t="shared" ca="1" si="68"/>
        <v>-8.2797738573126781E-3</v>
      </c>
      <c r="AG80" s="529">
        <f t="shared" ca="1" si="68"/>
        <v>-8.7255157171866934E-3</v>
      </c>
      <c r="AH80" s="529">
        <f t="shared" ca="1" si="68"/>
        <v>-9.6973674731016101E-3</v>
      </c>
      <c r="AI80" s="529">
        <f t="shared" ca="1" si="68"/>
        <v>-1.1237513952406327E-2</v>
      </c>
      <c r="AJ80" s="529">
        <f t="shared" ca="1" si="68"/>
        <v>-1.3190425706273301E-2</v>
      </c>
      <c r="AK80" s="529">
        <f t="shared" ca="1" si="68"/>
        <v>-1.539920475760987E-2</v>
      </c>
      <c r="AL80" s="712">
        <f t="shared" ca="1" si="64"/>
        <v>-1.539920475760987E-2</v>
      </c>
      <c r="AM80" s="712">
        <f t="shared" ca="1" si="64"/>
        <v>-1.539920475760987E-2</v>
      </c>
    </row>
    <row r="81" spans="1:39" x14ac:dyDescent="0.25">
      <c r="A81" s="739" t="s">
        <v>249</v>
      </c>
      <c r="B81" s="87">
        <f>SUM(B75:B80)</f>
        <v>1578</v>
      </c>
      <c r="C81" s="740">
        <f>SUM(C75:C80)</f>
        <v>0.7818165881691076</v>
      </c>
      <c r="D81" s="740">
        <f>SUM(D75:D80)</f>
        <v>-2.8600063833548163E-2</v>
      </c>
      <c r="F81" s="1" t="s">
        <v>725</v>
      </c>
      <c r="G81" s="741">
        <f>AQCZSplits!F7</f>
        <v>0.12352885495219765</v>
      </c>
      <c r="H81" s="723">
        <f>H79-H80</f>
        <v>4.6397082858883165E-2</v>
      </c>
      <c r="I81" s="723">
        <f>I79-I80</f>
        <v>-5.0705781744636025E-3</v>
      </c>
      <c r="J81" s="452">
        <f ca="1">H81*$U$77</f>
        <v>0.11615219047212906</v>
      </c>
      <c r="K81" s="452">
        <f ca="1">I81*$U$80</f>
        <v>-1.9903061549418916E-2</v>
      </c>
      <c r="S81" t="s">
        <v>680</v>
      </c>
      <c r="T81" s="812" t="s">
        <v>704</v>
      </c>
      <c r="U81" s="609">
        <f t="shared" ref="U81:U82" ca="1" si="69">INDIRECT("'DevSumOut-"&amp;2020&amp;"BSR'!$P$70")</f>
        <v>3.9252055415799574</v>
      </c>
      <c r="V81" s="610"/>
      <c r="W81" s="529">
        <f t="shared" ref="W81:AK81" ca="1" si="70">W65/$U81</f>
        <v>6.800818814229187E-5</v>
      </c>
      <c r="X81" s="529">
        <f t="shared" ca="1" si="70"/>
        <v>9.5023623376254643E-5</v>
      </c>
      <c r="Y81" s="529">
        <f t="shared" ca="1" si="70"/>
        <v>1.6303181151854651E-4</v>
      </c>
      <c r="Z81" s="529">
        <f t="shared" ca="1" si="70"/>
        <v>0</v>
      </c>
      <c r="AA81" s="529">
        <f t="shared" ca="1" si="70"/>
        <v>1.600192662171573E-5</v>
      </c>
      <c r="AB81" s="529">
        <f t="shared" ca="1" si="70"/>
        <v>3.6004334898860396E-5</v>
      </c>
      <c r="AC81" s="529">
        <f t="shared" ca="1" si="70"/>
        <v>5.6006743176005062E-5</v>
      </c>
      <c r="AD81" s="529">
        <f t="shared" ca="1" si="70"/>
        <v>7.0408477135549218E-5</v>
      </c>
      <c r="AE81" s="529">
        <f t="shared" ca="1" si="70"/>
        <v>8.0009633108578664E-5</v>
      </c>
      <c r="AF81" s="614">
        <f t="shared" ca="1" si="70"/>
        <v>1.6303181151854651E-4</v>
      </c>
      <c r="AG81" s="614">
        <f t="shared" ca="1" si="70"/>
        <v>1.7903373814026226E-4</v>
      </c>
      <c r="AH81" s="614">
        <f t="shared" ca="1" si="70"/>
        <v>2.1503807303912263E-4</v>
      </c>
      <c r="AI81" s="614">
        <f t="shared" ca="1" si="70"/>
        <v>2.7104481621512767E-4</v>
      </c>
      <c r="AJ81" s="614">
        <f t="shared" ca="1" si="70"/>
        <v>3.4145329335067689E-4</v>
      </c>
      <c r="AK81" s="614">
        <f t="shared" ca="1" si="70"/>
        <v>4.2146292645925561E-4</v>
      </c>
      <c r="AL81" s="713">
        <f t="shared" ca="1" si="64"/>
        <v>4.2146292645925561E-4</v>
      </c>
      <c r="AM81" s="713">
        <f t="shared" ca="1" si="64"/>
        <v>4.2146292645925561E-4</v>
      </c>
    </row>
    <row r="82" spans="1:39" x14ac:dyDescent="0.25">
      <c r="S82" t="s">
        <v>680</v>
      </c>
      <c r="T82" s="812" t="s">
        <v>706</v>
      </c>
      <c r="U82" s="609">
        <f t="shared" ca="1" si="69"/>
        <v>3.9252055415799574</v>
      </c>
      <c r="V82" s="529">
        <f t="shared" ref="V82:AK82" ca="1" si="71">V65/$U82</f>
        <v>0</v>
      </c>
      <c r="W82" s="529">
        <f t="shared" ca="1" si="71"/>
        <v>6.800818814229187E-5</v>
      </c>
      <c r="X82" s="529">
        <f t="shared" ca="1" si="71"/>
        <v>9.5023623376254643E-5</v>
      </c>
      <c r="Y82" s="529">
        <f t="shared" ca="1" si="71"/>
        <v>1.6303181151854651E-4</v>
      </c>
      <c r="Z82" s="529">
        <f t="shared" ca="1" si="71"/>
        <v>0</v>
      </c>
      <c r="AA82" s="529">
        <f t="shared" ca="1" si="71"/>
        <v>1.600192662171573E-5</v>
      </c>
      <c r="AB82" s="529">
        <f t="shared" ca="1" si="71"/>
        <v>3.6004334898860396E-5</v>
      </c>
      <c r="AC82" s="529">
        <f t="shared" ca="1" si="71"/>
        <v>5.6006743176005062E-5</v>
      </c>
      <c r="AD82" s="529">
        <f t="shared" ca="1" si="71"/>
        <v>7.0408477135549218E-5</v>
      </c>
      <c r="AE82" s="529">
        <f t="shared" ca="1" si="71"/>
        <v>8.0009633108578664E-5</v>
      </c>
      <c r="AF82" s="614">
        <f t="shared" ca="1" si="71"/>
        <v>1.6303181151854651E-4</v>
      </c>
      <c r="AG82" s="614">
        <f t="shared" ca="1" si="71"/>
        <v>1.7903373814026226E-4</v>
      </c>
      <c r="AH82" s="614">
        <f t="shared" ca="1" si="71"/>
        <v>2.1503807303912263E-4</v>
      </c>
      <c r="AI82" s="614">
        <f t="shared" ca="1" si="71"/>
        <v>2.7104481621512767E-4</v>
      </c>
      <c r="AJ82" s="614">
        <f t="shared" ca="1" si="71"/>
        <v>3.4145329335067689E-4</v>
      </c>
      <c r="AK82" s="614">
        <f t="shared" ca="1" si="71"/>
        <v>4.2146292645925561E-4</v>
      </c>
      <c r="AL82" s="713">
        <f t="shared" ca="1" si="64"/>
        <v>4.2146292645925561E-4</v>
      </c>
      <c r="AM82" s="713">
        <f t="shared" ca="1" si="64"/>
        <v>4.2146292645925561E-4</v>
      </c>
    </row>
    <row r="83" spans="1:39" ht="15.75" thickBot="1" x14ac:dyDescent="0.3"/>
    <row r="84" spans="1:39" ht="15.75" thickBot="1" x14ac:dyDescent="0.3">
      <c r="A84" s="861" t="s">
        <v>726</v>
      </c>
      <c r="B84" s="862"/>
    </row>
    <row r="85" spans="1:39" x14ac:dyDescent="0.25">
      <c r="A85" s="863" t="s">
        <v>727</v>
      </c>
      <c r="B85" s="864"/>
    </row>
    <row r="86" spans="1:39" x14ac:dyDescent="0.25">
      <c r="A86" s="724" t="s">
        <v>728</v>
      </c>
      <c r="B86" s="725" t="s">
        <v>729</v>
      </c>
    </row>
    <row r="87" spans="1:39" x14ac:dyDescent="0.25">
      <c r="A87" s="724" t="s">
        <v>69</v>
      </c>
      <c r="B87" s="726">
        <f>AK54-Y54</f>
        <v>0.78181658816910748</v>
      </c>
      <c r="C87" s="498"/>
    </row>
    <row r="88" spans="1:39" x14ac:dyDescent="0.25">
      <c r="A88" s="724" t="s">
        <v>722</v>
      </c>
      <c r="B88" s="727">
        <f ca="1">J81</f>
        <v>0.11615219047212906</v>
      </c>
    </row>
    <row r="89" spans="1:39" x14ac:dyDescent="0.25">
      <c r="A89" s="747" t="s">
        <v>730</v>
      </c>
      <c r="B89" s="748">
        <f ca="1">SUM(B87:B88)</f>
        <v>0.89796877864123659</v>
      </c>
    </row>
    <row r="90" spans="1:39" ht="15.75" thickBot="1" x14ac:dyDescent="0.3">
      <c r="A90" s="728" t="s">
        <v>731</v>
      </c>
      <c r="B90" s="729">
        <f ca="1">B89/2.11</f>
        <v>0.42557762020911688</v>
      </c>
      <c r="C90" t="s">
        <v>732</v>
      </c>
    </row>
    <row r="93" spans="1:39" x14ac:dyDescent="0.25">
      <c r="A93" s="1" t="s">
        <v>733</v>
      </c>
      <c r="B93" s="703">
        <v>30</v>
      </c>
    </row>
    <row r="94" spans="1:39" x14ac:dyDescent="0.25">
      <c r="A94" s="1" t="s">
        <v>734</v>
      </c>
      <c r="B94" s="742">
        <v>0.48258800449429673</v>
      </c>
      <c r="C94" t="s">
        <v>735</v>
      </c>
    </row>
    <row r="95" spans="1:39" ht="15.75" thickBot="1" x14ac:dyDescent="0.3"/>
    <row r="96" spans="1:39" ht="15.75" thickBot="1" x14ac:dyDescent="0.3">
      <c r="A96" s="861" t="s">
        <v>242</v>
      </c>
      <c r="B96" s="862"/>
      <c r="D96" s="812" t="s">
        <v>736</v>
      </c>
    </row>
    <row r="97" spans="1:4" x14ac:dyDescent="0.25">
      <c r="A97" s="863" t="s">
        <v>727</v>
      </c>
      <c r="B97" s="864"/>
      <c r="D97" s="812" t="s">
        <v>737</v>
      </c>
    </row>
    <row r="98" spans="1:4" x14ac:dyDescent="0.25">
      <c r="A98" s="724" t="s">
        <v>728</v>
      </c>
      <c r="B98" s="743" t="s">
        <v>738</v>
      </c>
      <c r="D98" s="812" t="s">
        <v>739</v>
      </c>
    </row>
    <row r="99" spans="1:4" x14ac:dyDescent="0.25">
      <c r="A99" s="724" t="s">
        <v>69</v>
      </c>
      <c r="B99" s="744">
        <f>B87*B94*365/5</f>
        <v>27.542557423050035</v>
      </c>
      <c r="D99" s="38">
        <f>B99*5</f>
        <v>137.71278711525017</v>
      </c>
    </row>
    <row r="100" spans="1:4" x14ac:dyDescent="0.25">
      <c r="A100" s="724" t="s">
        <v>722</v>
      </c>
      <c r="B100" s="744">
        <f ca="1">B88*B93</f>
        <v>3.484565714163872</v>
      </c>
      <c r="D100" s="38">
        <f t="shared" ref="D100:D101" ca="1" si="72">B100*5</f>
        <v>17.422828570819359</v>
      </c>
    </row>
    <row r="101" spans="1:4" ht="15.75" thickBot="1" x14ac:dyDescent="0.3">
      <c r="A101" s="749" t="s">
        <v>730</v>
      </c>
      <c r="B101" s="750">
        <f ca="1">SUM(B99:B100)</f>
        <v>31.027123137213906</v>
      </c>
      <c r="D101" s="260">
        <f t="shared" ca="1" si="72"/>
        <v>155.13561568606951</v>
      </c>
    </row>
  </sheetData>
  <mergeCells count="28">
    <mergeCell ref="A2:L2"/>
    <mergeCell ref="A1:L1"/>
    <mergeCell ref="Y1:AD1"/>
    <mergeCell ref="E4:L4"/>
    <mergeCell ref="E5:H5"/>
    <mergeCell ref="I5:J5"/>
    <mergeCell ref="Y2:AD2"/>
    <mergeCell ref="V29:X29"/>
    <mergeCell ref="T7:U7"/>
    <mergeCell ref="T12:U12"/>
    <mergeCell ref="T14:U14"/>
    <mergeCell ref="T19:U19"/>
    <mergeCell ref="T21:U21"/>
    <mergeCell ref="T26:U26"/>
    <mergeCell ref="A84:B84"/>
    <mergeCell ref="A96:B96"/>
    <mergeCell ref="A97:B97"/>
    <mergeCell ref="A85:B85"/>
    <mergeCell ref="Z39:AE39"/>
    <mergeCell ref="T45:U45"/>
    <mergeCell ref="A64:K64"/>
    <mergeCell ref="J77:K77"/>
    <mergeCell ref="J76:K76"/>
    <mergeCell ref="E42:L42"/>
    <mergeCell ref="E43:H43"/>
    <mergeCell ref="I43:J43"/>
    <mergeCell ref="H77:I77"/>
    <mergeCell ref="H76:I76"/>
  </mergeCells>
  <printOptions horizontalCentered="1" headings="1" gridLines="1"/>
  <pageMargins left="0.25" right="0.25" top="0.75" bottom="0.75" header="0.3" footer="0.3"/>
  <pageSetup scale="58" orientation="landscape" r:id="rId1"/>
  <headerFooter>
    <oddHeader>&amp;A</oddHeader>
    <oddFooter>&amp;F</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BE132"/>
  <sheetViews>
    <sheetView zoomScale="84" zoomScaleNormal="84" workbookViewId="0">
      <selection activeCell="P85" sqref="P85"/>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"&amp;Year&amp;" FNSB CURTAILMENT PROGRAM BENEFITS -- TWO-STAGE PROGRAM, INCLUDING REGISTRATION EFFECTS ON COMPLIANCE AND WAIVERS"</f>
        <v>CALCULATION OF 2029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Year&amp;" Baseline PM2.5 NA Area Emissions (tpd) by Curtailment Regime"</f>
        <v>2029 Baseline PM2.5 NA Area Emissions (tpd) by Curtailment Regime</v>
      </c>
      <c r="D4" s="840"/>
      <c r="E4" s="840"/>
      <c r="F4" s="840"/>
      <c r="G4" s="840"/>
      <c r="H4" s="840"/>
      <c r="I4" s="840"/>
      <c r="J4" s="840" t="str">
        <f>Year&amp;" Baseline SO2 NA Area Emissions (tpd) by Curtailment Regime"</f>
        <v>2029 Baseline SO2 NA Area Emissions (tpd) by Curtailment Regime</v>
      </c>
      <c r="K4" s="840"/>
      <c r="L4" s="840"/>
      <c r="M4" s="840"/>
      <c r="N4" s="840"/>
      <c r="O4" s="840"/>
      <c r="P4" s="840"/>
      <c r="Q4" s="840" t="str">
        <f>Year&amp;" Baseline NA Area Energy Use (mmBTU/day) by Curtailment Regime"</f>
        <v>2029 Baseline NA Area Energy Use (mmBTU/day)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INDIRECT("'DevSumOut-"&amp;Year&amp;"BSR'!R50")</f>
        <v>0.70760873023590076</v>
      </c>
      <c r="D6" s="133">
        <f ca="1">INDIRECT("'DevSumOut-"&amp;Year&amp;"BSR'!R50")</f>
        <v>0.70760873023590076</v>
      </c>
      <c r="E6" s="133">
        <f ca="1">INDIRECT("'DevSumOut-"&amp;Year&amp;"BSR'!R50")</f>
        <v>0.70760873023590076</v>
      </c>
      <c r="F6" s="551" t="s">
        <v>336</v>
      </c>
      <c r="G6" s="133">
        <f ca="1">INDIRECT("'DevSumOut-"&amp;Year&amp;"BSR'!R50")</f>
        <v>0.70760873023590076</v>
      </c>
      <c r="H6" s="133">
        <f ca="1">INDIRECT("'DevSumOut-"&amp;Year&amp;"BSR'!R50")</f>
        <v>0.70760873023590076</v>
      </c>
      <c r="I6" s="551" t="s">
        <v>336</v>
      </c>
      <c r="J6" s="133">
        <f ca="1">INDIRECT("'DevSumOut-"&amp;Year&amp;"BSR'!P50")</f>
        <v>8.1804477483919183E-3</v>
      </c>
      <c r="K6" s="133">
        <f ca="1">INDIRECT("'DevSumOut-"&amp;Year&amp;"BSR'!P50")</f>
        <v>8.1804477483919183E-3</v>
      </c>
      <c r="L6" s="133">
        <f ca="1">INDIRECT("'DevSumOut-"&amp;Year&amp;"BSR'!P50")</f>
        <v>8.1804477483919183E-3</v>
      </c>
      <c r="M6" s="551" t="s">
        <v>336</v>
      </c>
      <c r="N6" s="133">
        <f ca="1">INDIRECT("'DevSumOut-"&amp;Year&amp;"BSR'!P50")</f>
        <v>8.1804477483919183E-3</v>
      </c>
      <c r="O6" s="133">
        <f ca="1">INDIRECT("'DevSumOut-"&amp;Year&amp;"BSR'!P50")</f>
        <v>8.1804477483919183E-3</v>
      </c>
      <c r="P6" s="551" t="s">
        <v>336</v>
      </c>
      <c r="Q6" s="45">
        <f ca="1">INDIRECT("'DevSumOut-"&amp;Year&amp;"BSR'!U50")</f>
        <v>656.80787728654434</v>
      </c>
      <c r="R6" s="45">
        <f ca="1">INDIRECT("'DevSumOut-"&amp;Year&amp;"BSR'!U50")</f>
        <v>656.80787728654434</v>
      </c>
      <c r="S6" s="45">
        <f ca="1">INDIRECT("'DevSumOut-"&amp;Year&amp;"BSR'!U50")</f>
        <v>656.80787728654434</v>
      </c>
      <c r="T6" s="581" t="s">
        <v>336</v>
      </c>
      <c r="U6" s="45">
        <f ca="1">INDIRECT("'DevSumOut-"&amp;Year&amp;"BSR'!U50")</f>
        <v>656.80787728654434</v>
      </c>
      <c r="V6" s="45">
        <f ca="1">INDIRECT("'DevSumOut-"&amp;Year&amp;"BSR'!U50")</f>
        <v>656.80787728654434</v>
      </c>
      <c r="W6" s="581" t="s">
        <v>336</v>
      </c>
      <c r="X6" s="133">
        <f t="shared" ref="X6:X22" ca="1" si="0">C6*2000/Q6</f>
        <v>2.1546901451889671</v>
      </c>
      <c r="Y6" s="133">
        <f t="shared" ref="Y6:Y22" ca="1" si="1">D6*2000/R6</f>
        <v>2.1546901451889671</v>
      </c>
      <c r="Z6" s="133">
        <f t="shared" ref="Z6:Z22" ca="1" si="2">E6*2000/S6</f>
        <v>2.1546901451889671</v>
      </c>
      <c r="AA6" s="133"/>
      <c r="AB6" s="133">
        <f t="shared" ref="AB6:AB22" ca="1" si="3">G6*2000/U6</f>
        <v>2.1546901451889671</v>
      </c>
      <c r="AC6" s="133">
        <f t="shared" ref="AC6:AC22" ca="1" si="4">H6*2000/V6</f>
        <v>2.1546901451889671</v>
      </c>
    </row>
    <row r="7" spans="1:29" x14ac:dyDescent="0.25">
      <c r="A7" s="812">
        <v>2104008210</v>
      </c>
      <c r="B7" s="812" t="s">
        <v>138</v>
      </c>
      <c r="C7" s="133">
        <f ca="1">INDIRECT("'DevSumOut-"&amp;Year&amp;"BSR'!R51")</f>
        <v>5.5224662623176032E-2</v>
      </c>
      <c r="D7" s="133">
        <f ca="1">INDIRECT("'DevSumOut-"&amp;Year&amp;"BSR'!R51")</f>
        <v>5.5224662623176032E-2</v>
      </c>
      <c r="E7" s="133">
        <f ca="1">INDIRECT("'DevSumOut-"&amp;Year&amp;"BSR'!R51")</f>
        <v>5.5224662623176032E-2</v>
      </c>
      <c r="F7" s="551" t="s">
        <v>336</v>
      </c>
      <c r="G7" s="133">
        <f ca="1">INDIRECT("'DevSumOut-"&amp;Year&amp;"BSR'!R51")</f>
        <v>5.5224662623176032E-2</v>
      </c>
      <c r="H7" s="133">
        <f ca="1">INDIRECT("'DevSumOut-"&amp;Year&amp;"BSR'!R51")</f>
        <v>5.5224662623176032E-2</v>
      </c>
      <c r="I7" s="551" t="s">
        <v>336</v>
      </c>
      <c r="J7" s="133">
        <f ca="1">INDIRECT("'DevSumOut-"&amp;Year&amp;"BSR'!P51")</f>
        <v>7.2189101468203944E-4</v>
      </c>
      <c r="K7" s="133">
        <f ca="1">INDIRECT("'DevSumOut-"&amp;Year&amp;"BSR'!P51")</f>
        <v>7.2189101468203944E-4</v>
      </c>
      <c r="L7" s="133">
        <f ca="1">INDIRECT("'DevSumOut-"&amp;Year&amp;"BSR'!P51")</f>
        <v>7.2189101468203944E-4</v>
      </c>
      <c r="M7" s="551" t="s">
        <v>336</v>
      </c>
      <c r="N7" s="133">
        <f ca="1">INDIRECT("'DevSumOut-"&amp;Year&amp;"BSR'!P51")</f>
        <v>7.2189101468203944E-4</v>
      </c>
      <c r="O7" s="133">
        <f ca="1">INDIRECT("'DevSumOut-"&amp;Year&amp;"BSR'!P51")</f>
        <v>7.2189101468203944E-4</v>
      </c>
      <c r="P7" s="551" t="s">
        <v>336</v>
      </c>
      <c r="Q7" s="45">
        <f ca="1">INDIRECT("'DevSumOut-"&amp;Year&amp;"BSR'!U51")</f>
        <v>57.950279135419493</v>
      </c>
      <c r="R7" s="45">
        <f ca="1">INDIRECT("'DevSumOut-"&amp;Year&amp;"BSR'!U51")</f>
        <v>57.950279135419493</v>
      </c>
      <c r="S7" s="45">
        <f ca="1">INDIRECT("'DevSumOut-"&amp;Year&amp;"BSR'!U51")</f>
        <v>57.950279135419493</v>
      </c>
      <c r="T7" s="581" t="s">
        <v>336</v>
      </c>
      <c r="U7" s="45">
        <f ca="1">INDIRECT("'DevSumOut-"&amp;Year&amp;"BSR'!U51")</f>
        <v>57.950279135419493</v>
      </c>
      <c r="V7" s="45">
        <f ca="1">INDIRECT("'DevSumOut-"&amp;Year&amp;"BSR'!U51")</f>
        <v>57.950279135419493</v>
      </c>
      <c r="W7" s="581" t="s">
        <v>336</v>
      </c>
      <c r="X7" s="133">
        <f t="shared" ca="1" si="0"/>
        <v>1.905932583831937</v>
      </c>
      <c r="Y7" s="133">
        <f t="shared" ca="1" si="1"/>
        <v>1.905932583831937</v>
      </c>
      <c r="Z7" s="133">
        <f t="shared" ca="1" si="2"/>
        <v>1.905932583831937</v>
      </c>
      <c r="AA7" s="133"/>
      <c r="AB7" s="133">
        <f t="shared" ca="1" si="3"/>
        <v>1.905932583831937</v>
      </c>
      <c r="AC7" s="133">
        <f t="shared" ca="1" si="4"/>
        <v>1.905932583831937</v>
      </c>
    </row>
    <row r="8" spans="1:29" x14ac:dyDescent="0.25">
      <c r="A8" s="812">
        <v>2104008220</v>
      </c>
      <c r="B8" s="812" t="s">
        <v>139</v>
      </c>
      <c r="C8" s="133">
        <f ca="1">INDIRECT("'DevSumOut-"&amp;Year&amp;"BSR'!R52")</f>
        <v>4.5596433431037281E-2</v>
      </c>
      <c r="D8" s="133">
        <f ca="1">INDIRECT("'DevSumOut-"&amp;Year&amp;"BSR'!R52")</f>
        <v>4.5596433431037281E-2</v>
      </c>
      <c r="E8" s="133">
        <f ca="1">INDIRECT("'DevSumOut-"&amp;Year&amp;"BSR'!R52")</f>
        <v>4.5596433431037281E-2</v>
      </c>
      <c r="F8" s="551" t="s">
        <v>336</v>
      </c>
      <c r="G8" s="133">
        <f ca="1">INDIRECT("'DevSumOut-"&amp;Year&amp;"BSR'!R52")</f>
        <v>4.5596433431037281E-2</v>
      </c>
      <c r="H8" s="133">
        <f ca="1">INDIRECT("'DevSumOut-"&amp;Year&amp;"BSR'!R52")</f>
        <v>4.5596433431037281E-2</v>
      </c>
      <c r="I8" s="551" t="s">
        <v>336</v>
      </c>
      <c r="J8" s="133">
        <f ca="1">INDIRECT("'DevSumOut-"&amp;Year&amp;"BSR'!P52")</f>
        <v>1.5198811143679099E-3</v>
      </c>
      <c r="K8" s="133">
        <f ca="1">INDIRECT("'DevSumOut-"&amp;Year&amp;"BSR'!P52")</f>
        <v>1.5198811143679099E-3</v>
      </c>
      <c r="L8" s="133">
        <f ca="1">INDIRECT("'DevSumOut-"&amp;Year&amp;"BSR'!P52")</f>
        <v>1.5198811143679099E-3</v>
      </c>
      <c r="M8" s="551" t="s">
        <v>336</v>
      </c>
      <c r="N8" s="133">
        <f ca="1">INDIRECT("'DevSumOut-"&amp;Year&amp;"BSR'!P52")</f>
        <v>1.5198811143679099E-3</v>
      </c>
      <c r="O8" s="133">
        <f ca="1">INDIRECT("'DevSumOut-"&amp;Year&amp;"BSR'!P52")</f>
        <v>1.5198811143679099E-3</v>
      </c>
      <c r="P8" s="551" t="s">
        <v>336</v>
      </c>
      <c r="Q8" s="45">
        <f ca="1">INDIRECT("'DevSumOut-"&amp;Year&amp;"BSR'!U52")</f>
        <v>122.00946270132886</v>
      </c>
      <c r="R8" s="45">
        <f ca="1">INDIRECT("'DevSumOut-"&amp;Year&amp;"BSR'!U52")</f>
        <v>122.00946270132886</v>
      </c>
      <c r="S8" s="45">
        <f ca="1">INDIRECT("'DevSumOut-"&amp;Year&amp;"BSR'!U52")</f>
        <v>122.00946270132886</v>
      </c>
      <c r="T8" s="581" t="s">
        <v>336</v>
      </c>
      <c r="U8" s="45">
        <f ca="1">INDIRECT("'DevSumOut-"&amp;Year&amp;"BSR'!U52")</f>
        <v>122.00946270132886</v>
      </c>
      <c r="V8" s="45">
        <f ca="1">INDIRECT("'DevSumOut-"&amp;Year&amp;"BSR'!U52")</f>
        <v>122.00946270132886</v>
      </c>
      <c r="W8" s="581" t="s">
        <v>336</v>
      </c>
      <c r="X8" s="133">
        <f t="shared" ca="1" si="0"/>
        <v>0.74742454267919123</v>
      </c>
      <c r="Y8" s="133">
        <f t="shared" ca="1" si="1"/>
        <v>0.74742454267919123</v>
      </c>
      <c r="Z8" s="133">
        <f t="shared" ca="1" si="2"/>
        <v>0.74742454267919123</v>
      </c>
      <c r="AA8" s="133"/>
      <c r="AB8" s="133">
        <f t="shared" ca="1" si="3"/>
        <v>0.74742454267919123</v>
      </c>
      <c r="AC8" s="133">
        <f t="shared" ca="1" si="4"/>
        <v>0.74742454267919123</v>
      </c>
    </row>
    <row r="9" spans="1:29" x14ac:dyDescent="0.25">
      <c r="A9" s="812">
        <v>2104008230</v>
      </c>
      <c r="B9" s="812" t="s">
        <v>140</v>
      </c>
      <c r="C9" s="133">
        <f ca="1">INDIRECT("'DevSumOut-"&amp;Year&amp;"BSR'!R53")</f>
        <v>2.9740090689211549E-2</v>
      </c>
      <c r="D9" s="133">
        <f ca="1">INDIRECT("'DevSumOut-"&amp;Year&amp;"BSR'!R53")</f>
        <v>2.9740090689211549E-2</v>
      </c>
      <c r="E9" s="133">
        <f ca="1">INDIRECT("'DevSumOut-"&amp;Year&amp;"BSR'!R53")</f>
        <v>2.9740090689211549E-2</v>
      </c>
      <c r="F9" s="551" t="s">
        <v>336</v>
      </c>
      <c r="G9" s="133">
        <f ca="1">INDIRECT("'DevSumOut-"&amp;Year&amp;"BSR'!R53")</f>
        <v>2.9740090689211549E-2</v>
      </c>
      <c r="H9" s="133">
        <f ca="1">INDIRECT("'DevSumOut-"&amp;Year&amp;"BSR'!R53")</f>
        <v>2.9740090689211549E-2</v>
      </c>
      <c r="I9" s="551" t="s">
        <v>336</v>
      </c>
      <c r="J9" s="133">
        <f ca="1">INDIRECT("'DevSumOut-"&amp;Year&amp;"BSR'!P53")</f>
        <v>9.1507971351420146E-4</v>
      </c>
      <c r="K9" s="133">
        <f ca="1">INDIRECT("'DevSumOut-"&amp;Year&amp;"BSR'!P53")</f>
        <v>9.1507971351420146E-4</v>
      </c>
      <c r="L9" s="133">
        <f ca="1">INDIRECT("'DevSumOut-"&amp;Year&amp;"BSR'!P53")</f>
        <v>9.1507971351420146E-4</v>
      </c>
      <c r="M9" s="551" t="s">
        <v>336</v>
      </c>
      <c r="N9" s="133">
        <f ca="1">INDIRECT("'DevSumOut-"&amp;Year&amp;"BSR'!P53")</f>
        <v>9.1507971351420146E-4</v>
      </c>
      <c r="O9" s="133">
        <f ca="1">INDIRECT("'DevSumOut-"&amp;Year&amp;"BSR'!P53")</f>
        <v>9.1507971351420146E-4</v>
      </c>
      <c r="P9" s="551" t="s">
        <v>336</v>
      </c>
      <c r="Q9" s="45">
        <f ca="1">INDIRECT("'DevSumOut-"&amp;Year&amp;"BSR'!U53")</f>
        <v>73.458629835785672</v>
      </c>
      <c r="R9" s="45">
        <f ca="1">INDIRECT("'DevSumOut-"&amp;Year&amp;"BSR'!U53")</f>
        <v>73.458629835785672</v>
      </c>
      <c r="S9" s="45">
        <f ca="1">INDIRECT("'DevSumOut-"&amp;Year&amp;"BSR'!U53")</f>
        <v>73.458629835785672</v>
      </c>
      <c r="T9" s="581" t="s">
        <v>336</v>
      </c>
      <c r="U9" s="45">
        <f ca="1">INDIRECT("'DevSumOut-"&amp;Year&amp;"BSR'!U53")</f>
        <v>73.458629835785672</v>
      </c>
      <c r="V9" s="45">
        <f ca="1">INDIRECT("'DevSumOut-"&amp;Year&amp;"BSR'!U53")</f>
        <v>73.458629835785672</v>
      </c>
      <c r="W9" s="581" t="s">
        <v>336</v>
      </c>
      <c r="X9" s="133">
        <f t="shared" ca="1" si="0"/>
        <v>0.80970992123579033</v>
      </c>
      <c r="Y9" s="133">
        <f t="shared" ca="1" si="1"/>
        <v>0.80970992123579033</v>
      </c>
      <c r="Z9" s="133">
        <f t="shared" ca="1" si="2"/>
        <v>0.80970992123579033</v>
      </c>
      <c r="AA9" s="133"/>
      <c r="AB9" s="133">
        <f t="shared" ca="1" si="3"/>
        <v>0.80970992123579033</v>
      </c>
      <c r="AC9" s="133">
        <f t="shared" ca="1" si="4"/>
        <v>0.80970992123579033</v>
      </c>
    </row>
    <row r="10" spans="1:29" x14ac:dyDescent="0.25">
      <c r="A10" s="812">
        <v>2104008310</v>
      </c>
      <c r="B10" s="812" t="s">
        <v>141</v>
      </c>
      <c r="C10" s="133">
        <f ca="1">INDIRECT("'DevSumOut-"&amp;Year&amp;"BSR'!R54")</f>
        <v>0.44470836940199449</v>
      </c>
      <c r="D10" s="133">
        <f ca="1">INDIRECT("'DevSumOut-"&amp;Year&amp;"BSR'!R54")</f>
        <v>0.44470836940199449</v>
      </c>
      <c r="E10" s="133">
        <f ca="1">INDIRECT("'DevSumOut-"&amp;Year&amp;"BSR'!R54")</f>
        <v>0.44470836940199449</v>
      </c>
      <c r="F10" s="551" t="s">
        <v>336</v>
      </c>
      <c r="G10" s="133">
        <f ca="1">INDIRECT("'DevSumOut-"&amp;Year&amp;"BSR'!R54")</f>
        <v>0.44470836940199449</v>
      </c>
      <c r="H10" s="133">
        <f ca="1">INDIRECT("'DevSumOut-"&amp;Year&amp;"BSR'!R54")</f>
        <v>0.44470836940199449</v>
      </c>
      <c r="I10" s="551" t="s">
        <v>336</v>
      </c>
      <c r="J10" s="133">
        <f ca="1">INDIRECT("'DevSumOut-"&amp;Year&amp;"BSR'!P54")</f>
        <v>1.465021555417146E-2</v>
      </c>
      <c r="K10" s="133">
        <f ca="1">INDIRECT("'DevSumOut-"&amp;Year&amp;"BSR'!P54")</f>
        <v>1.465021555417146E-2</v>
      </c>
      <c r="L10" s="133">
        <f ca="1">INDIRECT("'DevSumOut-"&amp;Year&amp;"BSR'!P54")</f>
        <v>1.465021555417146E-2</v>
      </c>
      <c r="M10" s="551" t="s">
        <v>336</v>
      </c>
      <c r="N10" s="133">
        <f ca="1">INDIRECT("'DevSumOut-"&amp;Year&amp;"BSR'!P54")</f>
        <v>1.465021555417146E-2</v>
      </c>
      <c r="O10" s="133">
        <f ca="1">INDIRECT("'DevSumOut-"&amp;Year&amp;"BSR'!P54")</f>
        <v>1.465021555417146E-2</v>
      </c>
      <c r="P10" s="551" t="s">
        <v>336</v>
      </c>
      <c r="Q10" s="45">
        <f ca="1">INDIRECT("'DevSumOut-"&amp;Year&amp;"BSR'!U54")</f>
        <v>1176.0557528649106</v>
      </c>
      <c r="R10" s="45">
        <f ca="1">INDIRECT("'DevSumOut-"&amp;Year&amp;"BSR'!U54")</f>
        <v>1176.0557528649106</v>
      </c>
      <c r="S10" s="45">
        <f ca="1">INDIRECT("'DevSumOut-"&amp;Year&amp;"BSR'!U54")</f>
        <v>1176.0557528649106</v>
      </c>
      <c r="T10" s="581" t="s">
        <v>336</v>
      </c>
      <c r="U10" s="45">
        <f ca="1">INDIRECT("'DevSumOut-"&amp;Year&amp;"BSR'!U54")</f>
        <v>1176.0557528649106</v>
      </c>
      <c r="V10" s="45">
        <f ca="1">INDIRECT("'DevSumOut-"&amp;Year&amp;"BSR'!U54")</f>
        <v>1176.0557528649106</v>
      </c>
      <c r="W10" s="581" t="s">
        <v>336</v>
      </c>
      <c r="X10" s="133">
        <f t="shared" ca="1" si="0"/>
        <v>0.75627089671330672</v>
      </c>
      <c r="Y10" s="133">
        <f t="shared" ca="1" si="1"/>
        <v>0.75627089671330672</v>
      </c>
      <c r="Z10" s="133">
        <f t="shared" ca="1" si="2"/>
        <v>0.75627089671330672</v>
      </c>
      <c r="AA10" s="133"/>
      <c r="AB10" s="133">
        <f t="shared" ca="1" si="3"/>
        <v>0.75627089671330672</v>
      </c>
      <c r="AC10" s="133">
        <f t="shared" ca="1" si="4"/>
        <v>0.75627089671330672</v>
      </c>
    </row>
    <row r="11" spans="1:29" x14ac:dyDescent="0.25">
      <c r="A11" s="812">
        <v>2104008320</v>
      </c>
      <c r="B11" s="812" t="s">
        <v>142</v>
      </c>
      <c r="C11" s="133">
        <f ca="1">INDIRECT("'DevSumOut-"&amp;Year&amp;"BSR'!R55")</f>
        <v>0.61112231325346655</v>
      </c>
      <c r="D11" s="133">
        <f ca="1">INDIRECT("'DevSumOut-"&amp;Year&amp;"BSR'!R55")</f>
        <v>0.61112231325346655</v>
      </c>
      <c r="E11" s="133">
        <f ca="1">INDIRECT("'DevSumOut-"&amp;Year&amp;"BSR'!R55")</f>
        <v>0.61112231325346655</v>
      </c>
      <c r="F11" s="551" t="s">
        <v>336</v>
      </c>
      <c r="G11" s="133">
        <f ca="1">INDIRECT("'DevSumOut-"&amp;Year&amp;"BSR'!R55")</f>
        <v>0.61112231325346655</v>
      </c>
      <c r="H11" s="133">
        <f ca="1">INDIRECT("'DevSumOut-"&amp;Year&amp;"BSR'!R55")</f>
        <v>0.61112231325346655</v>
      </c>
      <c r="I11" s="551" t="s">
        <v>336</v>
      </c>
      <c r="J11" s="133">
        <f ca="1">INDIRECT("'DevSumOut-"&amp;Year&amp;"BSR'!P55")</f>
        <v>3.0844802732461808E-2</v>
      </c>
      <c r="K11" s="133">
        <f ca="1">INDIRECT("'DevSumOut-"&amp;Year&amp;"BSR'!P55")</f>
        <v>3.0844802732461808E-2</v>
      </c>
      <c r="L11" s="133">
        <f ca="1">INDIRECT("'DevSumOut-"&amp;Year&amp;"BSR'!P55")</f>
        <v>3.0844802732461808E-2</v>
      </c>
      <c r="M11" s="551" t="s">
        <v>336</v>
      </c>
      <c r="N11" s="133">
        <f ca="1">INDIRECT("'DevSumOut-"&amp;Year&amp;"BSR'!P55")</f>
        <v>3.0844802732461808E-2</v>
      </c>
      <c r="O11" s="133">
        <f ca="1">INDIRECT("'DevSumOut-"&amp;Year&amp;"BSR'!P55")</f>
        <v>3.0844802732461808E-2</v>
      </c>
      <c r="P11" s="551" t="s">
        <v>336</v>
      </c>
      <c r="Q11" s="45">
        <f ca="1">INDIRECT("'DevSumOut-"&amp;Year&amp;"BSR'!U55")</f>
        <v>2476.0869603154833</v>
      </c>
      <c r="R11" s="45">
        <f ca="1">INDIRECT("'DevSumOut-"&amp;Year&amp;"BSR'!U55")</f>
        <v>2476.0869603154833</v>
      </c>
      <c r="S11" s="45">
        <f ca="1">INDIRECT("'DevSumOut-"&amp;Year&amp;"BSR'!U55")</f>
        <v>2476.0869603154833</v>
      </c>
      <c r="T11" s="581" t="s">
        <v>336</v>
      </c>
      <c r="U11" s="45">
        <f ca="1">INDIRECT("'DevSumOut-"&amp;Year&amp;"BSR'!U55")</f>
        <v>2476.0869603154833</v>
      </c>
      <c r="V11" s="45">
        <f ca="1">INDIRECT("'DevSumOut-"&amp;Year&amp;"BSR'!U55")</f>
        <v>2476.0869603154833</v>
      </c>
      <c r="W11" s="581" t="s">
        <v>336</v>
      </c>
      <c r="X11" s="133">
        <f t="shared" ca="1" si="0"/>
        <v>0.49361942698135469</v>
      </c>
      <c r="Y11" s="133">
        <f t="shared" ca="1" si="1"/>
        <v>0.49361942698135469</v>
      </c>
      <c r="Z11" s="133">
        <f t="shared" ca="1" si="2"/>
        <v>0.49361942698135469</v>
      </c>
      <c r="AA11" s="133"/>
      <c r="AB11" s="133">
        <f t="shared" ca="1" si="3"/>
        <v>0.49361942698135469</v>
      </c>
      <c r="AC11" s="133">
        <f t="shared" ca="1" si="4"/>
        <v>0.49361942698135469</v>
      </c>
    </row>
    <row r="12" spans="1:29" x14ac:dyDescent="0.25">
      <c r="A12" s="812">
        <v>2104008330</v>
      </c>
      <c r="B12" s="812" t="s">
        <v>143</v>
      </c>
      <c r="C12" s="133">
        <f ca="1">INDIRECT("'DevSumOut-"&amp;Year&amp;"BSR'!R56")</f>
        <v>0.4082626109123853</v>
      </c>
      <c r="D12" s="133">
        <f ca="1">INDIRECT("'DevSumOut-"&amp;Year&amp;"BSR'!R56")</f>
        <v>0.4082626109123853</v>
      </c>
      <c r="E12" s="133">
        <f ca="1">INDIRECT("'DevSumOut-"&amp;Year&amp;"BSR'!R56")</f>
        <v>0.4082626109123853</v>
      </c>
      <c r="F12" s="551" t="s">
        <v>336</v>
      </c>
      <c r="G12" s="133">
        <f ca="1">INDIRECT("'DevSumOut-"&amp;Year&amp;"BSR'!R56")</f>
        <v>0.4082626109123853</v>
      </c>
      <c r="H12" s="133">
        <f ca="1">INDIRECT("'DevSumOut-"&amp;Year&amp;"BSR'!R56")</f>
        <v>0.4082626109123853</v>
      </c>
      <c r="I12" s="551" t="s">
        <v>336</v>
      </c>
      <c r="J12" s="133">
        <f ca="1">INDIRECT("'DevSumOut-"&amp;Year&amp;"BSR'!P56")</f>
        <v>1.8570829639896966E-2</v>
      </c>
      <c r="K12" s="133">
        <f ca="1">INDIRECT("'DevSumOut-"&amp;Year&amp;"BSR'!P56")</f>
        <v>1.8570829639896966E-2</v>
      </c>
      <c r="L12" s="133">
        <f ca="1">INDIRECT("'DevSumOut-"&amp;Year&amp;"BSR'!P56")</f>
        <v>1.8570829639896966E-2</v>
      </c>
      <c r="M12" s="551" t="s">
        <v>336</v>
      </c>
      <c r="N12" s="133">
        <f ca="1">INDIRECT("'DevSumOut-"&amp;Year&amp;"BSR'!P56")</f>
        <v>1.8570829639896966E-2</v>
      </c>
      <c r="O12" s="133">
        <f ca="1">INDIRECT("'DevSumOut-"&amp;Year&amp;"BSR'!P56")</f>
        <v>1.8570829639896966E-2</v>
      </c>
      <c r="P12" s="551" t="s">
        <v>336</v>
      </c>
      <c r="Q12" s="45">
        <f ca="1">INDIRECT("'DevSumOut-"&amp;Year&amp;"BSR'!U56")</f>
        <v>1490.7856442601123</v>
      </c>
      <c r="R12" s="45">
        <f ca="1">INDIRECT("'DevSumOut-"&amp;Year&amp;"BSR'!U56")</f>
        <v>1490.7856442601123</v>
      </c>
      <c r="S12" s="45">
        <f ca="1">INDIRECT("'DevSumOut-"&amp;Year&amp;"BSR'!U56")</f>
        <v>1490.7856442601123</v>
      </c>
      <c r="T12" s="581" t="s">
        <v>336</v>
      </c>
      <c r="U12" s="45">
        <f ca="1">INDIRECT("'DevSumOut-"&amp;Year&amp;"BSR'!U56")</f>
        <v>1490.7856442601123</v>
      </c>
      <c r="V12" s="45">
        <f ca="1">INDIRECT("'DevSumOut-"&amp;Year&amp;"BSR'!U56")</f>
        <v>1490.7856442601123</v>
      </c>
      <c r="W12" s="581" t="s">
        <v>336</v>
      </c>
      <c r="X12" s="133">
        <f t="shared" ca="1" si="0"/>
        <v>0.54771470665054467</v>
      </c>
      <c r="Y12" s="133">
        <f t="shared" ca="1" si="1"/>
        <v>0.54771470665054467</v>
      </c>
      <c r="Z12" s="133">
        <f t="shared" ca="1" si="2"/>
        <v>0.54771470665054467</v>
      </c>
      <c r="AA12" s="133"/>
      <c r="AB12" s="133">
        <f t="shared" ca="1" si="3"/>
        <v>0.54771470665054467</v>
      </c>
      <c r="AC12" s="133">
        <f t="shared" ca="1" si="4"/>
        <v>0.54771470665054467</v>
      </c>
    </row>
    <row r="13" spans="1:29" x14ac:dyDescent="0.25">
      <c r="A13" s="812">
        <v>2104008410</v>
      </c>
      <c r="B13" s="812" t="s">
        <v>144</v>
      </c>
      <c r="C13" s="133">
        <f ca="1">INDIRECT("'DevSumOut-"&amp;Year&amp;"BSR'!R57")</f>
        <v>1.50643570165E-2</v>
      </c>
      <c r="D13" s="133">
        <f ca="1">INDIRECT("'DevSumOut-"&amp;Year&amp;"BSR'!R57")</f>
        <v>1.50643570165E-2</v>
      </c>
      <c r="E13" s="133">
        <f ca="1">INDIRECT("'DevSumOut-"&amp;Year&amp;"BSR'!R57")</f>
        <v>1.50643570165E-2</v>
      </c>
      <c r="F13" s="551" t="s">
        <v>336</v>
      </c>
      <c r="G13" s="133">
        <f ca="1">INDIRECT("'DevSumOut-"&amp;Year&amp;"BSR'!R57")</f>
        <v>1.50643570165E-2</v>
      </c>
      <c r="H13" s="133">
        <f ca="1">INDIRECT("'DevSumOut-"&amp;Year&amp;"BSR'!R57")</f>
        <v>1.50643570165E-2</v>
      </c>
      <c r="I13" s="551" t="s">
        <v>336</v>
      </c>
      <c r="J13" s="133">
        <f ca="1">INDIRECT("'DevSumOut-"&amp;Year&amp;"BSR'!P57")</f>
        <v>1.6285791369189189E-3</v>
      </c>
      <c r="K13" s="133">
        <f ca="1">INDIRECT("'DevSumOut-"&amp;Year&amp;"BSR'!P57")</f>
        <v>1.6285791369189189E-3</v>
      </c>
      <c r="L13" s="133">
        <f ca="1">INDIRECT("'DevSumOut-"&amp;Year&amp;"BSR'!P57")</f>
        <v>1.6285791369189189E-3</v>
      </c>
      <c r="M13" s="551" t="s">
        <v>336</v>
      </c>
      <c r="N13" s="133">
        <f ca="1">INDIRECT("'DevSumOut-"&amp;Year&amp;"BSR'!P57")</f>
        <v>1.6285791369189189E-3</v>
      </c>
      <c r="O13" s="133">
        <f ca="1">INDIRECT("'DevSumOut-"&amp;Year&amp;"BSR'!P57")</f>
        <v>1.6285791369189189E-3</v>
      </c>
      <c r="P13" s="551" t="s">
        <v>336</v>
      </c>
      <c r="Q13" s="45">
        <f ca="1">INDIRECT("'DevSumOut-"&amp;Year&amp;"BSR'!U57")</f>
        <v>156.12192092079189</v>
      </c>
      <c r="R13" s="45">
        <f ca="1">INDIRECT("'DevSumOut-"&amp;Year&amp;"BSR'!U57")</f>
        <v>156.12192092079189</v>
      </c>
      <c r="S13" s="45">
        <f ca="1">INDIRECT("'DevSumOut-"&amp;Year&amp;"BSR'!U57")</f>
        <v>156.12192092079189</v>
      </c>
      <c r="T13" s="581" t="s">
        <v>336</v>
      </c>
      <c r="U13" s="45">
        <f ca="1">INDIRECT("'DevSumOut-"&amp;Year&amp;"BSR'!U57")</f>
        <v>156.12192092079189</v>
      </c>
      <c r="V13" s="45">
        <f ca="1">INDIRECT("'DevSumOut-"&amp;Year&amp;"BSR'!U57")</f>
        <v>156.12192092079189</v>
      </c>
      <c r="W13" s="581" t="s">
        <v>336</v>
      </c>
      <c r="X13" s="133">
        <f t="shared" ca="1" si="0"/>
        <v>0.19298195830094694</v>
      </c>
      <c r="Y13" s="133">
        <f t="shared" ca="1" si="1"/>
        <v>0.19298195830094694</v>
      </c>
      <c r="Z13" s="133">
        <f t="shared" ca="1" si="2"/>
        <v>0.19298195830094694</v>
      </c>
      <c r="AA13" s="133"/>
      <c r="AB13" s="133">
        <f t="shared" ca="1" si="3"/>
        <v>0.19298195830094694</v>
      </c>
      <c r="AC13" s="133">
        <f t="shared" ca="1" si="4"/>
        <v>0.19298195830094694</v>
      </c>
    </row>
    <row r="14" spans="1:29" x14ac:dyDescent="0.25">
      <c r="A14" s="812">
        <v>2104008420</v>
      </c>
      <c r="B14" s="812" t="s">
        <v>145</v>
      </c>
      <c r="C14" s="133">
        <f ca="1">INDIRECT("'DevSumOut-"&amp;Year&amp;"BSR'!R58")</f>
        <v>5.0812544395728347E-2</v>
      </c>
      <c r="D14" s="133">
        <f ca="1">INDIRECT("'DevSumOut-"&amp;Year&amp;"BSR'!R58")</f>
        <v>5.0812544395728347E-2</v>
      </c>
      <c r="E14" s="133">
        <f ca="1">INDIRECT("'DevSumOut-"&amp;Year&amp;"BSR'!R58")</f>
        <v>5.0812544395728347E-2</v>
      </c>
      <c r="F14" s="551" t="s">
        <v>336</v>
      </c>
      <c r="G14" s="133">
        <f ca="1">INDIRECT("'DevSumOut-"&amp;Year&amp;"BSR'!R58")</f>
        <v>5.0812544395728347E-2</v>
      </c>
      <c r="H14" s="133">
        <f ca="1">INDIRECT("'DevSumOut-"&amp;Year&amp;"BSR'!R58")</f>
        <v>5.0812544395728347E-2</v>
      </c>
      <c r="I14" s="551" t="s">
        <v>336</v>
      </c>
      <c r="J14" s="133">
        <f ca="1">INDIRECT("'DevSumOut-"&amp;Year&amp;"BSR'!P58")</f>
        <v>5.4932480427814434E-3</v>
      </c>
      <c r="K14" s="133">
        <f ca="1">INDIRECT("'DevSumOut-"&amp;Year&amp;"BSR'!P58")</f>
        <v>5.4932480427814434E-3</v>
      </c>
      <c r="L14" s="133">
        <f ca="1">INDIRECT("'DevSumOut-"&amp;Year&amp;"BSR'!P58")</f>
        <v>5.4932480427814434E-3</v>
      </c>
      <c r="M14" s="551" t="s">
        <v>336</v>
      </c>
      <c r="N14" s="133">
        <f ca="1">INDIRECT("'DevSumOut-"&amp;Year&amp;"BSR'!P58")</f>
        <v>5.4932480427814434E-3</v>
      </c>
      <c r="O14" s="133">
        <f ca="1">INDIRECT("'DevSumOut-"&amp;Year&amp;"BSR'!P58")</f>
        <v>5.4932480427814434E-3</v>
      </c>
      <c r="P14" s="551" t="s">
        <v>336</v>
      </c>
      <c r="Q14" s="45">
        <f ca="1">INDIRECT("'DevSumOut-"&amp;Year&amp;"BSR'!U58")</f>
        <v>526.60409131602216</v>
      </c>
      <c r="R14" s="45">
        <f ca="1">INDIRECT("'DevSumOut-"&amp;Year&amp;"BSR'!U58")</f>
        <v>526.60409131602216</v>
      </c>
      <c r="S14" s="45">
        <f ca="1">INDIRECT("'DevSumOut-"&amp;Year&amp;"BSR'!U58")</f>
        <v>526.60409131602216</v>
      </c>
      <c r="T14" s="581" t="s">
        <v>336</v>
      </c>
      <c r="U14" s="45">
        <f ca="1">INDIRECT("'DevSumOut-"&amp;Year&amp;"BSR'!U58")</f>
        <v>526.60409131602216</v>
      </c>
      <c r="V14" s="45">
        <f ca="1">INDIRECT("'DevSumOut-"&amp;Year&amp;"BSR'!U58")</f>
        <v>526.60409131602216</v>
      </c>
      <c r="W14" s="581" t="s">
        <v>336</v>
      </c>
      <c r="X14" s="133">
        <f t="shared" ca="1" si="0"/>
        <v>0.19298195830094703</v>
      </c>
      <c r="Y14" s="133">
        <f t="shared" ca="1" si="1"/>
        <v>0.19298195830094703</v>
      </c>
      <c r="Z14" s="133">
        <f t="shared" ca="1" si="2"/>
        <v>0.19298195830094703</v>
      </c>
      <c r="AA14" s="133"/>
      <c r="AB14" s="133">
        <f t="shared" ca="1" si="3"/>
        <v>0.19298195830094703</v>
      </c>
      <c r="AC14" s="133">
        <f t="shared" ca="1" si="4"/>
        <v>0.19298195830094703</v>
      </c>
    </row>
    <row r="15" spans="1:29" x14ac:dyDescent="0.25">
      <c r="A15" s="812">
        <v>2104008610</v>
      </c>
      <c r="B15" s="812" t="s">
        <v>146</v>
      </c>
      <c r="C15" s="133">
        <f ca="1">INDIRECT("'DevSumOut-"&amp;Year&amp;"BSR'!R59")</f>
        <v>0.25245612937457973</v>
      </c>
      <c r="D15" s="133">
        <f ca="1">INDIRECT("'DevSumOut-"&amp;Year&amp;"BSR'!R59")</f>
        <v>0.25245612937457973</v>
      </c>
      <c r="E15" s="133">
        <f ca="1">INDIRECT("'DevSumOut-"&amp;Year&amp;"BSR'!R59")</f>
        <v>0.25245612937457973</v>
      </c>
      <c r="F15" s="551" t="s">
        <v>336</v>
      </c>
      <c r="G15" s="133">
        <f ca="1">INDIRECT("'DevSumOut-"&amp;Year&amp;"BSR'!R59")</f>
        <v>0.25245612937457973</v>
      </c>
      <c r="H15" s="133">
        <f ca="1">INDIRECT("'DevSumOut-"&amp;Year&amp;"BSR'!R59")</f>
        <v>0.25245612937457973</v>
      </c>
      <c r="I15" s="551" t="s">
        <v>336</v>
      </c>
      <c r="J15" s="133">
        <f ca="1">INDIRECT("'DevSumOut-"&amp;Year&amp;"BSR'!P59")</f>
        <v>1.0231093800626926E-2</v>
      </c>
      <c r="K15" s="133">
        <f ca="1">INDIRECT("'DevSumOut-"&amp;Year&amp;"BSR'!P59")</f>
        <v>1.0231093800626926E-2</v>
      </c>
      <c r="L15" s="133">
        <f ca="1">INDIRECT("'DevSumOut-"&amp;Year&amp;"BSR'!P59")</f>
        <v>1.0231093800626926E-2</v>
      </c>
      <c r="M15" s="551" t="s">
        <v>336</v>
      </c>
      <c r="N15" s="133">
        <f ca="1">INDIRECT("'DevSumOut-"&amp;Year&amp;"BSR'!P59")</f>
        <v>1.0231093800626926E-2</v>
      </c>
      <c r="O15" s="133">
        <f ca="1">INDIRECT("'DevSumOut-"&amp;Year&amp;"BSR'!P59")</f>
        <v>1.0231093800626926E-2</v>
      </c>
      <c r="P15" s="551" t="s">
        <v>336</v>
      </c>
      <c r="Q15" s="45">
        <f ca="1">INDIRECT("'DevSumOut-"&amp;Year&amp;"BSR'!U59")</f>
        <v>821.02589862504044</v>
      </c>
      <c r="R15" s="45">
        <f ca="1">INDIRECT("'DevSumOut-"&amp;Year&amp;"BSR'!U59")</f>
        <v>821.02589862504044</v>
      </c>
      <c r="S15" s="45">
        <f ca="1">INDIRECT("'DevSumOut-"&amp;Year&amp;"BSR'!U59")</f>
        <v>821.02589862504044</v>
      </c>
      <c r="T15" s="581" t="s">
        <v>336</v>
      </c>
      <c r="U15" s="45">
        <f ca="1">INDIRECT("'DevSumOut-"&amp;Year&amp;"BSR'!U59")</f>
        <v>821.02589862504044</v>
      </c>
      <c r="V15" s="45">
        <f ca="1">INDIRECT("'DevSumOut-"&amp;Year&amp;"BSR'!U59")</f>
        <v>821.02589862504044</v>
      </c>
      <c r="W15" s="581" t="s">
        <v>336</v>
      </c>
      <c r="X15" s="133">
        <f t="shared" ca="1" si="0"/>
        <v>0.6149772614904454</v>
      </c>
      <c r="Y15" s="133">
        <f t="shared" ca="1" si="1"/>
        <v>0.6149772614904454</v>
      </c>
      <c r="Z15" s="133">
        <f t="shared" ca="1" si="2"/>
        <v>0.6149772614904454</v>
      </c>
      <c r="AA15" s="133"/>
      <c r="AB15" s="133">
        <f t="shared" ca="1" si="3"/>
        <v>0.6149772614904454</v>
      </c>
      <c r="AC15" s="133">
        <f t="shared" ca="1" si="4"/>
        <v>0.6149772614904454</v>
      </c>
    </row>
    <row r="16" spans="1:29" x14ac:dyDescent="0.25">
      <c r="A16" s="812">
        <v>2104004000</v>
      </c>
      <c r="B16" s="812" t="s">
        <v>568</v>
      </c>
      <c r="C16" s="133">
        <f ca="1">INDIRECT("'DevSumOut-"&amp;Year&amp;"BSR'!R60")</f>
        <v>5.4813819300693851E-2</v>
      </c>
      <c r="D16" s="133">
        <f ca="1">INDIRECT("'DevSumOut-"&amp;Year&amp;"BSR'!R60")</f>
        <v>5.4813819300693851E-2</v>
      </c>
      <c r="E16" s="133">
        <f ca="1">INDIRECT("'DevSumOut-"&amp;Year&amp;"BSR'!R60")</f>
        <v>5.4813819300693851E-2</v>
      </c>
      <c r="F16" s="551" t="s">
        <v>336</v>
      </c>
      <c r="G16" s="133">
        <f ca="1">INDIRECT("'DevSumOut-"&amp;Year&amp;"BSR'!R60")</f>
        <v>5.4813819300693851E-2</v>
      </c>
      <c r="H16" s="133">
        <f ca="1">INDIRECT("'DevSumOut-"&amp;Year&amp;"BSR'!R60")</f>
        <v>5.4813819300693851E-2</v>
      </c>
      <c r="I16" s="551" t="s">
        <v>336</v>
      </c>
      <c r="J16" s="133">
        <f ca="1">INDIRECT("'DevSumOut-"&amp;Year&amp;"BSR'!P60")</f>
        <v>3.4697126519638024</v>
      </c>
      <c r="K16" s="133">
        <f ca="1">INDIRECT("'DevSumOut-"&amp;Year&amp;"BSR'!P60")</f>
        <v>3.4697126519638024</v>
      </c>
      <c r="L16" s="133">
        <f ca="1">INDIRECT("'DevSumOut-"&amp;Year&amp;"BSR'!P60")</f>
        <v>3.4697126519638024</v>
      </c>
      <c r="M16" s="551" t="s">
        <v>336</v>
      </c>
      <c r="N16" s="133">
        <f ca="1">INDIRECT("'DevSumOut-"&amp;Year&amp;"BSR'!P60")</f>
        <v>3.4697126519638024</v>
      </c>
      <c r="O16" s="133">
        <f ca="1">INDIRECT("'DevSumOut-"&amp;Year&amp;"BSR'!P60")</f>
        <v>3.4697126519638024</v>
      </c>
      <c r="P16" s="551" t="s">
        <v>336</v>
      </c>
      <c r="Q16" s="45">
        <f ca="1">INDIRECT("'DevSumOut-"&amp;Year&amp;"BSR'!U60")</f>
        <v>32223.590227497069</v>
      </c>
      <c r="R16" s="45">
        <f ca="1">INDIRECT("'DevSumOut-"&amp;Year&amp;"BSR'!U60")</f>
        <v>32223.590227497069</v>
      </c>
      <c r="S16" s="45">
        <f ca="1">INDIRECT("'DevSumOut-"&amp;Year&amp;"BSR'!U60")</f>
        <v>32223.590227497069</v>
      </c>
      <c r="T16" s="581" t="s">
        <v>336</v>
      </c>
      <c r="U16" s="45">
        <f ca="1">INDIRECT("'DevSumOut-"&amp;Year&amp;"BSR'!U60")</f>
        <v>32223.590227497069</v>
      </c>
      <c r="V16" s="45">
        <f ca="1">INDIRECT("'DevSumOut-"&amp;Year&amp;"BSR'!U60")</f>
        <v>32223.590227497069</v>
      </c>
      <c r="W16" s="581" t="s">
        <v>336</v>
      </c>
      <c r="X16" s="133">
        <f t="shared" ca="1" si="0"/>
        <v>3.4020926230572571E-3</v>
      </c>
      <c r="Y16" s="133">
        <f t="shared" ca="1" si="1"/>
        <v>3.4020926230572571E-3</v>
      </c>
      <c r="Z16" s="133">
        <f t="shared" ca="1" si="2"/>
        <v>3.4020926230572571E-3</v>
      </c>
      <c r="AA16" s="133"/>
      <c r="AB16" s="133">
        <f t="shared" ca="1" si="3"/>
        <v>3.4020926230572571E-3</v>
      </c>
      <c r="AC16" s="133">
        <f t="shared" ca="1" si="4"/>
        <v>3.4020926230572571E-3</v>
      </c>
    </row>
    <row r="17" spans="1:29" x14ac:dyDescent="0.25">
      <c r="A17" s="812">
        <v>2103004001</v>
      </c>
      <c r="B17" s="812" t="s">
        <v>148</v>
      </c>
      <c r="C17" s="133">
        <f ca="1">INDIRECT("'DevSumOut-"&amp;Year&amp;"BSR'!R61")</f>
        <v>1.8739368230717493E-2</v>
      </c>
      <c r="D17" s="133">
        <f ca="1">INDIRECT("'DevSumOut-"&amp;Year&amp;"BSR'!R61")</f>
        <v>1.8739368230717493E-2</v>
      </c>
      <c r="E17" s="133">
        <f ca="1">INDIRECT("'DevSumOut-"&amp;Year&amp;"BSR'!R61")</f>
        <v>1.8739368230717493E-2</v>
      </c>
      <c r="F17" s="551" t="s">
        <v>336</v>
      </c>
      <c r="G17" s="133">
        <f ca="1">INDIRECT("'DevSumOut-"&amp;Year&amp;"BSR'!R61")</f>
        <v>1.8739368230717493E-2</v>
      </c>
      <c r="H17" s="133">
        <f ca="1">INDIRECT("'DevSumOut-"&amp;Year&amp;"BSR'!R61")</f>
        <v>1.8739368230717493E-2</v>
      </c>
      <c r="I17" s="551" t="s">
        <v>336</v>
      </c>
      <c r="J17" s="133">
        <f ca="1">INDIRECT("'DevSumOut-"&amp;Year&amp;"BSR'!P61")</f>
        <v>0.52217749537133507</v>
      </c>
      <c r="K17" s="133">
        <f ca="1">INDIRECT("'DevSumOut-"&amp;Year&amp;"BSR'!P61")</f>
        <v>0.52217749537133507</v>
      </c>
      <c r="L17" s="133">
        <f ca="1">INDIRECT("'DevSumOut-"&amp;Year&amp;"BSR'!P61")</f>
        <v>0.52217749537133507</v>
      </c>
      <c r="M17" s="551" t="s">
        <v>336</v>
      </c>
      <c r="N17" s="133">
        <f ca="1">INDIRECT("'DevSumOut-"&amp;Year&amp;"BSR'!P61")</f>
        <v>0.52217749537133507</v>
      </c>
      <c r="O17" s="133">
        <f ca="1">INDIRECT("'DevSumOut-"&amp;Year&amp;"BSR'!P61")</f>
        <v>0.52217749537133507</v>
      </c>
      <c r="P17" s="551" t="s">
        <v>336</v>
      </c>
      <c r="Q17" s="45">
        <f ca="1">INDIRECT("'DevSumOut-"&amp;Year&amp;"BSR'!U61")</f>
        <v>11368.458109426863</v>
      </c>
      <c r="R17" s="45">
        <f ca="1">INDIRECT("'DevSumOut-"&amp;Year&amp;"BSR'!U61")</f>
        <v>11368.458109426863</v>
      </c>
      <c r="S17" s="45">
        <f ca="1">INDIRECT("'DevSumOut-"&amp;Year&amp;"BSR'!U61")</f>
        <v>11368.458109426863</v>
      </c>
      <c r="T17" s="581" t="s">
        <v>336</v>
      </c>
      <c r="U17" s="45">
        <f ca="1">INDIRECT("'DevSumOut-"&amp;Year&amp;"BSR'!U61")</f>
        <v>11368.458109426863</v>
      </c>
      <c r="V17" s="45">
        <f ca="1">INDIRECT("'DevSumOut-"&amp;Year&amp;"BSR'!U61")</f>
        <v>11368.458109426863</v>
      </c>
      <c r="W17" s="581" t="s">
        <v>336</v>
      </c>
      <c r="X17" s="133">
        <f t="shared" ca="1" si="0"/>
        <v>3.2967299611507705E-3</v>
      </c>
      <c r="Y17" s="133">
        <f t="shared" ca="1" si="1"/>
        <v>3.2967299611507705E-3</v>
      </c>
      <c r="Z17" s="133">
        <f t="shared" ca="1" si="2"/>
        <v>3.2967299611507705E-3</v>
      </c>
      <c r="AA17" s="133"/>
      <c r="AB17" s="133">
        <f t="shared" ca="1" si="3"/>
        <v>3.2967299611507705E-3</v>
      </c>
      <c r="AC17" s="133">
        <f t="shared" ca="1" si="4"/>
        <v>3.2967299611507705E-3</v>
      </c>
    </row>
    <row r="18" spans="1:29" x14ac:dyDescent="0.25">
      <c r="A18" s="812">
        <v>2104004000</v>
      </c>
      <c r="B18" s="812" t="s">
        <v>746</v>
      </c>
      <c r="C18" s="133">
        <f ca="1">INDIRECT("'DevSumOut-"&amp;Year&amp;"BSR'!R62")</f>
        <v>3.2810126709225578E-4</v>
      </c>
      <c r="D18" s="133">
        <f ca="1">INDIRECT("'DevSumOut-"&amp;Year&amp;"BSR'!R62")</f>
        <v>3.2810126709225578E-4</v>
      </c>
      <c r="E18" s="133">
        <f ca="1">INDIRECT("'DevSumOut-"&amp;Year&amp;"BSR'!R62")</f>
        <v>3.2810126709225578E-4</v>
      </c>
      <c r="F18" s="551" t="s">
        <v>336</v>
      </c>
      <c r="G18" s="133">
        <f ca="1">INDIRECT("'DevSumOut-"&amp;Year&amp;"BSR'!R62")</f>
        <v>3.2810126709225578E-4</v>
      </c>
      <c r="H18" s="133">
        <f ca="1">INDIRECT("'DevSumOut-"&amp;Year&amp;"BSR'!R62")</f>
        <v>3.2810126709225578E-4</v>
      </c>
      <c r="I18" s="551" t="s">
        <v>336</v>
      </c>
      <c r="J18" s="133">
        <f ca="1">INDIRECT("'DevSumOut-"&amp;Year&amp;"BSR'!P62")</f>
        <v>2.3707431842203888E-2</v>
      </c>
      <c r="K18" s="133">
        <f ca="1">INDIRECT("'DevSumOut-"&amp;Year&amp;"BSR'!P62")</f>
        <v>2.3707431842203888E-2</v>
      </c>
      <c r="L18" s="133">
        <f ca="1">INDIRECT("'DevSumOut-"&amp;Year&amp;"BSR'!P62")</f>
        <v>2.3707431842203888E-2</v>
      </c>
      <c r="M18" s="551" t="s">
        <v>336</v>
      </c>
      <c r="N18" s="133">
        <f ca="1">INDIRECT("'DevSumOut-"&amp;Year&amp;"BSR'!P62")</f>
        <v>2.3707431842203888E-2</v>
      </c>
      <c r="O18" s="133">
        <f ca="1">INDIRECT("'DevSumOut-"&amp;Year&amp;"BSR'!P62")</f>
        <v>2.3707431842203888E-2</v>
      </c>
      <c r="P18" s="551" t="s">
        <v>336</v>
      </c>
      <c r="Q18" s="45">
        <f ca="1">INDIRECT("'DevSumOut-"&amp;Year&amp;"BSR'!U62")</f>
        <v>224.74116542651797</v>
      </c>
      <c r="R18" s="45">
        <f ca="1">INDIRECT("'DevSumOut-"&amp;Year&amp;"BSR'!U62")</f>
        <v>224.74116542651797</v>
      </c>
      <c r="S18" s="45">
        <f ca="1">INDIRECT("'DevSumOut-"&amp;Year&amp;"BSR'!U62")</f>
        <v>224.74116542651797</v>
      </c>
      <c r="T18" s="581" t="s">
        <v>336</v>
      </c>
      <c r="U18" s="45">
        <f ca="1">INDIRECT("'DevSumOut-"&amp;Year&amp;"BSR'!U62")</f>
        <v>224.74116542651797</v>
      </c>
      <c r="V18" s="45">
        <f ca="1">INDIRECT("'DevSumOut-"&amp;Year&amp;"BSR'!U62")</f>
        <v>224.74116542651797</v>
      </c>
      <c r="W18" s="581" t="s">
        <v>336</v>
      </c>
      <c r="X18" s="133">
        <f t="shared" ca="1" si="0"/>
        <v>2.9198145917734217E-3</v>
      </c>
      <c r="Y18" s="133">
        <f t="shared" ca="1" si="1"/>
        <v>2.9198145917734217E-3</v>
      </c>
      <c r="Z18" s="133">
        <f t="shared" ca="1" si="2"/>
        <v>2.9198145917734217E-3</v>
      </c>
      <c r="AA18" s="133"/>
      <c r="AB18" s="133">
        <f t="shared" ca="1" si="3"/>
        <v>2.9198145917734217E-3</v>
      </c>
      <c r="AC18" s="133">
        <f t="shared" ca="1" si="4"/>
        <v>2.9198145917734217E-3</v>
      </c>
    </row>
    <row r="19" spans="1:29" x14ac:dyDescent="0.25">
      <c r="A19" s="812">
        <v>2104007000</v>
      </c>
      <c r="B19" s="812" t="s">
        <v>747</v>
      </c>
      <c r="C19" s="133">
        <f ca="1">INDIRECT("'DevSumOut-"&amp;Year&amp;"BSR'!R63")</f>
        <v>1.2670894380049421E-3</v>
      </c>
      <c r="D19" s="133">
        <f ca="1">INDIRECT("'DevSumOut-"&amp;Year&amp;"BSR'!R63")</f>
        <v>1.2670894380049421E-3</v>
      </c>
      <c r="E19" s="133">
        <f ca="1">INDIRECT("'DevSumOut-"&amp;Year&amp;"BSR'!R63")</f>
        <v>1.2670894380049421E-3</v>
      </c>
      <c r="F19" s="551" t="s">
        <v>336</v>
      </c>
      <c r="G19" s="133">
        <f ca="1">INDIRECT("'DevSumOut-"&amp;Year&amp;"BSR'!R63")</f>
        <v>1.2670894380049421E-3</v>
      </c>
      <c r="H19" s="133">
        <f ca="1">INDIRECT("'DevSumOut-"&amp;Year&amp;"BSR'!R63")</f>
        <v>1.2670894380049421E-3</v>
      </c>
      <c r="I19" s="551" t="s">
        <v>336</v>
      </c>
      <c r="J19" s="133">
        <f ca="1">INDIRECT("'DevSumOut-"&amp;Year&amp;"BSR'!P63")</f>
        <v>8.020671265575903E-2</v>
      </c>
      <c r="K19" s="133">
        <f ca="1">INDIRECT("'DevSumOut-"&amp;Year&amp;"BSR'!P63")</f>
        <v>8.020671265575903E-2</v>
      </c>
      <c r="L19" s="133">
        <f ca="1">INDIRECT("'DevSumOut-"&amp;Year&amp;"BSR'!P63")</f>
        <v>8.020671265575903E-2</v>
      </c>
      <c r="M19" s="551" t="s">
        <v>336</v>
      </c>
      <c r="N19" s="133">
        <f ca="1">INDIRECT("'DevSumOut-"&amp;Year&amp;"BSR'!P63")</f>
        <v>8.020671265575903E-2</v>
      </c>
      <c r="O19" s="133">
        <f ca="1">INDIRECT("'DevSumOut-"&amp;Year&amp;"BSR'!P63")</f>
        <v>8.020671265575903E-2</v>
      </c>
      <c r="P19" s="551" t="s">
        <v>336</v>
      </c>
      <c r="Q19" s="45">
        <f ca="1">INDIRECT("'DevSumOut-"&amp;Year&amp;"BSR'!U63")</f>
        <v>693.76778732343269</v>
      </c>
      <c r="R19" s="45">
        <f ca="1">INDIRECT("'DevSumOut-"&amp;Year&amp;"BSR'!U63")</f>
        <v>693.76778732343269</v>
      </c>
      <c r="S19" s="45">
        <f ca="1">INDIRECT("'DevSumOut-"&amp;Year&amp;"BSR'!U63")</f>
        <v>693.76778732343269</v>
      </c>
      <c r="T19" s="581" t="s">
        <v>336</v>
      </c>
      <c r="U19" s="45">
        <f ca="1">INDIRECT("'DevSumOut-"&amp;Year&amp;"BSR'!U63")</f>
        <v>693.76778732343269</v>
      </c>
      <c r="V19" s="45">
        <f ca="1">INDIRECT("'DevSumOut-"&amp;Year&amp;"BSR'!U63")</f>
        <v>693.76778732343269</v>
      </c>
      <c r="W19" s="581" t="s">
        <v>336</v>
      </c>
      <c r="X19" s="133">
        <f t="shared" ca="1" si="0"/>
        <v>3.6527767969550548E-3</v>
      </c>
      <c r="Y19" s="133">
        <f t="shared" ca="1" si="1"/>
        <v>3.6527767969550548E-3</v>
      </c>
      <c r="Z19" s="133">
        <f t="shared" ca="1" si="2"/>
        <v>3.6527767969550548E-3</v>
      </c>
      <c r="AA19" s="133"/>
      <c r="AB19" s="133">
        <f t="shared" ca="1" si="3"/>
        <v>3.6527767969550548E-3</v>
      </c>
      <c r="AC19" s="133">
        <f t="shared" ca="1" si="4"/>
        <v>3.6527767969550548E-3</v>
      </c>
    </row>
    <row r="20" spans="1:29" x14ac:dyDescent="0.25">
      <c r="A20" s="812">
        <v>2104006010</v>
      </c>
      <c r="B20" s="812" t="s">
        <v>149</v>
      </c>
      <c r="C20" s="133">
        <f ca="1">INDIRECT("'DevSumOut-"&amp;Year&amp;"BSR'!R64")</f>
        <v>5.8529310125197298E-6</v>
      </c>
      <c r="D20" s="133">
        <f ca="1">INDIRECT("'DevSumOut-"&amp;Year&amp;"BSR'!R64")</f>
        <v>5.8529310125197298E-6</v>
      </c>
      <c r="E20" s="133">
        <f ca="1">INDIRECT("'DevSumOut-"&amp;Year&amp;"BSR'!R64")</f>
        <v>5.8529310125197298E-6</v>
      </c>
      <c r="F20" s="551" t="s">
        <v>336</v>
      </c>
      <c r="G20" s="133">
        <f ca="1">INDIRECT("'DevSumOut-"&amp;Year&amp;"BSR'!R64")</f>
        <v>5.8529310125197298E-6</v>
      </c>
      <c r="H20" s="133">
        <f ca="1">INDIRECT("'DevSumOut-"&amp;Year&amp;"BSR'!R64")</f>
        <v>5.8529310125197298E-6</v>
      </c>
      <c r="I20" s="551" t="s">
        <v>336</v>
      </c>
      <c r="J20" s="133">
        <f ca="1">INDIRECT("'DevSumOut-"&amp;Year&amp;"BSR'!P64")</f>
        <v>7.0898784775737665E-5</v>
      </c>
      <c r="K20" s="133">
        <f ca="1">INDIRECT("'DevSumOut-"&amp;Year&amp;"BSR'!P64")</f>
        <v>7.0898784775737665E-5</v>
      </c>
      <c r="L20" s="133">
        <f ca="1">INDIRECT("'DevSumOut-"&amp;Year&amp;"BSR'!P64")</f>
        <v>7.0898784775737665E-5</v>
      </c>
      <c r="M20" s="551" t="s">
        <v>336</v>
      </c>
      <c r="N20" s="133">
        <f ca="1">INDIRECT("'DevSumOut-"&amp;Year&amp;"BSR'!P64")</f>
        <v>7.0898784775737665E-5</v>
      </c>
      <c r="O20" s="133">
        <f ca="1">INDIRECT("'DevSumOut-"&amp;Year&amp;"BSR'!P64")</f>
        <v>7.0898784775737665E-5</v>
      </c>
      <c r="P20" s="551" t="s">
        <v>336</v>
      </c>
      <c r="Q20" s="45">
        <f ca="1">INDIRECT("'DevSumOut-"&amp;Year&amp;"BSR'!U64")</f>
        <v>291.73882732240446</v>
      </c>
      <c r="R20" s="45">
        <f ca="1">INDIRECT("'DevSumOut-"&amp;Year&amp;"BSR'!U64")</f>
        <v>291.73882732240446</v>
      </c>
      <c r="S20" s="45">
        <f ca="1">INDIRECT("'DevSumOut-"&amp;Year&amp;"BSR'!U64")</f>
        <v>291.73882732240446</v>
      </c>
      <c r="T20" s="581" t="s">
        <v>336</v>
      </c>
      <c r="U20" s="45">
        <f ca="1">INDIRECT("'DevSumOut-"&amp;Year&amp;"BSR'!U64")</f>
        <v>291.73882732240446</v>
      </c>
      <c r="V20" s="45">
        <f ca="1">INDIRECT("'DevSumOut-"&amp;Year&amp;"BSR'!U64")</f>
        <v>291.73882732240446</v>
      </c>
      <c r="W20" s="581" t="s">
        <v>336</v>
      </c>
      <c r="X20" s="133">
        <f t="shared" ca="1" si="0"/>
        <v>4.0124456975701607E-5</v>
      </c>
      <c r="Y20" s="133">
        <f t="shared" ca="1" si="1"/>
        <v>4.0124456975701607E-5</v>
      </c>
      <c r="Z20" s="133">
        <f t="shared" ca="1" si="2"/>
        <v>4.0124456975701607E-5</v>
      </c>
      <c r="AA20" s="133"/>
      <c r="AB20" s="133">
        <f t="shared" ca="1" si="3"/>
        <v>4.0124456975701607E-5</v>
      </c>
      <c r="AC20" s="133">
        <f t="shared" ca="1" si="4"/>
        <v>4.0124456975701607E-5</v>
      </c>
    </row>
    <row r="21" spans="1:29" x14ac:dyDescent="0.25">
      <c r="A21" s="812">
        <v>2103006000</v>
      </c>
      <c r="B21" s="812" t="s">
        <v>150</v>
      </c>
      <c r="C21" s="133">
        <f ca="1">INDIRECT("'DevSumOut-"&amp;Year&amp;"BSR'!R65")</f>
        <v>1.0079518569867291E-2</v>
      </c>
      <c r="D21" s="133">
        <f ca="1">INDIRECT("'DevSumOut-"&amp;Year&amp;"BSR'!R65")</f>
        <v>1.0079518569867291E-2</v>
      </c>
      <c r="E21" s="133">
        <f ca="1">INDIRECT("'DevSumOut-"&amp;Year&amp;"BSR'!R65")</f>
        <v>1.0079518569867291E-2</v>
      </c>
      <c r="F21" s="551" t="s">
        <v>336</v>
      </c>
      <c r="G21" s="133">
        <f ca="1">INDIRECT("'DevSumOut-"&amp;Year&amp;"BSR'!R65")</f>
        <v>1.0079518569867291E-2</v>
      </c>
      <c r="H21" s="133">
        <f ca="1">INDIRECT("'DevSumOut-"&amp;Year&amp;"BSR'!R65")</f>
        <v>1.0079518569867291E-2</v>
      </c>
      <c r="I21" s="551" t="s">
        <v>336</v>
      </c>
      <c r="J21" s="133">
        <f ca="1">INDIRECT("'DevSumOut-"&amp;Year&amp;"BSR'!P65")</f>
        <v>7.9575146604215358E-4</v>
      </c>
      <c r="K21" s="133">
        <f ca="1">INDIRECT("'DevSumOut-"&amp;Year&amp;"BSR'!P65")</f>
        <v>7.9575146604215358E-4</v>
      </c>
      <c r="L21" s="133">
        <f ca="1">INDIRECT("'DevSumOut-"&amp;Year&amp;"BSR'!P65")</f>
        <v>7.9575146604215358E-4</v>
      </c>
      <c r="M21" s="551" t="s">
        <v>336</v>
      </c>
      <c r="N21" s="133">
        <f ca="1">INDIRECT("'DevSumOut-"&amp;Year&amp;"BSR'!P65")</f>
        <v>7.9575146604215358E-4</v>
      </c>
      <c r="O21" s="133">
        <f ca="1">INDIRECT("'DevSumOut-"&amp;Year&amp;"BSR'!P65")</f>
        <v>7.9575146604215358E-4</v>
      </c>
      <c r="P21" s="551" t="s">
        <v>336</v>
      </c>
      <c r="Q21" s="45">
        <f ca="1">INDIRECT("'DevSumOut-"&amp;Year&amp;"BSR'!U65")</f>
        <v>2692.2924601092891</v>
      </c>
      <c r="R21" s="45">
        <f ca="1">INDIRECT("'DevSumOut-"&amp;Year&amp;"BSR'!U65")</f>
        <v>2692.2924601092891</v>
      </c>
      <c r="S21" s="45">
        <f ca="1">INDIRECT("'DevSumOut-"&amp;Year&amp;"BSR'!U65")</f>
        <v>2692.2924601092891</v>
      </c>
      <c r="T21" s="581" t="s">
        <v>336</v>
      </c>
      <c r="U21" s="45">
        <f ca="1">INDIRECT("'DevSumOut-"&amp;Year&amp;"BSR'!U65")</f>
        <v>2692.2924601092891</v>
      </c>
      <c r="V21" s="45">
        <f ca="1">INDIRECT("'DevSumOut-"&amp;Year&amp;"BSR'!U65")</f>
        <v>2692.2924601092891</v>
      </c>
      <c r="W21" s="581" t="s">
        <v>336</v>
      </c>
      <c r="X21" s="133">
        <f t="shared" ca="1" si="0"/>
        <v>7.4876847290640406E-3</v>
      </c>
      <c r="Y21" s="133">
        <f t="shared" ca="1" si="1"/>
        <v>7.4876847290640406E-3</v>
      </c>
      <c r="Z21" s="133">
        <f t="shared" ca="1" si="2"/>
        <v>7.4876847290640406E-3</v>
      </c>
      <c r="AA21" s="133"/>
      <c r="AB21" s="133">
        <f t="shared" ca="1" si="3"/>
        <v>7.4876847290640406E-3</v>
      </c>
      <c r="AC21" s="133">
        <f t="shared" ca="1" si="4"/>
        <v>7.4876847290640406E-3</v>
      </c>
    </row>
    <row r="22" spans="1:29" x14ac:dyDescent="0.25">
      <c r="A22" s="812">
        <v>2104002000</v>
      </c>
      <c r="B22" s="812" t="s">
        <v>151</v>
      </c>
      <c r="C22" s="133">
        <f ca="1">INDIRECT("'DevSumOut-"&amp;Year&amp;"BSR'!R66")</f>
        <v>9.7907685155159352E-2</v>
      </c>
      <c r="D22" s="133">
        <f ca="1">INDIRECT("'DevSumOut-"&amp;Year&amp;"BSR'!R66")</f>
        <v>9.7907685155159352E-2</v>
      </c>
      <c r="E22" s="133">
        <f ca="1">INDIRECT("'DevSumOut-"&amp;Year&amp;"BSR'!R66")</f>
        <v>9.7907685155159352E-2</v>
      </c>
      <c r="F22" s="551" t="s">
        <v>336</v>
      </c>
      <c r="G22" s="133">
        <f ca="1">INDIRECT("'DevSumOut-"&amp;Year&amp;"BSR'!R66")</f>
        <v>9.7907685155159352E-2</v>
      </c>
      <c r="H22" s="133">
        <f ca="1">INDIRECT("'DevSumOut-"&amp;Year&amp;"BSR'!R66")</f>
        <v>9.7907685155159352E-2</v>
      </c>
      <c r="I22" s="551" t="s">
        <v>336</v>
      </c>
      <c r="J22" s="133">
        <f ca="1">INDIRECT("'DevSumOut-"&amp;Year&amp;"BSR'!P66")</f>
        <v>0.11396013416057345</v>
      </c>
      <c r="K22" s="133">
        <f ca="1">INDIRECT("'DevSumOut-"&amp;Year&amp;"BSR'!P66")</f>
        <v>0.11396013416057345</v>
      </c>
      <c r="L22" s="133">
        <f ca="1">INDIRECT("'DevSumOut-"&amp;Year&amp;"BSR'!P66")</f>
        <v>0.11396013416057345</v>
      </c>
      <c r="M22" s="551" t="s">
        <v>336</v>
      </c>
      <c r="N22" s="133">
        <f ca="1">INDIRECT("'DevSumOut-"&amp;Year&amp;"BSR'!P66")</f>
        <v>0.11396013416057345</v>
      </c>
      <c r="O22" s="133">
        <f ca="1">INDIRECT("'DevSumOut-"&amp;Year&amp;"BSR'!P66")</f>
        <v>0.11396013416057345</v>
      </c>
      <c r="P22" s="551" t="s">
        <v>336</v>
      </c>
      <c r="Q22" s="45">
        <f ca="1">INDIRECT("'DevSumOut-"&amp;Year&amp;"BSR'!U66")</f>
        <v>372.51484714854132</v>
      </c>
      <c r="R22" s="45">
        <f ca="1">INDIRECT("'DevSumOut-"&amp;Year&amp;"BSR'!U66")</f>
        <v>372.51484714854132</v>
      </c>
      <c r="S22" s="45">
        <f ca="1">INDIRECT("'DevSumOut-"&amp;Year&amp;"BSR'!U66")</f>
        <v>372.51484714854132</v>
      </c>
      <c r="T22" s="581" t="s">
        <v>336</v>
      </c>
      <c r="U22" s="45">
        <f ca="1">INDIRECT("'DevSumOut-"&amp;Year&amp;"BSR'!U66")</f>
        <v>372.51484714854132</v>
      </c>
      <c r="V22" s="45">
        <f ca="1">INDIRECT("'DevSumOut-"&amp;Year&amp;"BSR'!U66")</f>
        <v>372.51484714854132</v>
      </c>
      <c r="W22" s="581" t="s">
        <v>336</v>
      </c>
      <c r="X22" s="133">
        <f t="shared" ca="1" si="0"/>
        <v>0.52565789473684199</v>
      </c>
      <c r="Y22" s="133">
        <f t="shared" ca="1" si="1"/>
        <v>0.52565789473684199</v>
      </c>
      <c r="Z22" s="133">
        <f t="shared" ca="1" si="2"/>
        <v>0.52565789473684199</v>
      </c>
      <c r="AA22" s="133"/>
      <c r="AB22" s="133">
        <f t="shared" ca="1" si="3"/>
        <v>0.52565789473684199</v>
      </c>
      <c r="AC22" s="133">
        <f t="shared" ca="1" si="4"/>
        <v>0.52565789473684199</v>
      </c>
    </row>
    <row r="23" spans="1:29" x14ac:dyDescent="0.25">
      <c r="A23" s="812">
        <v>2103002000</v>
      </c>
      <c r="B23" s="812" t="s">
        <v>152</v>
      </c>
      <c r="C23" s="133">
        <f ca="1">INDIRECT("'DevSumOut-"&amp;Year&amp;"BSR'!R67")</f>
        <v>2.6304953575588091E-4</v>
      </c>
      <c r="D23" s="133">
        <f ca="1">INDIRECT("'DevSumOut-"&amp;Year&amp;"BSR'!R67")</f>
        <v>2.6304953575588091E-4</v>
      </c>
      <c r="E23" s="133">
        <f ca="1">INDIRECT("'DevSumOut-"&amp;Year&amp;"BSR'!R67")</f>
        <v>2.6304953575588091E-4</v>
      </c>
      <c r="F23" s="551"/>
      <c r="G23" s="133">
        <f ca="1">INDIRECT("'DevSumOut-"&amp;Year&amp;"BSR'!R67")</f>
        <v>2.6304953575588091E-4</v>
      </c>
      <c r="H23" s="133">
        <f ca="1">INDIRECT("'DevSumOut-"&amp;Year&amp;"BSR'!R67")</f>
        <v>2.6304953575588091E-4</v>
      </c>
      <c r="I23" s="551"/>
      <c r="J23" s="133">
        <f ca="1">INDIRECT("'DevSumOut-"&amp;Year&amp;"BSR'!P67")</f>
        <v>3.0617780757568117E-4</v>
      </c>
      <c r="K23" s="133">
        <f ca="1">INDIRECT("'DevSumOut-"&amp;Year&amp;"BSR'!P67")</f>
        <v>3.0617780757568117E-4</v>
      </c>
      <c r="L23" s="133">
        <f ca="1">INDIRECT("'DevSumOut-"&amp;Year&amp;"BSR'!P67")</f>
        <v>3.0617780757568117E-4</v>
      </c>
      <c r="M23" s="551"/>
      <c r="N23" s="133">
        <f ca="1">INDIRECT("'DevSumOut-"&amp;Year&amp;"BSR'!P67")</f>
        <v>3.0617780757568117E-4</v>
      </c>
      <c r="O23" s="133">
        <f ca="1">INDIRECT("'DevSumOut-"&amp;Year&amp;"BSR'!P67")</f>
        <v>3.0617780757568117E-4</v>
      </c>
      <c r="P23" s="551"/>
      <c r="Q23" s="45">
        <f ca="1">INDIRECT("'DevSumOut-"&amp;Year&amp;"BSR'!U67")</f>
        <v>15.130518495993016</v>
      </c>
      <c r="R23" s="45">
        <f ca="1">INDIRECT("'DevSumOut-"&amp;Year&amp;"BSR'!U67")</f>
        <v>15.130518495993016</v>
      </c>
      <c r="S23" s="45">
        <f ca="1">INDIRECT("'DevSumOut-"&amp;Year&amp;"BSR'!U67")</f>
        <v>15.130518495993016</v>
      </c>
      <c r="T23" s="581"/>
      <c r="U23" s="45">
        <f ca="1">INDIRECT("'DevSumOut-"&amp;Year&amp;"BSR'!U67")</f>
        <v>15.130518495993016</v>
      </c>
      <c r="V23" s="45">
        <f ca="1">INDIRECT("'DevSumOut-"&amp;Year&amp;"BSR'!U67")</f>
        <v>15.130518495993016</v>
      </c>
      <c r="W23" s="581"/>
      <c r="X23" s="133"/>
      <c r="Y23" s="133"/>
      <c r="Z23" s="133"/>
      <c r="AA23" s="133"/>
      <c r="AB23" s="133"/>
      <c r="AC23" s="133"/>
    </row>
    <row r="24" spans="1:29" x14ac:dyDescent="0.25">
      <c r="A24" s="812">
        <v>2103008000</v>
      </c>
      <c r="B24" s="812" t="s">
        <v>153</v>
      </c>
      <c r="C24" s="133">
        <f ca="1">INDIRECT("'DevSumOut-"&amp;Year&amp;"BSR'!R68")</f>
        <v>2.5766689106639578E-4</v>
      </c>
      <c r="D24" s="133">
        <f ca="1">INDIRECT("'DevSumOut-"&amp;Year&amp;"BSR'!R68")</f>
        <v>2.5766689106639578E-4</v>
      </c>
      <c r="E24" s="133">
        <f ca="1">INDIRECT("'DevSumOut-"&amp;Year&amp;"BSR'!R68")</f>
        <v>2.5766689106639578E-4</v>
      </c>
      <c r="F24" s="551"/>
      <c r="G24" s="133">
        <f ca="1">INDIRECT("'DevSumOut-"&amp;Year&amp;"BSR'!R68")</f>
        <v>2.5766689106639578E-4</v>
      </c>
      <c r="H24" s="133">
        <f ca="1">INDIRECT("'DevSumOut-"&amp;Year&amp;"BSR'!R68")</f>
        <v>2.5766689106639578E-4</v>
      </c>
      <c r="I24" s="551"/>
      <c r="J24" s="133">
        <f ca="1">INDIRECT("'DevSumOut-"&amp;Year&amp;"BSR'!P68")</f>
        <v>7.5369704121824448E-6</v>
      </c>
      <c r="K24" s="133">
        <f ca="1">INDIRECT("'DevSumOut-"&amp;Year&amp;"BSR'!P68")</f>
        <v>7.5369704121824448E-6</v>
      </c>
      <c r="L24" s="133">
        <f ca="1">INDIRECT("'DevSumOut-"&amp;Year&amp;"BSR'!P68")</f>
        <v>7.5369704121824448E-6</v>
      </c>
      <c r="M24" s="551"/>
      <c r="N24" s="133">
        <f ca="1">INDIRECT("'DevSumOut-"&amp;Year&amp;"BSR'!P68")</f>
        <v>7.5369704121824448E-6</v>
      </c>
      <c r="O24" s="133">
        <f ca="1">INDIRECT("'DevSumOut-"&amp;Year&amp;"BSR'!P68")</f>
        <v>7.5369704121824448E-6</v>
      </c>
      <c r="P24" s="551"/>
      <c r="Q24" s="45">
        <f ca="1">INDIRECT("'DevSumOut-"&amp;Year&amp;"BSR'!U68")</f>
        <v>7.8950243472016979</v>
      </c>
      <c r="R24" s="45">
        <f ca="1">INDIRECT("'DevSumOut-"&amp;Year&amp;"BSR'!U68")</f>
        <v>7.8950243472016979</v>
      </c>
      <c r="S24" s="45">
        <f ca="1">INDIRECT("'DevSumOut-"&amp;Year&amp;"BSR'!U68")</f>
        <v>7.8950243472016979</v>
      </c>
      <c r="T24" s="581"/>
      <c r="U24" s="45">
        <f ca="1">INDIRECT("'DevSumOut-"&amp;Year&amp;"BSR'!U68")</f>
        <v>7.8950243472016979</v>
      </c>
      <c r="V24" s="45">
        <f ca="1">INDIRECT("'DevSumOut-"&amp;Year&amp;"BSR'!U68")</f>
        <v>7.8950243472016979</v>
      </c>
      <c r="W24" s="581"/>
      <c r="X24" s="133"/>
      <c r="Y24" s="133"/>
      <c r="Z24" s="133"/>
      <c r="AA24" s="133"/>
      <c r="AB24" s="133"/>
      <c r="AC24" s="133"/>
    </row>
    <row r="25" spans="1:29" ht="15.75" thickBot="1" x14ac:dyDescent="0.3">
      <c r="A25" s="6">
        <v>2102012000</v>
      </c>
      <c r="B25" s="6" t="s">
        <v>154</v>
      </c>
      <c r="C25" s="544">
        <f ca="1">INDIRECT("'DevSumOut-"&amp;Year&amp;"BSR'!R69")</f>
        <v>2.3655128992506407E-3</v>
      </c>
      <c r="D25" s="544">
        <f ca="1">INDIRECT("'DevSumOut-"&amp;Year&amp;"BSR'!R69")</f>
        <v>2.3655128992506407E-3</v>
      </c>
      <c r="E25" s="544">
        <f ca="1">INDIRECT("'DevSumOut-"&amp;Year&amp;"BSR'!R69")</f>
        <v>2.3655128992506407E-3</v>
      </c>
      <c r="F25" s="542" t="s">
        <v>336</v>
      </c>
      <c r="G25" s="544">
        <f ca="1">INDIRECT("'DevSumOut-"&amp;Year&amp;"BSR'!R69")</f>
        <v>2.3655128992506407E-3</v>
      </c>
      <c r="H25" s="544">
        <f ca="1">INDIRECT("'DevSumOut-"&amp;Year&amp;"BSR'!R69")</f>
        <v>2.3655128992506407E-3</v>
      </c>
      <c r="I25" s="542" t="s">
        <v>336</v>
      </c>
      <c r="J25" s="544">
        <f ca="1">INDIRECT("'DevSumOut-"&amp;Year&amp;"BSR'!P69")</f>
        <v>1.6802202817214628E-2</v>
      </c>
      <c r="K25" s="544">
        <f ca="1">INDIRECT("'DevSumOut-"&amp;Year&amp;"BSR'!P69")</f>
        <v>1.6802202817214628E-2</v>
      </c>
      <c r="L25" s="544">
        <f ca="1">INDIRECT("'DevSumOut-"&amp;Year&amp;"BSR'!P69")</f>
        <v>1.6802202817214628E-2</v>
      </c>
      <c r="M25" s="542" t="s">
        <v>336</v>
      </c>
      <c r="N25" s="544">
        <f ca="1">INDIRECT("'DevSumOut-"&amp;Year&amp;"BSR'!P69")</f>
        <v>1.6802202817214628E-2</v>
      </c>
      <c r="O25" s="544">
        <f ca="1">INDIRECT("'DevSumOut-"&amp;Year&amp;"BSR'!P69")</f>
        <v>1.6802202817214628E-2</v>
      </c>
      <c r="P25" s="542" t="s">
        <v>336</v>
      </c>
      <c r="Q25" s="567">
        <f ca="1">INDIRECT("'DevSumOut-"&amp;Year&amp;"BSR'!U69")</f>
        <v>125.9077778943812</v>
      </c>
      <c r="R25" s="567">
        <f ca="1">INDIRECT("'DevSumOut-"&amp;Year&amp;"BSR'!U69")</f>
        <v>125.9077778943812</v>
      </c>
      <c r="S25" s="567">
        <f ca="1">INDIRECT("'DevSumOut-"&amp;Year&amp;"BSR'!U69")</f>
        <v>125.9077778943812</v>
      </c>
      <c r="T25" s="582" t="s">
        <v>336</v>
      </c>
      <c r="U25" s="567">
        <f ca="1">INDIRECT("'DevSumOut-"&amp;Year&amp;"BSR'!U69")</f>
        <v>125.9077778943812</v>
      </c>
      <c r="V25" s="567">
        <f ca="1">INDIRECT("'DevSumOut-"&amp;Year&amp;"BSR'!U69")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2.806623905552601</v>
      </c>
      <c r="D26" s="137">
        <f ca="1">SUM(D6:D25)</f>
        <v>2.806623905552601</v>
      </c>
      <c r="E26" s="137">
        <f ca="1">SUM(E6:E25)</f>
        <v>2.806623905552601</v>
      </c>
      <c r="F26" s="566" t="s">
        <v>336</v>
      </c>
      <c r="G26" s="137">
        <f t="shared" ref="G26:H26" ca="1" si="5">SUM(G6:G25)</f>
        <v>2.806623905552601</v>
      </c>
      <c r="H26" s="137">
        <f t="shared" ca="1" si="5"/>
        <v>2.806623905552601</v>
      </c>
      <c r="I26" s="566" t="s">
        <v>336</v>
      </c>
      <c r="J26" s="137">
        <f ca="1">SUM(J6:J25)</f>
        <v>4.320503062337508</v>
      </c>
      <c r="K26" s="137">
        <f ca="1">SUM(K6:K25)</f>
        <v>4.320503062337508</v>
      </c>
      <c r="L26" s="137">
        <f ca="1">SUM(L6:L25)</f>
        <v>4.320503062337508</v>
      </c>
      <c r="M26" s="566" t="s">
        <v>336</v>
      </c>
      <c r="N26" s="137">
        <f ca="1">SUM(N6:N25)</f>
        <v>4.320503062337508</v>
      </c>
      <c r="O26" s="137">
        <f ca="1">SUM(O6:O25)</f>
        <v>4.320503062337508</v>
      </c>
      <c r="P26" s="566" t="s">
        <v>336</v>
      </c>
      <c r="Q26" s="87">
        <f ca="1">SUM(Q6:Q25)</f>
        <v>55572.943262253139</v>
      </c>
      <c r="R26" s="87">
        <f ca="1">SUM(R6:R25)</f>
        <v>55572.943262253139</v>
      </c>
      <c r="S26" s="87">
        <f ca="1">SUM(S6:S25)</f>
        <v>55572.943262253139</v>
      </c>
      <c r="T26" s="566" t="s">
        <v>336</v>
      </c>
      <c r="U26" s="87">
        <f ca="1">SUM(U6:U25)</f>
        <v>55572.943262253139</v>
      </c>
      <c r="V26" s="87">
        <f ca="1">SUM(V6:V25)</f>
        <v>55572.943262253139</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Year&amp;" Baseline PM2.5 Emissions (tpd) by Curtailment Regime and AQCZ"</f>
        <v>2029 Baseline PM2.5 Emissions (tpd) by Curtailment Regime and AQCZ</v>
      </c>
      <c r="D30" s="840"/>
      <c r="E30" s="840"/>
      <c r="F30" s="840"/>
      <c r="G30" s="840"/>
      <c r="H30" s="840"/>
      <c r="I30" s="840"/>
      <c r="J30" s="840" t="str">
        <f>Year&amp;" Baseline SO2 Emissions (tpd) by Curtailment Regime and AQCZ"</f>
        <v>2029 Baseline SO2 Emissions (tpd) by Curtailment Regime and AQCZ</v>
      </c>
      <c r="K30" s="840"/>
      <c r="L30" s="840"/>
      <c r="M30" s="840"/>
      <c r="N30" s="840"/>
      <c r="O30" s="840"/>
      <c r="P30" s="840"/>
      <c r="Q30" s="840" t="str">
        <f>Year&amp;" Baseline Energy Use (mmBTU/day) by Curtailment Regime and AQCZ"</f>
        <v>2029 Baseline Energy Use (mmBTU/day)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1.0562847242483104</v>
      </c>
      <c r="D32" s="133">
        <f ca="1">(D26-D33)*AQCZSplits!$F$5</f>
        <v>1.0562847242483104</v>
      </c>
      <c r="E32" s="133">
        <f ca="1">(E26-E33)*AQCZSplits!$F$5</f>
        <v>1.0562847242483104</v>
      </c>
      <c r="F32" s="551" t="s">
        <v>336</v>
      </c>
      <c r="G32" s="133">
        <f ca="1">(G26-G33)*AQCZSplits!$F$5</f>
        <v>1.0562847242483104</v>
      </c>
      <c r="H32" s="133">
        <f ca="1">(H26-H33)*AQCZSplits!$F$5</f>
        <v>1.0562847242483104</v>
      </c>
      <c r="I32" s="551" t="s">
        <v>336</v>
      </c>
      <c r="J32" s="133">
        <f ca="1">(J26-J33)*AQCZSplits!$F$5</f>
        <v>1.9343907280788533</v>
      </c>
      <c r="K32" s="133">
        <f ca="1">(K26-K33)*AQCZSplits!$F$5</f>
        <v>1.9343907280788533</v>
      </c>
      <c r="L32" s="133">
        <f ca="1">(L26-L33)*AQCZSplits!$F$5</f>
        <v>1.9343907280788533</v>
      </c>
      <c r="M32" s="551" t="s">
        <v>336</v>
      </c>
      <c r="N32" s="133">
        <f ca="1">(N26-N33)*AQCZSplits!$F$5</f>
        <v>1.9343907280788533</v>
      </c>
      <c r="O32" s="133">
        <f ca="1">(O26-O33)*AQCZSplits!$F$5</f>
        <v>1.9343907280788533</v>
      </c>
      <c r="P32" s="551" t="s">
        <v>336</v>
      </c>
      <c r="Q32" s="45">
        <f ca="1">(Q26-Q33)*AQCZSplits!$F$5</f>
        <v>25400.647236549121</v>
      </c>
      <c r="R32" s="45">
        <f ca="1">(R26-R33)*AQCZSplits!$F$5</f>
        <v>25400.647236549121</v>
      </c>
      <c r="S32" s="45">
        <f ca="1">(S26-S33)*AQCZSplits!$F$5</f>
        <v>25400.647236549121</v>
      </c>
      <c r="T32" s="551" t="s">
        <v>336</v>
      </c>
      <c r="U32" s="45">
        <f ca="1">(U26-U33)*AQCZSplits!$F$5</f>
        <v>25400.647236549121</v>
      </c>
      <c r="V32" s="45">
        <f ca="1">(V26-V33)*AQCZSplits!$F$5</f>
        <v>25400.647236549121</v>
      </c>
      <c r="W32" s="551" t="s">
        <v>336</v>
      </c>
    </row>
    <row r="33" spans="1:23" ht="15.75" thickBot="1" x14ac:dyDescent="0.3">
      <c r="A33" s="6" t="s">
        <v>754</v>
      </c>
      <c r="B33" s="6" t="s">
        <v>755</v>
      </c>
      <c r="C33" s="544">
        <f ca="1">SUMIFS(INDIRECT("'ZipOutNA-"&amp;Year&amp;"BSR'!$J$5:$J$669"),INDIRECT("'ZipOutNA-"&amp;Year&amp;"BSR'!$D$5:$D$669"),99705)/35</f>
        <v>1.1532020768569076</v>
      </c>
      <c r="D33" s="544">
        <f ca="1">SUMIFS(INDIRECT("'ZipOutNA-"&amp;Year&amp;"BSR'!$J$5:$J$669"),INDIRECT("'ZipOutNA-"&amp;Year&amp;"BSR'!$D$5:$D$669"),99705)/35</f>
        <v>1.1532020768569076</v>
      </c>
      <c r="E33" s="544">
        <f ca="1">SUMIFS(INDIRECT("'ZipOutNA-"&amp;Year&amp;"BSR'!$J$5:$J$669"),INDIRECT("'ZipOutNA-"&amp;Year&amp;"BSR'!$D$5:$D$669"),99705)/35</f>
        <v>1.1532020768569076</v>
      </c>
      <c r="F33" s="542" t="s">
        <v>336</v>
      </c>
      <c r="G33" s="544">
        <f ca="1">SUMIFS(INDIRECT("'ZipOutNA-"&amp;Year&amp;"BSR'!$J$5:$J$669"),INDIRECT("'ZipOutNA-"&amp;Year&amp;"BSR'!$D$5:$D$669"),99705)/35</f>
        <v>1.1532020768569076</v>
      </c>
      <c r="H33" s="544">
        <f ca="1">SUMIFS(INDIRECT("'ZipOutNA-"&amp;Year&amp;"BSR'!$J$5:$J$669"),INDIRECT("'ZipOutNA-"&amp;Year&amp;"BSR'!$D$5:$D$669"),99705)/35</f>
        <v>1.1532020768569076</v>
      </c>
      <c r="I33" s="542" t="s">
        <v>336</v>
      </c>
      <c r="J33" s="544">
        <f ca="1">SUMIFS(INDIRECT("'ZipOutNA-"&amp;Year&amp;"BSR'!$H$5:$H$669"),INDIRECT("'ZipOutNA-"&amp;Year&amp;"BSR'!$D$5:$D$669"),99705)/35</f>
        <v>1.2925658200298529</v>
      </c>
      <c r="K33" s="544">
        <f ca="1">SUMIFS(INDIRECT("'ZipOutNA-"&amp;Year&amp;"BSR'!$H$5:$H$669"),INDIRECT("'ZipOutNA-"&amp;Year&amp;"BSR'!$D$5:$D$669"),99705)/35</f>
        <v>1.2925658200298529</v>
      </c>
      <c r="L33" s="544">
        <f ca="1">SUMIFS(INDIRECT("'ZipOutNA-"&amp;Year&amp;"BSR'!$H$5:$H$669"),INDIRECT("'ZipOutNA-"&amp;Year&amp;"BSR'!$D$5:$D$669"),99705)/35</f>
        <v>1.2925658200298529</v>
      </c>
      <c r="M33" s="542" t="s">
        <v>336</v>
      </c>
      <c r="N33" s="544">
        <f ca="1">SUMIFS(INDIRECT("'ZipOutNA-"&amp;Year&amp;"BSR'!$H$5:$H$669"),INDIRECT("'ZipOutNA-"&amp;Year&amp;"BSR'!$D$5:$D$669"),99705)/35</f>
        <v>1.2925658200298529</v>
      </c>
      <c r="O33" s="544">
        <f ca="1">SUMIFS(INDIRECT("'ZipOutNA-"&amp;Year&amp;"BSR'!$H$5:$H$669"),INDIRECT("'ZipOutNA-"&amp;Year&amp;"BSR'!$D$5:$D$669"),99705)/35</f>
        <v>1.2925658200298529</v>
      </c>
      <c r="P33" s="542" t="s">
        <v>336</v>
      </c>
      <c r="Q33" s="567">
        <f ca="1">SUMIFS(INDIRECT("'ZipOutNA-"&amp;Year&amp;"BSR'!$M$5:$M$669"),INDIRECT("'ZipOutNA-"&amp;Year&amp;"BSR'!$D$5:$D$669"),99705)/35</f>
        <v>15812.844834439078</v>
      </c>
      <c r="R33" s="567">
        <f ca="1">SUMIFS(INDIRECT("'ZipOutNA-"&amp;Year&amp;"BSR'!$M$5:$M$669"),INDIRECT("'ZipOutNA-"&amp;Year&amp;"BSR'!$D$5:$D$669"),99705)/35</f>
        <v>15812.844834439078</v>
      </c>
      <c r="S33" s="567">
        <f ca="1">SUMIFS(INDIRECT("'ZipOutNA-"&amp;Year&amp;"BSR'!$M$5:$M$669"),INDIRECT("'ZipOutNA-"&amp;Year&amp;"BSR'!$D$5:$D$669"),99705)/35</f>
        <v>15812.844834439078</v>
      </c>
      <c r="T33" s="542" t="s">
        <v>336</v>
      </c>
      <c r="U33" s="567">
        <f ca="1">SUMIFS(INDIRECT("'ZipOutNA-"&amp;Year&amp;"BSR'!$M$5:$M$669"),INDIRECT("'ZipOutNA-"&amp;Year&amp;"BSR'!$D$5:$D$669"),99705)/35</f>
        <v>15812.844834439078</v>
      </c>
      <c r="V33" s="567">
        <f ca="1">SUMIFS(INDIRECT("'ZipOutNA-"&amp;Year&amp;"BSR'!$M$5:$M$669"),INDIRECT("'ZipOutNA-"&amp;Year&amp;"BSR'!$D$5:$D$669"),99705)/35</f>
        <v>15812.844834439078</v>
      </c>
      <c r="W33" s="542" t="s">
        <v>336</v>
      </c>
    </row>
    <row r="34" spans="1:23" ht="15.75" thickTop="1" x14ac:dyDescent="0.25">
      <c r="C34" s="137">
        <f ca="1">SUM(C32:C33)</f>
        <v>2.2094868011052178</v>
      </c>
      <c r="D34" s="137">
        <f ca="1">SUM(D32:D33)</f>
        <v>2.2094868011052178</v>
      </c>
      <c r="E34" s="137">
        <f ca="1">SUM(E32:E33)</f>
        <v>2.2094868011052178</v>
      </c>
      <c r="F34" s="566" t="s">
        <v>336</v>
      </c>
      <c r="G34" s="137">
        <f ca="1">SUM(G32:G33)</f>
        <v>2.2094868011052178</v>
      </c>
      <c r="H34" s="137">
        <f ca="1">SUM(H32:H33)</f>
        <v>2.2094868011052178</v>
      </c>
      <c r="I34" s="566" t="s">
        <v>336</v>
      </c>
      <c r="J34" s="137">
        <f ca="1">SUM(J32:J33)</f>
        <v>3.2269565481087064</v>
      </c>
      <c r="K34" s="137">
        <f ca="1">SUM(K32:K33)</f>
        <v>3.2269565481087064</v>
      </c>
      <c r="L34" s="137">
        <f ca="1">SUM(L32:L33)</f>
        <v>3.2269565481087064</v>
      </c>
      <c r="M34" s="566" t="s">
        <v>336</v>
      </c>
      <c r="N34" s="137">
        <f ca="1">SUM(N32:N33)</f>
        <v>3.2269565481087064</v>
      </c>
      <c r="O34" s="137">
        <f ca="1">SUM(O32:O33)</f>
        <v>3.2269565481087064</v>
      </c>
      <c r="P34" s="566" t="s">
        <v>336</v>
      </c>
      <c r="Q34" s="87">
        <f ca="1">SUM(Q32:Q33)</f>
        <v>41213.492070988199</v>
      </c>
      <c r="R34" s="87">
        <f ca="1">SUM(R32:R33)</f>
        <v>41213.492070988199</v>
      </c>
      <c r="S34" s="87">
        <f ca="1">SUM(S32:S33)</f>
        <v>41213.492070988199</v>
      </c>
      <c r="T34" s="566" t="s">
        <v>336</v>
      </c>
      <c r="U34" s="87">
        <f ca="1">SUM(U32:U33)</f>
        <v>41213.492070988199</v>
      </c>
      <c r="V34" s="87">
        <f ca="1">SUM(V32:V33)</f>
        <v>41213.492070988199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2029 Baseline PM2.5 NA Area Emissions (tpd) by Curtailment Regime</v>
      </c>
      <c r="D38" s="840"/>
      <c r="E38" s="840"/>
      <c r="F38" s="840"/>
      <c r="G38" s="840"/>
      <c r="H38" s="840"/>
      <c r="I38" s="840"/>
      <c r="J38" s="840" t="str">
        <f>J4</f>
        <v>2029 Baseline SO2 NA Area Emissions (tpd) by Curtailment Regime</v>
      </c>
      <c r="K38" s="840"/>
      <c r="L38" s="840"/>
      <c r="M38" s="840"/>
      <c r="N38" s="840"/>
      <c r="O38" s="840"/>
      <c r="P38" s="840"/>
      <c r="Q38" s="840" t="str">
        <f>Q4</f>
        <v>2029 Baseline NA Area Energy Use (mmBTU/day)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9" ca="1" si="6">C6*C$32/C$26</f>
        <v>0.26631152503696842</v>
      </c>
      <c r="D40" s="133">
        <f t="shared" ca="1" si="6"/>
        <v>0.26631152503696842</v>
      </c>
      <c r="E40" s="133">
        <f t="shared" ca="1" si="6"/>
        <v>0.26631152503696842</v>
      </c>
      <c r="F40" s="551" t="s">
        <v>336</v>
      </c>
      <c r="G40" s="575">
        <f t="shared" ref="G40:H59" ca="1" si="7">G6*G$32/G$26</f>
        <v>0.26631152503696842</v>
      </c>
      <c r="H40" s="575">
        <f t="shared" ca="1" si="7"/>
        <v>0.26631152503696842</v>
      </c>
      <c r="I40" s="574" t="s">
        <v>336</v>
      </c>
      <c r="J40" s="133">
        <f t="shared" ref="J40:L59" ca="1" si="8">J6*J$32/J$26</f>
        <v>3.6625786506124017E-3</v>
      </c>
      <c r="K40" s="133">
        <f t="shared" ca="1" si="8"/>
        <v>3.6625786506124017E-3</v>
      </c>
      <c r="L40" s="133">
        <f t="shared" ca="1" si="8"/>
        <v>3.6625786506124017E-3</v>
      </c>
      <c r="M40" s="551" t="s">
        <v>336</v>
      </c>
      <c r="N40" s="575">
        <f t="shared" ref="N40:O59" ca="1" si="9">N6*N$32/N$26</f>
        <v>3.6625786506124017E-3</v>
      </c>
      <c r="O40" s="575">
        <f t="shared" ca="1" si="9"/>
        <v>3.6625786506124017E-3</v>
      </c>
      <c r="P40" s="574" t="s">
        <v>336</v>
      </c>
      <c r="Q40" s="45">
        <f t="shared" ref="Q40:S59" ca="1" si="10">Q6*Q$32/Q$26</f>
        <v>300.20625530686982</v>
      </c>
      <c r="R40" s="45">
        <f t="shared" ca="1" si="10"/>
        <v>300.20625530686982</v>
      </c>
      <c r="S40" s="45">
        <f t="shared" ca="1" si="10"/>
        <v>300.20625530686982</v>
      </c>
      <c r="T40" s="581" t="s">
        <v>336</v>
      </c>
      <c r="U40" s="573">
        <f t="shared" ref="U40:V59" ca="1" si="11">U6*U$32/U$26</f>
        <v>300.20625530686982</v>
      </c>
      <c r="V40" s="573">
        <f t="shared" ca="1" si="11"/>
        <v>300.20625530686982</v>
      </c>
      <c r="W40" s="574" t="s">
        <v>336</v>
      </c>
    </row>
    <row r="41" spans="1:23" x14ac:dyDescent="0.25">
      <c r="A41" s="812" t="str">
        <f t="shared" ref="A41:A58" si="12">A40</f>
        <v>FB</v>
      </c>
      <c r="B41" s="812" t="s">
        <v>138</v>
      </c>
      <c r="C41" s="133">
        <f t="shared" ca="1" si="6"/>
        <v>2.0784034303713447E-2</v>
      </c>
      <c r="D41" s="133">
        <f t="shared" ca="1" si="6"/>
        <v>2.0784034303713447E-2</v>
      </c>
      <c r="E41" s="133">
        <f t="shared" ca="1" si="6"/>
        <v>2.0784034303713447E-2</v>
      </c>
      <c r="F41" s="551" t="s">
        <v>336</v>
      </c>
      <c r="G41" s="575">
        <f t="shared" ca="1" si="7"/>
        <v>2.0784034303713447E-2</v>
      </c>
      <c r="H41" s="575">
        <f t="shared" ca="1" si="7"/>
        <v>2.0784034303713447E-2</v>
      </c>
      <c r="I41" s="574" t="s">
        <v>336</v>
      </c>
      <c r="J41" s="133">
        <f t="shared" ca="1" si="8"/>
        <v>3.2320756757637202E-4</v>
      </c>
      <c r="K41" s="133">
        <f t="shared" ca="1" si="8"/>
        <v>3.2320756757637202E-4</v>
      </c>
      <c r="L41" s="133">
        <f t="shared" ca="1" si="8"/>
        <v>3.2320756757637202E-4</v>
      </c>
      <c r="M41" s="551" t="s">
        <v>336</v>
      </c>
      <c r="N41" s="575">
        <f t="shared" ca="1" si="9"/>
        <v>3.2320756757637202E-4</v>
      </c>
      <c r="O41" s="575">
        <f t="shared" ca="1" si="9"/>
        <v>3.2320756757637202E-4</v>
      </c>
      <c r="P41" s="574" t="s">
        <v>336</v>
      </c>
      <c r="Q41" s="45">
        <f t="shared" ca="1" si="10"/>
        <v>26.487252809914676</v>
      </c>
      <c r="R41" s="45">
        <f t="shared" ca="1" si="10"/>
        <v>26.487252809914676</v>
      </c>
      <c r="S41" s="45">
        <f t="shared" ca="1" si="10"/>
        <v>26.487252809914676</v>
      </c>
      <c r="T41" s="581" t="s">
        <v>336</v>
      </c>
      <c r="U41" s="573">
        <f t="shared" ca="1" si="11"/>
        <v>26.487252809914676</v>
      </c>
      <c r="V41" s="573">
        <f t="shared" ca="1" si="11"/>
        <v>26.487252809914676</v>
      </c>
      <c r="W41" s="574" t="s">
        <v>336</v>
      </c>
    </row>
    <row r="42" spans="1:23" x14ac:dyDescent="0.25">
      <c r="A42" s="812" t="str">
        <f t="shared" si="12"/>
        <v>FB</v>
      </c>
      <c r="B42" s="812" t="s">
        <v>139</v>
      </c>
      <c r="C42" s="133">
        <f t="shared" ca="1" si="6"/>
        <v>1.7160409707237492E-2</v>
      </c>
      <c r="D42" s="133">
        <f t="shared" ca="1" si="6"/>
        <v>1.7160409707237492E-2</v>
      </c>
      <c r="E42" s="133">
        <f t="shared" ca="1" si="6"/>
        <v>1.7160409707237492E-2</v>
      </c>
      <c r="F42" s="551" t="s">
        <v>336</v>
      </c>
      <c r="G42" s="575">
        <f t="shared" ca="1" si="7"/>
        <v>1.7160409707237492E-2</v>
      </c>
      <c r="H42" s="575">
        <f t="shared" ca="1" si="7"/>
        <v>1.7160409707237492E-2</v>
      </c>
      <c r="I42" s="574" t="s">
        <v>336</v>
      </c>
      <c r="J42" s="133">
        <f t="shared" ca="1" si="8"/>
        <v>6.8048648340149483E-4</v>
      </c>
      <c r="K42" s="133">
        <f t="shared" ca="1" si="8"/>
        <v>6.8048648340149483E-4</v>
      </c>
      <c r="L42" s="133">
        <f t="shared" ca="1" si="8"/>
        <v>6.8048648340149483E-4</v>
      </c>
      <c r="M42" s="551" t="s">
        <v>336</v>
      </c>
      <c r="N42" s="575">
        <f t="shared" ca="1" si="9"/>
        <v>6.8048648340149483E-4</v>
      </c>
      <c r="O42" s="575">
        <f t="shared" ca="1" si="9"/>
        <v>6.8048648340149483E-4</v>
      </c>
      <c r="P42" s="574" t="s">
        <v>336</v>
      </c>
      <c r="Q42" s="45">
        <f t="shared" ca="1" si="10"/>
        <v>55.766694000214478</v>
      </c>
      <c r="R42" s="45">
        <f t="shared" ca="1" si="10"/>
        <v>55.766694000214478</v>
      </c>
      <c r="S42" s="45">
        <f t="shared" ca="1" si="10"/>
        <v>55.766694000214478</v>
      </c>
      <c r="T42" s="581" t="s">
        <v>336</v>
      </c>
      <c r="U42" s="573">
        <f t="shared" ca="1" si="11"/>
        <v>55.766694000214478</v>
      </c>
      <c r="V42" s="573">
        <f t="shared" ca="1" si="11"/>
        <v>55.766694000214478</v>
      </c>
      <c r="W42" s="574" t="s">
        <v>336</v>
      </c>
    </row>
    <row r="43" spans="1:23" x14ac:dyDescent="0.25">
      <c r="A43" s="812" t="str">
        <f t="shared" si="12"/>
        <v>FB</v>
      </c>
      <c r="B43" s="812" t="s">
        <v>140</v>
      </c>
      <c r="C43" s="133">
        <f t="shared" ca="1" si="6"/>
        <v>1.1192808352634769E-2</v>
      </c>
      <c r="D43" s="133">
        <f t="shared" ca="1" si="6"/>
        <v>1.1192808352634769E-2</v>
      </c>
      <c r="E43" s="133">
        <f t="shared" ca="1" si="6"/>
        <v>1.1192808352634769E-2</v>
      </c>
      <c r="F43" s="551" t="s">
        <v>336</v>
      </c>
      <c r="G43" s="575">
        <f t="shared" ca="1" si="7"/>
        <v>1.1192808352634769E-2</v>
      </c>
      <c r="H43" s="575">
        <f t="shared" ca="1" si="7"/>
        <v>1.1192808352634769E-2</v>
      </c>
      <c r="I43" s="574" t="s">
        <v>336</v>
      </c>
      <c r="J43" s="133">
        <f t="shared" ca="1" si="8"/>
        <v>4.0970268687119996E-4</v>
      </c>
      <c r="K43" s="133">
        <f t="shared" ca="1" si="8"/>
        <v>4.0970268687119996E-4</v>
      </c>
      <c r="L43" s="133">
        <f t="shared" ca="1" si="8"/>
        <v>4.0970268687119996E-4</v>
      </c>
      <c r="M43" s="551" t="s">
        <v>336</v>
      </c>
      <c r="N43" s="575">
        <f t="shared" ca="1" si="9"/>
        <v>4.0970268687119996E-4</v>
      </c>
      <c r="O43" s="575">
        <f t="shared" ca="1" si="9"/>
        <v>4.0970268687119996E-4</v>
      </c>
      <c r="P43" s="574" t="s">
        <v>336</v>
      </c>
      <c r="Q43" s="45">
        <f t="shared" ca="1" si="10"/>
        <v>33.575632914271232</v>
      </c>
      <c r="R43" s="45">
        <f t="shared" ca="1" si="10"/>
        <v>33.575632914271232</v>
      </c>
      <c r="S43" s="45">
        <f t="shared" ca="1" si="10"/>
        <v>33.575632914271232</v>
      </c>
      <c r="T43" s="581" t="s">
        <v>336</v>
      </c>
      <c r="U43" s="573">
        <f t="shared" ca="1" si="11"/>
        <v>33.575632914271232</v>
      </c>
      <c r="V43" s="573">
        <f t="shared" ca="1" si="11"/>
        <v>33.575632914271232</v>
      </c>
      <c r="W43" s="574" t="s">
        <v>336</v>
      </c>
    </row>
    <row r="44" spans="1:23" x14ac:dyDescent="0.25">
      <c r="A44" s="812" t="str">
        <f t="shared" si="12"/>
        <v>FB</v>
      </c>
      <c r="B44" s="812" t="s">
        <v>141</v>
      </c>
      <c r="C44" s="133">
        <f t="shared" ca="1" si="6"/>
        <v>0.16736786728545086</v>
      </c>
      <c r="D44" s="133">
        <f t="shared" ca="1" si="6"/>
        <v>0.16736786728545086</v>
      </c>
      <c r="E44" s="133">
        <f t="shared" ca="1" si="6"/>
        <v>0.16736786728545086</v>
      </c>
      <c r="F44" s="551" t="s">
        <v>336</v>
      </c>
      <c r="G44" s="575">
        <f t="shared" ca="1" si="7"/>
        <v>0.16736786728545086</v>
      </c>
      <c r="H44" s="575">
        <f t="shared" ca="1" si="7"/>
        <v>0.16736786728545086</v>
      </c>
      <c r="I44" s="574" t="s">
        <v>336</v>
      </c>
      <c r="J44" s="133">
        <f t="shared" ca="1" si="8"/>
        <v>6.5592456997388589E-3</v>
      </c>
      <c r="K44" s="133">
        <f t="shared" ca="1" si="8"/>
        <v>6.5592456997388589E-3</v>
      </c>
      <c r="L44" s="133">
        <f t="shared" ca="1" si="8"/>
        <v>6.5592456997388589E-3</v>
      </c>
      <c r="M44" s="551" t="s">
        <v>336</v>
      </c>
      <c r="N44" s="575">
        <f t="shared" ca="1" si="9"/>
        <v>6.5592456997388589E-3</v>
      </c>
      <c r="O44" s="575">
        <f t="shared" ca="1" si="9"/>
        <v>6.5592456997388589E-3</v>
      </c>
      <c r="P44" s="574" t="s">
        <v>336</v>
      </c>
      <c r="Q44" s="45">
        <f t="shared" ca="1" si="10"/>
        <v>537.53815355909296</v>
      </c>
      <c r="R44" s="45">
        <f t="shared" ca="1" si="10"/>
        <v>537.53815355909296</v>
      </c>
      <c r="S44" s="45">
        <f t="shared" ca="1" si="10"/>
        <v>537.53815355909296</v>
      </c>
      <c r="T44" s="581" t="s">
        <v>336</v>
      </c>
      <c r="U44" s="573">
        <f t="shared" ca="1" si="11"/>
        <v>537.53815355909296</v>
      </c>
      <c r="V44" s="573">
        <f t="shared" ca="1" si="11"/>
        <v>537.53815355909296</v>
      </c>
      <c r="W44" s="574" t="s">
        <v>336</v>
      </c>
    </row>
    <row r="45" spans="1:23" x14ac:dyDescent="0.25">
      <c r="A45" s="812" t="str">
        <f t="shared" si="12"/>
        <v>FB</v>
      </c>
      <c r="B45" s="812" t="s">
        <v>142</v>
      </c>
      <c r="C45" s="133">
        <f t="shared" ca="1" si="6"/>
        <v>0.22999845574600783</v>
      </c>
      <c r="D45" s="133">
        <f t="shared" ca="1" si="6"/>
        <v>0.22999845574600783</v>
      </c>
      <c r="E45" s="133">
        <f t="shared" ca="1" si="6"/>
        <v>0.22999845574600783</v>
      </c>
      <c r="F45" s="551" t="s">
        <v>336</v>
      </c>
      <c r="G45" s="575">
        <f t="shared" ca="1" si="7"/>
        <v>0.22999845574600783</v>
      </c>
      <c r="H45" s="575">
        <f t="shared" ca="1" si="7"/>
        <v>0.22999845574600783</v>
      </c>
      <c r="I45" s="574" t="s">
        <v>336</v>
      </c>
      <c r="J45" s="133">
        <f t="shared" ca="1" si="8"/>
        <v>1.3809942859481401E-2</v>
      </c>
      <c r="K45" s="133">
        <f t="shared" ca="1" si="8"/>
        <v>1.3809942859481401E-2</v>
      </c>
      <c r="L45" s="133">
        <f t="shared" ca="1" si="8"/>
        <v>1.3809942859481401E-2</v>
      </c>
      <c r="M45" s="551" t="s">
        <v>336</v>
      </c>
      <c r="N45" s="575">
        <f t="shared" ca="1" si="9"/>
        <v>1.3809942859481401E-2</v>
      </c>
      <c r="O45" s="575">
        <f t="shared" ca="1" si="9"/>
        <v>1.3809942859481401E-2</v>
      </c>
      <c r="P45" s="574" t="s">
        <v>336</v>
      </c>
      <c r="Q45" s="45">
        <f t="shared" ca="1" si="10"/>
        <v>1131.7415942716946</v>
      </c>
      <c r="R45" s="45">
        <f t="shared" ca="1" si="10"/>
        <v>1131.7415942716946</v>
      </c>
      <c r="S45" s="45">
        <f t="shared" ca="1" si="10"/>
        <v>1131.7415942716946</v>
      </c>
      <c r="T45" s="581" t="s">
        <v>336</v>
      </c>
      <c r="U45" s="573">
        <f t="shared" ca="1" si="11"/>
        <v>1131.7415942716946</v>
      </c>
      <c r="V45" s="573">
        <f t="shared" ca="1" si="11"/>
        <v>1131.7415942716946</v>
      </c>
      <c r="W45" s="574" t="s">
        <v>336</v>
      </c>
    </row>
    <row r="46" spans="1:23" x14ac:dyDescent="0.25">
      <c r="A46" s="812" t="str">
        <f t="shared" si="12"/>
        <v>FB</v>
      </c>
      <c r="B46" s="812" t="s">
        <v>143</v>
      </c>
      <c r="C46" s="133">
        <f t="shared" ca="1" si="6"/>
        <v>0.15365135262167459</v>
      </c>
      <c r="D46" s="133">
        <f t="shared" ca="1" si="6"/>
        <v>0.15365135262167459</v>
      </c>
      <c r="E46" s="133">
        <f t="shared" ca="1" si="6"/>
        <v>0.15365135262167459</v>
      </c>
      <c r="F46" s="551" t="s">
        <v>336</v>
      </c>
      <c r="G46" s="575">
        <f t="shared" ca="1" si="7"/>
        <v>0.15365135262167459</v>
      </c>
      <c r="H46" s="575">
        <f t="shared" ca="1" si="7"/>
        <v>0.15365135262167459</v>
      </c>
      <c r="I46" s="574" t="s">
        <v>336</v>
      </c>
      <c r="J46" s="133">
        <f t="shared" ca="1" si="8"/>
        <v>8.3145967378884817E-3</v>
      </c>
      <c r="K46" s="133">
        <f t="shared" ca="1" si="8"/>
        <v>8.3145967378884817E-3</v>
      </c>
      <c r="L46" s="133">
        <f t="shared" ca="1" si="8"/>
        <v>8.3145967378884817E-3</v>
      </c>
      <c r="M46" s="551" t="s">
        <v>336</v>
      </c>
      <c r="N46" s="575">
        <f t="shared" ca="1" si="9"/>
        <v>8.3145967378884817E-3</v>
      </c>
      <c r="O46" s="575">
        <f t="shared" ca="1" si="9"/>
        <v>8.3145967378884817E-3</v>
      </c>
      <c r="P46" s="574" t="s">
        <v>336</v>
      </c>
      <c r="Q46" s="45">
        <f t="shared" ca="1" si="10"/>
        <v>681.39130361452544</v>
      </c>
      <c r="R46" s="45">
        <f t="shared" ca="1" si="10"/>
        <v>681.39130361452544</v>
      </c>
      <c r="S46" s="45">
        <f t="shared" ca="1" si="10"/>
        <v>681.39130361452544</v>
      </c>
      <c r="T46" s="581" t="s">
        <v>336</v>
      </c>
      <c r="U46" s="573">
        <f t="shared" ca="1" si="11"/>
        <v>681.39130361452544</v>
      </c>
      <c r="V46" s="573">
        <f t="shared" ca="1" si="11"/>
        <v>681.39130361452544</v>
      </c>
      <c r="W46" s="574" t="s">
        <v>336</v>
      </c>
    </row>
    <row r="47" spans="1:23" x14ac:dyDescent="0.25">
      <c r="A47" s="812" t="str">
        <f t="shared" si="12"/>
        <v>FB</v>
      </c>
      <c r="B47" s="812" t="s">
        <v>144</v>
      </c>
      <c r="C47" s="133">
        <f t="shared" ca="1" si="6"/>
        <v>5.6695341921912442E-3</v>
      </c>
      <c r="D47" s="133">
        <f t="shared" ca="1" si="6"/>
        <v>5.6695341921912442E-3</v>
      </c>
      <c r="E47" s="133">
        <f t="shared" ca="1" si="6"/>
        <v>5.6695341921912442E-3</v>
      </c>
      <c r="F47" s="551" t="s">
        <v>336</v>
      </c>
      <c r="G47" s="575">
        <f t="shared" ca="1" si="7"/>
        <v>5.6695341921912442E-3</v>
      </c>
      <c r="H47" s="575">
        <f t="shared" ca="1" si="7"/>
        <v>5.6695341921912442E-3</v>
      </c>
      <c r="I47" s="574" t="s">
        <v>336</v>
      </c>
      <c r="J47" s="133">
        <f t="shared" ca="1" si="8"/>
        <v>7.291531418783943E-4</v>
      </c>
      <c r="K47" s="133">
        <f t="shared" ca="1" si="8"/>
        <v>7.291531418783943E-4</v>
      </c>
      <c r="L47" s="133">
        <f t="shared" ca="1" si="8"/>
        <v>7.291531418783943E-4</v>
      </c>
      <c r="M47" s="551" t="s">
        <v>336</v>
      </c>
      <c r="N47" s="575">
        <f t="shared" ca="1" si="9"/>
        <v>7.291531418783943E-4</v>
      </c>
      <c r="O47" s="575">
        <f t="shared" ca="1" si="9"/>
        <v>7.291531418783943E-4</v>
      </c>
      <c r="P47" s="574" t="s">
        <v>336</v>
      </c>
      <c r="Q47" s="45">
        <f t="shared" ca="1" si="10"/>
        <v>71.358427436306215</v>
      </c>
      <c r="R47" s="45">
        <f t="shared" ca="1" si="10"/>
        <v>71.358427436306215</v>
      </c>
      <c r="S47" s="45">
        <f t="shared" ca="1" si="10"/>
        <v>71.358427436306215</v>
      </c>
      <c r="T47" s="581" t="s">
        <v>336</v>
      </c>
      <c r="U47" s="573">
        <f t="shared" ca="1" si="11"/>
        <v>71.358427436306215</v>
      </c>
      <c r="V47" s="573">
        <f t="shared" ca="1" si="11"/>
        <v>71.358427436306215</v>
      </c>
      <c r="W47" s="574" t="s">
        <v>336</v>
      </c>
    </row>
    <row r="48" spans="1:23" x14ac:dyDescent="0.25">
      <c r="A48" s="812" t="str">
        <f t="shared" si="12"/>
        <v>FB</v>
      </c>
      <c r="B48" s="812" t="s">
        <v>145</v>
      </c>
      <c r="C48" s="133">
        <f t="shared" ca="1" si="6"/>
        <v>1.9123515031426796E-2</v>
      </c>
      <c r="D48" s="133">
        <f t="shared" ca="1" si="6"/>
        <v>1.9123515031426796E-2</v>
      </c>
      <c r="E48" s="133">
        <f t="shared" ca="1" si="6"/>
        <v>1.9123515031426796E-2</v>
      </c>
      <c r="F48" s="551" t="s">
        <v>336</v>
      </c>
      <c r="G48" s="575">
        <f t="shared" ca="1" si="7"/>
        <v>1.9123515031426796E-2</v>
      </c>
      <c r="H48" s="575">
        <f t="shared" ca="1" si="7"/>
        <v>1.9123515031426796E-2</v>
      </c>
      <c r="I48" s="574" t="s">
        <v>336</v>
      </c>
      <c r="J48" s="133">
        <f t="shared" ca="1" si="8"/>
        <v>2.4594562086121363E-3</v>
      </c>
      <c r="K48" s="133">
        <f t="shared" ca="1" si="8"/>
        <v>2.4594562086121363E-3</v>
      </c>
      <c r="L48" s="133">
        <f t="shared" ca="1" si="8"/>
        <v>2.4594562086121363E-3</v>
      </c>
      <c r="M48" s="551" t="s">
        <v>336</v>
      </c>
      <c r="N48" s="575">
        <f t="shared" ca="1" si="9"/>
        <v>2.4594562086121363E-3</v>
      </c>
      <c r="O48" s="575">
        <f t="shared" ca="1" si="9"/>
        <v>2.4594562086121363E-3</v>
      </c>
      <c r="P48" s="574" t="s">
        <v>336</v>
      </c>
      <c r="Q48" s="45">
        <f t="shared" ca="1" si="10"/>
        <v>240.69419346243677</v>
      </c>
      <c r="R48" s="45">
        <f t="shared" ca="1" si="10"/>
        <v>240.69419346243677</v>
      </c>
      <c r="S48" s="45">
        <f t="shared" ca="1" si="10"/>
        <v>240.69419346243677</v>
      </c>
      <c r="T48" s="581" t="s">
        <v>336</v>
      </c>
      <c r="U48" s="573">
        <f t="shared" ca="1" si="11"/>
        <v>240.69419346243677</v>
      </c>
      <c r="V48" s="573">
        <f t="shared" ca="1" si="11"/>
        <v>240.69419346243677</v>
      </c>
      <c r="W48" s="574" t="s">
        <v>336</v>
      </c>
    </row>
    <row r="49" spans="1:23" x14ac:dyDescent="0.25">
      <c r="A49" s="812" t="str">
        <f t="shared" si="12"/>
        <v>FB</v>
      </c>
      <c r="B49" s="812" t="s">
        <v>146</v>
      </c>
      <c r="C49" s="133">
        <f t="shared" ca="1" si="6"/>
        <v>9.5012927265977765E-2</v>
      </c>
      <c r="D49" s="133">
        <f t="shared" ca="1" si="6"/>
        <v>9.5012927265977765E-2</v>
      </c>
      <c r="E49" s="133">
        <f t="shared" ca="1" si="6"/>
        <v>9.5012927265977765E-2</v>
      </c>
      <c r="F49" s="551" t="s">
        <v>336</v>
      </c>
      <c r="G49" s="575">
        <f t="shared" ca="1" si="7"/>
        <v>9.5012927265977765E-2</v>
      </c>
      <c r="H49" s="575">
        <f t="shared" ca="1" si="7"/>
        <v>9.5012927265977765E-2</v>
      </c>
      <c r="I49" s="574" t="s">
        <v>336</v>
      </c>
      <c r="J49" s="133">
        <f t="shared" ca="1" si="8"/>
        <v>4.5807010666323511E-3</v>
      </c>
      <c r="K49" s="133">
        <f t="shared" ca="1" si="8"/>
        <v>4.5807010666323511E-3</v>
      </c>
      <c r="L49" s="133">
        <f t="shared" ca="1" si="8"/>
        <v>4.5807010666323511E-3</v>
      </c>
      <c r="M49" s="551" t="s">
        <v>336</v>
      </c>
      <c r="N49" s="575">
        <f t="shared" ca="1" si="9"/>
        <v>4.5807010666323511E-3</v>
      </c>
      <c r="O49" s="575">
        <f t="shared" ca="1" si="9"/>
        <v>4.5807010666323511E-3</v>
      </c>
      <c r="P49" s="574" t="s">
        <v>336</v>
      </c>
      <c r="Q49" s="45">
        <f t="shared" ca="1" si="10"/>
        <v>375.26515600642074</v>
      </c>
      <c r="R49" s="45">
        <f t="shared" ca="1" si="10"/>
        <v>375.26515600642074</v>
      </c>
      <c r="S49" s="45">
        <f t="shared" ca="1" si="10"/>
        <v>375.26515600642074</v>
      </c>
      <c r="T49" s="581" t="s">
        <v>336</v>
      </c>
      <c r="U49" s="573">
        <f t="shared" ca="1" si="11"/>
        <v>375.26515600642074</v>
      </c>
      <c r="V49" s="573">
        <f t="shared" ca="1" si="11"/>
        <v>375.26515600642074</v>
      </c>
      <c r="W49" s="574" t="s">
        <v>336</v>
      </c>
    </row>
    <row r="50" spans="1:23" x14ac:dyDescent="0.25">
      <c r="A50" s="812" t="str">
        <f t="shared" si="12"/>
        <v>FB</v>
      </c>
      <c r="B50" s="812" t="s">
        <v>568</v>
      </c>
      <c r="C50" s="133">
        <f t="shared" ca="1" si="6"/>
        <v>2.0629411689426301E-2</v>
      </c>
      <c r="D50" s="133">
        <f t="shared" ca="1" si="6"/>
        <v>2.0629411689426301E-2</v>
      </c>
      <c r="E50" s="133">
        <f t="shared" ca="1" si="6"/>
        <v>2.0629411689426301E-2</v>
      </c>
      <c r="F50" s="551" t="s">
        <v>336</v>
      </c>
      <c r="G50" s="575">
        <f t="shared" ca="1" si="7"/>
        <v>2.0629411689426301E-2</v>
      </c>
      <c r="H50" s="575">
        <f t="shared" ca="1" si="7"/>
        <v>2.0629411689426301E-2</v>
      </c>
      <c r="I50" s="574" t="s">
        <v>336</v>
      </c>
      <c r="J50" s="133">
        <f t="shared" ca="1" si="8"/>
        <v>1.5534718726539718</v>
      </c>
      <c r="K50" s="133">
        <f t="shared" ca="1" si="8"/>
        <v>1.5534718726539718</v>
      </c>
      <c r="L50" s="133">
        <f t="shared" ca="1" si="8"/>
        <v>1.5534718726539718</v>
      </c>
      <c r="M50" s="551" t="s">
        <v>336</v>
      </c>
      <c r="N50" s="575">
        <f t="shared" ca="1" si="9"/>
        <v>1.5534718726539718</v>
      </c>
      <c r="O50" s="575">
        <f t="shared" ca="1" si="9"/>
        <v>1.5534718726539718</v>
      </c>
      <c r="P50" s="574" t="s">
        <v>336</v>
      </c>
      <c r="Q50" s="45">
        <f t="shared" ca="1" si="10"/>
        <v>14728.3911921166</v>
      </c>
      <c r="R50" s="45">
        <f t="shared" ca="1" si="10"/>
        <v>14728.3911921166</v>
      </c>
      <c r="S50" s="45">
        <f t="shared" ca="1" si="10"/>
        <v>14728.3911921166</v>
      </c>
      <c r="T50" s="581" t="s">
        <v>336</v>
      </c>
      <c r="U50" s="573">
        <f t="shared" ca="1" si="11"/>
        <v>14728.3911921166</v>
      </c>
      <c r="V50" s="573">
        <f t="shared" ca="1" si="11"/>
        <v>14728.3911921166</v>
      </c>
      <c r="W50" s="574" t="s">
        <v>336</v>
      </c>
    </row>
    <row r="51" spans="1:23" x14ac:dyDescent="0.25">
      <c r="A51" s="812" t="str">
        <f t="shared" si="12"/>
        <v>FB</v>
      </c>
      <c r="B51" s="812" t="s">
        <v>148</v>
      </c>
      <c r="C51" s="133">
        <f t="shared" ca="1" si="6"/>
        <v>7.0526401364324155E-3</v>
      </c>
      <c r="D51" s="133">
        <f t="shared" ca="1" si="6"/>
        <v>7.0526401364324155E-3</v>
      </c>
      <c r="E51" s="133">
        <f t="shared" ca="1" si="6"/>
        <v>7.0526401364324155E-3</v>
      </c>
      <c r="F51" s="551" t="s">
        <v>336</v>
      </c>
      <c r="G51" s="575">
        <f t="shared" ca="1" si="7"/>
        <v>7.0526401364324155E-3</v>
      </c>
      <c r="H51" s="575">
        <f t="shared" ca="1" si="7"/>
        <v>7.0526401364324155E-3</v>
      </c>
      <c r="I51" s="574" t="s">
        <v>336</v>
      </c>
      <c r="J51" s="133">
        <f t="shared" ca="1" si="8"/>
        <v>0.2337911328573993</v>
      </c>
      <c r="K51" s="133">
        <f t="shared" ca="1" si="8"/>
        <v>0.2337911328573993</v>
      </c>
      <c r="L51" s="133">
        <f t="shared" ca="1" si="8"/>
        <v>0.2337911328573993</v>
      </c>
      <c r="M51" s="551" t="s">
        <v>336</v>
      </c>
      <c r="N51" s="575">
        <f t="shared" ca="1" si="9"/>
        <v>0.2337911328573993</v>
      </c>
      <c r="O51" s="575">
        <f t="shared" ca="1" si="9"/>
        <v>0.2337911328573993</v>
      </c>
      <c r="P51" s="574" t="s">
        <v>336</v>
      </c>
      <c r="Q51" s="45">
        <f t="shared" ca="1" si="10"/>
        <v>5196.1652039613464</v>
      </c>
      <c r="R51" s="45">
        <f t="shared" ca="1" si="10"/>
        <v>5196.1652039613464</v>
      </c>
      <c r="S51" s="45">
        <f t="shared" ca="1" si="10"/>
        <v>5196.1652039613464</v>
      </c>
      <c r="T51" s="581" t="s">
        <v>336</v>
      </c>
      <c r="U51" s="573">
        <f t="shared" ca="1" si="11"/>
        <v>5196.1652039613464</v>
      </c>
      <c r="V51" s="573">
        <f t="shared" ca="1" si="11"/>
        <v>5196.1652039613464</v>
      </c>
      <c r="W51" s="574" t="s">
        <v>336</v>
      </c>
    </row>
    <row r="52" spans="1:23" x14ac:dyDescent="0.25">
      <c r="A52" s="812" t="str">
        <f t="shared" si="12"/>
        <v>FB</v>
      </c>
      <c r="B52" s="812" t="s">
        <v>746</v>
      </c>
      <c r="C52" s="133">
        <f t="shared" ca="1" si="6"/>
        <v>1.2348229335267069E-4</v>
      </c>
      <c r="D52" s="133">
        <f t="shared" ca="1" si="6"/>
        <v>1.2348229335267069E-4</v>
      </c>
      <c r="E52" s="133">
        <f t="shared" ca="1" si="6"/>
        <v>1.2348229335267069E-4</v>
      </c>
      <c r="F52" s="551" t="s">
        <v>336</v>
      </c>
      <c r="G52" s="575">
        <f t="shared" ca="1" si="7"/>
        <v>1.2348229335267069E-4</v>
      </c>
      <c r="H52" s="575">
        <f t="shared" ca="1" si="7"/>
        <v>1.2348229335267069E-4</v>
      </c>
      <c r="I52" s="574" t="s">
        <v>336</v>
      </c>
      <c r="J52" s="133">
        <f t="shared" ca="1" si="8"/>
        <v>1.0614374224586103E-2</v>
      </c>
      <c r="K52" s="133">
        <f t="shared" ca="1" si="8"/>
        <v>1.0614374224586103E-2</v>
      </c>
      <c r="L52" s="133">
        <f t="shared" ca="1" si="8"/>
        <v>1.0614374224586103E-2</v>
      </c>
      <c r="M52" s="551" t="s">
        <v>336</v>
      </c>
      <c r="N52" s="575">
        <f t="shared" ca="1" si="9"/>
        <v>1.0614374224586103E-2</v>
      </c>
      <c r="O52" s="575">
        <f t="shared" ca="1" si="9"/>
        <v>1.0614374224586103E-2</v>
      </c>
      <c r="P52" s="574" t="s">
        <v>336</v>
      </c>
      <c r="Q52" s="45">
        <f t="shared" ca="1" si="10"/>
        <v>102.72212928494199</v>
      </c>
      <c r="R52" s="45">
        <f t="shared" ca="1" si="10"/>
        <v>102.72212928494199</v>
      </c>
      <c r="S52" s="45">
        <f t="shared" ca="1" si="10"/>
        <v>102.72212928494199</v>
      </c>
      <c r="T52" s="581" t="s">
        <v>336</v>
      </c>
      <c r="U52" s="573">
        <f t="shared" ca="1" si="11"/>
        <v>102.72212928494199</v>
      </c>
      <c r="V52" s="573">
        <f t="shared" ca="1" si="11"/>
        <v>102.72212928494199</v>
      </c>
      <c r="W52" s="574" t="s">
        <v>336</v>
      </c>
    </row>
    <row r="53" spans="1:23" x14ac:dyDescent="0.25">
      <c r="A53" s="812" t="str">
        <f t="shared" si="12"/>
        <v>FB</v>
      </c>
      <c r="B53" s="812" t="s">
        <v>747</v>
      </c>
      <c r="C53" s="133">
        <f t="shared" ca="1" si="6"/>
        <v>4.7687444512002603E-4</v>
      </c>
      <c r="D53" s="133">
        <f t="shared" ca="1" si="6"/>
        <v>4.7687444512002603E-4</v>
      </c>
      <c r="E53" s="133">
        <f t="shared" ca="1" si="6"/>
        <v>4.7687444512002603E-4</v>
      </c>
      <c r="F53" s="551" t="s">
        <v>336</v>
      </c>
      <c r="G53" s="575">
        <f t="shared" ca="1" si="7"/>
        <v>4.7687444512002603E-4</v>
      </c>
      <c r="H53" s="575">
        <f t="shared" ca="1" si="7"/>
        <v>4.7687444512002603E-4</v>
      </c>
      <c r="I53" s="574" t="s">
        <v>336</v>
      </c>
      <c r="J53" s="133">
        <f t="shared" ca="1" si="8"/>
        <v>3.5910429654236645E-2</v>
      </c>
      <c r="K53" s="133">
        <f t="shared" ca="1" si="8"/>
        <v>3.5910429654236645E-2</v>
      </c>
      <c r="L53" s="133">
        <f t="shared" ca="1" si="8"/>
        <v>3.5910429654236645E-2</v>
      </c>
      <c r="M53" s="551" t="s">
        <v>336</v>
      </c>
      <c r="N53" s="575">
        <f t="shared" ca="1" si="9"/>
        <v>3.5910429654236645E-2</v>
      </c>
      <c r="O53" s="575">
        <f t="shared" ca="1" si="9"/>
        <v>3.5910429654236645E-2</v>
      </c>
      <c r="P53" s="574" t="s">
        <v>336</v>
      </c>
      <c r="Q53" s="45">
        <f t="shared" ca="1" si="10"/>
        <v>317.09946955163804</v>
      </c>
      <c r="R53" s="45">
        <f t="shared" ca="1" si="10"/>
        <v>317.09946955163804</v>
      </c>
      <c r="S53" s="45">
        <f t="shared" ca="1" si="10"/>
        <v>317.09946955163804</v>
      </c>
      <c r="T53" s="581" t="s">
        <v>336</v>
      </c>
      <c r="U53" s="573">
        <f t="shared" ca="1" si="11"/>
        <v>317.09946955163804</v>
      </c>
      <c r="V53" s="573">
        <f t="shared" ca="1" si="11"/>
        <v>317.09946955163804</v>
      </c>
      <c r="W53" s="574" t="s">
        <v>336</v>
      </c>
    </row>
    <row r="54" spans="1:23" x14ac:dyDescent="0.25">
      <c r="A54" s="812" t="str">
        <f t="shared" si="12"/>
        <v>FB</v>
      </c>
      <c r="B54" s="812" t="s">
        <v>149</v>
      </c>
      <c r="C54" s="133">
        <f t="shared" ca="1" si="6"/>
        <v>2.2027752305439485E-6</v>
      </c>
      <c r="D54" s="133">
        <f t="shared" ca="1" si="6"/>
        <v>2.2027752305439485E-6</v>
      </c>
      <c r="E54" s="133">
        <f t="shared" ca="1" si="6"/>
        <v>2.2027752305439485E-6</v>
      </c>
      <c r="F54" s="551" t="s">
        <v>336</v>
      </c>
      <c r="G54" s="575">
        <f t="shared" ca="1" si="7"/>
        <v>2.2027752305439485E-6</v>
      </c>
      <c r="H54" s="575">
        <f t="shared" ca="1" si="7"/>
        <v>2.2027752305439485E-6</v>
      </c>
      <c r="I54" s="574" t="s">
        <v>336</v>
      </c>
      <c r="J54" s="133">
        <f t="shared" ca="1" si="8"/>
        <v>3.174305165936984E-5</v>
      </c>
      <c r="K54" s="133">
        <f t="shared" ca="1" si="8"/>
        <v>3.174305165936984E-5</v>
      </c>
      <c r="L54" s="133">
        <f t="shared" ca="1" si="8"/>
        <v>3.174305165936984E-5</v>
      </c>
      <c r="M54" s="551" t="s">
        <v>336</v>
      </c>
      <c r="N54" s="575">
        <f t="shared" ca="1" si="9"/>
        <v>3.174305165936984E-5</v>
      </c>
      <c r="O54" s="575">
        <f t="shared" ca="1" si="9"/>
        <v>3.174305165936984E-5</v>
      </c>
      <c r="P54" s="574" t="s">
        <v>336</v>
      </c>
      <c r="Q54" s="45">
        <f t="shared" ca="1" si="10"/>
        <v>133.34465664434686</v>
      </c>
      <c r="R54" s="45">
        <f t="shared" ca="1" si="10"/>
        <v>133.34465664434686</v>
      </c>
      <c r="S54" s="45">
        <f t="shared" ca="1" si="10"/>
        <v>133.34465664434686</v>
      </c>
      <c r="T54" s="581" t="s">
        <v>336</v>
      </c>
      <c r="U54" s="573">
        <f t="shared" ca="1" si="11"/>
        <v>133.34465664434686</v>
      </c>
      <c r="V54" s="573">
        <f t="shared" ca="1" si="11"/>
        <v>133.34465664434686</v>
      </c>
      <c r="W54" s="574" t="s">
        <v>336</v>
      </c>
    </row>
    <row r="55" spans="1:23" x14ac:dyDescent="0.25">
      <c r="A55" s="812" t="str">
        <f t="shared" si="12"/>
        <v>FB</v>
      </c>
      <c r="B55" s="812" t="s">
        <v>150</v>
      </c>
      <c r="C55" s="133">
        <f t="shared" ca="1" si="6"/>
        <v>3.79346925395468E-3</v>
      </c>
      <c r="D55" s="133">
        <f t="shared" ca="1" si="6"/>
        <v>3.79346925395468E-3</v>
      </c>
      <c r="E55" s="133">
        <f t="shared" ca="1" si="6"/>
        <v>3.79346925395468E-3</v>
      </c>
      <c r="F55" s="551" t="s">
        <v>336</v>
      </c>
      <c r="G55" s="575">
        <f t="shared" ca="1" si="7"/>
        <v>3.79346925395468E-3</v>
      </c>
      <c r="H55" s="575">
        <f t="shared" ca="1" si="7"/>
        <v>3.79346925395468E-3</v>
      </c>
      <c r="I55" s="574" t="s">
        <v>336</v>
      </c>
      <c r="J55" s="133">
        <f t="shared" ca="1" si="8"/>
        <v>3.5627662694776496E-4</v>
      </c>
      <c r="K55" s="133">
        <f t="shared" ca="1" si="8"/>
        <v>3.5627662694776496E-4</v>
      </c>
      <c r="L55" s="133">
        <f t="shared" ca="1" si="8"/>
        <v>3.5627662694776496E-4</v>
      </c>
      <c r="M55" s="551" t="s">
        <v>336</v>
      </c>
      <c r="N55" s="575">
        <f t="shared" ca="1" si="9"/>
        <v>3.5627662694776496E-4</v>
      </c>
      <c r="O55" s="575">
        <f t="shared" ca="1" si="9"/>
        <v>3.5627662694776496E-4</v>
      </c>
      <c r="P55" s="574" t="s">
        <v>336</v>
      </c>
      <c r="Q55" s="45">
        <f t="shared" ca="1" si="10"/>
        <v>1230.5623388370527</v>
      </c>
      <c r="R55" s="45">
        <f t="shared" ca="1" si="10"/>
        <v>1230.5623388370527</v>
      </c>
      <c r="S55" s="45">
        <f t="shared" ca="1" si="10"/>
        <v>1230.5623388370527</v>
      </c>
      <c r="T55" s="581" t="s">
        <v>336</v>
      </c>
      <c r="U55" s="573">
        <f t="shared" ca="1" si="11"/>
        <v>1230.5623388370527</v>
      </c>
      <c r="V55" s="573">
        <f t="shared" ca="1" si="11"/>
        <v>1230.5623388370527</v>
      </c>
      <c r="W55" s="574" t="s">
        <v>336</v>
      </c>
    </row>
    <row r="56" spans="1:23" x14ac:dyDescent="0.25">
      <c r="A56" s="812" t="str">
        <f t="shared" si="12"/>
        <v>FB</v>
      </c>
      <c r="B56" s="812" t="s">
        <v>151</v>
      </c>
      <c r="C56" s="133">
        <f t="shared" ca="1" si="6"/>
        <v>3.6847969552067809E-2</v>
      </c>
      <c r="D56" s="133">
        <f t="shared" ca="1" si="6"/>
        <v>3.6847969552067809E-2</v>
      </c>
      <c r="E56" s="133">
        <f t="shared" ca="1" si="6"/>
        <v>3.6847969552067809E-2</v>
      </c>
      <c r="F56" s="551" t="s">
        <v>336</v>
      </c>
      <c r="G56" s="575">
        <f t="shared" ca="1" si="7"/>
        <v>3.6847969552067809E-2</v>
      </c>
      <c r="H56" s="575">
        <f t="shared" ca="1" si="7"/>
        <v>3.6847969552067809E-2</v>
      </c>
      <c r="I56" s="574" t="s">
        <v>336</v>
      </c>
      <c r="J56" s="133">
        <f t="shared" ca="1" si="8"/>
        <v>5.102262947397835E-2</v>
      </c>
      <c r="K56" s="133">
        <f t="shared" ca="1" si="8"/>
        <v>5.102262947397835E-2</v>
      </c>
      <c r="L56" s="133">
        <f t="shared" ca="1" si="8"/>
        <v>5.102262947397835E-2</v>
      </c>
      <c r="M56" s="551" t="s">
        <v>336</v>
      </c>
      <c r="N56" s="575">
        <f t="shared" ca="1" si="9"/>
        <v>5.102262947397835E-2</v>
      </c>
      <c r="O56" s="575">
        <f t="shared" ca="1" si="9"/>
        <v>5.102262947397835E-2</v>
      </c>
      <c r="P56" s="574" t="s">
        <v>336</v>
      </c>
      <c r="Q56" s="45">
        <f t="shared" ca="1" si="10"/>
        <v>170.26483873896379</v>
      </c>
      <c r="R56" s="45">
        <f t="shared" ca="1" si="10"/>
        <v>170.26483873896379</v>
      </c>
      <c r="S56" s="45">
        <f t="shared" ca="1" si="10"/>
        <v>170.26483873896379</v>
      </c>
      <c r="T56" s="581" t="s">
        <v>336</v>
      </c>
      <c r="U56" s="573">
        <f t="shared" ca="1" si="11"/>
        <v>170.26483873896379</v>
      </c>
      <c r="V56" s="573">
        <f t="shared" ca="1" si="11"/>
        <v>170.26483873896379</v>
      </c>
      <c r="W56" s="574" t="s">
        <v>336</v>
      </c>
    </row>
    <row r="57" spans="1:23" x14ac:dyDescent="0.25">
      <c r="A57" s="812" t="str">
        <f t="shared" si="12"/>
        <v>FB</v>
      </c>
      <c r="B57" s="812" t="s">
        <v>152</v>
      </c>
      <c r="C57" s="133">
        <f t="shared" ca="1" si="6"/>
        <v>9.899980036150921E-5</v>
      </c>
      <c r="D57" s="133">
        <f t="shared" ca="1" si="6"/>
        <v>9.899980036150921E-5</v>
      </c>
      <c r="E57" s="133">
        <f t="shared" ca="1" si="6"/>
        <v>9.899980036150921E-5</v>
      </c>
      <c r="F57" s="551" t="s">
        <v>336</v>
      </c>
      <c r="G57" s="575">
        <f t="shared" ca="1" si="7"/>
        <v>9.899980036150921E-5</v>
      </c>
      <c r="H57" s="575">
        <f t="shared" ca="1" si="7"/>
        <v>9.899980036150921E-5</v>
      </c>
      <c r="I57" s="574" t="s">
        <v>336</v>
      </c>
      <c r="J57" s="133">
        <f t="shared" ca="1" si="8"/>
        <v>1.3708299787605665E-4</v>
      </c>
      <c r="K57" s="133">
        <f t="shared" ca="1" si="8"/>
        <v>1.3708299787605665E-4</v>
      </c>
      <c r="L57" s="133">
        <f t="shared" ca="1" si="8"/>
        <v>1.3708299787605665E-4</v>
      </c>
      <c r="M57" s="551" t="s">
        <v>336</v>
      </c>
      <c r="N57" s="575">
        <f t="shared" ca="1" si="9"/>
        <v>1.3708299787605665E-4</v>
      </c>
      <c r="O57" s="575">
        <f t="shared" ca="1" si="9"/>
        <v>1.3708299787605665E-4</v>
      </c>
      <c r="P57" s="574" t="s">
        <v>336</v>
      </c>
      <c r="Q57" s="45">
        <f t="shared" ca="1" si="10"/>
        <v>6.9156848686084578</v>
      </c>
      <c r="R57" s="45">
        <f t="shared" ca="1" si="10"/>
        <v>6.9156848686084578</v>
      </c>
      <c r="S57" s="45">
        <f t="shared" ca="1" si="10"/>
        <v>6.9156848686084578</v>
      </c>
      <c r="T57" s="581" t="s">
        <v>336</v>
      </c>
      <c r="U57" s="573">
        <f t="shared" ca="1" si="11"/>
        <v>6.9156848686084578</v>
      </c>
      <c r="V57" s="573">
        <f t="shared" ca="1" si="11"/>
        <v>6.9156848686084578</v>
      </c>
      <c r="W57" s="574" t="s">
        <v>336</v>
      </c>
    </row>
    <row r="58" spans="1:23" x14ac:dyDescent="0.25">
      <c r="A58" s="812" t="str">
        <f t="shared" si="12"/>
        <v>FB</v>
      </c>
      <c r="B58" s="812" t="s">
        <v>153</v>
      </c>
      <c r="C58" s="133">
        <f t="shared" ca="1" si="6"/>
        <v>9.6974019368797253E-5</v>
      </c>
      <c r="D58" s="133">
        <f t="shared" ca="1" si="6"/>
        <v>9.6974019368797253E-5</v>
      </c>
      <c r="E58" s="133">
        <f t="shared" ca="1" si="6"/>
        <v>9.6974019368797253E-5</v>
      </c>
      <c r="F58" s="551" t="s">
        <v>336</v>
      </c>
      <c r="G58" s="575">
        <f t="shared" ca="1" si="7"/>
        <v>9.6974019368797253E-5</v>
      </c>
      <c r="H58" s="575">
        <f t="shared" ca="1" si="7"/>
        <v>9.6974019368797253E-5</v>
      </c>
      <c r="I58" s="574" t="s">
        <v>336</v>
      </c>
      <c r="J58" s="133">
        <f t="shared" ca="1" si="8"/>
        <v>3.3744787291604194E-6</v>
      </c>
      <c r="K58" s="133">
        <f t="shared" ca="1" si="8"/>
        <v>3.3744787291604194E-6</v>
      </c>
      <c r="L58" s="133">
        <f t="shared" ca="1" si="8"/>
        <v>3.3744787291604194E-6</v>
      </c>
      <c r="M58" s="551" t="s">
        <v>336</v>
      </c>
      <c r="N58" s="575">
        <f t="shared" ca="1" si="9"/>
        <v>3.3744787291604194E-6</v>
      </c>
      <c r="O58" s="575">
        <f t="shared" ca="1" si="9"/>
        <v>3.3744787291604194E-6</v>
      </c>
      <c r="P58" s="574" t="s">
        <v>336</v>
      </c>
      <c r="Q58" s="45">
        <f t="shared" ca="1" si="10"/>
        <v>3.6085677057066894</v>
      </c>
      <c r="R58" s="45">
        <f t="shared" ca="1" si="10"/>
        <v>3.6085677057066894</v>
      </c>
      <c r="S58" s="45">
        <f t="shared" ca="1" si="10"/>
        <v>3.6085677057066894</v>
      </c>
      <c r="T58" s="581" t="s">
        <v>336</v>
      </c>
      <c r="U58" s="573">
        <f t="shared" ca="1" si="11"/>
        <v>3.6085677057066894</v>
      </c>
      <c r="V58" s="573">
        <f t="shared" ca="1" si="11"/>
        <v>3.6085677057066894</v>
      </c>
      <c r="W58" s="574" t="s">
        <v>336</v>
      </c>
    </row>
    <row r="59" spans="1:23" x14ac:dyDescent="0.25">
      <c r="A59" s="813" t="str">
        <f>A56</f>
        <v>FB</v>
      </c>
      <c r="B59" s="813" t="s">
        <v>154</v>
      </c>
      <c r="C59" s="135">
        <f t="shared" ca="1" si="6"/>
        <v>8.9027073971238756E-4</v>
      </c>
      <c r="D59" s="135">
        <f t="shared" ca="1" si="6"/>
        <v>8.9027073971238756E-4</v>
      </c>
      <c r="E59" s="135">
        <f t="shared" ca="1" si="6"/>
        <v>8.9027073971238756E-4</v>
      </c>
      <c r="F59" s="580" t="s">
        <v>336</v>
      </c>
      <c r="G59" s="579">
        <f t="shared" ca="1" si="7"/>
        <v>8.9027073971238756E-4</v>
      </c>
      <c r="H59" s="579">
        <f t="shared" ca="1" si="7"/>
        <v>8.9027073971238756E-4</v>
      </c>
      <c r="I59" s="576" t="s">
        <v>336</v>
      </c>
      <c r="J59" s="135">
        <f t="shared" ca="1" si="8"/>
        <v>7.5227409567755052E-3</v>
      </c>
      <c r="K59" s="135">
        <f t="shared" ca="1" si="8"/>
        <v>7.5227409567755052E-3</v>
      </c>
      <c r="L59" s="135">
        <f t="shared" ca="1" si="8"/>
        <v>7.5227409567755052E-3</v>
      </c>
      <c r="M59" s="580" t="s">
        <v>336</v>
      </c>
      <c r="N59" s="579">
        <f t="shared" ca="1" si="9"/>
        <v>7.5227409567755052E-3</v>
      </c>
      <c r="O59" s="579">
        <f t="shared" ca="1" si="9"/>
        <v>7.5227409567755052E-3</v>
      </c>
      <c r="P59" s="576" t="s">
        <v>336</v>
      </c>
      <c r="Q59" s="88">
        <f t="shared" ca="1" si="10"/>
        <v>57.548491458166637</v>
      </c>
      <c r="R59" s="88">
        <f t="shared" ca="1" si="10"/>
        <v>57.548491458166637</v>
      </c>
      <c r="S59" s="88">
        <f t="shared" ca="1" si="10"/>
        <v>57.548491458166637</v>
      </c>
      <c r="T59" s="578" t="s">
        <v>336</v>
      </c>
      <c r="U59" s="577">
        <f t="shared" ca="1" si="11"/>
        <v>57.548491458166637</v>
      </c>
      <c r="V59" s="577">
        <f t="shared" ca="1" si="11"/>
        <v>57.548491458166637</v>
      </c>
      <c r="W59" s="576" t="s">
        <v>336</v>
      </c>
    </row>
    <row r="60" spans="1:23" x14ac:dyDescent="0.25">
      <c r="A60" s="82" t="s">
        <v>754</v>
      </c>
      <c r="B60" s="812" t="s">
        <v>137</v>
      </c>
      <c r="C60" s="133">
        <f t="shared" ref="C60:E79" ca="1" si="13">C6*C$33/C$26</f>
        <v>0.29074642159774994</v>
      </c>
      <c r="D60" s="575">
        <f t="shared" ca="1" si="13"/>
        <v>0.29074642159774994</v>
      </c>
      <c r="E60" s="575">
        <f t="shared" ca="1" si="13"/>
        <v>0.29074642159774994</v>
      </c>
      <c r="F60" s="574" t="s">
        <v>336</v>
      </c>
      <c r="G60" s="133">
        <f t="shared" ref="G60:H79" ca="1" si="14">G6*G$33/G$26</f>
        <v>0.29074642159774994</v>
      </c>
      <c r="H60" s="133">
        <f t="shared" ca="1" si="14"/>
        <v>0.29074642159774994</v>
      </c>
      <c r="I60" s="551" t="s">
        <v>336</v>
      </c>
      <c r="J60" s="575">
        <f t="shared" ref="J60:L79" ca="1" si="15">J6*J$33/J$26</f>
        <v>2.4473462926770553E-3</v>
      </c>
      <c r="K60" s="575">
        <f t="shared" ca="1" si="15"/>
        <v>2.4473462926770553E-3</v>
      </c>
      <c r="L60" s="575">
        <f t="shared" ca="1" si="15"/>
        <v>2.4473462926770553E-3</v>
      </c>
      <c r="M60" s="574" t="s">
        <v>336</v>
      </c>
      <c r="N60" s="133">
        <f t="shared" ref="N60:O79" ca="1" si="16">N6*N$33/N$26</f>
        <v>2.4473462926770553E-3</v>
      </c>
      <c r="O60" s="133">
        <f t="shared" ca="1" si="16"/>
        <v>2.4473462926770553E-3</v>
      </c>
      <c r="P60" s="551" t="s">
        <v>336</v>
      </c>
      <c r="Q60" s="573">
        <f t="shared" ref="Q60:S79" ca="1" si="17">Q6*Q$33/Q$26</f>
        <v>186.8895264473768</v>
      </c>
      <c r="R60" s="573">
        <f t="shared" ca="1" si="17"/>
        <v>186.8895264473768</v>
      </c>
      <c r="S60" s="573">
        <f t="shared" ca="1" si="17"/>
        <v>186.8895264473768</v>
      </c>
      <c r="T60" s="572" t="s">
        <v>336</v>
      </c>
      <c r="U60" s="45">
        <f t="shared" ref="U60:V79" ca="1" si="18">U6*U$33/U$26</f>
        <v>186.8895264473768</v>
      </c>
      <c r="V60" s="45">
        <f t="shared" ca="1" si="18"/>
        <v>186.8895264473768</v>
      </c>
      <c r="W60" s="551" t="s">
        <v>336</v>
      </c>
    </row>
    <row r="61" spans="1:23" x14ac:dyDescent="0.25">
      <c r="A61" s="812" t="str">
        <f t="shared" ref="A61:A78" si="19">A60</f>
        <v>NP</v>
      </c>
      <c r="B61" s="812" t="s">
        <v>138</v>
      </c>
      <c r="C61" s="133">
        <f t="shared" ca="1" si="13"/>
        <v>2.2691032989769089E-2</v>
      </c>
      <c r="D61" s="575">
        <f t="shared" ca="1" si="13"/>
        <v>2.2691032989769089E-2</v>
      </c>
      <c r="E61" s="575">
        <f t="shared" ca="1" si="13"/>
        <v>2.2691032989769089E-2</v>
      </c>
      <c r="F61" s="574" t="s">
        <v>336</v>
      </c>
      <c r="G61" s="133">
        <f t="shared" ca="1" si="14"/>
        <v>2.2691032989769089E-2</v>
      </c>
      <c r="H61" s="133">
        <f t="shared" ca="1" si="14"/>
        <v>2.2691032989769089E-2</v>
      </c>
      <c r="I61" s="551" t="s">
        <v>336</v>
      </c>
      <c r="J61" s="575">
        <f t="shared" ca="1" si="15"/>
        <v>2.1596828839182567E-4</v>
      </c>
      <c r="K61" s="575">
        <f t="shared" ca="1" si="15"/>
        <v>2.1596828839182567E-4</v>
      </c>
      <c r="L61" s="575">
        <f t="shared" ca="1" si="15"/>
        <v>2.1596828839182567E-4</v>
      </c>
      <c r="M61" s="574" t="s">
        <v>336</v>
      </c>
      <c r="N61" s="133">
        <f t="shared" ca="1" si="16"/>
        <v>2.1596828839182567E-4</v>
      </c>
      <c r="O61" s="133">
        <f t="shared" ca="1" si="16"/>
        <v>2.1596828839182567E-4</v>
      </c>
      <c r="P61" s="551" t="s">
        <v>336</v>
      </c>
      <c r="Q61" s="573">
        <f t="shared" ca="1" si="17"/>
        <v>16.489297098346057</v>
      </c>
      <c r="R61" s="573">
        <f t="shared" ca="1" si="17"/>
        <v>16.489297098346057</v>
      </c>
      <c r="S61" s="573">
        <f t="shared" ca="1" si="17"/>
        <v>16.489297098346057</v>
      </c>
      <c r="T61" s="572" t="s">
        <v>336</v>
      </c>
      <c r="U61" s="45">
        <f t="shared" ca="1" si="18"/>
        <v>16.489297098346057</v>
      </c>
      <c r="V61" s="45">
        <f t="shared" ca="1" si="18"/>
        <v>16.489297098346057</v>
      </c>
      <c r="W61" s="551" t="s">
        <v>336</v>
      </c>
    </row>
    <row r="62" spans="1:23" x14ac:dyDescent="0.25">
      <c r="A62" s="812" t="str">
        <f t="shared" si="19"/>
        <v>NP</v>
      </c>
      <c r="B62" s="812" t="s">
        <v>139</v>
      </c>
      <c r="C62" s="133">
        <f t="shared" ca="1" si="13"/>
        <v>1.8734929758815327E-2</v>
      </c>
      <c r="D62" s="575">
        <f t="shared" ca="1" si="13"/>
        <v>1.8734929758815327E-2</v>
      </c>
      <c r="E62" s="575">
        <f t="shared" ca="1" si="13"/>
        <v>1.8734929758815327E-2</v>
      </c>
      <c r="F62" s="574" t="s">
        <v>336</v>
      </c>
      <c r="G62" s="133">
        <f t="shared" ca="1" si="14"/>
        <v>1.8734929758815327E-2</v>
      </c>
      <c r="H62" s="133">
        <f t="shared" ca="1" si="14"/>
        <v>1.8734929758815327E-2</v>
      </c>
      <c r="I62" s="551" t="s">
        <v>336</v>
      </c>
      <c r="J62" s="575">
        <f t="shared" ca="1" si="15"/>
        <v>4.5470315622874987E-4</v>
      </c>
      <c r="K62" s="575">
        <f t="shared" ca="1" si="15"/>
        <v>4.5470315622874987E-4</v>
      </c>
      <c r="L62" s="575">
        <f t="shared" ca="1" si="15"/>
        <v>4.5470315622874987E-4</v>
      </c>
      <c r="M62" s="574" t="s">
        <v>336</v>
      </c>
      <c r="N62" s="133">
        <f t="shared" ca="1" si="16"/>
        <v>4.5470315622874987E-4</v>
      </c>
      <c r="O62" s="133">
        <f t="shared" ca="1" si="16"/>
        <v>4.5470315622874987E-4</v>
      </c>
      <c r="P62" s="551" t="s">
        <v>336</v>
      </c>
      <c r="Q62" s="573">
        <f t="shared" ca="1" si="17"/>
        <v>34.716835005927194</v>
      </c>
      <c r="R62" s="573">
        <f t="shared" ca="1" si="17"/>
        <v>34.716835005927194</v>
      </c>
      <c r="S62" s="573">
        <f t="shared" ca="1" si="17"/>
        <v>34.716835005927194</v>
      </c>
      <c r="T62" s="572" t="s">
        <v>336</v>
      </c>
      <c r="U62" s="45">
        <f t="shared" ca="1" si="18"/>
        <v>34.716835005927194</v>
      </c>
      <c r="V62" s="45">
        <f t="shared" ca="1" si="18"/>
        <v>34.716835005927194</v>
      </c>
      <c r="W62" s="551" t="s">
        <v>336</v>
      </c>
    </row>
    <row r="63" spans="1:23" x14ac:dyDescent="0.25">
      <c r="A63" s="812" t="str">
        <f t="shared" si="19"/>
        <v>NP</v>
      </c>
      <c r="B63" s="812" t="s">
        <v>140</v>
      </c>
      <c r="C63" s="133">
        <f t="shared" ca="1" si="13"/>
        <v>1.2219782736425768E-2</v>
      </c>
      <c r="D63" s="575">
        <f t="shared" ca="1" si="13"/>
        <v>1.2219782736425768E-2</v>
      </c>
      <c r="E63" s="575">
        <f t="shared" ca="1" si="13"/>
        <v>1.2219782736425768E-2</v>
      </c>
      <c r="F63" s="574" t="s">
        <v>336</v>
      </c>
      <c r="G63" s="133">
        <f t="shared" ca="1" si="14"/>
        <v>1.2219782736425768E-2</v>
      </c>
      <c r="H63" s="133">
        <f t="shared" ca="1" si="14"/>
        <v>1.2219782736425768E-2</v>
      </c>
      <c r="I63" s="551" t="s">
        <v>336</v>
      </c>
      <c r="J63" s="575">
        <f t="shared" ca="1" si="15"/>
        <v>2.7376459250817888E-4</v>
      </c>
      <c r="K63" s="575">
        <f t="shared" ca="1" si="15"/>
        <v>2.7376459250817888E-4</v>
      </c>
      <c r="L63" s="575">
        <f t="shared" ca="1" si="15"/>
        <v>2.7376459250817888E-4</v>
      </c>
      <c r="M63" s="574" t="s">
        <v>336</v>
      </c>
      <c r="N63" s="133">
        <f t="shared" ca="1" si="16"/>
        <v>2.7376459250817888E-4</v>
      </c>
      <c r="O63" s="133">
        <f t="shared" ca="1" si="16"/>
        <v>2.7376459250817888E-4</v>
      </c>
      <c r="P63" s="551" t="s">
        <v>336</v>
      </c>
      <c r="Q63" s="573">
        <f t="shared" ca="1" si="17"/>
        <v>20.9020765710058</v>
      </c>
      <c r="R63" s="573">
        <f t="shared" ca="1" si="17"/>
        <v>20.9020765710058</v>
      </c>
      <c r="S63" s="573">
        <f t="shared" ca="1" si="17"/>
        <v>20.9020765710058</v>
      </c>
      <c r="T63" s="572" t="s">
        <v>336</v>
      </c>
      <c r="U63" s="45">
        <f t="shared" ca="1" si="18"/>
        <v>20.9020765710058</v>
      </c>
      <c r="V63" s="45">
        <f t="shared" ca="1" si="18"/>
        <v>20.9020765710058</v>
      </c>
      <c r="W63" s="551" t="s">
        <v>336</v>
      </c>
    </row>
    <row r="64" spans="1:23" x14ac:dyDescent="0.25">
      <c r="A64" s="812" t="str">
        <f t="shared" si="19"/>
        <v>NP</v>
      </c>
      <c r="B64" s="812" t="s">
        <v>141</v>
      </c>
      <c r="C64" s="133">
        <f t="shared" ca="1" si="13"/>
        <v>0.18272438076773784</v>
      </c>
      <c r="D64" s="575">
        <f t="shared" ca="1" si="13"/>
        <v>0.18272438076773784</v>
      </c>
      <c r="E64" s="575">
        <f t="shared" ca="1" si="13"/>
        <v>0.18272438076773784</v>
      </c>
      <c r="F64" s="574" t="s">
        <v>336</v>
      </c>
      <c r="G64" s="133">
        <f t="shared" ca="1" si="14"/>
        <v>0.18272438076773784</v>
      </c>
      <c r="H64" s="133">
        <f t="shared" ca="1" si="14"/>
        <v>0.18272438076773784</v>
      </c>
      <c r="I64" s="551" t="s">
        <v>336</v>
      </c>
      <c r="J64" s="575">
        <f t="shared" ca="1" si="15"/>
        <v>4.3829081031009978E-3</v>
      </c>
      <c r="K64" s="575">
        <f t="shared" ca="1" si="15"/>
        <v>4.3829081031009978E-3</v>
      </c>
      <c r="L64" s="575">
        <f t="shared" ca="1" si="15"/>
        <v>4.3829081031009978E-3</v>
      </c>
      <c r="M64" s="574" t="s">
        <v>336</v>
      </c>
      <c r="N64" s="133">
        <f t="shared" ca="1" si="16"/>
        <v>4.3829081031009978E-3</v>
      </c>
      <c r="O64" s="133">
        <f t="shared" ca="1" si="16"/>
        <v>4.3829081031009978E-3</v>
      </c>
      <c r="P64" s="551" t="s">
        <v>336</v>
      </c>
      <c r="Q64" s="573">
        <f t="shared" ca="1" si="17"/>
        <v>334.63743406467682</v>
      </c>
      <c r="R64" s="573">
        <f t="shared" ca="1" si="17"/>
        <v>334.63743406467682</v>
      </c>
      <c r="S64" s="573">
        <f t="shared" ca="1" si="17"/>
        <v>334.63743406467682</v>
      </c>
      <c r="T64" s="572" t="s">
        <v>336</v>
      </c>
      <c r="U64" s="45">
        <f t="shared" ca="1" si="18"/>
        <v>334.63743406467682</v>
      </c>
      <c r="V64" s="45">
        <f t="shared" ca="1" si="18"/>
        <v>334.63743406467682</v>
      </c>
      <c r="W64" s="551" t="s">
        <v>336</v>
      </c>
    </row>
    <row r="65" spans="1:23" x14ac:dyDescent="0.25">
      <c r="A65" s="812" t="str">
        <f t="shared" si="19"/>
        <v>NP</v>
      </c>
      <c r="B65" s="812" t="s">
        <v>142</v>
      </c>
      <c r="C65" s="133">
        <f t="shared" ca="1" si="13"/>
        <v>0.25110151718697638</v>
      </c>
      <c r="D65" s="575">
        <f t="shared" ca="1" si="13"/>
        <v>0.25110151718697638</v>
      </c>
      <c r="E65" s="575">
        <f t="shared" ca="1" si="13"/>
        <v>0.25110151718697638</v>
      </c>
      <c r="F65" s="574" t="s">
        <v>336</v>
      </c>
      <c r="G65" s="133">
        <f t="shared" ca="1" si="14"/>
        <v>0.25110151718697638</v>
      </c>
      <c r="H65" s="133">
        <f t="shared" ca="1" si="14"/>
        <v>0.25110151718697638</v>
      </c>
      <c r="I65" s="551" t="s">
        <v>336</v>
      </c>
      <c r="J65" s="575">
        <f t="shared" ca="1" si="15"/>
        <v>9.2278461934415055E-3</v>
      </c>
      <c r="K65" s="575">
        <f t="shared" ca="1" si="15"/>
        <v>9.2278461934415055E-3</v>
      </c>
      <c r="L65" s="575">
        <f t="shared" ca="1" si="15"/>
        <v>9.2278461934415055E-3</v>
      </c>
      <c r="M65" s="574" t="s">
        <v>336</v>
      </c>
      <c r="N65" s="133">
        <f t="shared" ca="1" si="16"/>
        <v>9.2278461934415055E-3</v>
      </c>
      <c r="O65" s="133">
        <f t="shared" ca="1" si="16"/>
        <v>9.2278461934415055E-3</v>
      </c>
      <c r="P65" s="551" t="s">
        <v>336</v>
      </c>
      <c r="Q65" s="573">
        <f t="shared" ca="1" si="17"/>
        <v>704.55111069564748</v>
      </c>
      <c r="R65" s="573">
        <f t="shared" ca="1" si="17"/>
        <v>704.55111069564748</v>
      </c>
      <c r="S65" s="573">
        <f t="shared" ca="1" si="17"/>
        <v>704.55111069564748</v>
      </c>
      <c r="T65" s="572" t="s">
        <v>336</v>
      </c>
      <c r="U65" s="45">
        <f t="shared" ca="1" si="18"/>
        <v>704.55111069564748</v>
      </c>
      <c r="V65" s="45">
        <f t="shared" ca="1" si="18"/>
        <v>704.55111069564748</v>
      </c>
      <c r="W65" s="551" t="s">
        <v>336</v>
      </c>
    </row>
    <row r="66" spans="1:23" x14ac:dyDescent="0.25">
      <c r="A66" s="812" t="str">
        <f t="shared" si="19"/>
        <v>NP</v>
      </c>
      <c r="B66" s="812" t="s">
        <v>143</v>
      </c>
      <c r="C66" s="133">
        <f t="shared" ca="1" si="13"/>
        <v>0.16774933395092273</v>
      </c>
      <c r="D66" s="575">
        <f t="shared" ca="1" si="13"/>
        <v>0.16774933395092273</v>
      </c>
      <c r="E66" s="575">
        <f t="shared" ca="1" si="13"/>
        <v>0.16774933395092273</v>
      </c>
      <c r="F66" s="574" t="s">
        <v>336</v>
      </c>
      <c r="G66" s="133">
        <f t="shared" ca="1" si="14"/>
        <v>0.16774933395092273</v>
      </c>
      <c r="H66" s="133">
        <f t="shared" ca="1" si="14"/>
        <v>0.16774933395092273</v>
      </c>
      <c r="I66" s="551" t="s">
        <v>336</v>
      </c>
      <c r="J66" s="575">
        <f t="shared" ca="1" si="15"/>
        <v>5.5558390529507696E-3</v>
      </c>
      <c r="K66" s="575">
        <f t="shared" ca="1" si="15"/>
        <v>5.5558390529507696E-3</v>
      </c>
      <c r="L66" s="575">
        <f t="shared" ca="1" si="15"/>
        <v>5.5558390529507696E-3</v>
      </c>
      <c r="M66" s="574" t="s">
        <v>336</v>
      </c>
      <c r="N66" s="133">
        <f t="shared" ca="1" si="16"/>
        <v>5.5558390529507696E-3</v>
      </c>
      <c r="O66" s="133">
        <f t="shared" ca="1" si="16"/>
        <v>5.5558390529507696E-3</v>
      </c>
      <c r="P66" s="551" t="s">
        <v>336</v>
      </c>
      <c r="Q66" s="573">
        <f t="shared" ca="1" si="17"/>
        <v>424.19135446630816</v>
      </c>
      <c r="R66" s="573">
        <f t="shared" ca="1" si="17"/>
        <v>424.19135446630816</v>
      </c>
      <c r="S66" s="573">
        <f t="shared" ca="1" si="17"/>
        <v>424.19135446630816</v>
      </c>
      <c r="T66" s="572" t="s">
        <v>336</v>
      </c>
      <c r="U66" s="45">
        <f t="shared" ca="1" si="18"/>
        <v>424.19135446630816</v>
      </c>
      <c r="V66" s="45">
        <f t="shared" ca="1" si="18"/>
        <v>424.19135446630816</v>
      </c>
      <c r="W66" s="551" t="s">
        <v>336</v>
      </c>
    </row>
    <row r="67" spans="1:23" x14ac:dyDescent="0.25">
      <c r="A67" s="812" t="str">
        <f t="shared" si="19"/>
        <v>NP</v>
      </c>
      <c r="B67" s="812" t="s">
        <v>144</v>
      </c>
      <c r="C67" s="133">
        <f t="shared" ca="1" si="13"/>
        <v>6.1897312866083052E-3</v>
      </c>
      <c r="D67" s="575">
        <f t="shared" ca="1" si="13"/>
        <v>6.1897312866083052E-3</v>
      </c>
      <c r="E67" s="575">
        <f t="shared" ca="1" si="13"/>
        <v>6.1897312866083052E-3</v>
      </c>
      <c r="F67" s="574" t="s">
        <v>336</v>
      </c>
      <c r="G67" s="133">
        <f t="shared" ca="1" si="14"/>
        <v>6.1897312866083052E-3</v>
      </c>
      <c r="H67" s="133">
        <f t="shared" ca="1" si="14"/>
        <v>6.1897312866083052E-3</v>
      </c>
      <c r="I67" s="551" t="s">
        <v>336</v>
      </c>
      <c r="J67" s="575">
        <f t="shared" ca="1" si="15"/>
        <v>4.8722236675287215E-4</v>
      </c>
      <c r="K67" s="575">
        <f t="shared" ca="1" si="15"/>
        <v>4.8722236675287215E-4</v>
      </c>
      <c r="L67" s="575">
        <f t="shared" ca="1" si="15"/>
        <v>4.8722236675287215E-4</v>
      </c>
      <c r="M67" s="574" t="s">
        <v>336</v>
      </c>
      <c r="N67" s="133">
        <f t="shared" ca="1" si="16"/>
        <v>4.8722236675287215E-4</v>
      </c>
      <c r="O67" s="133">
        <f t="shared" ca="1" si="16"/>
        <v>4.8722236675287215E-4</v>
      </c>
      <c r="P67" s="551" t="s">
        <v>336</v>
      </c>
      <c r="Q67" s="573">
        <f t="shared" ca="1" si="17"/>
        <v>44.423267256601996</v>
      </c>
      <c r="R67" s="573">
        <f t="shared" ca="1" si="17"/>
        <v>44.423267256601996</v>
      </c>
      <c r="S67" s="573">
        <f t="shared" ca="1" si="17"/>
        <v>44.423267256601996</v>
      </c>
      <c r="T67" s="572" t="s">
        <v>336</v>
      </c>
      <c r="U67" s="45">
        <f t="shared" ca="1" si="18"/>
        <v>44.423267256601996</v>
      </c>
      <c r="V67" s="45">
        <f t="shared" ca="1" si="18"/>
        <v>44.423267256601996</v>
      </c>
      <c r="W67" s="551" t="s">
        <v>336</v>
      </c>
    </row>
    <row r="68" spans="1:23" x14ac:dyDescent="0.25">
      <c r="A68" s="812" t="str">
        <f t="shared" si="19"/>
        <v>NP</v>
      </c>
      <c r="B68" s="812" t="s">
        <v>145</v>
      </c>
      <c r="C68" s="133">
        <f t="shared" ca="1" si="13"/>
        <v>2.0878155997891161E-2</v>
      </c>
      <c r="D68" s="575">
        <f t="shared" ca="1" si="13"/>
        <v>2.0878155997891161E-2</v>
      </c>
      <c r="E68" s="575">
        <f t="shared" ca="1" si="13"/>
        <v>2.0878155997891161E-2</v>
      </c>
      <c r="F68" s="574" t="s">
        <v>336</v>
      </c>
      <c r="G68" s="133">
        <f t="shared" ca="1" si="14"/>
        <v>2.0878155997891161E-2</v>
      </c>
      <c r="H68" s="133">
        <f t="shared" ca="1" si="14"/>
        <v>2.0878155997891161E-2</v>
      </c>
      <c r="I68" s="551" t="s">
        <v>336</v>
      </c>
      <c r="J68" s="575">
        <f t="shared" ca="1" si="15"/>
        <v>1.6434161852447993E-3</v>
      </c>
      <c r="K68" s="575">
        <f t="shared" ca="1" si="15"/>
        <v>1.6434161852447993E-3</v>
      </c>
      <c r="L68" s="575">
        <f t="shared" ca="1" si="15"/>
        <v>1.6434161852447993E-3</v>
      </c>
      <c r="M68" s="574" t="s">
        <v>336</v>
      </c>
      <c r="N68" s="133">
        <f t="shared" ca="1" si="16"/>
        <v>1.6434161852447993E-3</v>
      </c>
      <c r="O68" s="133">
        <f t="shared" ca="1" si="16"/>
        <v>1.6434161852447993E-3</v>
      </c>
      <c r="P68" s="551" t="s">
        <v>336</v>
      </c>
      <c r="Q68" s="573">
        <f t="shared" ca="1" si="17"/>
        <v>149.84106106931853</v>
      </c>
      <c r="R68" s="573">
        <f t="shared" ca="1" si="17"/>
        <v>149.84106106931853</v>
      </c>
      <c r="S68" s="573">
        <f t="shared" ca="1" si="17"/>
        <v>149.84106106931853</v>
      </c>
      <c r="T68" s="572" t="s">
        <v>336</v>
      </c>
      <c r="U68" s="45">
        <f t="shared" ca="1" si="18"/>
        <v>149.84106106931853</v>
      </c>
      <c r="V68" s="45">
        <f t="shared" ca="1" si="18"/>
        <v>149.84106106931853</v>
      </c>
      <c r="W68" s="551" t="s">
        <v>336</v>
      </c>
    </row>
    <row r="69" spans="1:23" x14ac:dyDescent="0.25">
      <c r="A69" s="812" t="str">
        <f t="shared" si="19"/>
        <v>NP</v>
      </c>
      <c r="B69" s="812" t="s">
        <v>146</v>
      </c>
      <c r="C69" s="133">
        <f t="shared" ca="1" si="13"/>
        <v>0.10373065380582221</v>
      </c>
      <c r="D69" s="575">
        <f t="shared" ca="1" si="13"/>
        <v>0.10373065380582221</v>
      </c>
      <c r="E69" s="575">
        <f t="shared" ca="1" si="13"/>
        <v>0.10373065380582221</v>
      </c>
      <c r="F69" s="574" t="s">
        <v>336</v>
      </c>
      <c r="G69" s="133">
        <f t="shared" ca="1" si="14"/>
        <v>0.10373065380582221</v>
      </c>
      <c r="H69" s="133">
        <f t="shared" ca="1" si="14"/>
        <v>0.10373065380582221</v>
      </c>
      <c r="I69" s="551" t="s">
        <v>336</v>
      </c>
      <c r="J69" s="575">
        <f t="shared" ca="1" si="15"/>
        <v>3.0608385082488412E-3</v>
      </c>
      <c r="K69" s="575">
        <f t="shared" ca="1" si="15"/>
        <v>3.0608385082488412E-3</v>
      </c>
      <c r="L69" s="575">
        <f t="shared" ca="1" si="15"/>
        <v>3.0608385082488412E-3</v>
      </c>
      <c r="M69" s="574" t="s">
        <v>336</v>
      </c>
      <c r="N69" s="133">
        <f t="shared" ca="1" si="16"/>
        <v>3.0608385082488412E-3</v>
      </c>
      <c r="O69" s="133">
        <f t="shared" ca="1" si="16"/>
        <v>3.0608385082488412E-3</v>
      </c>
      <c r="P69" s="551" t="s">
        <v>336</v>
      </c>
      <c r="Q69" s="573">
        <f t="shared" ca="1" si="17"/>
        <v>233.61647553463234</v>
      </c>
      <c r="R69" s="573">
        <f t="shared" ca="1" si="17"/>
        <v>233.61647553463234</v>
      </c>
      <c r="S69" s="573">
        <f t="shared" ca="1" si="17"/>
        <v>233.61647553463234</v>
      </c>
      <c r="T69" s="572" t="s">
        <v>336</v>
      </c>
      <c r="U69" s="45">
        <f t="shared" ca="1" si="18"/>
        <v>233.61647553463234</v>
      </c>
      <c r="V69" s="45">
        <f t="shared" ca="1" si="18"/>
        <v>233.61647553463234</v>
      </c>
      <c r="W69" s="551" t="s">
        <v>336</v>
      </c>
    </row>
    <row r="70" spans="1:23" x14ac:dyDescent="0.25">
      <c r="A70" s="812" t="str">
        <f t="shared" si="19"/>
        <v>NP</v>
      </c>
      <c r="B70" s="812" t="s">
        <v>568</v>
      </c>
      <c r="C70" s="133">
        <f t="shared" ca="1" si="13"/>
        <v>2.2522223277925652E-2</v>
      </c>
      <c r="D70" s="575">
        <f t="shared" ca="1" si="13"/>
        <v>2.2522223277925652E-2</v>
      </c>
      <c r="E70" s="575">
        <f t="shared" ca="1" si="13"/>
        <v>2.2522223277925652E-2</v>
      </c>
      <c r="F70" s="574" t="s">
        <v>336</v>
      </c>
      <c r="G70" s="133">
        <f t="shared" ca="1" si="14"/>
        <v>2.2522223277925652E-2</v>
      </c>
      <c r="H70" s="133">
        <f t="shared" ca="1" si="14"/>
        <v>2.2522223277925652E-2</v>
      </c>
      <c r="I70" s="551" t="s">
        <v>336</v>
      </c>
      <c r="J70" s="575">
        <f t="shared" ca="1" si="15"/>
        <v>1.0380346720150531</v>
      </c>
      <c r="K70" s="575">
        <f t="shared" ca="1" si="15"/>
        <v>1.0380346720150531</v>
      </c>
      <c r="L70" s="575">
        <f t="shared" ca="1" si="15"/>
        <v>1.0380346720150531</v>
      </c>
      <c r="M70" s="574" t="s">
        <v>336</v>
      </c>
      <c r="N70" s="133">
        <f t="shared" ca="1" si="16"/>
        <v>1.0380346720150531</v>
      </c>
      <c r="O70" s="133">
        <f t="shared" ca="1" si="16"/>
        <v>1.0380346720150531</v>
      </c>
      <c r="P70" s="551" t="s">
        <v>336</v>
      </c>
      <c r="Q70" s="573">
        <f t="shared" ca="1" si="17"/>
        <v>9168.9696885653066</v>
      </c>
      <c r="R70" s="573">
        <f t="shared" ca="1" si="17"/>
        <v>9168.9696885653066</v>
      </c>
      <c r="S70" s="573">
        <f t="shared" ca="1" si="17"/>
        <v>9168.9696885653066</v>
      </c>
      <c r="T70" s="572" t="s">
        <v>336</v>
      </c>
      <c r="U70" s="45">
        <f t="shared" ca="1" si="18"/>
        <v>9168.9696885653066</v>
      </c>
      <c r="V70" s="45">
        <f t="shared" ca="1" si="18"/>
        <v>9168.9696885653066</v>
      </c>
      <c r="W70" s="551" t="s">
        <v>336</v>
      </c>
    </row>
    <row r="71" spans="1:23" x14ac:dyDescent="0.25">
      <c r="A71" s="812" t="str">
        <f t="shared" si="19"/>
        <v>NP</v>
      </c>
      <c r="B71" s="812" t="s">
        <v>148</v>
      </c>
      <c r="C71" s="133">
        <f t="shared" ca="1" si="13"/>
        <v>7.6997414295147193E-3</v>
      </c>
      <c r="D71" s="575">
        <f t="shared" ca="1" si="13"/>
        <v>7.6997414295147193E-3</v>
      </c>
      <c r="E71" s="575">
        <f t="shared" ca="1" si="13"/>
        <v>7.6997414295147193E-3</v>
      </c>
      <c r="F71" s="574" t="s">
        <v>336</v>
      </c>
      <c r="G71" s="133">
        <f t="shared" ca="1" si="14"/>
        <v>7.6997414295147193E-3</v>
      </c>
      <c r="H71" s="133">
        <f t="shared" ca="1" si="14"/>
        <v>7.6997414295147193E-3</v>
      </c>
      <c r="I71" s="551" t="s">
        <v>336</v>
      </c>
      <c r="J71" s="575">
        <f t="shared" ca="1" si="15"/>
        <v>0.15621995234522967</v>
      </c>
      <c r="K71" s="575">
        <f t="shared" ca="1" si="15"/>
        <v>0.15621995234522967</v>
      </c>
      <c r="L71" s="575">
        <f t="shared" ca="1" si="15"/>
        <v>0.15621995234522967</v>
      </c>
      <c r="M71" s="574" t="s">
        <v>336</v>
      </c>
      <c r="N71" s="133">
        <f t="shared" ca="1" si="16"/>
        <v>0.15621995234522967</v>
      </c>
      <c r="O71" s="133">
        <f t="shared" ca="1" si="16"/>
        <v>0.15621995234522967</v>
      </c>
      <c r="P71" s="551" t="s">
        <v>336</v>
      </c>
      <c r="Q71" s="573">
        <f t="shared" ca="1" si="17"/>
        <v>3234.8055283458666</v>
      </c>
      <c r="R71" s="573">
        <f t="shared" ca="1" si="17"/>
        <v>3234.8055283458666</v>
      </c>
      <c r="S71" s="573">
        <f t="shared" ca="1" si="17"/>
        <v>3234.8055283458666</v>
      </c>
      <c r="T71" s="572" t="s">
        <v>336</v>
      </c>
      <c r="U71" s="45">
        <f t="shared" ca="1" si="18"/>
        <v>3234.8055283458666</v>
      </c>
      <c r="V71" s="45">
        <f t="shared" ca="1" si="18"/>
        <v>3234.8055283458666</v>
      </c>
      <c r="W71" s="551" t="s">
        <v>336</v>
      </c>
    </row>
    <row r="72" spans="1:23" x14ac:dyDescent="0.25">
      <c r="A72" s="812" t="str">
        <f t="shared" si="19"/>
        <v>NP</v>
      </c>
      <c r="B72" s="812" t="s">
        <v>746</v>
      </c>
      <c r="C72" s="133">
        <f t="shared" ca="1" si="13"/>
        <v>1.3481217126441991E-4</v>
      </c>
      <c r="D72" s="575">
        <f t="shared" ca="1" si="13"/>
        <v>1.3481217126441991E-4</v>
      </c>
      <c r="E72" s="575">
        <f t="shared" ca="1" si="13"/>
        <v>1.3481217126441991E-4</v>
      </c>
      <c r="F72" s="574" t="s">
        <v>336</v>
      </c>
      <c r="G72" s="133">
        <f t="shared" ca="1" si="14"/>
        <v>1.3481217126441991E-4</v>
      </c>
      <c r="H72" s="133">
        <f t="shared" ca="1" si="14"/>
        <v>1.3481217126441991E-4</v>
      </c>
      <c r="I72" s="551" t="s">
        <v>336</v>
      </c>
      <c r="J72" s="575">
        <f t="shared" ca="1" si="15"/>
        <v>7.0925574262505446E-3</v>
      </c>
      <c r="K72" s="575">
        <f t="shared" ca="1" si="15"/>
        <v>7.0925574262505446E-3</v>
      </c>
      <c r="L72" s="575">
        <f t="shared" ca="1" si="15"/>
        <v>7.0925574262505446E-3</v>
      </c>
      <c r="M72" s="574" t="s">
        <v>336</v>
      </c>
      <c r="N72" s="133">
        <f t="shared" ca="1" si="16"/>
        <v>7.0925574262505446E-3</v>
      </c>
      <c r="O72" s="133">
        <f t="shared" ca="1" si="16"/>
        <v>7.0925574262505446E-3</v>
      </c>
      <c r="P72" s="551" t="s">
        <v>336</v>
      </c>
      <c r="Q72" s="573">
        <f t="shared" ca="1" si="17"/>
        <v>63.948334714428945</v>
      </c>
      <c r="R72" s="573">
        <f t="shared" ca="1" si="17"/>
        <v>63.948334714428945</v>
      </c>
      <c r="S72" s="573">
        <f t="shared" ca="1" si="17"/>
        <v>63.948334714428945</v>
      </c>
      <c r="T72" s="572" t="s">
        <v>336</v>
      </c>
      <c r="U72" s="45">
        <f t="shared" ca="1" si="18"/>
        <v>63.948334714428945</v>
      </c>
      <c r="V72" s="45">
        <f t="shared" ca="1" si="18"/>
        <v>63.948334714428945</v>
      </c>
      <c r="W72" s="551" t="s">
        <v>336</v>
      </c>
    </row>
    <row r="73" spans="1:23" x14ac:dyDescent="0.25">
      <c r="A73" s="812" t="str">
        <f t="shared" si="19"/>
        <v>NP</v>
      </c>
      <c r="B73" s="812" t="s">
        <v>747</v>
      </c>
      <c r="C73" s="133">
        <f t="shared" ca="1" si="13"/>
        <v>5.2062913330849401E-4</v>
      </c>
      <c r="D73" s="575">
        <f t="shared" ca="1" si="13"/>
        <v>5.2062913330849401E-4</v>
      </c>
      <c r="E73" s="575">
        <f t="shared" ca="1" si="13"/>
        <v>5.2062913330849401E-4</v>
      </c>
      <c r="F73" s="574" t="s">
        <v>336</v>
      </c>
      <c r="G73" s="133">
        <f t="shared" ca="1" si="14"/>
        <v>5.2062913330849401E-4</v>
      </c>
      <c r="H73" s="133">
        <f t="shared" ca="1" si="14"/>
        <v>5.2062913330849401E-4</v>
      </c>
      <c r="I73" s="551" t="s">
        <v>336</v>
      </c>
      <c r="J73" s="575">
        <f t="shared" ca="1" si="15"/>
        <v>2.3995459283322522E-2</v>
      </c>
      <c r="K73" s="575">
        <f t="shared" ca="1" si="15"/>
        <v>2.3995459283322522E-2</v>
      </c>
      <c r="L73" s="575">
        <f t="shared" ca="1" si="15"/>
        <v>2.3995459283322522E-2</v>
      </c>
      <c r="M73" s="574" t="s">
        <v>336</v>
      </c>
      <c r="N73" s="133">
        <f t="shared" ca="1" si="16"/>
        <v>2.3995459283322522E-2</v>
      </c>
      <c r="O73" s="133">
        <f t="shared" ca="1" si="16"/>
        <v>2.3995459283322522E-2</v>
      </c>
      <c r="P73" s="551" t="s">
        <v>336</v>
      </c>
      <c r="Q73" s="573">
        <f t="shared" ca="1" si="17"/>
        <v>197.40617876413674</v>
      </c>
      <c r="R73" s="573">
        <f t="shared" ca="1" si="17"/>
        <v>197.40617876413674</v>
      </c>
      <c r="S73" s="573">
        <f t="shared" ca="1" si="17"/>
        <v>197.40617876413674</v>
      </c>
      <c r="T73" s="572" t="s">
        <v>336</v>
      </c>
      <c r="U73" s="45">
        <f t="shared" ca="1" si="18"/>
        <v>197.40617876413674</v>
      </c>
      <c r="V73" s="45">
        <f t="shared" ca="1" si="18"/>
        <v>197.40617876413674</v>
      </c>
      <c r="W73" s="551" t="s">
        <v>336</v>
      </c>
    </row>
    <row r="74" spans="1:23" x14ac:dyDescent="0.25">
      <c r="A74" s="812" t="str">
        <f t="shared" si="19"/>
        <v>NP</v>
      </c>
      <c r="B74" s="812" t="s">
        <v>149</v>
      </c>
      <c r="C74" s="133">
        <f t="shared" ca="1" si="13"/>
        <v>2.4048865920312942E-6</v>
      </c>
      <c r="D74" s="575">
        <f t="shared" ca="1" si="13"/>
        <v>2.4048865920312942E-6</v>
      </c>
      <c r="E74" s="575">
        <f t="shared" ca="1" si="13"/>
        <v>2.4048865920312942E-6</v>
      </c>
      <c r="F74" s="574" t="s">
        <v>336</v>
      </c>
      <c r="G74" s="133">
        <f t="shared" ca="1" si="14"/>
        <v>2.4048865920312942E-6</v>
      </c>
      <c r="H74" s="133">
        <f t="shared" ca="1" si="14"/>
        <v>2.4048865920312942E-6</v>
      </c>
      <c r="I74" s="551" t="s">
        <v>336</v>
      </c>
      <c r="J74" s="575">
        <f t="shared" ca="1" si="15"/>
        <v>2.1210804519877132E-5</v>
      </c>
      <c r="K74" s="575">
        <f t="shared" ca="1" si="15"/>
        <v>2.1210804519877132E-5</v>
      </c>
      <c r="L74" s="575">
        <f t="shared" ca="1" si="15"/>
        <v>2.1210804519877132E-5</v>
      </c>
      <c r="M74" s="574" t="s">
        <v>336</v>
      </c>
      <c r="N74" s="133">
        <f t="shared" ca="1" si="16"/>
        <v>2.1210804519877132E-5</v>
      </c>
      <c r="O74" s="133">
        <f t="shared" ca="1" si="16"/>
        <v>2.1210804519877132E-5</v>
      </c>
      <c r="P74" s="551" t="s">
        <v>336</v>
      </c>
      <c r="Q74" s="573">
        <f t="shared" ca="1" si="17"/>
        <v>83.011993567809455</v>
      </c>
      <c r="R74" s="573">
        <f t="shared" ca="1" si="17"/>
        <v>83.011993567809455</v>
      </c>
      <c r="S74" s="573">
        <f t="shared" ca="1" si="17"/>
        <v>83.011993567809455</v>
      </c>
      <c r="T74" s="572" t="s">
        <v>336</v>
      </c>
      <c r="U74" s="45">
        <f t="shared" ca="1" si="18"/>
        <v>83.011993567809455</v>
      </c>
      <c r="V74" s="45">
        <f t="shared" ca="1" si="18"/>
        <v>83.011993567809455</v>
      </c>
      <c r="W74" s="551" t="s">
        <v>336</v>
      </c>
    </row>
    <row r="75" spans="1:23" x14ac:dyDescent="0.25">
      <c r="A75" s="812" t="str">
        <f t="shared" si="19"/>
        <v>NP</v>
      </c>
      <c r="B75" s="812" t="s">
        <v>150</v>
      </c>
      <c r="C75" s="133">
        <f t="shared" ca="1" si="13"/>
        <v>4.1415316549867813E-3</v>
      </c>
      <c r="D75" s="575">
        <f t="shared" ca="1" si="13"/>
        <v>4.1415316549867813E-3</v>
      </c>
      <c r="E75" s="575">
        <f t="shared" ca="1" si="13"/>
        <v>4.1415316549867813E-3</v>
      </c>
      <c r="F75" s="574" t="s">
        <v>336</v>
      </c>
      <c r="G75" s="133">
        <f t="shared" ca="1" si="14"/>
        <v>4.1415316549867813E-3</v>
      </c>
      <c r="H75" s="133">
        <f t="shared" ca="1" si="14"/>
        <v>4.1415316549867813E-3</v>
      </c>
      <c r="I75" s="551" t="s">
        <v>336</v>
      </c>
      <c r="J75" s="575">
        <f t="shared" ca="1" si="15"/>
        <v>2.3806513533362818E-4</v>
      </c>
      <c r="K75" s="575">
        <f t="shared" ca="1" si="15"/>
        <v>2.3806513533362818E-4</v>
      </c>
      <c r="L75" s="575">
        <f t="shared" ca="1" si="15"/>
        <v>2.3806513533362818E-4</v>
      </c>
      <c r="M75" s="574" t="s">
        <v>336</v>
      </c>
      <c r="N75" s="133">
        <f t="shared" ca="1" si="16"/>
        <v>2.3806513533362818E-4</v>
      </c>
      <c r="O75" s="133">
        <f t="shared" ca="1" si="16"/>
        <v>2.3806513533362818E-4</v>
      </c>
      <c r="P75" s="551" t="s">
        <v>336</v>
      </c>
      <c r="Q75" s="573">
        <f t="shared" ca="1" si="17"/>
        <v>766.0706887474721</v>
      </c>
      <c r="R75" s="573">
        <f t="shared" ca="1" si="17"/>
        <v>766.0706887474721</v>
      </c>
      <c r="S75" s="573">
        <f t="shared" ca="1" si="17"/>
        <v>766.0706887474721</v>
      </c>
      <c r="T75" s="572" t="s">
        <v>336</v>
      </c>
      <c r="U75" s="45">
        <f t="shared" ca="1" si="18"/>
        <v>766.0706887474721</v>
      </c>
      <c r="V75" s="45">
        <f t="shared" ca="1" si="18"/>
        <v>766.0706887474721</v>
      </c>
      <c r="W75" s="551" t="s">
        <v>336</v>
      </c>
    </row>
    <row r="76" spans="1:23" x14ac:dyDescent="0.25">
      <c r="A76" s="812" t="str">
        <f t="shared" si="19"/>
        <v>NP</v>
      </c>
      <c r="B76" s="812" t="s">
        <v>151</v>
      </c>
      <c r="C76" s="133">
        <f t="shared" ca="1" si="13"/>
        <v>4.0228883406076263E-2</v>
      </c>
      <c r="D76" s="575">
        <f t="shared" ca="1" si="13"/>
        <v>4.0228883406076263E-2</v>
      </c>
      <c r="E76" s="575">
        <f t="shared" ca="1" si="13"/>
        <v>4.0228883406076263E-2</v>
      </c>
      <c r="F76" s="574" t="s">
        <v>336</v>
      </c>
      <c r="G76" s="133">
        <f t="shared" ca="1" si="14"/>
        <v>4.0228883406076263E-2</v>
      </c>
      <c r="H76" s="133">
        <f t="shared" ca="1" si="14"/>
        <v>4.0228883406076263E-2</v>
      </c>
      <c r="I76" s="551" t="s">
        <v>336</v>
      </c>
      <c r="J76" s="575">
        <f t="shared" ca="1" si="15"/>
        <v>3.4093477573484209E-2</v>
      </c>
      <c r="K76" s="575">
        <f t="shared" ca="1" si="15"/>
        <v>3.4093477573484209E-2</v>
      </c>
      <c r="L76" s="575">
        <f t="shared" ca="1" si="15"/>
        <v>3.4093477573484209E-2</v>
      </c>
      <c r="M76" s="574" t="s">
        <v>336</v>
      </c>
      <c r="N76" s="133">
        <f t="shared" ca="1" si="16"/>
        <v>3.4093477573484209E-2</v>
      </c>
      <c r="O76" s="133">
        <f t="shared" ca="1" si="16"/>
        <v>3.4093477573484209E-2</v>
      </c>
      <c r="P76" s="551" t="s">
        <v>336</v>
      </c>
      <c r="Q76" s="573">
        <f t="shared" ca="1" si="17"/>
        <v>105.99617602916665</v>
      </c>
      <c r="R76" s="573">
        <f t="shared" ca="1" si="17"/>
        <v>105.99617602916665</v>
      </c>
      <c r="S76" s="573">
        <f t="shared" ca="1" si="17"/>
        <v>105.99617602916665</v>
      </c>
      <c r="T76" s="572" t="s">
        <v>336</v>
      </c>
      <c r="U76" s="45">
        <f t="shared" ca="1" si="18"/>
        <v>105.99617602916665</v>
      </c>
      <c r="V76" s="45">
        <f t="shared" ca="1" si="18"/>
        <v>105.99617602916665</v>
      </c>
      <c r="W76" s="551" t="s">
        <v>336</v>
      </c>
    </row>
    <row r="77" spans="1:23" x14ac:dyDescent="0.25">
      <c r="A77" s="812" t="str">
        <f t="shared" si="19"/>
        <v>NP</v>
      </c>
      <c r="B77" s="812" t="s">
        <v>152</v>
      </c>
      <c r="C77" s="133">
        <f t="shared" ca="1" si="13"/>
        <v>1.080833346961036E-4</v>
      </c>
      <c r="D77" s="575">
        <f t="shared" ca="1" si="13"/>
        <v>1.080833346961036E-4</v>
      </c>
      <c r="E77" s="575">
        <f t="shared" ca="1" si="13"/>
        <v>1.080833346961036E-4</v>
      </c>
      <c r="F77" s="574" t="s">
        <v>336</v>
      </c>
      <c r="G77" s="133">
        <f t="shared" ca="1" si="14"/>
        <v>1.080833346961036E-4</v>
      </c>
      <c r="H77" s="133">
        <f t="shared" ca="1" si="14"/>
        <v>1.080833346961036E-4</v>
      </c>
      <c r="I77" s="551" t="s">
        <v>336</v>
      </c>
      <c r="J77" s="575">
        <f t="shared" ca="1" si="15"/>
        <v>9.1599279809302764E-5</v>
      </c>
      <c r="K77" s="575">
        <f t="shared" ca="1" si="15"/>
        <v>9.1599279809302764E-5</v>
      </c>
      <c r="L77" s="575">
        <f t="shared" ca="1" si="15"/>
        <v>9.1599279809302764E-5</v>
      </c>
      <c r="M77" s="574" t="s">
        <v>336</v>
      </c>
      <c r="N77" s="133">
        <f t="shared" ca="1" si="16"/>
        <v>9.1599279809302764E-5</v>
      </c>
      <c r="O77" s="133">
        <f t="shared" ca="1" si="16"/>
        <v>9.1599279809302764E-5</v>
      </c>
      <c r="P77" s="551" t="s">
        <v>336</v>
      </c>
      <c r="Q77" s="573">
        <f t="shared" ca="1" si="17"/>
        <v>4.3052702843662143</v>
      </c>
      <c r="R77" s="573">
        <f t="shared" ca="1" si="17"/>
        <v>4.3052702843662143</v>
      </c>
      <c r="S77" s="573">
        <f t="shared" ca="1" si="17"/>
        <v>4.3052702843662143</v>
      </c>
      <c r="T77" s="572" t="s">
        <v>336</v>
      </c>
      <c r="U77" s="45">
        <f t="shared" ca="1" si="18"/>
        <v>4.3052702843662143</v>
      </c>
      <c r="V77" s="45">
        <f t="shared" ca="1" si="18"/>
        <v>4.3052702843662143</v>
      </c>
      <c r="W77" s="551" t="s">
        <v>336</v>
      </c>
    </row>
    <row r="78" spans="1:23" x14ac:dyDescent="0.25">
      <c r="A78" s="812" t="str">
        <f t="shared" si="19"/>
        <v>NP</v>
      </c>
      <c r="B78" s="812" t="s">
        <v>153</v>
      </c>
      <c r="C78" s="133">
        <f t="shared" ca="1" si="13"/>
        <v>1.0587168210431294E-4</v>
      </c>
      <c r="D78" s="575">
        <f t="shared" ca="1" si="13"/>
        <v>1.0587168210431294E-4</v>
      </c>
      <c r="E78" s="575">
        <f t="shared" ca="1" si="13"/>
        <v>1.0587168210431294E-4</v>
      </c>
      <c r="F78" s="574" t="s">
        <v>336</v>
      </c>
      <c r="G78" s="133">
        <f t="shared" ca="1" si="14"/>
        <v>1.0587168210431294E-4</v>
      </c>
      <c r="H78" s="133">
        <f t="shared" ca="1" si="14"/>
        <v>1.0587168210431294E-4</v>
      </c>
      <c r="I78" s="551" t="s">
        <v>336</v>
      </c>
      <c r="J78" s="575">
        <f t="shared" ca="1" si="15"/>
        <v>2.2548370411506296E-6</v>
      </c>
      <c r="K78" s="575">
        <f t="shared" ca="1" si="15"/>
        <v>2.2548370411506296E-6</v>
      </c>
      <c r="L78" s="575">
        <f t="shared" ca="1" si="15"/>
        <v>2.2548370411506296E-6</v>
      </c>
      <c r="M78" s="574" t="s">
        <v>336</v>
      </c>
      <c r="N78" s="133">
        <f t="shared" ca="1" si="16"/>
        <v>2.2548370411506296E-6</v>
      </c>
      <c r="O78" s="133">
        <f t="shared" ca="1" si="16"/>
        <v>2.2548370411506296E-6</v>
      </c>
      <c r="P78" s="551" t="s">
        <v>336</v>
      </c>
      <c r="Q78" s="573">
        <f t="shared" ca="1" si="17"/>
        <v>2.2464672129614596</v>
      </c>
      <c r="R78" s="573">
        <f t="shared" ca="1" si="17"/>
        <v>2.2464672129614596</v>
      </c>
      <c r="S78" s="573">
        <f t="shared" ca="1" si="17"/>
        <v>2.2464672129614596</v>
      </c>
      <c r="T78" s="572" t="s">
        <v>336</v>
      </c>
      <c r="U78" s="45">
        <f t="shared" ca="1" si="18"/>
        <v>2.2464672129614596</v>
      </c>
      <c r="V78" s="45">
        <f t="shared" ca="1" si="18"/>
        <v>2.2464672129614596</v>
      </c>
      <c r="W78" s="551" t="s">
        <v>336</v>
      </c>
    </row>
    <row r="79" spans="1:23" ht="15.75" thickBot="1" x14ac:dyDescent="0.3">
      <c r="A79" s="6" t="str">
        <f>A76</f>
        <v>NP</v>
      </c>
      <c r="B79" s="6" t="s">
        <v>154</v>
      </c>
      <c r="C79" s="544">
        <f t="shared" ca="1" si="13"/>
        <v>9.7195580171991023E-4</v>
      </c>
      <c r="D79" s="571">
        <f t="shared" ca="1" si="13"/>
        <v>9.7195580171991023E-4</v>
      </c>
      <c r="E79" s="571">
        <f t="shared" ca="1" si="13"/>
        <v>9.7195580171991023E-4</v>
      </c>
      <c r="F79" s="570" t="s">
        <v>336</v>
      </c>
      <c r="G79" s="544">
        <f t="shared" ca="1" si="14"/>
        <v>9.7195580171991023E-4</v>
      </c>
      <c r="H79" s="544">
        <f t="shared" ca="1" si="14"/>
        <v>9.7195580171991023E-4</v>
      </c>
      <c r="I79" s="542" t="s">
        <v>336</v>
      </c>
      <c r="J79" s="571">
        <f t="shared" ca="1" si="15"/>
        <v>5.0267185902631746E-3</v>
      </c>
      <c r="K79" s="571">
        <f t="shared" ca="1" si="15"/>
        <v>5.0267185902631746E-3</v>
      </c>
      <c r="L79" s="571">
        <f t="shared" ca="1" si="15"/>
        <v>5.0267185902631746E-3</v>
      </c>
      <c r="M79" s="570" t="s">
        <v>336</v>
      </c>
      <c r="N79" s="544">
        <f t="shared" ca="1" si="16"/>
        <v>5.0267185902631746E-3</v>
      </c>
      <c r="O79" s="544">
        <f t="shared" ca="1" si="16"/>
        <v>5.0267185902631746E-3</v>
      </c>
      <c r="P79" s="542" t="s">
        <v>336</v>
      </c>
      <c r="Q79" s="569">
        <f t="shared" ca="1" si="17"/>
        <v>35.826069997721177</v>
      </c>
      <c r="R79" s="569">
        <f t="shared" ca="1" si="17"/>
        <v>35.826069997721177</v>
      </c>
      <c r="S79" s="569">
        <f t="shared" ca="1" si="17"/>
        <v>35.826069997721177</v>
      </c>
      <c r="T79" s="568" t="s">
        <v>336</v>
      </c>
      <c r="U79" s="567">
        <f t="shared" ca="1" si="18"/>
        <v>35.826069997721177</v>
      </c>
      <c r="V79" s="567">
        <f t="shared" ca="1" si="18"/>
        <v>35.826069997721177</v>
      </c>
      <c r="W79" s="542" t="s">
        <v>336</v>
      </c>
    </row>
    <row r="80" spans="1:23" ht="15.75" thickTop="1" x14ac:dyDescent="0.25">
      <c r="C80" s="137">
        <f ca="1">SUM(C40:C79)</f>
        <v>2.2094868011052182</v>
      </c>
      <c r="D80" s="137">
        <f ca="1">SUM(D40:D79)</f>
        <v>2.2094868011052182</v>
      </c>
      <c r="E80" s="137">
        <f ca="1">SUM(E40:E79)</f>
        <v>2.2094868011052182</v>
      </c>
      <c r="F80" s="566" t="s">
        <v>336</v>
      </c>
      <c r="G80" s="137">
        <f ca="1">SUM(G40:G79)</f>
        <v>2.2094868011052182</v>
      </c>
      <c r="H80" s="137">
        <f ca="1">SUM(H40:H79)</f>
        <v>2.2094868011052182</v>
      </c>
      <c r="I80" s="566" t="s">
        <v>336</v>
      </c>
      <c r="J80" s="137">
        <f ca="1">SUM(J40:J79)</f>
        <v>3.2269565481087064</v>
      </c>
      <c r="K80" s="137">
        <f ca="1">SUM(K40:K79)</f>
        <v>3.2269565481087064</v>
      </c>
      <c r="L80" s="137">
        <f ca="1">SUM(L40:L79)</f>
        <v>3.2269565481087064</v>
      </c>
      <c r="M80" s="566" t="s">
        <v>336</v>
      </c>
      <c r="N80" s="137">
        <f ca="1">SUM(N40:N79)</f>
        <v>3.2269565481087064</v>
      </c>
      <c r="O80" s="137">
        <f ca="1">SUM(O40:O79)</f>
        <v>3.2269565481087064</v>
      </c>
      <c r="P80" s="566" t="s">
        <v>336</v>
      </c>
      <c r="Q80" s="87">
        <f ca="1">SUM(Q40:Q79)</f>
        <v>41213.492070988192</v>
      </c>
      <c r="R80" s="87">
        <f ca="1">SUM(R40:R79)</f>
        <v>41213.492070988192</v>
      </c>
      <c r="S80" s="87">
        <f ca="1">SUM(S40:S79)</f>
        <v>41213.492070988192</v>
      </c>
      <c r="T80" s="566" t="s">
        <v>336</v>
      </c>
      <c r="U80" s="87">
        <f ca="1">SUM(U40:U79)</f>
        <v>41213.492070988192</v>
      </c>
      <c r="V80" s="87">
        <f ca="1">SUM(V40:V79)</f>
        <v>41213.492070988192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0">VLOOKUP(B91,BTUEFs,3,FALSE)</f>
        <v>7.0000000000000007E-2</v>
      </c>
      <c r="B91" s="812" t="s">
        <v>137</v>
      </c>
      <c r="C91" s="554"/>
      <c r="D91" s="556">
        <v>1</v>
      </c>
      <c r="E91" s="264">
        <f t="shared" ref="E91:E100" si="21">1-$F$84</f>
        <v>0.5</v>
      </c>
      <c r="F91" s="264"/>
      <c r="G91" s="556">
        <f t="shared" ref="G91:G110" si="22">D91</f>
        <v>1</v>
      </c>
      <c r="H91" s="264">
        <f t="shared" ref="H91:H110" si="23">E91</f>
        <v>0.5</v>
      </c>
      <c r="I91" s="264"/>
      <c r="J91" s="555">
        <f t="shared" ref="J91:J107" si="24">(VLOOKUP($B91,BTUEFs,11,FALSE)/$A91)/(VLOOKUP($N$85,BTUEFs,11,FALSE)/$P$85)</f>
        <v>6802.5358821830177</v>
      </c>
      <c r="K91" s="70">
        <f t="shared" ref="K91:K107" si="25">(VLOOKUP($B91,BTUEFs,9,FALSE)/$A91)/(VLOOKUP($N$85,BTUEFs,9,FALSE)/$P$85)</f>
        <v>1.242370950056561</v>
      </c>
      <c r="L91" s="559">
        <f t="shared" ref="L91:L100" ca="1" si="26">(1-$N$84)*(1-D91)*D40</f>
        <v>0</v>
      </c>
      <c r="M91" s="559">
        <f t="shared" ref="M91:M100" ca="1" si="27">(1-$N$84)*(1-E91)*E40</f>
        <v>0.12782953201774483</v>
      </c>
      <c r="N91" s="557" t="s">
        <v>336</v>
      </c>
      <c r="O91" s="559">
        <f t="shared" ref="O91:O100" ca="1" si="28">(1-$N$84)*(1-G91)*G60</f>
        <v>0</v>
      </c>
      <c r="P91" s="559">
        <f t="shared" ref="P91:P100" ca="1" si="29">(1-$N$84)*(1-H91)*H60</f>
        <v>0.13955828236691997</v>
      </c>
      <c r="Q91" s="557" t="s">
        <v>336</v>
      </c>
      <c r="R91" s="558">
        <f t="shared" ref="R91:R100" ca="1" si="30">(1-$N$84)*(1-D91)*D40/$J91</f>
        <v>0</v>
      </c>
      <c r="S91" s="558">
        <f t="shared" ref="S91:S100" ca="1" si="31">(1-$N$84)*(1-E91)*E40/$J91</f>
        <v>1.8791452809907524E-5</v>
      </c>
      <c r="T91" s="557" t="s">
        <v>336</v>
      </c>
      <c r="U91" s="558">
        <f t="shared" ref="U91:U100" ca="1" si="32">(1-$N$84)*(1-G91)*G60/$J91</f>
        <v>0</v>
      </c>
      <c r="V91" s="558">
        <f t="shared" ref="V91:V100" ca="1" si="33">(1-$N$84)*(1-H91)*H60/$J91</f>
        <v>2.0515626052402976E-5</v>
      </c>
      <c r="W91" s="557" t="s">
        <v>336</v>
      </c>
      <c r="X91" s="559">
        <f t="shared" ref="X91:X100" ca="1" si="34">(1-$N$84)*(1-D91)*K40</f>
        <v>0</v>
      </c>
      <c r="Y91" s="559">
        <f t="shared" ref="Y91:Y100" ca="1" si="35">(1-$N$84)*(1-E91)*L40</f>
        <v>1.7580377522939527E-3</v>
      </c>
      <c r="Z91" s="557" t="s">
        <v>336</v>
      </c>
      <c r="AA91" s="559">
        <f t="shared" ref="AA91:AA100" ca="1" si="36">(1-$N$84)*(1-G91)*N60</f>
        <v>0</v>
      </c>
      <c r="AB91" s="559">
        <f t="shared" ref="AB91:AB100" ca="1" si="37">(1-$N$84)*(1-H91)*O60</f>
        <v>1.1747262204849865E-3</v>
      </c>
      <c r="AC91" s="557" t="s">
        <v>336</v>
      </c>
      <c r="AD91" s="558">
        <f t="shared" ref="AD91:AD110" ca="1" si="38">(1-$N$84)*(1-D91)*K40/$K91</f>
        <v>0</v>
      </c>
      <c r="AE91" s="558">
        <f t="shared" ref="AE91:AE110" ca="1" si="39">(1-$N$84)*(1-E91)*L40/$K91</f>
        <v>1.4150666934170629E-3</v>
      </c>
      <c r="AF91" s="557" t="s">
        <v>336</v>
      </c>
      <c r="AG91" s="558">
        <f t="shared" ref="AG91:AG100" ca="1" si="40">(1-$N$84)*(1-G91)*N60/$K91</f>
        <v>0</v>
      </c>
      <c r="AH91" s="558">
        <f t="shared" ref="AH91:AH100" ca="1" si="41">(1-$N$84)*(1-H91)*O60/$K91</f>
        <v>9.4555190656341818E-4</v>
      </c>
      <c r="AI91" s="557" t="s">
        <v>336</v>
      </c>
      <c r="AJ91" s="507">
        <f t="shared" ref="AJ91:AJ110" ca="1" si="42">L91-R91</f>
        <v>0</v>
      </c>
      <c r="AK91" s="507">
        <f t="shared" ref="AK91:AK110" ca="1" si="43">M91-S91</f>
        <v>0.12781074056493491</v>
      </c>
      <c r="AL91" s="507">
        <f t="shared" ref="AL91:AL110" ca="1" si="44">O91-U91</f>
        <v>0</v>
      </c>
      <c r="AM91" s="507">
        <f t="shared" ref="AM91:AM110" ca="1" si="45">P91-V91</f>
        <v>0.13953776674086757</v>
      </c>
      <c r="AN91" s="507">
        <f t="shared" ref="AN91:AN110" ca="1" si="46">X91-AD91</f>
        <v>0</v>
      </c>
      <c r="AO91" s="507">
        <f t="shared" ref="AO91:AO110" ca="1" si="47">Y91-AE91</f>
        <v>3.4297105887688977E-4</v>
      </c>
      <c r="AP91" s="507">
        <f t="shared" ref="AP91:AP110" ca="1" si="48">AA91-AG91</f>
        <v>0</v>
      </c>
      <c r="AQ91" s="507">
        <f t="shared" ref="AQ91:AQ110" ca="1" si="49">AB91-AH91</f>
        <v>2.2917431392156828E-4</v>
      </c>
      <c r="AR91" s="812" t="s">
        <v>137</v>
      </c>
      <c r="AS91" s="812">
        <v>2104008100</v>
      </c>
      <c r="AT91" s="507">
        <f t="shared" ref="AT91:AT100" ca="1" si="50">AJ91/$C40</f>
        <v>0</v>
      </c>
      <c r="AU91" s="507">
        <f t="shared" ref="AU91:AU100" ca="1" si="51">AK91/$C40</f>
        <v>0.47992943807892907</v>
      </c>
      <c r="AV91" s="507">
        <f t="shared" ref="AV91:AV100" ca="1" si="52">AL91/$C60</f>
        <v>0</v>
      </c>
      <c r="AW91" s="507">
        <f t="shared" ref="AW91:AW100" ca="1" si="53">AM91/$C60</f>
        <v>0.47992943807892918</v>
      </c>
      <c r="AX91" s="507">
        <f t="shared" ref="AX91:AX100" ca="1" si="54">AN91/$J40</f>
        <v>0</v>
      </c>
      <c r="AY91" s="507">
        <f t="shared" ref="AY91:AY100" ca="1" si="55">AO91/$J40</f>
        <v>9.3641964199060485E-2</v>
      </c>
      <c r="AZ91" s="507">
        <f t="shared" ref="AZ91:AZ100" ca="1" si="56">AP91/$J60</f>
        <v>0</v>
      </c>
      <c r="BA91" s="507">
        <f t="shared" ref="BA91:BA100" ca="1" si="57">AQ91/$J60</f>
        <v>9.3641964199060512E-2</v>
      </c>
      <c r="BB91" s="550">
        <f ca="1">1-((1-AT91))</f>
        <v>0</v>
      </c>
      <c r="BC91" s="550">
        <f ca="1">1-((1-AU91))</f>
        <v>0.47992943807892907</v>
      </c>
      <c r="BD91" s="550">
        <f ca="1">1-((1-AX91))</f>
        <v>0</v>
      </c>
      <c r="BE91" s="550">
        <f ca="1">1-((1-AY91))</f>
        <v>9.3641964199060457E-2</v>
      </c>
    </row>
    <row r="92" spans="1:57" x14ac:dyDescent="0.25">
      <c r="A92" s="60">
        <f t="shared" si="20"/>
        <v>0.4</v>
      </c>
      <c r="B92" s="812" t="s">
        <v>138</v>
      </c>
      <c r="C92" s="554"/>
      <c r="D92" s="264">
        <f>1-$F$84</f>
        <v>0.5</v>
      </c>
      <c r="E92" s="264">
        <f t="shared" si="21"/>
        <v>0.5</v>
      </c>
      <c r="F92" s="264"/>
      <c r="G92" s="264">
        <f t="shared" si="22"/>
        <v>0.5</v>
      </c>
      <c r="H92" s="264">
        <f t="shared" si="23"/>
        <v>0.5</v>
      </c>
      <c r="I92" s="264"/>
      <c r="J92" s="555">
        <f t="shared" si="24"/>
        <v>1052.8202210719671</v>
      </c>
      <c r="K92" s="70">
        <f t="shared" si="25"/>
        <v>0.21741491625989814</v>
      </c>
      <c r="L92" s="559">
        <f t="shared" ca="1" si="26"/>
        <v>9.9763364657824549E-3</v>
      </c>
      <c r="M92" s="559">
        <f t="shared" ca="1" si="27"/>
        <v>9.9763364657824549E-3</v>
      </c>
      <c r="N92" s="557" t="s">
        <v>336</v>
      </c>
      <c r="O92" s="559">
        <f t="shared" ca="1" si="28"/>
        <v>1.0891695835089163E-2</v>
      </c>
      <c r="P92" s="559">
        <f t="shared" ca="1" si="29"/>
        <v>1.0891695835089163E-2</v>
      </c>
      <c r="Q92" s="557" t="s">
        <v>336</v>
      </c>
      <c r="R92" s="558">
        <f t="shared" ca="1" si="30"/>
        <v>9.4758214803517787E-6</v>
      </c>
      <c r="S92" s="558">
        <f t="shared" ca="1" si="31"/>
        <v>9.4758214803517787E-6</v>
      </c>
      <c r="T92" s="557" t="s">
        <v>336</v>
      </c>
      <c r="U92" s="558">
        <f t="shared" ca="1" si="32"/>
        <v>1.0345257069625227E-5</v>
      </c>
      <c r="V92" s="558">
        <f t="shared" ca="1" si="33"/>
        <v>1.0345257069625227E-5</v>
      </c>
      <c r="W92" s="557" t="s">
        <v>336</v>
      </c>
      <c r="X92" s="559">
        <f t="shared" ca="1" si="34"/>
        <v>1.5513963243665856E-4</v>
      </c>
      <c r="Y92" s="559">
        <f t="shared" ca="1" si="35"/>
        <v>1.5513963243665856E-4</v>
      </c>
      <c r="Z92" s="557" t="s">
        <v>336</v>
      </c>
      <c r="AA92" s="559">
        <f t="shared" ca="1" si="36"/>
        <v>1.0366477842807631E-4</v>
      </c>
      <c r="AB92" s="559">
        <f t="shared" ca="1" si="37"/>
        <v>1.0366477842807631E-4</v>
      </c>
      <c r="AC92" s="557" t="s">
        <v>336</v>
      </c>
      <c r="AD92" s="558">
        <f t="shared" ca="1" si="38"/>
        <v>7.1356480551318011E-4</v>
      </c>
      <c r="AE92" s="558">
        <f t="shared" ca="1" si="39"/>
        <v>7.1356480551318011E-4</v>
      </c>
      <c r="AF92" s="557" t="s">
        <v>336</v>
      </c>
      <c r="AG92" s="558">
        <f t="shared" ca="1" si="40"/>
        <v>4.768061925620378E-4</v>
      </c>
      <c r="AH92" s="558">
        <f t="shared" ca="1" si="41"/>
        <v>4.768061925620378E-4</v>
      </c>
      <c r="AI92" s="557" t="s">
        <v>336</v>
      </c>
      <c r="AJ92" s="507">
        <f t="shared" ca="1" si="42"/>
        <v>9.9668606443021023E-3</v>
      </c>
      <c r="AK92" s="507">
        <f t="shared" ca="1" si="43"/>
        <v>9.9668606443021023E-3</v>
      </c>
      <c r="AL92" s="507">
        <f t="shared" ca="1" si="44"/>
        <v>1.0881350578019538E-2</v>
      </c>
      <c r="AM92" s="507">
        <f t="shared" ca="1" si="45"/>
        <v>1.0881350578019538E-2</v>
      </c>
      <c r="AN92" s="507">
        <f t="shared" ca="1" si="46"/>
        <v>-5.5842517307652152E-4</v>
      </c>
      <c r="AO92" s="507">
        <f t="shared" ca="1" si="47"/>
        <v>-5.5842517307652152E-4</v>
      </c>
      <c r="AP92" s="507">
        <f t="shared" ca="1" si="48"/>
        <v>-3.7314141413396151E-4</v>
      </c>
      <c r="AQ92" s="507">
        <f t="shared" ca="1" si="49"/>
        <v>-3.7314141413396151E-4</v>
      </c>
      <c r="AR92" s="812" t="s">
        <v>138</v>
      </c>
      <c r="AS92" s="812">
        <v>2104008210</v>
      </c>
      <c r="AT92" s="507">
        <f t="shared" ca="1" si="50"/>
        <v>0.47954408170512597</v>
      </c>
      <c r="AU92" s="507">
        <f t="shared" ca="1" si="51"/>
        <v>0.47954408170512597</v>
      </c>
      <c r="AV92" s="507">
        <f t="shared" ca="1" si="52"/>
        <v>0.47954408170512602</v>
      </c>
      <c r="AW92" s="507">
        <f t="shared" ca="1" si="53"/>
        <v>0.47954408170512602</v>
      </c>
      <c r="AX92" s="507">
        <f t="shared" ca="1" si="54"/>
        <v>-1.7277602045767972</v>
      </c>
      <c r="AY92" s="507">
        <f t="shared" ca="1" si="55"/>
        <v>-1.7277602045767972</v>
      </c>
      <c r="AZ92" s="507">
        <f t="shared" ca="1" si="56"/>
        <v>-1.7277602045767975</v>
      </c>
      <c r="BA92" s="507">
        <f t="shared" ca="1" si="57"/>
        <v>-1.7277602045767975</v>
      </c>
      <c r="BB92" s="550">
        <f t="shared" ref="BB92:BB109" ca="1" si="58">1-((1-AT92))</f>
        <v>0.47954408170512597</v>
      </c>
      <c r="BC92" s="550">
        <f t="shared" ref="BC92:BC109" ca="1" si="59">1-((1-AU92))</f>
        <v>0.47954408170512597</v>
      </c>
      <c r="BD92" s="550">
        <f t="shared" ref="BD92:BD109" ca="1" si="60">1-((1-AX92))</f>
        <v>-1.7277602045767972</v>
      </c>
      <c r="BE92" s="550">
        <f t="shared" ref="BE92:BE109" ca="1" si="61">1-((1-AY92))</f>
        <v>-1.7277602045767972</v>
      </c>
    </row>
    <row r="93" spans="1:57" x14ac:dyDescent="0.25">
      <c r="A93" s="60">
        <f t="shared" si="20"/>
        <v>0.66</v>
      </c>
      <c r="B93" s="812" t="s">
        <v>139</v>
      </c>
      <c r="C93" s="554"/>
      <c r="D93" s="561">
        <f>$I$85</f>
        <v>0.69230769230769229</v>
      </c>
      <c r="E93" s="264">
        <f t="shared" si="21"/>
        <v>0.5</v>
      </c>
      <c r="F93" s="264"/>
      <c r="G93" s="561">
        <f t="shared" si="22"/>
        <v>0.69230769230769229</v>
      </c>
      <c r="H93" s="264">
        <f t="shared" si="23"/>
        <v>0.5</v>
      </c>
      <c r="I93" s="264"/>
      <c r="J93" s="555">
        <f t="shared" si="24"/>
        <v>250.22465147283825</v>
      </c>
      <c r="K93" s="70">
        <f t="shared" si="25"/>
        <v>0.13176661591508979</v>
      </c>
      <c r="L93" s="559">
        <f t="shared" ca="1" si="26"/>
        <v>5.0689210212147675E-3</v>
      </c>
      <c r="M93" s="559">
        <f t="shared" ca="1" si="27"/>
        <v>8.2369966594739961E-3</v>
      </c>
      <c r="N93" s="557" t="s">
        <v>336</v>
      </c>
      <c r="O93" s="559">
        <f t="shared" ca="1" si="28"/>
        <v>5.5340100210654513E-3</v>
      </c>
      <c r="P93" s="559">
        <f t="shared" ca="1" si="29"/>
        <v>8.9927662842313565E-3</v>
      </c>
      <c r="Q93" s="557" t="s">
        <v>336</v>
      </c>
      <c r="R93" s="558">
        <f t="shared" ca="1" si="30"/>
        <v>2.0257480593453823E-5</v>
      </c>
      <c r="S93" s="558">
        <f t="shared" ca="1" si="31"/>
        <v>3.291840596436246E-5</v>
      </c>
      <c r="T93" s="557" t="s">
        <v>336</v>
      </c>
      <c r="U93" s="558">
        <f t="shared" ca="1" si="32"/>
        <v>2.2116166366870394E-5</v>
      </c>
      <c r="V93" s="558">
        <f t="shared" ca="1" si="33"/>
        <v>3.5938770346164381E-5</v>
      </c>
      <c r="W93" s="557" t="s">
        <v>336</v>
      </c>
      <c r="X93" s="559">
        <f t="shared" ca="1" si="34"/>
        <v>2.0100523817398003E-4</v>
      </c>
      <c r="Y93" s="559">
        <f t="shared" ca="1" si="35"/>
        <v>3.266335120327175E-4</v>
      </c>
      <c r="Z93" s="557" t="s">
        <v>336</v>
      </c>
      <c r="AA93" s="559">
        <f t="shared" ca="1" si="36"/>
        <v>1.3431231691679997E-4</v>
      </c>
      <c r="AB93" s="559">
        <f t="shared" ca="1" si="37"/>
        <v>2.1825751498979993E-4</v>
      </c>
      <c r="AC93" s="557" t="s">
        <v>336</v>
      </c>
      <c r="AD93" s="558">
        <f t="shared" ca="1" si="38"/>
        <v>1.5254640697724795E-3</v>
      </c>
      <c r="AE93" s="558">
        <f t="shared" ca="1" si="39"/>
        <v>2.4788791133802789E-3</v>
      </c>
      <c r="AF93" s="557" t="s">
        <v>336</v>
      </c>
      <c r="AG93" s="558">
        <f t="shared" ca="1" si="40"/>
        <v>1.0193197721898742E-3</v>
      </c>
      <c r="AH93" s="558">
        <f t="shared" ca="1" si="41"/>
        <v>1.6563946298085454E-3</v>
      </c>
      <c r="AI93" s="557" t="s">
        <v>336</v>
      </c>
      <c r="AJ93" s="507">
        <f t="shared" ca="1" si="42"/>
        <v>5.0486635406213135E-3</v>
      </c>
      <c r="AK93" s="507">
        <f t="shared" ca="1" si="43"/>
        <v>8.2040782535096335E-3</v>
      </c>
      <c r="AL93" s="507">
        <f t="shared" ca="1" si="44"/>
        <v>5.5118938546985805E-3</v>
      </c>
      <c r="AM93" s="507">
        <f t="shared" ca="1" si="45"/>
        <v>8.9568275138851919E-3</v>
      </c>
      <c r="AN93" s="507">
        <f t="shared" ca="1" si="46"/>
        <v>-1.3244588315984994E-3</v>
      </c>
      <c r="AO93" s="507">
        <f t="shared" ca="1" si="47"/>
        <v>-2.1522456013475613E-3</v>
      </c>
      <c r="AP93" s="507">
        <f t="shared" ca="1" si="48"/>
        <v>-8.8500745527307417E-4</v>
      </c>
      <c r="AQ93" s="507">
        <f t="shared" ca="1" si="49"/>
        <v>-1.4381371148187456E-3</v>
      </c>
      <c r="AR93" s="812" t="s">
        <v>139</v>
      </c>
      <c r="AS93" s="812">
        <v>2104008220</v>
      </c>
      <c r="AT93" s="507">
        <f t="shared" ca="1" si="50"/>
        <v>0.29420413770727244</v>
      </c>
      <c r="AU93" s="507">
        <f t="shared" ca="1" si="51"/>
        <v>0.47808172377431762</v>
      </c>
      <c r="AV93" s="507">
        <f t="shared" ca="1" si="52"/>
        <v>0.29420413770727238</v>
      </c>
      <c r="AW93" s="507">
        <f t="shared" ca="1" si="53"/>
        <v>0.47808172377431757</v>
      </c>
      <c r="AX93" s="507">
        <f t="shared" ca="1" si="54"/>
        <v>-1.9463411308010559</v>
      </c>
      <c r="AY93" s="507">
        <f t="shared" ca="1" si="55"/>
        <v>-3.1628043375517154</v>
      </c>
      <c r="AZ93" s="507">
        <f t="shared" ca="1" si="56"/>
        <v>-1.9463411308010559</v>
      </c>
      <c r="BA93" s="507">
        <f t="shared" ca="1" si="57"/>
        <v>-3.1628043375517159</v>
      </c>
      <c r="BB93" s="550">
        <f t="shared" ca="1" si="58"/>
        <v>0.29420413770727238</v>
      </c>
      <c r="BC93" s="550">
        <f t="shared" ca="1" si="59"/>
        <v>0.47808172377431757</v>
      </c>
      <c r="BD93" s="550">
        <f t="shared" ca="1" si="60"/>
        <v>-1.9463411308010556</v>
      </c>
      <c r="BE93" s="550">
        <f t="shared" ca="1" si="61"/>
        <v>-3.1628043375517159</v>
      </c>
    </row>
    <row r="94" spans="1:57" x14ac:dyDescent="0.25">
      <c r="A94" s="60">
        <f t="shared" si="20"/>
        <v>0.7</v>
      </c>
      <c r="B94" s="812" t="s">
        <v>140</v>
      </c>
      <c r="C94" s="554"/>
      <c r="D94" s="561">
        <f>$I$85</f>
        <v>0.69230769230769229</v>
      </c>
      <c r="E94" s="264">
        <f t="shared" si="21"/>
        <v>0.5</v>
      </c>
      <c r="F94" s="264"/>
      <c r="G94" s="561">
        <f t="shared" si="22"/>
        <v>0.69230769230769229</v>
      </c>
      <c r="H94" s="264">
        <f t="shared" si="23"/>
        <v>0.5</v>
      </c>
      <c r="I94" s="264"/>
      <c r="J94" s="555">
        <f t="shared" si="24"/>
        <v>255.58660829011339</v>
      </c>
      <c r="K94" s="70">
        <f t="shared" si="25"/>
        <v>0.12423709500565611</v>
      </c>
      <c r="L94" s="559">
        <f t="shared" ca="1" si="26"/>
        <v>3.3061833903167319E-3</v>
      </c>
      <c r="M94" s="559">
        <f t="shared" ca="1" si="27"/>
        <v>5.3725480092646893E-3</v>
      </c>
      <c r="N94" s="557" t="s">
        <v>336</v>
      </c>
      <c r="O94" s="559">
        <f t="shared" ca="1" si="28"/>
        <v>3.6095358236826885E-3</v>
      </c>
      <c r="P94" s="559">
        <f t="shared" ca="1" si="29"/>
        <v>5.865495713484368E-3</v>
      </c>
      <c r="Q94" s="557" t="s">
        <v>336</v>
      </c>
      <c r="R94" s="558">
        <f t="shared" ca="1" si="30"/>
        <v>1.2935667531390853E-5</v>
      </c>
      <c r="S94" s="558">
        <f t="shared" ca="1" si="31"/>
        <v>2.1020459738510135E-5</v>
      </c>
      <c r="T94" s="557" t="s">
        <v>336</v>
      </c>
      <c r="U94" s="558">
        <f t="shared" ca="1" si="32"/>
        <v>1.4122554572912311E-5</v>
      </c>
      <c r="V94" s="558">
        <f t="shared" ca="1" si="33"/>
        <v>2.2949151180982504E-5</v>
      </c>
      <c r="W94" s="557" t="s">
        <v>336</v>
      </c>
      <c r="X94" s="559">
        <f t="shared" ca="1" si="34"/>
        <v>1.2101987058349292E-4</v>
      </c>
      <c r="Y94" s="559">
        <f t="shared" ca="1" si="35"/>
        <v>1.9665728969817597E-4</v>
      </c>
      <c r="Z94" s="557" t="s">
        <v>336</v>
      </c>
      <c r="AA94" s="559">
        <f t="shared" ca="1" si="36"/>
        <v>8.0865848863954381E-5</v>
      </c>
      <c r="AB94" s="559">
        <f t="shared" ca="1" si="37"/>
        <v>1.3140700440392584E-4</v>
      </c>
      <c r="AC94" s="557" t="s">
        <v>336</v>
      </c>
      <c r="AD94" s="558">
        <f t="shared" ca="1" si="38"/>
        <v>9.7410415607337964E-4</v>
      </c>
      <c r="AE94" s="558">
        <f t="shared" ca="1" si="39"/>
        <v>1.5829192536192416E-3</v>
      </c>
      <c r="AF94" s="557" t="s">
        <v>336</v>
      </c>
      <c r="AG94" s="558">
        <f t="shared" ca="1" si="40"/>
        <v>6.5089938605110518E-4</v>
      </c>
      <c r="AH94" s="558">
        <f t="shared" ca="1" si="41"/>
        <v>1.0577115023330456E-3</v>
      </c>
      <c r="AI94" s="557" t="s">
        <v>336</v>
      </c>
      <c r="AJ94" s="507">
        <f t="shared" ca="1" si="42"/>
        <v>3.2932477227853411E-3</v>
      </c>
      <c r="AK94" s="507">
        <f t="shared" ca="1" si="43"/>
        <v>5.3515275495261789E-3</v>
      </c>
      <c r="AL94" s="507">
        <f t="shared" ca="1" si="44"/>
        <v>3.5954132691097761E-3</v>
      </c>
      <c r="AM94" s="507">
        <f t="shared" ca="1" si="45"/>
        <v>5.8425465623033858E-3</v>
      </c>
      <c r="AN94" s="507">
        <f t="shared" ca="1" si="46"/>
        <v>-8.5308428548988677E-4</v>
      </c>
      <c r="AO94" s="507">
        <f t="shared" ca="1" si="47"/>
        <v>-1.3862619639210655E-3</v>
      </c>
      <c r="AP94" s="507">
        <f t="shared" ca="1" si="48"/>
        <v>-5.7003353718715084E-4</v>
      </c>
      <c r="AQ94" s="507">
        <f t="shared" ca="1" si="49"/>
        <v>-9.2630449792911978E-4</v>
      </c>
      <c r="AR94" s="812" t="s">
        <v>140</v>
      </c>
      <c r="AS94" s="812">
        <v>2104008230</v>
      </c>
      <c r="AT94" s="507">
        <f t="shared" ca="1" si="50"/>
        <v>0.29422890297323068</v>
      </c>
      <c r="AU94" s="507">
        <f t="shared" ca="1" si="51"/>
        <v>0.47812196733149981</v>
      </c>
      <c r="AV94" s="507">
        <f t="shared" ca="1" si="52"/>
        <v>0.29422890297323062</v>
      </c>
      <c r="AW94" s="507">
        <f t="shared" ca="1" si="53"/>
        <v>0.47812196733149975</v>
      </c>
      <c r="AX94" s="507">
        <f t="shared" ca="1" si="54"/>
        <v>-2.0822032972365512</v>
      </c>
      <c r="AY94" s="507">
        <f t="shared" ca="1" si="55"/>
        <v>-3.3835803580093944</v>
      </c>
      <c r="AZ94" s="507">
        <f t="shared" ca="1" si="56"/>
        <v>-2.0822032972365512</v>
      </c>
      <c r="BA94" s="507">
        <f t="shared" ca="1" si="57"/>
        <v>-3.3835803580093939</v>
      </c>
      <c r="BB94" s="550">
        <f t="shared" ca="1" si="58"/>
        <v>0.29422890297323068</v>
      </c>
      <c r="BC94" s="550">
        <f t="shared" ca="1" si="59"/>
        <v>0.47812196733149981</v>
      </c>
      <c r="BD94" s="550">
        <f t="shared" ca="1" si="60"/>
        <v>-2.0822032972365512</v>
      </c>
      <c r="BE94" s="550">
        <f t="shared" ca="1" si="61"/>
        <v>-3.3835803580093948</v>
      </c>
    </row>
    <row r="95" spans="1:57" x14ac:dyDescent="0.25">
      <c r="A95" s="60">
        <f t="shared" si="20"/>
        <v>0.54</v>
      </c>
      <c r="B95" s="812" t="s">
        <v>141</v>
      </c>
      <c r="C95" s="554"/>
      <c r="D95" s="264">
        <f>1-$F$84</f>
        <v>0.5</v>
      </c>
      <c r="E95" s="264">
        <f t="shared" si="21"/>
        <v>0.5</v>
      </c>
      <c r="F95" s="264"/>
      <c r="G95" s="264">
        <f t="shared" si="22"/>
        <v>0.5</v>
      </c>
      <c r="H95" s="264">
        <f t="shared" si="23"/>
        <v>0.5</v>
      </c>
      <c r="I95" s="264"/>
      <c r="J95" s="555">
        <f t="shared" si="24"/>
        <v>309.44986835562031</v>
      </c>
      <c r="K95" s="70">
        <f t="shared" si="25"/>
        <v>0.16104808611844307</v>
      </c>
      <c r="L95" s="559">
        <f t="shared" ca="1" si="26"/>
        <v>8.0336576297016404E-2</v>
      </c>
      <c r="M95" s="559">
        <f t="shared" ca="1" si="27"/>
        <v>8.0336576297016404E-2</v>
      </c>
      <c r="N95" s="557" t="s">
        <v>336</v>
      </c>
      <c r="O95" s="559">
        <f t="shared" ca="1" si="28"/>
        <v>8.7707702768514154E-2</v>
      </c>
      <c r="P95" s="559">
        <f t="shared" ca="1" si="29"/>
        <v>8.7707702768514154E-2</v>
      </c>
      <c r="Q95" s="557" t="s">
        <v>336</v>
      </c>
      <c r="R95" s="558">
        <f t="shared" ca="1" si="30"/>
        <v>2.5961095644963555E-4</v>
      </c>
      <c r="S95" s="558">
        <f t="shared" ca="1" si="31"/>
        <v>2.5961095644963555E-4</v>
      </c>
      <c r="T95" s="557" t="s">
        <v>336</v>
      </c>
      <c r="U95" s="558">
        <f t="shared" ca="1" si="32"/>
        <v>2.834310553582796E-4</v>
      </c>
      <c r="V95" s="558">
        <f t="shared" ca="1" si="33"/>
        <v>2.834310553582796E-4</v>
      </c>
      <c r="W95" s="557" t="s">
        <v>336</v>
      </c>
      <c r="X95" s="559">
        <f t="shared" ca="1" si="34"/>
        <v>3.1484379358746521E-3</v>
      </c>
      <c r="Y95" s="559">
        <f t="shared" ca="1" si="35"/>
        <v>3.1484379358746521E-3</v>
      </c>
      <c r="Z95" s="557" t="s">
        <v>336</v>
      </c>
      <c r="AA95" s="559">
        <f t="shared" ca="1" si="36"/>
        <v>2.1037958894884788E-3</v>
      </c>
      <c r="AB95" s="559">
        <f t="shared" ca="1" si="37"/>
        <v>2.1037958894884788E-3</v>
      </c>
      <c r="AC95" s="557" t="s">
        <v>336</v>
      </c>
      <c r="AD95" s="558">
        <f t="shared" ca="1" si="38"/>
        <v>1.9549676197698672E-2</v>
      </c>
      <c r="AE95" s="558">
        <f t="shared" ca="1" si="39"/>
        <v>1.9549676197698672E-2</v>
      </c>
      <c r="AF95" s="557" t="s">
        <v>336</v>
      </c>
      <c r="AG95" s="558">
        <f t="shared" ca="1" si="40"/>
        <v>1.3063153621963808E-2</v>
      </c>
      <c r="AH95" s="558">
        <f t="shared" ca="1" si="41"/>
        <v>1.3063153621963808E-2</v>
      </c>
      <c r="AI95" s="557" t="s">
        <v>336</v>
      </c>
      <c r="AJ95" s="507">
        <f t="shared" ca="1" si="42"/>
        <v>8.0076965340566769E-2</v>
      </c>
      <c r="AK95" s="507">
        <f t="shared" ca="1" si="43"/>
        <v>8.0076965340566769E-2</v>
      </c>
      <c r="AL95" s="507">
        <f t="shared" ca="1" si="44"/>
        <v>8.7424271713155879E-2</v>
      </c>
      <c r="AM95" s="507">
        <f t="shared" ca="1" si="45"/>
        <v>8.7424271713155879E-2</v>
      </c>
      <c r="AN95" s="507">
        <f t="shared" ca="1" si="46"/>
        <v>-1.6401238261824019E-2</v>
      </c>
      <c r="AO95" s="507">
        <f t="shared" ca="1" si="47"/>
        <v>-1.6401238261824019E-2</v>
      </c>
      <c r="AP95" s="507">
        <f t="shared" ca="1" si="48"/>
        <v>-1.095935773247533E-2</v>
      </c>
      <c r="AQ95" s="507">
        <f t="shared" ca="1" si="49"/>
        <v>-1.095935773247533E-2</v>
      </c>
      <c r="AR95" s="812" t="s">
        <v>141</v>
      </c>
      <c r="AS95" s="812">
        <v>2104008310</v>
      </c>
      <c r="AT95" s="507">
        <f t="shared" ca="1" si="50"/>
        <v>0.47844886022233368</v>
      </c>
      <c r="AU95" s="507">
        <f t="shared" ca="1" si="51"/>
        <v>0.47844886022233368</v>
      </c>
      <c r="AV95" s="507">
        <f t="shared" ca="1" si="52"/>
        <v>0.47844886022233368</v>
      </c>
      <c r="AW95" s="507">
        <f t="shared" ca="1" si="53"/>
        <v>0.47844886022233368</v>
      </c>
      <c r="AX95" s="507">
        <f t="shared" ca="1" si="54"/>
        <v>-2.5004762761786767</v>
      </c>
      <c r="AY95" s="507">
        <f t="shared" ca="1" si="55"/>
        <v>-2.5004762761786767</v>
      </c>
      <c r="AZ95" s="507">
        <f t="shared" ca="1" si="56"/>
        <v>-2.5004762761786763</v>
      </c>
      <c r="BA95" s="507">
        <f t="shared" ca="1" si="57"/>
        <v>-2.5004762761786763</v>
      </c>
      <c r="BB95" s="550">
        <f t="shared" ca="1" si="58"/>
        <v>0.47844886022233368</v>
      </c>
      <c r="BC95" s="550">
        <f t="shared" ca="1" si="59"/>
        <v>0.47844886022233368</v>
      </c>
      <c r="BD95" s="550">
        <f t="shared" ca="1" si="60"/>
        <v>-2.5004762761786767</v>
      </c>
      <c r="BE95" s="550">
        <f t="shared" ca="1" si="61"/>
        <v>-2.5004762761786767</v>
      </c>
    </row>
    <row r="96" spans="1:57" x14ac:dyDescent="0.25">
      <c r="A96" s="60">
        <f t="shared" si="20"/>
        <v>0.68</v>
      </c>
      <c r="B96" s="812" t="s">
        <v>142</v>
      </c>
      <c r="C96" s="554"/>
      <c r="D96" s="561">
        <f>$I$85</f>
        <v>0.69230769230769229</v>
      </c>
      <c r="E96" s="264">
        <f t="shared" si="21"/>
        <v>0.5</v>
      </c>
      <c r="F96" s="264"/>
      <c r="G96" s="561">
        <f t="shared" si="22"/>
        <v>0.69230769230769229</v>
      </c>
      <c r="H96" s="264">
        <f t="shared" si="23"/>
        <v>0.5</v>
      </c>
      <c r="I96" s="264"/>
      <c r="J96" s="555">
        <f t="shared" si="24"/>
        <v>160.39469683132279</v>
      </c>
      <c r="K96" s="70">
        <f t="shared" si="25"/>
        <v>0.12789112721170479</v>
      </c>
      <c r="L96" s="559">
        <f t="shared" ca="1" si="26"/>
        <v>6.7938005389590009E-2</v>
      </c>
      <c r="M96" s="559">
        <f t="shared" ca="1" si="27"/>
        <v>0.11039925875808375</v>
      </c>
      <c r="N96" s="557" t="s">
        <v>336</v>
      </c>
      <c r="O96" s="559">
        <f t="shared" ca="1" si="28"/>
        <v>7.4171525076768413E-2</v>
      </c>
      <c r="P96" s="559">
        <f t="shared" ca="1" si="29"/>
        <v>0.12052872824974865</v>
      </c>
      <c r="Q96" s="557" t="s">
        <v>336</v>
      </c>
      <c r="R96" s="558">
        <f t="shared" ca="1" si="30"/>
        <v>4.2356765361785132E-4</v>
      </c>
      <c r="S96" s="558">
        <f t="shared" ca="1" si="31"/>
        <v>6.8829743712900838E-4</v>
      </c>
      <c r="T96" s="557" t="s">
        <v>336</v>
      </c>
      <c r="U96" s="558">
        <f t="shared" ca="1" si="32"/>
        <v>4.6243128072226744E-4</v>
      </c>
      <c r="V96" s="558">
        <f t="shared" ca="1" si="33"/>
        <v>7.5145083117368454E-4</v>
      </c>
      <c r="W96" s="557" t="s">
        <v>336</v>
      </c>
      <c r="X96" s="559">
        <f t="shared" ca="1" si="34"/>
        <v>4.0792446600314298E-3</v>
      </c>
      <c r="Y96" s="559">
        <f t="shared" ca="1" si="35"/>
        <v>6.6287725725510723E-3</v>
      </c>
      <c r="Z96" s="557" t="s">
        <v>336</v>
      </c>
      <c r="AA96" s="559">
        <f t="shared" ca="1" si="36"/>
        <v>2.7257637986781067E-3</v>
      </c>
      <c r="AB96" s="559">
        <f t="shared" ca="1" si="37"/>
        <v>4.4293661728519226E-3</v>
      </c>
      <c r="AC96" s="557" t="s">
        <v>336</v>
      </c>
      <c r="AD96" s="558">
        <f t="shared" ca="1" si="38"/>
        <v>3.1896228839072199E-2</v>
      </c>
      <c r="AE96" s="558">
        <f t="shared" ca="1" si="39"/>
        <v>5.183137186349232E-2</v>
      </c>
      <c r="AF96" s="557" t="s">
        <v>336</v>
      </c>
      <c r="AG96" s="558">
        <f t="shared" ca="1" si="40"/>
        <v>2.1313157981366519E-2</v>
      </c>
      <c r="AH96" s="558">
        <f t="shared" ca="1" si="41"/>
        <v>3.4633881719720587E-2</v>
      </c>
      <c r="AI96" s="557" t="s">
        <v>336</v>
      </c>
      <c r="AJ96" s="507">
        <f t="shared" ca="1" si="42"/>
        <v>6.7514437735972155E-2</v>
      </c>
      <c r="AK96" s="507">
        <f t="shared" ca="1" si="43"/>
        <v>0.10971096132095474</v>
      </c>
      <c r="AL96" s="507">
        <f t="shared" ca="1" si="44"/>
        <v>7.3709093796046149E-2</v>
      </c>
      <c r="AM96" s="507">
        <f t="shared" ca="1" si="45"/>
        <v>0.11977727741857497</v>
      </c>
      <c r="AN96" s="507">
        <f t="shared" ca="1" si="46"/>
        <v>-2.7816984179040771E-2</v>
      </c>
      <c r="AO96" s="507">
        <f t="shared" ca="1" si="47"/>
        <v>-4.5202599290941246E-2</v>
      </c>
      <c r="AP96" s="507">
        <f t="shared" ca="1" si="48"/>
        <v>-1.8587394182688413E-2</v>
      </c>
      <c r="AQ96" s="507">
        <f t="shared" ca="1" si="49"/>
        <v>-3.0204515546868663E-2</v>
      </c>
      <c r="AR96" s="812" t="s">
        <v>142</v>
      </c>
      <c r="AS96" s="812">
        <v>2104008320</v>
      </c>
      <c r="AT96" s="507">
        <f t="shared" ca="1" si="50"/>
        <v>0.29354300452577725</v>
      </c>
      <c r="AU96" s="507">
        <f t="shared" ca="1" si="51"/>
        <v>0.477007382354388</v>
      </c>
      <c r="AV96" s="507">
        <f t="shared" ca="1" si="52"/>
        <v>0.29354300452577731</v>
      </c>
      <c r="AW96" s="507">
        <f t="shared" ca="1" si="53"/>
        <v>0.477007382354388</v>
      </c>
      <c r="AX96" s="507">
        <f t="shared" ca="1" si="54"/>
        <v>-2.0142722140188036</v>
      </c>
      <c r="AY96" s="507">
        <f t="shared" ca="1" si="55"/>
        <v>-3.2731923477805553</v>
      </c>
      <c r="AZ96" s="507">
        <f t="shared" ca="1" si="56"/>
        <v>-2.0142722140188041</v>
      </c>
      <c r="BA96" s="507">
        <f t="shared" ca="1" si="57"/>
        <v>-3.2731923477805553</v>
      </c>
      <c r="BB96" s="550">
        <f t="shared" ca="1" si="58"/>
        <v>0.2935430045257772</v>
      </c>
      <c r="BC96" s="550">
        <f t="shared" ca="1" si="59"/>
        <v>0.477007382354388</v>
      </c>
      <c r="BD96" s="550">
        <f t="shared" ca="1" si="60"/>
        <v>-2.0142722140188036</v>
      </c>
      <c r="BE96" s="550">
        <f t="shared" ca="1" si="61"/>
        <v>-3.2731923477805553</v>
      </c>
    </row>
    <row r="97" spans="1:57" x14ac:dyDescent="0.25">
      <c r="A97" s="60">
        <f t="shared" si="20"/>
        <v>0.72</v>
      </c>
      <c r="B97" s="812" t="s">
        <v>143</v>
      </c>
      <c r="C97" s="554"/>
      <c r="D97" s="561">
        <f>$I$85</f>
        <v>0.69230769230769229</v>
      </c>
      <c r="E97" s="264">
        <f t="shared" si="21"/>
        <v>0.5</v>
      </c>
      <c r="F97" s="264"/>
      <c r="G97" s="561">
        <f t="shared" si="22"/>
        <v>0.69230769230769229</v>
      </c>
      <c r="H97" s="264">
        <f t="shared" si="23"/>
        <v>0.5</v>
      </c>
      <c r="I97" s="264"/>
      <c r="J97" s="555">
        <f t="shared" si="24"/>
        <v>168.08485352871506</v>
      </c>
      <c r="K97" s="70">
        <f t="shared" si="25"/>
        <v>0.12078606458883231</v>
      </c>
      <c r="L97" s="559">
        <f t="shared" ca="1" si="26"/>
        <v>4.5386245697479267E-2</v>
      </c>
      <c r="M97" s="559">
        <f t="shared" ca="1" si="27"/>
        <v>7.3752649258403802E-2</v>
      </c>
      <c r="N97" s="557" t="s">
        <v>336</v>
      </c>
      <c r="O97" s="559">
        <f t="shared" ca="1" si="28"/>
        <v>4.9550572490118718E-2</v>
      </c>
      <c r="P97" s="559">
        <f t="shared" ca="1" si="29"/>
        <v>8.0519680296442908E-2</v>
      </c>
      <c r="Q97" s="557" t="s">
        <v>336</v>
      </c>
      <c r="R97" s="558">
        <f t="shared" ca="1" si="30"/>
        <v>2.7001984262505624E-4</v>
      </c>
      <c r="S97" s="558">
        <f t="shared" ca="1" si="31"/>
        <v>4.3878224426571635E-4</v>
      </c>
      <c r="T97" s="557" t="s">
        <v>336</v>
      </c>
      <c r="U97" s="558">
        <f t="shared" ca="1" si="32"/>
        <v>2.9479498866121011E-4</v>
      </c>
      <c r="V97" s="558">
        <f t="shared" ca="1" si="33"/>
        <v>4.790418565744664E-4</v>
      </c>
      <c r="W97" s="557" t="s">
        <v>336</v>
      </c>
      <c r="X97" s="559">
        <f t="shared" ca="1" si="34"/>
        <v>2.4560039594993671E-3</v>
      </c>
      <c r="Y97" s="559">
        <f t="shared" ca="1" si="35"/>
        <v>3.9910064341864707E-3</v>
      </c>
      <c r="Z97" s="557" t="s">
        <v>336</v>
      </c>
      <c r="AA97" s="559">
        <f t="shared" ca="1" si="36"/>
        <v>1.6411093817946889E-3</v>
      </c>
      <c r="AB97" s="559">
        <f t="shared" ca="1" si="37"/>
        <v>2.6668027454163695E-3</v>
      </c>
      <c r="AC97" s="557" t="s">
        <v>336</v>
      </c>
      <c r="AD97" s="558">
        <f t="shared" ca="1" si="38"/>
        <v>2.0333504265246549E-2</v>
      </c>
      <c r="AE97" s="558">
        <f t="shared" ca="1" si="39"/>
        <v>3.3041944431025635E-2</v>
      </c>
      <c r="AF97" s="557" t="s">
        <v>336</v>
      </c>
      <c r="AG97" s="558">
        <f t="shared" ca="1" si="40"/>
        <v>1.3586909941814789E-2</v>
      </c>
      <c r="AH97" s="558">
        <f t="shared" ca="1" si="41"/>
        <v>2.2078728655449031E-2</v>
      </c>
      <c r="AI97" s="557" t="s">
        <v>336</v>
      </c>
      <c r="AJ97" s="507">
        <f t="shared" ca="1" si="42"/>
        <v>4.5116225854854211E-2</v>
      </c>
      <c r="AK97" s="507">
        <f t="shared" ca="1" si="43"/>
        <v>7.3313867014138084E-2</v>
      </c>
      <c r="AL97" s="507">
        <f t="shared" ca="1" si="44"/>
        <v>4.9255777501457508E-2</v>
      </c>
      <c r="AM97" s="507">
        <f t="shared" ca="1" si="45"/>
        <v>8.0040638439868445E-2</v>
      </c>
      <c r="AN97" s="507">
        <f t="shared" ca="1" si="46"/>
        <v>-1.7877500305747182E-2</v>
      </c>
      <c r="AO97" s="507">
        <f t="shared" ca="1" si="47"/>
        <v>-2.9050937996839166E-2</v>
      </c>
      <c r="AP97" s="507">
        <f t="shared" ca="1" si="48"/>
        <v>-1.1945800560020099E-2</v>
      </c>
      <c r="AQ97" s="507">
        <f t="shared" ca="1" si="49"/>
        <v>-1.941192591003266E-2</v>
      </c>
      <c r="AR97" s="812" t="s">
        <v>143</v>
      </c>
      <c r="AS97" s="812">
        <v>2104008330</v>
      </c>
      <c r="AT97" s="507">
        <f t="shared" ca="1" si="50"/>
        <v>0.29362726123173716</v>
      </c>
      <c r="AU97" s="507">
        <f t="shared" ca="1" si="51"/>
        <v>0.47714429950157289</v>
      </c>
      <c r="AV97" s="507">
        <f t="shared" ca="1" si="52"/>
        <v>0.29362726123173716</v>
      </c>
      <c r="AW97" s="507">
        <f t="shared" ca="1" si="53"/>
        <v>0.47714429950157289</v>
      </c>
      <c r="AX97" s="507">
        <f t="shared" ca="1" si="54"/>
        <v>-2.1501343804542987</v>
      </c>
      <c r="AY97" s="507">
        <f t="shared" ca="1" si="55"/>
        <v>-3.4939683682382343</v>
      </c>
      <c r="AZ97" s="507">
        <f t="shared" ca="1" si="56"/>
        <v>-2.1501343804542983</v>
      </c>
      <c r="BA97" s="507">
        <f t="shared" ca="1" si="57"/>
        <v>-3.4939683682382348</v>
      </c>
      <c r="BB97" s="550">
        <f t="shared" ca="1" si="58"/>
        <v>0.29362726123173721</v>
      </c>
      <c r="BC97" s="550">
        <f t="shared" ca="1" si="59"/>
        <v>0.47714429950157289</v>
      </c>
      <c r="BD97" s="550">
        <f t="shared" ca="1" si="60"/>
        <v>-2.1501343804542987</v>
      </c>
      <c r="BE97" s="550">
        <f t="shared" ca="1" si="61"/>
        <v>-3.4939683682382343</v>
      </c>
    </row>
    <row r="98" spans="1:57" x14ac:dyDescent="0.25">
      <c r="A98" s="60">
        <f t="shared" si="20"/>
        <v>0.56000000000000005</v>
      </c>
      <c r="B98" s="812" t="s">
        <v>144</v>
      </c>
      <c r="C98" s="554"/>
      <c r="D98" s="264">
        <f>1-$F$84</f>
        <v>0.5</v>
      </c>
      <c r="E98" s="264">
        <f t="shared" si="21"/>
        <v>0.5</v>
      </c>
      <c r="F98" s="264"/>
      <c r="G98" s="264">
        <f t="shared" si="22"/>
        <v>0.5</v>
      </c>
      <c r="H98" s="264">
        <f t="shared" si="23"/>
        <v>0.5</v>
      </c>
      <c r="I98" s="264"/>
      <c r="J98" s="555">
        <f t="shared" si="24"/>
        <v>76.143941937942344</v>
      </c>
      <c r="K98" s="70">
        <f t="shared" si="25"/>
        <v>0.13004395753813269</v>
      </c>
      <c r="L98" s="559">
        <f t="shared" ca="1" si="26"/>
        <v>2.7213764122517971E-3</v>
      </c>
      <c r="M98" s="559">
        <f t="shared" ca="1" si="27"/>
        <v>2.7213764122517971E-3</v>
      </c>
      <c r="N98" s="557" t="s">
        <v>336</v>
      </c>
      <c r="O98" s="559">
        <f t="shared" ca="1" si="28"/>
        <v>2.9710710175719864E-3</v>
      </c>
      <c r="P98" s="559">
        <f t="shared" ca="1" si="29"/>
        <v>2.9710710175719864E-3</v>
      </c>
      <c r="Q98" s="557" t="s">
        <v>336</v>
      </c>
      <c r="R98" s="558">
        <f t="shared" ca="1" si="30"/>
        <v>3.5739893982238678E-5</v>
      </c>
      <c r="S98" s="558">
        <f t="shared" ca="1" si="31"/>
        <v>3.5739893982238678E-5</v>
      </c>
      <c r="T98" s="557" t="s">
        <v>336</v>
      </c>
      <c r="U98" s="558">
        <f t="shared" ca="1" si="32"/>
        <v>3.9019138515227154E-5</v>
      </c>
      <c r="V98" s="558">
        <f t="shared" ca="1" si="33"/>
        <v>3.9019138515227154E-5</v>
      </c>
      <c r="W98" s="557" t="s">
        <v>336</v>
      </c>
      <c r="X98" s="559">
        <f t="shared" ca="1" si="34"/>
        <v>3.4999350810162923E-4</v>
      </c>
      <c r="Y98" s="559">
        <f t="shared" ca="1" si="35"/>
        <v>3.4999350810162923E-4</v>
      </c>
      <c r="Z98" s="557" t="s">
        <v>336</v>
      </c>
      <c r="AA98" s="559">
        <f t="shared" ca="1" si="36"/>
        <v>2.3386673604137862E-4</v>
      </c>
      <c r="AB98" s="559">
        <f t="shared" ca="1" si="37"/>
        <v>2.3386673604137862E-4</v>
      </c>
      <c r="AC98" s="557" t="s">
        <v>336</v>
      </c>
      <c r="AD98" s="558">
        <f t="shared" ca="1" si="38"/>
        <v>2.6913477160136479E-3</v>
      </c>
      <c r="AE98" s="558">
        <f t="shared" ca="1" si="39"/>
        <v>2.6913477160136479E-3</v>
      </c>
      <c r="AF98" s="557" t="s">
        <v>336</v>
      </c>
      <c r="AG98" s="558">
        <f t="shared" ca="1" si="40"/>
        <v>1.7983668020315519E-3</v>
      </c>
      <c r="AH98" s="558">
        <f t="shared" ca="1" si="41"/>
        <v>1.7983668020315519E-3</v>
      </c>
      <c r="AI98" s="557" t="s">
        <v>336</v>
      </c>
      <c r="AJ98" s="507">
        <f t="shared" ca="1" si="42"/>
        <v>2.6856365182695583E-3</v>
      </c>
      <c r="AK98" s="507">
        <f t="shared" ca="1" si="43"/>
        <v>2.6856365182695583E-3</v>
      </c>
      <c r="AL98" s="507">
        <f t="shared" ca="1" si="44"/>
        <v>2.9320518790567594E-3</v>
      </c>
      <c r="AM98" s="507">
        <f t="shared" ca="1" si="45"/>
        <v>2.9320518790567594E-3</v>
      </c>
      <c r="AN98" s="507">
        <f t="shared" ca="1" si="46"/>
        <v>-2.3413542079120187E-3</v>
      </c>
      <c r="AO98" s="507">
        <f t="shared" ca="1" si="47"/>
        <v>-2.3413542079120187E-3</v>
      </c>
      <c r="AP98" s="507">
        <f t="shared" ca="1" si="48"/>
        <v>-1.5645000659901733E-3</v>
      </c>
      <c r="AQ98" s="507">
        <f t="shared" ca="1" si="49"/>
        <v>-1.5645000659901733E-3</v>
      </c>
      <c r="AR98" s="812" t="s">
        <v>144</v>
      </c>
      <c r="AS98" s="812">
        <v>2104008410</v>
      </c>
      <c r="AT98" s="507">
        <f t="shared" ca="1" si="50"/>
        <v>0.47369614984746644</v>
      </c>
      <c r="AU98" s="507">
        <f t="shared" ca="1" si="51"/>
        <v>0.47369614984746644</v>
      </c>
      <c r="AV98" s="507">
        <f t="shared" ca="1" si="52"/>
        <v>0.4736961498474665</v>
      </c>
      <c r="AW98" s="507">
        <f t="shared" ca="1" si="53"/>
        <v>0.4736961498474665</v>
      </c>
      <c r="AX98" s="507">
        <f t="shared" ca="1" si="54"/>
        <v>-3.2110596162013136</v>
      </c>
      <c r="AY98" s="507">
        <f t="shared" ca="1" si="55"/>
        <v>-3.2110596162013136</v>
      </c>
      <c r="AZ98" s="507">
        <f t="shared" ca="1" si="56"/>
        <v>-3.2110596162013136</v>
      </c>
      <c r="BA98" s="507">
        <f t="shared" ca="1" si="57"/>
        <v>-3.2110596162013136</v>
      </c>
      <c r="BB98" s="550">
        <f t="shared" ca="1" si="58"/>
        <v>0.47369614984746644</v>
      </c>
      <c r="BC98" s="550">
        <f t="shared" ca="1" si="59"/>
        <v>0.47369614984746644</v>
      </c>
      <c r="BD98" s="550">
        <f t="shared" ca="1" si="60"/>
        <v>-3.2110596162013136</v>
      </c>
      <c r="BE98" s="550">
        <f t="shared" ca="1" si="61"/>
        <v>-3.2110596162013136</v>
      </c>
    </row>
    <row r="99" spans="1:57" x14ac:dyDescent="0.25">
      <c r="A99" s="60">
        <f t="shared" si="20"/>
        <v>0.78</v>
      </c>
      <c r="B99" s="812" t="s">
        <v>145</v>
      </c>
      <c r="C99" s="554"/>
      <c r="D99" s="264">
        <f>1-$F$84</f>
        <v>0.5</v>
      </c>
      <c r="E99" s="264">
        <f t="shared" si="21"/>
        <v>0.5</v>
      </c>
      <c r="F99" s="264"/>
      <c r="G99" s="264">
        <f t="shared" si="22"/>
        <v>0.5</v>
      </c>
      <c r="H99" s="264">
        <f t="shared" si="23"/>
        <v>0.5</v>
      </c>
      <c r="I99" s="264"/>
      <c r="J99" s="555">
        <f t="shared" si="24"/>
        <v>54.66744549390733</v>
      </c>
      <c r="K99" s="70">
        <f t="shared" si="25"/>
        <v>9.336489259147987E-2</v>
      </c>
      <c r="L99" s="559">
        <f t="shared" ca="1" si="26"/>
        <v>9.1792872150848609E-3</v>
      </c>
      <c r="M99" s="559">
        <f t="shared" ca="1" si="27"/>
        <v>9.1792872150848609E-3</v>
      </c>
      <c r="N99" s="557" t="s">
        <v>336</v>
      </c>
      <c r="O99" s="559">
        <f t="shared" ca="1" si="28"/>
        <v>1.0021514878987756E-2</v>
      </c>
      <c r="P99" s="559">
        <f t="shared" ca="1" si="29"/>
        <v>1.0021514878987756E-2</v>
      </c>
      <c r="Q99" s="557" t="s">
        <v>336</v>
      </c>
      <c r="R99" s="558">
        <f t="shared" ca="1" si="30"/>
        <v>1.6791139831305799E-4</v>
      </c>
      <c r="S99" s="558">
        <f t="shared" ca="1" si="31"/>
        <v>1.6791139831305799E-4</v>
      </c>
      <c r="T99" s="557" t="s">
        <v>336</v>
      </c>
      <c r="U99" s="558">
        <f t="shared" ca="1" si="32"/>
        <v>1.8331778242875187E-4</v>
      </c>
      <c r="V99" s="558">
        <f t="shared" ca="1" si="33"/>
        <v>1.8331778242875187E-4</v>
      </c>
      <c r="W99" s="557" t="s">
        <v>336</v>
      </c>
      <c r="X99" s="559">
        <f t="shared" ca="1" si="34"/>
        <v>1.1805389801338253E-3</v>
      </c>
      <c r="Y99" s="559">
        <f t="shared" ca="1" si="35"/>
        <v>1.1805389801338253E-3</v>
      </c>
      <c r="Z99" s="557" t="s">
        <v>336</v>
      </c>
      <c r="AA99" s="559">
        <f t="shared" ca="1" si="36"/>
        <v>7.8883976891750362E-4</v>
      </c>
      <c r="AB99" s="559">
        <f t="shared" ca="1" si="37"/>
        <v>7.8883976891750362E-4</v>
      </c>
      <c r="AC99" s="557" t="s">
        <v>336</v>
      </c>
      <c r="AD99" s="558">
        <f t="shared" ca="1" si="38"/>
        <v>1.2644356431697507E-2</v>
      </c>
      <c r="AE99" s="558">
        <f t="shared" ca="1" si="39"/>
        <v>1.2644356431697507E-2</v>
      </c>
      <c r="AF99" s="557" t="s">
        <v>336</v>
      </c>
      <c r="AG99" s="558">
        <f t="shared" ca="1" si="40"/>
        <v>8.4489977658849698E-3</v>
      </c>
      <c r="AH99" s="558">
        <f t="shared" ca="1" si="41"/>
        <v>8.4489977658849698E-3</v>
      </c>
      <c r="AI99" s="557" t="s">
        <v>336</v>
      </c>
      <c r="AJ99" s="507">
        <f t="shared" ca="1" si="42"/>
        <v>9.0113758167718033E-3</v>
      </c>
      <c r="AK99" s="507">
        <f t="shared" ca="1" si="43"/>
        <v>9.0113758167718033E-3</v>
      </c>
      <c r="AL99" s="507">
        <f t="shared" ca="1" si="44"/>
        <v>9.8381970965590038E-3</v>
      </c>
      <c r="AM99" s="507">
        <f t="shared" ca="1" si="45"/>
        <v>9.8381970965590038E-3</v>
      </c>
      <c r="AN99" s="507">
        <f t="shared" ca="1" si="46"/>
        <v>-1.1463817451563682E-2</v>
      </c>
      <c r="AO99" s="507">
        <f t="shared" ca="1" si="47"/>
        <v>-1.1463817451563682E-2</v>
      </c>
      <c r="AP99" s="507">
        <f t="shared" ca="1" si="48"/>
        <v>-7.660157996967466E-3</v>
      </c>
      <c r="AQ99" s="507">
        <f t="shared" ca="1" si="49"/>
        <v>-7.660157996967466E-3</v>
      </c>
      <c r="AR99" s="812" t="s">
        <v>145</v>
      </c>
      <c r="AS99" s="812">
        <v>2104008420</v>
      </c>
      <c r="AT99" s="507">
        <f t="shared" ca="1" si="50"/>
        <v>0.47121963728754257</v>
      </c>
      <c r="AU99" s="507">
        <f t="shared" ca="1" si="51"/>
        <v>0.47121963728754257</v>
      </c>
      <c r="AV99" s="507">
        <f t="shared" ca="1" si="52"/>
        <v>0.47121963728754257</v>
      </c>
      <c r="AW99" s="507">
        <f t="shared" ca="1" si="53"/>
        <v>0.47121963728754257</v>
      </c>
      <c r="AX99" s="507">
        <f t="shared" ca="1" si="54"/>
        <v>-4.6611187511375451</v>
      </c>
      <c r="AY99" s="507">
        <f t="shared" ca="1" si="55"/>
        <v>-4.6611187511375451</v>
      </c>
      <c r="AZ99" s="507">
        <f t="shared" ca="1" si="56"/>
        <v>-4.6611187511375443</v>
      </c>
      <c r="BA99" s="507">
        <f t="shared" ca="1" si="57"/>
        <v>-4.6611187511375443</v>
      </c>
      <c r="BB99" s="550">
        <f t="shared" ca="1" si="58"/>
        <v>0.47121963728754257</v>
      </c>
      <c r="BC99" s="550">
        <f t="shared" ca="1" si="59"/>
        <v>0.47121963728754257</v>
      </c>
      <c r="BD99" s="550">
        <f t="shared" ca="1" si="60"/>
        <v>-4.6611187511375451</v>
      </c>
      <c r="BE99" s="550">
        <f t="shared" ca="1" si="61"/>
        <v>-4.6611187511375451</v>
      </c>
    </row>
    <row r="100" spans="1:57" x14ac:dyDescent="0.25">
      <c r="A100" s="60">
        <f t="shared" si="20"/>
        <v>0.43</v>
      </c>
      <c r="B100" s="812" t="s">
        <v>146</v>
      </c>
      <c r="C100" s="554"/>
      <c r="D100" s="560">
        <f>$F$84*$F$85*$F$86+(1-$F$84)</f>
        <v>0.53829787234042548</v>
      </c>
      <c r="E100" s="264">
        <f t="shared" si="21"/>
        <v>0.5</v>
      </c>
      <c r="F100" s="264"/>
      <c r="G100" s="560">
        <f t="shared" si="22"/>
        <v>0.53829787234042548</v>
      </c>
      <c r="H100" s="264">
        <f t="shared" si="23"/>
        <v>0.5</v>
      </c>
      <c r="I100" s="264"/>
      <c r="J100" s="555">
        <f t="shared" si="24"/>
        <v>315.89894191058869</v>
      </c>
      <c r="K100" s="70">
        <f t="shared" si="25"/>
        <v>0.20224643373013787</v>
      </c>
      <c r="L100" s="559">
        <f t="shared" ca="1" si="26"/>
        <v>4.2112963846911683E-2</v>
      </c>
      <c r="M100" s="559">
        <f t="shared" ca="1" si="27"/>
        <v>4.5606205087669327E-2</v>
      </c>
      <c r="N100" s="557" t="s">
        <v>336</v>
      </c>
      <c r="O100" s="559">
        <f t="shared" ca="1" si="28"/>
        <v>4.597695702304018E-2</v>
      </c>
      <c r="P100" s="559">
        <f t="shared" ca="1" si="29"/>
        <v>4.9790713826794654E-2</v>
      </c>
      <c r="Q100" s="557" t="s">
        <v>336</v>
      </c>
      <c r="R100" s="558">
        <f t="shared" ca="1" si="30"/>
        <v>1.3331150649700891E-4</v>
      </c>
      <c r="S100" s="558">
        <f t="shared" ca="1" si="31"/>
        <v>1.4436960381012482E-4</v>
      </c>
      <c r="T100" s="557" t="s">
        <v>336</v>
      </c>
      <c r="U100" s="558">
        <f t="shared" ca="1" si="32"/>
        <v>1.4554324476355286E-4</v>
      </c>
      <c r="V100" s="558">
        <f t="shared" ca="1" si="33"/>
        <v>1.5761595631075999E-4</v>
      </c>
      <c r="W100" s="557" t="s">
        <v>336</v>
      </c>
      <c r="X100" s="559">
        <f t="shared" ca="1" si="34"/>
        <v>2.0303226514911733E-3</v>
      </c>
      <c r="Y100" s="559">
        <f t="shared" ca="1" si="35"/>
        <v>2.1987365119835282E-3</v>
      </c>
      <c r="Z100" s="557" t="s">
        <v>336</v>
      </c>
      <c r="AA100" s="559">
        <f t="shared" ca="1" si="36"/>
        <v>1.3566678256136141E-3</v>
      </c>
      <c r="AB100" s="559">
        <f t="shared" ca="1" si="37"/>
        <v>1.4692024839594437E-3</v>
      </c>
      <c r="AC100" s="557" t="s">
        <v>336</v>
      </c>
      <c r="AD100" s="558">
        <f t="shared" ca="1" si="38"/>
        <v>1.0038855143425075E-2</v>
      </c>
      <c r="AE100" s="558">
        <f t="shared" ca="1" si="39"/>
        <v>1.0871571238271394E-2</v>
      </c>
      <c r="AF100" s="557" t="s">
        <v>336</v>
      </c>
      <c r="AG100" s="558">
        <f t="shared" ca="1" si="40"/>
        <v>6.7079938102831893E-3</v>
      </c>
      <c r="AH100" s="558">
        <f t="shared" ca="1" si="41"/>
        <v>7.2644172599840981E-3</v>
      </c>
      <c r="AI100" s="557" t="s">
        <v>336</v>
      </c>
      <c r="AJ100" s="507">
        <f t="shared" ca="1" si="42"/>
        <v>4.1979652340414675E-2</v>
      </c>
      <c r="AK100" s="507">
        <f t="shared" ca="1" si="43"/>
        <v>4.5461835483859202E-2</v>
      </c>
      <c r="AL100" s="507">
        <f t="shared" ca="1" si="44"/>
        <v>4.5831413778276625E-2</v>
      </c>
      <c r="AM100" s="507">
        <f t="shared" ca="1" si="45"/>
        <v>4.9633097870483894E-2</v>
      </c>
      <c r="AN100" s="507">
        <f t="shared" ca="1" si="46"/>
        <v>-8.0085324919339021E-3</v>
      </c>
      <c r="AO100" s="507">
        <f t="shared" ca="1" si="47"/>
        <v>-8.6728347262878657E-3</v>
      </c>
      <c r="AP100" s="507">
        <f t="shared" ca="1" si="48"/>
        <v>-5.3513259846695756E-3</v>
      </c>
      <c r="AQ100" s="507">
        <f t="shared" ca="1" si="49"/>
        <v>-5.7952147760246542E-3</v>
      </c>
      <c r="AR100" s="812" t="s">
        <v>146</v>
      </c>
      <c r="AS100" s="812">
        <v>2104008610</v>
      </c>
      <c r="AT100" s="507">
        <f t="shared" ca="1" si="50"/>
        <v>0.44183095446472737</v>
      </c>
      <c r="AU100" s="507">
        <f t="shared" ca="1" si="51"/>
        <v>0.47848052672447428</v>
      </c>
      <c r="AV100" s="507">
        <f t="shared" ca="1" si="52"/>
        <v>0.44183095446472731</v>
      </c>
      <c r="AW100" s="507">
        <f t="shared" ca="1" si="53"/>
        <v>0.47848052672447422</v>
      </c>
      <c r="AX100" s="507">
        <f t="shared" ca="1" si="54"/>
        <v>-1.7483202626495842</v>
      </c>
      <c r="AY100" s="507">
        <f t="shared" ca="1" si="55"/>
        <v>-1.8933422199200565</v>
      </c>
      <c r="AZ100" s="507">
        <f t="shared" ca="1" si="56"/>
        <v>-1.7483202626495842</v>
      </c>
      <c r="BA100" s="507">
        <f t="shared" ca="1" si="57"/>
        <v>-1.8933422199200562</v>
      </c>
      <c r="BB100" s="550">
        <f t="shared" ca="1" si="58"/>
        <v>0.44183095446472742</v>
      </c>
      <c r="BC100" s="550">
        <f t="shared" ca="1" si="59"/>
        <v>0.47848052672447428</v>
      </c>
      <c r="BD100" s="550">
        <f t="shared" ca="1" si="60"/>
        <v>-1.7483202626495844</v>
      </c>
      <c r="BE100" s="550">
        <f t="shared" ca="1" si="61"/>
        <v>-1.8933422199200565</v>
      </c>
    </row>
    <row r="101" spans="1:57" x14ac:dyDescent="0.25">
      <c r="A101" s="60">
        <f t="shared" si="20"/>
        <v>0.81</v>
      </c>
      <c r="B101" s="812" t="s">
        <v>568</v>
      </c>
      <c r="C101" s="554"/>
      <c r="D101" s="556">
        <v>1</v>
      </c>
      <c r="E101" s="556">
        <v>1</v>
      </c>
      <c r="F101" s="264"/>
      <c r="G101" s="556">
        <f t="shared" si="22"/>
        <v>1</v>
      </c>
      <c r="H101" s="556">
        <f t="shared" si="23"/>
        <v>1</v>
      </c>
      <c r="I101" s="264"/>
      <c r="J101" s="555">
        <f t="shared" si="24"/>
        <v>1</v>
      </c>
      <c r="K101" s="70">
        <f t="shared" si="25"/>
        <v>1</v>
      </c>
      <c r="L101" s="133">
        <f t="shared" ref="L101:L110" ca="1" si="62">(1-D101)*D50</f>
        <v>0</v>
      </c>
      <c r="M101" s="133">
        <f t="shared" ref="M101:M110" ca="1" si="63">(1-E101)*E50</f>
        <v>0</v>
      </c>
      <c r="N101" s="551" t="s">
        <v>336</v>
      </c>
      <c r="O101" s="133">
        <f t="shared" ref="O101:O110" ca="1" si="64">(1-G101)*G70</f>
        <v>0</v>
      </c>
      <c r="P101" s="133">
        <f t="shared" ref="P101:P110" ca="1" si="65">(1-H101)*H70</f>
        <v>0</v>
      </c>
      <c r="Q101" s="551" t="s">
        <v>336</v>
      </c>
      <c r="R101" s="58">
        <f t="shared" ref="R101:R110" ca="1" si="66">(1-D101)*D50/$J101</f>
        <v>0</v>
      </c>
      <c r="S101" s="58">
        <f t="shared" ref="S101:S110" ca="1" si="67">(1-E101)*E50/$J101</f>
        <v>0</v>
      </c>
      <c r="T101" s="551" t="s">
        <v>336</v>
      </c>
      <c r="U101" s="58">
        <f t="shared" ref="U101:U110" ca="1" si="68">(1-G101)*G70/$J101</f>
        <v>0</v>
      </c>
      <c r="V101" s="58">
        <f t="shared" ref="V101:V110" ca="1" si="69">(1-H101)*H70/$J101</f>
        <v>0</v>
      </c>
      <c r="W101" s="551" t="s">
        <v>336</v>
      </c>
      <c r="X101" s="133">
        <f t="shared" ref="X101:X110" ca="1" si="70">(1-D101)*K50</f>
        <v>0</v>
      </c>
      <c r="Y101" s="133">
        <f t="shared" ref="Y101:Y110" ca="1" si="71">(1-E101)*L50</f>
        <v>0</v>
      </c>
      <c r="Z101" s="551" t="s">
        <v>336</v>
      </c>
      <c r="AA101" s="133">
        <f t="shared" ref="AA101:AA110" ca="1" si="72">(1-G101)*N70</f>
        <v>0</v>
      </c>
      <c r="AB101" s="133">
        <f t="shared" ref="AB101:AB110" ca="1" si="73">(1-H101)*O70</f>
        <v>0</v>
      </c>
      <c r="AC101" s="551" t="s">
        <v>336</v>
      </c>
      <c r="AD101" s="58">
        <f t="shared" ca="1" si="38"/>
        <v>0</v>
      </c>
      <c r="AE101" s="58">
        <f t="shared" ca="1" si="39"/>
        <v>0</v>
      </c>
      <c r="AF101" s="551" t="s">
        <v>336</v>
      </c>
      <c r="AG101" s="58">
        <f t="shared" ref="AG101:AG110" ca="1" si="74">(1-G101)*N70/$K101</f>
        <v>0</v>
      </c>
      <c r="AH101" s="58">
        <f t="shared" ref="AH101:AH110" ca="1" si="75">(1-H101)*O70/$K101</f>
        <v>0</v>
      </c>
      <c r="AI101" s="551" t="s">
        <v>336</v>
      </c>
      <c r="AJ101" s="507">
        <f t="shared" ca="1" si="42"/>
        <v>0</v>
      </c>
      <c r="AK101" s="507">
        <f t="shared" ca="1" si="43"/>
        <v>0</v>
      </c>
      <c r="AL101" s="507">
        <f t="shared" ca="1" si="44"/>
        <v>0</v>
      </c>
      <c r="AM101" s="507">
        <f t="shared" ca="1" si="45"/>
        <v>0</v>
      </c>
      <c r="AN101" s="507">
        <f t="shared" ca="1" si="46"/>
        <v>0</v>
      </c>
      <c r="AO101" s="507">
        <f t="shared" ca="1" si="47"/>
        <v>0</v>
      </c>
      <c r="AP101" s="507">
        <f t="shared" ca="1" si="48"/>
        <v>0</v>
      </c>
      <c r="AQ101" s="507">
        <f t="shared" ca="1" si="49"/>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8"/>
        <v>0</v>
      </c>
      <c r="BC101" s="550">
        <f t="shared" ca="1" si="59"/>
        <v>0</v>
      </c>
      <c r="BD101" s="550">
        <f t="shared" ca="1" si="60"/>
        <v>0</v>
      </c>
      <c r="BE101" s="550">
        <f t="shared" ca="1" si="61"/>
        <v>0</v>
      </c>
    </row>
    <row r="102" spans="1:57" x14ac:dyDescent="0.25">
      <c r="A102" s="60">
        <f t="shared" si="20"/>
        <v>0.81</v>
      </c>
      <c r="B102" s="812" t="s">
        <v>148</v>
      </c>
      <c r="C102" s="554"/>
      <c r="D102" s="556">
        <v>1</v>
      </c>
      <c r="E102" s="556">
        <v>1</v>
      </c>
      <c r="F102" s="264"/>
      <c r="G102" s="556">
        <f t="shared" si="22"/>
        <v>1</v>
      </c>
      <c r="H102" s="556">
        <f t="shared" si="23"/>
        <v>1</v>
      </c>
      <c r="I102" s="264"/>
      <c r="J102" s="555">
        <f t="shared" si="24"/>
        <v>0.96903004309982488</v>
      </c>
      <c r="K102" s="70">
        <f t="shared" si="25"/>
        <v>0.42657657353703521</v>
      </c>
      <c r="L102" s="133">
        <f t="shared" ca="1" si="62"/>
        <v>0</v>
      </c>
      <c r="M102" s="133">
        <f t="shared" ca="1" si="63"/>
        <v>0</v>
      </c>
      <c r="N102" s="551" t="s">
        <v>336</v>
      </c>
      <c r="O102" s="133">
        <f t="shared" ca="1" si="64"/>
        <v>0</v>
      </c>
      <c r="P102" s="133">
        <f t="shared" ca="1" si="65"/>
        <v>0</v>
      </c>
      <c r="Q102" s="551" t="s">
        <v>336</v>
      </c>
      <c r="R102" s="58">
        <f t="shared" ca="1" si="66"/>
        <v>0</v>
      </c>
      <c r="S102" s="58">
        <f t="shared" ca="1" si="67"/>
        <v>0</v>
      </c>
      <c r="T102" s="551" t="s">
        <v>336</v>
      </c>
      <c r="U102" s="58">
        <f t="shared" ca="1" si="68"/>
        <v>0</v>
      </c>
      <c r="V102" s="58">
        <f t="shared" ca="1" si="69"/>
        <v>0</v>
      </c>
      <c r="W102" s="551" t="s">
        <v>336</v>
      </c>
      <c r="X102" s="133">
        <f t="shared" ca="1" si="70"/>
        <v>0</v>
      </c>
      <c r="Y102" s="133">
        <f t="shared" ca="1" si="71"/>
        <v>0</v>
      </c>
      <c r="Z102" s="551" t="s">
        <v>336</v>
      </c>
      <c r="AA102" s="133">
        <f t="shared" ca="1" si="72"/>
        <v>0</v>
      </c>
      <c r="AB102" s="133">
        <f t="shared" ca="1" si="73"/>
        <v>0</v>
      </c>
      <c r="AC102" s="551" t="s">
        <v>336</v>
      </c>
      <c r="AD102" s="58">
        <f t="shared" ca="1" si="38"/>
        <v>0</v>
      </c>
      <c r="AE102" s="58">
        <f t="shared" ca="1" si="39"/>
        <v>0</v>
      </c>
      <c r="AF102" s="551" t="s">
        <v>336</v>
      </c>
      <c r="AG102" s="58">
        <f t="shared" ca="1" si="74"/>
        <v>0</v>
      </c>
      <c r="AH102" s="58">
        <f t="shared" ca="1" si="75"/>
        <v>0</v>
      </c>
      <c r="AI102" s="551" t="s">
        <v>336</v>
      </c>
      <c r="AJ102" s="507">
        <f t="shared" ca="1" si="42"/>
        <v>0</v>
      </c>
      <c r="AK102" s="507">
        <f t="shared" ca="1" si="43"/>
        <v>0</v>
      </c>
      <c r="AL102" s="507">
        <f t="shared" ca="1" si="44"/>
        <v>0</v>
      </c>
      <c r="AM102" s="507">
        <f t="shared" ca="1" si="45"/>
        <v>0</v>
      </c>
      <c r="AN102" s="507">
        <f t="shared" ca="1" si="46"/>
        <v>0</v>
      </c>
      <c r="AO102" s="507">
        <f t="shared" ca="1" si="47"/>
        <v>0</v>
      </c>
      <c r="AP102" s="507">
        <f t="shared" ca="1" si="48"/>
        <v>0</v>
      </c>
      <c r="AQ102" s="507">
        <f t="shared" ca="1" si="49"/>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8"/>
        <v>0</v>
      </c>
      <c r="BC102" s="550">
        <f t="shared" ca="1" si="59"/>
        <v>0</v>
      </c>
      <c r="BD102" s="550">
        <f t="shared" ca="1" si="60"/>
        <v>0</v>
      </c>
      <c r="BE102" s="550">
        <f t="shared" ca="1" si="61"/>
        <v>0</v>
      </c>
    </row>
    <row r="103" spans="1:57" x14ac:dyDescent="0.25">
      <c r="A103" s="60">
        <f t="shared" si="20"/>
        <v>0.81</v>
      </c>
      <c r="B103" s="812" t="s">
        <v>746</v>
      </c>
      <c r="C103" s="554"/>
      <c r="D103" s="556">
        <v>1</v>
      </c>
      <c r="E103" s="556">
        <v>1</v>
      </c>
      <c r="F103" s="264"/>
      <c r="G103" s="556">
        <f t="shared" si="22"/>
        <v>1</v>
      </c>
      <c r="H103" s="556">
        <f t="shared" si="23"/>
        <v>1</v>
      </c>
      <c r="I103" s="264"/>
      <c r="J103" s="555">
        <f t="shared" si="24"/>
        <v>0.85824076980877695</v>
      </c>
      <c r="K103" s="70">
        <f t="shared" si="25"/>
        <v>0.97967561567448258</v>
      </c>
      <c r="L103" s="133">
        <f t="shared" ca="1" si="62"/>
        <v>0</v>
      </c>
      <c r="M103" s="133">
        <f t="shared" ca="1" si="63"/>
        <v>0</v>
      </c>
      <c r="N103" s="551" t="s">
        <v>336</v>
      </c>
      <c r="O103" s="133">
        <f t="shared" ca="1" si="64"/>
        <v>0</v>
      </c>
      <c r="P103" s="133">
        <f t="shared" ca="1" si="65"/>
        <v>0</v>
      </c>
      <c r="Q103" s="551" t="s">
        <v>336</v>
      </c>
      <c r="R103" s="58">
        <f t="shared" ca="1" si="66"/>
        <v>0</v>
      </c>
      <c r="S103" s="58">
        <f t="shared" ca="1" si="67"/>
        <v>0</v>
      </c>
      <c r="T103" s="551" t="s">
        <v>336</v>
      </c>
      <c r="U103" s="58">
        <f t="shared" ca="1" si="68"/>
        <v>0</v>
      </c>
      <c r="V103" s="58">
        <f t="shared" ca="1" si="69"/>
        <v>0</v>
      </c>
      <c r="W103" s="551" t="s">
        <v>336</v>
      </c>
      <c r="X103" s="133">
        <f t="shared" ca="1" si="70"/>
        <v>0</v>
      </c>
      <c r="Y103" s="133">
        <f t="shared" ca="1" si="71"/>
        <v>0</v>
      </c>
      <c r="Z103" s="551" t="s">
        <v>336</v>
      </c>
      <c r="AA103" s="133">
        <f t="shared" ca="1" si="72"/>
        <v>0</v>
      </c>
      <c r="AB103" s="133">
        <f t="shared" ca="1" si="73"/>
        <v>0</v>
      </c>
      <c r="AC103" s="551" t="s">
        <v>336</v>
      </c>
      <c r="AD103" s="58">
        <f t="shared" ca="1" si="38"/>
        <v>0</v>
      </c>
      <c r="AE103" s="58">
        <f t="shared" ca="1" si="39"/>
        <v>0</v>
      </c>
      <c r="AF103" s="551" t="s">
        <v>336</v>
      </c>
      <c r="AG103" s="58">
        <f t="shared" ca="1" si="74"/>
        <v>0</v>
      </c>
      <c r="AH103" s="58">
        <f t="shared" ca="1" si="75"/>
        <v>0</v>
      </c>
      <c r="AI103" s="551" t="s">
        <v>336</v>
      </c>
      <c r="AJ103" s="507">
        <f t="shared" ca="1" si="42"/>
        <v>0</v>
      </c>
      <c r="AK103" s="507">
        <f t="shared" ca="1" si="43"/>
        <v>0</v>
      </c>
      <c r="AL103" s="507">
        <f t="shared" ca="1" si="44"/>
        <v>0</v>
      </c>
      <c r="AM103" s="507">
        <f t="shared" ca="1" si="45"/>
        <v>0</v>
      </c>
      <c r="AN103" s="507">
        <f t="shared" ca="1" si="46"/>
        <v>0</v>
      </c>
      <c r="AO103" s="507">
        <f t="shared" ca="1" si="47"/>
        <v>0</v>
      </c>
      <c r="AP103" s="507">
        <f t="shared" ca="1" si="48"/>
        <v>0</v>
      </c>
      <c r="AQ103" s="507">
        <f t="shared" ca="1" si="49"/>
        <v>0</v>
      </c>
      <c r="AR103" s="812" t="s">
        <v>747</v>
      </c>
      <c r="AS103" s="812">
        <v>2104007000</v>
      </c>
      <c r="AT103" s="507">
        <f t="shared" ref="AT103:AU109" ca="1" si="76">AJ104/$C53</f>
        <v>0</v>
      </c>
      <c r="AU103" s="507">
        <f t="shared" ca="1" si="76"/>
        <v>0</v>
      </c>
      <c r="AV103" s="507">
        <f t="shared" ref="AV103:AW109" ca="1" si="77">AL104/$C73</f>
        <v>0</v>
      </c>
      <c r="AW103" s="507">
        <f t="shared" ca="1" si="77"/>
        <v>0</v>
      </c>
      <c r="AX103" s="507">
        <f t="shared" ref="AX103:AY109" ca="1" si="78">AN104/$J53</f>
        <v>0</v>
      </c>
      <c r="AY103" s="507">
        <f t="shared" ca="1" si="78"/>
        <v>0</v>
      </c>
      <c r="AZ103" s="507">
        <f t="shared" ref="AZ103:BA109" ca="1" si="79">AP104/$J73</f>
        <v>0</v>
      </c>
      <c r="BA103" s="507">
        <f t="shared" ca="1" si="79"/>
        <v>0</v>
      </c>
      <c r="BB103" s="550">
        <f t="shared" ca="1" si="58"/>
        <v>0</v>
      </c>
      <c r="BC103" s="550">
        <f t="shared" ca="1" si="59"/>
        <v>0</v>
      </c>
      <c r="BD103" s="550">
        <f t="shared" ca="1" si="60"/>
        <v>0</v>
      </c>
      <c r="BE103" s="550">
        <f t="shared" ca="1" si="61"/>
        <v>0</v>
      </c>
    </row>
    <row r="104" spans="1:57" x14ac:dyDescent="0.25">
      <c r="A104" s="60">
        <f t="shared" si="20"/>
        <v>0.81</v>
      </c>
      <c r="B104" s="812" t="s">
        <v>747</v>
      </c>
      <c r="C104" s="554"/>
      <c r="D104" s="556">
        <v>1</v>
      </c>
      <c r="E104" s="556">
        <v>1</v>
      </c>
      <c r="F104" s="264"/>
      <c r="G104" s="556">
        <f t="shared" si="22"/>
        <v>1</v>
      </c>
      <c r="H104" s="556">
        <f t="shared" si="23"/>
        <v>1</v>
      </c>
      <c r="I104" s="264"/>
      <c r="J104" s="555">
        <f t="shared" si="24"/>
        <v>1.0736852877546061</v>
      </c>
      <c r="K104" s="70">
        <f t="shared" si="25"/>
        <v>1.0736852877546061</v>
      </c>
      <c r="L104" s="133">
        <f t="shared" ca="1" si="62"/>
        <v>0</v>
      </c>
      <c r="M104" s="133">
        <f t="shared" ca="1" si="63"/>
        <v>0</v>
      </c>
      <c r="N104" s="551" t="s">
        <v>336</v>
      </c>
      <c r="O104" s="133">
        <f t="shared" ca="1" si="64"/>
        <v>0</v>
      </c>
      <c r="P104" s="133">
        <f t="shared" ca="1" si="65"/>
        <v>0</v>
      </c>
      <c r="Q104" s="551" t="s">
        <v>336</v>
      </c>
      <c r="R104" s="58">
        <f t="shared" ca="1" si="66"/>
        <v>0</v>
      </c>
      <c r="S104" s="58">
        <f t="shared" ca="1" si="67"/>
        <v>0</v>
      </c>
      <c r="T104" s="551" t="s">
        <v>336</v>
      </c>
      <c r="U104" s="58">
        <f t="shared" ca="1" si="68"/>
        <v>0</v>
      </c>
      <c r="V104" s="58">
        <f t="shared" ca="1" si="69"/>
        <v>0</v>
      </c>
      <c r="W104" s="551" t="s">
        <v>336</v>
      </c>
      <c r="X104" s="133">
        <f t="shared" ca="1" si="70"/>
        <v>0</v>
      </c>
      <c r="Y104" s="133">
        <f t="shared" ca="1" si="71"/>
        <v>0</v>
      </c>
      <c r="Z104" s="551" t="s">
        <v>336</v>
      </c>
      <c r="AA104" s="133">
        <f t="shared" ca="1" si="72"/>
        <v>0</v>
      </c>
      <c r="AB104" s="133">
        <f t="shared" ca="1" si="73"/>
        <v>0</v>
      </c>
      <c r="AC104" s="551" t="s">
        <v>336</v>
      </c>
      <c r="AD104" s="58">
        <f t="shared" ca="1" si="38"/>
        <v>0</v>
      </c>
      <c r="AE104" s="58">
        <f t="shared" ca="1" si="39"/>
        <v>0</v>
      </c>
      <c r="AF104" s="551" t="s">
        <v>336</v>
      </c>
      <c r="AG104" s="58">
        <f t="shared" ca="1" si="74"/>
        <v>0</v>
      </c>
      <c r="AH104" s="58">
        <f t="shared" ca="1" si="75"/>
        <v>0</v>
      </c>
      <c r="AI104" s="551" t="s">
        <v>336</v>
      </c>
      <c r="AJ104" s="507">
        <f t="shared" ca="1" si="42"/>
        <v>0</v>
      </c>
      <c r="AK104" s="507">
        <f t="shared" ca="1" si="43"/>
        <v>0</v>
      </c>
      <c r="AL104" s="507">
        <f t="shared" ca="1" si="44"/>
        <v>0</v>
      </c>
      <c r="AM104" s="507">
        <f t="shared" ca="1" si="45"/>
        <v>0</v>
      </c>
      <c r="AN104" s="507">
        <f t="shared" ca="1" si="46"/>
        <v>0</v>
      </c>
      <c r="AO104" s="507">
        <f t="shared" ca="1" si="47"/>
        <v>0</v>
      </c>
      <c r="AP104" s="507">
        <f t="shared" ca="1" si="48"/>
        <v>0</v>
      </c>
      <c r="AQ104" s="507">
        <f t="shared" ca="1" si="49"/>
        <v>0</v>
      </c>
      <c r="AR104" s="812" t="s">
        <v>149</v>
      </c>
      <c r="AS104" s="812">
        <v>2104006010</v>
      </c>
      <c r="AT104" s="507">
        <f t="shared" ca="1" si="76"/>
        <v>0</v>
      </c>
      <c r="AU104" s="507">
        <f t="shared" ca="1" si="76"/>
        <v>0</v>
      </c>
      <c r="AV104" s="507">
        <f t="shared" ca="1" si="77"/>
        <v>0</v>
      </c>
      <c r="AW104" s="507">
        <f t="shared" ca="1" si="77"/>
        <v>0</v>
      </c>
      <c r="AX104" s="507">
        <f t="shared" ca="1" si="78"/>
        <v>0</v>
      </c>
      <c r="AY104" s="507">
        <f t="shared" ca="1" si="78"/>
        <v>0</v>
      </c>
      <c r="AZ104" s="507">
        <f t="shared" ca="1" si="79"/>
        <v>0</v>
      </c>
      <c r="BA104" s="507">
        <f t="shared" ca="1" si="79"/>
        <v>0</v>
      </c>
      <c r="BB104" s="550">
        <f t="shared" ca="1" si="58"/>
        <v>0</v>
      </c>
      <c r="BC104" s="550">
        <f t="shared" ca="1" si="59"/>
        <v>0</v>
      </c>
      <c r="BD104" s="550">
        <f t="shared" ca="1" si="60"/>
        <v>0</v>
      </c>
      <c r="BE104" s="550">
        <f t="shared" ca="1" si="61"/>
        <v>0</v>
      </c>
    </row>
    <row r="105" spans="1:57" x14ac:dyDescent="0.25">
      <c r="A105" s="60">
        <f t="shared" si="20"/>
        <v>0.81</v>
      </c>
      <c r="B105" s="812" t="s">
        <v>149</v>
      </c>
      <c r="C105" s="554"/>
      <c r="D105" s="556">
        <v>1</v>
      </c>
      <c r="E105" s="556">
        <v>1</v>
      </c>
      <c r="F105" s="264"/>
      <c r="G105" s="556">
        <f t="shared" si="22"/>
        <v>1</v>
      </c>
      <c r="H105" s="556">
        <f t="shared" si="23"/>
        <v>1</v>
      </c>
      <c r="I105" s="264"/>
      <c r="J105" s="555">
        <f t="shared" si="24"/>
        <v>1.4344112699714315E-2</v>
      </c>
      <c r="K105" s="70">
        <f t="shared" si="25"/>
        <v>2.7449575269448915E-3</v>
      </c>
      <c r="L105" s="133">
        <f t="shared" ca="1" si="62"/>
        <v>0</v>
      </c>
      <c r="M105" s="133">
        <f t="shared" ca="1" si="63"/>
        <v>0</v>
      </c>
      <c r="N105" s="551" t="s">
        <v>336</v>
      </c>
      <c r="O105" s="133">
        <f t="shared" ca="1" si="64"/>
        <v>0</v>
      </c>
      <c r="P105" s="133">
        <f t="shared" ca="1" si="65"/>
        <v>0</v>
      </c>
      <c r="Q105" s="551" t="s">
        <v>336</v>
      </c>
      <c r="R105" s="58">
        <f t="shared" ca="1" si="66"/>
        <v>0</v>
      </c>
      <c r="S105" s="58">
        <f t="shared" ca="1" si="67"/>
        <v>0</v>
      </c>
      <c r="T105" s="551" t="s">
        <v>336</v>
      </c>
      <c r="U105" s="58">
        <f t="shared" ca="1" si="68"/>
        <v>0</v>
      </c>
      <c r="V105" s="58">
        <f t="shared" ca="1" si="69"/>
        <v>0</v>
      </c>
      <c r="W105" s="551" t="s">
        <v>336</v>
      </c>
      <c r="X105" s="133">
        <f t="shared" ca="1" si="70"/>
        <v>0</v>
      </c>
      <c r="Y105" s="133">
        <f t="shared" ca="1" si="71"/>
        <v>0</v>
      </c>
      <c r="Z105" s="551" t="s">
        <v>336</v>
      </c>
      <c r="AA105" s="133">
        <f t="shared" ca="1" si="72"/>
        <v>0</v>
      </c>
      <c r="AB105" s="133">
        <f t="shared" ca="1" si="73"/>
        <v>0</v>
      </c>
      <c r="AC105" s="551" t="s">
        <v>336</v>
      </c>
      <c r="AD105" s="58">
        <f t="shared" ca="1" si="38"/>
        <v>0</v>
      </c>
      <c r="AE105" s="58">
        <f t="shared" ca="1" si="39"/>
        <v>0</v>
      </c>
      <c r="AF105" s="551" t="s">
        <v>336</v>
      </c>
      <c r="AG105" s="58">
        <f t="shared" ca="1" si="74"/>
        <v>0</v>
      </c>
      <c r="AH105" s="58">
        <f t="shared" ca="1" si="75"/>
        <v>0</v>
      </c>
      <c r="AI105" s="551" t="s">
        <v>336</v>
      </c>
      <c r="AJ105" s="507">
        <f t="shared" ca="1" si="42"/>
        <v>0</v>
      </c>
      <c r="AK105" s="507">
        <f t="shared" ca="1" si="43"/>
        <v>0</v>
      </c>
      <c r="AL105" s="507">
        <f t="shared" ca="1" si="44"/>
        <v>0</v>
      </c>
      <c r="AM105" s="507">
        <f t="shared" ca="1" si="45"/>
        <v>0</v>
      </c>
      <c r="AN105" s="507">
        <f t="shared" ca="1" si="46"/>
        <v>0</v>
      </c>
      <c r="AO105" s="507">
        <f t="shared" ca="1" si="47"/>
        <v>0</v>
      </c>
      <c r="AP105" s="507">
        <f t="shared" ca="1" si="48"/>
        <v>0</v>
      </c>
      <c r="AQ105" s="507">
        <f t="shared" ca="1" si="49"/>
        <v>0</v>
      </c>
      <c r="AR105" s="812" t="s">
        <v>150</v>
      </c>
      <c r="AS105" s="812">
        <v>2103006000</v>
      </c>
      <c r="AT105" s="507">
        <f t="shared" ca="1" si="76"/>
        <v>0</v>
      </c>
      <c r="AU105" s="507">
        <f t="shared" ca="1" si="76"/>
        <v>0</v>
      </c>
      <c r="AV105" s="507">
        <f t="shared" ca="1" si="77"/>
        <v>0</v>
      </c>
      <c r="AW105" s="507">
        <f t="shared" ca="1" si="77"/>
        <v>0</v>
      </c>
      <c r="AX105" s="507">
        <f t="shared" ca="1" si="78"/>
        <v>0</v>
      </c>
      <c r="AY105" s="507">
        <f t="shared" ca="1" si="78"/>
        <v>0</v>
      </c>
      <c r="AZ105" s="507">
        <f t="shared" ca="1" si="79"/>
        <v>0</v>
      </c>
      <c r="BA105" s="507">
        <f t="shared" ca="1" si="79"/>
        <v>0</v>
      </c>
      <c r="BB105" s="550">
        <f t="shared" ca="1" si="58"/>
        <v>0</v>
      </c>
      <c r="BC105" s="550">
        <f t="shared" ca="1" si="59"/>
        <v>0</v>
      </c>
      <c r="BD105" s="550">
        <f t="shared" ca="1" si="60"/>
        <v>0</v>
      </c>
      <c r="BE105" s="550">
        <f t="shared" ca="1" si="61"/>
        <v>0</v>
      </c>
    </row>
    <row r="106" spans="1:57" x14ac:dyDescent="0.25">
      <c r="A106" s="60">
        <f t="shared" si="20"/>
        <v>0.81</v>
      </c>
      <c r="B106" s="812" t="s">
        <v>150</v>
      </c>
      <c r="C106" s="554"/>
      <c r="D106" s="556">
        <v>1</v>
      </c>
      <c r="E106" s="556">
        <v>1</v>
      </c>
      <c r="F106" s="264"/>
      <c r="G106" s="556">
        <f t="shared" si="22"/>
        <v>1</v>
      </c>
      <c r="H106" s="556">
        <f t="shared" si="23"/>
        <v>1</v>
      </c>
      <c r="I106" s="264"/>
      <c r="J106" s="555">
        <f t="shared" si="24"/>
        <v>2.200905606836566</v>
      </c>
      <c r="K106" s="70">
        <f t="shared" si="25"/>
        <v>2.7449575269448915E-3</v>
      </c>
      <c r="L106" s="133">
        <f t="shared" ca="1" si="62"/>
        <v>0</v>
      </c>
      <c r="M106" s="133">
        <f t="shared" ca="1" si="63"/>
        <v>0</v>
      </c>
      <c r="N106" s="551" t="s">
        <v>336</v>
      </c>
      <c r="O106" s="133">
        <f t="shared" ca="1" si="64"/>
        <v>0</v>
      </c>
      <c r="P106" s="133">
        <f t="shared" ca="1" si="65"/>
        <v>0</v>
      </c>
      <c r="Q106" s="551" t="s">
        <v>336</v>
      </c>
      <c r="R106" s="58">
        <f t="shared" ca="1" si="66"/>
        <v>0</v>
      </c>
      <c r="S106" s="58">
        <f t="shared" ca="1" si="67"/>
        <v>0</v>
      </c>
      <c r="T106" s="551" t="s">
        <v>336</v>
      </c>
      <c r="U106" s="58">
        <f t="shared" ca="1" si="68"/>
        <v>0</v>
      </c>
      <c r="V106" s="58">
        <f t="shared" ca="1" si="69"/>
        <v>0</v>
      </c>
      <c r="W106" s="551" t="s">
        <v>336</v>
      </c>
      <c r="X106" s="133">
        <f t="shared" ca="1" si="70"/>
        <v>0</v>
      </c>
      <c r="Y106" s="133">
        <f t="shared" ca="1" si="71"/>
        <v>0</v>
      </c>
      <c r="Z106" s="551" t="s">
        <v>336</v>
      </c>
      <c r="AA106" s="133">
        <f t="shared" ca="1" si="72"/>
        <v>0</v>
      </c>
      <c r="AB106" s="133">
        <f t="shared" ca="1" si="73"/>
        <v>0</v>
      </c>
      <c r="AC106" s="551" t="s">
        <v>336</v>
      </c>
      <c r="AD106" s="58">
        <f t="shared" ca="1" si="38"/>
        <v>0</v>
      </c>
      <c r="AE106" s="58">
        <f t="shared" ca="1" si="39"/>
        <v>0</v>
      </c>
      <c r="AF106" s="551" t="s">
        <v>336</v>
      </c>
      <c r="AG106" s="58">
        <f t="shared" ca="1" si="74"/>
        <v>0</v>
      </c>
      <c r="AH106" s="58">
        <f t="shared" ca="1" si="75"/>
        <v>0</v>
      </c>
      <c r="AI106" s="551" t="s">
        <v>336</v>
      </c>
      <c r="AJ106" s="507">
        <f t="shared" ca="1" si="42"/>
        <v>0</v>
      </c>
      <c r="AK106" s="507">
        <f t="shared" ca="1" si="43"/>
        <v>0</v>
      </c>
      <c r="AL106" s="507">
        <f t="shared" ca="1" si="44"/>
        <v>0</v>
      </c>
      <c r="AM106" s="507">
        <f t="shared" ca="1" si="45"/>
        <v>0</v>
      </c>
      <c r="AN106" s="507">
        <f t="shared" ca="1" si="46"/>
        <v>0</v>
      </c>
      <c r="AO106" s="507">
        <f t="shared" ca="1" si="47"/>
        <v>0</v>
      </c>
      <c r="AP106" s="507">
        <f t="shared" ca="1" si="48"/>
        <v>0</v>
      </c>
      <c r="AQ106" s="507">
        <f t="shared" ca="1" si="49"/>
        <v>0</v>
      </c>
      <c r="AR106" s="812" t="s">
        <v>151</v>
      </c>
      <c r="AS106" s="812">
        <v>2104002000</v>
      </c>
      <c r="AT106" s="507">
        <f t="shared" ca="1" si="76"/>
        <v>0.49828210592064909</v>
      </c>
      <c r="AU106" s="507">
        <f t="shared" ca="1" si="76"/>
        <v>0.49828210592064909</v>
      </c>
      <c r="AV106" s="507">
        <f t="shared" ca="1" si="77"/>
        <v>0.49828210592064914</v>
      </c>
      <c r="AW106" s="507">
        <f t="shared" ca="1" si="77"/>
        <v>0.49828210592064914</v>
      </c>
      <c r="AX106" s="507">
        <f t="shared" ca="1" si="78"/>
        <v>0.4103118857783955</v>
      </c>
      <c r="AY106" s="507">
        <f t="shared" ca="1" si="78"/>
        <v>0.4103118857783955</v>
      </c>
      <c r="AZ106" s="507">
        <f t="shared" ca="1" si="79"/>
        <v>0.40657488101916195</v>
      </c>
      <c r="BA106" s="507">
        <f t="shared" ca="1" si="79"/>
        <v>0.40657488101916195</v>
      </c>
      <c r="BB106" s="550">
        <f t="shared" ca="1" si="58"/>
        <v>0.49828210592064903</v>
      </c>
      <c r="BC106" s="550">
        <f t="shared" ca="1" si="59"/>
        <v>0.49828210592064903</v>
      </c>
      <c r="BD106" s="550">
        <f t="shared" ca="1" si="60"/>
        <v>0.4103118857783955</v>
      </c>
      <c r="BE106" s="550">
        <f t="shared" ca="1" si="61"/>
        <v>0.4103118857783955</v>
      </c>
    </row>
    <row r="107" spans="1:57" x14ac:dyDescent="0.25">
      <c r="A107" s="60">
        <f t="shared" si="20"/>
        <v>0.43</v>
      </c>
      <c r="B107" s="812" t="s">
        <v>151</v>
      </c>
      <c r="C107" s="554"/>
      <c r="D107" s="264">
        <f t="shared" ref="D107:E110" si="80">1-$F$84</f>
        <v>0.5</v>
      </c>
      <c r="E107" s="264">
        <f t="shared" si="80"/>
        <v>0.5</v>
      </c>
      <c r="F107" s="264"/>
      <c r="G107" s="264">
        <f t="shared" si="22"/>
        <v>0.5</v>
      </c>
      <c r="H107" s="264">
        <f t="shared" si="23"/>
        <v>0.5</v>
      </c>
      <c r="I107" s="264"/>
      <c r="J107" s="555">
        <f t="shared" si="24"/>
        <v>291.05403296396588</v>
      </c>
      <c r="K107" s="70">
        <f t="shared" si="25"/>
        <v>5.3518797241516243</v>
      </c>
      <c r="L107" s="133">
        <f t="shared" ca="1" si="62"/>
        <v>1.8423984776033905E-2</v>
      </c>
      <c r="M107" s="133">
        <f t="shared" ca="1" si="63"/>
        <v>1.8423984776033905E-2</v>
      </c>
      <c r="N107" s="551" t="s">
        <v>336</v>
      </c>
      <c r="O107" s="133">
        <f t="shared" ca="1" si="64"/>
        <v>2.0114441703038131E-2</v>
      </c>
      <c r="P107" s="133">
        <f t="shared" ca="1" si="65"/>
        <v>2.0114441703038131E-2</v>
      </c>
      <c r="Q107" s="551" t="s">
        <v>336</v>
      </c>
      <c r="R107" s="58">
        <f t="shared" ca="1" si="66"/>
        <v>6.3300908729599687E-5</v>
      </c>
      <c r="S107" s="58">
        <f t="shared" ca="1" si="67"/>
        <v>6.3300908729599687E-5</v>
      </c>
      <c r="T107" s="551" t="s">
        <v>336</v>
      </c>
      <c r="U107" s="58">
        <f t="shared" ca="1" si="68"/>
        <v>6.9108960622196267E-5</v>
      </c>
      <c r="V107" s="58">
        <f t="shared" ca="1" si="69"/>
        <v>6.9108960622196267E-5</v>
      </c>
      <c r="W107" s="551" t="s">
        <v>336</v>
      </c>
      <c r="X107" s="133">
        <f t="shared" ca="1" si="70"/>
        <v>2.5511314736989175E-2</v>
      </c>
      <c r="Y107" s="133">
        <f t="shared" ca="1" si="71"/>
        <v>2.5511314736989175E-2</v>
      </c>
      <c r="Z107" s="551" t="s">
        <v>336</v>
      </c>
      <c r="AA107" s="133">
        <f t="shared" ca="1" si="72"/>
        <v>1.7046738786742104E-2</v>
      </c>
      <c r="AB107" s="133">
        <f t="shared" ca="1" si="73"/>
        <v>1.7046738786742104E-2</v>
      </c>
      <c r="AC107" s="551" t="s">
        <v>336</v>
      </c>
      <c r="AD107" s="58">
        <f t="shared" ca="1" si="38"/>
        <v>4.5761234201487739E-3</v>
      </c>
      <c r="AE107" s="58">
        <f t="shared" ca="1" si="39"/>
        <v>4.5761234201487739E-3</v>
      </c>
      <c r="AF107" s="551" t="s">
        <v>336</v>
      </c>
      <c r="AG107" s="58">
        <f t="shared" ca="1" si="74"/>
        <v>3.1851871987732946E-3</v>
      </c>
      <c r="AH107" s="58">
        <f t="shared" ca="1" si="75"/>
        <v>3.1851871987732946E-3</v>
      </c>
      <c r="AI107" s="551" t="s">
        <v>336</v>
      </c>
      <c r="AJ107" s="507">
        <f t="shared" ca="1" si="42"/>
        <v>1.8360683867304304E-2</v>
      </c>
      <c r="AK107" s="507">
        <f t="shared" ca="1" si="43"/>
        <v>1.8360683867304304E-2</v>
      </c>
      <c r="AL107" s="507">
        <f t="shared" ca="1" si="44"/>
        <v>2.0045332742415937E-2</v>
      </c>
      <c r="AM107" s="507">
        <f t="shared" ca="1" si="45"/>
        <v>2.0045332742415937E-2</v>
      </c>
      <c r="AN107" s="507">
        <f t="shared" ca="1" si="46"/>
        <v>2.09351913168404E-2</v>
      </c>
      <c r="AO107" s="507">
        <f t="shared" ca="1" si="47"/>
        <v>2.09351913168404E-2</v>
      </c>
      <c r="AP107" s="507">
        <f t="shared" ca="1" si="48"/>
        <v>1.3861551587968809E-2</v>
      </c>
      <c r="AQ107" s="507">
        <f t="shared" ca="1" si="49"/>
        <v>1.3861551587968809E-2</v>
      </c>
      <c r="AR107" s="812" t="s">
        <v>152</v>
      </c>
      <c r="AS107" s="812">
        <v>2103002000</v>
      </c>
      <c r="AT107" s="507">
        <f t="shared" ca="1" si="76"/>
        <v>0.49828210592064909</v>
      </c>
      <c r="AU107" s="507">
        <f t="shared" ca="1" si="76"/>
        <v>0.49828210592064909</v>
      </c>
      <c r="AV107" s="507">
        <f t="shared" ca="1" si="77"/>
        <v>0.49828210592064909</v>
      </c>
      <c r="AW107" s="507">
        <f t="shared" ca="1" si="77"/>
        <v>0.49828210592064909</v>
      </c>
      <c r="AX107" s="507">
        <f t="shared" ca="1" si="78"/>
        <v>0.4103118857783955</v>
      </c>
      <c r="AY107" s="507">
        <f t="shared" ca="1" si="78"/>
        <v>0.4103118857783955</v>
      </c>
      <c r="AZ107" s="507">
        <f t="shared" ca="1" si="79"/>
        <v>0.406574881019162</v>
      </c>
      <c r="BA107" s="507">
        <f t="shared" ca="1" si="79"/>
        <v>0.406574881019162</v>
      </c>
      <c r="BB107" s="550">
        <f t="shared" ca="1" si="58"/>
        <v>0.49828210592064903</v>
      </c>
      <c r="BC107" s="550">
        <f t="shared" ca="1" si="59"/>
        <v>0.49828210592064903</v>
      </c>
      <c r="BD107" s="550">
        <f t="shared" ca="1" si="60"/>
        <v>0.4103118857783955</v>
      </c>
      <c r="BE107" s="550">
        <f t="shared" ca="1" si="61"/>
        <v>0.4103118857783955</v>
      </c>
    </row>
    <row r="108" spans="1:57" x14ac:dyDescent="0.25">
      <c r="A108" s="60">
        <f>A107</f>
        <v>0.43</v>
      </c>
      <c r="B108" s="812" t="s">
        <v>152</v>
      </c>
      <c r="C108" s="554"/>
      <c r="D108" s="264">
        <f t="shared" si="80"/>
        <v>0.5</v>
      </c>
      <c r="E108" s="264">
        <f t="shared" si="80"/>
        <v>0.5</v>
      </c>
      <c r="F108" s="264"/>
      <c r="G108" s="264">
        <f t="shared" si="22"/>
        <v>0.5</v>
      </c>
      <c r="H108" s="264">
        <f t="shared" si="23"/>
        <v>0.5</v>
      </c>
      <c r="I108" s="264"/>
      <c r="J108" s="553">
        <f>J107</f>
        <v>291.05403296396588</v>
      </c>
      <c r="K108" s="552">
        <f>K107</f>
        <v>5.3518797241516243</v>
      </c>
      <c r="L108" s="133">
        <f t="shared" ca="1" si="62"/>
        <v>4.9499900180754605E-5</v>
      </c>
      <c r="M108" s="133">
        <f t="shared" ca="1" si="63"/>
        <v>4.9499900180754605E-5</v>
      </c>
      <c r="N108" s="551" t="s">
        <v>336</v>
      </c>
      <c r="O108" s="133">
        <f t="shared" ca="1" si="64"/>
        <v>5.4041667348051799E-5</v>
      </c>
      <c r="P108" s="133">
        <f t="shared" ca="1" si="65"/>
        <v>5.4041667348051799E-5</v>
      </c>
      <c r="Q108" s="551" t="s">
        <v>336</v>
      </c>
      <c r="R108" s="58">
        <f t="shared" ca="1" si="66"/>
        <v>1.7007117089795821E-7</v>
      </c>
      <c r="S108" s="58">
        <f t="shared" ca="1" si="67"/>
        <v>1.7007117089795821E-7</v>
      </c>
      <c r="T108" s="551" t="s">
        <v>336</v>
      </c>
      <c r="U108" s="58">
        <f t="shared" ca="1" si="68"/>
        <v>1.8567572075093856E-7</v>
      </c>
      <c r="V108" s="58">
        <f t="shared" ca="1" si="69"/>
        <v>1.8567572075093856E-7</v>
      </c>
      <c r="W108" s="551" t="s">
        <v>336</v>
      </c>
      <c r="X108" s="133">
        <f t="shared" ca="1" si="70"/>
        <v>6.8541498938028323E-5</v>
      </c>
      <c r="Y108" s="133">
        <f t="shared" ca="1" si="71"/>
        <v>6.8541498938028323E-5</v>
      </c>
      <c r="Z108" s="551" t="s">
        <v>336</v>
      </c>
      <c r="AA108" s="133">
        <f t="shared" ca="1" si="72"/>
        <v>4.5799639904651382E-5</v>
      </c>
      <c r="AB108" s="133">
        <f t="shared" ca="1" si="73"/>
        <v>4.5799639904651382E-5</v>
      </c>
      <c r="AC108" s="551" t="s">
        <v>336</v>
      </c>
      <c r="AD108" s="58">
        <f t="shared" ca="1" si="38"/>
        <v>1.2294715571347733E-5</v>
      </c>
      <c r="AE108" s="58">
        <f t="shared" ca="1" si="39"/>
        <v>1.2294715571347733E-5</v>
      </c>
      <c r="AF108" s="551" t="s">
        <v>336</v>
      </c>
      <c r="AG108" s="58">
        <f t="shared" ca="1" si="74"/>
        <v>8.5576736147431829E-6</v>
      </c>
      <c r="AH108" s="58">
        <f t="shared" ca="1" si="75"/>
        <v>8.5576736147431829E-6</v>
      </c>
      <c r="AI108" s="551" t="s">
        <v>336</v>
      </c>
      <c r="AJ108" s="507">
        <f t="shared" ca="1" si="42"/>
        <v>4.9329829009856647E-5</v>
      </c>
      <c r="AK108" s="507">
        <f t="shared" ca="1" si="43"/>
        <v>4.9329829009856647E-5</v>
      </c>
      <c r="AL108" s="507">
        <f t="shared" ca="1" si="44"/>
        <v>5.385599162730086E-5</v>
      </c>
      <c r="AM108" s="507">
        <f t="shared" ca="1" si="45"/>
        <v>5.385599162730086E-5</v>
      </c>
      <c r="AN108" s="507">
        <f t="shared" ca="1" si="46"/>
        <v>5.6246783366680588E-5</v>
      </c>
      <c r="AO108" s="507">
        <f t="shared" ca="1" si="47"/>
        <v>5.6246783366680588E-5</v>
      </c>
      <c r="AP108" s="507">
        <f t="shared" ca="1" si="48"/>
        <v>3.7241966289908201E-5</v>
      </c>
      <c r="AQ108" s="507">
        <f t="shared" ca="1" si="49"/>
        <v>3.7241966289908201E-5</v>
      </c>
      <c r="AR108" s="812" t="s">
        <v>153</v>
      </c>
      <c r="AS108" s="812">
        <v>2103008000</v>
      </c>
      <c r="AT108" s="507">
        <f t="shared" ca="1" si="76"/>
        <v>0.49688268995248752</v>
      </c>
      <c r="AU108" s="507">
        <f t="shared" ca="1" si="76"/>
        <v>0.49688268995248752</v>
      </c>
      <c r="AV108" s="507">
        <f t="shared" ca="1" si="77"/>
        <v>0.49688268995248752</v>
      </c>
      <c r="AW108" s="507">
        <f t="shared" ca="1" si="77"/>
        <v>0.49688268995248752</v>
      </c>
      <c r="AX108" s="507">
        <f t="shared" ca="1" si="78"/>
        <v>-3.2531923477805558</v>
      </c>
      <c r="AY108" s="507">
        <f t="shared" ca="1" si="78"/>
        <v>-3.2531923477805558</v>
      </c>
      <c r="AZ108" s="507">
        <f t="shared" ca="1" si="79"/>
        <v>-3.4095753622714118</v>
      </c>
      <c r="BA108" s="507">
        <f t="shared" ca="1" si="79"/>
        <v>-3.4095753622714118</v>
      </c>
      <c r="BB108" s="550">
        <f t="shared" ca="1" si="58"/>
        <v>0.49688268995248752</v>
      </c>
      <c r="BC108" s="550">
        <f t="shared" ca="1" si="59"/>
        <v>0.49688268995248752</v>
      </c>
      <c r="BD108" s="550">
        <f t="shared" ca="1" si="60"/>
        <v>-3.2531923477805558</v>
      </c>
      <c r="BE108" s="550">
        <f t="shared" ca="1" si="61"/>
        <v>-3.2531923477805558</v>
      </c>
    </row>
    <row r="109" spans="1:57" ht="15.75" thickBot="1" x14ac:dyDescent="0.3">
      <c r="A109" s="112">
        <v>0.6</v>
      </c>
      <c r="B109" s="812" t="s">
        <v>153</v>
      </c>
      <c r="C109" s="554"/>
      <c r="D109" s="264">
        <f t="shared" si="80"/>
        <v>0.5</v>
      </c>
      <c r="E109" s="264">
        <f t="shared" si="80"/>
        <v>0.5</v>
      </c>
      <c r="F109" s="264"/>
      <c r="G109" s="264">
        <f t="shared" si="22"/>
        <v>0.5</v>
      </c>
      <c r="H109" s="264">
        <f t="shared" si="23"/>
        <v>0.5</v>
      </c>
      <c r="I109" s="264"/>
      <c r="J109" s="553">
        <f>J96</f>
        <v>160.39469683132279</v>
      </c>
      <c r="K109" s="552">
        <f>K96</f>
        <v>0.12789112721170479</v>
      </c>
      <c r="L109" s="133">
        <f t="shared" ca="1" si="62"/>
        <v>4.8487009684398626E-5</v>
      </c>
      <c r="M109" s="133">
        <f t="shared" ca="1" si="63"/>
        <v>4.8487009684398626E-5</v>
      </c>
      <c r="N109" s="551" t="s">
        <v>336</v>
      </c>
      <c r="O109" s="133">
        <f t="shared" ca="1" si="64"/>
        <v>5.2935841052156468E-5</v>
      </c>
      <c r="P109" s="133">
        <f t="shared" ca="1" si="65"/>
        <v>5.2935841052156468E-5</v>
      </c>
      <c r="Q109" s="551" t="s">
        <v>336</v>
      </c>
      <c r="R109" s="58">
        <f t="shared" ca="1" si="66"/>
        <v>3.0229808492602114E-7</v>
      </c>
      <c r="S109" s="58">
        <f t="shared" ca="1" si="67"/>
        <v>3.0229808492602114E-7</v>
      </c>
      <c r="T109" s="551" t="s">
        <v>336</v>
      </c>
      <c r="U109" s="58">
        <f t="shared" ca="1" si="68"/>
        <v>3.3003485837082149E-7</v>
      </c>
      <c r="V109" s="58">
        <f t="shared" ca="1" si="69"/>
        <v>3.3003485837082149E-7</v>
      </c>
      <c r="W109" s="551" t="s">
        <v>336</v>
      </c>
      <c r="X109" s="133">
        <f t="shared" ca="1" si="70"/>
        <v>1.6872393645802097E-6</v>
      </c>
      <c r="Y109" s="133">
        <f t="shared" ca="1" si="71"/>
        <v>1.6872393645802097E-6</v>
      </c>
      <c r="Z109" s="551" t="s">
        <v>336</v>
      </c>
      <c r="AA109" s="133">
        <f t="shared" ca="1" si="72"/>
        <v>1.1274185205753148E-6</v>
      </c>
      <c r="AB109" s="133">
        <f t="shared" ca="1" si="73"/>
        <v>1.1274185205753148E-6</v>
      </c>
      <c r="AC109" s="551" t="s">
        <v>336</v>
      </c>
      <c r="AD109" s="58">
        <f t="shared" ca="1" si="38"/>
        <v>1.2665067744033139E-5</v>
      </c>
      <c r="AE109" s="58">
        <f t="shared" ca="1" si="39"/>
        <v>1.2665067744033139E-5</v>
      </c>
      <c r="AF109" s="551" t="s">
        <v>336</v>
      </c>
      <c r="AG109" s="58">
        <f t="shared" ca="1" si="74"/>
        <v>8.8154553420194721E-6</v>
      </c>
      <c r="AH109" s="58">
        <f t="shared" ca="1" si="75"/>
        <v>8.8154553420194721E-6</v>
      </c>
      <c r="AI109" s="551" t="s">
        <v>336</v>
      </c>
      <c r="AJ109" s="507">
        <f t="shared" ca="1" si="42"/>
        <v>4.8184711599472603E-5</v>
      </c>
      <c r="AK109" s="507">
        <f t="shared" ca="1" si="43"/>
        <v>4.8184711599472603E-5</v>
      </c>
      <c r="AL109" s="507">
        <f t="shared" ca="1" si="44"/>
        <v>5.2605806193785648E-5</v>
      </c>
      <c r="AM109" s="507">
        <f t="shared" ca="1" si="45"/>
        <v>5.2605806193785648E-5</v>
      </c>
      <c r="AN109" s="507">
        <f t="shared" ca="1" si="46"/>
        <v>-1.097782837945293E-5</v>
      </c>
      <c r="AO109" s="507">
        <f t="shared" ca="1" si="47"/>
        <v>-1.097782837945293E-5</v>
      </c>
      <c r="AP109" s="507">
        <f t="shared" ca="1" si="48"/>
        <v>-7.6880368214441565E-6</v>
      </c>
      <c r="AQ109" s="507">
        <f t="shared" ca="1" si="49"/>
        <v>-7.6880368214441565E-6</v>
      </c>
      <c r="AR109" s="6" t="s">
        <v>154</v>
      </c>
      <c r="AS109" s="6">
        <v>2102012000</v>
      </c>
      <c r="AT109" s="541">
        <f t="shared" ca="1" si="76"/>
        <v>0.45472969915998968</v>
      </c>
      <c r="AU109" s="541">
        <f t="shared" ca="1" si="76"/>
        <v>0.45472969915998968</v>
      </c>
      <c r="AV109" s="541">
        <f t="shared" ca="1" si="77"/>
        <v>0.45472969915998968</v>
      </c>
      <c r="AW109" s="541">
        <f t="shared" ca="1" si="77"/>
        <v>0.45472969915998968</v>
      </c>
      <c r="AX109" s="541">
        <f t="shared" ca="1" si="78"/>
        <v>0.11270030278847697</v>
      </c>
      <c r="AY109" s="541">
        <f t="shared" ca="1" si="78"/>
        <v>0.11270030278847697</v>
      </c>
      <c r="AZ109" s="541">
        <f t="shared" ca="1" si="79"/>
        <v>9.656281540466348E-2</v>
      </c>
      <c r="BA109" s="541">
        <f t="shared" ca="1" si="79"/>
        <v>9.656281540466348E-2</v>
      </c>
      <c r="BB109" s="550">
        <f t="shared" ca="1" si="58"/>
        <v>0.45472969915998962</v>
      </c>
      <c r="BC109" s="550">
        <f t="shared" ca="1" si="59"/>
        <v>0.45472969915998962</v>
      </c>
      <c r="BD109" s="550">
        <f t="shared" ca="1" si="60"/>
        <v>0.11270030278847698</v>
      </c>
      <c r="BE109" s="550">
        <f t="shared" ca="1" si="61"/>
        <v>0.11270030278847698</v>
      </c>
    </row>
    <row r="110" spans="1:57" ht="16.5" thickTop="1" thickBot="1" x14ac:dyDescent="0.3">
      <c r="A110" s="549">
        <f>P85</f>
        <v>0.81</v>
      </c>
      <c r="B110" s="6" t="s">
        <v>154</v>
      </c>
      <c r="C110" s="548"/>
      <c r="D110" s="547">
        <f t="shared" si="80"/>
        <v>0.5</v>
      </c>
      <c r="E110" s="547">
        <f t="shared" si="80"/>
        <v>0.5</v>
      </c>
      <c r="F110" s="547"/>
      <c r="G110" s="547">
        <f t="shared" si="22"/>
        <v>0.5</v>
      </c>
      <c r="H110" s="547">
        <f t="shared" si="23"/>
        <v>0.5</v>
      </c>
      <c r="I110" s="547"/>
      <c r="J110" s="546">
        <f>(VLOOKUP($B110,BTUEFs,11,FALSE)/$A110)/(VLOOKUP($N$85,BTUEFs,11,FALSE)/$P$85)</f>
        <v>11.044768661181401</v>
      </c>
      <c r="K110" s="545">
        <f>(VLOOKUP($B110,BTUEFs,9,FALSE)/$A110)/(VLOOKUP($N$85,BTUEFs,9,FALSE)/$P$85)</f>
        <v>1.2393503105112134</v>
      </c>
      <c r="L110" s="544">
        <f t="shared" ca="1" si="62"/>
        <v>4.4513536985619378E-4</v>
      </c>
      <c r="M110" s="544">
        <f t="shared" ca="1" si="63"/>
        <v>4.4513536985619378E-4</v>
      </c>
      <c r="N110" s="542" t="s">
        <v>336</v>
      </c>
      <c r="O110" s="544">
        <f t="shared" ca="1" si="64"/>
        <v>4.8597790085995511E-4</v>
      </c>
      <c r="P110" s="544">
        <f t="shared" ca="1" si="65"/>
        <v>4.8597790085995511E-4</v>
      </c>
      <c r="Q110" s="542" t="s">
        <v>336</v>
      </c>
      <c r="R110" s="543">
        <f t="shared" ca="1" si="66"/>
        <v>4.0302824215838309E-5</v>
      </c>
      <c r="S110" s="543">
        <f t="shared" ca="1" si="67"/>
        <v>4.0302824215838309E-5</v>
      </c>
      <c r="T110" s="542" t="s">
        <v>336</v>
      </c>
      <c r="U110" s="543">
        <f t="shared" ca="1" si="68"/>
        <v>4.4000731547053754E-5</v>
      </c>
      <c r="V110" s="543">
        <f t="shared" ca="1" si="69"/>
        <v>4.4000731547053754E-5</v>
      </c>
      <c r="W110" s="542" t="s">
        <v>336</v>
      </c>
      <c r="X110" s="544">
        <f t="shared" ca="1" si="70"/>
        <v>3.7613704783877526E-3</v>
      </c>
      <c r="Y110" s="544">
        <f t="shared" ca="1" si="71"/>
        <v>3.7613704783877526E-3</v>
      </c>
      <c r="Z110" s="542" t="s">
        <v>336</v>
      </c>
      <c r="AA110" s="544">
        <f t="shared" ca="1" si="72"/>
        <v>2.5133592951315873E-3</v>
      </c>
      <c r="AB110" s="544">
        <f t="shared" ca="1" si="73"/>
        <v>2.5133592951315873E-3</v>
      </c>
      <c r="AC110" s="542" t="s">
        <v>336</v>
      </c>
      <c r="AD110" s="543">
        <f t="shared" ca="1" si="38"/>
        <v>2.9135552947598762E-3</v>
      </c>
      <c r="AE110" s="543">
        <f t="shared" ca="1" si="39"/>
        <v>2.9135552947598762E-3</v>
      </c>
      <c r="AF110" s="542" t="s">
        <v>336</v>
      </c>
      <c r="AG110" s="543">
        <f t="shared" ca="1" si="74"/>
        <v>2.0279651958088141E-3</v>
      </c>
      <c r="AH110" s="543">
        <f t="shared" ca="1" si="75"/>
        <v>2.0279651958088141E-3</v>
      </c>
      <c r="AI110" s="542" t="s">
        <v>336</v>
      </c>
      <c r="AJ110" s="541">
        <f t="shared" ca="1" si="42"/>
        <v>4.0483254564035548E-4</v>
      </c>
      <c r="AK110" s="541">
        <f t="shared" ca="1" si="43"/>
        <v>4.0483254564035548E-4</v>
      </c>
      <c r="AL110" s="541">
        <f t="shared" ca="1" si="44"/>
        <v>4.4197716931290135E-4</v>
      </c>
      <c r="AM110" s="541">
        <f t="shared" ca="1" si="45"/>
        <v>4.4197716931290135E-4</v>
      </c>
      <c r="AN110" s="541">
        <f t="shared" ca="1" si="46"/>
        <v>8.4781518362787639E-4</v>
      </c>
      <c r="AO110" s="541">
        <f t="shared" ca="1" si="47"/>
        <v>8.4781518362787639E-4</v>
      </c>
      <c r="AP110" s="541">
        <f t="shared" ca="1" si="48"/>
        <v>4.853940993227732E-4</v>
      </c>
      <c r="AQ110" s="541">
        <f t="shared" ca="1" si="49"/>
        <v>4.853940993227732E-4</v>
      </c>
      <c r="AR110" s="810"/>
      <c r="AS110" s="810" t="s">
        <v>249</v>
      </c>
      <c r="AT110" s="506">
        <f ca="1">AJ111/SUM($C40:$C59)</f>
        <v>0.26844665075498508</v>
      </c>
      <c r="AU110" s="506">
        <f ca="1">AK111/SUM($C40:$C59)</f>
        <v>0.46432260942655718</v>
      </c>
      <c r="AV110" s="506">
        <f ca="1">AL111/SUM($C60:$C79)</f>
        <v>0.26844665075498519</v>
      </c>
      <c r="AW110" s="506">
        <f ca="1">AM111/SUM($C60:$C79)</f>
        <v>0.46432260942655745</v>
      </c>
      <c r="AX110" s="506">
        <f ca="1">AN111/SUM($J40:$J59)</f>
        <v>-3.3507770065205132E-2</v>
      </c>
      <c r="AY110" s="506">
        <f ca="1">AO111/SUM($J40:$J59)</f>
        <v>-4.9141296419358049E-2</v>
      </c>
      <c r="AZ110" s="506">
        <f ca="1">AP111/SUM($J60:$J79)</f>
        <v>-3.3669634952624747E-2</v>
      </c>
      <c r="BA110" s="506">
        <f ca="1">AQ111/SUM($J60:$J79)</f>
        <v>-4.9303161306777643E-2</v>
      </c>
      <c r="BB110" s="506"/>
      <c r="BC110" s="506"/>
      <c r="BD110" s="506"/>
      <c r="BE110" s="506"/>
    </row>
    <row r="111" spans="1:57" ht="15.75" thickTop="1" x14ac:dyDescent="0.25">
      <c r="K111" s="244" t="s">
        <v>784</v>
      </c>
      <c r="L111" s="137">
        <f ca="1">SUM(L91:L110)</f>
        <v>0.28499300279140322</v>
      </c>
      <c r="M111" s="137">
        <f ca="1">SUM(M91:M110)</f>
        <v>0.49237787323653115</v>
      </c>
      <c r="N111" s="540" t="s">
        <v>336</v>
      </c>
      <c r="O111" s="137">
        <f ca="1">SUM(O91:O110)</f>
        <v>0.31114198204713678</v>
      </c>
      <c r="P111" s="137">
        <f ca="1">SUM(P91:P110)</f>
        <v>0.53755504835008316</v>
      </c>
      <c r="Q111" s="540" t="s">
        <v>336</v>
      </c>
      <c r="R111" s="137">
        <f ca="1">SUM(R91:R110)</f>
        <v>1.4369063232913071E-3</v>
      </c>
      <c r="S111" s="137">
        <f ca="1">SUM(S91:S110)</f>
        <v>1.9209937761441756E-3</v>
      </c>
      <c r="T111" s="540" t="s">
        <v>336</v>
      </c>
      <c r="U111" s="137">
        <f ca="1">SUM(U91:U110)</f>
        <v>1.5687468712070689E-3</v>
      </c>
      <c r="V111" s="137">
        <f ca="1">SUM(V91:V110)</f>
        <v>2.0972508277587163E-3</v>
      </c>
      <c r="W111" s="540" t="s">
        <v>336</v>
      </c>
      <c r="X111" s="137">
        <f ca="1">SUM(X91:X110)</f>
        <v>4.3064620390005741E-2</v>
      </c>
      <c r="Y111" s="137">
        <f ca="1">SUM(Y91:Y110)</f>
        <v>4.9276868082972221E-2</v>
      </c>
      <c r="Z111" s="540" t="s">
        <v>336</v>
      </c>
      <c r="AA111" s="137">
        <f ca="1">SUM(AA91:AA110)</f>
        <v>2.8775911485041522E-2</v>
      </c>
      <c r="AB111" s="137">
        <f ca="1">SUM(AB91:AB110)</f>
        <v>3.2926954455280807E-2</v>
      </c>
      <c r="AC111" s="540" t="s">
        <v>336</v>
      </c>
      <c r="AD111" s="137">
        <f ca="1">SUM(AD91:AD110)</f>
        <v>0.10788174012273673</v>
      </c>
      <c r="AE111" s="137">
        <f ca="1">SUM(AE91:AE110)</f>
        <v>0.14433533624235295</v>
      </c>
      <c r="AF111" s="540" t="s">
        <v>336</v>
      </c>
      <c r="AG111" s="137">
        <f ca="1">SUM(AG91:AG110)</f>
        <v>7.2296130797686722E-2</v>
      </c>
      <c r="AH111" s="137">
        <f ca="1">SUM(AH91:AH110)</f>
        <v>9.6654535579839967E-2</v>
      </c>
      <c r="AI111" s="540" t="s">
        <v>336</v>
      </c>
      <c r="AJ111" s="506">
        <f t="shared" ref="AJ111:AQ111" ca="1" si="81">SUM(AJ91:AJ110)</f>
        <v>0.28355609646811192</v>
      </c>
      <c r="AK111" s="506">
        <f t="shared" ca="1" si="81"/>
        <v>0.49045687946038691</v>
      </c>
      <c r="AL111" s="506">
        <f t="shared" ca="1" si="81"/>
        <v>0.30957323517592972</v>
      </c>
      <c r="AM111" s="506">
        <f t="shared" ca="1" si="81"/>
        <v>0.53545779752232459</v>
      </c>
      <c r="AN111" s="506">
        <f t="shared" ca="1" si="81"/>
        <v>-6.4817119732730966E-2</v>
      </c>
      <c r="AO111" s="506">
        <f t="shared" ca="1" si="81"/>
        <v>-9.5058468159380766E-2</v>
      </c>
      <c r="AP111" s="506">
        <f t="shared" ca="1" si="81"/>
        <v>-4.35202193126452E-2</v>
      </c>
      <c r="AQ111" s="506">
        <f t="shared" ca="1" si="81"/>
        <v>-6.372758112455916E-2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0.59312933164404158</v>
      </c>
      <c r="AK113" s="506">
        <f ca="1">AK111+AM111</f>
        <v>1.0259146769827114</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82">C32</f>
        <v>1.0562847242483104</v>
      </c>
      <c r="D119" s="539">
        <f t="shared" ca="1" si="82"/>
        <v>1.0562847242483104</v>
      </c>
      <c r="E119" s="539">
        <f t="shared" ca="1" si="82"/>
        <v>1.0562847242483104</v>
      </c>
      <c r="F119" s="539" t="s">
        <v>336</v>
      </c>
      <c r="G119" s="539">
        <f ca="1">G32</f>
        <v>1.0562847242483104</v>
      </c>
      <c r="H119" s="539">
        <f ca="1">H32</f>
        <v>1.0562847242483104</v>
      </c>
      <c r="I119" s="539" t="s">
        <v>336</v>
      </c>
      <c r="J119" s="539">
        <f t="shared" ref="J119:L120" ca="1" si="83">J32</f>
        <v>1.9343907280788533</v>
      </c>
      <c r="K119" s="539">
        <f t="shared" ca="1" si="83"/>
        <v>1.9343907280788533</v>
      </c>
      <c r="L119" s="539">
        <f t="shared" ca="1" si="83"/>
        <v>1.9343907280788533</v>
      </c>
      <c r="M119" s="539" t="s">
        <v>336</v>
      </c>
      <c r="N119" s="539">
        <f ca="1">N32</f>
        <v>1.9343907280788533</v>
      </c>
      <c r="O119" s="539">
        <f ca="1">O32</f>
        <v>1.9343907280788533</v>
      </c>
      <c r="P119" s="539" t="s">
        <v>336</v>
      </c>
    </row>
    <row r="120" spans="1:39" x14ac:dyDescent="0.25">
      <c r="A120" s="812" t="s">
        <v>101</v>
      </c>
      <c r="B120" s="812" t="s">
        <v>754</v>
      </c>
      <c r="C120" s="539">
        <f t="shared" ca="1" si="82"/>
        <v>1.1532020768569076</v>
      </c>
      <c r="D120" s="539">
        <f t="shared" ca="1" si="82"/>
        <v>1.1532020768569076</v>
      </c>
      <c r="E120" s="539">
        <f t="shared" ca="1" si="82"/>
        <v>1.1532020768569076</v>
      </c>
      <c r="F120" s="539" t="s">
        <v>336</v>
      </c>
      <c r="G120" s="539">
        <f ca="1">G33</f>
        <v>1.1532020768569076</v>
      </c>
      <c r="H120" s="539">
        <f ca="1">H33</f>
        <v>1.1532020768569076</v>
      </c>
      <c r="I120" s="539" t="s">
        <v>336</v>
      </c>
      <c r="J120" s="539">
        <f t="shared" ca="1" si="83"/>
        <v>1.2925658200298529</v>
      </c>
      <c r="K120" s="539">
        <f t="shared" ca="1" si="83"/>
        <v>1.2925658200298529</v>
      </c>
      <c r="L120" s="539">
        <f t="shared" ca="1" si="83"/>
        <v>1.2925658200298529</v>
      </c>
      <c r="M120" s="539" t="s">
        <v>336</v>
      </c>
      <c r="N120" s="539">
        <f ca="1">N33</f>
        <v>1.2925658200298529</v>
      </c>
      <c r="O120" s="539">
        <f ca="1">O33</f>
        <v>1.2925658200298529</v>
      </c>
      <c r="P120" s="539" t="s">
        <v>336</v>
      </c>
    </row>
    <row r="121" spans="1:39" x14ac:dyDescent="0.25">
      <c r="A121" s="813" t="s">
        <v>101</v>
      </c>
      <c r="B121" s="813" t="s">
        <v>792</v>
      </c>
      <c r="C121" s="535">
        <f ca="1">IFERROR(C122-SUM(C119:C120),"-")</f>
        <v>0.59713710444738322</v>
      </c>
      <c r="D121" s="535">
        <f ca="1">IFERROR(D122-SUM(D119:D120),"-")</f>
        <v>0.59713710444738322</v>
      </c>
      <c r="E121" s="535">
        <f ca="1">IFERROR(E122-SUM(E119:E120),"-")</f>
        <v>0.59713710444738322</v>
      </c>
      <c r="F121" s="535" t="s">
        <v>336</v>
      </c>
      <c r="G121" s="535">
        <f ca="1">IFERROR(G122-SUM(G119:G120),"-")</f>
        <v>0.59713710444738322</v>
      </c>
      <c r="H121" s="535">
        <f ca="1">IFERROR(H122-SUM(H119:H120),"-")</f>
        <v>0.59713710444738322</v>
      </c>
      <c r="I121" s="535" t="s">
        <v>336</v>
      </c>
      <c r="J121" s="535">
        <f ca="1">IFERROR(J122-SUM(J119:J120),"-")</f>
        <v>1.0935465142288017</v>
      </c>
      <c r="K121" s="535">
        <f ca="1">IFERROR(K122-SUM(K119:K120),"-")</f>
        <v>1.0935465142288017</v>
      </c>
      <c r="L121" s="535">
        <f ca="1">IFERROR(L122-SUM(L119:L120),"-")</f>
        <v>1.0935465142288017</v>
      </c>
      <c r="M121" s="535" t="s">
        <v>336</v>
      </c>
      <c r="N121" s="535">
        <f ca="1">IFERROR(N122-SUM(N119:N120),"-")</f>
        <v>1.0935465142288017</v>
      </c>
      <c r="O121" s="535">
        <f ca="1">IFERROR(O122-SUM(O119:O120),"-")</f>
        <v>1.0935465142288017</v>
      </c>
      <c r="P121" s="535" t="s">
        <v>336</v>
      </c>
    </row>
    <row r="122" spans="1:39" x14ac:dyDescent="0.25">
      <c r="A122" s="348" t="s">
        <v>101</v>
      </c>
      <c r="B122" s="348" t="s">
        <v>793</v>
      </c>
      <c r="C122" s="534">
        <f ca="1">C26</f>
        <v>2.806623905552601</v>
      </c>
      <c r="D122" s="534">
        <f ca="1">D26</f>
        <v>2.806623905552601</v>
      </c>
      <c r="E122" s="534">
        <f ca="1">E26</f>
        <v>2.806623905552601</v>
      </c>
      <c r="F122" s="534" t="s">
        <v>336</v>
      </c>
      <c r="G122" s="534">
        <f ca="1">G26</f>
        <v>2.806623905552601</v>
      </c>
      <c r="H122" s="534">
        <f ca="1">H26</f>
        <v>2.806623905552601</v>
      </c>
      <c r="I122" s="534" t="s">
        <v>336</v>
      </c>
      <c r="J122" s="534">
        <f ca="1">J26</f>
        <v>4.320503062337508</v>
      </c>
      <c r="K122" s="534">
        <f ca="1">K26</f>
        <v>4.320503062337508</v>
      </c>
      <c r="L122" s="534">
        <f ca="1">L26</f>
        <v>4.320503062337508</v>
      </c>
      <c r="M122" s="534" t="s">
        <v>336</v>
      </c>
      <c r="N122" s="534">
        <f ca="1">N26</f>
        <v>4.320503062337508</v>
      </c>
      <c r="O122" s="534">
        <f ca="1">O26</f>
        <v>4.320503062337508</v>
      </c>
      <c r="P122" s="534" t="s">
        <v>336</v>
      </c>
    </row>
    <row r="123" spans="1:39" x14ac:dyDescent="0.25">
      <c r="A123" s="812" t="s">
        <v>722</v>
      </c>
      <c r="B123" s="812" t="s">
        <v>752</v>
      </c>
      <c r="C123" s="133">
        <f ca="1">C119</f>
        <v>1.0562847242483104</v>
      </c>
      <c r="D123" s="537">
        <f ca="1">D119-L$111+R$111</f>
        <v>0.77272862778019857</v>
      </c>
      <c r="E123" s="537">
        <f ca="1">E119-M$111+S$111</f>
        <v>0.56582784478792347</v>
      </c>
      <c r="F123" s="538" t="s">
        <v>336</v>
      </c>
      <c r="G123" s="521">
        <f ca="1">G119</f>
        <v>1.0562847242483104</v>
      </c>
      <c r="H123" s="521">
        <f ca="1">H119</f>
        <v>1.0562847242483104</v>
      </c>
      <c r="I123" s="538" t="s">
        <v>336</v>
      </c>
      <c r="J123" s="133">
        <f ca="1">J119</f>
        <v>1.9343907280788533</v>
      </c>
      <c r="K123" s="537">
        <f ca="1">K119-X$111+AD$111</f>
        <v>1.9992078478115842</v>
      </c>
      <c r="L123" s="537">
        <f ca="1">L119-Y$111+AE$111</f>
        <v>2.0294491962382342</v>
      </c>
      <c r="M123" s="538" t="s">
        <v>336</v>
      </c>
      <c r="N123" s="521">
        <f ca="1">N119</f>
        <v>1.9343907280788533</v>
      </c>
      <c r="O123" s="521">
        <f ca="1">O119</f>
        <v>1.9343907280788533</v>
      </c>
      <c r="P123" s="538" t="s">
        <v>336</v>
      </c>
    </row>
    <row r="124" spans="1:39" x14ac:dyDescent="0.25">
      <c r="A124" s="812" t="s">
        <v>722</v>
      </c>
      <c r="B124" s="812" t="s">
        <v>754</v>
      </c>
      <c r="C124" s="133">
        <f ca="1">C120</f>
        <v>1.1532020768569076</v>
      </c>
      <c r="D124" s="521">
        <f ca="1">D120</f>
        <v>1.1532020768569076</v>
      </c>
      <c r="E124" s="521">
        <f ca="1">E120</f>
        <v>1.1532020768569076</v>
      </c>
      <c r="F124" s="536" t="s">
        <v>336</v>
      </c>
      <c r="G124" s="537">
        <f ca="1">G120-O$111+U$111</f>
        <v>0.84362884168097785</v>
      </c>
      <c r="H124" s="537">
        <f ca="1">H120-P$111+V$111</f>
        <v>0.61774427933458309</v>
      </c>
      <c r="I124" s="536" t="s">
        <v>336</v>
      </c>
      <c r="J124" s="133">
        <f ca="1">J120</f>
        <v>1.2925658200298529</v>
      </c>
      <c r="K124" s="521">
        <f ca="1">K120</f>
        <v>1.2925658200298529</v>
      </c>
      <c r="L124" s="521">
        <f ca="1">L120</f>
        <v>1.2925658200298529</v>
      </c>
      <c r="M124" s="536" t="s">
        <v>336</v>
      </c>
      <c r="N124" s="537">
        <f ca="1">N120-AA$111+AG$111</f>
        <v>1.3360860393424983</v>
      </c>
      <c r="O124" s="537">
        <f ca="1">O120-AB$111+AH$111</f>
        <v>1.3562934011544121</v>
      </c>
      <c r="P124" s="536" t="s">
        <v>336</v>
      </c>
    </row>
    <row r="125" spans="1:39" x14ac:dyDescent="0.25">
      <c r="A125" s="813" t="s">
        <v>722</v>
      </c>
      <c r="B125" s="813" t="s">
        <v>792</v>
      </c>
      <c r="C125" s="527">
        <f ca="1">C121</f>
        <v>0.59713710444738322</v>
      </c>
      <c r="D125" s="527">
        <f ca="1">D121</f>
        <v>0.59713710444738322</v>
      </c>
      <c r="E125" s="527">
        <f ca="1">E121</f>
        <v>0.59713710444738322</v>
      </c>
      <c r="F125" s="535" t="s">
        <v>336</v>
      </c>
      <c r="G125" s="527">
        <f ca="1">G121</f>
        <v>0.59713710444738322</v>
      </c>
      <c r="H125" s="527">
        <f ca="1">H121</f>
        <v>0.59713710444738322</v>
      </c>
      <c r="I125" s="535" t="s">
        <v>336</v>
      </c>
      <c r="J125" s="527">
        <f ca="1">J121</f>
        <v>1.0935465142288017</v>
      </c>
      <c r="K125" s="527">
        <f ca="1">K121</f>
        <v>1.0935465142288017</v>
      </c>
      <c r="L125" s="527">
        <f ca="1">L121</f>
        <v>1.0935465142288017</v>
      </c>
      <c r="M125" s="535" t="s">
        <v>336</v>
      </c>
      <c r="N125" s="527">
        <f ca="1">N121</f>
        <v>1.0935465142288017</v>
      </c>
      <c r="O125" s="527">
        <f ca="1">O121</f>
        <v>1.0935465142288017</v>
      </c>
      <c r="P125" s="535" t="s">
        <v>336</v>
      </c>
    </row>
    <row r="126" spans="1:39" x14ac:dyDescent="0.25">
      <c r="A126" s="348" t="s">
        <v>722</v>
      </c>
      <c r="B126" s="348" t="s">
        <v>793</v>
      </c>
      <c r="C126" s="466">
        <f ca="1">SUM(C123:C125)</f>
        <v>2.806623905552601</v>
      </c>
      <c r="D126" s="466">
        <f ca="1">SUM(D123:D125)</f>
        <v>2.5230678090844894</v>
      </c>
      <c r="E126" s="466">
        <f ca="1">SUM(E123:E125)</f>
        <v>2.3161670260922143</v>
      </c>
      <c r="F126" s="534" t="s">
        <v>336</v>
      </c>
      <c r="G126" s="466">
        <f ca="1">SUM(G123:G125)</f>
        <v>2.4970506703766713</v>
      </c>
      <c r="H126" s="466">
        <f ca="1">SUM(H123:H125)</f>
        <v>2.2711661080302767</v>
      </c>
      <c r="I126" s="534" t="s">
        <v>336</v>
      </c>
      <c r="J126" s="466">
        <f ca="1">SUM(J123:J125)</f>
        <v>4.320503062337508</v>
      </c>
      <c r="K126" s="466">
        <f ca="1">SUM(K123:K125)</f>
        <v>4.385320182070239</v>
      </c>
      <c r="L126" s="466">
        <f ca="1">SUM(L123:L125)</f>
        <v>4.4155615304968885</v>
      </c>
      <c r="M126" s="534" t="s">
        <v>336</v>
      </c>
      <c r="N126" s="466">
        <f ca="1">SUM(N123:N125)</f>
        <v>4.3640232816501534</v>
      </c>
      <c r="O126" s="466">
        <f ca="1">SUM(O123:O125)</f>
        <v>4.3842306434620673</v>
      </c>
      <c r="P126" s="534" t="s">
        <v>336</v>
      </c>
    </row>
    <row r="127" spans="1:39" x14ac:dyDescent="0.25">
      <c r="A127" s="363" t="s">
        <v>794</v>
      </c>
      <c r="B127" s="363" t="s">
        <v>793</v>
      </c>
      <c r="C127" s="532">
        <f ca="1">C122-C126</f>
        <v>0</v>
      </c>
      <c r="D127" s="532">
        <f ca="1">D122-D126</f>
        <v>0.28355609646811164</v>
      </c>
      <c r="E127" s="532">
        <f ca="1">E122-E126</f>
        <v>0.49045687946038674</v>
      </c>
      <c r="F127" s="533" t="s">
        <v>336</v>
      </c>
      <c r="G127" s="532">
        <f ca="1">G122-G126</f>
        <v>0.30957323517592972</v>
      </c>
      <c r="H127" s="532">
        <f ca="1">H122-H126</f>
        <v>0.53545779752232425</v>
      </c>
      <c r="I127" s="533" t="s">
        <v>336</v>
      </c>
      <c r="J127" s="532">
        <f ca="1">J122-J126</f>
        <v>0</v>
      </c>
      <c r="K127" s="532">
        <f ca="1">K122-K126</f>
        <v>-6.4817119732730966E-2</v>
      </c>
      <c r="L127" s="532">
        <f ca="1">L122-L126</f>
        <v>-9.505846815938046E-2</v>
      </c>
      <c r="M127" s="533" t="s">
        <v>336</v>
      </c>
      <c r="N127" s="532">
        <f ca="1">N122-N126</f>
        <v>-4.3520219312645381E-2</v>
      </c>
      <c r="O127" s="532">
        <f ca="1">O122-O126</f>
        <v>-6.3727581124559229E-2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T89:AW89"/>
    <mergeCell ref="AX89:BA89"/>
    <mergeCell ref="BB89:BE89"/>
    <mergeCell ref="A116:P116"/>
    <mergeCell ref="C117:I117"/>
    <mergeCell ref="J117:P117"/>
    <mergeCell ref="AJ89:AM89"/>
    <mergeCell ref="AN89:AQ89"/>
    <mergeCell ref="B83:I83"/>
    <mergeCell ref="L83:AI83"/>
    <mergeCell ref="J89:K89"/>
    <mergeCell ref="L89:Q89"/>
    <mergeCell ref="R89:W89"/>
    <mergeCell ref="X89:AC89"/>
    <mergeCell ref="AD89:AI89"/>
    <mergeCell ref="D88:H88"/>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EA42-5009-42E0-BFC8-1FB19EAB341E}">
  <sheetPr>
    <tabColor theme="9" tint="0.59999389629810485"/>
    <pageSetUpPr fitToPage="1"/>
  </sheetPr>
  <dimension ref="A1:BE132"/>
  <sheetViews>
    <sheetView zoomScale="84" zoomScaleNormal="84" workbookViewId="0">
      <pane ySplit="2" topLeftCell="A30" activePane="bottomLeft" state="frozen"/>
      <selection sqref="A1:BF1"/>
      <selection pane="bottomLeft" sqref="A1:W1"/>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28" t="str">
        <f>"CALCULATION OF "&amp;$B$2&amp;" FNSB CURTAILMENT PROGRAM BENEFITS -- TWO-STAGE PROGRAM, INCLUDING REGISTRATION EFFECTS ON COMPLIANCE AND WAIVERS"</f>
        <v>CALCULATION OF 2019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2019</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2019 Baseline NA Area PM2.5 Emissions (tpd) by Curtailment Regime</v>
      </c>
      <c r="D4" s="840"/>
      <c r="E4" s="840"/>
      <c r="F4" s="840"/>
      <c r="G4" s="840"/>
      <c r="H4" s="840"/>
      <c r="I4" s="840"/>
      <c r="J4" s="840" t="str">
        <f>$B$2&amp;" Baseline NA Area SO2 Emissions (tpd) by Curtailment Regime"</f>
        <v>2019 Baseline NA Area SO2 Emissions (tpd) by Curtailment Regime</v>
      </c>
      <c r="K4" s="840"/>
      <c r="L4" s="840"/>
      <c r="M4" s="840"/>
      <c r="N4" s="840"/>
      <c r="O4" s="840"/>
      <c r="P4" s="840"/>
      <c r="Q4" s="840" t="str">
        <f>$B$2&amp;" Baseline NA Area Energy Use (mmBTU) by Curtailment Regime"</f>
        <v>2019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0.61940720499595081</v>
      </c>
      <c r="D6" s="133">
        <f ca="1">INDIRECT("'DevSumOut-"&amp;$B$2&amp;"BSR'!R50")</f>
        <v>0.61940720499595081</v>
      </c>
      <c r="E6" s="133">
        <f ca="1">INDIRECT("'DevSumOut-"&amp;$B$2&amp;"BSR'!R50")</f>
        <v>0.61940720499595081</v>
      </c>
      <c r="F6" s="551" t="s">
        <v>336</v>
      </c>
      <c r="G6" s="133">
        <f ca="1">INDIRECT("'DevSumOut-"&amp;$B$2&amp;"BSR'!R50")</f>
        <v>0.61940720499595081</v>
      </c>
      <c r="H6" s="133">
        <f ca="1">INDIRECT("'DevSumOut-"&amp;$B$2&amp;"BSR'!R50")</f>
        <v>0.61940720499595081</v>
      </c>
      <c r="I6" s="551" t="s">
        <v>336</v>
      </c>
      <c r="J6" s="133">
        <f ca="1">INDIRECT("'DevSumOut-"&amp;$B$2&amp;"BSR'!P50")</f>
        <v>7.1607769363693716E-3</v>
      </c>
      <c r="K6" s="133">
        <f ca="1">INDIRECT("'DevSumOut-"&amp;$B$2&amp;"BSR'!P50")</f>
        <v>7.1607769363693716E-3</v>
      </c>
      <c r="L6" s="133">
        <f ca="1">INDIRECT("'DevSumOut-"&amp;$B$2&amp;"BSR'!P50")</f>
        <v>7.1607769363693716E-3</v>
      </c>
      <c r="M6" s="551" t="s">
        <v>336</v>
      </c>
      <c r="N6" s="133">
        <f ca="1">INDIRECT("'DevSumOut-"&amp;$B$2&amp;"BSR'!P50")</f>
        <v>7.1607769363693716E-3</v>
      </c>
      <c r="O6" s="133">
        <f ca="1">INDIRECT("'DevSumOut-"&amp;$B$2&amp;"BSR'!P50")</f>
        <v>7.1607769363693716E-3</v>
      </c>
      <c r="P6" s="551" t="s">
        <v>336</v>
      </c>
      <c r="Q6" s="45">
        <f ca="1">INDIRECT("'DevSumOut-"&amp;$B$2&amp;"BSR'!U50")</f>
        <v>574.93854120143794</v>
      </c>
      <c r="R6" s="45">
        <f ca="1">INDIRECT("'DevSumOut-"&amp;$B$2&amp;"BSR'!U50")</f>
        <v>574.93854120143794</v>
      </c>
      <c r="S6" s="45">
        <f ca="1">INDIRECT("'DevSumOut-"&amp;$B$2&amp;"BSR'!U50")</f>
        <v>574.93854120143794</v>
      </c>
      <c r="T6" s="581" t="s">
        <v>336</v>
      </c>
      <c r="U6" s="45">
        <f ca="1">INDIRECT("'DevSumOut-"&amp;$B$2&amp;"BSR'!U50")</f>
        <v>574.93854120143794</v>
      </c>
      <c r="V6" s="45">
        <f ca="1">INDIRECT("'DevSumOut-"&amp;$B$2&amp;"BSR'!U50")</f>
        <v>574.93854120143794</v>
      </c>
      <c r="W6" s="581" t="s">
        <v>336</v>
      </c>
      <c r="X6" s="133">
        <f t="shared" ref="X6:Z22" ca="1" si="0">C6*2000/Q6</f>
        <v>2.1546901472341289</v>
      </c>
      <c r="Y6" s="133">
        <f t="shared" ca="1" si="0"/>
        <v>2.1546901472341289</v>
      </c>
      <c r="Z6" s="133">
        <f t="shared" ca="1" si="0"/>
        <v>2.1546901472341289</v>
      </c>
      <c r="AA6" s="133"/>
      <c r="AB6" s="133">
        <f t="shared" ref="AB6:AC22" ca="1" si="1">G6*2000/U6</f>
        <v>2.1546901472341289</v>
      </c>
      <c r="AC6" s="133">
        <f t="shared" ca="1" si="1"/>
        <v>2.1546901472341289</v>
      </c>
    </row>
    <row r="7" spans="1:29" x14ac:dyDescent="0.25">
      <c r="A7" s="812">
        <v>2104008210</v>
      </c>
      <c r="B7" s="812" t="s">
        <v>138</v>
      </c>
      <c r="C7" s="133">
        <f ca="1">INDIRECT("'DevSumOut-"&amp;$B$2&amp;"BSR'!R51")</f>
        <v>4.8342212751912826E-2</v>
      </c>
      <c r="D7" s="133">
        <f ca="1">INDIRECT("'DevSumOut-"&amp;$B$2&amp;"BSR'!R51")</f>
        <v>4.8342212751912826E-2</v>
      </c>
      <c r="E7" s="133">
        <f ca="1">INDIRECT("'DevSumOut-"&amp;$B$2&amp;"BSR'!R51")</f>
        <v>4.8342212751912826E-2</v>
      </c>
      <c r="F7" s="551" t="s">
        <v>336</v>
      </c>
      <c r="G7" s="133">
        <f ca="1">INDIRECT("'DevSumOut-"&amp;$B$2&amp;"BSR'!R51")</f>
        <v>4.8342212751912826E-2</v>
      </c>
      <c r="H7" s="133">
        <f ca="1">INDIRECT("'DevSumOut-"&amp;$B$2&amp;"BSR'!R51")</f>
        <v>4.8342212751912826E-2</v>
      </c>
      <c r="I7" s="551" t="s">
        <v>336</v>
      </c>
      <c r="J7" s="133">
        <f ca="1">INDIRECT("'DevSumOut-"&amp;$B$2&amp;"BSR'!P51")</f>
        <v>6.3192434969820688E-4</v>
      </c>
      <c r="K7" s="133">
        <f ca="1">INDIRECT("'DevSumOut-"&amp;$B$2&amp;"BSR'!P51")</f>
        <v>6.3192434969820688E-4</v>
      </c>
      <c r="L7" s="133">
        <f ca="1">INDIRECT("'DevSumOut-"&amp;$B$2&amp;"BSR'!P51")</f>
        <v>6.3192434969820688E-4</v>
      </c>
      <c r="M7" s="551" t="s">
        <v>336</v>
      </c>
      <c r="N7" s="133">
        <f ca="1">INDIRECT("'DevSumOut-"&amp;$B$2&amp;"BSR'!P51")</f>
        <v>6.3192434969820688E-4</v>
      </c>
      <c r="O7" s="133">
        <f ca="1">INDIRECT("'DevSumOut-"&amp;$B$2&amp;"BSR'!P51")</f>
        <v>6.3192434969820688E-4</v>
      </c>
      <c r="P7" s="551" t="s">
        <v>336</v>
      </c>
      <c r="Q7" s="45">
        <f ca="1">INDIRECT("'DevSumOut-"&amp;$B$2&amp;"BSR'!U51")</f>
        <v>50.728145534738047</v>
      </c>
      <c r="R7" s="45">
        <f ca="1">INDIRECT("'DevSumOut-"&amp;$B$2&amp;"BSR'!U51")</f>
        <v>50.728145534738047</v>
      </c>
      <c r="S7" s="45">
        <f ca="1">INDIRECT("'DevSumOut-"&amp;$B$2&amp;"BSR'!U51")</f>
        <v>50.728145534738047</v>
      </c>
      <c r="T7" s="581" t="s">
        <v>336</v>
      </c>
      <c r="U7" s="45">
        <f ca="1">INDIRECT("'DevSumOut-"&amp;$B$2&amp;"BSR'!U51")</f>
        <v>50.728145534738047</v>
      </c>
      <c r="V7" s="45">
        <f ca="1">INDIRECT("'DevSumOut-"&amp;$B$2&amp;"BSR'!U51")</f>
        <v>50.728145534738047</v>
      </c>
      <c r="W7" s="581" t="s">
        <v>336</v>
      </c>
      <c r="X7" s="133">
        <f t="shared" ca="1" si="0"/>
        <v>1.905932584064546</v>
      </c>
      <c r="Y7" s="133">
        <f t="shared" ca="1" si="0"/>
        <v>1.905932584064546</v>
      </c>
      <c r="Z7" s="133">
        <f t="shared" ca="1" si="0"/>
        <v>1.905932584064546</v>
      </c>
      <c r="AA7" s="133"/>
      <c r="AB7" s="133">
        <f t="shared" ca="1" si="1"/>
        <v>1.905932584064546</v>
      </c>
      <c r="AC7" s="133">
        <f t="shared" ca="1" si="1"/>
        <v>1.905932584064546</v>
      </c>
    </row>
    <row r="8" spans="1:29" x14ac:dyDescent="0.25">
      <c r="A8" s="812">
        <v>2104008220</v>
      </c>
      <c r="B8" s="812" t="s">
        <v>139</v>
      </c>
      <c r="C8" s="133">
        <f ca="1">INDIRECT("'DevSumOut-"&amp;$B$2&amp;"BSR'!R52")</f>
        <v>3.9913914924064896E-2</v>
      </c>
      <c r="D8" s="133">
        <f ca="1">INDIRECT("'DevSumOut-"&amp;$B$2&amp;"BSR'!R52")</f>
        <v>3.9913914924064896E-2</v>
      </c>
      <c r="E8" s="133">
        <f ca="1">INDIRECT("'DevSumOut-"&amp;$B$2&amp;"BSR'!R52")</f>
        <v>3.9913914924064896E-2</v>
      </c>
      <c r="F8" s="551" t="s">
        <v>336</v>
      </c>
      <c r="G8" s="133">
        <f ca="1">INDIRECT("'DevSumOut-"&amp;$B$2&amp;"BSR'!R52")</f>
        <v>3.9913914924064896E-2</v>
      </c>
      <c r="H8" s="133">
        <f ca="1">INDIRECT("'DevSumOut-"&amp;$B$2&amp;"BSR'!R52")</f>
        <v>3.9913914924064896E-2</v>
      </c>
      <c r="I8" s="551" t="s">
        <v>336</v>
      </c>
      <c r="J8" s="133">
        <f ca="1">INDIRECT("'DevSumOut-"&amp;$B$2&amp;"BSR'!P52")</f>
        <v>1.3304638308021637E-3</v>
      </c>
      <c r="K8" s="133">
        <f ca="1">INDIRECT("'DevSumOut-"&amp;$B$2&amp;"BSR'!P52")</f>
        <v>1.3304638308021637E-3</v>
      </c>
      <c r="L8" s="133">
        <f ca="1">INDIRECT("'DevSumOut-"&amp;$B$2&amp;"BSR'!P52")</f>
        <v>1.3304638308021637E-3</v>
      </c>
      <c r="M8" s="551" t="s">
        <v>336</v>
      </c>
      <c r="N8" s="133">
        <f ca="1">INDIRECT("'DevSumOut-"&amp;$B$2&amp;"BSR'!P52")</f>
        <v>1.3304638308021637E-3</v>
      </c>
      <c r="O8" s="133">
        <f ca="1">INDIRECT("'DevSumOut-"&amp;$B$2&amp;"BSR'!P52")</f>
        <v>1.3304638308021637E-3</v>
      </c>
      <c r="P8" s="551" t="s">
        <v>336</v>
      </c>
      <c r="Q8" s="45">
        <f ca="1">INDIRECT("'DevSumOut-"&amp;$B$2&amp;"BSR'!U52")</f>
        <v>106.80386484532512</v>
      </c>
      <c r="R8" s="45">
        <f ca="1">INDIRECT("'DevSumOut-"&amp;$B$2&amp;"BSR'!U52")</f>
        <v>106.80386484532512</v>
      </c>
      <c r="S8" s="45">
        <f ca="1">INDIRECT("'DevSumOut-"&amp;$B$2&amp;"BSR'!U52")</f>
        <v>106.80386484532512</v>
      </c>
      <c r="T8" s="581" t="s">
        <v>336</v>
      </c>
      <c r="U8" s="45">
        <f ca="1">INDIRECT("'DevSumOut-"&amp;$B$2&amp;"BSR'!U52")</f>
        <v>106.80386484532512</v>
      </c>
      <c r="V8" s="45">
        <f ca="1">INDIRECT("'DevSumOut-"&amp;$B$2&amp;"BSR'!U52")</f>
        <v>106.80386484532512</v>
      </c>
      <c r="W8" s="581" t="s">
        <v>336</v>
      </c>
      <c r="X8" s="133">
        <f t="shared" ca="1" si="0"/>
        <v>0.74742454277041004</v>
      </c>
      <c r="Y8" s="133">
        <f t="shared" ca="1" si="0"/>
        <v>0.74742454277041004</v>
      </c>
      <c r="Z8" s="133">
        <f t="shared" ca="1" si="0"/>
        <v>0.74742454277041004</v>
      </c>
      <c r="AA8" s="133"/>
      <c r="AB8" s="133">
        <f t="shared" ca="1" si="1"/>
        <v>0.74742454277041004</v>
      </c>
      <c r="AC8" s="133">
        <f t="shared" ca="1" si="1"/>
        <v>0.74742454277041004</v>
      </c>
    </row>
    <row r="9" spans="1:29" x14ac:dyDescent="0.25">
      <c r="A9" s="812">
        <v>2104008230</v>
      </c>
      <c r="B9" s="812" t="s">
        <v>140</v>
      </c>
      <c r="C9" s="133">
        <f ca="1">INDIRECT("'DevSumOut-"&amp;$B$2&amp;"BSR'!R53")</f>
        <v>2.6033690801683388E-2</v>
      </c>
      <c r="D9" s="133">
        <f ca="1">INDIRECT("'DevSumOut-"&amp;$B$2&amp;"BSR'!R53")</f>
        <v>2.6033690801683388E-2</v>
      </c>
      <c r="E9" s="133">
        <f ca="1">INDIRECT("'DevSumOut-"&amp;$B$2&amp;"BSR'!R53")</f>
        <v>2.6033690801683388E-2</v>
      </c>
      <c r="F9" s="551" t="s">
        <v>336</v>
      </c>
      <c r="G9" s="133">
        <f ca="1">INDIRECT("'DevSumOut-"&amp;$B$2&amp;"BSR'!R53")</f>
        <v>2.6033690801683388E-2</v>
      </c>
      <c r="H9" s="133">
        <f ca="1">INDIRECT("'DevSumOut-"&amp;$B$2&amp;"BSR'!R53")</f>
        <v>2.6033690801683388E-2</v>
      </c>
      <c r="I9" s="551" t="s">
        <v>336</v>
      </c>
      <c r="J9" s="133">
        <f ca="1">INDIRECT("'DevSumOut-"&amp;$B$2&amp;"BSR'!P53")</f>
        <v>8.0103664005179648E-4</v>
      </c>
      <c r="K9" s="133">
        <f ca="1">INDIRECT("'DevSumOut-"&amp;$B$2&amp;"BSR'!P53")</f>
        <v>8.0103664005179648E-4</v>
      </c>
      <c r="L9" s="133">
        <f ca="1">INDIRECT("'DevSumOut-"&amp;$B$2&amp;"BSR'!P53")</f>
        <v>8.0103664005179648E-4</v>
      </c>
      <c r="M9" s="551" t="s">
        <v>336</v>
      </c>
      <c r="N9" s="133">
        <f ca="1">INDIRECT("'DevSumOut-"&amp;$B$2&amp;"BSR'!P53")</f>
        <v>8.0103664005179648E-4</v>
      </c>
      <c r="O9" s="133">
        <f ca="1">INDIRECT("'DevSumOut-"&amp;$B$2&amp;"BSR'!P53")</f>
        <v>8.0103664005179648E-4</v>
      </c>
      <c r="P9" s="551" t="s">
        <v>336</v>
      </c>
      <c r="Q9" s="45">
        <f ca="1">INDIRECT("'DevSumOut-"&amp;$B$2&amp;"BSR'!U53")</f>
        <v>64.303746602914643</v>
      </c>
      <c r="R9" s="45">
        <f ca="1">INDIRECT("'DevSumOut-"&amp;$B$2&amp;"BSR'!U53")</f>
        <v>64.303746602914643</v>
      </c>
      <c r="S9" s="45">
        <f ca="1">INDIRECT("'DevSumOut-"&amp;$B$2&amp;"BSR'!U53")</f>
        <v>64.303746602914643</v>
      </c>
      <c r="T9" s="581" t="s">
        <v>336</v>
      </c>
      <c r="U9" s="45">
        <f ca="1">INDIRECT("'DevSumOut-"&amp;$B$2&amp;"BSR'!U53")</f>
        <v>64.303746602914643</v>
      </c>
      <c r="V9" s="45">
        <f ca="1">INDIRECT("'DevSumOut-"&amp;$B$2&amp;"BSR'!U53")</f>
        <v>64.303746602914643</v>
      </c>
      <c r="W9" s="581" t="s">
        <v>336</v>
      </c>
      <c r="X9" s="133">
        <f t="shared" ca="1" si="0"/>
        <v>0.80970992133461106</v>
      </c>
      <c r="Y9" s="133">
        <f t="shared" ca="1" si="0"/>
        <v>0.80970992133461106</v>
      </c>
      <c r="Z9" s="133">
        <f t="shared" ca="1" si="0"/>
        <v>0.80970992133461106</v>
      </c>
      <c r="AA9" s="133"/>
      <c r="AB9" s="133">
        <f t="shared" ca="1" si="1"/>
        <v>0.80970992133461106</v>
      </c>
      <c r="AC9" s="133">
        <f t="shared" ca="1" si="1"/>
        <v>0.80970992133461106</v>
      </c>
    </row>
    <row r="10" spans="1:29" x14ac:dyDescent="0.25">
      <c r="A10" s="812">
        <v>2104008310</v>
      </c>
      <c r="B10" s="812" t="s">
        <v>141</v>
      </c>
      <c r="C10" s="133">
        <f ca="1">INDIRECT("'DevSumOut-"&amp;$B$2&amp;"BSR'!R54")</f>
        <v>0.38928597450888475</v>
      </c>
      <c r="D10" s="133">
        <f ca="1">INDIRECT("'DevSumOut-"&amp;$B$2&amp;"BSR'!R54")</f>
        <v>0.38928597450888475</v>
      </c>
      <c r="E10" s="133">
        <f ca="1">INDIRECT("'DevSumOut-"&amp;$B$2&amp;"BSR'!R54")</f>
        <v>0.38928597450888475</v>
      </c>
      <c r="F10" s="551" t="s">
        <v>336</v>
      </c>
      <c r="G10" s="133">
        <f ca="1">INDIRECT("'DevSumOut-"&amp;$B$2&amp;"BSR'!R54")</f>
        <v>0.38928597450888475</v>
      </c>
      <c r="H10" s="133">
        <f ca="1">INDIRECT("'DevSumOut-"&amp;$B$2&amp;"BSR'!R54")</f>
        <v>0.38928597450888475</v>
      </c>
      <c r="I10" s="551" t="s">
        <v>336</v>
      </c>
      <c r="J10" s="133">
        <f ca="1">INDIRECT("'DevSumOut-"&amp;$B$2&amp;"BSR'!P54")</f>
        <v>1.2824412201731045E-2</v>
      </c>
      <c r="K10" s="133">
        <f ca="1">INDIRECT("'DevSumOut-"&amp;$B$2&amp;"BSR'!P54")</f>
        <v>1.2824412201731045E-2</v>
      </c>
      <c r="L10" s="133">
        <f ca="1">INDIRECT("'DevSumOut-"&amp;$B$2&amp;"BSR'!P54")</f>
        <v>1.2824412201731045E-2</v>
      </c>
      <c r="M10" s="551" t="s">
        <v>336</v>
      </c>
      <c r="N10" s="133">
        <f ca="1">INDIRECT("'DevSumOut-"&amp;$B$2&amp;"BSR'!P54")</f>
        <v>1.2824412201731045E-2</v>
      </c>
      <c r="O10" s="133">
        <f ca="1">INDIRECT("'DevSumOut-"&amp;$B$2&amp;"BSR'!P54")</f>
        <v>1.2824412201731045E-2</v>
      </c>
      <c r="P10" s="551" t="s">
        <v>336</v>
      </c>
      <c r="Q10" s="45">
        <f ca="1">INDIRECT("'DevSumOut-"&amp;$B$2&amp;"BSR'!U54")</f>
        <v>1029.4881798392089</v>
      </c>
      <c r="R10" s="45">
        <f ca="1">INDIRECT("'DevSumOut-"&amp;$B$2&amp;"BSR'!U54")</f>
        <v>1029.4881798392089</v>
      </c>
      <c r="S10" s="45">
        <f ca="1">INDIRECT("'DevSumOut-"&amp;$B$2&amp;"BSR'!U54")</f>
        <v>1029.4881798392089</v>
      </c>
      <c r="T10" s="581" t="s">
        <v>336</v>
      </c>
      <c r="U10" s="45">
        <f ca="1">INDIRECT("'DevSumOut-"&amp;$B$2&amp;"BSR'!U54")</f>
        <v>1029.4881798392089</v>
      </c>
      <c r="V10" s="45">
        <f ca="1">INDIRECT("'DevSumOut-"&amp;$B$2&amp;"BSR'!U54")</f>
        <v>1029.4881798392089</v>
      </c>
      <c r="W10" s="581" t="s">
        <v>336</v>
      </c>
      <c r="X10" s="133">
        <f t="shared" ca="1" si="0"/>
        <v>0.756270896805606</v>
      </c>
      <c r="Y10" s="133">
        <f t="shared" ca="1" si="0"/>
        <v>0.756270896805606</v>
      </c>
      <c r="Z10" s="133">
        <f t="shared" ca="1" si="0"/>
        <v>0.756270896805606</v>
      </c>
      <c r="AA10" s="133"/>
      <c r="AB10" s="133">
        <f t="shared" ca="1" si="1"/>
        <v>0.756270896805606</v>
      </c>
      <c r="AC10" s="133">
        <f t="shared" ca="1" si="1"/>
        <v>0.756270896805606</v>
      </c>
    </row>
    <row r="11" spans="1:29" x14ac:dyDescent="0.25">
      <c r="A11" s="812">
        <v>2104008320</v>
      </c>
      <c r="B11" s="812" t="s">
        <v>142</v>
      </c>
      <c r="C11" s="133">
        <f ca="1">INDIRECT("'DevSumOut-"&amp;$B$2&amp;"BSR'!R55")</f>
        <v>0.53496035071008197</v>
      </c>
      <c r="D11" s="133">
        <f ca="1">INDIRECT("'DevSumOut-"&amp;$B$2&amp;"BSR'!R55")</f>
        <v>0.53496035071008197</v>
      </c>
      <c r="E11" s="133">
        <f ca="1">INDIRECT("'DevSumOut-"&amp;$B$2&amp;"BSR'!R55")</f>
        <v>0.53496035071008197</v>
      </c>
      <c r="F11" s="551" t="s">
        <v>336</v>
      </c>
      <c r="G11" s="133">
        <f ca="1">INDIRECT("'DevSumOut-"&amp;$B$2&amp;"BSR'!R55")</f>
        <v>0.53496035071008197</v>
      </c>
      <c r="H11" s="133">
        <f ca="1">INDIRECT("'DevSumOut-"&amp;$B$2&amp;"BSR'!R55")</f>
        <v>0.53496035071008197</v>
      </c>
      <c r="I11" s="551" t="s">
        <v>336</v>
      </c>
      <c r="J11" s="133">
        <f ca="1">INDIRECT("'DevSumOut-"&amp;$B$2&amp;"BSR'!P55")</f>
        <v>2.7000726580404342E-2</v>
      </c>
      <c r="K11" s="133">
        <f ca="1">INDIRECT("'DevSumOut-"&amp;$B$2&amp;"BSR'!P55")</f>
        <v>2.7000726580404342E-2</v>
      </c>
      <c r="L11" s="133">
        <f ca="1">INDIRECT("'DevSumOut-"&amp;$B$2&amp;"BSR'!P55")</f>
        <v>2.7000726580404342E-2</v>
      </c>
      <c r="M11" s="551" t="s">
        <v>336</v>
      </c>
      <c r="N11" s="133">
        <f ca="1">INDIRECT("'DevSumOut-"&amp;$B$2&amp;"BSR'!P55")</f>
        <v>2.7000726580404342E-2</v>
      </c>
      <c r="O11" s="133">
        <f ca="1">INDIRECT("'DevSumOut-"&amp;$B$2&amp;"BSR'!P55")</f>
        <v>2.7000726580404342E-2</v>
      </c>
      <c r="P11" s="551" t="s">
        <v>336</v>
      </c>
      <c r="Q11" s="45">
        <f ca="1">INDIRECT("'DevSumOut-"&amp;$B$2&amp;"BSR'!U55")</f>
        <v>2167.501201953301</v>
      </c>
      <c r="R11" s="45">
        <f ca="1">INDIRECT("'DevSumOut-"&amp;$B$2&amp;"BSR'!U55")</f>
        <v>2167.501201953301</v>
      </c>
      <c r="S11" s="45">
        <f ca="1">INDIRECT("'DevSumOut-"&amp;$B$2&amp;"BSR'!U55")</f>
        <v>2167.501201953301</v>
      </c>
      <c r="T11" s="581" t="s">
        <v>336</v>
      </c>
      <c r="U11" s="45">
        <f ca="1">INDIRECT("'DevSumOut-"&amp;$B$2&amp;"BSR'!U55")</f>
        <v>2167.501201953301</v>
      </c>
      <c r="V11" s="45">
        <f ca="1">INDIRECT("'DevSumOut-"&amp;$B$2&amp;"BSR'!U55")</f>
        <v>2167.501201953301</v>
      </c>
      <c r="W11" s="581" t="s">
        <v>336</v>
      </c>
      <c r="X11" s="133">
        <f t="shared" ca="1" si="0"/>
        <v>0.49361942704159817</v>
      </c>
      <c r="Y11" s="133">
        <f t="shared" ca="1" si="0"/>
        <v>0.49361942704159817</v>
      </c>
      <c r="Z11" s="133">
        <f t="shared" ca="1" si="0"/>
        <v>0.49361942704159817</v>
      </c>
      <c r="AA11" s="133"/>
      <c r="AB11" s="133">
        <f t="shared" ca="1" si="1"/>
        <v>0.49361942704159817</v>
      </c>
      <c r="AC11" s="133">
        <f t="shared" ca="1" si="1"/>
        <v>0.49361942704159817</v>
      </c>
    </row>
    <row r="12" spans="1:29" x14ac:dyDescent="0.25">
      <c r="A12" s="812">
        <v>2104008330</v>
      </c>
      <c r="B12" s="812" t="s">
        <v>143</v>
      </c>
      <c r="C12" s="133">
        <f ca="1">INDIRECT("'DevSumOut-"&amp;$B$2&amp;"BSR'!R56")</f>
        <v>0.35738231902018419</v>
      </c>
      <c r="D12" s="133">
        <f ca="1">INDIRECT("'DevSumOut-"&amp;$B$2&amp;"BSR'!R56")</f>
        <v>0.35738231902018419</v>
      </c>
      <c r="E12" s="133">
        <f ca="1">INDIRECT("'DevSumOut-"&amp;$B$2&amp;"BSR'!R56")</f>
        <v>0.35738231902018419</v>
      </c>
      <c r="F12" s="551" t="s">
        <v>336</v>
      </c>
      <c r="G12" s="133">
        <f ca="1">INDIRECT("'DevSumOut-"&amp;$B$2&amp;"BSR'!R56")</f>
        <v>0.35738231902018419</v>
      </c>
      <c r="H12" s="133">
        <f ca="1">INDIRECT("'DevSumOut-"&amp;$B$2&amp;"BSR'!R56")</f>
        <v>0.35738231902018419</v>
      </c>
      <c r="I12" s="551" t="s">
        <v>336</v>
      </c>
      <c r="J12" s="133">
        <f ca="1">INDIRECT("'DevSumOut-"&amp;$B$2&amp;"BSR'!P56")</f>
        <v>1.6256414340767172E-2</v>
      </c>
      <c r="K12" s="133">
        <f ca="1">INDIRECT("'DevSumOut-"&amp;$B$2&amp;"BSR'!P56")</f>
        <v>1.6256414340767172E-2</v>
      </c>
      <c r="L12" s="133">
        <f ca="1">INDIRECT("'DevSumOut-"&amp;$B$2&amp;"BSR'!P56")</f>
        <v>1.6256414340767172E-2</v>
      </c>
      <c r="M12" s="551" t="s">
        <v>336</v>
      </c>
      <c r="N12" s="133">
        <f ca="1">INDIRECT("'DevSumOut-"&amp;$B$2&amp;"BSR'!P56")</f>
        <v>1.6256414340767172E-2</v>
      </c>
      <c r="O12" s="133">
        <f ca="1">INDIRECT("'DevSumOut-"&amp;$B$2&amp;"BSR'!P56")</f>
        <v>1.6256414340767172E-2</v>
      </c>
      <c r="P12" s="551" t="s">
        <v>336</v>
      </c>
      <c r="Q12" s="45">
        <f ca="1">INDIRECT("'DevSumOut-"&amp;$B$2&amp;"BSR'!U56")</f>
        <v>1304.9944236921372</v>
      </c>
      <c r="R12" s="45">
        <f ca="1">INDIRECT("'DevSumOut-"&amp;$B$2&amp;"BSR'!U56")</f>
        <v>1304.9944236921372</v>
      </c>
      <c r="S12" s="45">
        <f ca="1">INDIRECT("'DevSumOut-"&amp;$B$2&amp;"BSR'!U56")</f>
        <v>1304.9944236921372</v>
      </c>
      <c r="T12" s="581" t="s">
        <v>336</v>
      </c>
      <c r="U12" s="45">
        <f ca="1">INDIRECT("'DevSumOut-"&amp;$B$2&amp;"BSR'!U56")</f>
        <v>1304.9944236921372</v>
      </c>
      <c r="V12" s="45">
        <f ca="1">INDIRECT("'DevSumOut-"&amp;$B$2&amp;"BSR'!U56")</f>
        <v>1304.9944236921372</v>
      </c>
      <c r="W12" s="581" t="s">
        <v>336</v>
      </c>
      <c r="X12" s="133">
        <f t="shared" ca="1" si="0"/>
        <v>0.54771470671739009</v>
      </c>
      <c r="Y12" s="133">
        <f t="shared" ca="1" si="0"/>
        <v>0.54771470671739009</v>
      </c>
      <c r="Z12" s="133">
        <f t="shared" ca="1" si="0"/>
        <v>0.54771470671739009</v>
      </c>
      <c r="AA12" s="133"/>
      <c r="AB12" s="133">
        <f t="shared" ca="1" si="1"/>
        <v>0.54771470671739009</v>
      </c>
      <c r="AC12" s="133">
        <f t="shared" ca="1" si="1"/>
        <v>0.54771470671739009</v>
      </c>
    </row>
    <row r="13" spans="1:29" x14ac:dyDescent="0.25">
      <c r="A13" s="812">
        <v>2104008410</v>
      </c>
      <c r="B13" s="812" t="s">
        <v>144</v>
      </c>
      <c r="C13" s="133">
        <f ca="1">INDIRECT("'DevSumOut-"&amp;$B$2&amp;"BSR'!R57")</f>
        <v>1.3186940712188122E-2</v>
      </c>
      <c r="D13" s="133">
        <f ca="1">INDIRECT("'DevSumOut-"&amp;$B$2&amp;"BSR'!R57")</f>
        <v>1.3186940712188122E-2</v>
      </c>
      <c r="E13" s="133">
        <f ca="1">INDIRECT("'DevSumOut-"&amp;$B$2&amp;"BSR'!R57")</f>
        <v>1.3186940712188122E-2</v>
      </c>
      <c r="F13" s="551" t="s">
        <v>336</v>
      </c>
      <c r="G13" s="133">
        <f ca="1">INDIRECT("'DevSumOut-"&amp;$B$2&amp;"BSR'!R57")</f>
        <v>1.3186940712188122E-2</v>
      </c>
      <c r="H13" s="133">
        <f ca="1">INDIRECT("'DevSumOut-"&amp;$B$2&amp;"BSR'!R57")</f>
        <v>1.3186940712188122E-2</v>
      </c>
      <c r="I13" s="551" t="s">
        <v>336</v>
      </c>
      <c r="J13" s="133">
        <f ca="1">INDIRECT("'DevSumOut-"&amp;$B$2&amp;"BSR'!P57")</f>
        <v>1.4256152121284453E-3</v>
      </c>
      <c r="K13" s="133">
        <f ca="1">INDIRECT("'DevSumOut-"&amp;$B$2&amp;"BSR'!P57")</f>
        <v>1.4256152121284453E-3</v>
      </c>
      <c r="L13" s="133">
        <f ca="1">INDIRECT("'DevSumOut-"&amp;$B$2&amp;"BSR'!P57")</f>
        <v>1.4256152121284453E-3</v>
      </c>
      <c r="M13" s="551" t="s">
        <v>336</v>
      </c>
      <c r="N13" s="133">
        <f ca="1">INDIRECT("'DevSumOut-"&amp;$B$2&amp;"BSR'!P57")</f>
        <v>1.4256152121284453E-3</v>
      </c>
      <c r="O13" s="133">
        <f ca="1">INDIRECT("'DevSumOut-"&amp;$B$2&amp;"BSR'!P57")</f>
        <v>1.4256152121284453E-3</v>
      </c>
      <c r="P13" s="551" t="s">
        <v>336</v>
      </c>
      <c r="Q13" s="45">
        <f ca="1">INDIRECT("'DevSumOut-"&amp;$B$2&amp;"BSR'!U57")</f>
        <v>136.66501082981313</v>
      </c>
      <c r="R13" s="45">
        <f ca="1">INDIRECT("'DevSumOut-"&amp;$B$2&amp;"BSR'!U57")</f>
        <v>136.66501082981313</v>
      </c>
      <c r="S13" s="45">
        <f ca="1">INDIRECT("'DevSumOut-"&amp;$B$2&amp;"BSR'!U57")</f>
        <v>136.66501082981313</v>
      </c>
      <c r="T13" s="581" t="s">
        <v>336</v>
      </c>
      <c r="U13" s="45">
        <f ca="1">INDIRECT("'DevSumOut-"&amp;$B$2&amp;"BSR'!U57")</f>
        <v>136.66501082981313</v>
      </c>
      <c r="V13" s="45">
        <f ca="1">INDIRECT("'DevSumOut-"&amp;$B$2&amp;"BSR'!U57")</f>
        <v>136.66501082981313</v>
      </c>
      <c r="W13" s="581" t="s">
        <v>336</v>
      </c>
      <c r="X13" s="133">
        <f t="shared" ca="1" si="0"/>
        <v>0.1929819583244993</v>
      </c>
      <c r="Y13" s="133">
        <f t="shared" ca="1" si="0"/>
        <v>0.1929819583244993</v>
      </c>
      <c r="Z13" s="133">
        <f t="shared" ca="1" si="0"/>
        <v>0.1929819583244993</v>
      </c>
      <c r="AA13" s="133"/>
      <c r="AB13" s="133">
        <f t="shared" ca="1" si="1"/>
        <v>0.1929819583244993</v>
      </c>
      <c r="AC13" s="133">
        <f t="shared" ca="1" si="1"/>
        <v>0.1929819583244993</v>
      </c>
    </row>
    <row r="14" spans="1:29" x14ac:dyDescent="0.25">
      <c r="A14" s="812">
        <v>2104008420</v>
      </c>
      <c r="B14" s="812" t="s">
        <v>145</v>
      </c>
      <c r="C14" s="133">
        <f ca="1">INDIRECT("'DevSumOut-"&amp;$B$2&amp;"BSR'!R58")</f>
        <v>4.447996085382052E-2</v>
      </c>
      <c r="D14" s="133">
        <f ca="1">INDIRECT("'DevSumOut-"&amp;$B$2&amp;"BSR'!R58")</f>
        <v>4.447996085382052E-2</v>
      </c>
      <c r="E14" s="133">
        <f ca="1">INDIRECT("'DevSumOut-"&amp;$B$2&amp;"BSR'!R58")</f>
        <v>4.447996085382052E-2</v>
      </c>
      <c r="F14" s="551" t="s">
        <v>336</v>
      </c>
      <c r="G14" s="133">
        <f ca="1">INDIRECT("'DevSumOut-"&amp;$B$2&amp;"BSR'!R58")</f>
        <v>4.447996085382052E-2</v>
      </c>
      <c r="H14" s="133">
        <f ca="1">INDIRECT("'DevSumOut-"&amp;$B$2&amp;"BSR'!R58")</f>
        <v>4.447996085382052E-2</v>
      </c>
      <c r="I14" s="551" t="s">
        <v>336</v>
      </c>
      <c r="J14" s="133">
        <f ca="1">INDIRECT("'DevSumOut-"&amp;$B$2&amp;"BSR'!P58")</f>
        <v>4.8086444166292458E-3</v>
      </c>
      <c r="K14" s="133">
        <f ca="1">INDIRECT("'DevSumOut-"&amp;$B$2&amp;"BSR'!P58")</f>
        <v>4.8086444166292458E-3</v>
      </c>
      <c r="L14" s="133">
        <f ca="1">INDIRECT("'DevSumOut-"&amp;$B$2&amp;"BSR'!P58")</f>
        <v>4.8086444166292458E-3</v>
      </c>
      <c r="M14" s="551" t="s">
        <v>336</v>
      </c>
      <c r="N14" s="133">
        <f ca="1">INDIRECT("'DevSumOut-"&amp;$B$2&amp;"BSR'!P58")</f>
        <v>4.8086444166292458E-3</v>
      </c>
      <c r="O14" s="133">
        <f ca="1">INDIRECT("'DevSumOut-"&amp;$B$2&amp;"BSR'!P58")</f>
        <v>4.8086444166292458E-3</v>
      </c>
      <c r="P14" s="551" t="s">
        <v>336</v>
      </c>
      <c r="Q14" s="45">
        <f ca="1">INDIRECT("'DevSumOut-"&amp;$B$2&amp;"BSR'!U58")</f>
        <v>460.97532888569248</v>
      </c>
      <c r="R14" s="45">
        <f ca="1">INDIRECT("'DevSumOut-"&amp;$B$2&amp;"BSR'!U58")</f>
        <v>460.97532888569248</v>
      </c>
      <c r="S14" s="45">
        <f ca="1">INDIRECT("'DevSumOut-"&amp;$B$2&amp;"BSR'!U58")</f>
        <v>460.97532888569248</v>
      </c>
      <c r="T14" s="581" t="s">
        <v>336</v>
      </c>
      <c r="U14" s="45">
        <f ca="1">INDIRECT("'DevSumOut-"&amp;$B$2&amp;"BSR'!U58")</f>
        <v>460.97532888569248</v>
      </c>
      <c r="V14" s="45">
        <f ca="1">INDIRECT("'DevSumOut-"&amp;$B$2&amp;"BSR'!U58")</f>
        <v>460.97532888569248</v>
      </c>
      <c r="W14" s="581" t="s">
        <v>336</v>
      </c>
      <c r="X14" s="133">
        <f t="shared" ca="1" si="0"/>
        <v>0.19298195832449927</v>
      </c>
      <c r="Y14" s="133">
        <f t="shared" ca="1" si="0"/>
        <v>0.19298195832449927</v>
      </c>
      <c r="Z14" s="133">
        <f t="shared" ca="1" si="0"/>
        <v>0.19298195832449927</v>
      </c>
      <c r="AA14" s="133"/>
      <c r="AB14" s="133">
        <f t="shared" ca="1" si="1"/>
        <v>0.19298195832449927</v>
      </c>
      <c r="AC14" s="133">
        <f t="shared" ca="1" si="1"/>
        <v>0.19298195832449927</v>
      </c>
    </row>
    <row r="15" spans="1:29" x14ac:dyDescent="0.25">
      <c r="A15" s="812">
        <v>2104008610</v>
      </c>
      <c r="B15" s="812" t="s">
        <v>146</v>
      </c>
      <c r="C15" s="133">
        <f ca="1">INDIRECT("'DevSumOut-"&amp;$B$2&amp;"BSR'!R59")</f>
        <v>0.2209921712577626</v>
      </c>
      <c r="D15" s="133">
        <f ca="1">INDIRECT("'DevSumOut-"&amp;$B$2&amp;"BSR'!R59")</f>
        <v>0.2209921712577626</v>
      </c>
      <c r="E15" s="133">
        <f ca="1">INDIRECT("'DevSumOut-"&amp;$B$2&amp;"BSR'!R59")</f>
        <v>0.2209921712577626</v>
      </c>
      <c r="F15" s="551" t="s">
        <v>336</v>
      </c>
      <c r="G15" s="133">
        <f ca="1">INDIRECT("'DevSumOut-"&amp;$B$2&amp;"BSR'!R59")</f>
        <v>0.2209921712577626</v>
      </c>
      <c r="H15" s="133">
        <f ca="1">INDIRECT("'DevSumOut-"&amp;$B$2&amp;"BSR'!R59")</f>
        <v>0.2209921712577626</v>
      </c>
      <c r="I15" s="551" t="s">
        <v>336</v>
      </c>
      <c r="J15" s="133">
        <f ca="1">INDIRECT("'DevSumOut-"&amp;$B$2&amp;"BSR'!P59")</f>
        <v>8.9559783671865206E-3</v>
      </c>
      <c r="K15" s="133">
        <f ca="1">INDIRECT("'DevSumOut-"&amp;$B$2&amp;"BSR'!P59")</f>
        <v>8.9559783671865206E-3</v>
      </c>
      <c r="L15" s="133">
        <f ca="1">INDIRECT("'DevSumOut-"&amp;$B$2&amp;"BSR'!P59")</f>
        <v>8.9559783671865206E-3</v>
      </c>
      <c r="M15" s="551" t="s">
        <v>336</v>
      </c>
      <c r="N15" s="133">
        <f ca="1">INDIRECT("'DevSumOut-"&amp;$B$2&amp;"BSR'!P59")</f>
        <v>8.9559783671865206E-3</v>
      </c>
      <c r="O15" s="133">
        <f ca="1">INDIRECT("'DevSumOut-"&amp;$B$2&amp;"BSR'!P59")</f>
        <v>8.9559783671865206E-3</v>
      </c>
      <c r="P15" s="551" t="s">
        <v>336</v>
      </c>
      <c r="Q15" s="45">
        <f ca="1">INDIRECT("'DevSumOut-"&amp;$B$2&amp;"BSR'!U59")</f>
        <v>718.7003003024181</v>
      </c>
      <c r="R15" s="45">
        <f ca="1">INDIRECT("'DevSumOut-"&amp;$B$2&amp;"BSR'!U59")</f>
        <v>718.7003003024181</v>
      </c>
      <c r="S15" s="45">
        <f ca="1">INDIRECT("'DevSumOut-"&amp;$B$2&amp;"BSR'!U59")</f>
        <v>718.7003003024181</v>
      </c>
      <c r="T15" s="581" t="s">
        <v>336</v>
      </c>
      <c r="U15" s="45">
        <f ca="1">INDIRECT("'DevSumOut-"&amp;$B$2&amp;"BSR'!U59")</f>
        <v>718.7003003024181</v>
      </c>
      <c r="V15" s="45">
        <f ca="1">INDIRECT("'DevSumOut-"&amp;$B$2&amp;"BSR'!U59")</f>
        <v>718.7003003024181</v>
      </c>
      <c r="W15" s="581" t="s">
        <v>336</v>
      </c>
      <c r="X15" s="133">
        <f t="shared" ca="1" si="0"/>
        <v>0.61497726149487475</v>
      </c>
      <c r="Y15" s="133">
        <f t="shared" ca="1" si="0"/>
        <v>0.61497726149487475</v>
      </c>
      <c r="Z15" s="133">
        <f t="shared" ca="1" si="0"/>
        <v>0.61497726149487475</v>
      </c>
      <c r="AA15" s="133"/>
      <c r="AB15" s="133">
        <f t="shared" ca="1" si="1"/>
        <v>0.61497726149487475</v>
      </c>
      <c r="AC15" s="133">
        <f t="shared" ca="1" si="1"/>
        <v>0.61497726149487475</v>
      </c>
    </row>
    <row r="16" spans="1:29" x14ac:dyDescent="0.25">
      <c r="A16" s="812">
        <v>2104004000</v>
      </c>
      <c r="B16" s="812" t="s">
        <v>568</v>
      </c>
      <c r="C16" s="133">
        <f ca="1">INDIRECT("'DevSumOut-"&amp;$B$2&amp;"BSR'!R60")</f>
        <v>4.9007338261723279E-2</v>
      </c>
      <c r="D16" s="133">
        <f ca="1">INDIRECT("'DevSumOut-"&amp;$B$2&amp;"BSR'!R60")</f>
        <v>4.9007338261723279E-2</v>
      </c>
      <c r="E16" s="133">
        <f ca="1">INDIRECT("'DevSumOut-"&amp;$B$2&amp;"BSR'!R60")</f>
        <v>4.9007338261723279E-2</v>
      </c>
      <c r="F16" s="551" t="s">
        <v>336</v>
      </c>
      <c r="G16" s="133">
        <f ca="1">INDIRECT("'DevSumOut-"&amp;$B$2&amp;"BSR'!R60")</f>
        <v>4.9007338261723279E-2</v>
      </c>
      <c r="H16" s="133">
        <f ca="1">INDIRECT("'DevSumOut-"&amp;$B$2&amp;"BSR'!R60")</f>
        <v>4.9007338261723279E-2</v>
      </c>
      <c r="I16" s="551" t="s">
        <v>336</v>
      </c>
      <c r="J16" s="133">
        <f ca="1">INDIRECT("'DevSumOut-"&amp;$B$2&amp;"BSR'!P60")</f>
        <v>3.1021626256869581</v>
      </c>
      <c r="K16" s="133">
        <f ca="1">INDIRECT("'DevSumOut-"&amp;$B$2&amp;"BSR'!P60")</f>
        <v>3.1021626256869581</v>
      </c>
      <c r="L16" s="133">
        <f ca="1">INDIRECT("'DevSumOut-"&amp;$B$2&amp;"BSR'!P60")</f>
        <v>3.1021626256869581</v>
      </c>
      <c r="M16" s="551" t="s">
        <v>336</v>
      </c>
      <c r="N16" s="133">
        <f ca="1">INDIRECT("'DevSumOut-"&amp;$B$2&amp;"BSR'!P60")</f>
        <v>3.1021626256869581</v>
      </c>
      <c r="O16" s="133">
        <f ca="1">INDIRECT("'DevSumOut-"&amp;$B$2&amp;"BSR'!P60")</f>
        <v>3.1021626256869581</v>
      </c>
      <c r="P16" s="551" t="s">
        <v>336</v>
      </c>
      <c r="Q16" s="45">
        <f ca="1">INDIRECT("'DevSumOut-"&amp;$B$2&amp;"BSR'!U60")</f>
        <v>28810.114063081157</v>
      </c>
      <c r="R16" s="45">
        <f ca="1">INDIRECT("'DevSumOut-"&amp;$B$2&amp;"BSR'!U60")</f>
        <v>28810.114063081157</v>
      </c>
      <c r="S16" s="45">
        <f ca="1">INDIRECT("'DevSumOut-"&amp;$B$2&amp;"BSR'!U60")</f>
        <v>28810.114063081157</v>
      </c>
      <c r="T16" s="581" t="s">
        <v>336</v>
      </c>
      <c r="U16" s="45">
        <f ca="1">INDIRECT("'DevSumOut-"&amp;$B$2&amp;"BSR'!U60")</f>
        <v>28810.114063081157</v>
      </c>
      <c r="V16" s="45">
        <f ca="1">INDIRECT("'DevSumOut-"&amp;$B$2&amp;"BSR'!U60")</f>
        <v>28810.114063081157</v>
      </c>
      <c r="W16" s="581" t="s">
        <v>336</v>
      </c>
      <c r="X16" s="133">
        <f t="shared" ca="1" si="0"/>
        <v>3.4020926230572575E-3</v>
      </c>
      <c r="Y16" s="133">
        <f t="shared" ca="1" si="0"/>
        <v>3.4020926230572575E-3</v>
      </c>
      <c r="Z16" s="133">
        <f t="shared" ca="1" si="0"/>
        <v>3.4020926230572575E-3</v>
      </c>
      <c r="AA16" s="133"/>
      <c r="AB16" s="133">
        <f t="shared" ca="1" si="1"/>
        <v>3.4020926230572575E-3</v>
      </c>
      <c r="AC16" s="133">
        <f t="shared" ca="1" si="1"/>
        <v>3.4020926230572575E-3</v>
      </c>
    </row>
    <row r="17" spans="1:29" x14ac:dyDescent="0.25">
      <c r="A17" s="812">
        <v>2103004001</v>
      </c>
      <c r="B17" s="812" t="s">
        <v>148</v>
      </c>
      <c r="C17" s="133">
        <f ca="1">INDIRECT("'DevSumOut-"&amp;$B$2&amp;"BSR'!R61")</f>
        <v>1.4916383532972012E-2</v>
      </c>
      <c r="D17" s="133">
        <f ca="1">INDIRECT("'DevSumOut-"&amp;$B$2&amp;"BSR'!R61")</f>
        <v>1.4916383532972012E-2</v>
      </c>
      <c r="E17" s="133">
        <f ca="1">INDIRECT("'DevSumOut-"&amp;$B$2&amp;"BSR'!R61")</f>
        <v>1.4916383532972012E-2</v>
      </c>
      <c r="F17" s="551" t="s">
        <v>336</v>
      </c>
      <c r="G17" s="133">
        <f ca="1">INDIRECT("'DevSumOut-"&amp;$B$2&amp;"BSR'!R61")</f>
        <v>1.4916383532972012E-2</v>
      </c>
      <c r="H17" s="133">
        <f ca="1">INDIRECT("'DevSumOut-"&amp;$B$2&amp;"BSR'!R61")</f>
        <v>1.4916383532972012E-2</v>
      </c>
      <c r="I17" s="551" t="s">
        <v>336</v>
      </c>
      <c r="J17" s="133">
        <f ca="1">INDIRECT("'DevSumOut-"&amp;$B$2&amp;"BSR'!P61")</f>
        <v>0.41564900680471462</v>
      </c>
      <c r="K17" s="133">
        <f ca="1">INDIRECT("'DevSumOut-"&amp;$B$2&amp;"BSR'!P61")</f>
        <v>0.41564900680471462</v>
      </c>
      <c r="L17" s="133">
        <f ca="1">INDIRECT("'DevSumOut-"&amp;$B$2&amp;"BSR'!P61")</f>
        <v>0.41564900680471462</v>
      </c>
      <c r="M17" s="551" t="s">
        <v>336</v>
      </c>
      <c r="N17" s="133">
        <f ca="1">INDIRECT("'DevSumOut-"&amp;$B$2&amp;"BSR'!P61")</f>
        <v>0.41564900680471462</v>
      </c>
      <c r="O17" s="133">
        <f ca="1">INDIRECT("'DevSumOut-"&amp;$B$2&amp;"BSR'!P61")</f>
        <v>0.41564900680471462</v>
      </c>
      <c r="P17" s="551" t="s">
        <v>336</v>
      </c>
      <c r="Q17" s="45">
        <f ca="1">INDIRECT("'DevSumOut-"&amp;$B$2&amp;"BSR'!U61")</f>
        <v>9049.1994847920305</v>
      </c>
      <c r="R17" s="45">
        <f ca="1">INDIRECT("'DevSumOut-"&amp;$B$2&amp;"BSR'!U61")</f>
        <v>9049.1994847920305</v>
      </c>
      <c r="S17" s="45">
        <f ca="1">INDIRECT("'DevSumOut-"&amp;$B$2&amp;"BSR'!U61")</f>
        <v>9049.1994847920305</v>
      </c>
      <c r="T17" s="581" t="s">
        <v>336</v>
      </c>
      <c r="U17" s="45">
        <f ca="1">INDIRECT("'DevSumOut-"&amp;$B$2&amp;"BSR'!U61")</f>
        <v>9049.1994847920305</v>
      </c>
      <c r="V17" s="45">
        <f ca="1">INDIRECT("'DevSumOut-"&amp;$B$2&amp;"BSR'!U61")</f>
        <v>9049.1994847920305</v>
      </c>
      <c r="W17" s="581" t="s">
        <v>336</v>
      </c>
      <c r="X17" s="133">
        <f t="shared" ca="1" si="0"/>
        <v>3.2967299611507731E-3</v>
      </c>
      <c r="Y17" s="133">
        <f t="shared" ca="1" si="0"/>
        <v>3.2967299611507731E-3</v>
      </c>
      <c r="Z17" s="133">
        <f t="shared" ca="1" si="0"/>
        <v>3.2967299611507731E-3</v>
      </c>
      <c r="AA17" s="133"/>
      <c r="AB17" s="133">
        <f t="shared" ca="1" si="1"/>
        <v>3.2967299611507731E-3</v>
      </c>
      <c r="AC17" s="133">
        <f t="shared" ca="1" si="1"/>
        <v>3.2967299611507731E-3</v>
      </c>
    </row>
    <row r="18" spans="1:29" x14ac:dyDescent="0.25">
      <c r="A18" s="812">
        <v>2104004000</v>
      </c>
      <c r="B18" s="812" t="s">
        <v>746</v>
      </c>
      <c r="C18" s="133">
        <f ca="1">INDIRECT("'DevSumOut-"&amp;$B$2&amp;"BSR'!R62")</f>
        <v>2.9215478747938696E-4</v>
      </c>
      <c r="D18" s="133">
        <f ca="1">INDIRECT("'DevSumOut-"&amp;$B$2&amp;"BSR'!R62")</f>
        <v>2.9215478747938696E-4</v>
      </c>
      <c r="E18" s="133">
        <f ca="1">INDIRECT("'DevSumOut-"&amp;$B$2&amp;"BSR'!R62")</f>
        <v>2.9215478747938696E-4</v>
      </c>
      <c r="F18" s="551" t="s">
        <v>336</v>
      </c>
      <c r="G18" s="133">
        <f ca="1">INDIRECT("'DevSumOut-"&amp;$B$2&amp;"BSR'!R62")</f>
        <v>2.9215478747938696E-4</v>
      </c>
      <c r="H18" s="133">
        <f ca="1">INDIRECT("'DevSumOut-"&amp;$B$2&amp;"BSR'!R62")</f>
        <v>2.9215478747938696E-4</v>
      </c>
      <c r="I18" s="551" t="s">
        <v>336</v>
      </c>
      <c r="J18" s="133">
        <f ca="1">INDIRECT("'DevSumOut-"&amp;$B$2&amp;"BSR'!P62")</f>
        <v>2.1110066940380329E-2</v>
      </c>
      <c r="K18" s="133">
        <f ca="1">INDIRECT("'DevSumOut-"&amp;$B$2&amp;"BSR'!P62")</f>
        <v>2.1110066940380329E-2</v>
      </c>
      <c r="L18" s="133">
        <f ca="1">INDIRECT("'DevSumOut-"&amp;$B$2&amp;"BSR'!P62")</f>
        <v>2.1110066940380329E-2</v>
      </c>
      <c r="M18" s="551" t="s">
        <v>336</v>
      </c>
      <c r="N18" s="133">
        <f ca="1">INDIRECT("'DevSumOut-"&amp;$B$2&amp;"BSR'!P62")</f>
        <v>2.1110066940380329E-2</v>
      </c>
      <c r="O18" s="133">
        <f ca="1">INDIRECT("'DevSumOut-"&amp;$B$2&amp;"BSR'!P62")</f>
        <v>2.1110066940380329E-2</v>
      </c>
      <c r="P18" s="551" t="s">
        <v>336</v>
      </c>
      <c r="Q18" s="45">
        <f ca="1">INDIRECT("'DevSumOut-"&amp;$B$2&amp;"BSR'!U62")</f>
        <v>200.11872555369303</v>
      </c>
      <c r="R18" s="45">
        <f ca="1">INDIRECT("'DevSumOut-"&amp;$B$2&amp;"BSR'!U62")</f>
        <v>200.11872555369303</v>
      </c>
      <c r="S18" s="45">
        <f ca="1">INDIRECT("'DevSumOut-"&amp;$B$2&amp;"BSR'!U62")</f>
        <v>200.11872555369303</v>
      </c>
      <c r="T18" s="581" t="s">
        <v>336</v>
      </c>
      <c r="U18" s="45">
        <f ca="1">INDIRECT("'DevSumOut-"&amp;$B$2&amp;"BSR'!U62")</f>
        <v>200.11872555369303</v>
      </c>
      <c r="V18" s="45">
        <f ca="1">INDIRECT("'DevSumOut-"&amp;$B$2&amp;"BSR'!U62")</f>
        <v>200.11872555369303</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2">
        <v>2104007000</v>
      </c>
      <c r="B19" s="812" t="s">
        <v>747</v>
      </c>
      <c r="C19" s="133">
        <f ca="1">INDIRECT("'DevSumOut-"&amp;$B$2&amp;"BSR'!R63")</f>
        <v>1.1337770972417633E-3</v>
      </c>
      <c r="D19" s="133">
        <f ca="1">INDIRECT("'DevSumOut-"&amp;$B$2&amp;"BSR'!R63")</f>
        <v>1.1337770972417633E-3</v>
      </c>
      <c r="E19" s="133">
        <f ca="1">INDIRECT("'DevSumOut-"&amp;$B$2&amp;"BSR'!R63")</f>
        <v>1.1337770972417633E-3</v>
      </c>
      <c r="F19" s="551" t="s">
        <v>336</v>
      </c>
      <c r="G19" s="133">
        <f ca="1">INDIRECT("'DevSumOut-"&amp;$B$2&amp;"BSR'!R63")</f>
        <v>1.1337770972417633E-3</v>
      </c>
      <c r="H19" s="133">
        <f ca="1">INDIRECT("'DevSumOut-"&amp;$B$2&amp;"BSR'!R63")</f>
        <v>1.1337770972417633E-3</v>
      </c>
      <c r="I19" s="551" t="s">
        <v>336</v>
      </c>
      <c r="J19" s="133">
        <f ca="1">INDIRECT("'DevSumOut-"&amp;$B$2&amp;"BSR'!P63")</f>
        <v>7.1768046616608322E-2</v>
      </c>
      <c r="K19" s="133">
        <f ca="1">INDIRECT("'DevSumOut-"&amp;$B$2&amp;"BSR'!P63")</f>
        <v>7.1768046616608322E-2</v>
      </c>
      <c r="L19" s="133">
        <f ca="1">INDIRECT("'DevSumOut-"&amp;$B$2&amp;"BSR'!P63")</f>
        <v>7.1768046616608322E-2</v>
      </c>
      <c r="M19" s="551" t="s">
        <v>336</v>
      </c>
      <c r="N19" s="133">
        <f ca="1">INDIRECT("'DevSumOut-"&amp;$B$2&amp;"BSR'!P63")</f>
        <v>7.1768046616608322E-2</v>
      </c>
      <c r="O19" s="133">
        <f ca="1">INDIRECT("'DevSumOut-"&amp;$B$2&amp;"BSR'!P63")</f>
        <v>7.1768046616608322E-2</v>
      </c>
      <c r="P19" s="551" t="s">
        <v>336</v>
      </c>
      <c r="Q19" s="45">
        <f ca="1">INDIRECT("'DevSumOut-"&amp;$B$2&amp;"BSR'!U63")</f>
        <v>620.77545947339422</v>
      </c>
      <c r="R19" s="45">
        <f ca="1">INDIRECT("'DevSumOut-"&amp;$B$2&amp;"BSR'!U63")</f>
        <v>620.77545947339422</v>
      </c>
      <c r="S19" s="45">
        <f ca="1">INDIRECT("'DevSumOut-"&amp;$B$2&amp;"BSR'!U63")</f>
        <v>620.77545947339422</v>
      </c>
      <c r="T19" s="581" t="s">
        <v>336</v>
      </c>
      <c r="U19" s="45">
        <f ca="1">INDIRECT("'DevSumOut-"&amp;$B$2&amp;"BSR'!U63")</f>
        <v>620.77545947339422</v>
      </c>
      <c r="V19" s="45">
        <f ca="1">INDIRECT("'DevSumOut-"&amp;$B$2&amp;"BSR'!U63")</f>
        <v>620.77545947339422</v>
      </c>
      <c r="W19" s="581" t="s">
        <v>336</v>
      </c>
      <c r="X19" s="133">
        <f t="shared" ca="1" si="0"/>
        <v>3.6527767969550535E-3</v>
      </c>
      <c r="Y19" s="133">
        <f t="shared" ca="1" si="0"/>
        <v>3.6527767969550535E-3</v>
      </c>
      <c r="Z19" s="133">
        <f t="shared" ca="1" si="0"/>
        <v>3.6527767969550535E-3</v>
      </c>
      <c r="AA19" s="133"/>
      <c r="AB19" s="133">
        <f t="shared" ca="1" si="1"/>
        <v>3.6527767969550535E-3</v>
      </c>
      <c r="AC19" s="133">
        <f t="shared" ca="1" si="1"/>
        <v>3.6527767969550535E-3</v>
      </c>
    </row>
    <row r="20" spans="1:29" x14ac:dyDescent="0.25">
      <c r="A20" s="812">
        <v>2104006010</v>
      </c>
      <c r="B20" s="812" t="s">
        <v>149</v>
      </c>
      <c r="C20" s="133">
        <f ca="1">INDIRECT("'DevSumOut-"&amp;$B$2&amp;"BSR'!R64")</f>
        <v>5.8529310125197121E-6</v>
      </c>
      <c r="D20" s="133">
        <f ca="1">INDIRECT("'DevSumOut-"&amp;$B$2&amp;"BSR'!R64")</f>
        <v>5.8529310125197121E-6</v>
      </c>
      <c r="E20" s="133">
        <f ca="1">INDIRECT("'DevSumOut-"&amp;$B$2&amp;"BSR'!R64")</f>
        <v>5.8529310125197121E-6</v>
      </c>
      <c r="F20" s="551" t="s">
        <v>336</v>
      </c>
      <c r="G20" s="133">
        <f ca="1">INDIRECT("'DevSumOut-"&amp;$B$2&amp;"BSR'!R64")</f>
        <v>5.8529310125197121E-6</v>
      </c>
      <c r="H20" s="133">
        <f ca="1">INDIRECT("'DevSumOut-"&amp;$B$2&amp;"BSR'!R64")</f>
        <v>5.8529310125197121E-6</v>
      </c>
      <c r="I20" s="551" t="s">
        <v>336</v>
      </c>
      <c r="J20" s="133">
        <f ca="1">INDIRECT("'DevSumOut-"&amp;$B$2&amp;"BSR'!P64")</f>
        <v>7.0898784775737556E-5</v>
      </c>
      <c r="K20" s="133">
        <f ca="1">INDIRECT("'DevSumOut-"&amp;$B$2&amp;"BSR'!P64")</f>
        <v>7.0898784775737556E-5</v>
      </c>
      <c r="L20" s="133">
        <f ca="1">INDIRECT("'DevSumOut-"&amp;$B$2&amp;"BSR'!P64")</f>
        <v>7.0898784775737556E-5</v>
      </c>
      <c r="M20" s="551" t="s">
        <v>336</v>
      </c>
      <c r="N20" s="133">
        <f ca="1">INDIRECT("'DevSumOut-"&amp;$B$2&amp;"BSR'!P64")</f>
        <v>7.0898784775737556E-5</v>
      </c>
      <c r="O20" s="133">
        <f ca="1">INDIRECT("'DevSumOut-"&amp;$B$2&amp;"BSR'!P64")</f>
        <v>7.0898784775737556E-5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4.0124456975701539E-5</v>
      </c>
      <c r="Y20" s="133">
        <f t="shared" ca="1" si="0"/>
        <v>4.0124456975701539E-5</v>
      </c>
      <c r="Z20" s="133">
        <f t="shared" ca="1" si="0"/>
        <v>4.0124456975701539E-5</v>
      </c>
      <c r="AA20" s="133"/>
      <c r="AB20" s="133">
        <f t="shared" ca="1" si="1"/>
        <v>4.0124456975701539E-5</v>
      </c>
      <c r="AC20" s="133">
        <f t="shared" ca="1" si="1"/>
        <v>4.0124456975701539E-5</v>
      </c>
    </row>
    <row r="21" spans="1:29" x14ac:dyDescent="0.25">
      <c r="A21" s="812">
        <v>2103006000</v>
      </c>
      <c r="B21" s="812"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7.9575146604215499E-4</v>
      </c>
      <c r="K21" s="133">
        <f ca="1">INDIRECT("'DevSumOut-"&amp;$B$2&amp;"BSR'!P65")</f>
        <v>7.9575146604215499E-4</v>
      </c>
      <c r="L21" s="133">
        <f ca="1">INDIRECT("'DevSumOut-"&amp;$B$2&amp;"BSR'!P65")</f>
        <v>7.9575146604215499E-4</v>
      </c>
      <c r="M21" s="551" t="s">
        <v>336</v>
      </c>
      <c r="N21" s="133">
        <f ca="1">INDIRECT("'DevSumOut-"&amp;$B$2&amp;"BSR'!P65")</f>
        <v>7.9575146604215499E-4</v>
      </c>
      <c r="O21" s="133">
        <f ca="1">INDIRECT("'DevSumOut-"&amp;$B$2&amp;"BSR'!P65")</f>
        <v>7.9575146604215499E-4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7.4876847290640388E-3</v>
      </c>
      <c r="Y21" s="133">
        <f t="shared" ca="1" si="0"/>
        <v>7.4876847290640388E-3</v>
      </c>
      <c r="Z21" s="133">
        <f t="shared" ca="1" si="0"/>
        <v>7.4876847290640388E-3</v>
      </c>
      <c r="AA21" s="133"/>
      <c r="AB21" s="133">
        <f t="shared" ca="1" si="1"/>
        <v>7.4876847290640388E-3</v>
      </c>
      <c r="AC21" s="133">
        <f t="shared" ca="1" si="1"/>
        <v>7.4876847290640388E-3</v>
      </c>
    </row>
    <row r="22" spans="1:29" x14ac:dyDescent="0.25">
      <c r="A22" s="812">
        <v>2104002000</v>
      </c>
      <c r="B22" s="812" t="s">
        <v>151</v>
      </c>
      <c r="C22" s="133">
        <f ca="1">INDIRECT("'DevSumOut-"&amp;$B$2&amp;"BSR'!R66")</f>
        <v>8.7179964534393958E-2</v>
      </c>
      <c r="D22" s="133">
        <f ca="1">INDIRECT("'DevSumOut-"&amp;$B$2&amp;"BSR'!R66")</f>
        <v>8.7179964534393958E-2</v>
      </c>
      <c r="E22" s="133">
        <f ca="1">INDIRECT("'DevSumOut-"&amp;$B$2&amp;"BSR'!R66")</f>
        <v>8.7179964534393958E-2</v>
      </c>
      <c r="F22" s="551" t="s">
        <v>336</v>
      </c>
      <c r="G22" s="133">
        <f ca="1">INDIRECT("'DevSumOut-"&amp;$B$2&amp;"BSR'!R66")</f>
        <v>8.7179964534393958E-2</v>
      </c>
      <c r="H22" s="133">
        <f ca="1">INDIRECT("'DevSumOut-"&amp;$B$2&amp;"BSR'!R66")</f>
        <v>8.7179964534393958E-2</v>
      </c>
      <c r="I22" s="551" t="s">
        <v>336</v>
      </c>
      <c r="J22" s="133">
        <f ca="1">INDIRECT("'DevSumOut-"&amp;$B$2&amp;"BSR'!P66")</f>
        <v>0.10147355070962</v>
      </c>
      <c r="K22" s="133">
        <f ca="1">INDIRECT("'DevSumOut-"&amp;$B$2&amp;"BSR'!P66")</f>
        <v>0.10147355070962</v>
      </c>
      <c r="L22" s="133">
        <f ca="1">INDIRECT("'DevSumOut-"&amp;$B$2&amp;"BSR'!P66")</f>
        <v>0.10147355070962</v>
      </c>
      <c r="M22" s="551" t="s">
        <v>336</v>
      </c>
      <c r="N22" s="133">
        <f ca="1">INDIRECT("'DevSumOut-"&amp;$B$2&amp;"BSR'!P66")</f>
        <v>0.10147355070962</v>
      </c>
      <c r="O22" s="133">
        <f ca="1">INDIRECT("'DevSumOut-"&amp;$B$2&amp;"BSR'!P66")</f>
        <v>0.10147355070962</v>
      </c>
      <c r="P22" s="551" t="s">
        <v>336</v>
      </c>
      <c r="Q22" s="45">
        <f ca="1">INDIRECT("'DevSumOut-"&amp;$B$2&amp;"BSR'!U66")</f>
        <v>331.69848834112344</v>
      </c>
      <c r="R22" s="45">
        <f ca="1">INDIRECT("'DevSumOut-"&amp;$B$2&amp;"BSR'!U66")</f>
        <v>331.69848834112344</v>
      </c>
      <c r="S22" s="45">
        <f ca="1">INDIRECT("'DevSumOut-"&amp;$B$2&amp;"BSR'!U66")</f>
        <v>331.69848834112344</v>
      </c>
      <c r="T22" s="581" t="s">
        <v>336</v>
      </c>
      <c r="U22" s="45">
        <f ca="1">INDIRECT("'DevSumOut-"&amp;$B$2&amp;"BSR'!U66")</f>
        <v>331.69848834112344</v>
      </c>
      <c r="V22" s="45">
        <f ca="1">INDIRECT("'DevSumOut-"&amp;$B$2&amp;"BSR'!U66")</f>
        <v>331.69848834112344</v>
      </c>
      <c r="W22" s="581" t="s">
        <v>336</v>
      </c>
      <c r="X22" s="133">
        <f t="shared" ca="1" si="0"/>
        <v>0.5256578947368421</v>
      </c>
      <c r="Y22" s="133">
        <f t="shared" ca="1" si="0"/>
        <v>0.5256578947368421</v>
      </c>
      <c r="Z22" s="133">
        <f t="shared" ca="1" si="0"/>
        <v>0.5256578947368421</v>
      </c>
      <c r="AA22" s="133"/>
      <c r="AB22" s="133">
        <f t="shared" ca="1" si="1"/>
        <v>0.5256578947368421</v>
      </c>
      <c r="AC22" s="133">
        <f t="shared" ca="1" si="1"/>
        <v>0.5256578947368421</v>
      </c>
    </row>
    <row r="23" spans="1:29" x14ac:dyDescent="0.25">
      <c r="A23" s="812">
        <v>2103002000</v>
      </c>
      <c r="B23" s="812" t="s">
        <v>152</v>
      </c>
      <c r="C23" s="133">
        <f ca="1">INDIRECT("'DevSumOut-"&amp;$B$2&amp;"BSR'!R67")</f>
        <v>2.6304953575588086E-4</v>
      </c>
      <c r="D23" s="133">
        <f ca="1">INDIRECT("'DevSumOut-"&amp;$B$2&amp;"BSR'!R67")</f>
        <v>2.6304953575588086E-4</v>
      </c>
      <c r="E23" s="133">
        <f ca="1">INDIRECT("'DevSumOut-"&amp;$B$2&amp;"BSR'!R67")</f>
        <v>2.6304953575588086E-4</v>
      </c>
      <c r="F23" s="551"/>
      <c r="G23" s="133">
        <f ca="1">INDIRECT("'DevSumOut-"&amp;$B$2&amp;"BSR'!R67")</f>
        <v>2.6304953575588086E-4</v>
      </c>
      <c r="H23" s="133">
        <f ca="1">INDIRECT("'DevSumOut-"&amp;$B$2&amp;"BSR'!R67")</f>
        <v>2.6304953575588086E-4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2.4594859595772975</v>
      </c>
      <c r="D26" s="137">
        <f ca="1">SUM(D6:D25)</f>
        <v>2.4594859595772975</v>
      </c>
      <c r="E26" s="137">
        <f ca="1">SUM(E6:E25)</f>
        <v>2.4594859595772975</v>
      </c>
      <c r="F26" s="566" t="s">
        <v>336</v>
      </c>
      <c r="G26" s="137">
        <f t="shared" ref="G26:H26" ca="1" si="2">SUM(G6:G25)</f>
        <v>2.4594859595772975</v>
      </c>
      <c r="H26" s="137">
        <f t="shared" ca="1" si="2"/>
        <v>2.4594859595772975</v>
      </c>
      <c r="I26" s="566" t="s">
        <v>336</v>
      </c>
      <c r="J26" s="137">
        <f ca="1">SUM(J6:J25)</f>
        <v>3.8113418574800706</v>
      </c>
      <c r="K26" s="137">
        <f ca="1">SUM(K6:K25)</f>
        <v>3.8113418574800706</v>
      </c>
      <c r="L26" s="137">
        <f ca="1">SUM(L6:L25)</f>
        <v>3.8113418574800706</v>
      </c>
      <c r="M26" s="566" t="s">
        <v>336</v>
      </c>
      <c r="N26" s="137">
        <f ca="1">SUM(N6:N25)</f>
        <v>3.8113418574800706</v>
      </c>
      <c r="O26" s="137">
        <f ca="1">SUM(O6:O25)</f>
        <v>3.8113418574800706</v>
      </c>
      <c r="P26" s="566" t="s">
        <v>336</v>
      </c>
      <c r="Q26" s="87">
        <f ca="1">SUM(Q6:Q25)</f>
        <v>48759.969573097645</v>
      </c>
      <c r="R26" s="87">
        <f ca="1">SUM(R6:R25)</f>
        <v>48759.969573097645</v>
      </c>
      <c r="S26" s="87">
        <f ca="1">SUM(S6:S25)</f>
        <v>48759.969573097645</v>
      </c>
      <c r="T26" s="566" t="s">
        <v>336</v>
      </c>
      <c r="U26" s="87">
        <f ca="1">SUM(U6:U25)</f>
        <v>48759.969573097645</v>
      </c>
      <c r="V26" s="87">
        <f ca="1">SUM(V6:V25)</f>
        <v>48759.969573097645</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2019 Baseline PM2.5 Emissions (tpd) by Curtailment Regime and AQCZ</v>
      </c>
      <c r="D30" s="840"/>
      <c r="E30" s="840"/>
      <c r="F30" s="840"/>
      <c r="G30" s="840"/>
      <c r="H30" s="840"/>
      <c r="I30" s="840"/>
      <c r="J30" s="840" t="str">
        <f>$B$2&amp;" Baseline SO2 Emissions (tpd) by Curtailment Regime and AQCZ"</f>
        <v>2019 Baseline SO2 Emissions (tpd) by Curtailment Regime and AQCZ</v>
      </c>
      <c r="K30" s="840"/>
      <c r="L30" s="840"/>
      <c r="M30" s="840"/>
      <c r="N30" s="840"/>
      <c r="O30" s="840"/>
      <c r="P30" s="840"/>
      <c r="Q30" s="840" t="str">
        <f>$B$2&amp;" Baseline Energy Use (mmBTU) by Curtailment Regime and AQCZ"</f>
        <v>2019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0.92578274919364489</v>
      </c>
      <c r="D32" s="133">
        <f ca="1">(D26-D33)*AQCZSplits!$F$5</f>
        <v>0.92578274919364489</v>
      </c>
      <c r="E32" s="133">
        <f ca="1">(E26-E33)*AQCZSplits!$F$5</f>
        <v>0.92578274919364489</v>
      </c>
      <c r="F32" s="551" t="s">
        <v>336</v>
      </c>
      <c r="G32" s="133">
        <f ca="1">(G26-G33)*AQCZSplits!$F$5</f>
        <v>0.92578274919364489</v>
      </c>
      <c r="H32" s="133">
        <f ca="1">(H26-H33)*AQCZSplits!$F$5</f>
        <v>0.92578274919364489</v>
      </c>
      <c r="I32" s="551" t="s">
        <v>336</v>
      </c>
      <c r="J32" s="133">
        <f ca="1">(J26-J33)*AQCZSplits!$F$5</f>
        <v>1.7033460922033803</v>
      </c>
      <c r="K32" s="133">
        <f ca="1">(K26-K33)*AQCZSplits!$F$5</f>
        <v>1.7033460922033803</v>
      </c>
      <c r="L32" s="133">
        <f ca="1">(L26-L33)*AQCZSplits!$F$5</f>
        <v>1.7033460922033803</v>
      </c>
      <c r="M32" s="551" t="s">
        <v>336</v>
      </c>
      <c r="N32" s="133">
        <f ca="1">(N26-N33)*AQCZSplits!$F$5</f>
        <v>1.7033460922033803</v>
      </c>
      <c r="O32" s="133">
        <f ca="1">(O26-O33)*AQCZSplits!$F$5</f>
        <v>1.7033460922033803</v>
      </c>
      <c r="P32" s="551" t="s">
        <v>336</v>
      </c>
      <c r="Q32" s="45">
        <f ca="1">(Q26-Q33)*AQCZSplits!$F$5</f>
        <v>22296.619235275033</v>
      </c>
      <c r="R32" s="45">
        <f ca="1">(R26-R33)*AQCZSplits!$F$5</f>
        <v>22296.619235275033</v>
      </c>
      <c r="S32" s="45">
        <f ca="1">(S26-S33)*AQCZSplits!$F$5</f>
        <v>22296.619235275033</v>
      </c>
      <c r="T32" s="551" t="s">
        <v>336</v>
      </c>
      <c r="U32" s="45">
        <f ca="1">(U26-U33)*AQCZSplits!$F$5</f>
        <v>22296.619235275033</v>
      </c>
      <c r="V32" s="45">
        <f ca="1">(V26-V33)*AQCZSplits!$F$5</f>
        <v>22296.619235275033</v>
      </c>
      <c r="W32" s="551" t="s">
        <v>336</v>
      </c>
    </row>
    <row r="33" spans="1:23" ht="15.75" thickBot="1" x14ac:dyDescent="0.3">
      <c r="A33" s="6" t="s">
        <v>754</v>
      </c>
      <c r="B33" s="6" t="s">
        <v>755</v>
      </c>
      <c r="C33" s="544">
        <f ca="1">SUMIFS(INDIRECT("'ZipOutNA-"&amp;$B$2&amp;"BSR'!$J$5:$J$669"),INDIRECT("'ZipOutNA-"&amp;$B$2&amp;"BSR'!$D$5:$D$669"),99705)/35</f>
        <v>1.0103412630694599</v>
      </c>
      <c r="D33" s="544">
        <f ca="1">SUMIFS(INDIRECT("'ZipOutNA-"&amp;$B$2&amp;"BSR'!$J$5:$J$669"),INDIRECT("'ZipOutNA-"&amp;$B$2&amp;"BSR'!$D$5:$D$669"),99705)/35</f>
        <v>1.0103412630694599</v>
      </c>
      <c r="E33" s="544">
        <f ca="1">SUMIFS(INDIRECT("'ZipOutNA-"&amp;$B$2&amp;"BSR'!$J$5:$J$669"),INDIRECT("'ZipOutNA-"&amp;$B$2&amp;"BSR'!$D$5:$D$669"),99705)/35</f>
        <v>1.0103412630694599</v>
      </c>
      <c r="F33" s="542" t="s">
        <v>336</v>
      </c>
      <c r="G33" s="544">
        <f ca="1">SUMIFS(INDIRECT("'ZipOutNA-"&amp;$B$2&amp;"BSR'!$J$5:$J$669"),INDIRECT("'ZipOutNA-"&amp;$B$2&amp;"BSR'!$D$5:$D$669"),99705)/35</f>
        <v>1.0103412630694599</v>
      </c>
      <c r="H33" s="544">
        <f ca="1">SUMIFS(INDIRECT("'ZipOutNA-"&amp;$B$2&amp;"BSR'!$J$5:$J$669"),INDIRECT("'ZipOutNA-"&amp;$B$2&amp;"BSR'!$D$5:$D$669"),99705)/35</f>
        <v>1.0103412630694599</v>
      </c>
      <c r="I33" s="542" t="s">
        <v>336</v>
      </c>
      <c r="J33" s="544">
        <f ca="1">SUMIFS(INDIRECT("'ZipOutNA-"&amp;$B$2&amp;"BSR'!$H$5:$H$669"),INDIRECT("'ZipOutNA-"&amp;$B$2&amp;"BSR'!$D$5:$D$669"),99705)/35</f>
        <v>1.1450630161602833</v>
      </c>
      <c r="K33" s="544">
        <f ca="1">SUMIFS(INDIRECT("'ZipOutNA-"&amp;$B$2&amp;"BSR'!$H$5:$H$669"),INDIRECT("'ZipOutNA-"&amp;$B$2&amp;"BSR'!$D$5:$D$669"),99705)/35</f>
        <v>1.1450630161602833</v>
      </c>
      <c r="L33" s="544">
        <f ca="1">SUMIFS(INDIRECT("'ZipOutNA-"&amp;$B$2&amp;"BSR'!$H$5:$H$669"),INDIRECT("'ZipOutNA-"&amp;$B$2&amp;"BSR'!$D$5:$D$669"),99705)/35</f>
        <v>1.1450630161602833</v>
      </c>
      <c r="M33" s="542" t="s">
        <v>336</v>
      </c>
      <c r="N33" s="544">
        <f ca="1">SUMIFS(INDIRECT("'ZipOutNA-"&amp;$B$2&amp;"BSR'!$H$5:$H$669"),INDIRECT("'ZipOutNA-"&amp;$B$2&amp;"BSR'!$D$5:$D$669"),99705)/35</f>
        <v>1.1450630161602833</v>
      </c>
      <c r="O33" s="544">
        <f ca="1">SUMIFS(INDIRECT("'ZipOutNA-"&amp;$B$2&amp;"BSR'!$H$5:$H$669"),INDIRECT("'ZipOutNA-"&amp;$B$2&amp;"BSR'!$D$5:$D$669"),99705)/35</f>
        <v>1.1450630161602833</v>
      </c>
      <c r="P33" s="542" t="s">
        <v>336</v>
      </c>
      <c r="Q33" s="567">
        <f ca="1">SUMIFS(INDIRECT("'ZipOutNA-"&amp;$B$2&amp;"BSR'!$M$5:$M$669"),INDIRECT("'ZipOutNA-"&amp;$B$2&amp;"BSR'!$D$5:$D$669"),99705)/35</f>
        <v>13858.663037632059</v>
      </c>
      <c r="R33" s="567">
        <f ca="1">SUMIFS(INDIRECT("'ZipOutNA-"&amp;$B$2&amp;"BSR'!$M$5:$M$669"),INDIRECT("'ZipOutNA-"&amp;$B$2&amp;"BSR'!$D$5:$D$669"),99705)/35</f>
        <v>13858.663037632059</v>
      </c>
      <c r="S33" s="567">
        <f ca="1">SUMIFS(INDIRECT("'ZipOutNA-"&amp;$B$2&amp;"BSR'!$M$5:$M$669"),INDIRECT("'ZipOutNA-"&amp;$B$2&amp;"BSR'!$D$5:$D$669"),99705)/35</f>
        <v>13858.663037632059</v>
      </c>
      <c r="T33" s="542" t="s">
        <v>336</v>
      </c>
      <c r="U33" s="567">
        <f ca="1">SUMIFS(INDIRECT("'ZipOutNA-"&amp;$B$2&amp;"BSR'!$M$5:$M$669"),INDIRECT("'ZipOutNA-"&amp;$B$2&amp;"BSR'!$D$5:$D$669"),99705)/35</f>
        <v>13858.663037632059</v>
      </c>
      <c r="V33" s="567">
        <f ca="1">SUMIFS(INDIRECT("'ZipOutNA-"&amp;$B$2&amp;"BSR'!$M$5:$M$669"),INDIRECT("'ZipOutNA-"&amp;$B$2&amp;"BSR'!$D$5:$D$669"),99705)/35</f>
        <v>13858.663037632059</v>
      </c>
      <c r="W33" s="542" t="s">
        <v>336</v>
      </c>
    </row>
    <row r="34" spans="1:23" ht="15.75" thickTop="1" x14ac:dyDescent="0.25">
      <c r="C34" s="137">
        <f ca="1">SUM(C32:C33)</f>
        <v>1.9361240122631047</v>
      </c>
      <c r="D34" s="137">
        <f ca="1">SUM(D32:D33)</f>
        <v>1.9361240122631047</v>
      </c>
      <c r="E34" s="137">
        <f ca="1">SUM(E32:E33)</f>
        <v>1.9361240122631047</v>
      </c>
      <c r="F34" s="566" t="s">
        <v>336</v>
      </c>
      <c r="G34" s="137">
        <f ca="1">SUM(G32:G33)</f>
        <v>1.9361240122631047</v>
      </c>
      <c r="H34" s="137">
        <f ca="1">SUM(H32:H33)</f>
        <v>1.9361240122631047</v>
      </c>
      <c r="I34" s="566" t="s">
        <v>336</v>
      </c>
      <c r="J34" s="137">
        <f ca="1">SUM(J32:J33)</f>
        <v>2.8484091083636636</v>
      </c>
      <c r="K34" s="137">
        <f ca="1">SUM(K32:K33)</f>
        <v>2.8484091083636636</v>
      </c>
      <c r="L34" s="137">
        <f ca="1">SUM(L32:L33)</f>
        <v>2.8484091083636636</v>
      </c>
      <c r="M34" s="566" t="s">
        <v>336</v>
      </c>
      <c r="N34" s="137">
        <f ca="1">SUM(N32:N33)</f>
        <v>2.8484091083636636</v>
      </c>
      <c r="O34" s="137">
        <f ca="1">SUM(O32:O33)</f>
        <v>2.8484091083636636</v>
      </c>
      <c r="P34" s="566" t="s">
        <v>336</v>
      </c>
      <c r="Q34" s="87">
        <f ca="1">SUM(Q32:Q33)</f>
        <v>36155.28227290709</v>
      </c>
      <c r="R34" s="87">
        <f ca="1">SUM(R32:R33)</f>
        <v>36155.28227290709</v>
      </c>
      <c r="S34" s="87">
        <f ca="1">SUM(S32:S33)</f>
        <v>36155.28227290709</v>
      </c>
      <c r="T34" s="566" t="s">
        <v>336</v>
      </c>
      <c r="U34" s="87">
        <f ca="1">SUM(U32:U33)</f>
        <v>36155.28227290709</v>
      </c>
      <c r="V34" s="87">
        <f ca="1">SUM(V32:V33)</f>
        <v>36155.28227290709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2019 Baseline NA Area PM2.5 Emissions (tpd) by Curtailment Regime</v>
      </c>
      <c r="D38" s="840"/>
      <c r="E38" s="840"/>
      <c r="F38" s="840"/>
      <c r="G38" s="840"/>
      <c r="H38" s="840"/>
      <c r="I38" s="840"/>
      <c r="J38" s="840" t="str">
        <f>J4</f>
        <v>2019 Baseline NA Area SO2 Emissions (tpd) by Curtailment Regime</v>
      </c>
      <c r="K38" s="840"/>
      <c r="L38" s="840"/>
      <c r="M38" s="840"/>
      <c r="N38" s="840"/>
      <c r="O38" s="840"/>
      <c r="P38" s="840"/>
      <c r="Q38" s="840" t="str">
        <f>Q4</f>
        <v>2019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0.23315298990771927</v>
      </c>
      <c r="D40" s="133">
        <f t="shared" ca="1" si="3"/>
        <v>0.23315298990771927</v>
      </c>
      <c r="E40" s="133">
        <f t="shared" ca="1" si="3"/>
        <v>0.23315298990771927</v>
      </c>
      <c r="F40" s="551" t="s">
        <v>336</v>
      </c>
      <c r="G40" s="575">
        <f t="shared" ref="G40:H55" ca="1" si="4">G6*G$32/G$26</f>
        <v>0.23315298990771927</v>
      </c>
      <c r="H40" s="575">
        <f t="shared" ca="1" si="4"/>
        <v>0.23315298990771927</v>
      </c>
      <c r="I40" s="574" t="s">
        <v>336</v>
      </c>
      <c r="J40" s="133">
        <f t="shared" ref="J40:L55" ca="1" si="5">J6*J$32/J$26</f>
        <v>3.2002590866433821E-3</v>
      </c>
      <c r="K40" s="133">
        <f t="shared" ca="1" si="5"/>
        <v>3.2002590866433821E-3</v>
      </c>
      <c r="L40" s="133">
        <f t="shared" ca="1" si="5"/>
        <v>3.2002590866433821E-3</v>
      </c>
      <c r="M40" s="551" t="s">
        <v>336</v>
      </c>
      <c r="N40" s="575">
        <f t="shared" ref="N40:O55" ca="1" si="6">N6*N$32/N$26</f>
        <v>3.2002590866433821E-3</v>
      </c>
      <c r="O40" s="575">
        <f t="shared" ca="1" si="6"/>
        <v>3.2002590866433821E-3</v>
      </c>
      <c r="P40" s="574" t="s">
        <v>336</v>
      </c>
      <c r="Q40" s="45">
        <f t="shared" ref="Q40:S55" ca="1" si="7">Q6*Q$32/Q$26</f>
        <v>262.90389122649663</v>
      </c>
      <c r="R40" s="45">
        <f t="shared" ca="1" si="7"/>
        <v>262.90389122649663</v>
      </c>
      <c r="S40" s="45">
        <f t="shared" ca="1" si="7"/>
        <v>262.90389122649663</v>
      </c>
      <c r="T40" s="581" t="s">
        <v>336</v>
      </c>
      <c r="U40" s="573">
        <f t="shared" ref="U40:V55" ca="1" si="8">U6*U$32/U$26</f>
        <v>262.90389122649663</v>
      </c>
      <c r="V40" s="573">
        <f t="shared" ca="1" si="8"/>
        <v>262.90389122649663</v>
      </c>
      <c r="W40" s="574" t="s">
        <v>336</v>
      </c>
    </row>
    <row r="41" spans="1:23" x14ac:dyDescent="0.25">
      <c r="A41" s="812" t="str">
        <f t="shared" ref="A41:A58" si="9">A40</f>
        <v>FB</v>
      </c>
      <c r="B41" s="812" t="s">
        <v>138</v>
      </c>
      <c r="C41" s="133">
        <f t="shared" ca="1" si="3"/>
        <v>1.8196642452580496E-2</v>
      </c>
      <c r="D41" s="133">
        <f t="shared" ca="1" si="3"/>
        <v>1.8196642452580496E-2</v>
      </c>
      <c r="E41" s="133">
        <f t="shared" ca="1" si="3"/>
        <v>1.8196642452580496E-2</v>
      </c>
      <c r="F41" s="551" t="s">
        <v>336</v>
      </c>
      <c r="G41" s="575">
        <f t="shared" ca="1" si="4"/>
        <v>1.8196642452580496E-2</v>
      </c>
      <c r="H41" s="575">
        <f t="shared" ca="1" si="4"/>
        <v>1.8196642452580496E-2</v>
      </c>
      <c r="I41" s="574" t="s">
        <v>336</v>
      </c>
      <c r="J41" s="133">
        <f t="shared" ca="1" si="5"/>
        <v>2.8241651152706426E-4</v>
      </c>
      <c r="K41" s="133">
        <f t="shared" ca="1" si="5"/>
        <v>2.8241651152706426E-4</v>
      </c>
      <c r="L41" s="133">
        <f t="shared" ca="1" si="5"/>
        <v>2.8241651152706426E-4</v>
      </c>
      <c r="M41" s="551" t="s">
        <v>336</v>
      </c>
      <c r="N41" s="575">
        <f t="shared" ca="1" si="6"/>
        <v>2.8241651152706426E-4</v>
      </c>
      <c r="O41" s="575">
        <f t="shared" ca="1" si="6"/>
        <v>2.8241651152706426E-4</v>
      </c>
      <c r="P41" s="574" t="s">
        <v>336</v>
      </c>
      <c r="Q41" s="45">
        <f t="shared" ca="1" si="7"/>
        <v>23.196613029137637</v>
      </c>
      <c r="R41" s="45">
        <f t="shared" ca="1" si="7"/>
        <v>23.196613029137637</v>
      </c>
      <c r="S41" s="45">
        <f t="shared" ca="1" si="7"/>
        <v>23.196613029137637</v>
      </c>
      <c r="T41" s="581" t="s">
        <v>336</v>
      </c>
      <c r="U41" s="573">
        <f t="shared" ca="1" si="8"/>
        <v>23.196613029137637</v>
      </c>
      <c r="V41" s="573">
        <f t="shared" ca="1" si="8"/>
        <v>23.196613029137637</v>
      </c>
      <c r="W41" s="574" t="s">
        <v>336</v>
      </c>
    </row>
    <row r="42" spans="1:23" x14ac:dyDescent="0.25">
      <c r="A42" s="812" t="str">
        <f t="shared" si="9"/>
        <v>FB</v>
      </c>
      <c r="B42" s="812" t="s">
        <v>139</v>
      </c>
      <c r="C42" s="133">
        <f t="shared" ca="1" si="3"/>
        <v>1.502412068895599E-2</v>
      </c>
      <c r="D42" s="133">
        <f t="shared" ca="1" si="3"/>
        <v>1.502412068895599E-2</v>
      </c>
      <c r="E42" s="133">
        <f t="shared" ca="1" si="3"/>
        <v>1.502412068895599E-2</v>
      </c>
      <c r="F42" s="551" t="s">
        <v>336</v>
      </c>
      <c r="G42" s="575">
        <f t="shared" ca="1" si="4"/>
        <v>1.502412068895599E-2</v>
      </c>
      <c r="H42" s="575">
        <f t="shared" ca="1" si="4"/>
        <v>1.502412068895599E-2</v>
      </c>
      <c r="I42" s="574" t="s">
        <v>336</v>
      </c>
      <c r="J42" s="133">
        <f t="shared" ca="1" si="5"/>
        <v>5.9460432880538449E-4</v>
      </c>
      <c r="K42" s="133">
        <f t="shared" ca="1" si="5"/>
        <v>5.9460432880538449E-4</v>
      </c>
      <c r="L42" s="133">
        <f t="shared" ca="1" si="5"/>
        <v>5.9460432880538449E-4</v>
      </c>
      <c r="M42" s="551" t="s">
        <v>336</v>
      </c>
      <c r="N42" s="575">
        <f t="shared" ca="1" si="6"/>
        <v>5.9460432880538449E-4</v>
      </c>
      <c r="O42" s="575">
        <f t="shared" ca="1" si="6"/>
        <v>5.9460432880538449E-4</v>
      </c>
      <c r="P42" s="574" t="s">
        <v>336</v>
      </c>
      <c r="Q42" s="45">
        <f t="shared" ca="1" si="7"/>
        <v>48.838527344485101</v>
      </c>
      <c r="R42" s="45">
        <f t="shared" ca="1" si="7"/>
        <v>48.838527344485101</v>
      </c>
      <c r="S42" s="45">
        <f t="shared" ca="1" si="7"/>
        <v>48.838527344485101</v>
      </c>
      <c r="T42" s="581" t="s">
        <v>336</v>
      </c>
      <c r="U42" s="573">
        <f t="shared" ca="1" si="8"/>
        <v>48.838527344485101</v>
      </c>
      <c r="V42" s="573">
        <f t="shared" ca="1" si="8"/>
        <v>48.838527344485101</v>
      </c>
      <c r="W42" s="574" t="s">
        <v>336</v>
      </c>
    </row>
    <row r="43" spans="1:23" x14ac:dyDescent="0.25">
      <c r="A43" s="812" t="str">
        <f t="shared" si="9"/>
        <v>FB</v>
      </c>
      <c r="B43" s="812" t="s">
        <v>140</v>
      </c>
      <c r="C43" s="133">
        <f t="shared" ca="1" si="3"/>
        <v>9.7994224151545847E-3</v>
      </c>
      <c r="D43" s="133">
        <f t="shared" ca="1" si="3"/>
        <v>9.7994224151545847E-3</v>
      </c>
      <c r="E43" s="133">
        <f t="shared" ca="1" si="3"/>
        <v>9.7994224151545847E-3</v>
      </c>
      <c r="F43" s="551" t="s">
        <v>336</v>
      </c>
      <c r="G43" s="575">
        <f t="shared" ca="1" si="4"/>
        <v>9.7994224151545847E-3</v>
      </c>
      <c r="H43" s="575">
        <f t="shared" ca="1" si="4"/>
        <v>9.7994224151545847E-3</v>
      </c>
      <c r="I43" s="574" t="s">
        <v>336</v>
      </c>
      <c r="J43" s="133">
        <f t="shared" ca="1" si="5"/>
        <v>3.5799534168422145E-4</v>
      </c>
      <c r="K43" s="133">
        <f t="shared" ca="1" si="5"/>
        <v>3.5799534168422145E-4</v>
      </c>
      <c r="L43" s="133">
        <f t="shared" ca="1" si="5"/>
        <v>3.5799534168422145E-4</v>
      </c>
      <c r="M43" s="551" t="s">
        <v>336</v>
      </c>
      <c r="N43" s="575">
        <f t="shared" ca="1" si="6"/>
        <v>3.5799534168422145E-4</v>
      </c>
      <c r="O43" s="575">
        <f t="shared" ca="1" si="6"/>
        <v>3.5799534168422145E-4</v>
      </c>
      <c r="P43" s="574" t="s">
        <v>336</v>
      </c>
      <c r="Q43" s="45">
        <f t="shared" ca="1" si="7"/>
        <v>29.40436932097359</v>
      </c>
      <c r="R43" s="45">
        <f t="shared" ca="1" si="7"/>
        <v>29.40436932097359</v>
      </c>
      <c r="S43" s="45">
        <f t="shared" ca="1" si="7"/>
        <v>29.40436932097359</v>
      </c>
      <c r="T43" s="581" t="s">
        <v>336</v>
      </c>
      <c r="U43" s="573">
        <f t="shared" ca="1" si="8"/>
        <v>29.40436932097359</v>
      </c>
      <c r="V43" s="573">
        <f t="shared" ca="1" si="8"/>
        <v>29.40436932097359</v>
      </c>
      <c r="W43" s="574" t="s">
        <v>336</v>
      </c>
    </row>
    <row r="44" spans="1:23" x14ac:dyDescent="0.25">
      <c r="A44" s="812" t="str">
        <f t="shared" si="9"/>
        <v>FB</v>
      </c>
      <c r="B44" s="812" t="s">
        <v>141</v>
      </c>
      <c r="C44" s="133">
        <f t="shared" ca="1" si="3"/>
        <v>0.14653234278487284</v>
      </c>
      <c r="D44" s="133">
        <f t="shared" ca="1" si="3"/>
        <v>0.14653234278487284</v>
      </c>
      <c r="E44" s="133">
        <f t="shared" ca="1" si="3"/>
        <v>0.14653234278487284</v>
      </c>
      <c r="F44" s="551" t="s">
        <v>336</v>
      </c>
      <c r="G44" s="575">
        <f t="shared" ca="1" si="4"/>
        <v>0.14653234278487284</v>
      </c>
      <c r="H44" s="575">
        <f t="shared" ca="1" si="4"/>
        <v>0.14653234278487284</v>
      </c>
      <c r="I44" s="574" t="s">
        <v>336</v>
      </c>
      <c r="J44" s="133">
        <f t="shared" ca="1" si="5"/>
        <v>5.7314230067692495E-3</v>
      </c>
      <c r="K44" s="133">
        <f t="shared" ca="1" si="5"/>
        <v>5.7314230067692495E-3</v>
      </c>
      <c r="L44" s="133">
        <f t="shared" ca="1" si="5"/>
        <v>5.7314230067692495E-3</v>
      </c>
      <c r="M44" s="551" t="s">
        <v>336</v>
      </c>
      <c r="N44" s="575">
        <f t="shared" ca="1" si="6"/>
        <v>5.7314230067692495E-3</v>
      </c>
      <c r="O44" s="575">
        <f t="shared" ca="1" si="6"/>
        <v>5.7314230067692495E-3</v>
      </c>
      <c r="P44" s="574" t="s">
        <v>336</v>
      </c>
      <c r="Q44" s="45">
        <f t="shared" ca="1" si="7"/>
        <v>470.75718369101827</v>
      </c>
      <c r="R44" s="45">
        <f t="shared" ca="1" si="7"/>
        <v>470.75718369101827</v>
      </c>
      <c r="S44" s="45">
        <f t="shared" ca="1" si="7"/>
        <v>470.75718369101827</v>
      </c>
      <c r="T44" s="581" t="s">
        <v>336</v>
      </c>
      <c r="U44" s="573">
        <f t="shared" ca="1" si="8"/>
        <v>470.75718369101827</v>
      </c>
      <c r="V44" s="573">
        <f t="shared" ca="1" si="8"/>
        <v>470.75718369101827</v>
      </c>
      <c r="W44" s="574" t="s">
        <v>336</v>
      </c>
    </row>
    <row r="45" spans="1:23" x14ac:dyDescent="0.25">
      <c r="A45" s="812" t="str">
        <f t="shared" si="9"/>
        <v>FB</v>
      </c>
      <c r="B45" s="812" t="s">
        <v>142</v>
      </c>
      <c r="C45" s="133">
        <f t="shared" ca="1" si="3"/>
        <v>0.20136608719453478</v>
      </c>
      <c r="D45" s="133">
        <f t="shared" ca="1" si="3"/>
        <v>0.20136608719453478</v>
      </c>
      <c r="E45" s="133">
        <f t="shared" ca="1" si="3"/>
        <v>0.20136608719453478</v>
      </c>
      <c r="F45" s="551" t="s">
        <v>336</v>
      </c>
      <c r="G45" s="575">
        <f t="shared" ca="1" si="4"/>
        <v>0.20136608719453478</v>
      </c>
      <c r="H45" s="575">
        <f t="shared" ca="1" si="4"/>
        <v>0.20136608719453478</v>
      </c>
      <c r="I45" s="574" t="s">
        <v>336</v>
      </c>
      <c r="J45" s="133">
        <f t="shared" ca="1" si="5"/>
        <v>1.206703146219262E-2</v>
      </c>
      <c r="K45" s="133">
        <f t="shared" ca="1" si="5"/>
        <v>1.206703146219262E-2</v>
      </c>
      <c r="L45" s="133">
        <f t="shared" ca="1" si="5"/>
        <v>1.206703146219262E-2</v>
      </c>
      <c r="M45" s="551" t="s">
        <v>336</v>
      </c>
      <c r="N45" s="575">
        <f t="shared" ca="1" si="6"/>
        <v>1.206703146219262E-2</v>
      </c>
      <c r="O45" s="575">
        <f t="shared" ca="1" si="6"/>
        <v>1.206703146219262E-2</v>
      </c>
      <c r="P45" s="574" t="s">
        <v>336</v>
      </c>
      <c r="Q45" s="45">
        <f t="shared" ca="1" si="7"/>
        <v>991.1398512975635</v>
      </c>
      <c r="R45" s="45">
        <f t="shared" ca="1" si="7"/>
        <v>991.1398512975635</v>
      </c>
      <c r="S45" s="45">
        <f t="shared" ca="1" si="7"/>
        <v>991.1398512975635</v>
      </c>
      <c r="T45" s="581" t="s">
        <v>336</v>
      </c>
      <c r="U45" s="573">
        <f t="shared" ca="1" si="8"/>
        <v>991.1398512975635</v>
      </c>
      <c r="V45" s="573">
        <f t="shared" ca="1" si="8"/>
        <v>991.1398512975635</v>
      </c>
      <c r="W45" s="574" t="s">
        <v>336</v>
      </c>
    </row>
    <row r="46" spans="1:23" x14ac:dyDescent="0.25">
      <c r="A46" s="812" t="str">
        <f t="shared" si="9"/>
        <v>FB</v>
      </c>
      <c r="B46" s="812" t="s">
        <v>143</v>
      </c>
      <c r="C46" s="133">
        <f t="shared" ca="1" si="3"/>
        <v>0.1345233887298018</v>
      </c>
      <c r="D46" s="133">
        <f t="shared" ca="1" si="3"/>
        <v>0.1345233887298018</v>
      </c>
      <c r="E46" s="133">
        <f t="shared" ca="1" si="3"/>
        <v>0.1345233887298018</v>
      </c>
      <c r="F46" s="551" t="s">
        <v>336</v>
      </c>
      <c r="G46" s="575">
        <f t="shared" ca="1" si="4"/>
        <v>0.1345233887298018</v>
      </c>
      <c r="H46" s="575">
        <f t="shared" ca="1" si="4"/>
        <v>0.1345233887298018</v>
      </c>
      <c r="I46" s="574" t="s">
        <v>336</v>
      </c>
      <c r="J46" s="133">
        <f t="shared" ca="1" si="5"/>
        <v>7.2652364642232948E-3</v>
      </c>
      <c r="K46" s="133">
        <f t="shared" ca="1" si="5"/>
        <v>7.2652364642232948E-3</v>
      </c>
      <c r="L46" s="133">
        <f t="shared" ca="1" si="5"/>
        <v>7.2652364642232948E-3</v>
      </c>
      <c r="M46" s="551" t="s">
        <v>336</v>
      </c>
      <c r="N46" s="575">
        <f t="shared" ca="1" si="6"/>
        <v>7.2652364642232948E-3</v>
      </c>
      <c r="O46" s="575">
        <f t="shared" ca="1" si="6"/>
        <v>7.2652364642232948E-3</v>
      </c>
      <c r="P46" s="574" t="s">
        <v>336</v>
      </c>
      <c r="Q46" s="45">
        <f t="shared" ca="1" si="7"/>
        <v>596.73875976482236</v>
      </c>
      <c r="R46" s="45">
        <f t="shared" ca="1" si="7"/>
        <v>596.73875976482236</v>
      </c>
      <c r="S46" s="45">
        <f t="shared" ca="1" si="7"/>
        <v>596.73875976482236</v>
      </c>
      <c r="T46" s="581" t="s">
        <v>336</v>
      </c>
      <c r="U46" s="573">
        <f t="shared" ca="1" si="8"/>
        <v>596.73875976482236</v>
      </c>
      <c r="V46" s="573">
        <f t="shared" ca="1" si="8"/>
        <v>596.73875976482236</v>
      </c>
      <c r="W46" s="574" t="s">
        <v>336</v>
      </c>
    </row>
    <row r="47" spans="1:23" x14ac:dyDescent="0.25">
      <c r="A47" s="812" t="str">
        <f t="shared" si="9"/>
        <v>FB</v>
      </c>
      <c r="B47" s="812" t="s">
        <v>144</v>
      </c>
      <c r="C47" s="133">
        <f t="shared" ca="1" si="3"/>
        <v>4.9637373120362538E-3</v>
      </c>
      <c r="D47" s="133">
        <f t="shared" ca="1" si="3"/>
        <v>4.9637373120362538E-3</v>
      </c>
      <c r="E47" s="133">
        <f t="shared" ca="1" si="3"/>
        <v>4.9637373120362538E-3</v>
      </c>
      <c r="F47" s="551" t="s">
        <v>336</v>
      </c>
      <c r="G47" s="575">
        <f t="shared" ca="1" si="4"/>
        <v>4.9637373120362538E-3</v>
      </c>
      <c r="H47" s="575">
        <f t="shared" ca="1" si="4"/>
        <v>4.9637373120362538E-3</v>
      </c>
      <c r="I47" s="574" t="s">
        <v>336</v>
      </c>
      <c r="J47" s="133">
        <f t="shared" ca="1" si="5"/>
        <v>6.3712891453148216E-4</v>
      </c>
      <c r="K47" s="133">
        <f t="shared" ca="1" si="5"/>
        <v>6.3712891453148216E-4</v>
      </c>
      <c r="L47" s="133">
        <f t="shared" ca="1" si="5"/>
        <v>6.3712891453148216E-4</v>
      </c>
      <c r="M47" s="551" t="s">
        <v>336</v>
      </c>
      <c r="N47" s="575">
        <f t="shared" ca="1" si="6"/>
        <v>6.3712891453148216E-4</v>
      </c>
      <c r="O47" s="575">
        <f t="shared" ca="1" si="6"/>
        <v>6.3712891453148216E-4</v>
      </c>
      <c r="P47" s="574" t="s">
        <v>336</v>
      </c>
      <c r="Q47" s="45">
        <f t="shared" ca="1" si="7"/>
        <v>62.49322417416554</v>
      </c>
      <c r="R47" s="45">
        <f t="shared" ca="1" si="7"/>
        <v>62.49322417416554</v>
      </c>
      <c r="S47" s="45">
        <f t="shared" ca="1" si="7"/>
        <v>62.49322417416554</v>
      </c>
      <c r="T47" s="581" t="s">
        <v>336</v>
      </c>
      <c r="U47" s="573">
        <f t="shared" ca="1" si="8"/>
        <v>62.49322417416554</v>
      </c>
      <c r="V47" s="573">
        <f t="shared" ca="1" si="8"/>
        <v>62.49322417416554</v>
      </c>
      <c r="W47" s="574" t="s">
        <v>336</v>
      </c>
    </row>
    <row r="48" spans="1:23" x14ac:dyDescent="0.25">
      <c r="A48" s="812" t="str">
        <f t="shared" si="9"/>
        <v>FB</v>
      </c>
      <c r="B48" s="812" t="s">
        <v>145</v>
      </c>
      <c r="C48" s="133">
        <f t="shared" ca="1" si="3"/>
        <v>1.6742840219487531E-2</v>
      </c>
      <c r="D48" s="133">
        <f t="shared" ca="1" si="3"/>
        <v>1.6742840219487531E-2</v>
      </c>
      <c r="E48" s="133">
        <f t="shared" ca="1" si="3"/>
        <v>1.6742840219487531E-2</v>
      </c>
      <c r="F48" s="551" t="s">
        <v>336</v>
      </c>
      <c r="G48" s="575">
        <f t="shared" ca="1" si="4"/>
        <v>1.6742840219487531E-2</v>
      </c>
      <c r="H48" s="575">
        <f t="shared" ca="1" si="4"/>
        <v>1.6742840219487531E-2</v>
      </c>
      <c r="I48" s="574" t="s">
        <v>336</v>
      </c>
      <c r="J48" s="133">
        <f t="shared" ca="1" si="5"/>
        <v>2.1490556297871686E-3</v>
      </c>
      <c r="K48" s="133">
        <f t="shared" ca="1" si="5"/>
        <v>2.1490556297871686E-3</v>
      </c>
      <c r="L48" s="133">
        <f t="shared" ca="1" si="5"/>
        <v>2.1490556297871686E-3</v>
      </c>
      <c r="M48" s="551" t="s">
        <v>336</v>
      </c>
      <c r="N48" s="575">
        <f t="shared" ca="1" si="6"/>
        <v>2.1490556297871686E-3</v>
      </c>
      <c r="O48" s="575">
        <f t="shared" ca="1" si="6"/>
        <v>2.1490556297871686E-3</v>
      </c>
      <c r="P48" s="574" t="s">
        <v>336</v>
      </c>
      <c r="Q48" s="45">
        <f t="shared" ca="1" si="7"/>
        <v>210.79158734116101</v>
      </c>
      <c r="R48" s="45">
        <f t="shared" ca="1" si="7"/>
        <v>210.79158734116101</v>
      </c>
      <c r="S48" s="45">
        <f t="shared" ca="1" si="7"/>
        <v>210.79158734116101</v>
      </c>
      <c r="T48" s="581" t="s">
        <v>336</v>
      </c>
      <c r="U48" s="573">
        <f t="shared" ca="1" si="8"/>
        <v>210.79158734116101</v>
      </c>
      <c r="V48" s="573">
        <f t="shared" ca="1" si="8"/>
        <v>210.79158734116101</v>
      </c>
      <c r="W48" s="574" t="s">
        <v>336</v>
      </c>
    </row>
    <row r="49" spans="1:23" x14ac:dyDescent="0.25">
      <c r="A49" s="812" t="str">
        <f t="shared" si="9"/>
        <v>FB</v>
      </c>
      <c r="B49" s="812" t="s">
        <v>146</v>
      </c>
      <c r="C49" s="133">
        <f t="shared" ca="1" si="3"/>
        <v>8.3184349583539194E-2</v>
      </c>
      <c r="D49" s="133">
        <f t="shared" ca="1" si="3"/>
        <v>8.3184349583539194E-2</v>
      </c>
      <c r="E49" s="133">
        <f t="shared" ca="1" si="3"/>
        <v>8.3184349583539194E-2</v>
      </c>
      <c r="F49" s="551" t="s">
        <v>336</v>
      </c>
      <c r="G49" s="575">
        <f t="shared" ca="1" si="4"/>
        <v>8.3184349583539194E-2</v>
      </c>
      <c r="H49" s="575">
        <f t="shared" ca="1" si="4"/>
        <v>8.3184349583539194E-2</v>
      </c>
      <c r="I49" s="574" t="s">
        <v>336</v>
      </c>
      <c r="J49" s="133">
        <f t="shared" ca="1" si="5"/>
        <v>4.0025616499516376E-3</v>
      </c>
      <c r="K49" s="133">
        <f t="shared" ca="1" si="5"/>
        <v>4.0025616499516376E-3</v>
      </c>
      <c r="L49" s="133">
        <f t="shared" ca="1" si="5"/>
        <v>4.0025616499516376E-3</v>
      </c>
      <c r="M49" s="551" t="s">
        <v>336</v>
      </c>
      <c r="N49" s="575">
        <f t="shared" ca="1" si="6"/>
        <v>4.0025616499516376E-3</v>
      </c>
      <c r="O49" s="575">
        <f t="shared" ca="1" si="6"/>
        <v>4.0025616499516376E-3</v>
      </c>
      <c r="P49" s="574" t="s">
        <v>336</v>
      </c>
      <c r="Q49" s="45">
        <f t="shared" ca="1" si="7"/>
        <v>328.64226701573023</v>
      </c>
      <c r="R49" s="45">
        <f t="shared" ca="1" si="7"/>
        <v>328.64226701573023</v>
      </c>
      <c r="S49" s="45">
        <f t="shared" ca="1" si="7"/>
        <v>328.64226701573023</v>
      </c>
      <c r="T49" s="581" t="s">
        <v>336</v>
      </c>
      <c r="U49" s="573">
        <f t="shared" ca="1" si="8"/>
        <v>328.64226701573023</v>
      </c>
      <c r="V49" s="573">
        <f t="shared" ca="1" si="8"/>
        <v>328.64226701573023</v>
      </c>
      <c r="W49" s="574" t="s">
        <v>336</v>
      </c>
    </row>
    <row r="50" spans="1:23" x14ac:dyDescent="0.25">
      <c r="A50" s="812" t="str">
        <f t="shared" si="9"/>
        <v>FB</v>
      </c>
      <c r="B50" s="812" t="s">
        <v>568</v>
      </c>
      <c r="C50" s="133">
        <f t="shared" ca="1" si="3"/>
        <v>1.8447004411604233E-2</v>
      </c>
      <c r="D50" s="133">
        <f t="shared" ca="1" si="3"/>
        <v>1.8447004411604233E-2</v>
      </c>
      <c r="E50" s="133">
        <f t="shared" ca="1" si="3"/>
        <v>1.8447004411604233E-2</v>
      </c>
      <c r="F50" s="551" t="s">
        <v>336</v>
      </c>
      <c r="G50" s="575">
        <f t="shared" ca="1" si="4"/>
        <v>1.8447004411604233E-2</v>
      </c>
      <c r="H50" s="575">
        <f t="shared" ca="1" si="4"/>
        <v>1.8447004411604233E-2</v>
      </c>
      <c r="I50" s="574" t="s">
        <v>336</v>
      </c>
      <c r="J50" s="133">
        <f t="shared" ca="1" si="5"/>
        <v>1.3864032100591723</v>
      </c>
      <c r="K50" s="133">
        <f t="shared" ca="1" si="5"/>
        <v>1.3864032100591723</v>
      </c>
      <c r="L50" s="133">
        <f t="shared" ca="1" si="5"/>
        <v>1.3864032100591723</v>
      </c>
      <c r="M50" s="551" t="s">
        <v>336</v>
      </c>
      <c r="N50" s="575">
        <f t="shared" ca="1" si="6"/>
        <v>1.3864032100591723</v>
      </c>
      <c r="O50" s="575">
        <f t="shared" ca="1" si="6"/>
        <v>1.3864032100591723</v>
      </c>
      <c r="P50" s="574" t="s">
        <v>336</v>
      </c>
      <c r="Q50" s="45">
        <f t="shared" ca="1" si="7"/>
        <v>13174.088273914285</v>
      </c>
      <c r="R50" s="45">
        <f t="shared" ca="1" si="7"/>
        <v>13174.088273914285</v>
      </c>
      <c r="S50" s="45">
        <f t="shared" ca="1" si="7"/>
        <v>13174.088273914285</v>
      </c>
      <c r="T50" s="581" t="s">
        <v>336</v>
      </c>
      <c r="U50" s="573">
        <f t="shared" ca="1" si="8"/>
        <v>13174.088273914285</v>
      </c>
      <c r="V50" s="573">
        <f t="shared" ca="1" si="8"/>
        <v>13174.088273914285</v>
      </c>
      <c r="W50" s="574" t="s">
        <v>336</v>
      </c>
    </row>
    <row r="51" spans="1:23" x14ac:dyDescent="0.25">
      <c r="A51" s="812" t="str">
        <f t="shared" si="9"/>
        <v>FB</v>
      </c>
      <c r="B51" s="812" t="s">
        <v>148</v>
      </c>
      <c r="C51" s="133">
        <f t="shared" ca="1" si="3"/>
        <v>5.6147222558469087E-3</v>
      </c>
      <c r="D51" s="133">
        <f t="shared" ca="1" si="3"/>
        <v>5.6147222558469087E-3</v>
      </c>
      <c r="E51" s="133">
        <f t="shared" ca="1" si="3"/>
        <v>5.6147222558469087E-3</v>
      </c>
      <c r="F51" s="551" t="s">
        <v>336</v>
      </c>
      <c r="G51" s="575">
        <f t="shared" ca="1" si="4"/>
        <v>5.6147222558469087E-3</v>
      </c>
      <c r="H51" s="575">
        <f t="shared" ca="1" si="4"/>
        <v>5.6147222558469087E-3</v>
      </c>
      <c r="I51" s="574" t="s">
        <v>336</v>
      </c>
      <c r="J51" s="133">
        <f t="shared" ca="1" si="5"/>
        <v>0.18575980270033518</v>
      </c>
      <c r="K51" s="133">
        <f t="shared" ca="1" si="5"/>
        <v>0.18575980270033518</v>
      </c>
      <c r="L51" s="133">
        <f t="shared" ca="1" si="5"/>
        <v>0.18575980270033518</v>
      </c>
      <c r="M51" s="551" t="s">
        <v>336</v>
      </c>
      <c r="N51" s="575">
        <f t="shared" ca="1" si="6"/>
        <v>0.18575980270033518</v>
      </c>
      <c r="O51" s="575">
        <f t="shared" ca="1" si="6"/>
        <v>0.18575980270033518</v>
      </c>
      <c r="P51" s="574" t="s">
        <v>336</v>
      </c>
      <c r="Q51" s="45">
        <f t="shared" ca="1" si="7"/>
        <v>4137.9549056932892</v>
      </c>
      <c r="R51" s="45">
        <f t="shared" ca="1" si="7"/>
        <v>4137.9549056932892</v>
      </c>
      <c r="S51" s="45">
        <f t="shared" ca="1" si="7"/>
        <v>4137.9549056932892</v>
      </c>
      <c r="T51" s="581" t="s">
        <v>336</v>
      </c>
      <c r="U51" s="573">
        <f t="shared" ca="1" si="8"/>
        <v>4137.9549056932892</v>
      </c>
      <c r="V51" s="573">
        <f t="shared" ca="1" si="8"/>
        <v>4137.9549056932892</v>
      </c>
      <c r="W51" s="574" t="s">
        <v>336</v>
      </c>
    </row>
    <row r="52" spans="1:23" x14ac:dyDescent="0.25">
      <c r="A52" s="812" t="str">
        <f t="shared" si="9"/>
        <v>FB</v>
      </c>
      <c r="B52" s="812" t="s">
        <v>746</v>
      </c>
      <c r="C52" s="133">
        <f t="shared" ca="1" si="3"/>
        <v>1.099708909861949E-4</v>
      </c>
      <c r="D52" s="133">
        <f t="shared" ca="1" si="3"/>
        <v>1.099708909861949E-4</v>
      </c>
      <c r="E52" s="133">
        <f t="shared" ca="1" si="3"/>
        <v>1.099708909861949E-4</v>
      </c>
      <c r="F52" s="551" t="s">
        <v>336</v>
      </c>
      <c r="G52" s="575">
        <f t="shared" ca="1" si="4"/>
        <v>1.099708909861949E-4</v>
      </c>
      <c r="H52" s="575">
        <f t="shared" ca="1" si="4"/>
        <v>1.099708909861949E-4</v>
      </c>
      <c r="I52" s="574" t="s">
        <v>336</v>
      </c>
      <c r="J52" s="133">
        <f t="shared" ca="1" si="5"/>
        <v>9.4344069290133534E-3</v>
      </c>
      <c r="K52" s="133">
        <f t="shared" ca="1" si="5"/>
        <v>9.4344069290133534E-3</v>
      </c>
      <c r="L52" s="133">
        <f t="shared" ca="1" si="5"/>
        <v>9.4344069290133534E-3</v>
      </c>
      <c r="M52" s="551" t="s">
        <v>336</v>
      </c>
      <c r="N52" s="575">
        <f t="shared" ca="1" si="6"/>
        <v>9.4344069290133534E-3</v>
      </c>
      <c r="O52" s="575">
        <f t="shared" ca="1" si="6"/>
        <v>9.4344069290133534E-3</v>
      </c>
      <c r="P52" s="574" t="s">
        <v>336</v>
      </c>
      <c r="Q52" s="45">
        <f t="shared" ca="1" si="7"/>
        <v>91.508896838627265</v>
      </c>
      <c r="R52" s="45">
        <f t="shared" ca="1" si="7"/>
        <v>91.508896838627265</v>
      </c>
      <c r="S52" s="45">
        <f t="shared" ca="1" si="7"/>
        <v>91.508896838627265</v>
      </c>
      <c r="T52" s="581" t="s">
        <v>336</v>
      </c>
      <c r="U52" s="573">
        <f t="shared" ca="1" si="8"/>
        <v>91.508896838627265</v>
      </c>
      <c r="V52" s="573">
        <f t="shared" ca="1" si="8"/>
        <v>91.508896838627265</v>
      </c>
      <c r="W52" s="574" t="s">
        <v>336</v>
      </c>
    </row>
    <row r="53" spans="1:23" x14ac:dyDescent="0.25">
      <c r="A53" s="812" t="str">
        <f t="shared" si="9"/>
        <v>FB</v>
      </c>
      <c r="B53" s="812" t="s">
        <v>747</v>
      </c>
      <c r="C53" s="133">
        <f t="shared" ca="1" si="3"/>
        <v>4.2676855867787361E-4</v>
      </c>
      <c r="D53" s="133">
        <f t="shared" ca="1" si="3"/>
        <v>4.2676855867787361E-4</v>
      </c>
      <c r="E53" s="133">
        <f t="shared" ca="1" si="3"/>
        <v>4.2676855867787361E-4</v>
      </c>
      <c r="F53" s="551" t="s">
        <v>336</v>
      </c>
      <c r="G53" s="575">
        <f t="shared" ca="1" si="4"/>
        <v>4.2676855867787361E-4</v>
      </c>
      <c r="H53" s="575">
        <f t="shared" ca="1" si="4"/>
        <v>4.2676855867787361E-4</v>
      </c>
      <c r="I53" s="574" t="s">
        <v>336</v>
      </c>
      <c r="J53" s="133">
        <f t="shared" ca="1" si="5"/>
        <v>3.2074221185263763E-2</v>
      </c>
      <c r="K53" s="133">
        <f t="shared" ca="1" si="5"/>
        <v>3.2074221185263763E-2</v>
      </c>
      <c r="L53" s="133">
        <f t="shared" ca="1" si="5"/>
        <v>3.2074221185263763E-2</v>
      </c>
      <c r="M53" s="551" t="s">
        <v>336</v>
      </c>
      <c r="N53" s="575">
        <f t="shared" ca="1" si="6"/>
        <v>3.2074221185263763E-2</v>
      </c>
      <c r="O53" s="575">
        <f t="shared" ca="1" si="6"/>
        <v>3.2074221185263763E-2</v>
      </c>
      <c r="P53" s="574" t="s">
        <v>336</v>
      </c>
      <c r="Q53" s="45">
        <f t="shared" ca="1" si="7"/>
        <v>283.86387792411142</v>
      </c>
      <c r="R53" s="45">
        <f t="shared" ca="1" si="7"/>
        <v>283.86387792411142</v>
      </c>
      <c r="S53" s="45">
        <f t="shared" ca="1" si="7"/>
        <v>283.86387792411142</v>
      </c>
      <c r="T53" s="581" t="s">
        <v>336</v>
      </c>
      <c r="U53" s="573">
        <f t="shared" ca="1" si="8"/>
        <v>283.86387792411142</v>
      </c>
      <c r="V53" s="573">
        <f t="shared" ca="1" si="8"/>
        <v>283.86387792411142</v>
      </c>
      <c r="W53" s="574" t="s">
        <v>336</v>
      </c>
    </row>
    <row r="54" spans="1:23" x14ac:dyDescent="0.25">
      <c r="A54" s="812" t="str">
        <f t="shared" si="9"/>
        <v>FB</v>
      </c>
      <c r="B54" s="812" t="s">
        <v>149</v>
      </c>
      <c r="C54" s="133">
        <f t="shared" ca="1" si="3"/>
        <v>2.2031199415923915E-6</v>
      </c>
      <c r="D54" s="133">
        <f t="shared" ca="1" si="3"/>
        <v>2.2031199415923915E-6</v>
      </c>
      <c r="E54" s="133">
        <f t="shared" ca="1" si="3"/>
        <v>2.2031199415923915E-6</v>
      </c>
      <c r="F54" s="551" t="s">
        <v>336</v>
      </c>
      <c r="G54" s="575">
        <f t="shared" ca="1" si="4"/>
        <v>2.2031199415923915E-6</v>
      </c>
      <c r="H54" s="575">
        <f t="shared" ca="1" si="4"/>
        <v>2.2031199415923915E-6</v>
      </c>
      <c r="I54" s="574" t="s">
        <v>336</v>
      </c>
      <c r="J54" s="133">
        <f t="shared" ca="1" si="5"/>
        <v>3.1685734973552565E-5</v>
      </c>
      <c r="K54" s="133">
        <f t="shared" ca="1" si="5"/>
        <v>3.1685734973552565E-5</v>
      </c>
      <c r="L54" s="133">
        <f t="shared" ca="1" si="5"/>
        <v>3.1685734973552565E-5</v>
      </c>
      <c r="M54" s="551" t="s">
        <v>336</v>
      </c>
      <c r="N54" s="575">
        <f t="shared" ca="1" si="6"/>
        <v>3.1685734973552565E-5</v>
      </c>
      <c r="O54" s="575">
        <f t="shared" ca="1" si="6"/>
        <v>3.1685734973552565E-5</v>
      </c>
      <c r="P54" s="574" t="s">
        <v>336</v>
      </c>
      <c r="Q54" s="45">
        <f t="shared" ca="1" si="7"/>
        <v>133.40429877015731</v>
      </c>
      <c r="R54" s="45">
        <f t="shared" ca="1" si="7"/>
        <v>133.40429877015731</v>
      </c>
      <c r="S54" s="45">
        <f t="shared" ca="1" si="7"/>
        <v>133.40429877015731</v>
      </c>
      <c r="T54" s="581" t="s">
        <v>336</v>
      </c>
      <c r="U54" s="573">
        <f t="shared" ca="1" si="8"/>
        <v>133.40429877015731</v>
      </c>
      <c r="V54" s="573">
        <f t="shared" ca="1" si="8"/>
        <v>133.40429877015731</v>
      </c>
      <c r="W54" s="574" t="s">
        <v>336</v>
      </c>
    </row>
    <row r="55" spans="1:23" x14ac:dyDescent="0.25">
      <c r="A55" s="812" t="str">
        <f t="shared" si="9"/>
        <v>FB</v>
      </c>
      <c r="B55" s="812" t="s">
        <v>150</v>
      </c>
      <c r="C55" s="133">
        <f t="shared" ca="1" si="3"/>
        <v>3.7940628918100832E-3</v>
      </c>
      <c r="D55" s="133">
        <f t="shared" ca="1" si="3"/>
        <v>3.7940628918100832E-3</v>
      </c>
      <c r="E55" s="133">
        <f t="shared" ca="1" si="3"/>
        <v>3.7940628918100832E-3</v>
      </c>
      <c r="F55" s="551" t="s">
        <v>336</v>
      </c>
      <c r="G55" s="575">
        <f t="shared" ca="1" si="4"/>
        <v>3.7940628918100832E-3</v>
      </c>
      <c r="H55" s="575">
        <f t="shared" ca="1" si="4"/>
        <v>3.7940628918100832E-3</v>
      </c>
      <c r="I55" s="574" t="s">
        <v>336</v>
      </c>
      <c r="J55" s="133">
        <f t="shared" ca="1" si="5"/>
        <v>3.5563331780062008E-4</v>
      </c>
      <c r="K55" s="133">
        <f t="shared" ca="1" si="5"/>
        <v>3.5563331780062008E-4</v>
      </c>
      <c r="L55" s="133">
        <f t="shared" ca="1" si="5"/>
        <v>3.5563331780062008E-4</v>
      </c>
      <c r="M55" s="551" t="s">
        <v>336</v>
      </c>
      <c r="N55" s="575">
        <f t="shared" ca="1" si="6"/>
        <v>3.5563331780062008E-4</v>
      </c>
      <c r="O55" s="575">
        <f t="shared" ca="1" si="6"/>
        <v>3.5563331780062008E-4</v>
      </c>
      <c r="P55" s="574" t="s">
        <v>336</v>
      </c>
      <c r="Q55" s="45">
        <f t="shared" ca="1" si="7"/>
        <v>1231.112742247866</v>
      </c>
      <c r="R55" s="45">
        <f t="shared" ca="1" si="7"/>
        <v>1231.112742247866</v>
      </c>
      <c r="S55" s="45">
        <f t="shared" ca="1" si="7"/>
        <v>1231.112742247866</v>
      </c>
      <c r="T55" s="581" t="s">
        <v>336</v>
      </c>
      <c r="U55" s="573">
        <f t="shared" ca="1" si="8"/>
        <v>1231.112742247866</v>
      </c>
      <c r="V55" s="573">
        <f t="shared" ca="1" si="8"/>
        <v>1231.112742247866</v>
      </c>
      <c r="W55" s="574" t="s">
        <v>336</v>
      </c>
    </row>
    <row r="56" spans="1:23" x14ac:dyDescent="0.25">
      <c r="A56" s="812" t="str">
        <f t="shared" si="9"/>
        <v>FB</v>
      </c>
      <c r="B56" s="812" t="s">
        <v>151</v>
      </c>
      <c r="C56" s="133">
        <f t="shared" ref="C56:E59" ca="1" si="10">C22*C$32/C$26</f>
        <v>3.2815681230856458E-2</v>
      </c>
      <c r="D56" s="133">
        <f t="shared" ca="1" si="10"/>
        <v>3.2815681230856458E-2</v>
      </c>
      <c r="E56" s="133">
        <f t="shared" ca="1" si="10"/>
        <v>3.2815681230856458E-2</v>
      </c>
      <c r="F56" s="551" t="s">
        <v>336</v>
      </c>
      <c r="G56" s="575">
        <f t="shared" ref="G56:H59" ca="1" si="11">G22*G$32/G$26</f>
        <v>3.2815681230856458E-2</v>
      </c>
      <c r="H56" s="575">
        <f t="shared" ca="1" si="11"/>
        <v>3.2815681230856458E-2</v>
      </c>
      <c r="I56" s="574" t="s">
        <v>336</v>
      </c>
      <c r="J56" s="133">
        <f t="shared" ref="J56:L59" ca="1" si="12">J22*J$32/J$26</f>
        <v>4.5350058464058041E-2</v>
      </c>
      <c r="K56" s="133">
        <f t="shared" ca="1" si="12"/>
        <v>4.5350058464058041E-2</v>
      </c>
      <c r="L56" s="133">
        <f t="shared" ca="1" si="12"/>
        <v>4.5350058464058041E-2</v>
      </c>
      <c r="M56" s="551" t="s">
        <v>336</v>
      </c>
      <c r="N56" s="575">
        <f t="shared" ref="N56:O59" ca="1" si="13">N22*N$32/N$26</f>
        <v>4.5350058464058041E-2</v>
      </c>
      <c r="O56" s="575">
        <f t="shared" ca="1" si="13"/>
        <v>4.5350058464058041E-2</v>
      </c>
      <c r="P56" s="574" t="s">
        <v>336</v>
      </c>
      <c r="Q56" s="45">
        <f t="shared" ref="Q56:S59" ca="1" si="14">Q22*Q$32/Q$26</f>
        <v>151.67677421067972</v>
      </c>
      <c r="R56" s="45">
        <f t="shared" ca="1" si="14"/>
        <v>151.67677421067972</v>
      </c>
      <c r="S56" s="45">
        <f t="shared" ca="1" si="14"/>
        <v>151.67677421067972</v>
      </c>
      <c r="T56" s="581" t="s">
        <v>336</v>
      </c>
      <c r="U56" s="573">
        <f t="shared" ref="U56:V59" ca="1" si="15">U22*U$32/U$26</f>
        <v>151.67677421067972</v>
      </c>
      <c r="V56" s="573">
        <f t="shared" ca="1" si="15"/>
        <v>151.67677421067972</v>
      </c>
      <c r="W56" s="574" t="s">
        <v>336</v>
      </c>
    </row>
    <row r="57" spans="1:23" x14ac:dyDescent="0.25">
      <c r="A57" s="812" t="str">
        <f t="shared" si="9"/>
        <v>FB</v>
      </c>
      <c r="B57" s="812" t="s">
        <v>152</v>
      </c>
      <c r="C57" s="133">
        <f t="shared" ca="1" si="10"/>
        <v>9.9015292784206574E-5</v>
      </c>
      <c r="D57" s="133">
        <f t="shared" ca="1" si="10"/>
        <v>9.9015292784206574E-5</v>
      </c>
      <c r="E57" s="133">
        <f t="shared" ca="1" si="10"/>
        <v>9.9015292784206574E-5</v>
      </c>
      <c r="F57" s="551" t="s">
        <v>336</v>
      </c>
      <c r="G57" s="575">
        <f t="shared" ca="1" si="11"/>
        <v>9.9015292784206574E-5</v>
      </c>
      <c r="H57" s="575">
        <f t="shared" ca="1" si="11"/>
        <v>9.9015292784206574E-5</v>
      </c>
      <c r="I57" s="574" t="s">
        <v>336</v>
      </c>
      <c r="J57" s="133">
        <f t="shared" ca="1" si="12"/>
        <v>1.3683547463208952E-4</v>
      </c>
      <c r="K57" s="133">
        <f t="shared" ca="1" si="12"/>
        <v>1.3683547463208952E-4</v>
      </c>
      <c r="L57" s="133">
        <f t="shared" ca="1" si="12"/>
        <v>1.3683547463208952E-4</v>
      </c>
      <c r="M57" s="551" t="s">
        <v>336</v>
      </c>
      <c r="N57" s="575">
        <f t="shared" ca="1" si="13"/>
        <v>1.3683547463208952E-4</v>
      </c>
      <c r="O57" s="575">
        <f t="shared" ca="1" si="13"/>
        <v>1.3683547463208952E-4</v>
      </c>
      <c r="P57" s="574" t="s">
        <v>336</v>
      </c>
      <c r="Q57" s="45">
        <f t="shared" ca="1" si="14"/>
        <v>6.9187781020186279</v>
      </c>
      <c r="R57" s="45">
        <f t="shared" ca="1" si="14"/>
        <v>6.9187781020186279</v>
      </c>
      <c r="S57" s="45">
        <f t="shared" ca="1" si="14"/>
        <v>6.9187781020186279</v>
      </c>
      <c r="T57" s="581" t="s">
        <v>336</v>
      </c>
      <c r="U57" s="573">
        <f t="shared" ca="1" si="15"/>
        <v>6.9187781020186279</v>
      </c>
      <c r="V57" s="573">
        <f t="shared" ca="1" si="15"/>
        <v>6.9187781020186279</v>
      </c>
      <c r="W57" s="574" t="s">
        <v>336</v>
      </c>
    </row>
    <row r="58" spans="1:23" x14ac:dyDescent="0.25">
      <c r="A58" s="812" t="str">
        <f t="shared" si="9"/>
        <v>FB</v>
      </c>
      <c r="B58" s="812" t="s">
        <v>153</v>
      </c>
      <c r="C58" s="133">
        <f t="shared" ca="1" si="10"/>
        <v>9.6989194778174224E-5</v>
      </c>
      <c r="D58" s="133">
        <f t="shared" ca="1" si="10"/>
        <v>9.6989194778174224E-5</v>
      </c>
      <c r="E58" s="133">
        <f t="shared" ca="1" si="10"/>
        <v>9.6989194778174224E-5</v>
      </c>
      <c r="F58" s="551" t="s">
        <v>336</v>
      </c>
      <c r="G58" s="575">
        <f t="shared" ca="1" si="11"/>
        <v>9.6989194778174224E-5</v>
      </c>
      <c r="H58" s="575">
        <f t="shared" ca="1" si="11"/>
        <v>9.6989194778174224E-5</v>
      </c>
      <c r="I58" s="574" t="s">
        <v>336</v>
      </c>
      <c r="J58" s="133">
        <f t="shared" ca="1" si="12"/>
        <v>3.3683856181642972E-6</v>
      </c>
      <c r="K58" s="133">
        <f t="shared" ca="1" si="12"/>
        <v>3.3683856181642972E-6</v>
      </c>
      <c r="L58" s="133">
        <f t="shared" ca="1" si="12"/>
        <v>3.3683856181642972E-6</v>
      </c>
      <c r="M58" s="551" t="s">
        <v>336</v>
      </c>
      <c r="N58" s="575">
        <f t="shared" ca="1" si="13"/>
        <v>3.3683856181642972E-6</v>
      </c>
      <c r="O58" s="575">
        <f t="shared" ca="1" si="13"/>
        <v>3.3683856181642972E-6</v>
      </c>
      <c r="P58" s="574" t="s">
        <v>336</v>
      </c>
      <c r="Q58" s="45">
        <f t="shared" ca="1" si="14"/>
        <v>3.6101817385034729</v>
      </c>
      <c r="R58" s="45">
        <f t="shared" ca="1" si="14"/>
        <v>3.6101817385034729</v>
      </c>
      <c r="S58" s="45">
        <f t="shared" ca="1" si="14"/>
        <v>3.6101817385034729</v>
      </c>
      <c r="T58" s="581" t="s">
        <v>336</v>
      </c>
      <c r="U58" s="573">
        <f t="shared" ca="1" si="15"/>
        <v>3.6101817385034729</v>
      </c>
      <c r="V58" s="573">
        <f t="shared" ca="1" si="15"/>
        <v>3.6101817385034729</v>
      </c>
      <c r="W58" s="574" t="s">
        <v>336</v>
      </c>
    </row>
    <row r="59" spans="1:23" x14ac:dyDescent="0.25">
      <c r="A59" s="813" t="str">
        <f>A56</f>
        <v>FB</v>
      </c>
      <c r="B59" s="813" t="s">
        <v>154</v>
      </c>
      <c r="C59" s="135">
        <f t="shared" ca="1" si="10"/>
        <v>8.9041005767630656E-4</v>
      </c>
      <c r="D59" s="135">
        <f t="shared" ca="1" si="10"/>
        <v>8.9041005767630656E-4</v>
      </c>
      <c r="E59" s="135">
        <f t="shared" ca="1" si="10"/>
        <v>8.9041005767630656E-4</v>
      </c>
      <c r="F59" s="580" t="s">
        <v>336</v>
      </c>
      <c r="G59" s="579">
        <f t="shared" ca="1" si="11"/>
        <v>8.9041005767630656E-4</v>
      </c>
      <c r="H59" s="579">
        <f t="shared" ca="1" si="11"/>
        <v>8.9041005767630656E-4</v>
      </c>
      <c r="I59" s="576" t="s">
        <v>336</v>
      </c>
      <c r="J59" s="135">
        <f t="shared" ca="1" si="12"/>
        <v>7.5091575563976587E-3</v>
      </c>
      <c r="K59" s="135">
        <f t="shared" ca="1" si="12"/>
        <v>7.5091575563976587E-3</v>
      </c>
      <c r="L59" s="135">
        <f t="shared" ca="1" si="12"/>
        <v>7.5091575563976587E-3</v>
      </c>
      <c r="M59" s="580" t="s">
        <v>336</v>
      </c>
      <c r="N59" s="579">
        <f t="shared" ca="1" si="13"/>
        <v>7.5091575563976587E-3</v>
      </c>
      <c r="O59" s="579">
        <f t="shared" ca="1" si="13"/>
        <v>7.5091575563976587E-3</v>
      </c>
      <c r="P59" s="576" t="s">
        <v>336</v>
      </c>
      <c r="Q59" s="88">
        <f t="shared" ca="1" si="14"/>
        <v>57.574231629945047</v>
      </c>
      <c r="R59" s="88">
        <f t="shared" ca="1" si="14"/>
        <v>57.574231629945047</v>
      </c>
      <c r="S59" s="88">
        <f t="shared" ca="1" si="14"/>
        <v>57.574231629945047</v>
      </c>
      <c r="T59" s="578" t="s">
        <v>336</v>
      </c>
      <c r="U59" s="577">
        <f t="shared" ca="1" si="15"/>
        <v>57.574231629945047</v>
      </c>
      <c r="V59" s="577">
        <f t="shared" ca="1" si="15"/>
        <v>57.574231629945047</v>
      </c>
      <c r="W59" s="576" t="s">
        <v>336</v>
      </c>
    </row>
    <row r="60" spans="1:23" x14ac:dyDescent="0.25">
      <c r="A60" s="82" t="s">
        <v>754</v>
      </c>
      <c r="B60" s="812" t="s">
        <v>137</v>
      </c>
      <c r="C60" s="133">
        <f t="shared" ref="C60:E75" ca="1" si="16">C6*C$33/C$26</f>
        <v>0.25444855881896916</v>
      </c>
      <c r="D60" s="575">
        <f t="shared" ca="1" si="16"/>
        <v>0.25444855881896916</v>
      </c>
      <c r="E60" s="575">
        <f t="shared" ca="1" si="16"/>
        <v>0.25444855881896916</v>
      </c>
      <c r="F60" s="574" t="s">
        <v>336</v>
      </c>
      <c r="G60" s="133">
        <f t="shared" ref="G60:H75" ca="1" si="17">G6*G$33/G$26</f>
        <v>0.25444855881896916</v>
      </c>
      <c r="H60" s="133">
        <f t="shared" ca="1" si="17"/>
        <v>0.25444855881896916</v>
      </c>
      <c r="I60" s="551" t="s">
        <v>336</v>
      </c>
      <c r="J60" s="575">
        <f t="shared" ref="J60:L75" ca="1" si="18">J6*J$33/J$26</f>
        <v>2.1513527632578628E-3</v>
      </c>
      <c r="K60" s="575">
        <f t="shared" ca="1" si="18"/>
        <v>2.1513527632578628E-3</v>
      </c>
      <c r="L60" s="575">
        <f t="shared" ca="1" si="18"/>
        <v>2.1513527632578628E-3</v>
      </c>
      <c r="M60" s="574" t="s">
        <v>336</v>
      </c>
      <c r="N60" s="133">
        <f t="shared" ref="N60:O75" ca="1" si="19">N6*N$33/N$26</f>
        <v>2.1513527632578628E-3</v>
      </c>
      <c r="O60" s="133">
        <f t="shared" ca="1" si="19"/>
        <v>2.1513527632578628E-3</v>
      </c>
      <c r="P60" s="551" t="s">
        <v>336</v>
      </c>
      <c r="Q60" s="573">
        <f t="shared" ref="Q60:S75" ca="1" si="20">Q6*Q$33/Q$26</f>
        <v>163.41026419045565</v>
      </c>
      <c r="R60" s="573">
        <f t="shared" ca="1" si="20"/>
        <v>163.41026419045565</v>
      </c>
      <c r="S60" s="573">
        <f t="shared" ca="1" si="20"/>
        <v>163.41026419045565</v>
      </c>
      <c r="T60" s="572" t="s">
        <v>336</v>
      </c>
      <c r="U60" s="45">
        <f t="shared" ref="U60:V75" ca="1" si="21">U6*U$33/U$26</f>
        <v>163.41026419045565</v>
      </c>
      <c r="V60" s="45">
        <f t="shared" ca="1" si="21"/>
        <v>163.41026419045565</v>
      </c>
      <c r="W60" s="551" t="s">
        <v>336</v>
      </c>
    </row>
    <row r="61" spans="1:23" x14ac:dyDescent="0.25">
      <c r="A61" s="812" t="str">
        <f t="shared" ref="A61:A78" si="22">A60</f>
        <v>NP</v>
      </c>
      <c r="B61" s="812" t="s">
        <v>138</v>
      </c>
      <c r="C61" s="133">
        <f t="shared" ca="1" si="16"/>
        <v>1.9858674980903109E-2</v>
      </c>
      <c r="D61" s="575">
        <f t="shared" ca="1" si="16"/>
        <v>1.9858674980903109E-2</v>
      </c>
      <c r="E61" s="575">
        <f t="shared" ca="1" si="16"/>
        <v>1.9858674980903109E-2</v>
      </c>
      <c r="F61" s="574" t="s">
        <v>336</v>
      </c>
      <c r="G61" s="133">
        <f t="shared" ca="1" si="17"/>
        <v>1.9858674980903109E-2</v>
      </c>
      <c r="H61" s="133">
        <f t="shared" ca="1" si="17"/>
        <v>1.9858674980903109E-2</v>
      </c>
      <c r="I61" s="551" t="s">
        <v>336</v>
      </c>
      <c r="J61" s="575">
        <f t="shared" ca="1" si="18"/>
        <v>1.8985261068367392E-4</v>
      </c>
      <c r="K61" s="575">
        <f t="shared" ca="1" si="18"/>
        <v>1.8985261068367392E-4</v>
      </c>
      <c r="L61" s="575">
        <f t="shared" ca="1" si="18"/>
        <v>1.8985261068367392E-4</v>
      </c>
      <c r="M61" s="574" t="s">
        <v>336</v>
      </c>
      <c r="N61" s="133">
        <f t="shared" ca="1" si="19"/>
        <v>1.8985261068367392E-4</v>
      </c>
      <c r="O61" s="133">
        <f t="shared" ca="1" si="19"/>
        <v>1.8985261068367392E-4</v>
      </c>
      <c r="P61" s="551" t="s">
        <v>336</v>
      </c>
      <c r="Q61" s="573">
        <f t="shared" ca="1" si="20"/>
        <v>14.418062226966068</v>
      </c>
      <c r="R61" s="573">
        <f t="shared" ca="1" si="20"/>
        <v>14.418062226966068</v>
      </c>
      <c r="S61" s="573">
        <f t="shared" ca="1" si="20"/>
        <v>14.418062226966068</v>
      </c>
      <c r="T61" s="572" t="s">
        <v>336</v>
      </c>
      <c r="U61" s="45">
        <f t="shared" ca="1" si="21"/>
        <v>14.418062226966068</v>
      </c>
      <c r="V61" s="45">
        <f t="shared" ca="1" si="21"/>
        <v>14.418062226966068</v>
      </c>
      <c r="W61" s="551" t="s">
        <v>336</v>
      </c>
    </row>
    <row r="62" spans="1:23" x14ac:dyDescent="0.25">
      <c r="A62" s="812" t="str">
        <f t="shared" si="22"/>
        <v>NP</v>
      </c>
      <c r="B62" s="812" t="s">
        <v>139</v>
      </c>
      <c r="C62" s="133">
        <f t="shared" ca="1" si="16"/>
        <v>1.6396383586331789E-2</v>
      </c>
      <c r="D62" s="575">
        <f t="shared" ca="1" si="16"/>
        <v>1.6396383586331789E-2</v>
      </c>
      <c r="E62" s="575">
        <f t="shared" ca="1" si="16"/>
        <v>1.6396383586331789E-2</v>
      </c>
      <c r="F62" s="574" t="s">
        <v>336</v>
      </c>
      <c r="G62" s="133">
        <f t="shared" ca="1" si="17"/>
        <v>1.6396383586331789E-2</v>
      </c>
      <c r="H62" s="133">
        <f t="shared" ca="1" si="17"/>
        <v>1.6396383586331789E-2</v>
      </c>
      <c r="I62" s="551" t="s">
        <v>336</v>
      </c>
      <c r="J62" s="575">
        <f t="shared" ca="1" si="18"/>
        <v>3.9971878250715442E-4</v>
      </c>
      <c r="K62" s="575">
        <f t="shared" ca="1" si="18"/>
        <v>3.9971878250715442E-4</v>
      </c>
      <c r="L62" s="575">
        <f t="shared" ca="1" si="18"/>
        <v>3.9971878250715442E-4</v>
      </c>
      <c r="M62" s="574" t="s">
        <v>336</v>
      </c>
      <c r="N62" s="133">
        <f t="shared" ca="1" si="19"/>
        <v>3.9971878250715442E-4</v>
      </c>
      <c r="O62" s="133">
        <f t="shared" ca="1" si="19"/>
        <v>3.9971878250715442E-4</v>
      </c>
      <c r="P62" s="551" t="s">
        <v>336</v>
      </c>
      <c r="Q62" s="573">
        <f t="shared" ca="1" si="20"/>
        <v>30.356023331581525</v>
      </c>
      <c r="R62" s="573">
        <f t="shared" ca="1" si="20"/>
        <v>30.356023331581525</v>
      </c>
      <c r="S62" s="573">
        <f t="shared" ca="1" si="20"/>
        <v>30.356023331581525</v>
      </c>
      <c r="T62" s="572" t="s">
        <v>336</v>
      </c>
      <c r="U62" s="45">
        <f t="shared" ca="1" si="21"/>
        <v>30.356023331581525</v>
      </c>
      <c r="V62" s="45">
        <f t="shared" ca="1" si="21"/>
        <v>30.356023331581525</v>
      </c>
      <c r="W62" s="551" t="s">
        <v>336</v>
      </c>
    </row>
    <row r="63" spans="1:23" x14ac:dyDescent="0.25">
      <c r="A63" s="812" t="str">
        <f t="shared" si="22"/>
        <v>NP</v>
      </c>
      <c r="B63" s="812" t="s">
        <v>140</v>
      </c>
      <c r="C63" s="133">
        <f t="shared" ca="1" si="16"/>
        <v>1.0694475381942474E-2</v>
      </c>
      <c r="D63" s="575">
        <f t="shared" ca="1" si="16"/>
        <v>1.0694475381942474E-2</v>
      </c>
      <c r="E63" s="575">
        <f t="shared" ca="1" si="16"/>
        <v>1.0694475381942474E-2</v>
      </c>
      <c r="F63" s="574" t="s">
        <v>336</v>
      </c>
      <c r="G63" s="133">
        <f t="shared" ca="1" si="17"/>
        <v>1.0694475381942474E-2</v>
      </c>
      <c r="H63" s="133">
        <f t="shared" ca="1" si="17"/>
        <v>1.0694475381942474E-2</v>
      </c>
      <c r="I63" s="551" t="s">
        <v>336</v>
      </c>
      <c r="J63" s="575">
        <f t="shared" ca="1" si="18"/>
        <v>2.406599736815672E-4</v>
      </c>
      <c r="K63" s="575">
        <f t="shared" ca="1" si="18"/>
        <v>2.406599736815672E-4</v>
      </c>
      <c r="L63" s="575">
        <f t="shared" ca="1" si="18"/>
        <v>2.406599736815672E-4</v>
      </c>
      <c r="M63" s="574" t="s">
        <v>336</v>
      </c>
      <c r="N63" s="133">
        <f t="shared" ca="1" si="19"/>
        <v>2.406599736815672E-4</v>
      </c>
      <c r="O63" s="133">
        <f t="shared" ca="1" si="19"/>
        <v>2.406599736815672E-4</v>
      </c>
      <c r="P63" s="551" t="s">
        <v>336</v>
      </c>
      <c r="Q63" s="573">
        <f t="shared" ca="1" si="20"/>
        <v>18.276548653113874</v>
      </c>
      <c r="R63" s="573">
        <f t="shared" ca="1" si="20"/>
        <v>18.276548653113874</v>
      </c>
      <c r="S63" s="573">
        <f t="shared" ca="1" si="20"/>
        <v>18.276548653113874</v>
      </c>
      <c r="T63" s="572" t="s">
        <v>336</v>
      </c>
      <c r="U63" s="45">
        <f t="shared" ca="1" si="21"/>
        <v>18.276548653113874</v>
      </c>
      <c r="V63" s="45">
        <f t="shared" ca="1" si="21"/>
        <v>18.276548653113874</v>
      </c>
      <c r="W63" s="551" t="s">
        <v>336</v>
      </c>
    </row>
    <row r="64" spans="1:23" x14ac:dyDescent="0.25">
      <c r="A64" s="812" t="str">
        <f t="shared" si="22"/>
        <v>NP</v>
      </c>
      <c r="B64" s="812" t="s">
        <v>141</v>
      </c>
      <c r="C64" s="133">
        <f t="shared" ca="1" si="16"/>
        <v>0.15991621405642387</v>
      </c>
      <c r="D64" s="575">
        <f t="shared" ca="1" si="16"/>
        <v>0.15991621405642387</v>
      </c>
      <c r="E64" s="575">
        <f t="shared" ca="1" si="16"/>
        <v>0.15991621405642387</v>
      </c>
      <c r="F64" s="574" t="s">
        <v>336</v>
      </c>
      <c r="G64" s="133">
        <f t="shared" ca="1" si="17"/>
        <v>0.15991621405642387</v>
      </c>
      <c r="H64" s="133">
        <f t="shared" ca="1" si="17"/>
        <v>0.15991621405642387</v>
      </c>
      <c r="I64" s="551" t="s">
        <v>336</v>
      </c>
      <c r="J64" s="575">
        <f t="shared" ca="1" si="18"/>
        <v>3.8529107766538564E-3</v>
      </c>
      <c r="K64" s="575">
        <f t="shared" ca="1" si="18"/>
        <v>3.8529107766538564E-3</v>
      </c>
      <c r="L64" s="575">
        <f t="shared" ca="1" si="18"/>
        <v>3.8529107766538564E-3</v>
      </c>
      <c r="M64" s="574" t="s">
        <v>336</v>
      </c>
      <c r="N64" s="133">
        <f t="shared" ca="1" si="19"/>
        <v>3.8529107766538564E-3</v>
      </c>
      <c r="O64" s="133">
        <f t="shared" ca="1" si="19"/>
        <v>3.8529107766538564E-3</v>
      </c>
      <c r="P64" s="551" t="s">
        <v>336</v>
      </c>
      <c r="Q64" s="573">
        <f t="shared" ca="1" si="20"/>
        <v>292.60333651825061</v>
      </c>
      <c r="R64" s="573">
        <f t="shared" ca="1" si="20"/>
        <v>292.60333651825061</v>
      </c>
      <c r="S64" s="573">
        <f t="shared" ca="1" si="20"/>
        <v>292.60333651825061</v>
      </c>
      <c r="T64" s="572" t="s">
        <v>336</v>
      </c>
      <c r="U64" s="45">
        <f t="shared" ca="1" si="21"/>
        <v>292.60333651825061</v>
      </c>
      <c r="V64" s="45">
        <f t="shared" ca="1" si="21"/>
        <v>292.60333651825061</v>
      </c>
      <c r="W64" s="551" t="s">
        <v>336</v>
      </c>
    </row>
    <row r="65" spans="1:23" x14ac:dyDescent="0.25">
      <c r="A65" s="812" t="str">
        <f t="shared" si="22"/>
        <v>NP</v>
      </c>
      <c r="B65" s="812" t="s">
        <v>142</v>
      </c>
      <c r="C65" s="133">
        <f t="shared" ca="1" si="16"/>
        <v>0.21975832564679404</v>
      </c>
      <c r="D65" s="575">
        <f t="shared" ca="1" si="16"/>
        <v>0.21975832564679404</v>
      </c>
      <c r="E65" s="575">
        <f t="shared" ca="1" si="16"/>
        <v>0.21975832564679404</v>
      </c>
      <c r="F65" s="574" t="s">
        <v>336</v>
      </c>
      <c r="G65" s="133">
        <f t="shared" ca="1" si="17"/>
        <v>0.21975832564679404</v>
      </c>
      <c r="H65" s="133">
        <f t="shared" ca="1" si="17"/>
        <v>0.21975832564679404</v>
      </c>
      <c r="I65" s="551" t="s">
        <v>336</v>
      </c>
      <c r="J65" s="575">
        <f t="shared" ca="1" si="18"/>
        <v>8.1119811795414606E-3</v>
      </c>
      <c r="K65" s="575">
        <f t="shared" ca="1" si="18"/>
        <v>8.1119811795414606E-3</v>
      </c>
      <c r="L65" s="575">
        <f t="shared" ca="1" si="18"/>
        <v>8.1119811795414606E-3</v>
      </c>
      <c r="M65" s="574" t="s">
        <v>336</v>
      </c>
      <c r="N65" s="133">
        <f t="shared" ca="1" si="19"/>
        <v>8.1119811795414606E-3</v>
      </c>
      <c r="O65" s="133">
        <f t="shared" ca="1" si="19"/>
        <v>8.1119811795414606E-3</v>
      </c>
      <c r="P65" s="551" t="s">
        <v>336</v>
      </c>
      <c r="Q65" s="573">
        <f t="shared" ca="1" si="20"/>
        <v>616.05183626091753</v>
      </c>
      <c r="R65" s="573">
        <f t="shared" ca="1" si="20"/>
        <v>616.05183626091753</v>
      </c>
      <c r="S65" s="573">
        <f t="shared" ca="1" si="20"/>
        <v>616.05183626091753</v>
      </c>
      <c r="T65" s="572" t="s">
        <v>336</v>
      </c>
      <c r="U65" s="45">
        <f t="shared" ca="1" si="21"/>
        <v>616.05183626091753</v>
      </c>
      <c r="V65" s="45">
        <f t="shared" ca="1" si="21"/>
        <v>616.05183626091753</v>
      </c>
      <c r="W65" s="551" t="s">
        <v>336</v>
      </c>
    </row>
    <row r="66" spans="1:23" x14ac:dyDescent="0.25">
      <c r="A66" s="812" t="str">
        <f t="shared" si="22"/>
        <v>NP</v>
      </c>
      <c r="B66" s="812" t="s">
        <v>143</v>
      </c>
      <c r="C66" s="133">
        <f t="shared" ca="1" si="16"/>
        <v>0.14681039433931253</v>
      </c>
      <c r="D66" s="575">
        <f t="shared" ca="1" si="16"/>
        <v>0.14681039433931253</v>
      </c>
      <c r="E66" s="575">
        <f t="shared" ca="1" si="16"/>
        <v>0.14681039433931253</v>
      </c>
      <c r="F66" s="574" t="s">
        <v>336</v>
      </c>
      <c r="G66" s="133">
        <f t="shared" ca="1" si="17"/>
        <v>0.14681039433931253</v>
      </c>
      <c r="H66" s="133">
        <f t="shared" ca="1" si="17"/>
        <v>0.14681039433931253</v>
      </c>
      <c r="I66" s="551" t="s">
        <v>336</v>
      </c>
      <c r="J66" s="575">
        <f t="shared" ca="1" si="18"/>
        <v>4.8840066131715333E-3</v>
      </c>
      <c r="K66" s="575">
        <f t="shared" ca="1" si="18"/>
        <v>4.8840066131715333E-3</v>
      </c>
      <c r="L66" s="575">
        <f t="shared" ca="1" si="18"/>
        <v>4.8840066131715333E-3</v>
      </c>
      <c r="M66" s="574" t="s">
        <v>336</v>
      </c>
      <c r="N66" s="133">
        <f t="shared" ca="1" si="19"/>
        <v>4.8840066131715333E-3</v>
      </c>
      <c r="O66" s="133">
        <f t="shared" ca="1" si="19"/>
        <v>4.8840066131715333E-3</v>
      </c>
      <c r="P66" s="551" t="s">
        <v>336</v>
      </c>
      <c r="Q66" s="573">
        <f t="shared" ca="1" si="20"/>
        <v>370.90831151618437</v>
      </c>
      <c r="R66" s="573">
        <f t="shared" ca="1" si="20"/>
        <v>370.90831151618437</v>
      </c>
      <c r="S66" s="573">
        <f t="shared" ca="1" si="20"/>
        <v>370.90831151618437</v>
      </c>
      <c r="T66" s="572" t="s">
        <v>336</v>
      </c>
      <c r="U66" s="45">
        <f t="shared" ca="1" si="21"/>
        <v>370.90831151618437</v>
      </c>
      <c r="V66" s="45">
        <f t="shared" ca="1" si="21"/>
        <v>370.90831151618437</v>
      </c>
      <c r="W66" s="551" t="s">
        <v>336</v>
      </c>
    </row>
    <row r="67" spans="1:23" x14ac:dyDescent="0.25">
      <c r="A67" s="812" t="str">
        <f t="shared" si="22"/>
        <v>NP</v>
      </c>
      <c r="B67" s="812" t="s">
        <v>144</v>
      </c>
      <c r="C67" s="133">
        <f t="shared" ca="1" si="16"/>
        <v>5.4171117681290019E-3</v>
      </c>
      <c r="D67" s="575">
        <f t="shared" ca="1" si="16"/>
        <v>5.4171117681290019E-3</v>
      </c>
      <c r="E67" s="575">
        <f t="shared" ca="1" si="16"/>
        <v>5.4171117681290019E-3</v>
      </c>
      <c r="F67" s="574" t="s">
        <v>336</v>
      </c>
      <c r="G67" s="133">
        <f t="shared" ca="1" si="17"/>
        <v>5.4171117681290019E-3</v>
      </c>
      <c r="H67" s="133">
        <f t="shared" ca="1" si="17"/>
        <v>5.4171117681290019E-3</v>
      </c>
      <c r="I67" s="551" t="s">
        <v>336</v>
      </c>
      <c r="J67" s="575">
        <f t="shared" ca="1" si="18"/>
        <v>4.2830565079855619E-4</v>
      </c>
      <c r="K67" s="575">
        <f t="shared" ca="1" si="18"/>
        <v>4.2830565079855619E-4</v>
      </c>
      <c r="L67" s="575">
        <f t="shared" ca="1" si="18"/>
        <v>4.2830565079855619E-4</v>
      </c>
      <c r="M67" s="574" t="s">
        <v>336</v>
      </c>
      <c r="N67" s="133">
        <f t="shared" ca="1" si="19"/>
        <v>4.2830565079855619E-4</v>
      </c>
      <c r="O67" s="133">
        <f t="shared" ca="1" si="19"/>
        <v>4.2830565079855619E-4</v>
      </c>
      <c r="P67" s="551" t="s">
        <v>336</v>
      </c>
      <c r="Q67" s="573">
        <f t="shared" ca="1" si="20"/>
        <v>38.843222231411943</v>
      </c>
      <c r="R67" s="573">
        <f t="shared" ca="1" si="20"/>
        <v>38.843222231411943</v>
      </c>
      <c r="S67" s="573">
        <f t="shared" ca="1" si="20"/>
        <v>38.843222231411943</v>
      </c>
      <c r="T67" s="572" t="s">
        <v>336</v>
      </c>
      <c r="U67" s="45">
        <f t="shared" ca="1" si="21"/>
        <v>38.843222231411943</v>
      </c>
      <c r="V67" s="45">
        <f t="shared" ca="1" si="21"/>
        <v>38.843222231411943</v>
      </c>
      <c r="W67" s="551" t="s">
        <v>336</v>
      </c>
    </row>
    <row r="68" spans="1:23" x14ac:dyDescent="0.25">
      <c r="A68" s="812" t="str">
        <f t="shared" si="22"/>
        <v>NP</v>
      </c>
      <c r="B68" s="812" t="s">
        <v>145</v>
      </c>
      <c r="C68" s="133">
        <f t="shared" ca="1" si="16"/>
        <v>1.8272086350130178E-2</v>
      </c>
      <c r="D68" s="575">
        <f t="shared" ca="1" si="16"/>
        <v>1.8272086350130178E-2</v>
      </c>
      <c r="E68" s="575">
        <f t="shared" ca="1" si="16"/>
        <v>1.8272086350130178E-2</v>
      </c>
      <c r="F68" s="574" t="s">
        <v>336</v>
      </c>
      <c r="G68" s="133">
        <f t="shared" ca="1" si="17"/>
        <v>1.8272086350130178E-2</v>
      </c>
      <c r="H68" s="133">
        <f t="shared" ca="1" si="17"/>
        <v>1.8272086350130178E-2</v>
      </c>
      <c r="I68" s="551" t="s">
        <v>336</v>
      </c>
      <c r="J68" s="575">
        <f t="shared" ca="1" si="18"/>
        <v>1.4446882712820471E-3</v>
      </c>
      <c r="K68" s="575">
        <f t="shared" ca="1" si="18"/>
        <v>1.4446882712820471E-3</v>
      </c>
      <c r="L68" s="575">
        <f t="shared" ca="1" si="18"/>
        <v>1.4446882712820471E-3</v>
      </c>
      <c r="M68" s="574" t="s">
        <v>336</v>
      </c>
      <c r="N68" s="133">
        <f t="shared" ca="1" si="19"/>
        <v>1.4446882712820471E-3</v>
      </c>
      <c r="O68" s="133">
        <f t="shared" ca="1" si="19"/>
        <v>1.4446882712820471E-3</v>
      </c>
      <c r="P68" s="551" t="s">
        <v>336</v>
      </c>
      <c r="Q68" s="573">
        <f t="shared" ca="1" si="20"/>
        <v>131.01939577938455</v>
      </c>
      <c r="R68" s="573">
        <f t="shared" ca="1" si="20"/>
        <v>131.01939577938455</v>
      </c>
      <c r="S68" s="573">
        <f t="shared" ca="1" si="20"/>
        <v>131.01939577938455</v>
      </c>
      <c r="T68" s="572" t="s">
        <v>336</v>
      </c>
      <c r="U68" s="45">
        <f t="shared" ca="1" si="21"/>
        <v>131.01939577938455</v>
      </c>
      <c r="V68" s="45">
        <f t="shared" ca="1" si="21"/>
        <v>131.01939577938455</v>
      </c>
      <c r="W68" s="551" t="s">
        <v>336</v>
      </c>
    </row>
    <row r="69" spans="1:23" x14ac:dyDescent="0.25">
      <c r="A69" s="812" t="str">
        <f t="shared" si="22"/>
        <v>NP</v>
      </c>
      <c r="B69" s="812" t="s">
        <v>146</v>
      </c>
      <c r="C69" s="133">
        <f t="shared" ca="1" si="16"/>
        <v>9.0782185020240616E-2</v>
      </c>
      <c r="D69" s="575">
        <f t="shared" ca="1" si="16"/>
        <v>9.0782185020240616E-2</v>
      </c>
      <c r="E69" s="575">
        <f t="shared" ca="1" si="16"/>
        <v>9.0782185020240616E-2</v>
      </c>
      <c r="F69" s="574" t="s">
        <v>336</v>
      </c>
      <c r="G69" s="133">
        <f t="shared" ca="1" si="17"/>
        <v>9.0782185020240616E-2</v>
      </c>
      <c r="H69" s="133">
        <f t="shared" ca="1" si="17"/>
        <v>9.0782185020240616E-2</v>
      </c>
      <c r="I69" s="551" t="s">
        <v>336</v>
      </c>
      <c r="J69" s="575">
        <f t="shared" ca="1" si="18"/>
        <v>2.6906952945378688E-3</v>
      </c>
      <c r="K69" s="575">
        <f t="shared" ca="1" si="18"/>
        <v>2.6906952945378688E-3</v>
      </c>
      <c r="L69" s="575">
        <f t="shared" ca="1" si="18"/>
        <v>2.6906952945378688E-3</v>
      </c>
      <c r="M69" s="574" t="s">
        <v>336</v>
      </c>
      <c r="N69" s="133">
        <f t="shared" ca="1" si="19"/>
        <v>2.6906952945378688E-3</v>
      </c>
      <c r="O69" s="133">
        <f t="shared" ca="1" si="19"/>
        <v>2.6906952945378688E-3</v>
      </c>
      <c r="P69" s="551" t="s">
        <v>336</v>
      </c>
      <c r="Q69" s="573">
        <f t="shared" ca="1" si="20"/>
        <v>204.27053942280435</v>
      </c>
      <c r="R69" s="573">
        <f t="shared" ca="1" si="20"/>
        <v>204.27053942280435</v>
      </c>
      <c r="S69" s="573">
        <f t="shared" ca="1" si="20"/>
        <v>204.27053942280435</v>
      </c>
      <c r="T69" s="572" t="s">
        <v>336</v>
      </c>
      <c r="U69" s="45">
        <f t="shared" ca="1" si="21"/>
        <v>204.27053942280435</v>
      </c>
      <c r="V69" s="45">
        <f t="shared" ca="1" si="21"/>
        <v>204.27053942280435</v>
      </c>
      <c r="W69" s="551" t="s">
        <v>336</v>
      </c>
    </row>
    <row r="70" spans="1:23" x14ac:dyDescent="0.25">
      <c r="A70" s="812" t="str">
        <f t="shared" si="22"/>
        <v>NP</v>
      </c>
      <c r="B70" s="812" t="s">
        <v>568</v>
      </c>
      <c r="C70" s="133">
        <f t="shared" ca="1" si="16"/>
        <v>2.0131904329932251E-2</v>
      </c>
      <c r="D70" s="575">
        <f t="shared" ca="1" si="16"/>
        <v>2.0131904329932251E-2</v>
      </c>
      <c r="E70" s="575">
        <f t="shared" ca="1" si="16"/>
        <v>2.0131904329932251E-2</v>
      </c>
      <c r="F70" s="574" t="s">
        <v>336</v>
      </c>
      <c r="G70" s="133">
        <f t="shared" ca="1" si="17"/>
        <v>2.0131904329932251E-2</v>
      </c>
      <c r="H70" s="133">
        <f t="shared" ca="1" si="17"/>
        <v>2.0131904329932251E-2</v>
      </c>
      <c r="I70" s="551" t="s">
        <v>336</v>
      </c>
      <c r="J70" s="575">
        <f t="shared" ca="1" si="18"/>
        <v>0.93200028378912902</v>
      </c>
      <c r="K70" s="575">
        <f t="shared" ca="1" si="18"/>
        <v>0.93200028378912902</v>
      </c>
      <c r="L70" s="575">
        <f t="shared" ca="1" si="18"/>
        <v>0.93200028378912902</v>
      </c>
      <c r="M70" s="574" t="s">
        <v>336</v>
      </c>
      <c r="N70" s="133">
        <f t="shared" ca="1" si="19"/>
        <v>0.93200028378912902</v>
      </c>
      <c r="O70" s="133">
        <f t="shared" ca="1" si="19"/>
        <v>0.93200028378912902</v>
      </c>
      <c r="P70" s="551" t="s">
        <v>336</v>
      </c>
      <c r="Q70" s="573">
        <f t="shared" ca="1" si="20"/>
        <v>8188.4723549186865</v>
      </c>
      <c r="R70" s="573">
        <f t="shared" ca="1" si="20"/>
        <v>8188.4723549186865</v>
      </c>
      <c r="S70" s="573">
        <f t="shared" ca="1" si="20"/>
        <v>8188.4723549186865</v>
      </c>
      <c r="T70" s="572" t="s">
        <v>336</v>
      </c>
      <c r="U70" s="45">
        <f t="shared" ca="1" si="21"/>
        <v>8188.4723549186865</v>
      </c>
      <c r="V70" s="45">
        <f t="shared" ca="1" si="21"/>
        <v>8188.4723549186865</v>
      </c>
      <c r="W70" s="551" t="s">
        <v>336</v>
      </c>
    </row>
    <row r="71" spans="1:23" x14ac:dyDescent="0.25">
      <c r="A71" s="812" t="str">
        <f t="shared" si="22"/>
        <v>NP</v>
      </c>
      <c r="B71" s="812" t="s">
        <v>148</v>
      </c>
      <c r="C71" s="133">
        <f t="shared" ca="1" si="16"/>
        <v>6.1275559311269939E-3</v>
      </c>
      <c r="D71" s="575">
        <f t="shared" ca="1" si="16"/>
        <v>6.1275559311269939E-3</v>
      </c>
      <c r="E71" s="575">
        <f t="shared" ca="1" si="16"/>
        <v>6.1275559311269939E-3</v>
      </c>
      <c r="F71" s="574" t="s">
        <v>336</v>
      </c>
      <c r="G71" s="133">
        <f t="shared" ca="1" si="17"/>
        <v>6.1275559311269939E-3</v>
      </c>
      <c r="H71" s="133">
        <f t="shared" ca="1" si="17"/>
        <v>6.1275559311269939E-3</v>
      </c>
      <c r="I71" s="551" t="s">
        <v>336</v>
      </c>
      <c r="J71" s="575">
        <f t="shared" ca="1" si="18"/>
        <v>0.12487578474802855</v>
      </c>
      <c r="K71" s="575">
        <f t="shared" ca="1" si="18"/>
        <v>0.12487578474802855</v>
      </c>
      <c r="L71" s="575">
        <f t="shared" ca="1" si="18"/>
        <v>0.12487578474802855</v>
      </c>
      <c r="M71" s="574" t="s">
        <v>336</v>
      </c>
      <c r="N71" s="133">
        <f t="shared" ca="1" si="19"/>
        <v>0.12487578474802855</v>
      </c>
      <c r="O71" s="133">
        <f t="shared" ca="1" si="19"/>
        <v>0.12487578474802855</v>
      </c>
      <c r="P71" s="551" t="s">
        <v>336</v>
      </c>
      <c r="Q71" s="573">
        <f t="shared" ca="1" si="20"/>
        <v>2571.9828686939704</v>
      </c>
      <c r="R71" s="573">
        <f t="shared" ca="1" si="20"/>
        <v>2571.9828686939704</v>
      </c>
      <c r="S71" s="573">
        <f t="shared" ca="1" si="20"/>
        <v>2571.9828686939704</v>
      </c>
      <c r="T71" s="572" t="s">
        <v>336</v>
      </c>
      <c r="U71" s="45">
        <f t="shared" ca="1" si="21"/>
        <v>2571.9828686939704</v>
      </c>
      <c r="V71" s="45">
        <f t="shared" ca="1" si="21"/>
        <v>2571.9828686939704</v>
      </c>
      <c r="W71" s="551" t="s">
        <v>336</v>
      </c>
    </row>
    <row r="72" spans="1:23" x14ac:dyDescent="0.25">
      <c r="A72" s="812" t="str">
        <f t="shared" si="22"/>
        <v>NP</v>
      </c>
      <c r="B72" s="812" t="s">
        <v>746</v>
      </c>
      <c r="C72" s="133">
        <f t="shared" ca="1" si="16"/>
        <v>1.2001533728797712E-4</v>
      </c>
      <c r="D72" s="575">
        <f t="shared" ca="1" si="16"/>
        <v>1.2001533728797712E-4</v>
      </c>
      <c r="E72" s="575">
        <f t="shared" ca="1" si="16"/>
        <v>1.2001533728797712E-4</v>
      </c>
      <c r="F72" s="574" t="s">
        <v>336</v>
      </c>
      <c r="G72" s="133">
        <f t="shared" ca="1" si="17"/>
        <v>1.2001533728797712E-4</v>
      </c>
      <c r="H72" s="133">
        <f t="shared" ca="1" si="17"/>
        <v>1.2001533728797712E-4</v>
      </c>
      <c r="I72" s="551" t="s">
        <v>336</v>
      </c>
      <c r="J72" s="575">
        <f t="shared" ca="1" si="18"/>
        <v>6.3422169477285678E-3</v>
      </c>
      <c r="K72" s="575">
        <f t="shared" ca="1" si="18"/>
        <v>6.3422169477285678E-3</v>
      </c>
      <c r="L72" s="575">
        <f t="shared" ca="1" si="18"/>
        <v>6.3422169477285678E-3</v>
      </c>
      <c r="M72" s="574" t="s">
        <v>336</v>
      </c>
      <c r="N72" s="133">
        <f t="shared" ca="1" si="19"/>
        <v>6.3422169477285678E-3</v>
      </c>
      <c r="O72" s="133">
        <f t="shared" ca="1" si="19"/>
        <v>6.3422169477285678E-3</v>
      </c>
      <c r="P72" s="551" t="s">
        <v>336</v>
      </c>
      <c r="Q72" s="573">
        <f t="shared" ca="1" si="20"/>
        <v>56.878173002371121</v>
      </c>
      <c r="R72" s="573">
        <f t="shared" ca="1" si="20"/>
        <v>56.878173002371121</v>
      </c>
      <c r="S72" s="573">
        <f t="shared" ca="1" si="20"/>
        <v>56.878173002371121</v>
      </c>
      <c r="T72" s="572" t="s">
        <v>336</v>
      </c>
      <c r="U72" s="45">
        <f t="shared" ca="1" si="21"/>
        <v>56.878173002371121</v>
      </c>
      <c r="V72" s="45">
        <f t="shared" ca="1" si="21"/>
        <v>56.878173002371121</v>
      </c>
      <c r="W72" s="551" t="s">
        <v>336</v>
      </c>
    </row>
    <row r="73" spans="1:23" x14ac:dyDescent="0.25">
      <c r="A73" s="812" t="str">
        <f t="shared" si="22"/>
        <v>NP</v>
      </c>
      <c r="B73" s="812" t="s">
        <v>747</v>
      </c>
      <c r="C73" s="133">
        <f t="shared" ca="1" si="16"/>
        <v>4.6574845447108884E-4</v>
      </c>
      <c r="D73" s="575">
        <f t="shared" ca="1" si="16"/>
        <v>4.6574845447108884E-4</v>
      </c>
      <c r="E73" s="575">
        <f t="shared" ca="1" si="16"/>
        <v>4.6574845447108884E-4</v>
      </c>
      <c r="F73" s="574" t="s">
        <v>336</v>
      </c>
      <c r="G73" s="133">
        <f t="shared" ca="1" si="17"/>
        <v>4.6574845447108884E-4</v>
      </c>
      <c r="H73" s="133">
        <f t="shared" ca="1" si="17"/>
        <v>4.6574845447108884E-4</v>
      </c>
      <c r="I73" s="551" t="s">
        <v>336</v>
      </c>
      <c r="J73" s="575">
        <f t="shared" ca="1" si="18"/>
        <v>2.1561680635249877E-2</v>
      </c>
      <c r="K73" s="575">
        <f t="shared" ca="1" si="18"/>
        <v>2.1561680635249877E-2</v>
      </c>
      <c r="L73" s="575">
        <f t="shared" ca="1" si="18"/>
        <v>2.1561680635249877E-2</v>
      </c>
      <c r="M73" s="574" t="s">
        <v>336</v>
      </c>
      <c r="N73" s="133">
        <f t="shared" ca="1" si="19"/>
        <v>2.1561680635249877E-2</v>
      </c>
      <c r="O73" s="133">
        <f t="shared" ca="1" si="19"/>
        <v>2.1561680635249877E-2</v>
      </c>
      <c r="P73" s="551" t="s">
        <v>336</v>
      </c>
      <c r="Q73" s="573">
        <f t="shared" ca="1" si="20"/>
        <v>176.43813132360091</v>
      </c>
      <c r="R73" s="573">
        <f t="shared" ca="1" si="20"/>
        <v>176.43813132360091</v>
      </c>
      <c r="S73" s="573">
        <f t="shared" ca="1" si="20"/>
        <v>176.43813132360091</v>
      </c>
      <c r="T73" s="572" t="s">
        <v>336</v>
      </c>
      <c r="U73" s="45">
        <f t="shared" ca="1" si="21"/>
        <v>176.43813132360091</v>
      </c>
      <c r="V73" s="45">
        <f t="shared" ca="1" si="21"/>
        <v>176.43813132360091</v>
      </c>
      <c r="W73" s="551" t="s">
        <v>336</v>
      </c>
    </row>
    <row r="74" spans="1:23" x14ac:dyDescent="0.25">
      <c r="A74" s="812" t="str">
        <f t="shared" si="22"/>
        <v>NP</v>
      </c>
      <c r="B74" s="812" t="s">
        <v>149</v>
      </c>
      <c r="C74" s="133">
        <f t="shared" ca="1" si="16"/>
        <v>2.4043470095124682E-6</v>
      </c>
      <c r="D74" s="575">
        <f t="shared" ca="1" si="16"/>
        <v>2.4043470095124682E-6</v>
      </c>
      <c r="E74" s="575">
        <f t="shared" ca="1" si="16"/>
        <v>2.4043470095124682E-6</v>
      </c>
      <c r="F74" s="574" t="s">
        <v>336</v>
      </c>
      <c r="G74" s="133">
        <f t="shared" ca="1" si="17"/>
        <v>2.4043470095124682E-6</v>
      </c>
      <c r="H74" s="133">
        <f t="shared" ca="1" si="17"/>
        <v>2.4043470095124682E-6</v>
      </c>
      <c r="I74" s="551" t="s">
        <v>336</v>
      </c>
      <c r="J74" s="575">
        <f t="shared" ca="1" si="18"/>
        <v>2.1300523378157588E-5</v>
      </c>
      <c r="K74" s="575">
        <f t="shared" ca="1" si="18"/>
        <v>2.1300523378157588E-5</v>
      </c>
      <c r="L74" s="575">
        <f t="shared" ca="1" si="18"/>
        <v>2.1300523378157588E-5</v>
      </c>
      <c r="M74" s="574" t="s">
        <v>336</v>
      </c>
      <c r="N74" s="133">
        <f t="shared" ca="1" si="19"/>
        <v>2.1300523378157588E-5</v>
      </c>
      <c r="O74" s="133">
        <f t="shared" ca="1" si="19"/>
        <v>2.1300523378157588E-5</v>
      </c>
      <c r="P74" s="551" t="s">
        <v>336</v>
      </c>
      <c r="Q74" s="573">
        <f t="shared" ca="1" si="20"/>
        <v>82.918634655708047</v>
      </c>
      <c r="R74" s="573">
        <f t="shared" ca="1" si="20"/>
        <v>82.918634655708047</v>
      </c>
      <c r="S74" s="573">
        <f t="shared" ca="1" si="20"/>
        <v>82.918634655708047</v>
      </c>
      <c r="T74" s="572" t="s">
        <v>336</v>
      </c>
      <c r="U74" s="45">
        <f t="shared" ca="1" si="21"/>
        <v>82.918634655708047</v>
      </c>
      <c r="V74" s="45">
        <f t="shared" ca="1" si="21"/>
        <v>82.918634655708047</v>
      </c>
      <c r="W74" s="551" t="s">
        <v>336</v>
      </c>
    </row>
    <row r="75" spans="1:23" x14ac:dyDescent="0.25">
      <c r="A75" s="812" t="str">
        <f t="shared" si="22"/>
        <v>NP</v>
      </c>
      <c r="B75" s="812" t="s">
        <v>150</v>
      </c>
      <c r="C75" s="133">
        <f t="shared" ca="1" si="16"/>
        <v>4.1406024227770098E-3</v>
      </c>
      <c r="D75" s="575">
        <f t="shared" ca="1" si="16"/>
        <v>4.1406024227770098E-3</v>
      </c>
      <c r="E75" s="575">
        <f t="shared" ca="1" si="16"/>
        <v>4.1406024227770098E-3</v>
      </c>
      <c r="F75" s="574" t="s">
        <v>336</v>
      </c>
      <c r="G75" s="133">
        <f t="shared" ca="1" si="17"/>
        <v>4.1406024227770098E-3</v>
      </c>
      <c r="H75" s="133">
        <f t="shared" ca="1" si="17"/>
        <v>4.1406024227770098E-3</v>
      </c>
      <c r="I75" s="551" t="s">
        <v>336</v>
      </c>
      <c r="J75" s="575">
        <f t="shared" ca="1" si="18"/>
        <v>2.3907211892628338E-4</v>
      </c>
      <c r="K75" s="575">
        <f t="shared" ca="1" si="18"/>
        <v>2.3907211892628338E-4</v>
      </c>
      <c r="L75" s="575">
        <f t="shared" ca="1" si="18"/>
        <v>2.3907211892628338E-4</v>
      </c>
      <c r="M75" s="574" t="s">
        <v>336</v>
      </c>
      <c r="N75" s="133">
        <f t="shared" ca="1" si="19"/>
        <v>2.3907211892628338E-4</v>
      </c>
      <c r="O75" s="133">
        <f t="shared" ca="1" si="19"/>
        <v>2.3907211892628338E-4</v>
      </c>
      <c r="P75" s="551" t="s">
        <v>336</v>
      </c>
      <c r="Q75" s="573">
        <f t="shared" ca="1" si="20"/>
        <v>765.20913220581735</v>
      </c>
      <c r="R75" s="573">
        <f t="shared" ca="1" si="20"/>
        <v>765.20913220581735</v>
      </c>
      <c r="S75" s="573">
        <f t="shared" ca="1" si="20"/>
        <v>765.20913220581735</v>
      </c>
      <c r="T75" s="572" t="s">
        <v>336</v>
      </c>
      <c r="U75" s="45">
        <f t="shared" ca="1" si="21"/>
        <v>765.20913220581735</v>
      </c>
      <c r="V75" s="45">
        <f t="shared" ca="1" si="21"/>
        <v>765.20913220581735</v>
      </c>
      <c r="W75" s="551" t="s">
        <v>336</v>
      </c>
    </row>
    <row r="76" spans="1:23" x14ac:dyDescent="0.25">
      <c r="A76" s="812" t="str">
        <f t="shared" si="22"/>
        <v>NP</v>
      </c>
      <c r="B76" s="812" t="s">
        <v>151</v>
      </c>
      <c r="C76" s="133">
        <f t="shared" ref="C76:E79" ca="1" si="23">C22*C$33/C$26</f>
        <v>3.5812977561038226E-2</v>
      </c>
      <c r="D76" s="575">
        <f t="shared" ca="1" si="23"/>
        <v>3.5812977561038226E-2</v>
      </c>
      <c r="E76" s="575">
        <f t="shared" ca="1" si="23"/>
        <v>3.5812977561038226E-2</v>
      </c>
      <c r="F76" s="574" t="s">
        <v>336</v>
      </c>
      <c r="G76" s="133">
        <f t="shared" ref="G76:H79" ca="1" si="24">G22*G$33/G$26</f>
        <v>3.5812977561038226E-2</v>
      </c>
      <c r="H76" s="133">
        <f t="shared" ca="1" si="24"/>
        <v>3.5812977561038226E-2</v>
      </c>
      <c r="I76" s="551" t="s">
        <v>336</v>
      </c>
      <c r="J76" s="575">
        <f t="shared" ref="J76:L79" ca="1" si="25">J22*J$33/J$26</f>
        <v>3.0486273438844497E-2</v>
      </c>
      <c r="K76" s="575">
        <f t="shared" ca="1" si="25"/>
        <v>3.0486273438844497E-2</v>
      </c>
      <c r="L76" s="575">
        <f t="shared" ca="1" si="25"/>
        <v>3.0486273438844497E-2</v>
      </c>
      <c r="M76" s="574" t="s">
        <v>336</v>
      </c>
      <c r="N76" s="133">
        <f t="shared" ref="N76:O79" ca="1" si="26">N22*N$33/N$26</f>
        <v>3.0486273438844497E-2</v>
      </c>
      <c r="O76" s="133">
        <f t="shared" ca="1" si="26"/>
        <v>3.0486273438844497E-2</v>
      </c>
      <c r="P76" s="551" t="s">
        <v>336</v>
      </c>
      <c r="Q76" s="573">
        <f t="shared" ref="Q76:S79" ca="1" si="27">Q22*Q$33/Q$26</f>
        <v>94.276055138225601</v>
      </c>
      <c r="R76" s="573">
        <f t="shared" ca="1" si="27"/>
        <v>94.276055138225601</v>
      </c>
      <c r="S76" s="573">
        <f t="shared" ca="1" si="27"/>
        <v>94.276055138225601</v>
      </c>
      <c r="T76" s="572" t="s">
        <v>336</v>
      </c>
      <c r="U76" s="45">
        <f t="shared" ref="U76:V79" ca="1" si="28">U22*U$33/U$26</f>
        <v>94.276055138225601</v>
      </c>
      <c r="V76" s="45">
        <f t="shared" ca="1" si="28"/>
        <v>94.276055138225601</v>
      </c>
      <c r="W76" s="551" t="s">
        <v>336</v>
      </c>
    </row>
    <row r="77" spans="1:23" x14ac:dyDescent="0.25">
      <c r="A77" s="812" t="str">
        <f t="shared" si="22"/>
        <v>NP</v>
      </c>
      <c r="B77" s="812" t="s">
        <v>152</v>
      </c>
      <c r="C77" s="133">
        <f t="shared" ca="1" si="23"/>
        <v>1.0805908412305332E-4</v>
      </c>
      <c r="D77" s="575">
        <f t="shared" ca="1" si="23"/>
        <v>1.0805908412305332E-4</v>
      </c>
      <c r="E77" s="575">
        <f t="shared" ca="1" si="23"/>
        <v>1.0805908412305332E-4</v>
      </c>
      <c r="F77" s="574" t="s">
        <v>336</v>
      </c>
      <c r="G77" s="133">
        <f t="shared" ca="1" si="24"/>
        <v>1.0805908412305332E-4</v>
      </c>
      <c r="H77" s="133">
        <f t="shared" ca="1" si="24"/>
        <v>1.0805908412305332E-4</v>
      </c>
      <c r="I77" s="551" t="s">
        <v>336</v>
      </c>
      <c r="J77" s="575">
        <f t="shared" ca="1" si="25"/>
        <v>9.1986732477404275E-5</v>
      </c>
      <c r="K77" s="575">
        <f t="shared" ca="1" si="25"/>
        <v>9.1986732477404275E-5</v>
      </c>
      <c r="L77" s="575">
        <f t="shared" ca="1" si="25"/>
        <v>9.1986732477404275E-5</v>
      </c>
      <c r="M77" s="574" t="s">
        <v>336</v>
      </c>
      <c r="N77" s="133">
        <f t="shared" ca="1" si="26"/>
        <v>9.1986732477404275E-5</v>
      </c>
      <c r="O77" s="133">
        <f t="shared" ca="1" si="26"/>
        <v>9.1986732477404275E-5</v>
      </c>
      <c r="P77" s="551" t="s">
        <v>336</v>
      </c>
      <c r="Q77" s="573">
        <f t="shared" ca="1" si="27"/>
        <v>4.3004283894450639</v>
      </c>
      <c r="R77" s="573">
        <f t="shared" ca="1" si="27"/>
        <v>4.3004283894450639</v>
      </c>
      <c r="S77" s="573">
        <f t="shared" ca="1" si="27"/>
        <v>4.3004283894450639</v>
      </c>
      <c r="T77" s="572" t="s">
        <v>336</v>
      </c>
      <c r="U77" s="45">
        <f t="shared" ca="1" si="28"/>
        <v>4.3004283894450639</v>
      </c>
      <c r="V77" s="45">
        <f t="shared" ca="1" si="28"/>
        <v>4.3004283894450639</v>
      </c>
      <c r="W77" s="551" t="s">
        <v>336</v>
      </c>
    </row>
    <row r="78" spans="1:23" x14ac:dyDescent="0.25">
      <c r="A78" s="812" t="str">
        <f t="shared" si="22"/>
        <v>NP</v>
      </c>
      <c r="B78" s="812" t="s">
        <v>153</v>
      </c>
      <c r="C78" s="133">
        <f t="shared" ca="1" si="23"/>
        <v>1.0584792775802037E-4</v>
      </c>
      <c r="D78" s="575">
        <f t="shared" ca="1" si="23"/>
        <v>1.0584792775802037E-4</v>
      </c>
      <c r="E78" s="575">
        <f t="shared" ca="1" si="23"/>
        <v>1.0584792775802037E-4</v>
      </c>
      <c r="F78" s="574" t="s">
        <v>336</v>
      </c>
      <c r="G78" s="133">
        <f t="shared" ca="1" si="24"/>
        <v>1.0584792775802037E-4</v>
      </c>
      <c r="H78" s="133">
        <f t="shared" ca="1" si="24"/>
        <v>1.0584792775802037E-4</v>
      </c>
      <c r="I78" s="551" t="s">
        <v>336</v>
      </c>
      <c r="J78" s="575">
        <f t="shared" ca="1" si="25"/>
        <v>2.2643746994111169E-6</v>
      </c>
      <c r="K78" s="575">
        <f t="shared" ca="1" si="25"/>
        <v>2.2643746994111169E-6</v>
      </c>
      <c r="L78" s="575">
        <f t="shared" ca="1" si="25"/>
        <v>2.2643746994111169E-6</v>
      </c>
      <c r="M78" s="574" t="s">
        <v>336</v>
      </c>
      <c r="N78" s="133">
        <f t="shared" ca="1" si="26"/>
        <v>2.2643746994111169E-6</v>
      </c>
      <c r="O78" s="133">
        <f t="shared" ca="1" si="26"/>
        <v>2.2643746994111169E-6</v>
      </c>
      <c r="P78" s="551" t="s">
        <v>336</v>
      </c>
      <c r="Q78" s="573">
        <f t="shared" ca="1" si="27"/>
        <v>2.2439407378575691</v>
      </c>
      <c r="R78" s="573">
        <f t="shared" ca="1" si="27"/>
        <v>2.2439407378575691</v>
      </c>
      <c r="S78" s="573">
        <f t="shared" ca="1" si="27"/>
        <v>2.2439407378575691</v>
      </c>
      <c r="T78" s="572" t="s">
        <v>336</v>
      </c>
      <c r="U78" s="45">
        <f t="shared" ca="1" si="28"/>
        <v>2.2439407378575691</v>
      </c>
      <c r="V78" s="45">
        <f t="shared" ca="1" si="28"/>
        <v>2.2439407378575691</v>
      </c>
      <c r="W78" s="551" t="s">
        <v>336</v>
      </c>
    </row>
    <row r="79" spans="1:23" ht="15.75" thickBot="1" x14ac:dyDescent="0.3">
      <c r="A79" s="6" t="str">
        <f>A76</f>
        <v>NP</v>
      </c>
      <c r="B79" s="6" t="s">
        <v>154</v>
      </c>
      <c r="C79" s="544">
        <f t="shared" ca="1" si="23"/>
        <v>9.7173772475885501E-4</v>
      </c>
      <c r="D79" s="571">
        <f t="shared" ca="1" si="23"/>
        <v>9.7173772475885501E-4</v>
      </c>
      <c r="E79" s="571">
        <f t="shared" ca="1" si="23"/>
        <v>9.7173772475885501E-4</v>
      </c>
      <c r="F79" s="570" t="s">
        <v>336</v>
      </c>
      <c r="G79" s="544">
        <f t="shared" ca="1" si="24"/>
        <v>9.7173772475885501E-4</v>
      </c>
      <c r="H79" s="544">
        <f t="shared" ca="1" si="24"/>
        <v>9.7173772475885501E-4</v>
      </c>
      <c r="I79" s="542" t="s">
        <v>336</v>
      </c>
      <c r="J79" s="571">
        <f t="shared" ca="1" si="25"/>
        <v>5.0479809357057105E-3</v>
      </c>
      <c r="K79" s="571">
        <f t="shared" ca="1" si="25"/>
        <v>5.0479809357057105E-3</v>
      </c>
      <c r="L79" s="571">
        <f t="shared" ca="1" si="25"/>
        <v>5.0479809357057105E-3</v>
      </c>
      <c r="M79" s="570" t="s">
        <v>336</v>
      </c>
      <c r="N79" s="544">
        <f t="shared" ca="1" si="26"/>
        <v>5.0479809357057105E-3</v>
      </c>
      <c r="O79" s="544">
        <f t="shared" ca="1" si="26"/>
        <v>5.0479809357057105E-3</v>
      </c>
      <c r="P79" s="542" t="s">
        <v>336</v>
      </c>
      <c r="Q79" s="569">
        <f t="shared" ca="1" si="27"/>
        <v>35.785778435308323</v>
      </c>
      <c r="R79" s="569">
        <f t="shared" ca="1" si="27"/>
        <v>35.785778435308323</v>
      </c>
      <c r="S79" s="569">
        <f t="shared" ca="1" si="27"/>
        <v>35.785778435308323</v>
      </c>
      <c r="T79" s="568" t="s">
        <v>336</v>
      </c>
      <c r="U79" s="567">
        <f t="shared" ca="1" si="28"/>
        <v>35.785778435308323</v>
      </c>
      <c r="V79" s="567">
        <f t="shared" ca="1" si="28"/>
        <v>35.785778435308323</v>
      </c>
      <c r="W79" s="542" t="s">
        <v>336</v>
      </c>
    </row>
    <row r="80" spans="1:23" ht="15.75" thickTop="1" x14ac:dyDescent="0.25">
      <c r="C80" s="137">
        <f ca="1">SUM(C40:C79)</f>
        <v>1.9361240122631043</v>
      </c>
      <c r="D80" s="137">
        <f ca="1">SUM(D40:D79)</f>
        <v>1.9361240122631043</v>
      </c>
      <c r="E80" s="137">
        <f ca="1">SUM(E40:E79)</f>
        <v>1.9361240122631043</v>
      </c>
      <c r="F80" s="566" t="s">
        <v>336</v>
      </c>
      <c r="G80" s="137">
        <f ca="1">SUM(G40:G79)</f>
        <v>1.9361240122631043</v>
      </c>
      <c r="H80" s="137">
        <f ca="1">SUM(H40:H79)</f>
        <v>1.9361240122631043</v>
      </c>
      <c r="I80" s="566" t="s">
        <v>336</v>
      </c>
      <c r="J80" s="137">
        <f ca="1">SUM(J40:J79)</f>
        <v>2.8484091083636631</v>
      </c>
      <c r="K80" s="137">
        <f ca="1">SUM(K40:K79)</f>
        <v>2.8484091083636631</v>
      </c>
      <c r="L80" s="137">
        <f ca="1">SUM(L40:L79)</f>
        <v>2.8484091083636631</v>
      </c>
      <c r="M80" s="566" t="s">
        <v>336</v>
      </c>
      <c r="N80" s="137">
        <f ca="1">SUM(N40:N79)</f>
        <v>2.8484091083636631</v>
      </c>
      <c r="O80" s="137">
        <f ca="1">SUM(O40:O79)</f>
        <v>2.8484091083636631</v>
      </c>
      <c r="P80" s="566" t="s">
        <v>336</v>
      </c>
      <c r="Q80" s="87">
        <f ca="1">SUM(Q40:Q79)</f>
        <v>36155.282272907105</v>
      </c>
      <c r="R80" s="87">
        <f ca="1">SUM(R40:R79)</f>
        <v>36155.282272907105</v>
      </c>
      <c r="S80" s="87">
        <f ca="1">SUM(S40:S79)</f>
        <v>36155.282272907105</v>
      </c>
      <c r="T80" s="566" t="s">
        <v>336</v>
      </c>
      <c r="U80" s="87">
        <f ca="1">SUM(U40:U79)</f>
        <v>36155.282272907105</v>
      </c>
      <c r="V80" s="87">
        <f ca="1">SUM(V40:V79)</f>
        <v>36155.282272907105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6.7148061093423153E-2</v>
      </c>
      <c r="N91" s="557" t="s">
        <v>336</v>
      </c>
      <c r="O91" s="559">
        <f t="shared" ref="O91:P100" ca="1" si="35">(1-$N$84)*(1-G91)*G60</f>
        <v>0</v>
      </c>
      <c r="P91" s="559">
        <f t="shared" ca="1" si="35"/>
        <v>7.3281184939863131E-2</v>
      </c>
      <c r="Q91" s="557" t="s">
        <v>336</v>
      </c>
      <c r="R91" s="558">
        <f t="shared" ref="R91:S100" ca="1" si="36">(1-$N$84)*(1-D91)*D40/$J91</f>
        <v>0</v>
      </c>
      <c r="S91" s="558">
        <f t="shared" ca="1" si="36"/>
        <v>9.871033722776117E-6</v>
      </c>
      <c r="T91" s="557" t="s">
        <v>336</v>
      </c>
      <c r="U91" s="558">
        <f t="shared" ref="U91:V100" ca="1" si="37">(1-$N$84)*(1-G91)*G60/$J91</f>
        <v>0</v>
      </c>
      <c r="V91" s="558">
        <f t="shared" ca="1" si="37"/>
        <v>1.0772627474380377E-5</v>
      </c>
      <c r="W91" s="557" t="s">
        <v>336</v>
      </c>
      <c r="X91" s="559">
        <f t="shared" ref="X91:Y100" ca="1" si="38">(1-$N$84)*(1-D91)*K40</f>
        <v>0</v>
      </c>
      <c r="Y91" s="559">
        <f t="shared" ca="1" si="38"/>
        <v>9.2167461695329416E-4</v>
      </c>
      <c r="Z91" s="557" t="s">
        <v>336</v>
      </c>
      <c r="AA91" s="559">
        <f t="shared" ref="AA91:AB100" ca="1" si="39">(1-$N$84)*(1-G91)*N60</f>
        <v>0</v>
      </c>
      <c r="AB91" s="559">
        <f t="shared" ca="1" si="39"/>
        <v>6.1958959581826455E-4</v>
      </c>
      <c r="AC91" s="557" t="s">
        <v>336</v>
      </c>
      <c r="AD91" s="558">
        <f t="shared" ref="AD91:AE110" ca="1" si="40">(1-$N$84)*(1-D91)*K40/$K91</f>
        <v>0</v>
      </c>
      <c r="AE91" s="558">
        <f t="shared" ca="1" si="40"/>
        <v>7.4186748886178753E-4</v>
      </c>
      <c r="AF91" s="557" t="s">
        <v>336</v>
      </c>
      <c r="AG91" s="558">
        <f t="shared" ref="AG91:AH100" ca="1" si="41">(1-$N$84)*(1-G91)*N60/$K91</f>
        <v>0</v>
      </c>
      <c r="AH91" s="558">
        <f t="shared" ca="1" si="41"/>
        <v>4.9871545675633897E-4</v>
      </c>
      <c r="AI91" s="557" t="s">
        <v>336</v>
      </c>
      <c r="AJ91" s="507">
        <f t="shared" ref="AJ91:AK110" ca="1" si="42">L91-R91</f>
        <v>0</v>
      </c>
      <c r="AK91" s="507">
        <f t="shared" ca="1" si="42"/>
        <v>6.7138190059700384E-2</v>
      </c>
      <c r="AL91" s="507">
        <f t="shared" ref="AL91:AM110" ca="1" si="43">O91-U91</f>
        <v>0</v>
      </c>
      <c r="AM91" s="507">
        <f t="shared" ca="1" si="43"/>
        <v>7.3270412312388747E-2</v>
      </c>
      <c r="AN91" s="507">
        <f t="shared" ref="AN91:AO110" ca="1" si="44">X91-AD91</f>
        <v>0</v>
      </c>
      <c r="AO91" s="507">
        <f t="shared" ca="1" si="44"/>
        <v>1.7980712809150662E-4</v>
      </c>
      <c r="AP91" s="507">
        <f t="shared" ref="AP91:AQ110" ca="1" si="45">AA91-AG91</f>
        <v>0</v>
      </c>
      <c r="AQ91" s="507">
        <f t="shared" ca="1" si="45"/>
        <v>1.2087413906192558E-4</v>
      </c>
      <c r="AR91" s="812" t="s">
        <v>137</v>
      </c>
      <c r="AS91" s="812">
        <v>2104008100</v>
      </c>
      <c r="AT91" s="507">
        <f t="shared" ref="AT91:AU100" ca="1" si="46">AJ91/$C40</f>
        <v>0</v>
      </c>
      <c r="AU91" s="507">
        <f t="shared" ca="1" si="46"/>
        <v>0.28795766284735758</v>
      </c>
      <c r="AV91" s="507">
        <f t="shared" ref="AV91:AW100" ca="1" si="47">AL91/$C60</f>
        <v>0</v>
      </c>
      <c r="AW91" s="507">
        <f t="shared" ca="1" si="47"/>
        <v>0.28795766284735752</v>
      </c>
      <c r="AX91" s="507">
        <f t="shared" ref="AX91:AY100" ca="1" si="48">AN91/$J40</f>
        <v>0</v>
      </c>
      <c r="AY91" s="507">
        <f t="shared" ca="1" si="48"/>
        <v>5.6185178519436309E-2</v>
      </c>
      <c r="AZ91" s="507">
        <f t="shared" ref="AZ91:BA100" ca="1" si="49">AP91/$J60</f>
        <v>0</v>
      </c>
      <c r="BA91" s="507">
        <f t="shared" ca="1" si="49"/>
        <v>5.6185178519436295E-2</v>
      </c>
      <c r="BB91" s="550">
        <f ca="1">1-((1-AT91))</f>
        <v>0</v>
      </c>
      <c r="BC91" s="550">
        <f ca="1">1-((1-AU91))</f>
        <v>0.28795766284735758</v>
      </c>
      <c r="BD91" s="550">
        <f ca="1">1-((1-AX91))</f>
        <v>0</v>
      </c>
      <c r="BE91" s="550">
        <f ca="1">1-((1-AY91))</f>
        <v>5.6185178519436274E-2</v>
      </c>
    </row>
    <row r="92" spans="1:57" x14ac:dyDescent="0.25">
      <c r="A92" s="60">
        <f t="shared" si="29"/>
        <v>0.4</v>
      </c>
      <c r="B92" s="812"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5.2406330263431835E-3</v>
      </c>
      <c r="M92" s="559">
        <f t="shared" ca="1" si="34"/>
        <v>5.2406330263431835E-3</v>
      </c>
      <c r="N92" s="557" t="s">
        <v>336</v>
      </c>
      <c r="O92" s="559">
        <f t="shared" ca="1" si="35"/>
        <v>5.719298394500096E-3</v>
      </c>
      <c r="P92" s="559">
        <f t="shared" ca="1" si="35"/>
        <v>5.719298394500096E-3</v>
      </c>
      <c r="Q92" s="557" t="s">
        <v>336</v>
      </c>
      <c r="R92" s="558">
        <f t="shared" ca="1" si="36"/>
        <v>4.9777093196474155E-6</v>
      </c>
      <c r="S92" s="558">
        <f t="shared" ca="1" si="36"/>
        <v>4.9777093196474155E-6</v>
      </c>
      <c r="T92" s="557" t="s">
        <v>336</v>
      </c>
      <c r="U92" s="558">
        <f t="shared" ca="1" si="37"/>
        <v>5.4323599414501981E-6</v>
      </c>
      <c r="V92" s="558">
        <f t="shared" ca="1" si="37"/>
        <v>5.4323599414501981E-6</v>
      </c>
      <c r="W92" s="557" t="s">
        <v>336</v>
      </c>
      <c r="X92" s="559">
        <f t="shared" ca="1" si="38"/>
        <v>8.1335955319794523E-5</v>
      </c>
      <c r="Y92" s="559">
        <f t="shared" ca="1" si="38"/>
        <v>8.1335955319794523E-5</v>
      </c>
      <c r="Z92" s="557" t="s">
        <v>336</v>
      </c>
      <c r="AA92" s="559">
        <f t="shared" ca="1" si="39"/>
        <v>5.4677551876898095E-5</v>
      </c>
      <c r="AB92" s="559">
        <f t="shared" ca="1" si="39"/>
        <v>5.4677551876898095E-5</v>
      </c>
      <c r="AC92" s="557" t="s">
        <v>336</v>
      </c>
      <c r="AD92" s="558">
        <f t="shared" ca="1" si="40"/>
        <v>3.7410476115891416E-4</v>
      </c>
      <c r="AE92" s="558">
        <f t="shared" ca="1" si="40"/>
        <v>3.7410476115891416E-4</v>
      </c>
      <c r="AF92" s="557" t="s">
        <v>336</v>
      </c>
      <c r="AG92" s="558">
        <f t="shared" ca="1" si="41"/>
        <v>2.5148942316145621E-4</v>
      </c>
      <c r="AH92" s="558">
        <f t="shared" ca="1" si="41"/>
        <v>2.5148942316145621E-4</v>
      </c>
      <c r="AI92" s="557" t="s">
        <v>336</v>
      </c>
      <c r="AJ92" s="507">
        <f t="shared" ca="1" si="42"/>
        <v>5.2356553170235364E-3</v>
      </c>
      <c r="AK92" s="507">
        <f t="shared" ca="1" si="42"/>
        <v>5.2356553170235364E-3</v>
      </c>
      <c r="AL92" s="507">
        <f t="shared" ca="1" si="43"/>
        <v>5.7138660345586456E-3</v>
      </c>
      <c r="AM92" s="507">
        <f t="shared" ca="1" si="43"/>
        <v>5.7138660345586456E-3</v>
      </c>
      <c r="AN92" s="507">
        <f t="shared" ca="1" si="44"/>
        <v>-2.9276880583911961E-4</v>
      </c>
      <c r="AO92" s="507">
        <f t="shared" ca="1" si="44"/>
        <v>-2.9276880583911961E-4</v>
      </c>
      <c r="AP92" s="507">
        <f t="shared" ca="1" si="45"/>
        <v>-1.9681187128455812E-4</v>
      </c>
      <c r="AQ92" s="507">
        <f t="shared" ca="1" si="45"/>
        <v>-1.9681187128455812E-4</v>
      </c>
      <c r="AR92" s="812" t="s">
        <v>138</v>
      </c>
      <c r="AS92" s="812">
        <v>2104008210</v>
      </c>
      <c r="AT92" s="507">
        <f t="shared" ca="1" si="46"/>
        <v>0.28772644902307565</v>
      </c>
      <c r="AU92" s="507">
        <f t="shared" ca="1" si="46"/>
        <v>0.28772644902307565</v>
      </c>
      <c r="AV92" s="507">
        <f t="shared" ca="1" si="47"/>
        <v>0.28772644902307565</v>
      </c>
      <c r="AW92" s="507">
        <f t="shared" ca="1" si="47"/>
        <v>0.28772644902307565</v>
      </c>
      <c r="AX92" s="507">
        <f t="shared" ca="1" si="48"/>
        <v>-1.0366561227460784</v>
      </c>
      <c r="AY92" s="507">
        <f t="shared" ca="1" si="48"/>
        <v>-1.0366561227460784</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-1.0366561227460784</v>
      </c>
      <c r="BE92" s="550">
        <f t="shared" ca="1" si="51"/>
        <v>-1.0366561227460784</v>
      </c>
    </row>
    <row r="93" spans="1:57" x14ac:dyDescent="0.25">
      <c r="A93" s="60">
        <f t="shared" si="29"/>
        <v>0.66</v>
      </c>
      <c r="B93" s="812"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4.437894111199308E-3</v>
      </c>
      <c r="M93" s="559">
        <f t="shared" ca="1" si="34"/>
        <v>4.3269467584193255E-3</v>
      </c>
      <c r="N93" s="557" t="s">
        <v>336</v>
      </c>
      <c r="O93" s="559">
        <f t="shared" ca="1" si="35"/>
        <v>4.8432394593472365E-3</v>
      </c>
      <c r="P93" s="559">
        <f t="shared" ca="1" si="35"/>
        <v>4.7221584728635562E-3</v>
      </c>
      <c r="Q93" s="557" t="s">
        <v>336</v>
      </c>
      <c r="R93" s="558">
        <f t="shared" ca="1" si="36"/>
        <v>1.7735639095019536E-5</v>
      </c>
      <c r="S93" s="558">
        <f t="shared" ca="1" si="36"/>
        <v>1.7292248117644048E-5</v>
      </c>
      <c r="T93" s="557" t="s">
        <v>336</v>
      </c>
      <c r="U93" s="558">
        <f t="shared" ca="1" si="37"/>
        <v>1.9355564812817685E-5</v>
      </c>
      <c r="V93" s="558">
        <f t="shared" ca="1" si="37"/>
        <v>1.8871675692497243E-5</v>
      </c>
      <c r="W93" s="557" t="s">
        <v>336</v>
      </c>
      <c r="X93" s="559">
        <f t="shared" ca="1" si="38"/>
        <v>1.7563697097020589E-4</v>
      </c>
      <c r="Y93" s="559">
        <f t="shared" ca="1" si="38"/>
        <v>1.7124604669595074E-4</v>
      </c>
      <c r="Z93" s="557" t="s">
        <v>336</v>
      </c>
      <c r="AA93" s="559">
        <f t="shared" ca="1" si="39"/>
        <v>1.1807077883288254E-4</v>
      </c>
      <c r="AB93" s="559">
        <f t="shared" ca="1" si="39"/>
        <v>1.1511900936206049E-4</v>
      </c>
      <c r="AC93" s="557" t="s">
        <v>336</v>
      </c>
      <c r="AD93" s="558">
        <f t="shared" ca="1" si="40"/>
        <v>1.3329398326764807E-3</v>
      </c>
      <c r="AE93" s="558">
        <f t="shared" ca="1" si="40"/>
        <v>1.2996163368595689E-3</v>
      </c>
      <c r="AF93" s="557" t="s">
        <v>336</v>
      </c>
      <c r="AG93" s="558">
        <f t="shared" ca="1" si="41"/>
        <v>8.9605988598027877E-4</v>
      </c>
      <c r="AH93" s="558">
        <f t="shared" ca="1" si="41"/>
        <v>8.7365838883077186E-4</v>
      </c>
      <c r="AI93" s="557" t="s">
        <v>336</v>
      </c>
      <c r="AJ93" s="507">
        <f t="shared" ca="1" si="42"/>
        <v>4.4201584721042884E-3</v>
      </c>
      <c r="AK93" s="507">
        <f t="shared" ca="1" si="42"/>
        <v>4.3096545103016816E-3</v>
      </c>
      <c r="AL93" s="507">
        <f t="shared" ca="1" si="43"/>
        <v>4.8238838945344189E-3</v>
      </c>
      <c r="AM93" s="507">
        <f t="shared" ca="1" si="43"/>
        <v>4.7032867971710593E-3</v>
      </c>
      <c r="AN93" s="507">
        <f t="shared" ca="1" si="44"/>
        <v>-1.1573028617062747E-3</v>
      </c>
      <c r="AO93" s="507">
        <f t="shared" ca="1" si="44"/>
        <v>-1.128370290163618E-3</v>
      </c>
      <c r="AP93" s="507">
        <f t="shared" ca="1" si="45"/>
        <v>-7.7798910714739619E-4</v>
      </c>
      <c r="AQ93" s="507">
        <f t="shared" ca="1" si="45"/>
        <v>-7.5853937946871136E-4</v>
      </c>
      <c r="AR93" s="812" t="s">
        <v>139</v>
      </c>
      <c r="AS93" s="812">
        <v>2104008220</v>
      </c>
      <c r="AT93" s="507">
        <f t="shared" ca="1" si="46"/>
        <v>0.29420413770727238</v>
      </c>
      <c r="AU93" s="507">
        <f t="shared" ca="1" si="46"/>
        <v>0.28684903426459063</v>
      </c>
      <c r="AV93" s="507">
        <f t="shared" ca="1" si="47"/>
        <v>0.29420413770727244</v>
      </c>
      <c r="AW93" s="507">
        <f t="shared" ca="1" si="47"/>
        <v>0.28684903426459069</v>
      </c>
      <c r="AX93" s="507">
        <f t="shared" ca="1" si="48"/>
        <v>-1.9463411308010556</v>
      </c>
      <c r="AY93" s="507">
        <f t="shared" ca="1" si="48"/>
        <v>-1.8976826025310294</v>
      </c>
      <c r="AZ93" s="507">
        <f t="shared" ca="1" si="49"/>
        <v>-1.9463411308010556</v>
      </c>
      <c r="BA93" s="507">
        <f t="shared" ca="1" si="49"/>
        <v>-1.8976826025310296</v>
      </c>
      <c r="BB93" s="550">
        <f t="shared" ca="1" si="50"/>
        <v>0.29420413770727238</v>
      </c>
      <c r="BC93" s="550">
        <f t="shared" ca="1" si="50"/>
        <v>0.28684903426459063</v>
      </c>
      <c r="BD93" s="550">
        <f t="shared" ca="1" si="51"/>
        <v>-1.9463411308010556</v>
      </c>
      <c r="BE93" s="550">
        <f t="shared" ca="1" si="51"/>
        <v>-1.8976826025310292</v>
      </c>
    </row>
    <row r="94" spans="1:57" x14ac:dyDescent="0.25">
      <c r="A94" s="60">
        <f t="shared" si="29"/>
        <v>0.7</v>
      </c>
      <c r="B94" s="812"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2.894598621091816E-3</v>
      </c>
      <c r="M94" s="559">
        <f t="shared" ca="1" si="34"/>
        <v>2.8222336555645206E-3</v>
      </c>
      <c r="N94" s="557" t="s">
        <v>336</v>
      </c>
      <c r="O94" s="559">
        <f t="shared" ca="1" si="35"/>
        <v>3.1589834974353158E-3</v>
      </c>
      <c r="P94" s="559">
        <f t="shared" ca="1" si="35"/>
        <v>3.080008909999433E-3</v>
      </c>
      <c r="Q94" s="557" t="s">
        <v>336</v>
      </c>
      <c r="R94" s="558">
        <f t="shared" ca="1" si="36"/>
        <v>1.1325314109596034E-5</v>
      </c>
      <c r="S94" s="558">
        <f t="shared" ca="1" si="36"/>
        <v>1.1042181256856133E-5</v>
      </c>
      <c r="T94" s="557" t="s">
        <v>336</v>
      </c>
      <c r="U94" s="558">
        <f t="shared" ca="1" si="37"/>
        <v>1.2359737932159537E-5</v>
      </c>
      <c r="V94" s="558">
        <f t="shared" ca="1" si="37"/>
        <v>1.205074448385555E-5</v>
      </c>
      <c r="W94" s="557" t="s">
        <v>336</v>
      </c>
      <c r="X94" s="559">
        <f t="shared" ca="1" si="38"/>
        <v>1.0574631631287773E-4</v>
      </c>
      <c r="Y94" s="559">
        <f t="shared" ca="1" si="38"/>
        <v>1.0310265840505579E-4</v>
      </c>
      <c r="Z94" s="557" t="s">
        <v>336</v>
      </c>
      <c r="AA94" s="559">
        <f t="shared" ca="1" si="39"/>
        <v>7.1087253764401398E-5</v>
      </c>
      <c r="AB94" s="559">
        <f t="shared" ca="1" si="39"/>
        <v>6.9310072420291361E-5</v>
      </c>
      <c r="AC94" s="557" t="s">
        <v>336</v>
      </c>
      <c r="AD94" s="558">
        <f t="shared" ca="1" si="40"/>
        <v>8.5116539716308928E-4</v>
      </c>
      <c r="AE94" s="558">
        <f t="shared" ca="1" si="40"/>
        <v>8.2988626223401201E-4</v>
      </c>
      <c r="AF94" s="557" t="s">
        <v>336</v>
      </c>
      <c r="AG94" s="558">
        <f t="shared" ca="1" si="41"/>
        <v>5.7219024447702216E-4</v>
      </c>
      <c r="AH94" s="558">
        <f t="shared" ca="1" si="41"/>
        <v>5.5788548836509656E-4</v>
      </c>
      <c r="AI94" s="557" t="s">
        <v>336</v>
      </c>
      <c r="AJ94" s="507">
        <f t="shared" ca="1" si="42"/>
        <v>2.88327330698222E-3</v>
      </c>
      <c r="AK94" s="507">
        <f t="shared" ca="1" si="42"/>
        <v>2.8111914743076645E-3</v>
      </c>
      <c r="AL94" s="507">
        <f t="shared" ca="1" si="43"/>
        <v>3.1466237595031564E-3</v>
      </c>
      <c r="AM94" s="507">
        <f t="shared" ca="1" si="43"/>
        <v>3.0679581655155773E-3</v>
      </c>
      <c r="AN94" s="507">
        <f t="shared" ca="1" si="44"/>
        <v>-7.4541908085021149E-4</v>
      </c>
      <c r="AO94" s="507">
        <f t="shared" ca="1" si="44"/>
        <v>-7.2678360382895618E-4</v>
      </c>
      <c r="AP94" s="507">
        <f t="shared" ca="1" si="45"/>
        <v>-5.0110299071262079E-4</v>
      </c>
      <c r="AQ94" s="507">
        <f t="shared" ca="1" si="45"/>
        <v>-4.8857541594480517E-4</v>
      </c>
      <c r="AR94" s="812" t="s">
        <v>140</v>
      </c>
      <c r="AS94" s="812">
        <v>2104008230</v>
      </c>
      <c r="AT94" s="507">
        <f t="shared" ca="1" si="46"/>
        <v>0.29422890297323068</v>
      </c>
      <c r="AU94" s="507">
        <f t="shared" ca="1" si="46"/>
        <v>0.28687318039889992</v>
      </c>
      <c r="AV94" s="507">
        <f t="shared" ca="1" si="47"/>
        <v>0.29422890297323068</v>
      </c>
      <c r="AW94" s="507">
        <f t="shared" ca="1" si="47"/>
        <v>0.28687318039889992</v>
      </c>
      <c r="AX94" s="507">
        <f t="shared" ca="1" si="48"/>
        <v>-2.0822032972365507</v>
      </c>
      <c r="AY94" s="507">
        <f t="shared" ca="1" si="48"/>
        <v>-2.0301482148056369</v>
      </c>
      <c r="AZ94" s="507">
        <f t="shared" ca="1" si="49"/>
        <v>-2.0822032972365507</v>
      </c>
      <c r="BA94" s="507">
        <f t="shared" ca="1" si="49"/>
        <v>-2.0301482148056369</v>
      </c>
      <c r="BB94" s="550">
        <f t="shared" ca="1" si="50"/>
        <v>0.29422890297323068</v>
      </c>
      <c r="BC94" s="550">
        <f t="shared" ca="1" si="50"/>
        <v>0.28687318039889997</v>
      </c>
      <c r="BD94" s="550">
        <f t="shared" ca="1" si="51"/>
        <v>-2.0822032972365507</v>
      </c>
      <c r="BE94" s="550">
        <f t="shared" ca="1" si="51"/>
        <v>-2.0301482148056369</v>
      </c>
    </row>
    <row r="95" spans="1:57" x14ac:dyDescent="0.25">
      <c r="A95" s="60">
        <f t="shared" si="29"/>
        <v>0.54</v>
      </c>
      <c r="B95" s="812"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4.2201314722043387E-2</v>
      </c>
      <c r="M95" s="559">
        <f t="shared" ca="1" si="34"/>
        <v>4.2201314722043387E-2</v>
      </c>
      <c r="N95" s="557" t="s">
        <v>336</v>
      </c>
      <c r="O95" s="559">
        <f t="shared" ca="1" si="35"/>
        <v>4.6055869648250078E-2</v>
      </c>
      <c r="P95" s="559">
        <f t="shared" ca="1" si="35"/>
        <v>4.6055869648250078E-2</v>
      </c>
      <c r="Q95" s="557" t="s">
        <v>336</v>
      </c>
      <c r="R95" s="558">
        <f t="shared" ca="1" si="36"/>
        <v>1.3637528736494911E-4</v>
      </c>
      <c r="S95" s="558">
        <f t="shared" ca="1" si="36"/>
        <v>1.3637528736494911E-4</v>
      </c>
      <c r="T95" s="557" t="s">
        <v>336</v>
      </c>
      <c r="U95" s="558">
        <f t="shared" ca="1" si="37"/>
        <v>1.4883144043002983E-4</v>
      </c>
      <c r="V95" s="558">
        <f t="shared" ca="1" si="37"/>
        <v>1.4883144043002983E-4</v>
      </c>
      <c r="W95" s="557" t="s">
        <v>336</v>
      </c>
      <c r="X95" s="559">
        <f t="shared" ca="1" si="38"/>
        <v>1.6506498259495441E-3</v>
      </c>
      <c r="Y95" s="559">
        <f t="shared" ca="1" si="38"/>
        <v>1.6506498259495441E-3</v>
      </c>
      <c r="Z95" s="557" t="s">
        <v>336</v>
      </c>
      <c r="AA95" s="559">
        <f t="shared" ca="1" si="39"/>
        <v>1.1096383036763107E-3</v>
      </c>
      <c r="AB95" s="559">
        <f t="shared" ca="1" si="39"/>
        <v>1.1096383036763107E-3</v>
      </c>
      <c r="AC95" s="557" t="s">
        <v>336</v>
      </c>
      <c r="AD95" s="558">
        <f t="shared" ca="1" si="40"/>
        <v>1.0249422180252245E-2</v>
      </c>
      <c r="AE95" s="558">
        <f t="shared" ca="1" si="40"/>
        <v>1.0249422180252245E-2</v>
      </c>
      <c r="AF95" s="557" t="s">
        <v>336</v>
      </c>
      <c r="AG95" s="558">
        <f t="shared" ca="1" si="41"/>
        <v>6.8901054984299871E-3</v>
      </c>
      <c r="AH95" s="558">
        <f t="shared" ca="1" si="41"/>
        <v>6.8901054984299871E-3</v>
      </c>
      <c r="AI95" s="557" t="s">
        <v>336</v>
      </c>
      <c r="AJ95" s="507">
        <f t="shared" ca="1" si="42"/>
        <v>4.2064939434678435E-2</v>
      </c>
      <c r="AK95" s="507">
        <f t="shared" ca="1" si="42"/>
        <v>4.2064939434678435E-2</v>
      </c>
      <c r="AL95" s="507">
        <f t="shared" ca="1" si="43"/>
        <v>4.590703820782005E-2</v>
      </c>
      <c r="AM95" s="507">
        <f t="shared" ca="1" si="43"/>
        <v>4.590703820782005E-2</v>
      </c>
      <c r="AN95" s="507">
        <f t="shared" ca="1" si="44"/>
        <v>-8.5987723543027011E-3</v>
      </c>
      <c r="AO95" s="507">
        <f t="shared" ca="1" si="44"/>
        <v>-8.5987723543027011E-3</v>
      </c>
      <c r="AP95" s="507">
        <f t="shared" ca="1" si="45"/>
        <v>-5.7804671947536759E-3</v>
      </c>
      <c r="AQ95" s="507">
        <f t="shared" ca="1" si="45"/>
        <v>-5.7804671947536759E-3</v>
      </c>
      <c r="AR95" s="812" t="s">
        <v>141</v>
      </c>
      <c r="AS95" s="812">
        <v>2104008310</v>
      </c>
      <c r="AT95" s="507">
        <f t="shared" ca="1" si="46"/>
        <v>0.28706931613340025</v>
      </c>
      <c r="AU95" s="507">
        <f t="shared" ca="1" si="46"/>
        <v>0.28706931613340025</v>
      </c>
      <c r="AV95" s="507">
        <f t="shared" ca="1" si="47"/>
        <v>0.28706931613340025</v>
      </c>
      <c r="AW95" s="507">
        <f t="shared" ca="1" si="47"/>
        <v>0.28706931613340025</v>
      </c>
      <c r="AX95" s="507">
        <f t="shared" ca="1" si="48"/>
        <v>-1.5002857657072062</v>
      </c>
      <c r="AY95" s="507">
        <f t="shared" ca="1" si="48"/>
        <v>-1.5002857657072062</v>
      </c>
      <c r="AZ95" s="507">
        <f t="shared" ca="1" si="49"/>
        <v>-1.5002857657072057</v>
      </c>
      <c r="BA95" s="507">
        <f t="shared" ca="1" si="49"/>
        <v>-1.5002857657072057</v>
      </c>
      <c r="BB95" s="550">
        <f t="shared" ca="1" si="50"/>
        <v>0.28706931613340025</v>
      </c>
      <c r="BC95" s="550">
        <f t="shared" ca="1" si="50"/>
        <v>0.28706931613340025</v>
      </c>
      <c r="BD95" s="550">
        <f t="shared" ca="1" si="51"/>
        <v>-1.500285765707206</v>
      </c>
      <c r="BE95" s="550">
        <f t="shared" ca="1" si="51"/>
        <v>-1.500285765707206</v>
      </c>
    </row>
    <row r="96" spans="1:57" x14ac:dyDescent="0.25">
      <c r="A96" s="60">
        <f t="shared" si="29"/>
        <v>0.68</v>
      </c>
      <c r="B96" s="812"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5.9480444217462583E-2</v>
      </c>
      <c r="M96" s="559">
        <f t="shared" ca="1" si="34"/>
        <v>5.7993433112026024E-2</v>
      </c>
      <c r="N96" s="557" t="s">
        <v>336</v>
      </c>
      <c r="O96" s="559">
        <f t="shared" ca="1" si="35"/>
        <v>6.4913228498745326E-2</v>
      </c>
      <c r="P96" s="559">
        <f t="shared" ca="1" si="35"/>
        <v>6.3290397786276695E-2</v>
      </c>
      <c r="Q96" s="557" t="s">
        <v>336</v>
      </c>
      <c r="R96" s="558">
        <f t="shared" ca="1" si="36"/>
        <v>3.7083797277920289E-4</v>
      </c>
      <c r="S96" s="558">
        <f t="shared" ca="1" si="36"/>
        <v>3.6156702345972286E-4</v>
      </c>
      <c r="T96" s="557" t="s">
        <v>336</v>
      </c>
      <c r="U96" s="558">
        <f t="shared" ca="1" si="37"/>
        <v>4.0470931883122396E-4</v>
      </c>
      <c r="V96" s="558">
        <f t="shared" ca="1" si="37"/>
        <v>3.945915858604434E-4</v>
      </c>
      <c r="W96" s="557" t="s">
        <v>336</v>
      </c>
      <c r="X96" s="559">
        <f t="shared" ca="1" si="38"/>
        <v>3.5644154472938205E-3</v>
      </c>
      <c r="Y96" s="559">
        <f t="shared" ca="1" si="38"/>
        <v>3.475305061111475E-3</v>
      </c>
      <c r="Z96" s="557" t="s">
        <v>336</v>
      </c>
      <c r="AA96" s="559">
        <f t="shared" ca="1" si="39"/>
        <v>2.3961544407260934E-3</v>
      </c>
      <c r="AB96" s="559">
        <f t="shared" ca="1" si="39"/>
        <v>2.3362505797079407E-3</v>
      </c>
      <c r="AC96" s="557" t="s">
        <v>336</v>
      </c>
      <c r="AD96" s="558">
        <f t="shared" ca="1" si="40"/>
        <v>2.7870701627279112E-2</v>
      </c>
      <c r="AE96" s="558">
        <f t="shared" ca="1" si="40"/>
        <v>2.7173934086597133E-2</v>
      </c>
      <c r="AF96" s="557" t="s">
        <v>336</v>
      </c>
      <c r="AG96" s="558">
        <f t="shared" ca="1" si="41"/>
        <v>1.8735892731319939E-2</v>
      </c>
      <c r="AH96" s="558">
        <f t="shared" ca="1" si="41"/>
        <v>1.826749541303694E-2</v>
      </c>
      <c r="AI96" s="557" t="s">
        <v>336</v>
      </c>
      <c r="AJ96" s="507">
        <f t="shared" ca="1" si="42"/>
        <v>5.910960624468338E-2</v>
      </c>
      <c r="AK96" s="507">
        <f t="shared" ca="1" si="42"/>
        <v>5.7631866088566304E-2</v>
      </c>
      <c r="AL96" s="507">
        <f t="shared" ca="1" si="43"/>
        <v>6.4508519179914098E-2</v>
      </c>
      <c r="AM96" s="507">
        <f t="shared" ca="1" si="43"/>
        <v>6.2895806200416252E-2</v>
      </c>
      <c r="AN96" s="507">
        <f t="shared" ca="1" si="44"/>
        <v>-2.430628617998529E-2</v>
      </c>
      <c r="AO96" s="507">
        <f t="shared" ca="1" si="44"/>
        <v>-2.3698629025485658E-2</v>
      </c>
      <c r="AP96" s="507">
        <f t="shared" ca="1" si="45"/>
        <v>-1.6339738290593847E-2</v>
      </c>
      <c r="AQ96" s="507">
        <f t="shared" ca="1" si="45"/>
        <v>-1.5931244833329E-2</v>
      </c>
      <c r="AR96" s="812" t="s">
        <v>142</v>
      </c>
      <c r="AS96" s="812">
        <v>2104008320</v>
      </c>
      <c r="AT96" s="507">
        <f t="shared" ca="1" si="46"/>
        <v>0.29354300452577725</v>
      </c>
      <c r="AU96" s="507">
        <f t="shared" ca="1" si="46"/>
        <v>0.28620442941263285</v>
      </c>
      <c r="AV96" s="507">
        <f t="shared" ca="1" si="47"/>
        <v>0.29354300452577725</v>
      </c>
      <c r="AW96" s="507">
        <f t="shared" ca="1" si="47"/>
        <v>0.28620442941263285</v>
      </c>
      <c r="AX96" s="507">
        <f t="shared" ca="1" si="48"/>
        <v>-2.0142722140188036</v>
      </c>
      <c r="AY96" s="507">
        <f t="shared" ca="1" si="48"/>
        <v>-1.9639154086683335</v>
      </c>
      <c r="AZ96" s="507">
        <f t="shared" ca="1" si="49"/>
        <v>-2.0142722140188041</v>
      </c>
      <c r="BA96" s="507">
        <f t="shared" ca="1" si="49"/>
        <v>-1.9639154086683339</v>
      </c>
      <c r="BB96" s="550">
        <f t="shared" ca="1" si="50"/>
        <v>0.2935430045257772</v>
      </c>
      <c r="BC96" s="550">
        <f t="shared" ca="1" si="50"/>
        <v>0.28620442941263291</v>
      </c>
      <c r="BD96" s="550">
        <f t="shared" ca="1" si="51"/>
        <v>-2.0142722140188036</v>
      </c>
      <c r="BE96" s="550">
        <f t="shared" ca="1" si="51"/>
        <v>-1.9639154086683335</v>
      </c>
    </row>
    <row r="97" spans="1:57" x14ac:dyDescent="0.25">
      <c r="A97" s="60">
        <f t="shared" si="29"/>
        <v>0.72</v>
      </c>
      <c r="B97" s="812"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3.9736139440187612E-2</v>
      </c>
      <c r="M97" s="559">
        <f t="shared" ca="1" si="34"/>
        <v>3.8742735954182921E-2</v>
      </c>
      <c r="N97" s="557" t="s">
        <v>336</v>
      </c>
      <c r="O97" s="559">
        <f t="shared" ca="1" si="35"/>
        <v>4.3365531866381556E-2</v>
      </c>
      <c r="P97" s="559">
        <f t="shared" ca="1" si="35"/>
        <v>4.2281393569722013E-2</v>
      </c>
      <c r="Q97" s="557" t="s">
        <v>336</v>
      </c>
      <c r="R97" s="558">
        <f t="shared" ca="1" si="36"/>
        <v>2.3640523584356887E-4</v>
      </c>
      <c r="S97" s="558">
        <f t="shared" ca="1" si="36"/>
        <v>2.3049510494747963E-4</v>
      </c>
      <c r="T97" s="557" t="s">
        <v>336</v>
      </c>
      <c r="U97" s="558">
        <f t="shared" ca="1" si="37"/>
        <v>2.5799785617788059E-4</v>
      </c>
      <c r="V97" s="558">
        <f t="shared" ca="1" si="37"/>
        <v>2.5154790977343359E-4</v>
      </c>
      <c r="W97" s="557" t="s">
        <v>336</v>
      </c>
      <c r="X97" s="559">
        <f t="shared" ca="1" si="38"/>
        <v>2.1460390786628811E-3</v>
      </c>
      <c r="Y97" s="559">
        <f t="shared" ca="1" si="38"/>
        <v>2.0923881016963091E-3</v>
      </c>
      <c r="Z97" s="557" t="s">
        <v>336</v>
      </c>
      <c r="AA97" s="559">
        <f t="shared" ca="1" si="39"/>
        <v>1.4426604149675914E-3</v>
      </c>
      <c r="AB97" s="559">
        <f t="shared" ca="1" si="39"/>
        <v>1.4065939045934017E-3</v>
      </c>
      <c r="AC97" s="557" t="s">
        <v>336</v>
      </c>
      <c r="AD97" s="558">
        <f t="shared" ca="1" si="40"/>
        <v>1.7767273782519615E-2</v>
      </c>
      <c r="AE97" s="558">
        <f t="shared" ca="1" si="40"/>
        <v>1.7323091937956624E-2</v>
      </c>
      <c r="AF97" s="557" t="s">
        <v>336</v>
      </c>
      <c r="AG97" s="558">
        <f t="shared" ca="1" si="41"/>
        <v>1.1943930948313863E-2</v>
      </c>
      <c r="AH97" s="558">
        <f t="shared" ca="1" si="41"/>
        <v>1.1645332674606016E-2</v>
      </c>
      <c r="AI97" s="557" t="s">
        <v>336</v>
      </c>
      <c r="AJ97" s="507">
        <f t="shared" ca="1" si="42"/>
        <v>3.9499734204344043E-2</v>
      </c>
      <c r="AK97" s="507">
        <f t="shared" ca="1" si="42"/>
        <v>3.8512240849235442E-2</v>
      </c>
      <c r="AL97" s="507">
        <f t="shared" ca="1" si="43"/>
        <v>4.3107534010203674E-2</v>
      </c>
      <c r="AM97" s="507">
        <f t="shared" ca="1" si="43"/>
        <v>4.2029845659948578E-2</v>
      </c>
      <c r="AN97" s="507">
        <f t="shared" ca="1" si="44"/>
        <v>-1.5621234703856735E-2</v>
      </c>
      <c r="AO97" s="507">
        <f t="shared" ca="1" si="44"/>
        <v>-1.5230703836260316E-2</v>
      </c>
      <c r="AP97" s="507">
        <f t="shared" ca="1" si="45"/>
        <v>-1.0501270533346272E-2</v>
      </c>
      <c r="AQ97" s="507">
        <f t="shared" ca="1" si="45"/>
        <v>-1.0238738770012615E-2</v>
      </c>
      <c r="AR97" s="812" t="s">
        <v>143</v>
      </c>
      <c r="AS97" s="812">
        <v>2104008330</v>
      </c>
      <c r="AT97" s="507">
        <f t="shared" ca="1" si="46"/>
        <v>0.29362726123173721</v>
      </c>
      <c r="AU97" s="507">
        <f t="shared" ca="1" si="46"/>
        <v>0.28628657970094379</v>
      </c>
      <c r="AV97" s="507">
        <f t="shared" ca="1" si="47"/>
        <v>0.29362726123173721</v>
      </c>
      <c r="AW97" s="507">
        <f t="shared" ca="1" si="47"/>
        <v>0.28628657970094373</v>
      </c>
      <c r="AX97" s="507">
        <f t="shared" ca="1" si="48"/>
        <v>-2.1501343804542987</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-2.1501343804542987</v>
      </c>
      <c r="BE97" s="550">
        <f t="shared" ca="1" si="51"/>
        <v>-2.0963810209429412</v>
      </c>
    </row>
    <row r="98" spans="1:57" x14ac:dyDescent="0.25">
      <c r="A98" s="60">
        <f t="shared" si="29"/>
        <v>0.56000000000000005</v>
      </c>
      <c r="B98" s="812"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1.4295563458664412E-3</v>
      </c>
      <c r="M98" s="559">
        <f t="shared" ca="1" si="34"/>
        <v>1.4295563458664412E-3</v>
      </c>
      <c r="N98" s="557" t="s">
        <v>336</v>
      </c>
      <c r="O98" s="559">
        <f t="shared" ca="1" si="35"/>
        <v>1.5601281892211527E-3</v>
      </c>
      <c r="P98" s="559">
        <f t="shared" ca="1" si="35"/>
        <v>1.5601281892211527E-3</v>
      </c>
      <c r="Q98" s="557" t="s">
        <v>336</v>
      </c>
      <c r="R98" s="558">
        <f t="shared" ca="1" si="36"/>
        <v>1.8774393726969586E-5</v>
      </c>
      <c r="S98" s="558">
        <f t="shared" ca="1" si="36"/>
        <v>1.8774393726969586E-5</v>
      </c>
      <c r="T98" s="557" t="s">
        <v>336</v>
      </c>
      <c r="U98" s="558">
        <f t="shared" ca="1" si="37"/>
        <v>2.0489196507486627E-5</v>
      </c>
      <c r="V98" s="558">
        <f t="shared" ca="1" si="37"/>
        <v>2.0489196507486627E-5</v>
      </c>
      <c r="W98" s="557" t="s">
        <v>336</v>
      </c>
      <c r="X98" s="559">
        <f t="shared" ca="1" si="38"/>
        <v>1.8349312738506689E-4</v>
      </c>
      <c r="Y98" s="559">
        <f t="shared" ca="1" si="38"/>
        <v>1.8349312738506689E-4</v>
      </c>
      <c r="Z98" s="557" t="s">
        <v>336</v>
      </c>
      <c r="AA98" s="559">
        <f t="shared" ca="1" si="39"/>
        <v>1.2335202742998419E-4</v>
      </c>
      <c r="AB98" s="559">
        <f t="shared" ca="1" si="39"/>
        <v>1.2335202742998419E-4</v>
      </c>
      <c r="AC98" s="557" t="s">
        <v>336</v>
      </c>
      <c r="AD98" s="558">
        <f t="shared" ca="1" si="40"/>
        <v>1.4110084840447995E-3</v>
      </c>
      <c r="AE98" s="558">
        <f t="shared" ca="1" si="40"/>
        <v>1.4110084840447995E-3</v>
      </c>
      <c r="AF98" s="557" t="s">
        <v>336</v>
      </c>
      <c r="AG98" s="558">
        <f t="shared" ca="1" si="41"/>
        <v>9.4854101463202369E-4</v>
      </c>
      <c r="AH98" s="558">
        <f t="shared" ca="1" si="41"/>
        <v>9.4854101463202369E-4</v>
      </c>
      <c r="AI98" s="557" t="s">
        <v>336</v>
      </c>
      <c r="AJ98" s="507">
        <f t="shared" ca="1" si="42"/>
        <v>1.4107819521394717E-3</v>
      </c>
      <c r="AK98" s="507">
        <f t="shared" ca="1" si="42"/>
        <v>1.4107819521394717E-3</v>
      </c>
      <c r="AL98" s="507">
        <f t="shared" ca="1" si="43"/>
        <v>1.5396389927136661E-3</v>
      </c>
      <c r="AM98" s="507">
        <f t="shared" ca="1" si="43"/>
        <v>1.5396389927136661E-3</v>
      </c>
      <c r="AN98" s="507">
        <f t="shared" ca="1" si="44"/>
        <v>-1.2275153566597326E-3</v>
      </c>
      <c r="AO98" s="507">
        <f t="shared" ca="1" si="44"/>
        <v>-1.2275153566597326E-3</v>
      </c>
      <c r="AP98" s="507">
        <f t="shared" ca="1" si="45"/>
        <v>-8.2518898720203944E-4</v>
      </c>
      <c r="AQ98" s="507">
        <f t="shared" ca="1" si="45"/>
        <v>-8.2518898720203944E-4</v>
      </c>
      <c r="AR98" s="812" t="s">
        <v>144</v>
      </c>
      <c r="AS98" s="812">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-1.9266357697207883</v>
      </c>
      <c r="BA98" s="507">
        <f t="shared" ca="1" si="49"/>
        <v>-1.9266357697207883</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2"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4.8219379832124092E-3</v>
      </c>
      <c r="M99" s="559">
        <f t="shared" ca="1" si="34"/>
        <v>4.8219379832124092E-3</v>
      </c>
      <c r="N99" s="557" t="s">
        <v>336</v>
      </c>
      <c r="O99" s="559">
        <f t="shared" ca="1" si="35"/>
        <v>5.2623608688374922E-3</v>
      </c>
      <c r="P99" s="559">
        <f t="shared" ca="1" si="35"/>
        <v>5.2623608688374922E-3</v>
      </c>
      <c r="Q99" s="557" t="s">
        <v>336</v>
      </c>
      <c r="R99" s="558">
        <f t="shared" ca="1" si="36"/>
        <v>8.8204925978292007E-5</v>
      </c>
      <c r="S99" s="558">
        <f t="shared" ca="1" si="36"/>
        <v>8.8204925978292007E-5</v>
      </c>
      <c r="T99" s="557" t="s">
        <v>336</v>
      </c>
      <c r="U99" s="558">
        <f t="shared" ca="1" si="37"/>
        <v>9.6261327400490676E-5</v>
      </c>
      <c r="V99" s="558">
        <f t="shared" ca="1" si="37"/>
        <v>9.6261327400490676E-5</v>
      </c>
      <c r="W99" s="557" t="s">
        <v>336</v>
      </c>
      <c r="X99" s="559">
        <f t="shared" ca="1" si="38"/>
        <v>6.1892802137870461E-4</v>
      </c>
      <c r="Y99" s="559">
        <f t="shared" ca="1" si="38"/>
        <v>6.1892802137870461E-4</v>
      </c>
      <c r="Z99" s="557" t="s">
        <v>336</v>
      </c>
      <c r="AA99" s="559">
        <f t="shared" ca="1" si="39"/>
        <v>4.1607022212922961E-4</v>
      </c>
      <c r="AB99" s="559">
        <f t="shared" ca="1" si="39"/>
        <v>4.1607022212922961E-4</v>
      </c>
      <c r="AC99" s="557" t="s">
        <v>336</v>
      </c>
      <c r="AD99" s="558">
        <f t="shared" ca="1" si="40"/>
        <v>6.6291301173219113E-3</v>
      </c>
      <c r="AE99" s="558">
        <f t="shared" ca="1" si="40"/>
        <v>6.6291301173219113E-3</v>
      </c>
      <c r="AF99" s="557" t="s">
        <v>336</v>
      </c>
      <c r="AG99" s="558">
        <f t="shared" ca="1" si="41"/>
        <v>4.4563883766219701E-3</v>
      </c>
      <c r="AH99" s="558">
        <f t="shared" ca="1" si="41"/>
        <v>4.4563883766219701E-3</v>
      </c>
      <c r="AI99" s="557" t="s">
        <v>336</v>
      </c>
      <c r="AJ99" s="507">
        <f t="shared" ca="1" si="42"/>
        <v>4.7337330572341171E-3</v>
      </c>
      <c r="AK99" s="507">
        <f t="shared" ca="1" si="42"/>
        <v>4.7337330572341171E-3</v>
      </c>
      <c r="AL99" s="507">
        <f t="shared" ca="1" si="43"/>
        <v>5.1660995414370015E-3</v>
      </c>
      <c r="AM99" s="507">
        <f t="shared" ca="1" si="43"/>
        <v>5.1660995414370015E-3</v>
      </c>
      <c r="AN99" s="507">
        <f t="shared" ca="1" si="44"/>
        <v>-6.0102020959432066E-3</v>
      </c>
      <c r="AO99" s="507">
        <f t="shared" ca="1" si="44"/>
        <v>-6.0102020959432066E-3</v>
      </c>
      <c r="AP99" s="507">
        <f t="shared" ca="1" si="45"/>
        <v>-4.0403181544927409E-3</v>
      </c>
      <c r="AQ99" s="507">
        <f t="shared" ca="1" si="45"/>
        <v>-4.0403181544927409E-3</v>
      </c>
      <c r="AR99" s="812" t="s">
        <v>145</v>
      </c>
      <c r="AS99" s="812">
        <v>2104008420</v>
      </c>
      <c r="AT99" s="507">
        <f t="shared" ca="1" si="46"/>
        <v>0.28273178237252561</v>
      </c>
      <c r="AU99" s="507">
        <f t="shared" ca="1" si="46"/>
        <v>0.28273178237252561</v>
      </c>
      <c r="AV99" s="507">
        <f t="shared" ca="1" si="47"/>
        <v>0.28273178237252561</v>
      </c>
      <c r="AW99" s="507">
        <f t="shared" ca="1" si="47"/>
        <v>0.28273178237252561</v>
      </c>
      <c r="AX99" s="507">
        <f t="shared" ca="1" si="48"/>
        <v>-2.7966712506825271</v>
      </c>
      <c r="AY99" s="507">
        <f t="shared" ca="1" si="48"/>
        <v>-2.7966712506825271</v>
      </c>
      <c r="AZ99" s="507">
        <f t="shared" ca="1" si="49"/>
        <v>-2.7966712506825271</v>
      </c>
      <c r="BA99" s="507">
        <f t="shared" ca="1" si="49"/>
        <v>-2.7966712506825271</v>
      </c>
      <c r="BB99" s="550">
        <f t="shared" ca="1" si="50"/>
        <v>0.28273178237252561</v>
      </c>
      <c r="BC99" s="550">
        <f t="shared" ca="1" si="50"/>
        <v>0.28273178237252561</v>
      </c>
      <c r="BD99" s="550">
        <f t="shared" ca="1" si="51"/>
        <v>-2.7966712506825271</v>
      </c>
      <c r="BE99" s="550">
        <f t="shared" ca="1" si="51"/>
        <v>-2.7966712506825271</v>
      </c>
    </row>
    <row r="100" spans="1:57" x14ac:dyDescent="0.25">
      <c r="A100" s="60">
        <f t="shared" si="29"/>
        <v>0.43</v>
      </c>
      <c r="B100" s="812"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2.2122081325841984E-2</v>
      </c>
      <c r="M100" s="559">
        <f t="shared" ca="1" si="34"/>
        <v>2.3957092680059289E-2</v>
      </c>
      <c r="N100" s="557" t="s">
        <v>336</v>
      </c>
      <c r="O100" s="559">
        <f t="shared" ca="1" si="35"/>
        <v>2.4142652914999823E-2</v>
      </c>
      <c r="P100" s="559">
        <f t="shared" ca="1" si="35"/>
        <v>2.61452692858293E-2</v>
      </c>
      <c r="Q100" s="557" t="s">
        <v>336</v>
      </c>
      <c r="R100" s="558">
        <f t="shared" ca="1" si="36"/>
        <v>7.0028982028383512E-5</v>
      </c>
      <c r="S100" s="558">
        <f t="shared" ca="1" si="36"/>
        <v>7.5837837680507492E-5</v>
      </c>
      <c r="T100" s="557" t="s">
        <v>336</v>
      </c>
      <c r="U100" s="558">
        <f t="shared" ca="1" si="37"/>
        <v>7.6425241467991694E-5</v>
      </c>
      <c r="V100" s="558">
        <f t="shared" ca="1" si="37"/>
        <v>8.2764662419253682E-5</v>
      </c>
      <c r="W100" s="557" t="s">
        <v>336</v>
      </c>
      <c r="X100" s="559">
        <f t="shared" ca="1" si="38"/>
        <v>1.0644429484058622E-3</v>
      </c>
      <c r="Y100" s="559">
        <f t="shared" ca="1" si="38"/>
        <v>1.1527377551860717E-3</v>
      </c>
      <c r="Z100" s="557" t="s">
        <v>336</v>
      </c>
      <c r="AA100" s="559">
        <f t="shared" ca="1" si="39"/>
        <v>7.1556465160612205E-4</v>
      </c>
      <c r="AB100" s="559">
        <f t="shared" ca="1" si="39"/>
        <v>7.7492024482690627E-4</v>
      </c>
      <c r="AC100" s="557" t="s">
        <v>336</v>
      </c>
      <c r="AD100" s="558">
        <f t="shared" ca="1" si="40"/>
        <v>5.263098729474623E-3</v>
      </c>
      <c r="AE100" s="558">
        <f t="shared" ca="1" si="40"/>
        <v>5.6996691309978628E-3</v>
      </c>
      <c r="AF100" s="557" t="s">
        <v>336</v>
      </c>
      <c r="AG100" s="558">
        <f t="shared" ca="1" si="41"/>
        <v>3.5380829140399905E-3</v>
      </c>
      <c r="AH100" s="558">
        <f t="shared" ca="1" si="41"/>
        <v>3.8315644460801736E-3</v>
      </c>
      <c r="AI100" s="557" t="s">
        <v>336</v>
      </c>
      <c r="AJ100" s="507">
        <f t="shared" ca="1" si="42"/>
        <v>2.2052052343813602E-2</v>
      </c>
      <c r="AK100" s="507">
        <f t="shared" ca="1" si="42"/>
        <v>2.3881254842378782E-2</v>
      </c>
      <c r="AL100" s="507">
        <f t="shared" ca="1" si="43"/>
        <v>2.406622767353183E-2</v>
      </c>
      <c r="AM100" s="507">
        <f t="shared" ca="1" si="43"/>
        <v>2.6062504623410046E-2</v>
      </c>
      <c r="AN100" s="507">
        <f t="shared" ca="1" si="44"/>
        <v>-4.1986557810687608E-3</v>
      </c>
      <c r="AO100" s="507">
        <f t="shared" ca="1" si="44"/>
        <v>-4.5469313758117911E-3</v>
      </c>
      <c r="AP100" s="507">
        <f t="shared" ca="1" si="45"/>
        <v>-2.8225182624338685E-3</v>
      </c>
      <c r="AQ100" s="507">
        <f t="shared" ca="1" si="45"/>
        <v>-3.0566442012532674E-3</v>
      </c>
      <c r="AR100" s="812" t="s">
        <v>146</v>
      </c>
      <c r="AS100" s="812">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-1.0489921575897507</v>
      </c>
      <c r="AY100" s="507">
        <f t="shared" ca="1" si="48"/>
        <v>-1.136005331952034</v>
      </c>
      <c r="AZ100" s="507">
        <f t="shared" ca="1" si="49"/>
        <v>-1.0489921575897505</v>
      </c>
      <c r="BA100" s="507">
        <f t="shared" ca="1" si="49"/>
        <v>-1.136005331952034</v>
      </c>
      <c r="BB100" s="550">
        <f t="shared" ca="1" si="50"/>
        <v>0.26509857267883641</v>
      </c>
      <c r="BC100" s="550">
        <f t="shared" ca="1" si="50"/>
        <v>0.28708831603468465</v>
      </c>
      <c r="BD100" s="550">
        <f t="shared" ca="1" si="51"/>
        <v>-1.0489921575897507</v>
      </c>
      <c r="BE100" s="550">
        <f t="shared" ca="1" si="51"/>
        <v>-1.1360053319520338</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0.24618713146703736</v>
      </c>
      <c r="AY106" s="507">
        <f t="shared" ca="1" si="61"/>
        <v>0.24618713146703736</v>
      </c>
      <c r="AZ106" s="507">
        <f t="shared" ca="1" si="62"/>
        <v>0.24394492861149725</v>
      </c>
      <c r="BA106" s="507">
        <f t="shared" ca="1" si="62"/>
        <v>0.24394492861149725</v>
      </c>
      <c r="BB106" s="550">
        <f t="shared" ca="1" si="50"/>
        <v>0.29896926355238951</v>
      </c>
      <c r="BC106" s="550">
        <f t="shared" ca="1" si="50"/>
        <v>0.29896926355238951</v>
      </c>
      <c r="BD106" s="550">
        <f t="shared" ca="1" si="51"/>
        <v>0.24618713146703741</v>
      </c>
      <c r="BE106" s="550">
        <f t="shared" ca="1" si="51"/>
        <v>0.24618713146703741</v>
      </c>
    </row>
    <row r="107" spans="1:57" x14ac:dyDescent="0.25">
      <c r="A107" s="60">
        <f t="shared" si="29"/>
        <v>0.43</v>
      </c>
      <c r="B107" s="812"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9.8447043692569385E-3</v>
      </c>
      <c r="M107" s="133">
        <f t="shared" ca="1" si="52"/>
        <v>9.8447043692569385E-3</v>
      </c>
      <c r="N107" s="551" t="s">
        <v>336</v>
      </c>
      <c r="O107" s="133">
        <f t="shared" ca="1" si="53"/>
        <v>1.0743893268311469E-2</v>
      </c>
      <c r="P107" s="133">
        <f t="shared" ca="1" si="53"/>
        <v>1.0743893268311469E-2</v>
      </c>
      <c r="Q107" s="551" t="s">
        <v>336</v>
      </c>
      <c r="R107" s="58">
        <f t="shared" ca="1" si="54"/>
        <v>3.3824318697812952E-5</v>
      </c>
      <c r="S107" s="58">
        <f t="shared" ca="1" si="54"/>
        <v>3.3824318697812952E-5</v>
      </c>
      <c r="T107" s="551" t="s">
        <v>336</v>
      </c>
      <c r="U107" s="58">
        <f t="shared" ca="1" si="55"/>
        <v>3.6913741269620627E-5</v>
      </c>
      <c r="V107" s="58">
        <f t="shared" ca="1" si="55"/>
        <v>3.6913741269620627E-5</v>
      </c>
      <c r="W107" s="551" t="s">
        <v>336</v>
      </c>
      <c r="X107" s="133">
        <f t="shared" ca="1" si="56"/>
        <v>1.3605017539217414E-2</v>
      </c>
      <c r="Y107" s="133">
        <f t="shared" ca="1" si="56"/>
        <v>1.3605017539217414E-2</v>
      </c>
      <c r="Z107" s="551" t="s">
        <v>336</v>
      </c>
      <c r="AA107" s="133">
        <f t="shared" ca="1" si="57"/>
        <v>9.1458820316533511E-3</v>
      </c>
      <c r="AB107" s="133">
        <f t="shared" ca="1" si="57"/>
        <v>9.1458820316533511E-3</v>
      </c>
      <c r="AC107" s="551" t="s">
        <v>336</v>
      </c>
      <c r="AD107" s="58">
        <f t="shared" ca="1" si="40"/>
        <v>2.4404167340885278E-3</v>
      </c>
      <c r="AE107" s="58">
        <f t="shared" ca="1" si="40"/>
        <v>2.4404167340885278E-3</v>
      </c>
      <c r="AF107" s="551" t="s">
        <v>336</v>
      </c>
      <c r="AG107" s="58">
        <f t="shared" ca="1" si="58"/>
        <v>1.7089102339838457E-3</v>
      </c>
      <c r="AH107" s="58">
        <f t="shared" ca="1" si="58"/>
        <v>1.7089102339838457E-3</v>
      </c>
      <c r="AI107" s="551" t="s">
        <v>336</v>
      </c>
      <c r="AJ107" s="507">
        <f t="shared" ca="1" si="42"/>
        <v>9.8108800505591256E-3</v>
      </c>
      <c r="AK107" s="507">
        <f t="shared" ca="1" si="42"/>
        <v>9.8108800505591256E-3</v>
      </c>
      <c r="AL107" s="507">
        <f t="shared" ca="1" si="43"/>
        <v>1.070697952704185E-2</v>
      </c>
      <c r="AM107" s="507">
        <f t="shared" ca="1" si="43"/>
        <v>1.070697952704185E-2</v>
      </c>
      <c r="AN107" s="507">
        <f t="shared" ca="1" si="44"/>
        <v>1.1164600805128887E-2</v>
      </c>
      <c r="AO107" s="507">
        <f t="shared" ca="1" si="44"/>
        <v>1.1164600805128887E-2</v>
      </c>
      <c r="AP107" s="507">
        <f t="shared" ca="1" si="45"/>
        <v>7.4369717976695057E-3</v>
      </c>
      <c r="AQ107" s="507">
        <f t="shared" ca="1" si="45"/>
        <v>7.4369717976695057E-3</v>
      </c>
      <c r="AR107" s="812" t="s">
        <v>152</v>
      </c>
      <c r="AS107" s="812">
        <v>2103002000</v>
      </c>
      <c r="AT107" s="507">
        <f t="shared" ca="1" si="59"/>
        <v>0.29896926355238951</v>
      </c>
      <c r="AU107" s="507">
        <f t="shared" ca="1" si="59"/>
        <v>0.29896926355238951</v>
      </c>
      <c r="AV107" s="507">
        <f t="shared" ca="1" si="60"/>
        <v>0.29896926355238951</v>
      </c>
      <c r="AW107" s="507">
        <f t="shared" ca="1" si="60"/>
        <v>0.29896926355238951</v>
      </c>
      <c r="AX107" s="507">
        <f t="shared" ca="1" si="61"/>
        <v>0.24618713146703736</v>
      </c>
      <c r="AY107" s="507">
        <f t="shared" ca="1" si="61"/>
        <v>0.24618713146703736</v>
      </c>
      <c r="AZ107" s="507">
        <f t="shared" ca="1" si="62"/>
        <v>0.24394492861149722</v>
      </c>
      <c r="BA107" s="507">
        <f t="shared" ca="1" si="62"/>
        <v>0.24394492861149722</v>
      </c>
      <c r="BB107" s="550">
        <f t="shared" ca="1" si="50"/>
        <v>0.29896926355238951</v>
      </c>
      <c r="BC107" s="550">
        <f t="shared" ca="1" si="50"/>
        <v>0.29896926355238951</v>
      </c>
      <c r="BD107" s="550">
        <f t="shared" ca="1" si="51"/>
        <v>0.24618713146703741</v>
      </c>
      <c r="BE107" s="550">
        <f t="shared" ca="1" si="51"/>
        <v>0.24618713146703741</v>
      </c>
    </row>
    <row r="108" spans="1:57" x14ac:dyDescent="0.25">
      <c r="A108" s="60">
        <f>A107</f>
        <v>0.43</v>
      </c>
      <c r="B108" s="812"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2.9704587835261976E-5</v>
      </c>
      <c r="M108" s="133">
        <f t="shared" ca="1" si="52"/>
        <v>2.9704587835261976E-5</v>
      </c>
      <c r="N108" s="551" t="s">
        <v>336</v>
      </c>
      <c r="O108" s="133">
        <f t="shared" ca="1" si="53"/>
        <v>3.2417725236916004E-5</v>
      </c>
      <c r="P108" s="133">
        <f t="shared" ca="1" si="53"/>
        <v>3.2417725236916004E-5</v>
      </c>
      <c r="Q108" s="551" t="s">
        <v>336</v>
      </c>
      <c r="R108" s="58">
        <f t="shared" ca="1" si="54"/>
        <v>1.020586711435109E-7</v>
      </c>
      <c r="S108" s="58">
        <f t="shared" ca="1" si="54"/>
        <v>1.020586711435109E-7</v>
      </c>
      <c r="T108" s="551" t="s">
        <v>336</v>
      </c>
      <c r="U108" s="58">
        <f t="shared" ca="1" si="55"/>
        <v>1.1138043650104481E-7</v>
      </c>
      <c r="V108" s="58">
        <f t="shared" ca="1" si="55"/>
        <v>1.1138043650104481E-7</v>
      </c>
      <c r="W108" s="551" t="s">
        <v>336</v>
      </c>
      <c r="X108" s="133">
        <f t="shared" ca="1" si="56"/>
        <v>4.1050642389626859E-5</v>
      </c>
      <c r="Y108" s="133">
        <f t="shared" ca="1" si="56"/>
        <v>4.1050642389626859E-5</v>
      </c>
      <c r="Z108" s="551" t="s">
        <v>336</v>
      </c>
      <c r="AA108" s="133">
        <f t="shared" ca="1" si="57"/>
        <v>2.7596019743221287E-5</v>
      </c>
      <c r="AB108" s="133">
        <f t="shared" ca="1" si="57"/>
        <v>2.7596019743221287E-5</v>
      </c>
      <c r="AC108" s="551" t="s">
        <v>336</v>
      </c>
      <c r="AD108" s="58">
        <f t="shared" ca="1" si="40"/>
        <v>7.3635094070221861E-6</v>
      </c>
      <c r="AE108" s="58">
        <f t="shared" ca="1" si="40"/>
        <v>7.3635094070221861E-6</v>
      </c>
      <c r="AF108" s="551" t="s">
        <v>336</v>
      </c>
      <c r="AG108" s="58">
        <f t="shared" ca="1" si="58"/>
        <v>5.1563228558160066E-6</v>
      </c>
      <c r="AH108" s="58">
        <f t="shared" ca="1" si="58"/>
        <v>5.1563228558160066E-6</v>
      </c>
      <c r="AI108" s="551" t="s">
        <v>336</v>
      </c>
      <c r="AJ108" s="507">
        <f t="shared" ca="1" si="42"/>
        <v>2.9602529164118464E-5</v>
      </c>
      <c r="AK108" s="507">
        <f t="shared" ca="1" si="42"/>
        <v>2.9602529164118464E-5</v>
      </c>
      <c r="AL108" s="507">
        <f t="shared" ca="1" si="43"/>
        <v>3.2306344800414957E-5</v>
      </c>
      <c r="AM108" s="507">
        <f t="shared" ca="1" si="43"/>
        <v>3.2306344800414957E-5</v>
      </c>
      <c r="AN108" s="507">
        <f t="shared" ca="1" si="44"/>
        <v>3.3687132982604676E-5</v>
      </c>
      <c r="AO108" s="507">
        <f t="shared" ca="1" si="44"/>
        <v>3.3687132982604676E-5</v>
      </c>
      <c r="AP108" s="507">
        <f t="shared" ca="1" si="45"/>
        <v>2.2439696887405279E-5</v>
      </c>
      <c r="AQ108" s="507">
        <f t="shared" ca="1" si="45"/>
        <v>2.2439696887405279E-5</v>
      </c>
      <c r="AR108" s="812" t="s">
        <v>153</v>
      </c>
      <c r="AS108" s="812">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-2.0457452173628479</v>
      </c>
      <c r="BA108" s="507">
        <f t="shared" ca="1" si="62"/>
        <v>-2.0457452173628479</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2"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2.9096758433452273E-5</v>
      </c>
      <c r="M109" s="133">
        <f t="shared" ca="1" si="52"/>
        <v>2.9096758433452273E-5</v>
      </c>
      <c r="N109" s="551" t="s">
        <v>336</v>
      </c>
      <c r="O109" s="133">
        <f t="shared" ca="1" si="53"/>
        <v>3.1754378327406114E-5</v>
      </c>
      <c r="P109" s="133">
        <f t="shared" ca="1" si="53"/>
        <v>3.1754378327406114E-5</v>
      </c>
      <c r="Q109" s="551" t="s">
        <v>336</v>
      </c>
      <c r="R109" s="58">
        <f t="shared" ca="1" si="54"/>
        <v>1.8140723482928827E-7</v>
      </c>
      <c r="S109" s="58">
        <f t="shared" ca="1" si="54"/>
        <v>1.8140723482928827E-7</v>
      </c>
      <c r="T109" s="551" t="s">
        <v>336</v>
      </c>
      <c r="U109" s="58">
        <f t="shared" ca="1" si="55"/>
        <v>1.9797648522507096E-7</v>
      </c>
      <c r="V109" s="58">
        <f t="shared" ca="1" si="55"/>
        <v>1.9797648522507096E-7</v>
      </c>
      <c r="W109" s="551" t="s">
        <v>336</v>
      </c>
      <c r="X109" s="133">
        <f t="shared" ca="1" si="56"/>
        <v>1.0105156854492893E-6</v>
      </c>
      <c r="Y109" s="133">
        <f t="shared" ca="1" si="56"/>
        <v>1.0105156854492893E-6</v>
      </c>
      <c r="Z109" s="551" t="s">
        <v>336</v>
      </c>
      <c r="AA109" s="133">
        <f t="shared" ca="1" si="57"/>
        <v>6.7931240982333521E-7</v>
      </c>
      <c r="AB109" s="133">
        <f t="shared" ca="1" si="57"/>
        <v>6.7931240982333521E-7</v>
      </c>
      <c r="AC109" s="551" t="s">
        <v>336</v>
      </c>
      <c r="AD109" s="58">
        <f t="shared" ca="1" si="40"/>
        <v>7.585319475880991E-6</v>
      </c>
      <c r="AE109" s="58">
        <f t="shared" ca="1" si="40"/>
        <v>7.585319475880991E-6</v>
      </c>
      <c r="AF109" s="551" t="s">
        <v>336</v>
      </c>
      <c r="AG109" s="58">
        <f t="shared" ca="1" si="58"/>
        <v>5.3116461214610638E-6</v>
      </c>
      <c r="AH109" s="58">
        <f t="shared" ca="1" si="58"/>
        <v>5.3116461214610638E-6</v>
      </c>
      <c r="AI109" s="551" t="s">
        <v>336</v>
      </c>
      <c r="AJ109" s="507">
        <f t="shared" ca="1" si="42"/>
        <v>2.8915351198622985E-5</v>
      </c>
      <c r="AK109" s="507">
        <f t="shared" ca="1" si="42"/>
        <v>2.8915351198622985E-5</v>
      </c>
      <c r="AL109" s="507">
        <f t="shared" ca="1" si="43"/>
        <v>3.1556401842181045E-5</v>
      </c>
      <c r="AM109" s="507">
        <f t="shared" ca="1" si="43"/>
        <v>3.1556401842181045E-5</v>
      </c>
      <c r="AN109" s="507">
        <f t="shared" ca="1" si="44"/>
        <v>-6.5748037904317019E-6</v>
      </c>
      <c r="AO109" s="507">
        <f t="shared" ca="1" si="44"/>
        <v>-6.5748037904317019E-6</v>
      </c>
      <c r="AP109" s="507">
        <f t="shared" ca="1" si="45"/>
        <v>-4.6323337116377282E-6</v>
      </c>
      <c r="AQ109" s="507">
        <f t="shared" ca="1" si="45"/>
        <v>-4.6323337116377282E-6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6.7620181673086185E-2</v>
      </c>
      <c r="AY109" s="541">
        <f t="shared" ca="1" si="61"/>
        <v>6.7620181673086185E-2</v>
      </c>
      <c r="AZ109" s="541">
        <f t="shared" ca="1" si="62"/>
        <v>5.7937689242798122E-2</v>
      </c>
      <c r="BA109" s="541">
        <f t="shared" ca="1" si="62"/>
        <v>5.7937689242798122E-2</v>
      </c>
      <c r="BB109" s="550">
        <f t="shared" ca="1" si="50"/>
        <v>0.27283781949599384</v>
      </c>
      <c r="BC109" s="550">
        <f t="shared" ca="1" si="50"/>
        <v>0.27283781949599384</v>
      </c>
      <c r="BD109" s="550">
        <f t="shared" ca="1" si="51"/>
        <v>6.7620181673086144E-2</v>
      </c>
      <c r="BE109" s="550">
        <f t="shared" ca="1" si="51"/>
        <v>6.7620181673086144E-2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2.67123017302892E-4</v>
      </c>
      <c r="M110" s="544">
        <f t="shared" ca="1" si="52"/>
        <v>2.67123017302892E-4</v>
      </c>
      <c r="N110" s="542" t="s">
        <v>336</v>
      </c>
      <c r="O110" s="544">
        <f t="shared" ca="1" si="53"/>
        <v>2.9152131742765652E-4</v>
      </c>
      <c r="P110" s="544">
        <f t="shared" ca="1" si="53"/>
        <v>2.9152131742765652E-4</v>
      </c>
      <c r="Q110" s="542" t="s">
        <v>336</v>
      </c>
      <c r="R110" s="543">
        <f t="shared" ca="1" si="54"/>
        <v>2.4185478709186406E-5</v>
      </c>
      <c r="S110" s="543">
        <f t="shared" ca="1" si="54"/>
        <v>2.4185478709186406E-5</v>
      </c>
      <c r="T110" s="542" t="s">
        <v>336</v>
      </c>
      <c r="U110" s="543">
        <f t="shared" ca="1" si="55"/>
        <v>2.6394515482452308E-5</v>
      </c>
      <c r="V110" s="543">
        <f t="shared" ca="1" si="55"/>
        <v>2.6394515482452308E-5</v>
      </c>
      <c r="W110" s="542" t="s">
        <v>336</v>
      </c>
      <c r="X110" s="544">
        <f t="shared" ca="1" si="56"/>
        <v>2.2527472669192981E-3</v>
      </c>
      <c r="Y110" s="544">
        <f t="shared" ca="1" si="56"/>
        <v>2.2527472669192981E-3</v>
      </c>
      <c r="Z110" s="542" t="s">
        <v>336</v>
      </c>
      <c r="AA110" s="544">
        <f t="shared" ca="1" si="57"/>
        <v>1.5143942807117133E-3</v>
      </c>
      <c r="AB110" s="544">
        <f t="shared" ca="1" si="57"/>
        <v>1.5143942807117133E-3</v>
      </c>
      <c r="AC110" s="542" t="s">
        <v>336</v>
      </c>
      <c r="AD110" s="543">
        <f t="shared" ca="1" si="40"/>
        <v>1.7449766687438605E-3</v>
      </c>
      <c r="AE110" s="543">
        <f t="shared" ca="1" si="40"/>
        <v>1.7449766687438605E-3</v>
      </c>
      <c r="AF110" s="542" t="s">
        <v>336</v>
      </c>
      <c r="AG110" s="543">
        <f t="shared" ca="1" si="58"/>
        <v>1.2219259299552265E-3</v>
      </c>
      <c r="AH110" s="543">
        <f t="shared" ca="1" si="58"/>
        <v>1.2219259299552265E-3</v>
      </c>
      <c r="AI110" s="542" t="s">
        <v>336</v>
      </c>
      <c r="AJ110" s="541">
        <f t="shared" ca="1" si="42"/>
        <v>2.4293753859370559E-4</v>
      </c>
      <c r="AK110" s="541">
        <f t="shared" ca="1" si="42"/>
        <v>2.4293753859370559E-4</v>
      </c>
      <c r="AL110" s="541">
        <f t="shared" ca="1" si="43"/>
        <v>2.6512680194520422E-4</v>
      </c>
      <c r="AM110" s="541">
        <f t="shared" ca="1" si="43"/>
        <v>2.6512680194520422E-4</v>
      </c>
      <c r="AN110" s="541">
        <f t="shared" ca="1" si="44"/>
        <v>5.0777059817543762E-4</v>
      </c>
      <c r="AO110" s="541">
        <f t="shared" ca="1" si="44"/>
        <v>5.0777059817543762E-4</v>
      </c>
      <c r="AP110" s="541">
        <f t="shared" ca="1" si="45"/>
        <v>2.9246835075648673E-4</v>
      </c>
      <c r="AQ110" s="541">
        <f t="shared" ca="1" si="45"/>
        <v>2.9246835075648673E-4</v>
      </c>
      <c r="AR110" s="810"/>
      <c r="AS110" s="810" t="s">
        <v>249</v>
      </c>
      <c r="AT110" s="506">
        <f ca="1">AJ111/SUM($C40:$C59)</f>
        <v>0.20687604080907135</v>
      </c>
      <c r="AU110" s="506">
        <f ca="1">AK111/SUM($C40:$C59)</f>
        <v>0.27851225709234845</v>
      </c>
      <c r="AV110" s="506">
        <f ca="1">AL111/SUM($C60:$C79)</f>
        <v>0.20687604080907132</v>
      </c>
      <c r="AW110" s="506">
        <f ca="1">AM111/SUM($C60:$C79)</f>
        <v>0.27851225709234823</v>
      </c>
      <c r="AX110" s="506">
        <f ca="1">AN111/SUM($J40:$J59)</f>
        <v>-2.9623265476509366E-2</v>
      </c>
      <c r="AY110" s="506">
        <f ca="1">AO111/SUM($J40:$J59)</f>
        <v>-2.9108227688226646E-2</v>
      </c>
      <c r="AZ110" s="506">
        <f ca="1">AP111/SUM($J60:$J79)</f>
        <v>-2.9726012804522091E-2</v>
      </c>
      <c r="BA110" s="506">
        <f ca="1">AQ111/SUM($J60:$J79)</f>
        <v>-2.9210975016239368E-2</v>
      </c>
      <c r="BB110" s="506"/>
      <c r="BC110" s="506"/>
      <c r="BD110" s="506"/>
      <c r="BE110" s="506"/>
    </row>
    <row r="111" spans="1:57" ht="15.75" thickTop="1" x14ac:dyDescent="0.25">
      <c r="K111" s="244" t="s">
        <v>784</v>
      </c>
      <c r="L111" s="137">
        <f ca="1">SUM(L91:L110)</f>
        <v>0.19253522852607727</v>
      </c>
      <c r="M111" s="137">
        <f ca="1">SUM(M91:M110)</f>
        <v>0.25885457406396922</v>
      </c>
      <c r="N111" s="540" t="s">
        <v>336</v>
      </c>
      <c r="O111" s="137">
        <f ca="1">SUM(O91:O110)</f>
        <v>0.21012088002702153</v>
      </c>
      <c r="P111" s="137">
        <f ca="1">SUM(P91:P110)</f>
        <v>0.28249765675466648</v>
      </c>
      <c r="Q111" s="540" t="s">
        <v>336</v>
      </c>
      <c r="R111" s="137">
        <f ca="1">SUM(R91:R110)</f>
        <v>1.0129587235586013E-3</v>
      </c>
      <c r="S111" s="137">
        <f ca="1">SUM(S91:S110)</f>
        <v>1.0127310088878167E-3</v>
      </c>
      <c r="T111" s="540" t="s">
        <v>336</v>
      </c>
      <c r="U111" s="137">
        <f ca="1">SUM(U91:U110)</f>
        <v>1.1054796571753299E-3</v>
      </c>
      <c r="V111" s="137">
        <f ca="1">SUM(V91:V110)</f>
        <v>1.1052311436571202E-3</v>
      </c>
      <c r="W111" s="540" t="s">
        <v>336</v>
      </c>
      <c r="X111" s="137">
        <f ca="1">SUM(X91:X110)</f>
        <v>2.5490513655890546E-2</v>
      </c>
      <c r="Y111" s="137">
        <f ca="1">SUM(Y91:Y110)</f>
        <v>2.6350687134293057E-2</v>
      </c>
      <c r="Z111" s="540" t="s">
        <v>336</v>
      </c>
      <c r="AA111" s="137">
        <f ca="1">SUM(AA91:AA110)</f>
        <v>1.7135827289527623E-2</v>
      </c>
      <c r="AB111" s="137">
        <f ca="1">SUM(AB91:AB110)</f>
        <v>1.7714073156359398E-2</v>
      </c>
      <c r="AC111" s="540" t="s">
        <v>336</v>
      </c>
      <c r="AD111" s="137">
        <f ca="1">SUM(AD91:AD110)</f>
        <v>7.5949187143606087E-2</v>
      </c>
      <c r="AE111" s="137">
        <f ca="1">SUM(AE91:AE110)</f>
        <v>7.593207301800016E-2</v>
      </c>
      <c r="AF111" s="540" t="s">
        <v>336</v>
      </c>
      <c r="AG111" s="137">
        <f ca="1">SUM(AG91:AG110)</f>
        <v>5.1173985169892883E-2</v>
      </c>
      <c r="AH111" s="137">
        <f ca="1">SUM(AH91:AH110)</f>
        <v>5.1162480313437127E-2</v>
      </c>
      <c r="AI111" s="540" t="s">
        <v>336</v>
      </c>
      <c r="AJ111" s="506">
        <f t="shared" ref="AJ111:AQ111" ca="1" si="64">SUM(AJ91:AJ110)</f>
        <v>0.19152226980251869</v>
      </c>
      <c r="AK111" s="506">
        <f t="shared" ca="1" si="64"/>
        <v>0.25784184305508145</v>
      </c>
      <c r="AL111" s="506">
        <f t="shared" ca="1" si="64"/>
        <v>0.20901540036984625</v>
      </c>
      <c r="AM111" s="506">
        <f t="shared" ca="1" si="64"/>
        <v>0.28139242561100924</v>
      </c>
      <c r="AN111" s="506">
        <f t="shared" ca="1" si="64"/>
        <v>-5.0458673487715537E-2</v>
      </c>
      <c r="AO111" s="506">
        <f t="shared" ca="1" si="64"/>
        <v>-4.9581385883707092E-2</v>
      </c>
      <c r="AP111" s="506">
        <f t="shared" ca="1" si="64"/>
        <v>-3.4038157880365259E-2</v>
      </c>
      <c r="AQ111" s="506">
        <f t="shared" ca="1" si="64"/>
        <v>-3.3448407157077725E-2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53"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0.40053767017236497</v>
      </c>
      <c r="AK113" s="506">
        <f ca="1">AK111+AM111</f>
        <v>0.5392342686660907</v>
      </c>
      <c r="AM113" s="506"/>
    </row>
    <row r="114" spans="1:53" x14ac:dyDescent="0.25">
      <c r="K114" s="244"/>
    </row>
    <row r="116" spans="1:53" ht="15.75" x14ac:dyDescent="0.25">
      <c r="A116" s="867" t="s">
        <v>787</v>
      </c>
      <c r="B116" s="867"/>
      <c r="C116" s="867"/>
      <c r="D116" s="867"/>
      <c r="E116" s="867"/>
      <c r="F116" s="867"/>
      <c r="G116" s="867"/>
      <c r="H116" s="867"/>
      <c r="I116" s="867"/>
      <c r="J116" s="867"/>
      <c r="K116" s="867"/>
      <c r="L116" s="867"/>
      <c r="M116" s="867"/>
      <c r="N116" s="867"/>
      <c r="O116" s="867"/>
      <c r="P116" s="867"/>
      <c r="AI116" s="264"/>
      <c r="AJ116" s="507"/>
      <c r="AK116" s="507"/>
      <c r="AL116" s="507"/>
      <c r="AM116" s="507"/>
      <c r="AN116" s="507"/>
      <c r="AO116" s="507"/>
      <c r="AP116" s="507"/>
      <c r="AQ116" s="507"/>
      <c r="AS116" s="264"/>
      <c r="AT116" s="507"/>
      <c r="AU116" s="507"/>
      <c r="AV116" s="507"/>
      <c r="AW116" s="507"/>
      <c r="AX116" s="507"/>
      <c r="AY116" s="507"/>
      <c r="AZ116" s="507"/>
      <c r="BA116" s="507"/>
    </row>
    <row r="117" spans="1:53" x14ac:dyDescent="0.25">
      <c r="A117" s="812"/>
      <c r="B117" s="812"/>
      <c r="C117" s="845" t="s">
        <v>788</v>
      </c>
      <c r="D117" s="845"/>
      <c r="E117" s="845"/>
      <c r="F117" s="845"/>
      <c r="G117" s="845"/>
      <c r="H117" s="845"/>
      <c r="I117" s="845"/>
      <c r="J117" s="845" t="s">
        <v>789</v>
      </c>
      <c r="K117" s="845"/>
      <c r="L117" s="845"/>
      <c r="M117" s="845"/>
      <c r="N117" s="845"/>
      <c r="O117" s="845"/>
      <c r="P117" s="845"/>
      <c r="AI117" s="264"/>
      <c r="AJ117" s="507"/>
      <c r="AK117" s="507"/>
      <c r="AL117" s="507"/>
      <c r="AM117" s="507"/>
      <c r="AN117" s="507"/>
      <c r="AO117" s="507"/>
      <c r="AP117" s="507"/>
      <c r="AQ117" s="507"/>
      <c r="AS117" s="264"/>
      <c r="AT117" s="507"/>
      <c r="AU117" s="507"/>
      <c r="AV117" s="507"/>
      <c r="AW117" s="507"/>
      <c r="AX117" s="507"/>
      <c r="AY117" s="507"/>
      <c r="AZ117" s="507"/>
      <c r="BA117" s="507"/>
    </row>
    <row r="118" spans="1:53"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53" ht="15.75" thickTop="1" x14ac:dyDescent="0.25">
      <c r="A119" s="812" t="s">
        <v>101</v>
      </c>
      <c r="B119" s="812" t="s">
        <v>752</v>
      </c>
      <c r="C119" s="539">
        <f t="shared" ref="C119:E120" ca="1" si="65">C32</f>
        <v>0.92578274919364489</v>
      </c>
      <c r="D119" s="539">
        <f t="shared" ca="1" si="65"/>
        <v>0.92578274919364489</v>
      </c>
      <c r="E119" s="539">
        <f t="shared" ca="1" si="65"/>
        <v>0.92578274919364489</v>
      </c>
      <c r="F119" s="539" t="s">
        <v>336</v>
      </c>
      <c r="G119" s="539">
        <f ca="1">G32</f>
        <v>0.92578274919364489</v>
      </c>
      <c r="H119" s="539">
        <f ca="1">H32</f>
        <v>0.92578274919364489</v>
      </c>
      <c r="I119" s="539" t="s">
        <v>336</v>
      </c>
      <c r="J119" s="539">
        <f t="shared" ref="J119:L120" ca="1" si="66">J32</f>
        <v>1.7033460922033803</v>
      </c>
      <c r="K119" s="539">
        <f t="shared" ca="1" si="66"/>
        <v>1.7033460922033803</v>
      </c>
      <c r="L119" s="539">
        <f t="shared" ca="1" si="66"/>
        <v>1.7033460922033803</v>
      </c>
      <c r="M119" s="539" t="s">
        <v>336</v>
      </c>
      <c r="N119" s="539">
        <f ca="1">N32</f>
        <v>1.7033460922033803</v>
      </c>
      <c r="O119" s="539">
        <f ca="1">O32</f>
        <v>1.7033460922033803</v>
      </c>
      <c r="P119" s="539" t="s">
        <v>336</v>
      </c>
    </row>
    <row r="120" spans="1:53" x14ac:dyDescent="0.25">
      <c r="A120" s="812" t="s">
        <v>101</v>
      </c>
      <c r="B120" s="812" t="s">
        <v>754</v>
      </c>
      <c r="C120" s="539">
        <f t="shared" ca="1" si="65"/>
        <v>1.0103412630694599</v>
      </c>
      <c r="D120" s="539">
        <f t="shared" ca="1" si="65"/>
        <v>1.0103412630694599</v>
      </c>
      <c r="E120" s="539">
        <f t="shared" ca="1" si="65"/>
        <v>1.0103412630694599</v>
      </c>
      <c r="F120" s="539" t="s">
        <v>336</v>
      </c>
      <c r="G120" s="539">
        <f ca="1">G33</f>
        <v>1.0103412630694599</v>
      </c>
      <c r="H120" s="539">
        <f ca="1">H33</f>
        <v>1.0103412630694599</v>
      </c>
      <c r="I120" s="539" t="s">
        <v>336</v>
      </c>
      <c r="J120" s="539">
        <f t="shared" ca="1" si="66"/>
        <v>1.1450630161602833</v>
      </c>
      <c r="K120" s="539">
        <f t="shared" ca="1" si="66"/>
        <v>1.1450630161602833</v>
      </c>
      <c r="L120" s="539">
        <f t="shared" ca="1" si="66"/>
        <v>1.1450630161602833</v>
      </c>
      <c r="M120" s="539" t="s">
        <v>336</v>
      </c>
      <c r="N120" s="539">
        <f ca="1">N33</f>
        <v>1.1450630161602833</v>
      </c>
      <c r="O120" s="539">
        <f ca="1">O33</f>
        <v>1.1450630161602833</v>
      </c>
      <c r="P120" s="539" t="s">
        <v>336</v>
      </c>
    </row>
    <row r="121" spans="1:53" x14ac:dyDescent="0.25">
      <c r="A121" s="813" t="s">
        <v>101</v>
      </c>
      <c r="B121" s="813" t="s">
        <v>792</v>
      </c>
      <c r="C121" s="535">
        <f ca="1">IFERROR(C122-SUM(C119:C120),"-")</f>
        <v>0.52336194731419283</v>
      </c>
      <c r="D121" s="535">
        <f ca="1">IFERROR(D122-SUM(D119:D120),"-")</f>
        <v>0.52336194731419283</v>
      </c>
      <c r="E121" s="535">
        <f ca="1">IFERROR(E122-SUM(E119:E120),"-")</f>
        <v>0.52336194731419283</v>
      </c>
      <c r="F121" s="535" t="s">
        <v>336</v>
      </c>
      <c r="G121" s="535">
        <f ca="1">IFERROR(G122-SUM(G119:G120),"-")</f>
        <v>0.52336194731419283</v>
      </c>
      <c r="H121" s="535">
        <f ca="1">IFERROR(H122-SUM(H119:H120),"-")</f>
        <v>0.52336194731419283</v>
      </c>
      <c r="I121" s="535" t="s">
        <v>336</v>
      </c>
      <c r="J121" s="535">
        <f ca="1">IFERROR(J122-SUM(J119:J120),"-")</f>
        <v>0.96293274911640703</v>
      </c>
      <c r="K121" s="535">
        <f ca="1">IFERROR(K122-SUM(K119:K120),"-")</f>
        <v>0.96293274911640703</v>
      </c>
      <c r="L121" s="535">
        <f ca="1">IFERROR(L122-SUM(L119:L120),"-")</f>
        <v>0.96293274911640703</v>
      </c>
      <c r="M121" s="535" t="s">
        <v>336</v>
      </c>
      <c r="N121" s="535">
        <f ca="1">IFERROR(N122-SUM(N119:N120),"-")</f>
        <v>0.96293274911640703</v>
      </c>
      <c r="O121" s="535">
        <f ca="1">IFERROR(O122-SUM(O119:O120),"-")</f>
        <v>0.96293274911640703</v>
      </c>
      <c r="P121" s="535" t="s">
        <v>336</v>
      </c>
    </row>
    <row r="122" spans="1:53" x14ac:dyDescent="0.25">
      <c r="A122" s="348" t="s">
        <v>101</v>
      </c>
      <c r="B122" s="348" t="s">
        <v>793</v>
      </c>
      <c r="C122" s="534">
        <f ca="1">C26</f>
        <v>2.4594859595772975</v>
      </c>
      <c r="D122" s="534">
        <f ca="1">D26</f>
        <v>2.4594859595772975</v>
      </c>
      <c r="E122" s="534">
        <f ca="1">E26</f>
        <v>2.4594859595772975</v>
      </c>
      <c r="F122" s="534" t="s">
        <v>336</v>
      </c>
      <c r="G122" s="534">
        <f ca="1">G26</f>
        <v>2.4594859595772975</v>
      </c>
      <c r="H122" s="534">
        <f ca="1">H26</f>
        <v>2.4594859595772975</v>
      </c>
      <c r="I122" s="534" t="s">
        <v>336</v>
      </c>
      <c r="J122" s="534">
        <f ca="1">J26</f>
        <v>3.8113418574800706</v>
      </c>
      <c r="K122" s="534">
        <f ca="1">K26</f>
        <v>3.8113418574800706</v>
      </c>
      <c r="L122" s="534">
        <f ca="1">L26</f>
        <v>3.8113418574800706</v>
      </c>
      <c r="M122" s="534" t="s">
        <v>336</v>
      </c>
      <c r="N122" s="534">
        <f ca="1">N26</f>
        <v>3.8113418574800706</v>
      </c>
      <c r="O122" s="534">
        <f ca="1">O26</f>
        <v>3.8113418574800706</v>
      </c>
      <c r="P122" s="534" t="s">
        <v>336</v>
      </c>
    </row>
    <row r="123" spans="1:53" x14ac:dyDescent="0.25">
      <c r="A123" s="812" t="s">
        <v>722</v>
      </c>
      <c r="B123" s="812" t="s">
        <v>752</v>
      </c>
      <c r="C123" s="133">
        <f ca="1">C119</f>
        <v>0.92578274919364489</v>
      </c>
      <c r="D123" s="537">
        <f ca="1">D119-L$111+R$111</f>
        <v>0.73426047939112615</v>
      </c>
      <c r="E123" s="537">
        <f ca="1">E119-M$111+S$111</f>
        <v>0.66794090613856338</v>
      </c>
      <c r="F123" s="538" t="s">
        <v>336</v>
      </c>
      <c r="G123" s="521">
        <f ca="1">G119</f>
        <v>0.92578274919364489</v>
      </c>
      <c r="H123" s="521">
        <f ca="1">H119</f>
        <v>0.92578274919364489</v>
      </c>
      <c r="I123" s="538" t="s">
        <v>336</v>
      </c>
      <c r="J123" s="133">
        <f ca="1">J119</f>
        <v>1.7033460922033803</v>
      </c>
      <c r="K123" s="537">
        <f ca="1">K119-X$111+AD$111</f>
        <v>1.7538047656910958</v>
      </c>
      <c r="L123" s="537">
        <f ca="1">L119-Y$111+AE$111</f>
        <v>1.7529274780870874</v>
      </c>
      <c r="M123" s="538" t="s">
        <v>336</v>
      </c>
      <c r="N123" s="521">
        <f ca="1">N119</f>
        <v>1.7033460922033803</v>
      </c>
      <c r="O123" s="521">
        <f ca="1">O119</f>
        <v>1.7033460922033803</v>
      </c>
      <c r="P123" s="538" t="s">
        <v>336</v>
      </c>
    </row>
    <row r="124" spans="1:53" x14ac:dyDescent="0.25">
      <c r="A124" s="812" t="s">
        <v>722</v>
      </c>
      <c r="B124" s="812" t="s">
        <v>754</v>
      </c>
      <c r="C124" s="133">
        <f ca="1">C120</f>
        <v>1.0103412630694599</v>
      </c>
      <c r="D124" s="521">
        <f ca="1">D120</f>
        <v>1.0103412630694599</v>
      </c>
      <c r="E124" s="521">
        <f ca="1">E120</f>
        <v>1.0103412630694599</v>
      </c>
      <c r="F124" s="536" t="s">
        <v>336</v>
      </c>
      <c r="G124" s="537">
        <f ca="1">G120-O$111+U$111</f>
        <v>0.8013258626996137</v>
      </c>
      <c r="H124" s="537">
        <f ca="1">H120-P$111+V$111</f>
        <v>0.72894883745845063</v>
      </c>
      <c r="I124" s="536" t="s">
        <v>336</v>
      </c>
      <c r="J124" s="133">
        <f ca="1">J120</f>
        <v>1.1450630161602833</v>
      </c>
      <c r="K124" s="521">
        <f ca="1">K120</f>
        <v>1.1450630161602833</v>
      </c>
      <c r="L124" s="521">
        <f ca="1">L120</f>
        <v>1.1450630161602833</v>
      </c>
      <c r="M124" s="536" t="s">
        <v>336</v>
      </c>
      <c r="N124" s="537">
        <f ca="1">N120-AA$111+AG$111</f>
        <v>1.1791011740406485</v>
      </c>
      <c r="O124" s="537">
        <f ca="1">O120-AB$111+AH$111</f>
        <v>1.178511423317361</v>
      </c>
      <c r="P124" s="536" t="s">
        <v>336</v>
      </c>
    </row>
    <row r="125" spans="1:53" x14ac:dyDescent="0.25">
      <c r="A125" s="813" t="s">
        <v>722</v>
      </c>
      <c r="B125" s="813" t="s">
        <v>792</v>
      </c>
      <c r="C125" s="527">
        <f ca="1">C121</f>
        <v>0.52336194731419283</v>
      </c>
      <c r="D125" s="527">
        <f ca="1">D121</f>
        <v>0.52336194731419283</v>
      </c>
      <c r="E125" s="527">
        <f ca="1">E121</f>
        <v>0.52336194731419283</v>
      </c>
      <c r="F125" s="535" t="s">
        <v>336</v>
      </c>
      <c r="G125" s="527">
        <f ca="1">G121</f>
        <v>0.52336194731419283</v>
      </c>
      <c r="H125" s="527">
        <f ca="1">H121</f>
        <v>0.52336194731419283</v>
      </c>
      <c r="I125" s="535" t="s">
        <v>336</v>
      </c>
      <c r="J125" s="527">
        <f ca="1">J121</f>
        <v>0.96293274911640703</v>
      </c>
      <c r="K125" s="527">
        <f ca="1">K121</f>
        <v>0.96293274911640703</v>
      </c>
      <c r="L125" s="527">
        <f ca="1">L121</f>
        <v>0.96293274911640703</v>
      </c>
      <c r="M125" s="535" t="s">
        <v>336</v>
      </c>
      <c r="N125" s="527">
        <f ca="1">N121</f>
        <v>0.96293274911640703</v>
      </c>
      <c r="O125" s="527">
        <f ca="1">O121</f>
        <v>0.96293274911640703</v>
      </c>
      <c r="P125" s="535" t="s">
        <v>336</v>
      </c>
    </row>
    <row r="126" spans="1:53" x14ac:dyDescent="0.25">
      <c r="A126" s="348" t="s">
        <v>722</v>
      </c>
      <c r="B126" s="348" t="s">
        <v>793</v>
      </c>
      <c r="C126" s="466">
        <f ca="1">SUM(C123:C125)</f>
        <v>2.4594859595772975</v>
      </c>
      <c r="D126" s="466">
        <f ca="1">SUM(D123:D125)</f>
        <v>2.267963689774779</v>
      </c>
      <c r="E126" s="466">
        <f ca="1">SUM(E123:E125)</f>
        <v>2.2016441165222163</v>
      </c>
      <c r="F126" s="534" t="s">
        <v>336</v>
      </c>
      <c r="G126" s="466">
        <f ca="1">SUM(G123:G125)</f>
        <v>2.2504705592074514</v>
      </c>
      <c r="H126" s="466">
        <f ca="1">SUM(H123:H125)</f>
        <v>2.1780935339662886</v>
      </c>
      <c r="I126" s="534" t="s">
        <v>336</v>
      </c>
      <c r="J126" s="466">
        <f ca="1">SUM(J123:J125)</f>
        <v>3.8113418574800706</v>
      </c>
      <c r="K126" s="466">
        <f ca="1">SUM(K123:K125)</f>
        <v>3.8618005309677863</v>
      </c>
      <c r="L126" s="466">
        <f ca="1">SUM(L123:L125)</f>
        <v>3.8609232433637777</v>
      </c>
      <c r="M126" s="534" t="s">
        <v>336</v>
      </c>
      <c r="N126" s="466">
        <f ca="1">SUM(N123:N125)</f>
        <v>3.8453800153604356</v>
      </c>
      <c r="O126" s="466">
        <f ca="1">SUM(O123:O125)</f>
        <v>3.8447902646371483</v>
      </c>
      <c r="P126" s="534" t="s">
        <v>336</v>
      </c>
    </row>
    <row r="127" spans="1:53" x14ac:dyDescent="0.25">
      <c r="A127" s="363" t="s">
        <v>794</v>
      </c>
      <c r="B127" s="363" t="s">
        <v>793</v>
      </c>
      <c r="C127" s="532">
        <f ca="1">C122-C126</f>
        <v>0</v>
      </c>
      <c r="D127" s="532">
        <f ca="1">D122-D126</f>
        <v>0.19152226980251852</v>
      </c>
      <c r="E127" s="532">
        <f ca="1">E122-E126</f>
        <v>0.25784184305508129</v>
      </c>
      <c r="F127" s="533" t="s">
        <v>336</v>
      </c>
      <c r="G127" s="532">
        <f ca="1">G122-G126</f>
        <v>0.20901540036984612</v>
      </c>
      <c r="H127" s="532">
        <f ca="1">H122-H126</f>
        <v>0.28139242561100897</v>
      </c>
      <c r="I127" s="533" t="s">
        <v>336</v>
      </c>
      <c r="J127" s="532">
        <f ca="1">J122-J126</f>
        <v>0</v>
      </c>
      <c r="K127" s="532">
        <f ca="1">K122-K126</f>
        <v>-5.0458673487715711E-2</v>
      </c>
      <c r="L127" s="532">
        <f ca="1">L122-L126</f>
        <v>-4.9581385883707085E-2</v>
      </c>
      <c r="M127" s="533" t="s">
        <v>336</v>
      </c>
      <c r="N127" s="532">
        <f ca="1">N122-N126</f>
        <v>-3.4038157880365016E-2</v>
      </c>
      <c r="O127" s="532">
        <f ca="1">O122-O126</f>
        <v>-3.3448407157077753E-2</v>
      </c>
      <c r="P127" s="533" t="s">
        <v>336</v>
      </c>
    </row>
    <row r="128" spans="1:53"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B37E-685F-4AB7-AF17-B2BA8FC718AF}">
  <sheetPr>
    <tabColor theme="9" tint="0.59999389629810485"/>
    <pageSetUpPr fitToPage="1"/>
  </sheetPr>
  <dimension ref="A1:BE132"/>
  <sheetViews>
    <sheetView zoomScale="84" zoomScaleNormal="84" workbookViewId="0">
      <pane ySplit="2" topLeftCell="A4"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28" t="str">
        <f>"CALCULATION OF "&amp;$B$2&amp;" FNSB CURTAILMENT PROGRAM BENEFITS -- TWO-STAGE PROGRAM, INCLUDING REGISTRATION EFFECTS ON COMPLIANCE AND WAIVERS"</f>
        <v>CALCULATION OF 2020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2020</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2020 Baseline NA Area PM2.5 Emissions (tpd) by Curtailment Regime</v>
      </c>
      <c r="D4" s="840"/>
      <c r="E4" s="840"/>
      <c r="F4" s="840"/>
      <c r="G4" s="840"/>
      <c r="H4" s="840"/>
      <c r="I4" s="840"/>
      <c r="J4" s="840" t="str">
        <f>$B$2&amp;" Baseline NA Area SO2 Emissions (tpd) by Curtailment Regime"</f>
        <v>2020 Baseline NA Area SO2 Emissions (tpd) by Curtailment Regime</v>
      </c>
      <c r="K4" s="840"/>
      <c r="L4" s="840"/>
      <c r="M4" s="840"/>
      <c r="N4" s="840"/>
      <c r="O4" s="840"/>
      <c r="P4" s="840"/>
      <c r="Q4" s="840" t="str">
        <f>$B$2&amp;" Baseline NA Area Energy Use (mmBTU) by Curtailment Regime"</f>
        <v>2020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0.63008554542378492</v>
      </c>
      <c r="D6" s="133">
        <f ca="1">INDIRECT("'DevSumOut-"&amp;$B$2&amp;"BSR'!R50")</f>
        <v>0.63008554542378492</v>
      </c>
      <c r="E6" s="133">
        <f ca="1">INDIRECT("'DevSumOut-"&amp;$B$2&amp;"BSR'!R50")</f>
        <v>0.63008554542378492</v>
      </c>
      <c r="F6" s="551" t="s">
        <v>336</v>
      </c>
      <c r="G6" s="133">
        <f ca="1">INDIRECT("'DevSumOut-"&amp;$B$2&amp;"BSR'!R50")</f>
        <v>0.63008554542378492</v>
      </c>
      <c r="H6" s="133">
        <f ca="1">INDIRECT("'DevSumOut-"&amp;$B$2&amp;"BSR'!R50")</f>
        <v>0.63008554542378492</v>
      </c>
      <c r="I6" s="551" t="s">
        <v>336</v>
      </c>
      <c r="J6" s="133">
        <f ca="1">INDIRECT("'DevSumOut-"&amp;$B$2&amp;"BSR'!P50")</f>
        <v>7.2842259586564711E-3</v>
      </c>
      <c r="K6" s="133">
        <f ca="1">INDIRECT("'DevSumOut-"&amp;$B$2&amp;"BSR'!P50")</f>
        <v>7.2842259586564711E-3</v>
      </c>
      <c r="L6" s="133">
        <f ca="1">INDIRECT("'DevSumOut-"&amp;$B$2&amp;"BSR'!P50")</f>
        <v>7.2842259586564711E-3</v>
      </c>
      <c r="M6" s="551" t="s">
        <v>336</v>
      </c>
      <c r="N6" s="133">
        <f ca="1">INDIRECT("'DevSumOut-"&amp;$B$2&amp;"BSR'!P50")</f>
        <v>7.2842259586564711E-3</v>
      </c>
      <c r="O6" s="133">
        <f ca="1">INDIRECT("'DevSumOut-"&amp;$B$2&amp;"BSR'!P50")</f>
        <v>7.2842259586564711E-3</v>
      </c>
      <c r="P6" s="551" t="s">
        <v>336</v>
      </c>
      <c r="Q6" s="45">
        <f ca="1">INDIRECT("'DevSumOut-"&amp;$B$2&amp;"BSR'!U50")</f>
        <v>584.85025878901445</v>
      </c>
      <c r="R6" s="45">
        <f ca="1">INDIRECT("'DevSumOut-"&amp;$B$2&amp;"BSR'!U50")</f>
        <v>584.85025878901445</v>
      </c>
      <c r="S6" s="45">
        <f ca="1">INDIRECT("'DevSumOut-"&amp;$B$2&amp;"BSR'!U50")</f>
        <v>584.85025878901445</v>
      </c>
      <c r="T6" s="581" t="s">
        <v>336</v>
      </c>
      <c r="U6" s="45">
        <f ca="1">INDIRECT("'DevSumOut-"&amp;$B$2&amp;"BSR'!U50")</f>
        <v>584.85025878901445</v>
      </c>
      <c r="V6" s="45">
        <f ca="1">INDIRECT("'DevSumOut-"&amp;$B$2&amp;"BSR'!U50")</f>
        <v>584.85025878901445</v>
      </c>
      <c r="W6" s="581" t="s">
        <v>336</v>
      </c>
      <c r="X6" s="133">
        <f t="shared" ref="X6:Z22" ca="1" si="0">C6*2000/Q6</f>
        <v>2.1546901483071381</v>
      </c>
      <c r="Y6" s="133">
        <f t="shared" ca="1" si="0"/>
        <v>2.1546901483071381</v>
      </c>
      <c r="Z6" s="133">
        <f t="shared" ca="1" si="0"/>
        <v>2.1546901483071381</v>
      </c>
      <c r="AA6" s="133"/>
      <c r="AB6" s="133">
        <f t="shared" ref="AB6:AC22" ca="1" si="1">G6*2000/U6</f>
        <v>2.1546901483071381</v>
      </c>
      <c r="AC6" s="133">
        <f t="shared" ca="1" si="1"/>
        <v>2.1546901483071381</v>
      </c>
    </row>
    <row r="7" spans="1:29" x14ac:dyDescent="0.25">
      <c r="A7" s="812">
        <v>2104008210</v>
      </c>
      <c r="B7" s="812" t="s">
        <v>138</v>
      </c>
      <c r="C7" s="133">
        <f ca="1">INDIRECT("'DevSumOut-"&amp;$B$2&amp;"BSR'!R51")</f>
        <v>4.9176230144171558E-2</v>
      </c>
      <c r="D7" s="133">
        <f ca="1">INDIRECT("'DevSumOut-"&amp;$B$2&amp;"BSR'!R51")</f>
        <v>4.9176230144171558E-2</v>
      </c>
      <c r="E7" s="133">
        <f ca="1">INDIRECT("'DevSumOut-"&amp;$B$2&amp;"BSR'!R51")</f>
        <v>4.9176230144171558E-2</v>
      </c>
      <c r="F7" s="551" t="s">
        <v>336</v>
      </c>
      <c r="G7" s="133">
        <f ca="1">INDIRECT("'DevSumOut-"&amp;$B$2&amp;"BSR'!R51")</f>
        <v>4.9176230144171558E-2</v>
      </c>
      <c r="H7" s="133">
        <f ca="1">INDIRECT("'DevSumOut-"&amp;$B$2&amp;"BSR'!R51")</f>
        <v>4.9176230144171558E-2</v>
      </c>
      <c r="I7" s="551" t="s">
        <v>336</v>
      </c>
      <c r="J7" s="133">
        <f ca="1">INDIRECT("'DevSumOut-"&amp;$B$2&amp;"BSR'!P51")</f>
        <v>6.4282653783230776E-4</v>
      </c>
      <c r="K7" s="133">
        <f ca="1">INDIRECT("'DevSumOut-"&amp;$B$2&amp;"BSR'!P51")</f>
        <v>6.4282653783230776E-4</v>
      </c>
      <c r="L7" s="133">
        <f ca="1">INDIRECT("'DevSumOut-"&amp;$B$2&amp;"BSR'!P51")</f>
        <v>6.4282653783230776E-4</v>
      </c>
      <c r="M7" s="551" t="s">
        <v>336</v>
      </c>
      <c r="N7" s="133">
        <f ca="1">INDIRECT("'DevSumOut-"&amp;$B$2&amp;"BSR'!P51")</f>
        <v>6.4282653783230776E-4</v>
      </c>
      <c r="O7" s="133">
        <f ca="1">INDIRECT("'DevSumOut-"&amp;$B$2&amp;"BSR'!P51")</f>
        <v>6.4282653783230776E-4</v>
      </c>
      <c r="P7" s="551" t="s">
        <v>336</v>
      </c>
      <c r="Q7" s="45">
        <f ca="1">INDIRECT("'DevSumOut-"&amp;$B$2&amp;"BSR'!U51")</f>
        <v>51.603325901644524</v>
      </c>
      <c r="R7" s="45">
        <f ca="1">INDIRECT("'DevSumOut-"&amp;$B$2&amp;"BSR'!U51")</f>
        <v>51.603325901644524</v>
      </c>
      <c r="S7" s="45">
        <f ca="1">INDIRECT("'DevSumOut-"&amp;$B$2&amp;"BSR'!U51")</f>
        <v>51.603325901644524</v>
      </c>
      <c r="T7" s="581" t="s">
        <v>336</v>
      </c>
      <c r="U7" s="45">
        <f ca="1">INDIRECT("'DevSumOut-"&amp;$B$2&amp;"BSR'!U51")</f>
        <v>51.603325901644524</v>
      </c>
      <c r="V7" s="45">
        <f ca="1">INDIRECT("'DevSumOut-"&amp;$B$2&amp;"BSR'!U51")</f>
        <v>51.603325901644524</v>
      </c>
      <c r="W7" s="581" t="s">
        <v>336</v>
      </c>
      <c r="X7" s="133">
        <f t="shared" ca="1" si="0"/>
        <v>1.90593258418657</v>
      </c>
      <c r="Y7" s="133">
        <f t="shared" ca="1" si="0"/>
        <v>1.90593258418657</v>
      </c>
      <c r="Z7" s="133">
        <f t="shared" ca="1" si="0"/>
        <v>1.90593258418657</v>
      </c>
      <c r="AA7" s="133"/>
      <c r="AB7" s="133">
        <f t="shared" ca="1" si="1"/>
        <v>1.90593258418657</v>
      </c>
      <c r="AC7" s="133">
        <f t="shared" ca="1" si="1"/>
        <v>1.90593258418657</v>
      </c>
    </row>
    <row r="8" spans="1:29" x14ac:dyDescent="0.25">
      <c r="A8" s="812">
        <v>2104008220</v>
      </c>
      <c r="B8" s="812" t="s">
        <v>139</v>
      </c>
      <c r="C8" s="133">
        <f ca="1">INDIRECT("'DevSumOut-"&amp;$B$2&amp;"BSR'!R52")</f>
        <v>4.06025242645318E-2</v>
      </c>
      <c r="D8" s="133">
        <f ca="1">INDIRECT("'DevSumOut-"&amp;$B$2&amp;"BSR'!R52")</f>
        <v>4.06025242645318E-2</v>
      </c>
      <c r="E8" s="133">
        <f ca="1">INDIRECT("'DevSumOut-"&amp;$B$2&amp;"BSR'!R52")</f>
        <v>4.06025242645318E-2</v>
      </c>
      <c r="F8" s="551" t="s">
        <v>336</v>
      </c>
      <c r="G8" s="133">
        <f ca="1">INDIRECT("'DevSumOut-"&amp;$B$2&amp;"BSR'!R52")</f>
        <v>4.06025242645318E-2</v>
      </c>
      <c r="H8" s="133">
        <f ca="1">INDIRECT("'DevSumOut-"&amp;$B$2&amp;"BSR'!R52")</f>
        <v>4.06025242645318E-2</v>
      </c>
      <c r="I8" s="551" t="s">
        <v>336</v>
      </c>
      <c r="J8" s="133">
        <f ca="1">INDIRECT("'DevSumOut-"&amp;$B$2&amp;"BSR'!P52")</f>
        <v>1.3534174754843934E-3</v>
      </c>
      <c r="K8" s="133">
        <f ca="1">INDIRECT("'DevSumOut-"&amp;$B$2&amp;"BSR'!P52")</f>
        <v>1.3534174754843934E-3</v>
      </c>
      <c r="L8" s="133">
        <f ca="1">INDIRECT("'DevSumOut-"&amp;$B$2&amp;"BSR'!P52")</f>
        <v>1.3534174754843934E-3</v>
      </c>
      <c r="M8" s="551" t="s">
        <v>336</v>
      </c>
      <c r="N8" s="133">
        <f ca="1">INDIRECT("'DevSumOut-"&amp;$B$2&amp;"BSR'!P52")</f>
        <v>1.3534174754843934E-3</v>
      </c>
      <c r="O8" s="133">
        <f ca="1">INDIRECT("'DevSumOut-"&amp;$B$2&amp;"BSR'!P52")</f>
        <v>1.3534174754843934E-3</v>
      </c>
      <c r="P8" s="551" t="s">
        <v>336</v>
      </c>
      <c r="Q8" s="45">
        <f ca="1">INDIRECT("'DevSumOut-"&amp;$B$2&amp;"BSR'!U52")</f>
        <v>108.64648386159396</v>
      </c>
      <c r="R8" s="45">
        <f ca="1">INDIRECT("'DevSumOut-"&amp;$B$2&amp;"BSR'!U52")</f>
        <v>108.64648386159396</v>
      </c>
      <c r="S8" s="45">
        <f ca="1">INDIRECT("'DevSumOut-"&amp;$B$2&amp;"BSR'!U52")</f>
        <v>108.64648386159396</v>
      </c>
      <c r="T8" s="581" t="s">
        <v>336</v>
      </c>
      <c r="U8" s="45">
        <f ca="1">INDIRECT("'DevSumOut-"&amp;$B$2&amp;"BSR'!U52")</f>
        <v>108.64648386159396</v>
      </c>
      <c r="V8" s="45">
        <f ca="1">INDIRECT("'DevSumOut-"&amp;$B$2&amp;"BSR'!U52")</f>
        <v>108.64648386159396</v>
      </c>
      <c r="W8" s="581" t="s">
        <v>336</v>
      </c>
      <c r="X8" s="133">
        <f t="shared" ca="1" si="0"/>
        <v>0.74742454281826254</v>
      </c>
      <c r="Y8" s="133">
        <f t="shared" ca="1" si="0"/>
        <v>0.74742454281826254</v>
      </c>
      <c r="Z8" s="133">
        <f t="shared" ca="1" si="0"/>
        <v>0.74742454281826254</v>
      </c>
      <c r="AA8" s="133"/>
      <c r="AB8" s="133">
        <f t="shared" ca="1" si="1"/>
        <v>0.74742454281826254</v>
      </c>
      <c r="AC8" s="133">
        <f t="shared" ca="1" si="1"/>
        <v>0.74742454281826254</v>
      </c>
    </row>
    <row r="9" spans="1:29" x14ac:dyDescent="0.25">
      <c r="A9" s="812">
        <v>2104008230</v>
      </c>
      <c r="B9" s="812" t="s">
        <v>140</v>
      </c>
      <c r="C9" s="133">
        <f ca="1">INDIRECT("'DevSumOut-"&amp;$B$2&amp;"BSR'!R53")</f>
        <v>2.6482833480044356E-2</v>
      </c>
      <c r="D9" s="133">
        <f ca="1">INDIRECT("'DevSumOut-"&amp;$B$2&amp;"BSR'!R53")</f>
        <v>2.6482833480044356E-2</v>
      </c>
      <c r="E9" s="133">
        <f ca="1">INDIRECT("'DevSumOut-"&amp;$B$2&amp;"BSR'!R53")</f>
        <v>2.6482833480044356E-2</v>
      </c>
      <c r="F9" s="551" t="s">
        <v>336</v>
      </c>
      <c r="G9" s="133">
        <f ca="1">INDIRECT("'DevSumOut-"&amp;$B$2&amp;"BSR'!R53")</f>
        <v>2.6482833480044356E-2</v>
      </c>
      <c r="H9" s="133">
        <f ca="1">INDIRECT("'DevSumOut-"&amp;$B$2&amp;"BSR'!R53")</f>
        <v>2.6482833480044356E-2</v>
      </c>
      <c r="I9" s="551" t="s">
        <v>336</v>
      </c>
      <c r="J9" s="133">
        <f ca="1">INDIRECT("'DevSumOut-"&amp;$B$2&amp;"BSR'!P53")</f>
        <v>8.1485641477059556E-4</v>
      </c>
      <c r="K9" s="133">
        <f ca="1">INDIRECT("'DevSumOut-"&amp;$B$2&amp;"BSR'!P53")</f>
        <v>8.1485641477059556E-4</v>
      </c>
      <c r="L9" s="133">
        <f ca="1">INDIRECT("'DevSumOut-"&amp;$B$2&amp;"BSR'!P53")</f>
        <v>8.1485641477059556E-4</v>
      </c>
      <c r="M9" s="551" t="s">
        <v>336</v>
      </c>
      <c r="N9" s="133">
        <f ca="1">INDIRECT("'DevSumOut-"&amp;$B$2&amp;"BSR'!P53")</f>
        <v>8.1485641477059556E-4</v>
      </c>
      <c r="O9" s="133">
        <f ca="1">INDIRECT("'DevSumOut-"&amp;$B$2&amp;"BSR'!P53")</f>
        <v>8.1485641477059556E-4</v>
      </c>
      <c r="P9" s="551" t="s">
        <v>336</v>
      </c>
      <c r="Q9" s="45">
        <f ca="1">INDIRECT("'DevSumOut-"&amp;$B$2&amp;"BSR'!U53")</f>
        <v>65.413138163598873</v>
      </c>
      <c r="R9" s="45">
        <f ca="1">INDIRECT("'DevSumOut-"&amp;$B$2&amp;"BSR'!U53")</f>
        <v>65.413138163598873</v>
      </c>
      <c r="S9" s="45">
        <f ca="1">INDIRECT("'DevSumOut-"&amp;$B$2&amp;"BSR'!U53")</f>
        <v>65.413138163598873</v>
      </c>
      <c r="T9" s="581" t="s">
        <v>336</v>
      </c>
      <c r="U9" s="45">
        <f ca="1">INDIRECT("'DevSumOut-"&amp;$B$2&amp;"BSR'!U53")</f>
        <v>65.413138163598873</v>
      </c>
      <c r="V9" s="45">
        <f ca="1">INDIRECT("'DevSumOut-"&amp;$B$2&amp;"BSR'!U53")</f>
        <v>65.413138163598873</v>
      </c>
      <c r="W9" s="581" t="s">
        <v>336</v>
      </c>
      <c r="X9" s="133">
        <f t="shared" ca="1" si="0"/>
        <v>0.80970992138645115</v>
      </c>
      <c r="Y9" s="133">
        <f t="shared" ca="1" si="0"/>
        <v>0.80970992138645115</v>
      </c>
      <c r="Z9" s="133">
        <f t="shared" ca="1" si="0"/>
        <v>0.80970992138645115</v>
      </c>
      <c r="AA9" s="133"/>
      <c r="AB9" s="133">
        <f t="shared" ca="1" si="1"/>
        <v>0.80970992138645115</v>
      </c>
      <c r="AC9" s="133">
        <f t="shared" ca="1" si="1"/>
        <v>0.80970992138645115</v>
      </c>
    </row>
    <row r="10" spans="1:29" x14ac:dyDescent="0.25">
      <c r="A10" s="812">
        <v>2104008310</v>
      </c>
      <c r="B10" s="812" t="s">
        <v>141</v>
      </c>
      <c r="C10" s="133">
        <f ca="1">INDIRECT("'DevSumOut-"&amp;$B$2&amp;"BSR'!R54")</f>
        <v>0.39600207736849047</v>
      </c>
      <c r="D10" s="133">
        <f ca="1">INDIRECT("'DevSumOut-"&amp;$B$2&amp;"BSR'!R54")</f>
        <v>0.39600207736849047</v>
      </c>
      <c r="E10" s="133">
        <f ca="1">INDIRECT("'DevSumOut-"&amp;$B$2&amp;"BSR'!R54")</f>
        <v>0.39600207736849047</v>
      </c>
      <c r="F10" s="551" t="s">
        <v>336</v>
      </c>
      <c r="G10" s="133">
        <f ca="1">INDIRECT("'DevSumOut-"&amp;$B$2&amp;"BSR'!R54")</f>
        <v>0.39600207736849047</v>
      </c>
      <c r="H10" s="133">
        <f ca="1">INDIRECT("'DevSumOut-"&amp;$B$2&amp;"BSR'!R54")</f>
        <v>0.39600207736849047</v>
      </c>
      <c r="I10" s="551" t="s">
        <v>336</v>
      </c>
      <c r="J10" s="133">
        <f ca="1">INDIRECT("'DevSumOut-"&amp;$B$2&amp;"BSR'!P54")</f>
        <v>1.3045663613548463E-2</v>
      </c>
      <c r="K10" s="133">
        <f ca="1">INDIRECT("'DevSumOut-"&amp;$B$2&amp;"BSR'!P54")</f>
        <v>1.3045663613548463E-2</v>
      </c>
      <c r="L10" s="133">
        <f ca="1">INDIRECT("'DevSumOut-"&amp;$B$2&amp;"BSR'!P54")</f>
        <v>1.3045663613548463E-2</v>
      </c>
      <c r="M10" s="551" t="s">
        <v>336</v>
      </c>
      <c r="N10" s="133">
        <f ca="1">INDIRECT("'DevSumOut-"&amp;$B$2&amp;"BSR'!P54")</f>
        <v>1.3045663613548463E-2</v>
      </c>
      <c r="O10" s="133">
        <f ca="1">INDIRECT("'DevSumOut-"&amp;$B$2&amp;"BSR'!P54")</f>
        <v>1.3045663613548463E-2</v>
      </c>
      <c r="P10" s="551" t="s">
        <v>336</v>
      </c>
      <c r="Q10" s="45">
        <f ca="1">INDIRECT("'DevSumOut-"&amp;$B$2&amp;"BSR'!U54")</f>
        <v>1047.249283334321</v>
      </c>
      <c r="R10" s="45">
        <f ca="1">INDIRECT("'DevSumOut-"&amp;$B$2&amp;"BSR'!U54")</f>
        <v>1047.249283334321</v>
      </c>
      <c r="S10" s="45">
        <f ca="1">INDIRECT("'DevSumOut-"&amp;$B$2&amp;"BSR'!U54")</f>
        <v>1047.249283334321</v>
      </c>
      <c r="T10" s="581" t="s">
        <v>336</v>
      </c>
      <c r="U10" s="45">
        <f ca="1">INDIRECT("'DevSumOut-"&amp;$B$2&amp;"BSR'!U54")</f>
        <v>1047.249283334321</v>
      </c>
      <c r="V10" s="45">
        <f ca="1">INDIRECT("'DevSumOut-"&amp;$B$2&amp;"BSR'!U54")</f>
        <v>1047.249283334321</v>
      </c>
      <c r="W10" s="581" t="s">
        <v>336</v>
      </c>
      <c r="X10" s="133">
        <f t="shared" ca="1" si="0"/>
        <v>0.75627089685402404</v>
      </c>
      <c r="Y10" s="133">
        <f t="shared" ca="1" si="0"/>
        <v>0.75627089685402404</v>
      </c>
      <c r="Z10" s="133">
        <f t="shared" ca="1" si="0"/>
        <v>0.75627089685402404</v>
      </c>
      <c r="AA10" s="133"/>
      <c r="AB10" s="133">
        <f t="shared" ca="1" si="1"/>
        <v>0.75627089685402404</v>
      </c>
      <c r="AC10" s="133">
        <f t="shared" ca="1" si="1"/>
        <v>0.75627089685402404</v>
      </c>
    </row>
    <row r="11" spans="1:29" x14ac:dyDescent="0.25">
      <c r="A11" s="812">
        <v>2104008320</v>
      </c>
      <c r="B11" s="812" t="s">
        <v>142</v>
      </c>
      <c r="C11" s="133">
        <f ca="1">INDIRECT("'DevSumOut-"&amp;$B$2&amp;"BSR'!R55")</f>
        <v>0.54418968075648921</v>
      </c>
      <c r="D11" s="133">
        <f ca="1">INDIRECT("'DevSumOut-"&amp;$B$2&amp;"BSR'!R55")</f>
        <v>0.54418968075648921</v>
      </c>
      <c r="E11" s="133">
        <f ca="1">INDIRECT("'DevSumOut-"&amp;$B$2&amp;"BSR'!R55")</f>
        <v>0.54418968075648921</v>
      </c>
      <c r="F11" s="551" t="s">
        <v>336</v>
      </c>
      <c r="G11" s="133">
        <f ca="1">INDIRECT("'DevSumOut-"&amp;$B$2&amp;"BSR'!R55")</f>
        <v>0.54418968075648921</v>
      </c>
      <c r="H11" s="133">
        <f ca="1">INDIRECT("'DevSumOut-"&amp;$B$2&amp;"BSR'!R55")</f>
        <v>0.54418968075648921</v>
      </c>
      <c r="I11" s="551" t="s">
        <v>336</v>
      </c>
      <c r="J11" s="133">
        <f ca="1">INDIRECT("'DevSumOut-"&amp;$B$2&amp;"BSR'!P55")</f>
        <v>2.7466552910846539E-2</v>
      </c>
      <c r="K11" s="133">
        <f ca="1">INDIRECT("'DevSumOut-"&amp;$B$2&amp;"BSR'!P55")</f>
        <v>2.7466552910846539E-2</v>
      </c>
      <c r="L11" s="133">
        <f ca="1">INDIRECT("'DevSumOut-"&amp;$B$2&amp;"BSR'!P55")</f>
        <v>2.7466552910846539E-2</v>
      </c>
      <c r="M11" s="551" t="s">
        <v>336</v>
      </c>
      <c r="N11" s="133">
        <f ca="1">INDIRECT("'DevSumOut-"&amp;$B$2&amp;"BSR'!P55")</f>
        <v>2.7466552910846539E-2</v>
      </c>
      <c r="O11" s="133">
        <f ca="1">INDIRECT("'DevSumOut-"&amp;$B$2&amp;"BSR'!P55")</f>
        <v>2.7466552910846539E-2</v>
      </c>
      <c r="P11" s="551" t="s">
        <v>336</v>
      </c>
      <c r="Q11" s="45">
        <f ca="1">INDIRECT("'DevSumOut-"&amp;$B$2&amp;"BSR'!U55")</f>
        <v>2204.8957188866416</v>
      </c>
      <c r="R11" s="45">
        <f ca="1">INDIRECT("'DevSumOut-"&amp;$B$2&amp;"BSR'!U55")</f>
        <v>2204.8957188866416</v>
      </c>
      <c r="S11" s="45">
        <f ca="1">INDIRECT("'DevSumOut-"&amp;$B$2&amp;"BSR'!U55")</f>
        <v>2204.8957188866416</v>
      </c>
      <c r="T11" s="581" t="s">
        <v>336</v>
      </c>
      <c r="U11" s="45">
        <f ca="1">INDIRECT("'DevSumOut-"&amp;$B$2&amp;"BSR'!U55")</f>
        <v>2204.8957188866416</v>
      </c>
      <c r="V11" s="45">
        <f ca="1">INDIRECT("'DevSumOut-"&amp;$B$2&amp;"BSR'!U55")</f>
        <v>2204.8957188866416</v>
      </c>
      <c r="W11" s="581" t="s">
        <v>336</v>
      </c>
      <c r="X11" s="133">
        <f t="shared" ca="1" si="0"/>
        <v>0.49361942707320133</v>
      </c>
      <c r="Y11" s="133">
        <f t="shared" ca="1" si="0"/>
        <v>0.49361942707320133</v>
      </c>
      <c r="Z11" s="133">
        <f t="shared" ca="1" si="0"/>
        <v>0.49361942707320133</v>
      </c>
      <c r="AA11" s="133"/>
      <c r="AB11" s="133">
        <f t="shared" ca="1" si="1"/>
        <v>0.49361942707320133</v>
      </c>
      <c r="AC11" s="133">
        <f t="shared" ca="1" si="1"/>
        <v>0.49361942707320133</v>
      </c>
    </row>
    <row r="12" spans="1:29" x14ac:dyDescent="0.25">
      <c r="A12" s="812">
        <v>2104008330</v>
      </c>
      <c r="B12" s="812" t="s">
        <v>143</v>
      </c>
      <c r="C12" s="133">
        <f ca="1">INDIRECT("'DevSumOut-"&amp;$B$2&amp;"BSR'!R56")</f>
        <v>0.36354800844110946</v>
      </c>
      <c r="D12" s="133">
        <f ca="1">INDIRECT("'DevSumOut-"&amp;$B$2&amp;"BSR'!R56")</f>
        <v>0.36354800844110946</v>
      </c>
      <c r="E12" s="133">
        <f ca="1">INDIRECT("'DevSumOut-"&amp;$B$2&amp;"BSR'!R56")</f>
        <v>0.36354800844110946</v>
      </c>
      <c r="F12" s="551" t="s">
        <v>336</v>
      </c>
      <c r="G12" s="133">
        <f ca="1">INDIRECT("'DevSumOut-"&amp;$B$2&amp;"BSR'!R56")</f>
        <v>0.36354800844110946</v>
      </c>
      <c r="H12" s="133">
        <f ca="1">INDIRECT("'DevSumOut-"&amp;$B$2&amp;"BSR'!R56")</f>
        <v>0.36354800844110946</v>
      </c>
      <c r="I12" s="551" t="s">
        <v>336</v>
      </c>
      <c r="J12" s="133">
        <f ca="1">INDIRECT("'DevSumOut-"&amp;$B$2&amp;"BSR'!P56")</f>
        <v>1.653687589856848E-2</v>
      </c>
      <c r="K12" s="133">
        <f ca="1">INDIRECT("'DevSumOut-"&amp;$B$2&amp;"BSR'!P56")</f>
        <v>1.653687589856848E-2</v>
      </c>
      <c r="L12" s="133">
        <f ca="1">INDIRECT("'DevSumOut-"&amp;$B$2&amp;"BSR'!P56")</f>
        <v>1.653687589856848E-2</v>
      </c>
      <c r="M12" s="551" t="s">
        <v>336</v>
      </c>
      <c r="N12" s="133">
        <f ca="1">INDIRECT("'DevSumOut-"&amp;$B$2&amp;"BSR'!P56")</f>
        <v>1.653687589856848E-2</v>
      </c>
      <c r="O12" s="133">
        <f ca="1">INDIRECT("'DevSumOut-"&amp;$B$2&amp;"BSR'!P56")</f>
        <v>1.653687589856848E-2</v>
      </c>
      <c r="P12" s="551" t="s">
        <v>336</v>
      </c>
      <c r="Q12" s="45">
        <f ca="1">INDIRECT("'DevSumOut-"&amp;$B$2&amp;"BSR'!U56")</f>
        <v>1327.5086608379775</v>
      </c>
      <c r="R12" s="45">
        <f ca="1">INDIRECT("'DevSumOut-"&amp;$B$2&amp;"BSR'!U56")</f>
        <v>1327.5086608379775</v>
      </c>
      <c r="S12" s="45">
        <f ca="1">INDIRECT("'DevSumOut-"&amp;$B$2&amp;"BSR'!U56")</f>
        <v>1327.5086608379775</v>
      </c>
      <c r="T12" s="581" t="s">
        <v>336</v>
      </c>
      <c r="U12" s="45">
        <f ca="1">INDIRECT("'DevSumOut-"&amp;$B$2&amp;"BSR'!U56")</f>
        <v>1327.5086608379775</v>
      </c>
      <c r="V12" s="45">
        <f ca="1">INDIRECT("'DevSumOut-"&amp;$B$2&amp;"BSR'!U56")</f>
        <v>1327.5086608379775</v>
      </c>
      <c r="W12" s="581" t="s">
        <v>336</v>
      </c>
      <c r="X12" s="133">
        <f t="shared" ca="1" si="0"/>
        <v>0.54771470675245637</v>
      </c>
      <c r="Y12" s="133">
        <f t="shared" ca="1" si="0"/>
        <v>0.54771470675245637</v>
      </c>
      <c r="Z12" s="133">
        <f t="shared" ca="1" si="0"/>
        <v>0.54771470675245637</v>
      </c>
      <c r="AA12" s="133"/>
      <c r="AB12" s="133">
        <f t="shared" ca="1" si="1"/>
        <v>0.54771470675245637</v>
      </c>
      <c r="AC12" s="133">
        <f t="shared" ca="1" si="1"/>
        <v>0.54771470675245637</v>
      </c>
    </row>
    <row r="13" spans="1:29" x14ac:dyDescent="0.25">
      <c r="A13" s="812">
        <v>2104008410</v>
      </c>
      <c r="B13" s="812" t="s">
        <v>144</v>
      </c>
      <c r="C13" s="133">
        <f ca="1">INDIRECT("'DevSumOut-"&amp;$B$2&amp;"BSR'!R57")</f>
        <v>1.3414446597388096E-2</v>
      </c>
      <c r="D13" s="133">
        <f ca="1">INDIRECT("'DevSumOut-"&amp;$B$2&amp;"BSR'!R57")</f>
        <v>1.3414446597388096E-2</v>
      </c>
      <c r="E13" s="133">
        <f ca="1">INDIRECT("'DevSumOut-"&amp;$B$2&amp;"BSR'!R57")</f>
        <v>1.3414446597388096E-2</v>
      </c>
      <c r="F13" s="551" t="s">
        <v>336</v>
      </c>
      <c r="G13" s="133">
        <f ca="1">INDIRECT("'DevSumOut-"&amp;$B$2&amp;"BSR'!R57")</f>
        <v>1.3414446597388096E-2</v>
      </c>
      <c r="H13" s="133">
        <f ca="1">INDIRECT("'DevSumOut-"&amp;$B$2&amp;"BSR'!R57")</f>
        <v>1.3414446597388096E-2</v>
      </c>
      <c r="I13" s="551" t="s">
        <v>336</v>
      </c>
      <c r="J13" s="133">
        <f ca="1">INDIRECT("'DevSumOut-"&amp;$B$2&amp;"BSR'!P57")</f>
        <v>1.4502104429608754E-3</v>
      </c>
      <c r="K13" s="133">
        <f ca="1">INDIRECT("'DevSumOut-"&amp;$B$2&amp;"BSR'!P57")</f>
        <v>1.4502104429608754E-3</v>
      </c>
      <c r="L13" s="133">
        <f ca="1">INDIRECT("'DevSumOut-"&amp;$B$2&amp;"BSR'!P57")</f>
        <v>1.4502104429608754E-3</v>
      </c>
      <c r="M13" s="551" t="s">
        <v>336</v>
      </c>
      <c r="N13" s="133">
        <f ca="1">INDIRECT("'DevSumOut-"&amp;$B$2&amp;"BSR'!P57")</f>
        <v>1.4502104429608754E-3</v>
      </c>
      <c r="O13" s="133">
        <f ca="1">INDIRECT("'DevSumOut-"&amp;$B$2&amp;"BSR'!P57")</f>
        <v>1.4502104429608754E-3</v>
      </c>
      <c r="P13" s="551" t="s">
        <v>336</v>
      </c>
      <c r="Q13" s="45">
        <f ca="1">INDIRECT("'DevSumOut-"&amp;$B$2&amp;"BSR'!U57")</f>
        <v>139.02280516785788</v>
      </c>
      <c r="R13" s="45">
        <f ca="1">INDIRECT("'DevSumOut-"&amp;$B$2&amp;"BSR'!U57")</f>
        <v>139.02280516785788</v>
      </c>
      <c r="S13" s="45">
        <f ca="1">INDIRECT("'DevSumOut-"&amp;$B$2&amp;"BSR'!U57")</f>
        <v>139.02280516785788</v>
      </c>
      <c r="T13" s="581" t="s">
        <v>336</v>
      </c>
      <c r="U13" s="45">
        <f ca="1">INDIRECT("'DevSumOut-"&amp;$B$2&amp;"BSR'!U57")</f>
        <v>139.02280516785788</v>
      </c>
      <c r="V13" s="45">
        <f ca="1">INDIRECT("'DevSumOut-"&amp;$B$2&amp;"BSR'!U57")</f>
        <v>139.02280516785788</v>
      </c>
      <c r="W13" s="581" t="s">
        <v>336</v>
      </c>
      <c r="X13" s="133">
        <f t="shared" ca="1" si="0"/>
        <v>0.19298195833685453</v>
      </c>
      <c r="Y13" s="133">
        <f t="shared" ca="1" si="0"/>
        <v>0.19298195833685453</v>
      </c>
      <c r="Z13" s="133">
        <f t="shared" ca="1" si="0"/>
        <v>0.19298195833685453</v>
      </c>
      <c r="AA13" s="133"/>
      <c r="AB13" s="133">
        <f t="shared" ca="1" si="1"/>
        <v>0.19298195833685453</v>
      </c>
      <c r="AC13" s="133">
        <f t="shared" ca="1" si="1"/>
        <v>0.19298195833685453</v>
      </c>
    </row>
    <row r="14" spans="1:29" x14ac:dyDescent="0.25">
      <c r="A14" s="812">
        <v>2104008420</v>
      </c>
      <c r="B14" s="812" t="s">
        <v>145</v>
      </c>
      <c r="C14" s="133">
        <f ca="1">INDIRECT("'DevSumOut-"&amp;$B$2&amp;"BSR'!R58")</f>
        <v>4.5247345275163664E-2</v>
      </c>
      <c r="D14" s="133">
        <f ca="1">INDIRECT("'DevSumOut-"&amp;$B$2&amp;"BSR'!R58")</f>
        <v>4.5247345275163664E-2</v>
      </c>
      <c r="E14" s="133">
        <f ca="1">INDIRECT("'DevSumOut-"&amp;$B$2&amp;"BSR'!R58")</f>
        <v>4.5247345275163664E-2</v>
      </c>
      <c r="F14" s="551" t="s">
        <v>336</v>
      </c>
      <c r="G14" s="133">
        <f ca="1">INDIRECT("'DevSumOut-"&amp;$B$2&amp;"BSR'!R58")</f>
        <v>4.5247345275163664E-2</v>
      </c>
      <c r="H14" s="133">
        <f ca="1">INDIRECT("'DevSumOut-"&amp;$B$2&amp;"BSR'!R58")</f>
        <v>4.5247345275163664E-2</v>
      </c>
      <c r="I14" s="551" t="s">
        <v>336</v>
      </c>
      <c r="J14" s="133">
        <f ca="1">INDIRECT("'DevSumOut-"&amp;$B$2&amp;"BSR'!P58")</f>
        <v>4.8916048946122887E-3</v>
      </c>
      <c r="K14" s="133">
        <f ca="1">INDIRECT("'DevSumOut-"&amp;$B$2&amp;"BSR'!P58")</f>
        <v>4.8916048946122887E-3</v>
      </c>
      <c r="L14" s="133">
        <f ca="1">INDIRECT("'DevSumOut-"&amp;$B$2&amp;"BSR'!P58")</f>
        <v>4.8916048946122887E-3</v>
      </c>
      <c r="M14" s="551" t="s">
        <v>336</v>
      </c>
      <c r="N14" s="133">
        <f ca="1">INDIRECT("'DevSumOut-"&amp;$B$2&amp;"BSR'!P58")</f>
        <v>4.8916048946122887E-3</v>
      </c>
      <c r="O14" s="133">
        <f ca="1">INDIRECT("'DevSumOut-"&amp;$B$2&amp;"BSR'!P58")</f>
        <v>4.8916048946122887E-3</v>
      </c>
      <c r="P14" s="551" t="s">
        <v>336</v>
      </c>
      <c r="Q14" s="45">
        <f ca="1">INDIRECT("'DevSumOut-"&amp;$B$2&amp;"BSR'!U58")</f>
        <v>468.92824246485605</v>
      </c>
      <c r="R14" s="45">
        <f ca="1">INDIRECT("'DevSumOut-"&amp;$B$2&amp;"BSR'!U58")</f>
        <v>468.92824246485605</v>
      </c>
      <c r="S14" s="45">
        <f ca="1">INDIRECT("'DevSumOut-"&amp;$B$2&amp;"BSR'!U58")</f>
        <v>468.92824246485605</v>
      </c>
      <c r="T14" s="581" t="s">
        <v>336</v>
      </c>
      <c r="U14" s="45">
        <f ca="1">INDIRECT("'DevSumOut-"&amp;$B$2&amp;"BSR'!U58")</f>
        <v>468.92824246485605</v>
      </c>
      <c r="V14" s="45">
        <f ca="1">INDIRECT("'DevSumOut-"&amp;$B$2&amp;"BSR'!U58")</f>
        <v>468.92824246485605</v>
      </c>
      <c r="W14" s="581" t="s">
        <v>336</v>
      </c>
      <c r="X14" s="133">
        <f t="shared" ca="1" si="0"/>
        <v>0.19298195833685466</v>
      </c>
      <c r="Y14" s="133">
        <f t="shared" ca="1" si="0"/>
        <v>0.19298195833685466</v>
      </c>
      <c r="Z14" s="133">
        <f t="shared" ca="1" si="0"/>
        <v>0.19298195833685466</v>
      </c>
      <c r="AA14" s="133"/>
      <c r="AB14" s="133">
        <f t="shared" ca="1" si="1"/>
        <v>0.19298195833685466</v>
      </c>
      <c r="AC14" s="133">
        <f t="shared" ca="1" si="1"/>
        <v>0.19298195833685466</v>
      </c>
    </row>
    <row r="15" spans="1:29" x14ac:dyDescent="0.25">
      <c r="A15" s="812">
        <v>2104008610</v>
      </c>
      <c r="B15" s="812" t="s">
        <v>146</v>
      </c>
      <c r="C15" s="133">
        <f ca="1">INDIRECT("'DevSumOut-"&amp;$B$2&amp;"BSR'!R59")</f>
        <v>0.22480413436572588</v>
      </c>
      <c r="D15" s="133">
        <f ca="1">INDIRECT("'DevSumOut-"&amp;$B$2&amp;"BSR'!R59")</f>
        <v>0.22480413436572588</v>
      </c>
      <c r="E15" s="133">
        <f ca="1">INDIRECT("'DevSumOut-"&amp;$B$2&amp;"BSR'!R59")</f>
        <v>0.22480413436572588</v>
      </c>
      <c r="F15" s="551" t="s">
        <v>336</v>
      </c>
      <c r="G15" s="133">
        <f ca="1">INDIRECT("'DevSumOut-"&amp;$B$2&amp;"BSR'!R59")</f>
        <v>0.22480413436572588</v>
      </c>
      <c r="H15" s="133">
        <f ca="1">INDIRECT("'DevSumOut-"&amp;$B$2&amp;"BSR'!R59")</f>
        <v>0.22480413436572588</v>
      </c>
      <c r="I15" s="551" t="s">
        <v>336</v>
      </c>
      <c r="J15" s="133">
        <f ca="1">INDIRECT("'DevSumOut-"&amp;$B$2&amp;"BSR'!P59")</f>
        <v>9.1104628402659382E-3</v>
      </c>
      <c r="K15" s="133">
        <f ca="1">INDIRECT("'DevSumOut-"&amp;$B$2&amp;"BSR'!P59")</f>
        <v>9.1104628402659382E-3</v>
      </c>
      <c r="L15" s="133">
        <f ca="1">INDIRECT("'DevSumOut-"&amp;$B$2&amp;"BSR'!P59")</f>
        <v>9.1104628402659382E-3</v>
      </c>
      <c r="M15" s="551" t="s">
        <v>336</v>
      </c>
      <c r="N15" s="133">
        <f ca="1">INDIRECT("'DevSumOut-"&amp;$B$2&amp;"BSR'!P59")</f>
        <v>9.1104628402659382E-3</v>
      </c>
      <c r="O15" s="133">
        <f ca="1">INDIRECT("'DevSumOut-"&amp;$B$2&amp;"BSR'!P59")</f>
        <v>9.1104628402659382E-3</v>
      </c>
      <c r="P15" s="551" t="s">
        <v>336</v>
      </c>
      <c r="Q15" s="45">
        <f ca="1">INDIRECT("'DevSumOut-"&amp;$B$2&amp;"BSR'!U59")</f>
        <v>731.09738665272243</v>
      </c>
      <c r="R15" s="45">
        <f ca="1">INDIRECT("'DevSumOut-"&amp;$B$2&amp;"BSR'!U59")</f>
        <v>731.09738665272243</v>
      </c>
      <c r="S15" s="45">
        <f ca="1">INDIRECT("'DevSumOut-"&amp;$B$2&amp;"BSR'!U59")</f>
        <v>731.09738665272243</v>
      </c>
      <c r="T15" s="581" t="s">
        <v>336</v>
      </c>
      <c r="U15" s="45">
        <f ca="1">INDIRECT("'DevSumOut-"&amp;$B$2&amp;"BSR'!U59")</f>
        <v>731.09738665272243</v>
      </c>
      <c r="V15" s="45">
        <f ca="1">INDIRECT("'DevSumOut-"&amp;$B$2&amp;"BSR'!U59")</f>
        <v>731.09738665272243</v>
      </c>
      <c r="W15" s="581" t="s">
        <v>336</v>
      </c>
      <c r="X15" s="133">
        <f t="shared" ca="1" si="0"/>
        <v>0.61497726149720122</v>
      </c>
      <c r="Y15" s="133">
        <f t="shared" ca="1" si="0"/>
        <v>0.61497726149720122</v>
      </c>
      <c r="Z15" s="133">
        <f t="shared" ca="1" si="0"/>
        <v>0.61497726149720122</v>
      </c>
      <c r="AA15" s="133"/>
      <c r="AB15" s="133">
        <f t="shared" ca="1" si="1"/>
        <v>0.61497726149720122</v>
      </c>
      <c r="AC15" s="133">
        <f t="shared" ca="1" si="1"/>
        <v>0.61497726149720122</v>
      </c>
    </row>
    <row r="16" spans="1:29" x14ac:dyDescent="0.25">
      <c r="A16" s="812">
        <v>2104004000</v>
      </c>
      <c r="B16" s="812" t="s">
        <v>568</v>
      </c>
      <c r="C16" s="133">
        <f ca="1">INDIRECT("'DevSumOut-"&amp;$B$2&amp;"BSR'!R60")</f>
        <v>5.0351434645143987E-2</v>
      </c>
      <c r="D16" s="133">
        <f ca="1">INDIRECT("'DevSumOut-"&amp;$B$2&amp;"BSR'!R60")</f>
        <v>5.0351434645143987E-2</v>
      </c>
      <c r="E16" s="133">
        <f ca="1">INDIRECT("'DevSumOut-"&amp;$B$2&amp;"BSR'!R60")</f>
        <v>5.0351434645143987E-2</v>
      </c>
      <c r="F16" s="551" t="s">
        <v>336</v>
      </c>
      <c r="G16" s="133">
        <f ca="1">INDIRECT("'DevSumOut-"&amp;$B$2&amp;"BSR'!R60")</f>
        <v>5.0351434645143987E-2</v>
      </c>
      <c r="H16" s="133">
        <f ca="1">INDIRECT("'DevSumOut-"&amp;$B$2&amp;"BSR'!R60")</f>
        <v>5.0351434645143987E-2</v>
      </c>
      <c r="I16" s="551" t="s">
        <v>336</v>
      </c>
      <c r="J16" s="133">
        <f ca="1">INDIRECT("'DevSumOut-"&amp;$B$2&amp;"BSR'!P60")</f>
        <v>3.1872438750235581</v>
      </c>
      <c r="K16" s="133">
        <f ca="1">INDIRECT("'DevSumOut-"&amp;$B$2&amp;"BSR'!P60")</f>
        <v>3.1872438750235581</v>
      </c>
      <c r="L16" s="133">
        <f ca="1">INDIRECT("'DevSumOut-"&amp;$B$2&amp;"BSR'!P60")</f>
        <v>3.1872438750235581</v>
      </c>
      <c r="M16" s="551" t="s">
        <v>336</v>
      </c>
      <c r="N16" s="133">
        <f ca="1">INDIRECT("'DevSumOut-"&amp;$B$2&amp;"BSR'!P60")</f>
        <v>3.1872438750235581</v>
      </c>
      <c r="O16" s="133">
        <f ca="1">INDIRECT("'DevSumOut-"&amp;$B$2&amp;"BSR'!P60")</f>
        <v>3.1872438750235581</v>
      </c>
      <c r="P16" s="551" t="s">
        <v>336</v>
      </c>
      <c r="Q16" s="45">
        <f ca="1">INDIRECT("'DevSumOut-"&amp;$B$2&amp;"BSR'!U60")</f>
        <v>29600.272669764145</v>
      </c>
      <c r="R16" s="45">
        <f ca="1">INDIRECT("'DevSumOut-"&amp;$B$2&amp;"BSR'!U60")</f>
        <v>29600.272669764145</v>
      </c>
      <c r="S16" s="45">
        <f ca="1">INDIRECT("'DevSumOut-"&amp;$B$2&amp;"BSR'!U60")</f>
        <v>29600.272669764145</v>
      </c>
      <c r="T16" s="581" t="s">
        <v>336</v>
      </c>
      <c r="U16" s="45">
        <f ca="1">INDIRECT("'DevSumOut-"&amp;$B$2&amp;"BSR'!U60")</f>
        <v>29600.272669764145</v>
      </c>
      <c r="V16" s="45">
        <f ca="1">INDIRECT("'DevSumOut-"&amp;$B$2&amp;"BSR'!U60")</f>
        <v>29600.272669764145</v>
      </c>
      <c r="W16" s="581" t="s">
        <v>336</v>
      </c>
      <c r="X16" s="133">
        <f t="shared" ca="1" si="0"/>
        <v>3.4020926230572584E-3</v>
      </c>
      <c r="Y16" s="133">
        <f t="shared" ca="1" si="0"/>
        <v>3.4020926230572584E-3</v>
      </c>
      <c r="Z16" s="133">
        <f t="shared" ca="1" si="0"/>
        <v>3.4020926230572584E-3</v>
      </c>
      <c r="AA16" s="133"/>
      <c r="AB16" s="133">
        <f t="shared" ca="1" si="1"/>
        <v>3.4020926230572584E-3</v>
      </c>
      <c r="AC16" s="133">
        <f t="shared" ca="1" si="1"/>
        <v>3.4020926230572584E-3</v>
      </c>
    </row>
    <row r="17" spans="1:29" x14ac:dyDescent="0.25">
      <c r="A17" s="812">
        <v>2103004001</v>
      </c>
      <c r="B17" s="812" t="s">
        <v>148</v>
      </c>
      <c r="C17" s="133">
        <f ca="1">INDIRECT("'DevSumOut-"&amp;$B$2&amp;"BSR'!R61")</f>
        <v>1.5716246790971777E-2</v>
      </c>
      <c r="D17" s="133">
        <f ca="1">INDIRECT("'DevSumOut-"&amp;$B$2&amp;"BSR'!R61")</f>
        <v>1.5716246790971777E-2</v>
      </c>
      <c r="E17" s="133">
        <f ca="1">INDIRECT("'DevSumOut-"&amp;$B$2&amp;"BSR'!R61")</f>
        <v>1.5716246790971777E-2</v>
      </c>
      <c r="F17" s="551" t="s">
        <v>336</v>
      </c>
      <c r="G17" s="133">
        <f ca="1">INDIRECT("'DevSumOut-"&amp;$B$2&amp;"BSR'!R61")</f>
        <v>1.5716246790971777E-2</v>
      </c>
      <c r="H17" s="133">
        <f ca="1">INDIRECT("'DevSumOut-"&amp;$B$2&amp;"BSR'!R61")</f>
        <v>1.5716246790971777E-2</v>
      </c>
      <c r="I17" s="551" t="s">
        <v>336</v>
      </c>
      <c r="J17" s="133">
        <f ca="1">INDIRECT("'DevSumOut-"&amp;$B$2&amp;"BSR'!P61")</f>
        <v>0.43793740989064345</v>
      </c>
      <c r="K17" s="133">
        <f ca="1">INDIRECT("'DevSumOut-"&amp;$B$2&amp;"BSR'!P61")</f>
        <v>0.43793740989064345</v>
      </c>
      <c r="L17" s="133">
        <f ca="1">INDIRECT("'DevSumOut-"&amp;$B$2&amp;"BSR'!P61")</f>
        <v>0.43793740989064345</v>
      </c>
      <c r="M17" s="551" t="s">
        <v>336</v>
      </c>
      <c r="N17" s="133">
        <f ca="1">INDIRECT("'DevSumOut-"&amp;$B$2&amp;"BSR'!P61")</f>
        <v>0.43793740989064345</v>
      </c>
      <c r="O17" s="133">
        <f ca="1">INDIRECT("'DevSumOut-"&amp;$B$2&amp;"BSR'!P61")</f>
        <v>0.43793740989064345</v>
      </c>
      <c r="P17" s="551" t="s">
        <v>336</v>
      </c>
      <c r="Q17" s="45">
        <f ca="1">INDIRECT("'DevSumOut-"&amp;$B$2&amp;"BSR'!U61")</f>
        <v>9534.4459365339044</v>
      </c>
      <c r="R17" s="45">
        <f ca="1">INDIRECT("'DevSumOut-"&amp;$B$2&amp;"BSR'!U61")</f>
        <v>9534.4459365339044</v>
      </c>
      <c r="S17" s="45">
        <f ca="1">INDIRECT("'DevSumOut-"&amp;$B$2&amp;"BSR'!U61")</f>
        <v>9534.4459365339044</v>
      </c>
      <c r="T17" s="581" t="s">
        <v>336</v>
      </c>
      <c r="U17" s="45">
        <f ca="1">INDIRECT("'DevSumOut-"&amp;$B$2&amp;"BSR'!U61")</f>
        <v>9534.4459365339044</v>
      </c>
      <c r="V17" s="45">
        <f ca="1">INDIRECT("'DevSumOut-"&amp;$B$2&amp;"BSR'!U61")</f>
        <v>9534.4459365339044</v>
      </c>
      <c r="W17" s="581" t="s">
        <v>336</v>
      </c>
      <c r="X17" s="133">
        <f t="shared" ca="1" si="0"/>
        <v>3.2967299611507718E-3</v>
      </c>
      <c r="Y17" s="133">
        <f t="shared" ca="1" si="0"/>
        <v>3.2967299611507718E-3</v>
      </c>
      <c r="Z17" s="133">
        <f t="shared" ca="1" si="0"/>
        <v>3.2967299611507718E-3</v>
      </c>
      <c r="AA17" s="133"/>
      <c r="AB17" s="133">
        <f t="shared" ca="1" si="1"/>
        <v>3.2967299611507718E-3</v>
      </c>
      <c r="AC17" s="133">
        <f t="shared" ca="1" si="1"/>
        <v>3.2967299611507718E-3</v>
      </c>
    </row>
    <row r="18" spans="1:29" x14ac:dyDescent="0.25">
      <c r="A18" s="812">
        <v>2104004000</v>
      </c>
      <c r="B18" s="812" t="s">
        <v>746</v>
      </c>
      <c r="C18" s="133">
        <f ca="1">INDIRECT("'DevSumOut-"&amp;$B$2&amp;"BSR'!R62")</f>
        <v>2.9953055305152325E-4</v>
      </c>
      <c r="D18" s="133">
        <f ca="1">INDIRECT("'DevSumOut-"&amp;$B$2&amp;"BSR'!R62")</f>
        <v>2.9953055305152325E-4</v>
      </c>
      <c r="E18" s="133">
        <f ca="1">INDIRECT("'DevSumOut-"&amp;$B$2&amp;"BSR'!R62")</f>
        <v>2.9953055305152325E-4</v>
      </c>
      <c r="F18" s="551" t="s">
        <v>336</v>
      </c>
      <c r="G18" s="133">
        <f ca="1">INDIRECT("'DevSumOut-"&amp;$B$2&amp;"BSR'!R62")</f>
        <v>2.9953055305152325E-4</v>
      </c>
      <c r="H18" s="133">
        <f ca="1">INDIRECT("'DevSumOut-"&amp;$B$2&amp;"BSR'!R62")</f>
        <v>2.9953055305152325E-4</v>
      </c>
      <c r="I18" s="551" t="s">
        <v>336</v>
      </c>
      <c r="J18" s="133">
        <f ca="1">INDIRECT("'DevSumOut-"&amp;$B$2&amp;"BSR'!P62")</f>
        <v>2.1643013555110488E-2</v>
      </c>
      <c r="K18" s="133">
        <f ca="1">INDIRECT("'DevSumOut-"&amp;$B$2&amp;"BSR'!P62")</f>
        <v>2.1643013555110488E-2</v>
      </c>
      <c r="L18" s="133">
        <f ca="1">INDIRECT("'DevSumOut-"&amp;$B$2&amp;"BSR'!P62")</f>
        <v>2.1643013555110488E-2</v>
      </c>
      <c r="M18" s="551" t="s">
        <v>336</v>
      </c>
      <c r="N18" s="133">
        <f ca="1">INDIRECT("'DevSumOut-"&amp;$B$2&amp;"BSR'!P62")</f>
        <v>2.1643013555110488E-2</v>
      </c>
      <c r="O18" s="133">
        <f ca="1">INDIRECT("'DevSumOut-"&amp;$B$2&amp;"BSR'!P62")</f>
        <v>2.1643013555110488E-2</v>
      </c>
      <c r="P18" s="551" t="s">
        <v>336</v>
      </c>
      <c r="Q18" s="45">
        <f ca="1">INDIRECT("'DevSumOut-"&amp;$B$2&amp;"BSR'!U62")</f>
        <v>205.17094057646713</v>
      </c>
      <c r="R18" s="45">
        <f ca="1">INDIRECT("'DevSumOut-"&amp;$B$2&amp;"BSR'!U62")</f>
        <v>205.17094057646713</v>
      </c>
      <c r="S18" s="45">
        <f ca="1">INDIRECT("'DevSumOut-"&amp;$B$2&amp;"BSR'!U62")</f>
        <v>205.17094057646713</v>
      </c>
      <c r="T18" s="581" t="s">
        <v>336</v>
      </c>
      <c r="U18" s="45">
        <f ca="1">INDIRECT("'DevSumOut-"&amp;$B$2&amp;"BSR'!U62")</f>
        <v>205.17094057646713</v>
      </c>
      <c r="V18" s="45">
        <f ca="1">INDIRECT("'DevSumOut-"&amp;$B$2&amp;"BSR'!U62")</f>
        <v>205.17094057646713</v>
      </c>
      <c r="W18" s="581" t="s">
        <v>336</v>
      </c>
      <c r="X18" s="133">
        <f t="shared" ca="1" si="0"/>
        <v>2.9198145917734225E-3</v>
      </c>
      <c r="Y18" s="133">
        <f t="shared" ca="1" si="0"/>
        <v>2.9198145917734225E-3</v>
      </c>
      <c r="Z18" s="133">
        <f t="shared" ca="1" si="0"/>
        <v>2.9198145917734225E-3</v>
      </c>
      <c r="AA18" s="133"/>
      <c r="AB18" s="133">
        <f t="shared" ca="1" si="1"/>
        <v>2.9198145917734225E-3</v>
      </c>
      <c r="AC18" s="133">
        <f t="shared" ca="1" si="1"/>
        <v>2.9198145917734225E-3</v>
      </c>
    </row>
    <row r="19" spans="1:29" x14ac:dyDescent="0.25">
      <c r="A19" s="812">
        <v>2104007000</v>
      </c>
      <c r="B19" s="812" t="s">
        <v>747</v>
      </c>
      <c r="C19" s="133">
        <f ca="1">INDIRECT("'DevSumOut-"&amp;$B$2&amp;"BSR'!R63")</f>
        <v>1.1653604153510897E-3</v>
      </c>
      <c r="D19" s="133">
        <f ca="1">INDIRECT("'DevSumOut-"&amp;$B$2&amp;"BSR'!R63")</f>
        <v>1.1653604153510897E-3</v>
      </c>
      <c r="E19" s="133">
        <f ca="1">INDIRECT("'DevSumOut-"&amp;$B$2&amp;"BSR'!R63")</f>
        <v>1.1653604153510897E-3</v>
      </c>
      <c r="F19" s="551" t="s">
        <v>336</v>
      </c>
      <c r="G19" s="133">
        <f ca="1">INDIRECT("'DevSumOut-"&amp;$B$2&amp;"BSR'!R63")</f>
        <v>1.1653604153510897E-3</v>
      </c>
      <c r="H19" s="133">
        <f ca="1">INDIRECT("'DevSumOut-"&amp;$B$2&amp;"BSR'!R63")</f>
        <v>1.1653604153510897E-3</v>
      </c>
      <c r="I19" s="551" t="s">
        <v>336</v>
      </c>
      <c r="J19" s="133">
        <f ca="1">INDIRECT("'DevSumOut-"&amp;$B$2&amp;"BSR'!P63")</f>
        <v>7.3767269437294641E-2</v>
      </c>
      <c r="K19" s="133">
        <f ca="1">INDIRECT("'DevSumOut-"&amp;$B$2&amp;"BSR'!P63")</f>
        <v>7.3767269437294641E-2</v>
      </c>
      <c r="L19" s="133">
        <f ca="1">INDIRECT("'DevSumOut-"&amp;$B$2&amp;"BSR'!P63")</f>
        <v>7.3767269437294641E-2</v>
      </c>
      <c r="M19" s="551" t="s">
        <v>336</v>
      </c>
      <c r="N19" s="133">
        <f ca="1">INDIRECT("'DevSumOut-"&amp;$B$2&amp;"BSR'!P63")</f>
        <v>7.3767269437294641E-2</v>
      </c>
      <c r="O19" s="133">
        <f ca="1">INDIRECT("'DevSumOut-"&amp;$B$2&amp;"BSR'!P63")</f>
        <v>7.3767269437294641E-2</v>
      </c>
      <c r="P19" s="551" t="s">
        <v>336</v>
      </c>
      <c r="Q19" s="45">
        <f ca="1">INDIRECT("'DevSumOut-"&amp;$B$2&amp;"BSR'!U63")</f>
        <v>638.06823144656983</v>
      </c>
      <c r="R19" s="45">
        <f ca="1">INDIRECT("'DevSumOut-"&amp;$B$2&amp;"BSR'!U63")</f>
        <v>638.06823144656983</v>
      </c>
      <c r="S19" s="45">
        <f ca="1">INDIRECT("'DevSumOut-"&amp;$B$2&amp;"BSR'!U63")</f>
        <v>638.06823144656983</v>
      </c>
      <c r="T19" s="581" t="s">
        <v>336</v>
      </c>
      <c r="U19" s="45">
        <f ca="1">INDIRECT("'DevSumOut-"&amp;$B$2&amp;"BSR'!U63")</f>
        <v>638.06823144656983</v>
      </c>
      <c r="V19" s="45">
        <f ca="1">INDIRECT("'DevSumOut-"&amp;$B$2&amp;"BSR'!U63")</f>
        <v>638.06823144656983</v>
      </c>
      <c r="W19" s="581" t="s">
        <v>336</v>
      </c>
      <c r="X19" s="133">
        <f t="shared" ca="1" si="0"/>
        <v>3.652776796955057E-3</v>
      </c>
      <c r="Y19" s="133">
        <f t="shared" ca="1" si="0"/>
        <v>3.652776796955057E-3</v>
      </c>
      <c r="Z19" s="133">
        <f t="shared" ca="1" si="0"/>
        <v>3.652776796955057E-3</v>
      </c>
      <c r="AA19" s="133"/>
      <c r="AB19" s="133">
        <f t="shared" ca="1" si="1"/>
        <v>3.652776796955057E-3</v>
      </c>
      <c r="AC19" s="133">
        <f t="shared" ca="1" si="1"/>
        <v>3.652776796955057E-3</v>
      </c>
    </row>
    <row r="20" spans="1:29" x14ac:dyDescent="0.25">
      <c r="A20" s="812">
        <v>2104006010</v>
      </c>
      <c r="B20" s="812" t="s">
        <v>149</v>
      </c>
      <c r="C20" s="133">
        <f ca="1">INDIRECT("'DevSumOut-"&amp;$B$2&amp;"BSR'!R64")</f>
        <v>5.8529310125197154E-6</v>
      </c>
      <c r="D20" s="133">
        <f ca="1">INDIRECT("'DevSumOut-"&amp;$B$2&amp;"BSR'!R64")</f>
        <v>5.8529310125197154E-6</v>
      </c>
      <c r="E20" s="133">
        <f ca="1">INDIRECT("'DevSumOut-"&amp;$B$2&amp;"BSR'!R64")</f>
        <v>5.8529310125197154E-6</v>
      </c>
      <c r="F20" s="551" t="s">
        <v>336</v>
      </c>
      <c r="G20" s="133">
        <f ca="1">INDIRECT("'DevSumOut-"&amp;$B$2&amp;"BSR'!R64")</f>
        <v>5.8529310125197154E-6</v>
      </c>
      <c r="H20" s="133">
        <f ca="1">INDIRECT("'DevSumOut-"&amp;$B$2&amp;"BSR'!R64")</f>
        <v>5.8529310125197154E-6</v>
      </c>
      <c r="I20" s="551" t="s">
        <v>336</v>
      </c>
      <c r="J20" s="133">
        <f ca="1">INDIRECT("'DevSumOut-"&amp;$B$2&amp;"BSR'!P64")</f>
        <v>7.089878477573757E-5</v>
      </c>
      <c r="K20" s="133">
        <f ca="1">INDIRECT("'DevSumOut-"&amp;$B$2&amp;"BSR'!P64")</f>
        <v>7.089878477573757E-5</v>
      </c>
      <c r="L20" s="133">
        <f ca="1">INDIRECT("'DevSumOut-"&amp;$B$2&amp;"BSR'!P64")</f>
        <v>7.089878477573757E-5</v>
      </c>
      <c r="M20" s="551" t="s">
        <v>336</v>
      </c>
      <c r="N20" s="133">
        <f ca="1">INDIRECT("'DevSumOut-"&amp;$B$2&amp;"BSR'!P64")</f>
        <v>7.089878477573757E-5</v>
      </c>
      <c r="O20" s="133">
        <f ca="1">INDIRECT("'DevSumOut-"&amp;$B$2&amp;"BSR'!P64")</f>
        <v>7.089878477573757E-5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2">
        <v>2103006000</v>
      </c>
      <c r="B21" s="812"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7.9575146604215531E-4</v>
      </c>
      <c r="K21" s="133">
        <f ca="1">INDIRECT("'DevSumOut-"&amp;$B$2&amp;"BSR'!P65")</f>
        <v>7.9575146604215531E-4</v>
      </c>
      <c r="L21" s="133">
        <f ca="1">INDIRECT("'DevSumOut-"&amp;$B$2&amp;"BSR'!P65")</f>
        <v>7.9575146604215531E-4</v>
      </c>
      <c r="M21" s="551" t="s">
        <v>336</v>
      </c>
      <c r="N21" s="133">
        <f ca="1">INDIRECT("'DevSumOut-"&amp;$B$2&amp;"BSR'!P65")</f>
        <v>7.9575146604215531E-4</v>
      </c>
      <c r="O21" s="133">
        <f ca="1">INDIRECT("'DevSumOut-"&amp;$B$2&amp;"BSR'!P65")</f>
        <v>7.9575146604215531E-4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2">
        <v>2104002000</v>
      </c>
      <c r="B22" s="812" t="s">
        <v>151</v>
      </c>
      <c r="C22" s="133">
        <f ca="1">INDIRECT("'DevSumOut-"&amp;$B$2&amp;"BSR'!R66")</f>
        <v>8.9380357379555991E-2</v>
      </c>
      <c r="D22" s="133">
        <f ca="1">INDIRECT("'DevSumOut-"&amp;$B$2&amp;"BSR'!R66")</f>
        <v>8.9380357379555991E-2</v>
      </c>
      <c r="E22" s="133">
        <f ca="1">INDIRECT("'DevSumOut-"&amp;$B$2&amp;"BSR'!R66")</f>
        <v>8.9380357379555991E-2</v>
      </c>
      <c r="F22" s="551" t="s">
        <v>336</v>
      </c>
      <c r="G22" s="133">
        <f ca="1">INDIRECT("'DevSumOut-"&amp;$B$2&amp;"BSR'!R66")</f>
        <v>8.9380357379555991E-2</v>
      </c>
      <c r="H22" s="133">
        <f ca="1">INDIRECT("'DevSumOut-"&amp;$B$2&amp;"BSR'!R66")</f>
        <v>8.9380357379555991E-2</v>
      </c>
      <c r="I22" s="551" t="s">
        <v>336</v>
      </c>
      <c r="J22" s="133">
        <f ca="1">INDIRECT("'DevSumOut-"&amp;$B$2&amp;"BSR'!P66")</f>
        <v>0.10403470883978358</v>
      </c>
      <c r="K22" s="133">
        <f ca="1">INDIRECT("'DevSumOut-"&amp;$B$2&amp;"BSR'!P66")</f>
        <v>0.10403470883978358</v>
      </c>
      <c r="L22" s="133">
        <f ca="1">INDIRECT("'DevSumOut-"&amp;$B$2&amp;"BSR'!P66")</f>
        <v>0.10403470883978358</v>
      </c>
      <c r="M22" s="551" t="s">
        <v>336</v>
      </c>
      <c r="N22" s="133">
        <f ca="1">INDIRECT("'DevSumOut-"&amp;$B$2&amp;"BSR'!P66")</f>
        <v>0.10403470883978358</v>
      </c>
      <c r="O22" s="133">
        <f ca="1">INDIRECT("'DevSumOut-"&amp;$B$2&amp;"BSR'!P66")</f>
        <v>0.10403470883978358</v>
      </c>
      <c r="P22" s="551" t="s">
        <v>336</v>
      </c>
      <c r="Q22" s="45">
        <f ca="1">INDIRECT("'DevSumOut-"&amp;$B$2&amp;"BSR'!U66")</f>
        <v>340.07044609993767</v>
      </c>
      <c r="R22" s="45">
        <f ca="1">INDIRECT("'DevSumOut-"&amp;$B$2&amp;"BSR'!U66")</f>
        <v>340.07044609993767</v>
      </c>
      <c r="S22" s="45">
        <f ca="1">INDIRECT("'DevSumOut-"&amp;$B$2&amp;"BSR'!U66")</f>
        <v>340.07044609993767</v>
      </c>
      <c r="T22" s="581" t="s">
        <v>336</v>
      </c>
      <c r="U22" s="45">
        <f ca="1">INDIRECT("'DevSumOut-"&amp;$B$2&amp;"BSR'!U66")</f>
        <v>340.07044609993767</v>
      </c>
      <c r="V22" s="45">
        <f ca="1">INDIRECT("'DevSumOut-"&amp;$B$2&amp;"BSR'!U66")</f>
        <v>340.07044609993767</v>
      </c>
      <c r="W22" s="581" t="s">
        <v>336</v>
      </c>
      <c r="X22" s="133">
        <f t="shared" ca="1" si="0"/>
        <v>0.5256578947368421</v>
      </c>
      <c r="Y22" s="133">
        <f t="shared" ca="1" si="0"/>
        <v>0.5256578947368421</v>
      </c>
      <c r="Z22" s="133">
        <f t="shared" ca="1" si="0"/>
        <v>0.5256578947368421</v>
      </c>
      <c r="AA22" s="133"/>
      <c r="AB22" s="133">
        <f t="shared" ca="1" si="1"/>
        <v>0.5256578947368421</v>
      </c>
      <c r="AC22" s="133">
        <f t="shared" ca="1" si="1"/>
        <v>0.5256578947368421</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2.5034373567279267</v>
      </c>
      <c r="D26" s="137">
        <f ca="1">SUM(D6:D25)</f>
        <v>2.5034373567279267</v>
      </c>
      <c r="E26" s="137">
        <f ca="1">SUM(E6:E25)</f>
        <v>2.5034373567279267</v>
      </c>
      <c r="F26" s="566" t="s">
        <v>336</v>
      </c>
      <c r="G26" s="137">
        <f t="shared" ref="G26:H26" ca="1" si="2">SUM(G6:G25)</f>
        <v>2.5034373567279267</v>
      </c>
      <c r="H26" s="137">
        <f t="shared" ca="1" si="2"/>
        <v>2.5034373567279267</v>
      </c>
      <c r="I26" s="566" t="s">
        <v>336</v>
      </c>
      <c r="J26" s="137">
        <f ca="1">SUM(J6:J25)</f>
        <v>3.9252055415799574</v>
      </c>
      <c r="K26" s="137">
        <f ca="1">SUM(K6:K25)</f>
        <v>3.9252055415799574</v>
      </c>
      <c r="L26" s="137">
        <f ca="1">SUM(L6:L25)</f>
        <v>3.9252055415799574</v>
      </c>
      <c r="M26" s="566" t="s">
        <v>336</v>
      </c>
      <c r="N26" s="137">
        <f ca="1">SUM(N6:N25)</f>
        <v>3.9252055415799574</v>
      </c>
      <c r="O26" s="137">
        <f ca="1">SUM(O6:O25)</f>
        <v>3.9252055415799574</v>
      </c>
      <c r="P26" s="566" t="s">
        <v>336</v>
      </c>
      <c r="Q26" s="87">
        <f ca="1">SUM(Q6:Q25)</f>
        <v>50180.20813665053</v>
      </c>
      <c r="R26" s="87">
        <f ca="1">SUM(R6:R25)</f>
        <v>50180.20813665053</v>
      </c>
      <c r="S26" s="87">
        <f ca="1">SUM(S6:S25)</f>
        <v>50180.20813665053</v>
      </c>
      <c r="T26" s="566" t="s">
        <v>336</v>
      </c>
      <c r="U26" s="87">
        <f ca="1">SUM(U6:U25)</f>
        <v>50180.20813665053</v>
      </c>
      <c r="V26" s="87">
        <f ca="1">SUM(V6:V25)</f>
        <v>50180.20813665053</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2020 Baseline PM2.5 Emissions (tpd) by Curtailment Regime and AQCZ</v>
      </c>
      <c r="D30" s="840"/>
      <c r="E30" s="840"/>
      <c r="F30" s="840"/>
      <c r="G30" s="840"/>
      <c r="H30" s="840"/>
      <c r="I30" s="840"/>
      <c r="J30" s="840" t="str">
        <f>$B$2&amp;" Baseline SO2 Emissions (tpd) by Curtailment Regime and AQCZ"</f>
        <v>2020 Baseline SO2 Emissions (tpd) by Curtailment Regime and AQCZ</v>
      </c>
      <c r="K30" s="840"/>
      <c r="L30" s="840"/>
      <c r="M30" s="840"/>
      <c r="N30" s="840"/>
      <c r="O30" s="840"/>
      <c r="P30" s="840"/>
      <c r="Q30" s="840" t="str">
        <f>$B$2&amp;" Baseline Energy Use (mmBTU) by Curtailment Regime and AQCZ"</f>
        <v>2020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0.94230216276133483</v>
      </c>
      <c r="D32" s="133">
        <f ca="1">(D26-D33)*AQCZSplits!$F$5</f>
        <v>0.94230216276133483</v>
      </c>
      <c r="E32" s="133">
        <f ca="1">(E26-E33)*AQCZSplits!$F$5</f>
        <v>0.94230216276133483</v>
      </c>
      <c r="F32" s="551" t="s">
        <v>336</v>
      </c>
      <c r="G32" s="133">
        <f ca="1">(G26-G33)*AQCZSplits!$F$5</f>
        <v>0.94230216276133483</v>
      </c>
      <c r="H32" s="133">
        <f ca="1">(H26-H33)*AQCZSplits!$F$5</f>
        <v>0.94230216276133483</v>
      </c>
      <c r="I32" s="551" t="s">
        <v>336</v>
      </c>
      <c r="J32" s="133">
        <f ca="1">(J26-J33)*AQCZSplits!$F$5</f>
        <v>1.7541515233958052</v>
      </c>
      <c r="K32" s="133">
        <f ca="1">(K26-K33)*AQCZSplits!$F$5</f>
        <v>1.7541515233958052</v>
      </c>
      <c r="L32" s="133">
        <f ca="1">(L26-L33)*AQCZSplits!$F$5</f>
        <v>1.7541515233958052</v>
      </c>
      <c r="M32" s="551" t="s">
        <v>336</v>
      </c>
      <c r="N32" s="133">
        <f ca="1">(N26-N33)*AQCZSplits!$F$5</f>
        <v>1.7541515233958052</v>
      </c>
      <c r="O32" s="133">
        <f ca="1">(O26-O33)*AQCZSplits!$F$5</f>
        <v>1.7541515233958052</v>
      </c>
      <c r="P32" s="551" t="s">
        <v>336</v>
      </c>
      <c r="Q32" s="45">
        <f ca="1">(Q26-Q33)*AQCZSplits!$F$5</f>
        <v>22941.732607688675</v>
      </c>
      <c r="R32" s="45">
        <f ca="1">(R26-R33)*AQCZSplits!$F$5</f>
        <v>22941.732607688675</v>
      </c>
      <c r="S32" s="45">
        <f ca="1">(S26-S33)*AQCZSplits!$F$5</f>
        <v>22941.732607688675</v>
      </c>
      <c r="T32" s="551" t="s">
        <v>336</v>
      </c>
      <c r="U32" s="45">
        <f ca="1">(U26-U33)*AQCZSplits!$F$5</f>
        <v>22941.732607688675</v>
      </c>
      <c r="V32" s="45">
        <f ca="1">(V26-V33)*AQCZSplits!$F$5</f>
        <v>22941.732607688675</v>
      </c>
      <c r="W32" s="551" t="s">
        <v>336</v>
      </c>
    </row>
    <row r="33" spans="1:23" ht="15.75" thickBot="1" x14ac:dyDescent="0.3">
      <c r="A33" s="6" t="s">
        <v>754</v>
      </c>
      <c r="B33" s="6" t="s">
        <v>755</v>
      </c>
      <c r="C33" s="544">
        <f ca="1">SUMIFS(INDIRECT("'ZipOutNA-"&amp;$B$2&amp;"BSR'!$J$5:$J$669"),INDIRECT("'ZipOutNA-"&amp;$B$2&amp;"BSR'!$D$5:$D$669"),99705)/35</f>
        <v>1.0284345195473574</v>
      </c>
      <c r="D33" s="544">
        <f ca="1">SUMIFS(INDIRECT("'ZipOutNA-"&amp;$B$2&amp;"BSR'!$J$5:$J$669"),INDIRECT("'ZipOutNA-"&amp;$B$2&amp;"BSR'!$D$5:$D$669"),99705)/35</f>
        <v>1.0284345195473574</v>
      </c>
      <c r="E33" s="544">
        <f ca="1">SUMIFS(INDIRECT("'ZipOutNA-"&amp;$B$2&amp;"BSR'!$J$5:$J$669"),INDIRECT("'ZipOutNA-"&amp;$B$2&amp;"BSR'!$D$5:$D$669"),99705)/35</f>
        <v>1.0284345195473574</v>
      </c>
      <c r="F33" s="542" t="s">
        <v>336</v>
      </c>
      <c r="G33" s="544">
        <f ca="1">SUMIFS(INDIRECT("'ZipOutNA-"&amp;$B$2&amp;"BSR'!$J$5:$J$669"),INDIRECT("'ZipOutNA-"&amp;$B$2&amp;"BSR'!$D$5:$D$669"),99705)/35</f>
        <v>1.0284345195473574</v>
      </c>
      <c r="H33" s="544">
        <f ca="1">SUMIFS(INDIRECT("'ZipOutNA-"&amp;$B$2&amp;"BSR'!$J$5:$J$669"),INDIRECT("'ZipOutNA-"&amp;$B$2&amp;"BSR'!$D$5:$D$669"),99705)/35</f>
        <v>1.0284345195473574</v>
      </c>
      <c r="I33" s="542" t="s">
        <v>336</v>
      </c>
      <c r="J33" s="544">
        <f ca="1">SUMIFS(INDIRECT("'ZipOutNA-"&amp;$B$2&amp;"BSR'!$H$5:$H$669"),INDIRECT("'ZipOutNA-"&amp;$B$2&amp;"BSR'!$D$5:$D$669"),99705)/35</f>
        <v>1.1794000281220005</v>
      </c>
      <c r="K33" s="544">
        <f ca="1">SUMIFS(INDIRECT("'ZipOutNA-"&amp;$B$2&amp;"BSR'!$H$5:$H$669"),INDIRECT("'ZipOutNA-"&amp;$B$2&amp;"BSR'!$D$5:$D$669"),99705)/35</f>
        <v>1.1794000281220005</v>
      </c>
      <c r="L33" s="544">
        <f ca="1">SUMIFS(INDIRECT("'ZipOutNA-"&amp;$B$2&amp;"BSR'!$H$5:$H$669"),INDIRECT("'ZipOutNA-"&amp;$B$2&amp;"BSR'!$D$5:$D$669"),99705)/35</f>
        <v>1.1794000281220005</v>
      </c>
      <c r="M33" s="542" t="s">
        <v>336</v>
      </c>
      <c r="N33" s="544">
        <f ca="1">SUMIFS(INDIRECT("'ZipOutNA-"&amp;$B$2&amp;"BSR'!$H$5:$H$669"),INDIRECT("'ZipOutNA-"&amp;$B$2&amp;"BSR'!$D$5:$D$669"),99705)/35</f>
        <v>1.1794000281220005</v>
      </c>
      <c r="O33" s="544">
        <f ca="1">SUMIFS(INDIRECT("'ZipOutNA-"&amp;$B$2&amp;"BSR'!$H$5:$H$669"),INDIRECT("'ZipOutNA-"&amp;$B$2&amp;"BSR'!$D$5:$D$669"),99705)/35</f>
        <v>1.1794000281220005</v>
      </c>
      <c r="P33" s="542" t="s">
        <v>336</v>
      </c>
      <c r="Q33" s="567">
        <f ca="1">SUMIFS(INDIRECT("'ZipOutNA-"&amp;$B$2&amp;"BSR'!$M$5:$M$669"),INDIRECT("'ZipOutNA-"&amp;$B$2&amp;"BSR'!$D$5:$D$669"),99705)/35</f>
        <v>14269.09382166672</v>
      </c>
      <c r="R33" s="567">
        <f ca="1">SUMIFS(INDIRECT("'ZipOutNA-"&amp;$B$2&amp;"BSR'!$M$5:$M$669"),INDIRECT("'ZipOutNA-"&amp;$B$2&amp;"BSR'!$D$5:$D$669"),99705)/35</f>
        <v>14269.09382166672</v>
      </c>
      <c r="S33" s="567">
        <f ca="1">SUMIFS(INDIRECT("'ZipOutNA-"&amp;$B$2&amp;"BSR'!$M$5:$M$669"),INDIRECT("'ZipOutNA-"&amp;$B$2&amp;"BSR'!$D$5:$D$669"),99705)/35</f>
        <v>14269.09382166672</v>
      </c>
      <c r="T33" s="542" t="s">
        <v>336</v>
      </c>
      <c r="U33" s="567">
        <f ca="1">SUMIFS(INDIRECT("'ZipOutNA-"&amp;$B$2&amp;"BSR'!$M$5:$M$669"),INDIRECT("'ZipOutNA-"&amp;$B$2&amp;"BSR'!$D$5:$D$669"),99705)/35</f>
        <v>14269.09382166672</v>
      </c>
      <c r="V33" s="567">
        <f ca="1">SUMIFS(INDIRECT("'ZipOutNA-"&amp;$B$2&amp;"BSR'!$M$5:$M$669"),INDIRECT("'ZipOutNA-"&amp;$B$2&amp;"BSR'!$D$5:$D$669"),99705)/35</f>
        <v>14269.09382166672</v>
      </c>
      <c r="W33" s="542" t="s">
        <v>336</v>
      </c>
    </row>
    <row r="34" spans="1:23" ht="15.75" thickTop="1" x14ac:dyDescent="0.25">
      <c r="C34" s="137">
        <f ca="1">SUM(C32:C33)</f>
        <v>1.9707366823086923</v>
      </c>
      <c r="D34" s="137">
        <f ca="1">SUM(D32:D33)</f>
        <v>1.9707366823086923</v>
      </c>
      <c r="E34" s="137">
        <f ca="1">SUM(E32:E33)</f>
        <v>1.9707366823086923</v>
      </c>
      <c r="F34" s="566" t="s">
        <v>336</v>
      </c>
      <c r="G34" s="137">
        <f ca="1">SUM(G32:G33)</f>
        <v>1.9707366823086923</v>
      </c>
      <c r="H34" s="137">
        <f ca="1">SUM(H32:H33)</f>
        <v>1.9707366823086923</v>
      </c>
      <c r="I34" s="566" t="s">
        <v>336</v>
      </c>
      <c r="J34" s="137">
        <f ca="1">SUM(J32:J33)</f>
        <v>2.9335515515178057</v>
      </c>
      <c r="K34" s="137">
        <f ca="1">SUM(K32:K33)</f>
        <v>2.9335515515178057</v>
      </c>
      <c r="L34" s="137">
        <f ca="1">SUM(L32:L33)</f>
        <v>2.9335515515178057</v>
      </c>
      <c r="M34" s="566" t="s">
        <v>336</v>
      </c>
      <c r="N34" s="137">
        <f ca="1">SUM(N32:N33)</f>
        <v>2.9335515515178057</v>
      </c>
      <c r="O34" s="137">
        <f ca="1">SUM(O32:O33)</f>
        <v>2.9335515515178057</v>
      </c>
      <c r="P34" s="566" t="s">
        <v>336</v>
      </c>
      <c r="Q34" s="87">
        <f ca="1">SUM(Q32:Q33)</f>
        <v>37210.826429355395</v>
      </c>
      <c r="R34" s="87">
        <f ca="1">SUM(R32:R33)</f>
        <v>37210.826429355395</v>
      </c>
      <c r="S34" s="87">
        <f ca="1">SUM(S32:S33)</f>
        <v>37210.826429355395</v>
      </c>
      <c r="T34" s="566" t="s">
        <v>336</v>
      </c>
      <c r="U34" s="87">
        <f ca="1">SUM(U32:U33)</f>
        <v>37210.826429355395</v>
      </c>
      <c r="V34" s="87">
        <f ca="1">SUM(V32:V33)</f>
        <v>37210.826429355395</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2020 Baseline NA Area PM2.5 Emissions (tpd) by Curtailment Regime</v>
      </c>
      <c r="D38" s="840"/>
      <c r="E38" s="840"/>
      <c r="F38" s="840"/>
      <c r="G38" s="840"/>
      <c r="H38" s="840"/>
      <c r="I38" s="840"/>
      <c r="J38" s="840" t="str">
        <f>J4</f>
        <v>2020 Baseline NA Area SO2 Emissions (tpd) by Curtailment Regime</v>
      </c>
      <c r="K38" s="840"/>
      <c r="L38" s="840"/>
      <c r="M38" s="840"/>
      <c r="N38" s="840"/>
      <c r="O38" s="840"/>
      <c r="P38" s="840"/>
      <c r="Q38" s="840" t="str">
        <f>Q4</f>
        <v>2020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0.23716629880186552</v>
      </c>
      <c r="D40" s="133">
        <f t="shared" ca="1" si="3"/>
        <v>0.23716629880186552</v>
      </c>
      <c r="E40" s="133">
        <f t="shared" ca="1" si="3"/>
        <v>0.23716629880186552</v>
      </c>
      <c r="F40" s="551" t="s">
        <v>336</v>
      </c>
      <c r="G40" s="575">
        <f t="shared" ref="G40:H55" ca="1" si="4">G6*G$32/G$26</f>
        <v>0.23716629880186552</v>
      </c>
      <c r="H40" s="575">
        <f t="shared" ca="1" si="4"/>
        <v>0.23716629880186552</v>
      </c>
      <c r="I40" s="574" t="s">
        <v>336</v>
      </c>
      <c r="J40" s="133">
        <f t="shared" ref="J40:L55" ca="1" si="5">J6*J$32/J$26</f>
        <v>3.2552782081809958E-3</v>
      </c>
      <c r="K40" s="133">
        <f t="shared" ca="1" si="5"/>
        <v>3.2552782081809958E-3</v>
      </c>
      <c r="L40" s="133">
        <f t="shared" ca="1" si="5"/>
        <v>3.2552782081809958E-3</v>
      </c>
      <c r="M40" s="551" t="s">
        <v>336</v>
      </c>
      <c r="N40" s="575">
        <f t="shared" ref="N40:O55" ca="1" si="6">N6*N$32/N$26</f>
        <v>3.2552782081809958E-3</v>
      </c>
      <c r="O40" s="575">
        <f t="shared" ca="1" si="6"/>
        <v>3.2552782081809958E-3</v>
      </c>
      <c r="P40" s="574" t="s">
        <v>336</v>
      </c>
      <c r="Q40" s="45">
        <f t="shared" ref="Q40:S55" ca="1" si="7">Q6*Q$32/Q$26</f>
        <v>267.38586289113573</v>
      </c>
      <c r="R40" s="45">
        <f t="shared" ca="1" si="7"/>
        <v>267.38586289113573</v>
      </c>
      <c r="S40" s="45">
        <f t="shared" ca="1" si="7"/>
        <v>267.38586289113573</v>
      </c>
      <c r="T40" s="581" t="s">
        <v>336</v>
      </c>
      <c r="U40" s="573">
        <f t="shared" ref="U40:V55" ca="1" si="8">U6*U$32/U$26</f>
        <v>267.38586289113573</v>
      </c>
      <c r="V40" s="573">
        <f t="shared" ca="1" si="8"/>
        <v>267.38586289113573</v>
      </c>
      <c r="W40" s="574" t="s">
        <v>336</v>
      </c>
    </row>
    <row r="41" spans="1:23" x14ac:dyDescent="0.25">
      <c r="A41" s="812" t="str">
        <f t="shared" ref="A41:A58" si="9">A40</f>
        <v>FB</v>
      </c>
      <c r="B41" s="812" t="s">
        <v>138</v>
      </c>
      <c r="C41" s="133">
        <f t="shared" ca="1" si="3"/>
        <v>1.8510096886094406E-2</v>
      </c>
      <c r="D41" s="133">
        <f t="shared" ca="1" si="3"/>
        <v>1.8510096886094406E-2</v>
      </c>
      <c r="E41" s="133">
        <f t="shared" ca="1" si="3"/>
        <v>1.8510096886094406E-2</v>
      </c>
      <c r="F41" s="551" t="s">
        <v>336</v>
      </c>
      <c r="G41" s="575">
        <f t="shared" ca="1" si="4"/>
        <v>1.8510096886094406E-2</v>
      </c>
      <c r="H41" s="575">
        <f t="shared" ca="1" si="4"/>
        <v>1.8510096886094406E-2</v>
      </c>
      <c r="I41" s="574" t="s">
        <v>336</v>
      </c>
      <c r="J41" s="133">
        <f t="shared" ca="1" si="5"/>
        <v>2.8727544039997227E-4</v>
      </c>
      <c r="K41" s="133">
        <f t="shared" ca="1" si="5"/>
        <v>2.8727544039997227E-4</v>
      </c>
      <c r="L41" s="133">
        <f t="shared" ca="1" si="5"/>
        <v>2.8727544039997227E-4</v>
      </c>
      <c r="M41" s="551" t="s">
        <v>336</v>
      </c>
      <c r="N41" s="575">
        <f t="shared" ca="1" si="6"/>
        <v>2.8727544039997227E-4</v>
      </c>
      <c r="O41" s="575">
        <f t="shared" ca="1" si="6"/>
        <v>2.8727544039997227E-4</v>
      </c>
      <c r="P41" s="574" t="s">
        <v>336</v>
      </c>
      <c r="Q41" s="45">
        <f t="shared" ca="1" si="7"/>
        <v>23.592363373205522</v>
      </c>
      <c r="R41" s="45">
        <f t="shared" ca="1" si="7"/>
        <v>23.592363373205522</v>
      </c>
      <c r="S41" s="45">
        <f t="shared" ca="1" si="7"/>
        <v>23.592363373205522</v>
      </c>
      <c r="T41" s="581" t="s">
        <v>336</v>
      </c>
      <c r="U41" s="573">
        <f t="shared" ca="1" si="8"/>
        <v>23.592363373205522</v>
      </c>
      <c r="V41" s="573">
        <f t="shared" ca="1" si="8"/>
        <v>23.592363373205522</v>
      </c>
      <c r="W41" s="574" t="s">
        <v>336</v>
      </c>
    </row>
    <row r="42" spans="1:23" x14ac:dyDescent="0.25">
      <c r="A42" s="812" t="str">
        <f t="shared" si="9"/>
        <v>FB</v>
      </c>
      <c r="B42" s="812" t="s">
        <v>139</v>
      </c>
      <c r="C42" s="133">
        <f t="shared" ca="1" si="3"/>
        <v>1.5282925424602892E-2</v>
      </c>
      <c r="D42" s="133">
        <f t="shared" ca="1" si="3"/>
        <v>1.5282925424602892E-2</v>
      </c>
      <c r="E42" s="133">
        <f t="shared" ca="1" si="3"/>
        <v>1.5282925424602892E-2</v>
      </c>
      <c r="F42" s="551" t="s">
        <v>336</v>
      </c>
      <c r="G42" s="575">
        <f t="shared" ca="1" si="4"/>
        <v>1.5282925424602892E-2</v>
      </c>
      <c r="H42" s="575">
        <f t="shared" ca="1" si="4"/>
        <v>1.5282925424602892E-2</v>
      </c>
      <c r="I42" s="574" t="s">
        <v>336</v>
      </c>
      <c r="J42" s="133">
        <f t="shared" ca="1" si="5"/>
        <v>6.0483439689016673E-4</v>
      </c>
      <c r="K42" s="133">
        <f t="shared" ca="1" si="5"/>
        <v>6.0483439689016673E-4</v>
      </c>
      <c r="L42" s="133">
        <f t="shared" ca="1" si="5"/>
        <v>6.0483439689016673E-4</v>
      </c>
      <c r="M42" s="551" t="s">
        <v>336</v>
      </c>
      <c r="N42" s="575">
        <f t="shared" ca="1" si="6"/>
        <v>6.0483439689016673E-4</v>
      </c>
      <c r="O42" s="575">
        <f t="shared" ca="1" si="6"/>
        <v>6.0483439689016673E-4</v>
      </c>
      <c r="P42" s="574" t="s">
        <v>336</v>
      </c>
      <c r="Q42" s="45">
        <f t="shared" ca="1" si="7"/>
        <v>49.671746572484935</v>
      </c>
      <c r="R42" s="45">
        <f t="shared" ca="1" si="7"/>
        <v>49.671746572484935</v>
      </c>
      <c r="S42" s="45">
        <f t="shared" ca="1" si="7"/>
        <v>49.671746572484935</v>
      </c>
      <c r="T42" s="581" t="s">
        <v>336</v>
      </c>
      <c r="U42" s="573">
        <f t="shared" ca="1" si="8"/>
        <v>49.671746572484935</v>
      </c>
      <c r="V42" s="573">
        <f t="shared" ca="1" si="8"/>
        <v>49.671746572484935</v>
      </c>
      <c r="W42" s="574" t="s">
        <v>336</v>
      </c>
    </row>
    <row r="43" spans="1:23" x14ac:dyDescent="0.25">
      <c r="A43" s="812" t="str">
        <f t="shared" si="9"/>
        <v>FB</v>
      </c>
      <c r="B43" s="812" t="s">
        <v>140</v>
      </c>
      <c r="C43" s="133">
        <f t="shared" ca="1" si="3"/>
        <v>9.9682267651829137E-3</v>
      </c>
      <c r="D43" s="133">
        <f t="shared" ca="1" si="3"/>
        <v>9.9682267651829137E-3</v>
      </c>
      <c r="E43" s="133">
        <f t="shared" ca="1" si="3"/>
        <v>9.9682267651829137E-3</v>
      </c>
      <c r="F43" s="551" t="s">
        <v>336</v>
      </c>
      <c r="G43" s="575">
        <f t="shared" ca="1" si="4"/>
        <v>9.9682267651829137E-3</v>
      </c>
      <c r="H43" s="575">
        <f t="shared" ca="1" si="4"/>
        <v>9.9682267651829137E-3</v>
      </c>
      <c r="I43" s="574" t="s">
        <v>336</v>
      </c>
      <c r="J43" s="133">
        <f t="shared" ca="1" si="5"/>
        <v>3.6415459169644797E-4</v>
      </c>
      <c r="K43" s="133">
        <f t="shared" ca="1" si="5"/>
        <v>3.6415459169644797E-4</v>
      </c>
      <c r="L43" s="133">
        <f t="shared" ca="1" si="5"/>
        <v>3.6415459169644797E-4</v>
      </c>
      <c r="M43" s="551" t="s">
        <v>336</v>
      </c>
      <c r="N43" s="575">
        <f t="shared" ca="1" si="6"/>
        <v>3.6415459169644797E-4</v>
      </c>
      <c r="O43" s="575">
        <f t="shared" ca="1" si="6"/>
        <v>3.6415459169644797E-4</v>
      </c>
      <c r="P43" s="574" t="s">
        <v>336</v>
      </c>
      <c r="Q43" s="45">
        <f t="shared" ca="1" si="7"/>
        <v>29.906028302880017</v>
      </c>
      <c r="R43" s="45">
        <f t="shared" ca="1" si="7"/>
        <v>29.906028302880017</v>
      </c>
      <c r="S43" s="45">
        <f t="shared" ca="1" si="7"/>
        <v>29.906028302880017</v>
      </c>
      <c r="T43" s="581" t="s">
        <v>336</v>
      </c>
      <c r="U43" s="573">
        <f t="shared" ca="1" si="8"/>
        <v>29.906028302880017</v>
      </c>
      <c r="V43" s="573">
        <f t="shared" ca="1" si="8"/>
        <v>29.906028302880017</v>
      </c>
      <c r="W43" s="574" t="s">
        <v>336</v>
      </c>
    </row>
    <row r="44" spans="1:23" x14ac:dyDescent="0.25">
      <c r="A44" s="812" t="str">
        <f t="shared" si="9"/>
        <v>FB</v>
      </c>
      <c r="B44" s="812" t="s">
        <v>141</v>
      </c>
      <c r="C44" s="133">
        <f t="shared" ca="1" si="3"/>
        <v>0.14905650143770077</v>
      </c>
      <c r="D44" s="133">
        <f t="shared" ca="1" si="3"/>
        <v>0.14905650143770077</v>
      </c>
      <c r="E44" s="133">
        <f t="shared" ca="1" si="3"/>
        <v>0.14905650143770077</v>
      </c>
      <c r="F44" s="551" t="s">
        <v>336</v>
      </c>
      <c r="G44" s="575">
        <f t="shared" ca="1" si="4"/>
        <v>0.14905650143770077</v>
      </c>
      <c r="H44" s="575">
        <f t="shared" ca="1" si="4"/>
        <v>0.14905650143770077</v>
      </c>
      <c r="I44" s="574" t="s">
        <v>336</v>
      </c>
      <c r="J44" s="133">
        <f t="shared" ca="1" si="5"/>
        <v>5.8300311815528668E-3</v>
      </c>
      <c r="K44" s="133">
        <f t="shared" ca="1" si="5"/>
        <v>5.8300311815528668E-3</v>
      </c>
      <c r="L44" s="133">
        <f t="shared" ca="1" si="5"/>
        <v>5.8300311815528668E-3</v>
      </c>
      <c r="M44" s="551" t="s">
        <v>336</v>
      </c>
      <c r="N44" s="575">
        <f t="shared" ca="1" si="6"/>
        <v>5.8300311815528668E-3</v>
      </c>
      <c r="O44" s="575">
        <f t="shared" ca="1" si="6"/>
        <v>5.8300311815528668E-3</v>
      </c>
      <c r="P44" s="574" t="s">
        <v>336</v>
      </c>
      <c r="Q44" s="45">
        <f t="shared" ca="1" si="7"/>
        <v>478.78862850514429</v>
      </c>
      <c r="R44" s="45">
        <f t="shared" ca="1" si="7"/>
        <v>478.78862850514429</v>
      </c>
      <c r="S44" s="45">
        <f t="shared" ca="1" si="7"/>
        <v>478.78862850514429</v>
      </c>
      <c r="T44" s="581" t="s">
        <v>336</v>
      </c>
      <c r="U44" s="573">
        <f t="shared" ca="1" si="8"/>
        <v>478.78862850514429</v>
      </c>
      <c r="V44" s="573">
        <f t="shared" ca="1" si="8"/>
        <v>478.78862850514429</v>
      </c>
      <c r="W44" s="574" t="s">
        <v>336</v>
      </c>
    </row>
    <row r="45" spans="1:23" x14ac:dyDescent="0.25">
      <c r="A45" s="812" t="str">
        <f t="shared" si="9"/>
        <v>FB</v>
      </c>
      <c r="B45" s="812" t="s">
        <v>142</v>
      </c>
      <c r="C45" s="133">
        <f t="shared" ca="1" si="3"/>
        <v>0.20483480912798815</v>
      </c>
      <c r="D45" s="133">
        <f t="shared" ca="1" si="3"/>
        <v>0.20483480912798815</v>
      </c>
      <c r="E45" s="133">
        <f t="shared" ca="1" si="3"/>
        <v>0.20483480912798815</v>
      </c>
      <c r="F45" s="551" t="s">
        <v>336</v>
      </c>
      <c r="G45" s="575">
        <f t="shared" ca="1" si="4"/>
        <v>0.20483480912798815</v>
      </c>
      <c r="H45" s="575">
        <f t="shared" ca="1" si="4"/>
        <v>0.20483480912798815</v>
      </c>
      <c r="I45" s="574" t="s">
        <v>336</v>
      </c>
      <c r="J45" s="133">
        <f t="shared" ca="1" si="5"/>
        <v>1.2274642721410082E-2</v>
      </c>
      <c r="K45" s="133">
        <f t="shared" ca="1" si="5"/>
        <v>1.2274642721410082E-2</v>
      </c>
      <c r="L45" s="133">
        <f t="shared" ca="1" si="5"/>
        <v>1.2274642721410082E-2</v>
      </c>
      <c r="M45" s="551" t="s">
        <v>336</v>
      </c>
      <c r="N45" s="575">
        <f t="shared" ca="1" si="6"/>
        <v>1.2274642721410082E-2</v>
      </c>
      <c r="O45" s="575">
        <f t="shared" ca="1" si="6"/>
        <v>1.2274642721410082E-2</v>
      </c>
      <c r="P45" s="574" t="s">
        <v>336</v>
      </c>
      <c r="Q45" s="45">
        <f t="shared" ca="1" si="7"/>
        <v>1008.0493861799924</v>
      </c>
      <c r="R45" s="45">
        <f t="shared" ca="1" si="7"/>
        <v>1008.0493861799924</v>
      </c>
      <c r="S45" s="45">
        <f t="shared" ca="1" si="7"/>
        <v>1008.0493861799924</v>
      </c>
      <c r="T45" s="581" t="s">
        <v>336</v>
      </c>
      <c r="U45" s="573">
        <f t="shared" ca="1" si="8"/>
        <v>1008.0493861799924</v>
      </c>
      <c r="V45" s="573">
        <f t="shared" ca="1" si="8"/>
        <v>1008.0493861799924</v>
      </c>
      <c r="W45" s="574" t="s">
        <v>336</v>
      </c>
    </row>
    <row r="46" spans="1:23" x14ac:dyDescent="0.25">
      <c r="A46" s="812" t="str">
        <f t="shared" si="9"/>
        <v>FB</v>
      </c>
      <c r="B46" s="812" t="s">
        <v>143</v>
      </c>
      <c r="C46" s="133">
        <f t="shared" ca="1" si="3"/>
        <v>0.13684068175342171</v>
      </c>
      <c r="D46" s="133">
        <f t="shared" ca="1" si="3"/>
        <v>0.13684068175342171</v>
      </c>
      <c r="E46" s="133">
        <f t="shared" ca="1" si="3"/>
        <v>0.13684068175342171</v>
      </c>
      <c r="F46" s="551" t="s">
        <v>336</v>
      </c>
      <c r="G46" s="575">
        <f t="shared" ca="1" si="4"/>
        <v>0.13684068175342171</v>
      </c>
      <c r="H46" s="575">
        <f t="shared" ca="1" si="4"/>
        <v>0.13684068175342171</v>
      </c>
      <c r="I46" s="574" t="s">
        <v>336</v>
      </c>
      <c r="J46" s="133">
        <f t="shared" ca="1" si="5"/>
        <v>7.3902336431546506E-3</v>
      </c>
      <c r="K46" s="133">
        <f t="shared" ca="1" si="5"/>
        <v>7.3902336431546506E-3</v>
      </c>
      <c r="L46" s="133">
        <f t="shared" ca="1" si="5"/>
        <v>7.3902336431546506E-3</v>
      </c>
      <c r="M46" s="551" t="s">
        <v>336</v>
      </c>
      <c r="N46" s="575">
        <f t="shared" ca="1" si="6"/>
        <v>7.3902336431546506E-3</v>
      </c>
      <c r="O46" s="575">
        <f t="shared" ca="1" si="6"/>
        <v>7.3902336431546506E-3</v>
      </c>
      <c r="P46" s="574" t="s">
        <v>336</v>
      </c>
      <c r="Q46" s="45">
        <f t="shared" ca="1" si="7"/>
        <v>606.91953784647274</v>
      </c>
      <c r="R46" s="45">
        <f t="shared" ca="1" si="7"/>
        <v>606.91953784647274</v>
      </c>
      <c r="S46" s="45">
        <f t="shared" ca="1" si="7"/>
        <v>606.91953784647274</v>
      </c>
      <c r="T46" s="581" t="s">
        <v>336</v>
      </c>
      <c r="U46" s="573">
        <f t="shared" ca="1" si="8"/>
        <v>606.91953784647274</v>
      </c>
      <c r="V46" s="573">
        <f t="shared" ca="1" si="8"/>
        <v>606.91953784647274</v>
      </c>
      <c r="W46" s="574" t="s">
        <v>336</v>
      </c>
    </row>
    <row r="47" spans="1:23" x14ac:dyDescent="0.25">
      <c r="A47" s="812" t="str">
        <f t="shared" si="9"/>
        <v>FB</v>
      </c>
      <c r="B47" s="812" t="s">
        <v>144</v>
      </c>
      <c r="C47" s="133">
        <f t="shared" ca="1" si="3"/>
        <v>5.0492423974557617E-3</v>
      </c>
      <c r="D47" s="133">
        <f t="shared" ca="1" si="3"/>
        <v>5.0492423974557617E-3</v>
      </c>
      <c r="E47" s="133">
        <f t="shared" ca="1" si="3"/>
        <v>5.0492423974557617E-3</v>
      </c>
      <c r="F47" s="551" t="s">
        <v>336</v>
      </c>
      <c r="G47" s="575">
        <f t="shared" ca="1" si="4"/>
        <v>5.0492423974557617E-3</v>
      </c>
      <c r="H47" s="575">
        <f t="shared" ca="1" si="4"/>
        <v>5.0492423974557617E-3</v>
      </c>
      <c r="I47" s="574" t="s">
        <v>336</v>
      </c>
      <c r="J47" s="133">
        <f t="shared" ca="1" si="5"/>
        <v>6.4809061100539703E-4</v>
      </c>
      <c r="K47" s="133">
        <f t="shared" ca="1" si="5"/>
        <v>6.4809061100539703E-4</v>
      </c>
      <c r="L47" s="133">
        <f t="shared" ca="1" si="5"/>
        <v>6.4809061100539703E-4</v>
      </c>
      <c r="M47" s="551" t="s">
        <v>336</v>
      </c>
      <c r="N47" s="575">
        <f t="shared" ca="1" si="6"/>
        <v>6.4809061100539703E-4</v>
      </c>
      <c r="O47" s="575">
        <f t="shared" ca="1" si="6"/>
        <v>6.4809061100539703E-4</v>
      </c>
      <c r="P47" s="574" t="s">
        <v>336</v>
      </c>
      <c r="Q47" s="45">
        <f t="shared" ca="1" si="7"/>
        <v>63.559402022533845</v>
      </c>
      <c r="R47" s="45">
        <f t="shared" ca="1" si="7"/>
        <v>63.559402022533845</v>
      </c>
      <c r="S47" s="45">
        <f t="shared" ca="1" si="7"/>
        <v>63.559402022533845</v>
      </c>
      <c r="T47" s="581" t="s">
        <v>336</v>
      </c>
      <c r="U47" s="573">
        <f t="shared" ca="1" si="8"/>
        <v>63.559402022533845</v>
      </c>
      <c r="V47" s="573">
        <f t="shared" ca="1" si="8"/>
        <v>63.559402022533845</v>
      </c>
      <c r="W47" s="574" t="s">
        <v>336</v>
      </c>
    </row>
    <row r="48" spans="1:23" x14ac:dyDescent="0.25">
      <c r="A48" s="812" t="str">
        <f t="shared" si="9"/>
        <v>FB</v>
      </c>
      <c r="B48" s="812" t="s">
        <v>145</v>
      </c>
      <c r="C48" s="133">
        <f t="shared" ca="1" si="3"/>
        <v>1.7031251529985591E-2</v>
      </c>
      <c r="D48" s="133">
        <f t="shared" ca="1" si="3"/>
        <v>1.7031251529985591E-2</v>
      </c>
      <c r="E48" s="133">
        <f t="shared" ca="1" si="3"/>
        <v>1.7031251529985591E-2</v>
      </c>
      <c r="F48" s="551" t="s">
        <v>336</v>
      </c>
      <c r="G48" s="575">
        <f t="shared" ca="1" si="4"/>
        <v>1.7031251529985591E-2</v>
      </c>
      <c r="H48" s="575">
        <f t="shared" ca="1" si="4"/>
        <v>1.7031251529985591E-2</v>
      </c>
      <c r="I48" s="574" t="s">
        <v>336</v>
      </c>
      <c r="J48" s="133">
        <f t="shared" ca="1" si="5"/>
        <v>2.1860297726678255E-3</v>
      </c>
      <c r="K48" s="133">
        <f t="shared" ca="1" si="5"/>
        <v>2.1860297726678255E-3</v>
      </c>
      <c r="L48" s="133">
        <f t="shared" ca="1" si="5"/>
        <v>2.1860297726678255E-3</v>
      </c>
      <c r="M48" s="551" t="s">
        <v>336</v>
      </c>
      <c r="N48" s="575">
        <f t="shared" ca="1" si="6"/>
        <v>2.1860297726678255E-3</v>
      </c>
      <c r="O48" s="575">
        <f t="shared" ca="1" si="6"/>
        <v>2.1860297726678255E-3</v>
      </c>
      <c r="P48" s="574" t="s">
        <v>336</v>
      </c>
      <c r="Q48" s="45">
        <f t="shared" ca="1" si="7"/>
        <v>214.3878383590183</v>
      </c>
      <c r="R48" s="45">
        <f t="shared" ca="1" si="7"/>
        <v>214.3878383590183</v>
      </c>
      <c r="S48" s="45">
        <f t="shared" ca="1" si="7"/>
        <v>214.3878383590183</v>
      </c>
      <c r="T48" s="581" t="s">
        <v>336</v>
      </c>
      <c r="U48" s="573">
        <f t="shared" ca="1" si="8"/>
        <v>214.3878383590183</v>
      </c>
      <c r="V48" s="573">
        <f t="shared" ca="1" si="8"/>
        <v>214.3878383590183</v>
      </c>
      <c r="W48" s="574" t="s">
        <v>336</v>
      </c>
    </row>
    <row r="49" spans="1:23" x14ac:dyDescent="0.25">
      <c r="A49" s="812" t="str">
        <f t="shared" si="9"/>
        <v>FB</v>
      </c>
      <c r="B49" s="812" t="s">
        <v>146</v>
      </c>
      <c r="C49" s="133">
        <f t="shared" ca="1" si="3"/>
        <v>8.461702524379773E-2</v>
      </c>
      <c r="D49" s="133">
        <f t="shared" ca="1" si="3"/>
        <v>8.461702524379773E-2</v>
      </c>
      <c r="E49" s="133">
        <f t="shared" ca="1" si="3"/>
        <v>8.461702524379773E-2</v>
      </c>
      <c r="F49" s="551" t="s">
        <v>336</v>
      </c>
      <c r="G49" s="575">
        <f t="shared" ca="1" si="4"/>
        <v>8.461702524379773E-2</v>
      </c>
      <c r="H49" s="575">
        <f t="shared" ca="1" si="4"/>
        <v>8.461702524379773E-2</v>
      </c>
      <c r="I49" s="574" t="s">
        <v>336</v>
      </c>
      <c r="J49" s="133">
        <f t="shared" ca="1" si="5"/>
        <v>4.0714128472519968E-3</v>
      </c>
      <c r="K49" s="133">
        <f t="shared" ca="1" si="5"/>
        <v>4.0714128472519968E-3</v>
      </c>
      <c r="L49" s="133">
        <f t="shared" ca="1" si="5"/>
        <v>4.0714128472519968E-3</v>
      </c>
      <c r="M49" s="551" t="s">
        <v>336</v>
      </c>
      <c r="N49" s="575">
        <f t="shared" ca="1" si="6"/>
        <v>4.0714128472519968E-3</v>
      </c>
      <c r="O49" s="575">
        <f t="shared" ca="1" si="6"/>
        <v>4.0714128472519968E-3</v>
      </c>
      <c r="P49" s="574" t="s">
        <v>336</v>
      </c>
      <c r="Q49" s="45">
        <f t="shared" ca="1" si="7"/>
        <v>334.24813044002434</v>
      </c>
      <c r="R49" s="45">
        <f t="shared" ca="1" si="7"/>
        <v>334.24813044002434</v>
      </c>
      <c r="S49" s="45">
        <f t="shared" ca="1" si="7"/>
        <v>334.24813044002434</v>
      </c>
      <c r="T49" s="581" t="s">
        <v>336</v>
      </c>
      <c r="U49" s="573">
        <f t="shared" ca="1" si="8"/>
        <v>334.24813044002434</v>
      </c>
      <c r="V49" s="573">
        <f t="shared" ca="1" si="8"/>
        <v>334.24813044002434</v>
      </c>
      <c r="W49" s="574" t="s">
        <v>336</v>
      </c>
    </row>
    <row r="50" spans="1:23" x14ac:dyDescent="0.25">
      <c r="A50" s="812" t="str">
        <f t="shared" si="9"/>
        <v>FB</v>
      </c>
      <c r="B50" s="812" t="s">
        <v>568</v>
      </c>
      <c r="C50" s="133">
        <f t="shared" ca="1" si="3"/>
        <v>1.8952447776152459E-2</v>
      </c>
      <c r="D50" s="133">
        <f t="shared" ca="1" si="3"/>
        <v>1.8952447776152459E-2</v>
      </c>
      <c r="E50" s="133">
        <f t="shared" ca="1" si="3"/>
        <v>1.8952447776152459E-2</v>
      </c>
      <c r="F50" s="551" t="s">
        <v>336</v>
      </c>
      <c r="G50" s="575">
        <f t="shared" ca="1" si="4"/>
        <v>1.8952447776152459E-2</v>
      </c>
      <c r="H50" s="575">
        <f t="shared" ca="1" si="4"/>
        <v>1.8952447776152459E-2</v>
      </c>
      <c r="I50" s="574" t="s">
        <v>336</v>
      </c>
      <c r="J50" s="133">
        <f t="shared" ca="1" si="5"/>
        <v>1.4243607473753066</v>
      </c>
      <c r="K50" s="133">
        <f t="shared" ca="1" si="5"/>
        <v>1.4243607473753066</v>
      </c>
      <c r="L50" s="133">
        <f t="shared" ca="1" si="5"/>
        <v>1.4243607473753066</v>
      </c>
      <c r="M50" s="551" t="s">
        <v>336</v>
      </c>
      <c r="N50" s="575">
        <f t="shared" ca="1" si="6"/>
        <v>1.4243607473753066</v>
      </c>
      <c r="O50" s="575">
        <f t="shared" ca="1" si="6"/>
        <v>1.4243607473753066</v>
      </c>
      <c r="P50" s="574" t="s">
        <v>336</v>
      </c>
      <c r="Q50" s="45">
        <f t="shared" ca="1" si="7"/>
        <v>13532.856198107669</v>
      </c>
      <c r="R50" s="45">
        <f t="shared" ca="1" si="7"/>
        <v>13532.856198107669</v>
      </c>
      <c r="S50" s="45">
        <f t="shared" ca="1" si="7"/>
        <v>13532.856198107669</v>
      </c>
      <c r="T50" s="581" t="s">
        <v>336</v>
      </c>
      <c r="U50" s="573">
        <f t="shared" ca="1" si="8"/>
        <v>13532.856198107669</v>
      </c>
      <c r="V50" s="573">
        <f t="shared" ca="1" si="8"/>
        <v>13532.856198107669</v>
      </c>
      <c r="W50" s="574" t="s">
        <v>336</v>
      </c>
    </row>
    <row r="51" spans="1:23" x14ac:dyDescent="0.25">
      <c r="A51" s="812" t="str">
        <f t="shared" si="9"/>
        <v>FB</v>
      </c>
      <c r="B51" s="812" t="s">
        <v>148</v>
      </c>
      <c r="C51" s="133">
        <f t="shared" ca="1" si="3"/>
        <v>5.9156476601355933E-3</v>
      </c>
      <c r="D51" s="133">
        <f t="shared" ca="1" si="3"/>
        <v>5.9156476601355933E-3</v>
      </c>
      <c r="E51" s="133">
        <f t="shared" ca="1" si="3"/>
        <v>5.9156476601355933E-3</v>
      </c>
      <c r="F51" s="551" t="s">
        <v>336</v>
      </c>
      <c r="G51" s="575">
        <f t="shared" ca="1" si="4"/>
        <v>5.9156476601355933E-3</v>
      </c>
      <c r="H51" s="575">
        <f t="shared" ca="1" si="4"/>
        <v>5.9156476601355933E-3</v>
      </c>
      <c r="I51" s="574" t="s">
        <v>336</v>
      </c>
      <c r="J51" s="133">
        <f t="shared" ca="1" si="5"/>
        <v>0.19571168097415587</v>
      </c>
      <c r="K51" s="133">
        <f t="shared" ca="1" si="5"/>
        <v>0.19571168097415587</v>
      </c>
      <c r="L51" s="133">
        <f t="shared" ca="1" si="5"/>
        <v>0.19571168097415587</v>
      </c>
      <c r="M51" s="551" t="s">
        <v>336</v>
      </c>
      <c r="N51" s="575">
        <f t="shared" ca="1" si="6"/>
        <v>0.19571168097415587</v>
      </c>
      <c r="O51" s="575">
        <f t="shared" ca="1" si="6"/>
        <v>0.19571168097415587</v>
      </c>
      <c r="P51" s="574" t="s">
        <v>336</v>
      </c>
      <c r="Q51" s="45">
        <f t="shared" ca="1" si="7"/>
        <v>4359.0235545209734</v>
      </c>
      <c r="R51" s="45">
        <f t="shared" ca="1" si="7"/>
        <v>4359.0235545209734</v>
      </c>
      <c r="S51" s="45">
        <f t="shared" ca="1" si="7"/>
        <v>4359.0235545209734</v>
      </c>
      <c r="T51" s="581" t="s">
        <v>336</v>
      </c>
      <c r="U51" s="573">
        <f t="shared" ca="1" si="8"/>
        <v>4359.0235545209734</v>
      </c>
      <c r="V51" s="573">
        <f t="shared" ca="1" si="8"/>
        <v>4359.0235545209734</v>
      </c>
      <c r="W51" s="574" t="s">
        <v>336</v>
      </c>
    </row>
    <row r="52" spans="1:23" x14ac:dyDescent="0.25">
      <c r="A52" s="812" t="str">
        <f t="shared" si="9"/>
        <v>FB</v>
      </c>
      <c r="B52" s="812" t="s">
        <v>746</v>
      </c>
      <c r="C52" s="133">
        <f t="shared" ca="1" si="3"/>
        <v>1.1274429823259357E-4</v>
      </c>
      <c r="D52" s="133">
        <f t="shared" ca="1" si="3"/>
        <v>1.1274429823259357E-4</v>
      </c>
      <c r="E52" s="133">
        <f t="shared" ca="1" si="3"/>
        <v>1.1274429823259357E-4</v>
      </c>
      <c r="F52" s="551" t="s">
        <v>336</v>
      </c>
      <c r="G52" s="575">
        <f t="shared" ca="1" si="4"/>
        <v>1.1274429823259357E-4</v>
      </c>
      <c r="H52" s="575">
        <f t="shared" ca="1" si="4"/>
        <v>1.1274429823259357E-4</v>
      </c>
      <c r="I52" s="574" t="s">
        <v>336</v>
      </c>
      <c r="J52" s="133">
        <f t="shared" ca="1" si="5"/>
        <v>9.6721368591800062E-3</v>
      </c>
      <c r="K52" s="133">
        <f t="shared" ca="1" si="5"/>
        <v>9.6721368591800062E-3</v>
      </c>
      <c r="L52" s="133">
        <f t="shared" ca="1" si="5"/>
        <v>9.6721368591800062E-3</v>
      </c>
      <c r="M52" s="551" t="s">
        <v>336</v>
      </c>
      <c r="N52" s="575">
        <f t="shared" ca="1" si="6"/>
        <v>9.6721368591800062E-3</v>
      </c>
      <c r="O52" s="575">
        <f t="shared" ca="1" si="6"/>
        <v>9.6721368591800062E-3</v>
      </c>
      <c r="P52" s="574" t="s">
        <v>336</v>
      </c>
      <c r="Q52" s="45">
        <f t="shared" ca="1" si="7"/>
        <v>93.801461419914233</v>
      </c>
      <c r="R52" s="45">
        <f t="shared" ca="1" si="7"/>
        <v>93.801461419914233</v>
      </c>
      <c r="S52" s="45">
        <f t="shared" ca="1" si="7"/>
        <v>93.801461419914233</v>
      </c>
      <c r="T52" s="581" t="s">
        <v>336</v>
      </c>
      <c r="U52" s="573">
        <f t="shared" ca="1" si="8"/>
        <v>93.801461419914233</v>
      </c>
      <c r="V52" s="573">
        <f t="shared" ca="1" si="8"/>
        <v>93.801461419914233</v>
      </c>
      <c r="W52" s="574" t="s">
        <v>336</v>
      </c>
    </row>
    <row r="53" spans="1:23" x14ac:dyDescent="0.25">
      <c r="A53" s="812" t="str">
        <f t="shared" si="9"/>
        <v>FB</v>
      </c>
      <c r="B53" s="812" t="s">
        <v>747</v>
      </c>
      <c r="C53" s="133">
        <f t="shared" ca="1" si="3"/>
        <v>4.3864554342875977E-4</v>
      </c>
      <c r="D53" s="133">
        <f t="shared" ca="1" si="3"/>
        <v>4.3864554342875977E-4</v>
      </c>
      <c r="E53" s="133">
        <f t="shared" ca="1" si="3"/>
        <v>4.3864554342875977E-4</v>
      </c>
      <c r="F53" s="551" t="s">
        <v>336</v>
      </c>
      <c r="G53" s="575">
        <f t="shared" ca="1" si="4"/>
        <v>4.3864554342875977E-4</v>
      </c>
      <c r="H53" s="575">
        <f t="shared" ca="1" si="4"/>
        <v>4.3864554342875977E-4</v>
      </c>
      <c r="I53" s="574" t="s">
        <v>336</v>
      </c>
      <c r="J53" s="133">
        <f t="shared" ca="1" si="5"/>
        <v>3.2966163603268046E-2</v>
      </c>
      <c r="K53" s="133">
        <f t="shared" ca="1" si="5"/>
        <v>3.2966163603268046E-2</v>
      </c>
      <c r="L53" s="133">
        <f t="shared" ca="1" si="5"/>
        <v>3.2966163603268046E-2</v>
      </c>
      <c r="M53" s="551" t="s">
        <v>336</v>
      </c>
      <c r="N53" s="575">
        <f t="shared" ca="1" si="6"/>
        <v>3.2966163603268046E-2</v>
      </c>
      <c r="O53" s="575">
        <f t="shared" ca="1" si="6"/>
        <v>3.2966163603268046E-2</v>
      </c>
      <c r="P53" s="574" t="s">
        <v>336</v>
      </c>
      <c r="Q53" s="45">
        <f t="shared" ca="1" si="7"/>
        <v>291.71642157092714</v>
      </c>
      <c r="R53" s="45">
        <f t="shared" ca="1" si="7"/>
        <v>291.71642157092714</v>
      </c>
      <c r="S53" s="45">
        <f t="shared" ca="1" si="7"/>
        <v>291.71642157092714</v>
      </c>
      <c r="T53" s="581" t="s">
        <v>336</v>
      </c>
      <c r="U53" s="573">
        <f t="shared" ca="1" si="8"/>
        <v>291.71642157092714</v>
      </c>
      <c r="V53" s="573">
        <f t="shared" ca="1" si="8"/>
        <v>291.71642157092714</v>
      </c>
      <c r="W53" s="574" t="s">
        <v>336</v>
      </c>
    </row>
    <row r="54" spans="1:23" x14ac:dyDescent="0.25">
      <c r="A54" s="812" t="str">
        <f t="shared" si="9"/>
        <v>FB</v>
      </c>
      <c r="B54" s="812" t="s">
        <v>149</v>
      </c>
      <c r="C54" s="133">
        <f t="shared" ca="1" si="3"/>
        <v>2.2030627356295426E-6</v>
      </c>
      <c r="D54" s="133">
        <f t="shared" ca="1" si="3"/>
        <v>2.2030627356295426E-6</v>
      </c>
      <c r="E54" s="133">
        <f t="shared" ca="1" si="3"/>
        <v>2.2030627356295426E-6</v>
      </c>
      <c r="F54" s="551" t="s">
        <v>336</v>
      </c>
      <c r="G54" s="575">
        <f t="shared" ca="1" si="4"/>
        <v>2.2030627356295426E-6</v>
      </c>
      <c r="H54" s="575">
        <f t="shared" ca="1" si="4"/>
        <v>2.2030627356295426E-6</v>
      </c>
      <c r="I54" s="574" t="s">
        <v>336</v>
      </c>
      <c r="J54" s="133">
        <f t="shared" ca="1" si="5"/>
        <v>3.1684254494151051E-5</v>
      </c>
      <c r="K54" s="133">
        <f t="shared" ca="1" si="5"/>
        <v>3.1684254494151051E-5</v>
      </c>
      <c r="L54" s="133">
        <f t="shared" ca="1" si="5"/>
        <v>3.1684254494151051E-5</v>
      </c>
      <c r="M54" s="551" t="s">
        <v>336</v>
      </c>
      <c r="N54" s="575">
        <f t="shared" ca="1" si="6"/>
        <v>3.1684254494151051E-5</v>
      </c>
      <c r="O54" s="575">
        <f t="shared" ca="1" si="6"/>
        <v>3.1684254494151051E-5</v>
      </c>
      <c r="P54" s="574" t="s">
        <v>336</v>
      </c>
      <c r="Q54" s="45">
        <f t="shared" ca="1" si="7"/>
        <v>133.37916314505753</v>
      </c>
      <c r="R54" s="45">
        <f t="shared" ca="1" si="7"/>
        <v>133.37916314505753</v>
      </c>
      <c r="S54" s="45">
        <f t="shared" ca="1" si="7"/>
        <v>133.37916314505753</v>
      </c>
      <c r="T54" s="581" t="s">
        <v>336</v>
      </c>
      <c r="U54" s="573">
        <f t="shared" ca="1" si="8"/>
        <v>133.37916314505753</v>
      </c>
      <c r="V54" s="573">
        <f t="shared" ca="1" si="8"/>
        <v>133.37916314505753</v>
      </c>
      <c r="W54" s="574" t="s">
        <v>336</v>
      </c>
    </row>
    <row r="55" spans="1:23" x14ac:dyDescent="0.25">
      <c r="A55" s="812" t="str">
        <f t="shared" si="9"/>
        <v>FB</v>
      </c>
      <c r="B55" s="812" t="s">
        <v>150</v>
      </c>
      <c r="C55" s="133">
        <f t="shared" ca="1" si="3"/>
        <v>3.7939643756027971E-3</v>
      </c>
      <c r="D55" s="133">
        <f t="shared" ca="1" si="3"/>
        <v>3.7939643756027971E-3</v>
      </c>
      <c r="E55" s="133">
        <f t="shared" ca="1" si="3"/>
        <v>3.7939643756027971E-3</v>
      </c>
      <c r="F55" s="551" t="s">
        <v>336</v>
      </c>
      <c r="G55" s="575">
        <f t="shared" ca="1" si="4"/>
        <v>3.7939643756027971E-3</v>
      </c>
      <c r="H55" s="575">
        <f t="shared" ca="1" si="4"/>
        <v>3.7939643756027971E-3</v>
      </c>
      <c r="I55" s="574" t="s">
        <v>336</v>
      </c>
      <c r="J55" s="133">
        <f t="shared" ca="1" si="5"/>
        <v>3.5561670124424437E-4</v>
      </c>
      <c r="K55" s="133">
        <f t="shared" ca="1" si="5"/>
        <v>3.5561670124424437E-4</v>
      </c>
      <c r="L55" s="133">
        <f t="shared" ca="1" si="5"/>
        <v>3.5561670124424437E-4</v>
      </c>
      <c r="M55" s="551" t="s">
        <v>336</v>
      </c>
      <c r="N55" s="575">
        <f t="shared" ca="1" si="6"/>
        <v>3.5561670124424437E-4</v>
      </c>
      <c r="O55" s="575">
        <f t="shared" ca="1" si="6"/>
        <v>3.5561670124424437E-4</v>
      </c>
      <c r="P55" s="574" t="s">
        <v>336</v>
      </c>
      <c r="Q55" s="45">
        <f t="shared" ca="1" si="7"/>
        <v>1230.8807797951567</v>
      </c>
      <c r="R55" s="45">
        <f t="shared" ca="1" si="7"/>
        <v>1230.8807797951567</v>
      </c>
      <c r="S55" s="45">
        <f t="shared" ca="1" si="7"/>
        <v>1230.8807797951567</v>
      </c>
      <c r="T55" s="581" t="s">
        <v>336</v>
      </c>
      <c r="U55" s="573">
        <f t="shared" ca="1" si="8"/>
        <v>1230.8807797951567</v>
      </c>
      <c r="V55" s="573">
        <f t="shared" ca="1" si="8"/>
        <v>1230.8807797951567</v>
      </c>
      <c r="W55" s="574" t="s">
        <v>336</v>
      </c>
    </row>
    <row r="56" spans="1:23" x14ac:dyDescent="0.25">
      <c r="A56" s="812" t="str">
        <f t="shared" si="9"/>
        <v>FB</v>
      </c>
      <c r="B56" s="812" t="s">
        <v>151</v>
      </c>
      <c r="C56" s="133">
        <f t="shared" ref="C56:E59" ca="1" si="10">C22*C$32/C$26</f>
        <v>3.3643064341429822E-2</v>
      </c>
      <c r="D56" s="133">
        <f t="shared" ca="1" si="10"/>
        <v>3.3643064341429822E-2</v>
      </c>
      <c r="E56" s="133">
        <f t="shared" ca="1" si="10"/>
        <v>3.3643064341429822E-2</v>
      </c>
      <c r="F56" s="551" t="s">
        <v>336</v>
      </c>
      <c r="G56" s="575">
        <f t="shared" ref="G56:H59" ca="1" si="11">G22*G$32/G$26</f>
        <v>3.3643064341429822E-2</v>
      </c>
      <c r="H56" s="575">
        <f t="shared" ca="1" si="11"/>
        <v>3.3643064341429822E-2</v>
      </c>
      <c r="I56" s="574" t="s">
        <v>336</v>
      </c>
      <c r="J56" s="133">
        <f t="shared" ref="J56:L59" ca="1" si="12">J22*J$32/J$26</f>
        <v>4.6492506204882517E-2</v>
      </c>
      <c r="K56" s="133">
        <f t="shared" ca="1" si="12"/>
        <v>4.6492506204882517E-2</v>
      </c>
      <c r="L56" s="133">
        <f t="shared" ca="1" si="12"/>
        <v>4.6492506204882517E-2</v>
      </c>
      <c r="M56" s="551" t="s">
        <v>336</v>
      </c>
      <c r="N56" s="575">
        <f t="shared" ref="N56:O59" ca="1" si="13">N22*N$32/N$26</f>
        <v>4.6492506204882517E-2</v>
      </c>
      <c r="O56" s="575">
        <f t="shared" ca="1" si="13"/>
        <v>4.6492506204882517E-2</v>
      </c>
      <c r="P56" s="574" t="s">
        <v>336</v>
      </c>
      <c r="Q56" s="45">
        <f t="shared" ref="Q56:S59" ca="1" si="14">Q22*Q$32/Q$26</f>
        <v>155.47574495817815</v>
      </c>
      <c r="R56" s="45">
        <f t="shared" ca="1" si="14"/>
        <v>155.47574495817815</v>
      </c>
      <c r="S56" s="45">
        <f t="shared" ca="1" si="14"/>
        <v>155.47574495817815</v>
      </c>
      <c r="T56" s="581" t="s">
        <v>336</v>
      </c>
      <c r="U56" s="573">
        <f t="shared" ref="U56:V59" ca="1" si="15">U22*U$32/U$26</f>
        <v>155.47574495817815</v>
      </c>
      <c r="V56" s="573">
        <f t="shared" ca="1" si="15"/>
        <v>155.47574495817815</v>
      </c>
      <c r="W56" s="574" t="s">
        <v>336</v>
      </c>
    </row>
    <row r="57" spans="1:23" x14ac:dyDescent="0.25">
      <c r="A57" s="812" t="str">
        <f t="shared" si="9"/>
        <v>FB</v>
      </c>
      <c r="B57" s="812" t="s">
        <v>152</v>
      </c>
      <c r="C57" s="133">
        <f t="shared" ca="1" si="10"/>
        <v>9.9012721764329896E-5</v>
      </c>
      <c r="D57" s="133">
        <f t="shared" ca="1" si="10"/>
        <v>9.9012721764329896E-5</v>
      </c>
      <c r="E57" s="133">
        <f t="shared" ca="1" si="10"/>
        <v>9.9012721764329896E-5</v>
      </c>
      <c r="F57" s="551" t="s">
        <v>336</v>
      </c>
      <c r="G57" s="575">
        <f t="shared" ca="1" si="11"/>
        <v>9.9012721764329896E-5</v>
      </c>
      <c r="H57" s="575">
        <f t="shared" ca="1" si="11"/>
        <v>9.9012721764329896E-5</v>
      </c>
      <c r="I57" s="574" t="s">
        <v>336</v>
      </c>
      <c r="J57" s="133">
        <f t="shared" ca="1" si="12"/>
        <v>1.3682908115244451E-4</v>
      </c>
      <c r="K57" s="133">
        <f t="shared" ca="1" si="12"/>
        <v>1.3682908115244451E-4</v>
      </c>
      <c r="L57" s="133">
        <f t="shared" ca="1" si="12"/>
        <v>1.3682908115244451E-4</v>
      </c>
      <c r="M57" s="551" t="s">
        <v>336</v>
      </c>
      <c r="N57" s="575">
        <f t="shared" ca="1" si="13"/>
        <v>1.3682908115244451E-4</v>
      </c>
      <c r="O57" s="575">
        <f t="shared" ca="1" si="13"/>
        <v>1.3682908115244451E-4</v>
      </c>
      <c r="P57" s="574" t="s">
        <v>336</v>
      </c>
      <c r="Q57" s="45">
        <f t="shared" ca="1" si="14"/>
        <v>6.9174744872616509</v>
      </c>
      <c r="R57" s="45">
        <f t="shared" ca="1" si="14"/>
        <v>6.9174744872616509</v>
      </c>
      <c r="S57" s="45">
        <f t="shared" ca="1" si="14"/>
        <v>6.9174744872616509</v>
      </c>
      <c r="T57" s="581" t="s">
        <v>336</v>
      </c>
      <c r="U57" s="573">
        <f t="shared" ca="1" si="15"/>
        <v>6.9174744872616509</v>
      </c>
      <c r="V57" s="573">
        <f t="shared" ca="1" si="15"/>
        <v>6.9174744872616509</v>
      </c>
      <c r="W57" s="574" t="s">
        <v>336</v>
      </c>
    </row>
    <row r="58" spans="1:23" x14ac:dyDescent="0.25">
      <c r="A58" s="812" t="str">
        <f t="shared" si="9"/>
        <v>FB</v>
      </c>
      <c r="B58" s="812" t="s">
        <v>153</v>
      </c>
      <c r="C58" s="133">
        <f t="shared" ca="1" si="10"/>
        <v>9.698667636772887E-5</v>
      </c>
      <c r="D58" s="133">
        <f t="shared" ca="1" si="10"/>
        <v>9.698667636772887E-5</v>
      </c>
      <c r="E58" s="133">
        <f t="shared" ca="1" si="10"/>
        <v>9.698667636772887E-5</v>
      </c>
      <c r="F58" s="551" t="s">
        <v>336</v>
      </c>
      <c r="G58" s="575">
        <f t="shared" ca="1" si="11"/>
        <v>9.698667636772887E-5</v>
      </c>
      <c r="H58" s="575">
        <f t="shared" ca="1" si="11"/>
        <v>9.698667636772887E-5</v>
      </c>
      <c r="I58" s="574" t="s">
        <v>336</v>
      </c>
      <c r="J58" s="133">
        <f t="shared" ca="1" si="12"/>
        <v>3.3682282342333821E-6</v>
      </c>
      <c r="K58" s="133">
        <f t="shared" ca="1" si="12"/>
        <v>3.3682282342333821E-6</v>
      </c>
      <c r="L58" s="133">
        <f t="shared" ca="1" si="12"/>
        <v>3.3682282342333821E-6</v>
      </c>
      <c r="M58" s="551" t="s">
        <v>336</v>
      </c>
      <c r="N58" s="575">
        <f t="shared" ca="1" si="13"/>
        <v>3.3682282342333821E-6</v>
      </c>
      <c r="O58" s="575">
        <f t="shared" ca="1" si="13"/>
        <v>3.3682282342333821E-6</v>
      </c>
      <c r="P58" s="574" t="s">
        <v>336</v>
      </c>
      <c r="Q58" s="45">
        <f t="shared" ca="1" si="14"/>
        <v>3.6095015192334969</v>
      </c>
      <c r="R58" s="45">
        <f t="shared" ca="1" si="14"/>
        <v>3.6095015192334969</v>
      </c>
      <c r="S58" s="45">
        <f t="shared" ca="1" si="14"/>
        <v>3.6095015192334969</v>
      </c>
      <c r="T58" s="581" t="s">
        <v>336</v>
      </c>
      <c r="U58" s="573">
        <f t="shared" ca="1" si="15"/>
        <v>3.6095015192334969</v>
      </c>
      <c r="V58" s="573">
        <f t="shared" ca="1" si="15"/>
        <v>3.6095015192334969</v>
      </c>
      <c r="W58" s="574" t="s">
        <v>336</v>
      </c>
    </row>
    <row r="59" spans="1:23" x14ac:dyDescent="0.25">
      <c r="A59" s="813" t="str">
        <f>A56</f>
        <v>FB</v>
      </c>
      <c r="B59" s="813" t="s">
        <v>154</v>
      </c>
      <c r="C59" s="135">
        <f t="shared" ca="1" si="10"/>
        <v>8.9038693738960806E-4</v>
      </c>
      <c r="D59" s="135">
        <f t="shared" ca="1" si="10"/>
        <v>8.9038693738960806E-4</v>
      </c>
      <c r="E59" s="135">
        <f t="shared" ca="1" si="10"/>
        <v>8.9038693738960806E-4</v>
      </c>
      <c r="F59" s="580" t="s">
        <v>336</v>
      </c>
      <c r="G59" s="579">
        <f t="shared" ca="1" si="11"/>
        <v>8.9038693738960806E-4</v>
      </c>
      <c r="H59" s="579">
        <f t="shared" ca="1" si="11"/>
        <v>8.9038693738960806E-4</v>
      </c>
      <c r="I59" s="576" t="s">
        <v>336</v>
      </c>
      <c r="J59" s="135">
        <f t="shared" ca="1" si="12"/>
        <v>7.5088066996763523E-3</v>
      </c>
      <c r="K59" s="135">
        <f t="shared" ca="1" si="12"/>
        <v>7.5088066996763523E-3</v>
      </c>
      <c r="L59" s="135">
        <f t="shared" ca="1" si="12"/>
        <v>7.5088066996763523E-3</v>
      </c>
      <c r="M59" s="580" t="s">
        <v>336</v>
      </c>
      <c r="N59" s="579">
        <f t="shared" ca="1" si="13"/>
        <v>7.5088066996763523E-3</v>
      </c>
      <c r="O59" s="579">
        <f t="shared" ca="1" si="13"/>
        <v>7.5088066996763523E-3</v>
      </c>
      <c r="P59" s="576" t="s">
        <v>336</v>
      </c>
      <c r="Q59" s="88">
        <f t="shared" ca="1" si="14"/>
        <v>57.563383671408481</v>
      </c>
      <c r="R59" s="88">
        <f t="shared" ca="1" si="14"/>
        <v>57.563383671408481</v>
      </c>
      <c r="S59" s="88">
        <f t="shared" ca="1" si="14"/>
        <v>57.563383671408481</v>
      </c>
      <c r="T59" s="578" t="s">
        <v>336</v>
      </c>
      <c r="U59" s="577">
        <f t="shared" ca="1" si="15"/>
        <v>57.563383671408481</v>
      </c>
      <c r="V59" s="577">
        <f t="shared" ca="1" si="15"/>
        <v>57.563383671408481</v>
      </c>
      <c r="W59" s="576" t="s">
        <v>336</v>
      </c>
    </row>
    <row r="60" spans="1:23" x14ac:dyDescent="0.25">
      <c r="A60" s="82" t="s">
        <v>754</v>
      </c>
      <c r="B60" s="812" t="s">
        <v>137</v>
      </c>
      <c r="C60" s="133">
        <f t="shared" ref="C60:E75" ca="1" si="16">C6*C$33/C$26</f>
        <v>0.25884479331594062</v>
      </c>
      <c r="D60" s="575">
        <f t="shared" ca="1" si="16"/>
        <v>0.25884479331594062</v>
      </c>
      <c r="E60" s="575">
        <f t="shared" ca="1" si="16"/>
        <v>0.25884479331594062</v>
      </c>
      <c r="F60" s="574" t="s">
        <v>336</v>
      </c>
      <c r="G60" s="133">
        <f t="shared" ref="G60:H75" ca="1" si="17">G6*G$33/G$26</f>
        <v>0.25884479331594062</v>
      </c>
      <c r="H60" s="133">
        <f t="shared" ca="1" si="17"/>
        <v>0.25884479331594062</v>
      </c>
      <c r="I60" s="551" t="s">
        <v>336</v>
      </c>
      <c r="J60" s="575">
        <f t="shared" ref="J60:L75" ca="1" si="18">J6*J$33/J$26</f>
        <v>2.1886793467198735E-3</v>
      </c>
      <c r="K60" s="575">
        <f t="shared" ca="1" si="18"/>
        <v>2.1886793467198735E-3</v>
      </c>
      <c r="L60" s="575">
        <f t="shared" ca="1" si="18"/>
        <v>2.1886793467198735E-3</v>
      </c>
      <c r="M60" s="574" t="s">
        <v>336</v>
      </c>
      <c r="N60" s="133">
        <f t="shared" ref="N60:O75" ca="1" si="19">N6*N$33/N$26</f>
        <v>2.1886793467198735E-3</v>
      </c>
      <c r="O60" s="133">
        <f t="shared" ca="1" si="19"/>
        <v>2.1886793467198735E-3</v>
      </c>
      <c r="P60" s="551" t="s">
        <v>336</v>
      </c>
      <c r="Q60" s="573">
        <f t="shared" ref="Q60:S75" ca="1" si="20">Q6*Q$33/Q$26</f>
        <v>166.30626942719465</v>
      </c>
      <c r="R60" s="573">
        <f t="shared" ca="1" si="20"/>
        <v>166.30626942719465</v>
      </c>
      <c r="S60" s="573">
        <f t="shared" ca="1" si="20"/>
        <v>166.30626942719465</v>
      </c>
      <c r="T60" s="572" t="s">
        <v>336</v>
      </c>
      <c r="U60" s="45">
        <f t="shared" ref="U60:V75" ca="1" si="21">U6*U$33/U$26</f>
        <v>166.30626942719465</v>
      </c>
      <c r="V60" s="45">
        <f t="shared" ca="1" si="21"/>
        <v>166.30626942719465</v>
      </c>
      <c r="W60" s="551" t="s">
        <v>336</v>
      </c>
    </row>
    <row r="61" spans="1:23" x14ac:dyDescent="0.25">
      <c r="A61" s="812" t="str">
        <f t="shared" ref="A61:A78" si="22">A60</f>
        <v>NP</v>
      </c>
      <c r="B61" s="812" t="s">
        <v>138</v>
      </c>
      <c r="C61" s="133">
        <f t="shared" ca="1" si="16"/>
        <v>2.0202036406284957E-2</v>
      </c>
      <c r="D61" s="575">
        <f t="shared" ca="1" si="16"/>
        <v>2.0202036406284957E-2</v>
      </c>
      <c r="E61" s="575">
        <f t="shared" ca="1" si="16"/>
        <v>2.0202036406284957E-2</v>
      </c>
      <c r="F61" s="574" t="s">
        <v>336</v>
      </c>
      <c r="G61" s="133">
        <f t="shared" ca="1" si="17"/>
        <v>2.0202036406284957E-2</v>
      </c>
      <c r="H61" s="133">
        <f t="shared" ca="1" si="17"/>
        <v>2.0202036406284957E-2</v>
      </c>
      <c r="I61" s="551" t="s">
        <v>336</v>
      </c>
      <c r="J61" s="575">
        <f t="shared" ca="1" si="18"/>
        <v>1.931490284434442E-4</v>
      </c>
      <c r="K61" s="575">
        <f t="shared" ca="1" si="18"/>
        <v>1.931490284434442E-4</v>
      </c>
      <c r="L61" s="575">
        <f t="shared" ca="1" si="18"/>
        <v>1.931490284434442E-4</v>
      </c>
      <c r="M61" s="574" t="s">
        <v>336</v>
      </c>
      <c r="N61" s="133">
        <f t="shared" ca="1" si="19"/>
        <v>1.931490284434442E-4</v>
      </c>
      <c r="O61" s="133">
        <f t="shared" ca="1" si="19"/>
        <v>1.931490284434442E-4</v>
      </c>
      <c r="P61" s="551" t="s">
        <v>336</v>
      </c>
      <c r="Q61" s="573">
        <f t="shared" ca="1" si="20"/>
        <v>14.67376733064622</v>
      </c>
      <c r="R61" s="573">
        <f t="shared" ca="1" si="20"/>
        <v>14.67376733064622</v>
      </c>
      <c r="S61" s="573">
        <f t="shared" ca="1" si="20"/>
        <v>14.67376733064622</v>
      </c>
      <c r="T61" s="572" t="s">
        <v>336</v>
      </c>
      <c r="U61" s="45">
        <f t="shared" ca="1" si="21"/>
        <v>14.67376733064622</v>
      </c>
      <c r="V61" s="45">
        <f t="shared" ca="1" si="21"/>
        <v>14.67376733064622</v>
      </c>
      <c r="W61" s="551" t="s">
        <v>336</v>
      </c>
    </row>
    <row r="62" spans="1:23" x14ac:dyDescent="0.25">
      <c r="A62" s="812" t="str">
        <f t="shared" si="22"/>
        <v>NP</v>
      </c>
      <c r="B62" s="812" t="s">
        <v>139</v>
      </c>
      <c r="C62" s="133">
        <f t="shared" ca="1" si="16"/>
        <v>1.6679881133107911E-2</v>
      </c>
      <c r="D62" s="575">
        <f t="shared" ca="1" si="16"/>
        <v>1.6679881133107911E-2</v>
      </c>
      <c r="E62" s="575">
        <f t="shared" ca="1" si="16"/>
        <v>1.6679881133107911E-2</v>
      </c>
      <c r="F62" s="574" t="s">
        <v>336</v>
      </c>
      <c r="G62" s="133">
        <f t="shared" ca="1" si="17"/>
        <v>1.6679881133107911E-2</v>
      </c>
      <c r="H62" s="133">
        <f t="shared" ca="1" si="17"/>
        <v>1.6679881133107911E-2</v>
      </c>
      <c r="I62" s="551" t="s">
        <v>336</v>
      </c>
      <c r="J62" s="575">
        <f t="shared" ca="1" si="18"/>
        <v>4.0665911421407925E-4</v>
      </c>
      <c r="K62" s="575">
        <f t="shared" ca="1" si="18"/>
        <v>4.0665911421407925E-4</v>
      </c>
      <c r="L62" s="575">
        <f t="shared" ca="1" si="18"/>
        <v>4.0665911421407925E-4</v>
      </c>
      <c r="M62" s="574" t="s">
        <v>336</v>
      </c>
      <c r="N62" s="133">
        <f t="shared" ca="1" si="19"/>
        <v>4.0665911421407925E-4</v>
      </c>
      <c r="O62" s="133">
        <f t="shared" ca="1" si="19"/>
        <v>4.0665911421407925E-4</v>
      </c>
      <c r="P62" s="551" t="s">
        <v>336</v>
      </c>
      <c r="Q62" s="573">
        <f t="shared" ca="1" si="20"/>
        <v>30.894389026716446</v>
      </c>
      <c r="R62" s="573">
        <f t="shared" ca="1" si="20"/>
        <v>30.894389026716446</v>
      </c>
      <c r="S62" s="573">
        <f t="shared" ca="1" si="20"/>
        <v>30.894389026716446</v>
      </c>
      <c r="T62" s="572" t="s">
        <v>336</v>
      </c>
      <c r="U62" s="45">
        <f t="shared" ca="1" si="21"/>
        <v>30.894389026716446</v>
      </c>
      <c r="V62" s="45">
        <f t="shared" ca="1" si="21"/>
        <v>30.894389026716446</v>
      </c>
      <c r="W62" s="551" t="s">
        <v>336</v>
      </c>
    </row>
    <row r="63" spans="1:23" x14ac:dyDescent="0.25">
      <c r="A63" s="812" t="str">
        <f t="shared" si="22"/>
        <v>NP</v>
      </c>
      <c r="B63" s="812" t="s">
        <v>140</v>
      </c>
      <c r="C63" s="133">
        <f t="shared" ca="1" si="16"/>
        <v>1.0879385518917171E-2</v>
      </c>
      <c r="D63" s="575">
        <f t="shared" ca="1" si="16"/>
        <v>1.0879385518917171E-2</v>
      </c>
      <c r="E63" s="575">
        <f t="shared" ca="1" si="16"/>
        <v>1.0879385518917171E-2</v>
      </c>
      <c r="F63" s="574" t="s">
        <v>336</v>
      </c>
      <c r="G63" s="133">
        <f t="shared" ca="1" si="17"/>
        <v>1.0879385518917171E-2</v>
      </c>
      <c r="H63" s="133">
        <f t="shared" ca="1" si="17"/>
        <v>1.0879385518917171E-2</v>
      </c>
      <c r="I63" s="551" t="s">
        <v>336</v>
      </c>
      <c r="J63" s="575">
        <f t="shared" ca="1" si="18"/>
        <v>2.4483856152638527E-4</v>
      </c>
      <c r="K63" s="575">
        <f t="shared" ca="1" si="18"/>
        <v>2.4483856152638527E-4</v>
      </c>
      <c r="L63" s="575">
        <f t="shared" ca="1" si="18"/>
        <v>2.4483856152638527E-4</v>
      </c>
      <c r="M63" s="574" t="s">
        <v>336</v>
      </c>
      <c r="N63" s="133">
        <f t="shared" ca="1" si="19"/>
        <v>2.4483856152638527E-4</v>
      </c>
      <c r="O63" s="133">
        <f t="shared" ca="1" si="19"/>
        <v>2.4483856152638527E-4</v>
      </c>
      <c r="P63" s="551" t="s">
        <v>336</v>
      </c>
      <c r="Q63" s="573">
        <f t="shared" ca="1" si="20"/>
        <v>18.600684219647853</v>
      </c>
      <c r="R63" s="573">
        <f t="shared" ca="1" si="20"/>
        <v>18.600684219647853</v>
      </c>
      <c r="S63" s="573">
        <f t="shared" ca="1" si="20"/>
        <v>18.600684219647853</v>
      </c>
      <c r="T63" s="572" t="s">
        <v>336</v>
      </c>
      <c r="U63" s="45">
        <f t="shared" ca="1" si="21"/>
        <v>18.600684219647853</v>
      </c>
      <c r="V63" s="45">
        <f t="shared" ca="1" si="21"/>
        <v>18.600684219647853</v>
      </c>
      <c r="W63" s="551" t="s">
        <v>336</v>
      </c>
    </row>
    <row r="64" spans="1:23" x14ac:dyDescent="0.25">
      <c r="A64" s="812" t="str">
        <f t="shared" si="22"/>
        <v>NP</v>
      </c>
      <c r="B64" s="812" t="s">
        <v>141</v>
      </c>
      <c r="C64" s="133">
        <f t="shared" ca="1" si="16"/>
        <v>0.16268120513729323</v>
      </c>
      <c r="D64" s="575">
        <f t="shared" ca="1" si="16"/>
        <v>0.16268120513729323</v>
      </c>
      <c r="E64" s="575">
        <f t="shared" ca="1" si="16"/>
        <v>0.16268120513729323</v>
      </c>
      <c r="F64" s="574" t="s">
        <v>336</v>
      </c>
      <c r="G64" s="133">
        <f t="shared" ca="1" si="17"/>
        <v>0.16268120513729323</v>
      </c>
      <c r="H64" s="133">
        <f t="shared" ca="1" si="17"/>
        <v>0.16268120513729323</v>
      </c>
      <c r="I64" s="551" t="s">
        <v>336</v>
      </c>
      <c r="J64" s="575">
        <f t="shared" ca="1" si="18"/>
        <v>3.9198090061026676E-3</v>
      </c>
      <c r="K64" s="575">
        <f t="shared" ca="1" si="18"/>
        <v>3.9198090061026676E-3</v>
      </c>
      <c r="L64" s="575">
        <f t="shared" ca="1" si="18"/>
        <v>3.9198090061026676E-3</v>
      </c>
      <c r="M64" s="574" t="s">
        <v>336</v>
      </c>
      <c r="N64" s="133">
        <f t="shared" ca="1" si="19"/>
        <v>3.9198090061026676E-3</v>
      </c>
      <c r="O64" s="133">
        <f t="shared" ca="1" si="19"/>
        <v>3.9198090061026676E-3</v>
      </c>
      <c r="P64" s="551" t="s">
        <v>336</v>
      </c>
      <c r="Q64" s="573">
        <f t="shared" ca="1" si="20"/>
        <v>297.79267231967503</v>
      </c>
      <c r="R64" s="573">
        <f t="shared" ca="1" si="20"/>
        <v>297.79267231967503</v>
      </c>
      <c r="S64" s="573">
        <f t="shared" ca="1" si="20"/>
        <v>297.79267231967503</v>
      </c>
      <c r="T64" s="572" t="s">
        <v>336</v>
      </c>
      <c r="U64" s="45">
        <f t="shared" ca="1" si="21"/>
        <v>297.79267231967503</v>
      </c>
      <c r="V64" s="45">
        <f t="shared" ca="1" si="21"/>
        <v>297.79267231967503</v>
      </c>
      <c r="W64" s="551" t="s">
        <v>336</v>
      </c>
    </row>
    <row r="65" spans="1:23" x14ac:dyDescent="0.25">
      <c r="A65" s="812" t="str">
        <f t="shared" si="22"/>
        <v>NP</v>
      </c>
      <c r="B65" s="812" t="s">
        <v>142</v>
      </c>
      <c r="C65" s="133">
        <f t="shared" ca="1" si="16"/>
        <v>0.22355800170807069</v>
      </c>
      <c r="D65" s="575">
        <f t="shared" ca="1" si="16"/>
        <v>0.22355800170807069</v>
      </c>
      <c r="E65" s="575">
        <f t="shared" ca="1" si="16"/>
        <v>0.22355800170807069</v>
      </c>
      <c r="F65" s="574" t="s">
        <v>336</v>
      </c>
      <c r="G65" s="133">
        <f t="shared" ca="1" si="17"/>
        <v>0.22355800170807069</v>
      </c>
      <c r="H65" s="133">
        <f t="shared" ca="1" si="17"/>
        <v>0.22355800170807069</v>
      </c>
      <c r="I65" s="551" t="s">
        <v>336</v>
      </c>
      <c r="J65" s="575">
        <f t="shared" ca="1" si="18"/>
        <v>8.2528298027490562E-3</v>
      </c>
      <c r="K65" s="575">
        <f t="shared" ca="1" si="18"/>
        <v>8.2528298027490562E-3</v>
      </c>
      <c r="L65" s="575">
        <f t="shared" ca="1" si="18"/>
        <v>8.2528298027490562E-3</v>
      </c>
      <c r="M65" s="574" t="s">
        <v>336</v>
      </c>
      <c r="N65" s="133">
        <f t="shared" ca="1" si="19"/>
        <v>8.2528298027490562E-3</v>
      </c>
      <c r="O65" s="133">
        <f t="shared" ca="1" si="19"/>
        <v>8.2528298027490562E-3</v>
      </c>
      <c r="P65" s="551" t="s">
        <v>336</v>
      </c>
      <c r="Q65" s="573">
        <f t="shared" ca="1" si="20"/>
        <v>626.97754848102591</v>
      </c>
      <c r="R65" s="573">
        <f t="shared" ca="1" si="20"/>
        <v>626.97754848102591</v>
      </c>
      <c r="S65" s="573">
        <f t="shared" ca="1" si="20"/>
        <v>626.97754848102591</v>
      </c>
      <c r="T65" s="572" t="s">
        <v>336</v>
      </c>
      <c r="U65" s="45">
        <f t="shared" ca="1" si="21"/>
        <v>626.97754848102591</v>
      </c>
      <c r="V65" s="45">
        <f t="shared" ca="1" si="21"/>
        <v>626.97754848102591</v>
      </c>
      <c r="W65" s="551" t="s">
        <v>336</v>
      </c>
    </row>
    <row r="66" spans="1:23" x14ac:dyDescent="0.25">
      <c r="A66" s="812" t="str">
        <f t="shared" si="22"/>
        <v>NP</v>
      </c>
      <c r="B66" s="812" t="s">
        <v>143</v>
      </c>
      <c r="C66" s="133">
        <f t="shared" ca="1" si="16"/>
        <v>0.14934878254042322</v>
      </c>
      <c r="D66" s="575">
        <f t="shared" ca="1" si="16"/>
        <v>0.14934878254042322</v>
      </c>
      <c r="E66" s="575">
        <f t="shared" ca="1" si="16"/>
        <v>0.14934878254042322</v>
      </c>
      <c r="F66" s="574" t="s">
        <v>336</v>
      </c>
      <c r="G66" s="133">
        <f t="shared" ca="1" si="17"/>
        <v>0.14934878254042322</v>
      </c>
      <c r="H66" s="133">
        <f t="shared" ca="1" si="17"/>
        <v>0.14934878254042322</v>
      </c>
      <c r="I66" s="551" t="s">
        <v>336</v>
      </c>
      <c r="J66" s="575">
        <f t="shared" ca="1" si="18"/>
        <v>4.9688077969978596E-3</v>
      </c>
      <c r="K66" s="575">
        <f t="shared" ca="1" si="18"/>
        <v>4.9688077969978596E-3</v>
      </c>
      <c r="L66" s="575">
        <f t="shared" ca="1" si="18"/>
        <v>4.9688077969978596E-3</v>
      </c>
      <c r="M66" s="574" t="s">
        <v>336</v>
      </c>
      <c r="N66" s="133">
        <f t="shared" ca="1" si="19"/>
        <v>4.9688077969978596E-3</v>
      </c>
      <c r="O66" s="133">
        <f t="shared" ca="1" si="19"/>
        <v>4.9688077969978596E-3</v>
      </c>
      <c r="P66" s="551" t="s">
        <v>336</v>
      </c>
      <c r="Q66" s="573">
        <f t="shared" ca="1" si="20"/>
        <v>377.48639023155363</v>
      </c>
      <c r="R66" s="573">
        <f t="shared" ca="1" si="20"/>
        <v>377.48639023155363</v>
      </c>
      <c r="S66" s="573">
        <f t="shared" ca="1" si="20"/>
        <v>377.48639023155363</v>
      </c>
      <c r="T66" s="572" t="s">
        <v>336</v>
      </c>
      <c r="U66" s="45">
        <f t="shared" ca="1" si="21"/>
        <v>377.48639023155363</v>
      </c>
      <c r="V66" s="45">
        <f t="shared" ca="1" si="21"/>
        <v>377.48639023155363</v>
      </c>
      <c r="W66" s="551" t="s">
        <v>336</v>
      </c>
    </row>
    <row r="67" spans="1:23" x14ac:dyDescent="0.25">
      <c r="A67" s="812" t="str">
        <f t="shared" si="22"/>
        <v>NP</v>
      </c>
      <c r="B67" s="812" t="s">
        <v>144</v>
      </c>
      <c r="C67" s="133">
        <f t="shared" ca="1" si="16"/>
        <v>5.5107749767744022E-3</v>
      </c>
      <c r="D67" s="575">
        <f t="shared" ca="1" si="16"/>
        <v>5.5107749767744022E-3</v>
      </c>
      <c r="E67" s="575">
        <f t="shared" ca="1" si="16"/>
        <v>5.5107749767744022E-3</v>
      </c>
      <c r="F67" s="574" t="s">
        <v>336</v>
      </c>
      <c r="G67" s="133">
        <f t="shared" ca="1" si="17"/>
        <v>5.5107749767744022E-3</v>
      </c>
      <c r="H67" s="133">
        <f t="shared" ca="1" si="17"/>
        <v>5.5107749767744022E-3</v>
      </c>
      <c r="I67" s="551" t="s">
        <v>336</v>
      </c>
      <c r="J67" s="575">
        <f t="shared" ca="1" si="18"/>
        <v>4.3574233733564458E-4</v>
      </c>
      <c r="K67" s="575">
        <f t="shared" ca="1" si="18"/>
        <v>4.3574233733564458E-4</v>
      </c>
      <c r="L67" s="575">
        <f t="shared" ca="1" si="18"/>
        <v>4.3574233733564458E-4</v>
      </c>
      <c r="M67" s="574" t="s">
        <v>336</v>
      </c>
      <c r="N67" s="133">
        <f t="shared" ca="1" si="19"/>
        <v>4.3574233733564458E-4</v>
      </c>
      <c r="O67" s="133">
        <f t="shared" ca="1" si="19"/>
        <v>4.3574233733564458E-4</v>
      </c>
      <c r="P67" s="551" t="s">
        <v>336</v>
      </c>
      <c r="Q67" s="573">
        <f t="shared" ca="1" si="20"/>
        <v>39.532108852346198</v>
      </c>
      <c r="R67" s="573">
        <f t="shared" ca="1" si="20"/>
        <v>39.532108852346198</v>
      </c>
      <c r="S67" s="573">
        <f t="shared" ca="1" si="20"/>
        <v>39.532108852346198</v>
      </c>
      <c r="T67" s="572" t="s">
        <v>336</v>
      </c>
      <c r="U67" s="45">
        <f t="shared" ca="1" si="21"/>
        <v>39.532108852346198</v>
      </c>
      <c r="V67" s="45">
        <f t="shared" ca="1" si="21"/>
        <v>39.532108852346198</v>
      </c>
      <c r="W67" s="551" t="s">
        <v>336</v>
      </c>
    </row>
    <row r="68" spans="1:23" x14ac:dyDescent="0.25">
      <c r="A68" s="812" t="str">
        <f t="shared" si="22"/>
        <v>NP</v>
      </c>
      <c r="B68" s="812" t="s">
        <v>145</v>
      </c>
      <c r="C68" s="133">
        <f t="shared" ca="1" si="16"/>
        <v>1.8588015263812187E-2</v>
      </c>
      <c r="D68" s="575">
        <f t="shared" ca="1" si="16"/>
        <v>1.8588015263812187E-2</v>
      </c>
      <c r="E68" s="575">
        <f t="shared" ca="1" si="16"/>
        <v>1.8588015263812187E-2</v>
      </c>
      <c r="F68" s="574" t="s">
        <v>336</v>
      </c>
      <c r="G68" s="133">
        <f t="shared" ca="1" si="17"/>
        <v>1.8588015263812187E-2</v>
      </c>
      <c r="H68" s="133">
        <f t="shared" ca="1" si="17"/>
        <v>1.8588015263812187E-2</v>
      </c>
      <c r="I68" s="551" t="s">
        <v>336</v>
      </c>
      <c r="J68" s="575">
        <f t="shared" ca="1" si="18"/>
        <v>1.469772446093427E-3</v>
      </c>
      <c r="K68" s="575">
        <f t="shared" ca="1" si="18"/>
        <v>1.469772446093427E-3</v>
      </c>
      <c r="L68" s="575">
        <f t="shared" ca="1" si="18"/>
        <v>1.469772446093427E-3</v>
      </c>
      <c r="M68" s="574" t="s">
        <v>336</v>
      </c>
      <c r="N68" s="133">
        <f t="shared" ca="1" si="19"/>
        <v>1.469772446093427E-3</v>
      </c>
      <c r="O68" s="133">
        <f t="shared" ca="1" si="19"/>
        <v>1.469772446093427E-3</v>
      </c>
      <c r="P68" s="551" t="s">
        <v>336</v>
      </c>
      <c r="Q68" s="573">
        <f t="shared" ca="1" si="20"/>
        <v>133.34303176142504</v>
      </c>
      <c r="R68" s="573">
        <f t="shared" ca="1" si="20"/>
        <v>133.34303176142504</v>
      </c>
      <c r="S68" s="573">
        <f t="shared" ca="1" si="20"/>
        <v>133.34303176142504</v>
      </c>
      <c r="T68" s="572" t="s">
        <v>336</v>
      </c>
      <c r="U68" s="45">
        <f t="shared" ca="1" si="21"/>
        <v>133.34303176142504</v>
      </c>
      <c r="V68" s="45">
        <f t="shared" ca="1" si="21"/>
        <v>133.34303176142504</v>
      </c>
      <c r="W68" s="551" t="s">
        <v>336</v>
      </c>
    </row>
    <row r="69" spans="1:23" x14ac:dyDescent="0.25">
      <c r="A69" s="812" t="str">
        <f t="shared" si="22"/>
        <v>NP</v>
      </c>
      <c r="B69" s="812" t="s">
        <v>146</v>
      </c>
      <c r="C69" s="133">
        <f t="shared" ca="1" si="16"/>
        <v>9.2351554672354952E-2</v>
      </c>
      <c r="D69" s="575">
        <f t="shared" ca="1" si="16"/>
        <v>9.2351554672354952E-2</v>
      </c>
      <c r="E69" s="575">
        <f t="shared" ca="1" si="16"/>
        <v>9.2351554672354952E-2</v>
      </c>
      <c r="F69" s="574" t="s">
        <v>336</v>
      </c>
      <c r="G69" s="133">
        <f t="shared" ca="1" si="17"/>
        <v>9.2351554672354952E-2</v>
      </c>
      <c r="H69" s="133">
        <f t="shared" ca="1" si="17"/>
        <v>9.2351554672354952E-2</v>
      </c>
      <c r="I69" s="551" t="s">
        <v>336</v>
      </c>
      <c r="J69" s="575">
        <f t="shared" ca="1" si="18"/>
        <v>2.7374057272142502E-3</v>
      </c>
      <c r="K69" s="575">
        <f t="shared" ca="1" si="18"/>
        <v>2.7374057272142502E-3</v>
      </c>
      <c r="L69" s="575">
        <f t="shared" ca="1" si="18"/>
        <v>2.7374057272142502E-3</v>
      </c>
      <c r="M69" s="574" t="s">
        <v>336</v>
      </c>
      <c r="N69" s="133">
        <f t="shared" ca="1" si="19"/>
        <v>2.7374057272142502E-3</v>
      </c>
      <c r="O69" s="133">
        <f t="shared" ca="1" si="19"/>
        <v>2.7374057272142502E-3</v>
      </c>
      <c r="P69" s="551" t="s">
        <v>336</v>
      </c>
      <c r="Q69" s="573">
        <f t="shared" ca="1" si="20"/>
        <v>207.89266506257613</v>
      </c>
      <c r="R69" s="573">
        <f t="shared" ca="1" si="20"/>
        <v>207.89266506257613</v>
      </c>
      <c r="S69" s="573">
        <f t="shared" ca="1" si="20"/>
        <v>207.89266506257613</v>
      </c>
      <c r="T69" s="572" t="s">
        <v>336</v>
      </c>
      <c r="U69" s="45">
        <f t="shared" ca="1" si="21"/>
        <v>207.89266506257613</v>
      </c>
      <c r="V69" s="45">
        <f t="shared" ca="1" si="21"/>
        <v>207.89266506257613</v>
      </c>
      <c r="W69" s="551" t="s">
        <v>336</v>
      </c>
    </row>
    <row r="70" spans="1:23" x14ac:dyDescent="0.25">
      <c r="A70" s="812" t="str">
        <f t="shared" si="22"/>
        <v>NP</v>
      </c>
      <c r="B70" s="812" t="s">
        <v>568</v>
      </c>
      <c r="C70" s="133">
        <f t="shared" ca="1" si="16"/>
        <v>2.0684820955728277E-2</v>
      </c>
      <c r="D70" s="575">
        <f t="shared" ca="1" si="16"/>
        <v>2.0684820955728277E-2</v>
      </c>
      <c r="E70" s="575">
        <f t="shared" ca="1" si="16"/>
        <v>2.0684820955728277E-2</v>
      </c>
      <c r="F70" s="574" t="s">
        <v>336</v>
      </c>
      <c r="G70" s="133">
        <f t="shared" ca="1" si="17"/>
        <v>2.0684820955728277E-2</v>
      </c>
      <c r="H70" s="133">
        <f t="shared" ca="1" si="17"/>
        <v>2.0684820955728277E-2</v>
      </c>
      <c r="I70" s="551" t="s">
        <v>336</v>
      </c>
      <c r="J70" s="575">
        <f t="shared" ca="1" si="18"/>
        <v>0.95766590462964307</v>
      </c>
      <c r="K70" s="575">
        <f t="shared" ca="1" si="18"/>
        <v>0.95766590462964307</v>
      </c>
      <c r="L70" s="575">
        <f t="shared" ca="1" si="18"/>
        <v>0.95766590462964307</v>
      </c>
      <c r="M70" s="574" t="s">
        <v>336</v>
      </c>
      <c r="N70" s="133">
        <f t="shared" ca="1" si="19"/>
        <v>0.95766590462964307</v>
      </c>
      <c r="O70" s="133">
        <f t="shared" ca="1" si="19"/>
        <v>0.95766590462964307</v>
      </c>
      <c r="P70" s="551" t="s">
        <v>336</v>
      </c>
      <c r="Q70" s="573">
        <f t="shared" ca="1" si="20"/>
        <v>8417.0449576771025</v>
      </c>
      <c r="R70" s="573">
        <f t="shared" ca="1" si="20"/>
        <v>8417.0449576771025</v>
      </c>
      <c r="S70" s="573">
        <f t="shared" ca="1" si="20"/>
        <v>8417.0449576771025</v>
      </c>
      <c r="T70" s="572" t="s">
        <v>336</v>
      </c>
      <c r="U70" s="45">
        <f t="shared" ca="1" si="21"/>
        <v>8417.0449576771025</v>
      </c>
      <c r="V70" s="45">
        <f t="shared" ca="1" si="21"/>
        <v>8417.0449576771025</v>
      </c>
      <c r="W70" s="551" t="s">
        <v>336</v>
      </c>
    </row>
    <row r="71" spans="1:23" x14ac:dyDescent="0.25">
      <c r="A71" s="812" t="str">
        <f t="shared" si="22"/>
        <v>NP</v>
      </c>
      <c r="B71" s="812" t="s">
        <v>148</v>
      </c>
      <c r="C71" s="133">
        <f t="shared" ca="1" si="16"/>
        <v>6.456375141212437E-3</v>
      </c>
      <c r="D71" s="575">
        <f t="shared" ca="1" si="16"/>
        <v>6.456375141212437E-3</v>
      </c>
      <c r="E71" s="575">
        <f t="shared" ca="1" si="16"/>
        <v>6.456375141212437E-3</v>
      </c>
      <c r="F71" s="574" t="s">
        <v>336</v>
      </c>
      <c r="G71" s="133">
        <f t="shared" ca="1" si="17"/>
        <v>6.456375141212437E-3</v>
      </c>
      <c r="H71" s="133">
        <f t="shared" ca="1" si="17"/>
        <v>6.456375141212437E-3</v>
      </c>
      <c r="I71" s="551" t="s">
        <v>336</v>
      </c>
      <c r="J71" s="575">
        <f t="shared" ca="1" si="18"/>
        <v>0.13158633046584362</v>
      </c>
      <c r="K71" s="575">
        <f t="shared" ca="1" si="18"/>
        <v>0.13158633046584362</v>
      </c>
      <c r="L71" s="575">
        <f t="shared" ca="1" si="18"/>
        <v>0.13158633046584362</v>
      </c>
      <c r="M71" s="574" t="s">
        <v>336</v>
      </c>
      <c r="N71" s="133">
        <f t="shared" ca="1" si="19"/>
        <v>0.13158633046584362</v>
      </c>
      <c r="O71" s="133">
        <f t="shared" ca="1" si="19"/>
        <v>0.13158633046584362</v>
      </c>
      <c r="P71" s="551" t="s">
        <v>336</v>
      </c>
      <c r="Q71" s="573">
        <f t="shared" ca="1" si="20"/>
        <v>2711.1865147216254</v>
      </c>
      <c r="R71" s="573">
        <f t="shared" ca="1" si="20"/>
        <v>2711.1865147216254</v>
      </c>
      <c r="S71" s="573">
        <f t="shared" ca="1" si="20"/>
        <v>2711.1865147216254</v>
      </c>
      <c r="T71" s="572" t="s">
        <v>336</v>
      </c>
      <c r="U71" s="45">
        <f t="shared" ca="1" si="21"/>
        <v>2711.1865147216254</v>
      </c>
      <c r="V71" s="45">
        <f t="shared" ca="1" si="21"/>
        <v>2711.1865147216254</v>
      </c>
      <c r="W71" s="551" t="s">
        <v>336</v>
      </c>
    </row>
    <row r="72" spans="1:23" x14ac:dyDescent="0.25">
      <c r="A72" s="812" t="str">
        <f t="shared" si="22"/>
        <v>NP</v>
      </c>
      <c r="B72" s="812" t="s">
        <v>746</v>
      </c>
      <c r="C72" s="133">
        <f t="shared" ca="1" si="16"/>
        <v>1.2304983769193477E-4</v>
      </c>
      <c r="D72" s="575">
        <f t="shared" ca="1" si="16"/>
        <v>1.2304983769193477E-4</v>
      </c>
      <c r="E72" s="575">
        <f t="shared" ca="1" si="16"/>
        <v>1.2304983769193477E-4</v>
      </c>
      <c r="F72" s="574" t="s">
        <v>336</v>
      </c>
      <c r="G72" s="133">
        <f t="shared" ca="1" si="17"/>
        <v>1.2304983769193477E-4</v>
      </c>
      <c r="H72" s="133">
        <f t="shared" ca="1" si="17"/>
        <v>1.2304983769193477E-4</v>
      </c>
      <c r="I72" s="551" t="s">
        <v>336</v>
      </c>
      <c r="J72" s="575">
        <f t="shared" ca="1" si="18"/>
        <v>6.5030405478505521E-3</v>
      </c>
      <c r="K72" s="575">
        <f t="shared" ca="1" si="18"/>
        <v>6.5030405478505521E-3</v>
      </c>
      <c r="L72" s="575">
        <f t="shared" ca="1" si="18"/>
        <v>6.5030405478505521E-3</v>
      </c>
      <c r="M72" s="574" t="s">
        <v>336</v>
      </c>
      <c r="N72" s="133">
        <f t="shared" ca="1" si="19"/>
        <v>6.5030405478505521E-3</v>
      </c>
      <c r="O72" s="133">
        <f t="shared" ca="1" si="19"/>
        <v>6.5030405478505521E-3</v>
      </c>
      <c r="P72" s="551" t="s">
        <v>336</v>
      </c>
      <c r="Q72" s="573">
        <f t="shared" ca="1" si="20"/>
        <v>58.341794689108895</v>
      </c>
      <c r="R72" s="573">
        <f t="shared" ca="1" si="20"/>
        <v>58.341794689108895</v>
      </c>
      <c r="S72" s="573">
        <f t="shared" ca="1" si="20"/>
        <v>58.341794689108895</v>
      </c>
      <c r="T72" s="572" t="s">
        <v>336</v>
      </c>
      <c r="U72" s="45">
        <f t="shared" ca="1" si="21"/>
        <v>58.341794689108895</v>
      </c>
      <c r="V72" s="45">
        <f t="shared" ca="1" si="21"/>
        <v>58.341794689108895</v>
      </c>
      <c r="W72" s="551" t="s">
        <v>336</v>
      </c>
    </row>
    <row r="73" spans="1:23" x14ac:dyDescent="0.25">
      <c r="A73" s="812" t="str">
        <f t="shared" si="22"/>
        <v>NP</v>
      </c>
      <c r="B73" s="812" t="s">
        <v>747</v>
      </c>
      <c r="C73" s="133">
        <f t="shared" ca="1" si="16"/>
        <v>4.7874051077818094E-4</v>
      </c>
      <c r="D73" s="575">
        <f t="shared" ca="1" si="16"/>
        <v>4.7874051077818094E-4</v>
      </c>
      <c r="E73" s="575">
        <f t="shared" ca="1" si="16"/>
        <v>4.7874051077818094E-4</v>
      </c>
      <c r="F73" s="574" t="s">
        <v>336</v>
      </c>
      <c r="G73" s="133">
        <f t="shared" ca="1" si="17"/>
        <v>4.7874051077818094E-4</v>
      </c>
      <c r="H73" s="133">
        <f t="shared" ca="1" si="17"/>
        <v>4.7874051077818094E-4</v>
      </c>
      <c r="I73" s="551" t="s">
        <v>336</v>
      </c>
      <c r="J73" s="575">
        <f t="shared" ca="1" si="18"/>
        <v>2.216472964975209E-2</v>
      </c>
      <c r="K73" s="575">
        <f t="shared" ca="1" si="18"/>
        <v>2.216472964975209E-2</v>
      </c>
      <c r="L73" s="575">
        <f t="shared" ca="1" si="18"/>
        <v>2.216472964975209E-2</v>
      </c>
      <c r="M73" s="574" t="s">
        <v>336</v>
      </c>
      <c r="N73" s="133">
        <f t="shared" ca="1" si="19"/>
        <v>2.216472964975209E-2</v>
      </c>
      <c r="O73" s="133">
        <f t="shared" ca="1" si="19"/>
        <v>2.216472964975209E-2</v>
      </c>
      <c r="P73" s="551" t="s">
        <v>336</v>
      </c>
      <c r="Q73" s="573">
        <f t="shared" ca="1" si="20"/>
        <v>181.43917287752774</v>
      </c>
      <c r="R73" s="573">
        <f t="shared" ca="1" si="20"/>
        <v>181.43917287752774</v>
      </c>
      <c r="S73" s="573">
        <f t="shared" ca="1" si="20"/>
        <v>181.43917287752774</v>
      </c>
      <c r="T73" s="572" t="s">
        <v>336</v>
      </c>
      <c r="U73" s="45">
        <f t="shared" ca="1" si="21"/>
        <v>181.43917287752774</v>
      </c>
      <c r="V73" s="45">
        <f t="shared" ca="1" si="21"/>
        <v>181.43917287752774</v>
      </c>
      <c r="W73" s="551" t="s">
        <v>336</v>
      </c>
    </row>
    <row r="74" spans="1:23" x14ac:dyDescent="0.25">
      <c r="A74" s="812" t="str">
        <f t="shared" si="22"/>
        <v>NP</v>
      </c>
      <c r="B74" s="812" t="s">
        <v>149</v>
      </c>
      <c r="C74" s="133">
        <f t="shared" ca="1" si="16"/>
        <v>2.4044365550540614E-6</v>
      </c>
      <c r="D74" s="575">
        <f t="shared" ca="1" si="16"/>
        <v>2.4044365550540614E-6</v>
      </c>
      <c r="E74" s="575">
        <f t="shared" ca="1" si="16"/>
        <v>2.4044365550540614E-6</v>
      </c>
      <c r="F74" s="574" t="s">
        <v>336</v>
      </c>
      <c r="G74" s="133">
        <f t="shared" ca="1" si="17"/>
        <v>2.4044365550540614E-6</v>
      </c>
      <c r="H74" s="133">
        <f t="shared" ca="1" si="17"/>
        <v>2.4044365550540614E-6</v>
      </c>
      <c r="I74" s="551" t="s">
        <v>336</v>
      </c>
      <c r="J74" s="575">
        <f t="shared" ca="1" si="18"/>
        <v>2.1302840799685352E-5</v>
      </c>
      <c r="K74" s="575">
        <f t="shared" ca="1" si="18"/>
        <v>2.1302840799685352E-5</v>
      </c>
      <c r="L74" s="575">
        <f t="shared" ca="1" si="18"/>
        <v>2.1302840799685352E-5</v>
      </c>
      <c r="M74" s="574" t="s">
        <v>336</v>
      </c>
      <c r="N74" s="133">
        <f t="shared" ca="1" si="19"/>
        <v>2.1302840799685352E-5</v>
      </c>
      <c r="O74" s="133">
        <f t="shared" ca="1" si="19"/>
        <v>2.1302840799685352E-5</v>
      </c>
      <c r="P74" s="551" t="s">
        <v>336</v>
      </c>
      <c r="Q74" s="573">
        <f t="shared" ca="1" si="20"/>
        <v>82.957979910130277</v>
      </c>
      <c r="R74" s="573">
        <f t="shared" ca="1" si="20"/>
        <v>82.957979910130277</v>
      </c>
      <c r="S74" s="573">
        <f t="shared" ca="1" si="20"/>
        <v>82.957979910130277</v>
      </c>
      <c r="T74" s="572" t="s">
        <v>336</v>
      </c>
      <c r="U74" s="45">
        <f t="shared" ca="1" si="21"/>
        <v>82.957979910130277</v>
      </c>
      <c r="V74" s="45">
        <f t="shared" ca="1" si="21"/>
        <v>82.957979910130277</v>
      </c>
      <c r="W74" s="551" t="s">
        <v>336</v>
      </c>
    </row>
    <row r="75" spans="1:23" x14ac:dyDescent="0.25">
      <c r="A75" s="812" t="str">
        <f t="shared" si="22"/>
        <v>NP</v>
      </c>
      <c r="B75" s="812" t="s">
        <v>150</v>
      </c>
      <c r="C75" s="133">
        <f t="shared" ca="1" si="16"/>
        <v>4.1407566320009678E-3</v>
      </c>
      <c r="D75" s="575">
        <f t="shared" ca="1" si="16"/>
        <v>4.1407566320009678E-3</v>
      </c>
      <c r="E75" s="575">
        <f t="shared" ca="1" si="16"/>
        <v>4.1407566320009678E-3</v>
      </c>
      <c r="F75" s="574" t="s">
        <v>336</v>
      </c>
      <c r="G75" s="133">
        <f t="shared" ca="1" si="17"/>
        <v>4.1407566320009678E-3</v>
      </c>
      <c r="H75" s="133">
        <f t="shared" ca="1" si="17"/>
        <v>4.1407566320009678E-3</v>
      </c>
      <c r="I75" s="551" t="s">
        <v>336</v>
      </c>
      <c r="J75" s="575">
        <f t="shared" ca="1" si="18"/>
        <v>2.3909812912637342E-4</v>
      </c>
      <c r="K75" s="575">
        <f t="shared" ca="1" si="18"/>
        <v>2.3909812912637342E-4</v>
      </c>
      <c r="L75" s="575">
        <f t="shared" ca="1" si="18"/>
        <v>2.3909812912637342E-4</v>
      </c>
      <c r="M75" s="574" t="s">
        <v>336</v>
      </c>
      <c r="N75" s="133">
        <f t="shared" ca="1" si="19"/>
        <v>2.3909812912637342E-4</v>
      </c>
      <c r="O75" s="133">
        <f t="shared" ca="1" si="19"/>
        <v>2.3909812912637342E-4</v>
      </c>
      <c r="P75" s="551" t="s">
        <v>336</v>
      </c>
      <c r="Q75" s="573">
        <f t="shared" ca="1" si="20"/>
        <v>765.57222728230863</v>
      </c>
      <c r="R75" s="573">
        <f t="shared" ca="1" si="20"/>
        <v>765.57222728230863</v>
      </c>
      <c r="S75" s="573">
        <f t="shared" ca="1" si="20"/>
        <v>765.57222728230863</v>
      </c>
      <c r="T75" s="572" t="s">
        <v>336</v>
      </c>
      <c r="U75" s="45">
        <f t="shared" ca="1" si="21"/>
        <v>765.57222728230863</v>
      </c>
      <c r="V75" s="45">
        <f t="shared" ca="1" si="21"/>
        <v>765.57222728230863</v>
      </c>
      <c r="W75" s="551" t="s">
        <v>336</v>
      </c>
    </row>
    <row r="76" spans="1:23" x14ac:dyDescent="0.25">
      <c r="A76" s="812" t="str">
        <f t="shared" si="22"/>
        <v>NP</v>
      </c>
      <c r="B76" s="812" t="s">
        <v>151</v>
      </c>
      <c r="C76" s="133">
        <f t="shared" ref="C76:E79" ca="1" si="23">C22*C$33/C$26</f>
        <v>3.6718252466584417E-2</v>
      </c>
      <c r="D76" s="575">
        <f t="shared" ca="1" si="23"/>
        <v>3.6718252466584417E-2</v>
      </c>
      <c r="E76" s="575">
        <f t="shared" ca="1" si="23"/>
        <v>3.6718252466584417E-2</v>
      </c>
      <c r="F76" s="574" t="s">
        <v>336</v>
      </c>
      <c r="G76" s="133">
        <f t="shared" ref="G76:H79" ca="1" si="24">G22*G$33/G$26</f>
        <v>3.6718252466584417E-2</v>
      </c>
      <c r="H76" s="133">
        <f t="shared" ca="1" si="24"/>
        <v>3.6718252466584417E-2</v>
      </c>
      <c r="I76" s="551" t="s">
        <v>336</v>
      </c>
      <c r="J76" s="575">
        <f t="shared" ref="J76:L79" ca="1" si="25">J22*J$33/J$26</f>
        <v>3.1259137192065814E-2</v>
      </c>
      <c r="K76" s="575">
        <f t="shared" ca="1" si="25"/>
        <v>3.1259137192065814E-2</v>
      </c>
      <c r="L76" s="575">
        <f t="shared" ca="1" si="25"/>
        <v>3.1259137192065814E-2</v>
      </c>
      <c r="M76" s="574" t="s">
        <v>336</v>
      </c>
      <c r="N76" s="133">
        <f t="shared" ref="N76:O79" ca="1" si="26">N22*N$33/N$26</f>
        <v>3.1259137192065814E-2</v>
      </c>
      <c r="O76" s="133">
        <f t="shared" ca="1" si="26"/>
        <v>3.1259137192065814E-2</v>
      </c>
      <c r="P76" s="551" t="s">
        <v>336</v>
      </c>
      <c r="Q76" s="573">
        <f t="shared" ref="Q76:S79" ca="1" si="27">Q22*Q$33/Q$26</f>
        <v>96.701414393534733</v>
      </c>
      <c r="R76" s="573">
        <f t="shared" ca="1" si="27"/>
        <v>96.701414393534733</v>
      </c>
      <c r="S76" s="573">
        <f t="shared" ca="1" si="27"/>
        <v>96.701414393534733</v>
      </c>
      <c r="T76" s="572" t="s">
        <v>336</v>
      </c>
      <c r="U76" s="45">
        <f t="shared" ref="U76:V79" ca="1" si="28">U22*U$33/U$26</f>
        <v>96.701414393534733</v>
      </c>
      <c r="V76" s="45">
        <f t="shared" ca="1" si="28"/>
        <v>96.701414393534733</v>
      </c>
      <c r="W76" s="551" t="s">
        <v>336</v>
      </c>
    </row>
    <row r="77" spans="1:23" x14ac:dyDescent="0.25">
      <c r="A77" s="812" t="str">
        <f t="shared" si="22"/>
        <v>NP</v>
      </c>
      <c r="B77" s="812" t="s">
        <v>152</v>
      </c>
      <c r="C77" s="133">
        <f t="shared" ca="1" si="23"/>
        <v>1.0806310858756427E-4</v>
      </c>
      <c r="D77" s="575">
        <f t="shared" ca="1" si="23"/>
        <v>1.0806310858756427E-4</v>
      </c>
      <c r="E77" s="575">
        <f t="shared" ca="1" si="23"/>
        <v>1.0806310858756427E-4</v>
      </c>
      <c r="F77" s="574" t="s">
        <v>336</v>
      </c>
      <c r="G77" s="133">
        <f t="shared" ca="1" si="24"/>
        <v>1.0806310858756427E-4</v>
      </c>
      <c r="H77" s="133">
        <f t="shared" ca="1" si="24"/>
        <v>1.0806310858756427E-4</v>
      </c>
      <c r="I77" s="551" t="s">
        <v>336</v>
      </c>
      <c r="J77" s="575">
        <f t="shared" ca="1" si="25"/>
        <v>9.1996740308213242E-5</v>
      </c>
      <c r="K77" s="575">
        <f t="shared" ca="1" si="25"/>
        <v>9.1996740308213242E-5</v>
      </c>
      <c r="L77" s="575">
        <f t="shared" ca="1" si="25"/>
        <v>9.1996740308213242E-5</v>
      </c>
      <c r="M77" s="574" t="s">
        <v>336</v>
      </c>
      <c r="N77" s="133">
        <f t="shared" ca="1" si="26"/>
        <v>9.1996740308213242E-5</v>
      </c>
      <c r="O77" s="133">
        <f t="shared" ca="1" si="26"/>
        <v>9.1996740308213242E-5</v>
      </c>
      <c r="P77" s="551" t="s">
        <v>336</v>
      </c>
      <c r="Q77" s="573">
        <f t="shared" ca="1" si="27"/>
        <v>4.3024689615047693</v>
      </c>
      <c r="R77" s="573">
        <f t="shared" ca="1" si="27"/>
        <v>4.3024689615047693</v>
      </c>
      <c r="S77" s="573">
        <f t="shared" ca="1" si="27"/>
        <v>4.3024689615047693</v>
      </c>
      <c r="T77" s="572" t="s">
        <v>336</v>
      </c>
      <c r="U77" s="45">
        <f t="shared" ca="1" si="28"/>
        <v>4.3024689615047693</v>
      </c>
      <c r="V77" s="45">
        <f t="shared" ca="1" si="28"/>
        <v>4.3024689615047693</v>
      </c>
      <c r="W77" s="551" t="s">
        <v>336</v>
      </c>
    </row>
    <row r="78" spans="1:23" x14ac:dyDescent="0.25">
      <c r="A78" s="812" t="str">
        <f t="shared" si="22"/>
        <v>NP</v>
      </c>
      <c r="B78" s="812" t="s">
        <v>153</v>
      </c>
      <c r="C78" s="133">
        <f t="shared" ca="1" si="23"/>
        <v>1.0585186987202471E-4</v>
      </c>
      <c r="D78" s="575">
        <f t="shared" ca="1" si="23"/>
        <v>1.0585186987202471E-4</v>
      </c>
      <c r="E78" s="575">
        <f t="shared" ca="1" si="23"/>
        <v>1.0585186987202471E-4</v>
      </c>
      <c r="F78" s="574" t="s">
        <v>336</v>
      </c>
      <c r="G78" s="133">
        <f t="shared" ca="1" si="24"/>
        <v>1.0585186987202471E-4</v>
      </c>
      <c r="H78" s="133">
        <f t="shared" ca="1" si="24"/>
        <v>1.0585186987202471E-4</v>
      </c>
      <c r="I78" s="551" t="s">
        <v>336</v>
      </c>
      <c r="J78" s="575">
        <f t="shared" ca="1" si="25"/>
        <v>2.2646210553612584E-6</v>
      </c>
      <c r="K78" s="575">
        <f t="shared" ca="1" si="25"/>
        <v>2.2646210553612584E-6</v>
      </c>
      <c r="L78" s="575">
        <f t="shared" ca="1" si="25"/>
        <v>2.2646210553612584E-6</v>
      </c>
      <c r="M78" s="574" t="s">
        <v>336</v>
      </c>
      <c r="N78" s="133">
        <f t="shared" ca="1" si="26"/>
        <v>2.2646210553612584E-6</v>
      </c>
      <c r="O78" s="133">
        <f t="shared" ca="1" si="26"/>
        <v>2.2646210553612584E-6</v>
      </c>
      <c r="P78" s="551" t="s">
        <v>336</v>
      </c>
      <c r="Q78" s="573">
        <f t="shared" ca="1" si="27"/>
        <v>2.245005497541638</v>
      </c>
      <c r="R78" s="573">
        <f t="shared" ca="1" si="27"/>
        <v>2.245005497541638</v>
      </c>
      <c r="S78" s="573">
        <f t="shared" ca="1" si="27"/>
        <v>2.245005497541638</v>
      </c>
      <c r="T78" s="572" t="s">
        <v>336</v>
      </c>
      <c r="U78" s="45">
        <f t="shared" ca="1" si="28"/>
        <v>2.245005497541638</v>
      </c>
      <c r="V78" s="45">
        <f t="shared" ca="1" si="28"/>
        <v>2.245005497541638</v>
      </c>
      <c r="W78" s="551" t="s">
        <v>336</v>
      </c>
    </row>
    <row r="79" spans="1:23" ht="15.75" thickBot="1" x14ac:dyDescent="0.3">
      <c r="A79" s="6" t="str">
        <f>A76</f>
        <v>NP</v>
      </c>
      <c r="B79" s="6" t="s">
        <v>154</v>
      </c>
      <c r="C79" s="544">
        <f t="shared" ca="1" si="23"/>
        <v>9.7177391536715924E-4</v>
      </c>
      <c r="D79" s="571">
        <f t="shared" ca="1" si="23"/>
        <v>9.7177391536715924E-4</v>
      </c>
      <c r="E79" s="571">
        <f t="shared" ca="1" si="23"/>
        <v>9.7177391536715924E-4</v>
      </c>
      <c r="F79" s="570" t="s">
        <v>336</v>
      </c>
      <c r="G79" s="544">
        <f t="shared" ca="1" si="24"/>
        <v>9.7177391536715924E-4</v>
      </c>
      <c r="H79" s="544">
        <f t="shared" ca="1" si="24"/>
        <v>9.7177391536715924E-4</v>
      </c>
      <c r="I79" s="542" t="s">
        <v>336</v>
      </c>
      <c r="J79" s="571">
        <f t="shared" ca="1" si="25"/>
        <v>5.0485301381588358E-3</v>
      </c>
      <c r="K79" s="571">
        <f t="shared" ca="1" si="25"/>
        <v>5.0485301381588358E-3</v>
      </c>
      <c r="L79" s="571">
        <f t="shared" ca="1" si="25"/>
        <v>5.0485301381588358E-3</v>
      </c>
      <c r="M79" s="570" t="s">
        <v>336</v>
      </c>
      <c r="N79" s="544">
        <f t="shared" ca="1" si="26"/>
        <v>5.0485301381588358E-3</v>
      </c>
      <c r="O79" s="544">
        <f t="shared" ca="1" si="26"/>
        <v>5.0485301381588358E-3</v>
      </c>
      <c r="P79" s="542" t="s">
        <v>336</v>
      </c>
      <c r="Q79" s="569">
        <f t="shared" ca="1" si="27"/>
        <v>35.80275894352679</v>
      </c>
      <c r="R79" s="569">
        <f t="shared" ca="1" si="27"/>
        <v>35.80275894352679</v>
      </c>
      <c r="S79" s="569">
        <f t="shared" ca="1" si="27"/>
        <v>35.80275894352679</v>
      </c>
      <c r="T79" s="568" t="s">
        <v>336</v>
      </c>
      <c r="U79" s="567">
        <f t="shared" ca="1" si="28"/>
        <v>35.80275894352679</v>
      </c>
      <c r="V79" s="567">
        <f t="shared" ca="1" si="28"/>
        <v>35.80275894352679</v>
      </c>
      <c r="W79" s="542" t="s">
        <v>336</v>
      </c>
    </row>
    <row r="80" spans="1:23" ht="15.75" thickTop="1" x14ac:dyDescent="0.25">
      <c r="C80" s="137">
        <f ca="1">SUM(C40:C79)</f>
        <v>1.9707366823086918</v>
      </c>
      <c r="D80" s="137">
        <f ca="1">SUM(D40:D79)</f>
        <v>1.9707366823086918</v>
      </c>
      <c r="E80" s="137">
        <f ca="1">SUM(E40:E79)</f>
        <v>1.9707366823086918</v>
      </c>
      <c r="F80" s="566" t="s">
        <v>336</v>
      </c>
      <c r="G80" s="137">
        <f ca="1">SUM(G40:G79)</f>
        <v>1.9707366823086918</v>
      </c>
      <c r="H80" s="137">
        <f ca="1">SUM(H40:H79)</f>
        <v>1.9707366823086918</v>
      </c>
      <c r="I80" s="566" t="s">
        <v>336</v>
      </c>
      <c r="J80" s="137">
        <f ca="1">SUM(J40:J79)</f>
        <v>2.9335515515178052</v>
      </c>
      <c r="K80" s="137">
        <f ca="1">SUM(K40:K79)</f>
        <v>2.9335515515178052</v>
      </c>
      <c r="L80" s="137">
        <f ca="1">SUM(L40:L79)</f>
        <v>2.9335515515178052</v>
      </c>
      <c r="M80" s="566" t="s">
        <v>336</v>
      </c>
      <c r="N80" s="137">
        <f ca="1">SUM(N40:N79)</f>
        <v>2.9335515515178052</v>
      </c>
      <c r="O80" s="137">
        <f ca="1">SUM(O40:O79)</f>
        <v>2.9335515515178052</v>
      </c>
      <c r="P80" s="566" t="s">
        <v>336</v>
      </c>
      <c r="Q80" s="87">
        <f ca="1">SUM(Q40:Q79)</f>
        <v>37210.826429355388</v>
      </c>
      <c r="R80" s="87">
        <f ca="1">SUM(R40:R79)</f>
        <v>37210.826429355388</v>
      </c>
      <c r="S80" s="87">
        <f ca="1">SUM(S40:S79)</f>
        <v>37210.826429355388</v>
      </c>
      <c r="T80" s="566" t="s">
        <v>336</v>
      </c>
      <c r="U80" s="87">
        <f ca="1">SUM(U40:U79)</f>
        <v>37210.826429355388</v>
      </c>
      <c r="V80" s="87">
        <f ca="1">SUM(V40:V79)</f>
        <v>37210.826429355388</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6.8303894054937281E-2</v>
      </c>
      <c r="N91" s="557" t="s">
        <v>336</v>
      </c>
      <c r="O91" s="559">
        <f t="shared" ref="O91:P100" ca="1" si="35">(1-$N$84)*(1-G91)*G60</f>
        <v>0</v>
      </c>
      <c r="P91" s="559">
        <f t="shared" ca="1" si="35"/>
        <v>7.4547300474990905E-2</v>
      </c>
      <c r="Q91" s="557" t="s">
        <v>336</v>
      </c>
      <c r="R91" s="558">
        <f t="shared" ref="R91:S100" ca="1" si="36">(1-$N$84)*(1-D91)*D40/$J91</f>
        <v>0</v>
      </c>
      <c r="S91" s="558">
        <f t="shared" ca="1" si="36"/>
        <v>1.0040945794029053E-5</v>
      </c>
      <c r="T91" s="557" t="s">
        <v>336</v>
      </c>
      <c r="U91" s="558">
        <f t="shared" ref="U91:V100" ca="1" si="37">(1-$N$84)*(1-G91)*G60/$J91</f>
        <v>0</v>
      </c>
      <c r="V91" s="558">
        <f t="shared" ca="1" si="37"/>
        <v>1.0958751525330839E-5</v>
      </c>
      <c r="W91" s="557" t="s">
        <v>336</v>
      </c>
      <c r="X91" s="559">
        <f t="shared" ref="X91:Y100" ca="1" si="38">(1-$N$84)*(1-D91)*K40</f>
        <v>0</v>
      </c>
      <c r="Y91" s="559">
        <f t="shared" ca="1" si="38"/>
        <v>9.3752012395612689E-4</v>
      </c>
      <c r="Z91" s="557" t="s">
        <v>336</v>
      </c>
      <c r="AA91" s="559">
        <f t="shared" ref="AA91:AB100" ca="1" si="39">(1-$N$84)*(1-G91)*N60</f>
        <v>0</v>
      </c>
      <c r="AB91" s="559">
        <f t="shared" ca="1" si="39"/>
        <v>6.3033965185532368E-4</v>
      </c>
      <c r="AC91" s="557" t="s">
        <v>336</v>
      </c>
      <c r="AD91" s="558">
        <f t="shared" ref="AD91:AE110" ca="1" si="40">(1-$N$84)*(1-D91)*K40/$K91</f>
        <v>0</v>
      </c>
      <c r="AE91" s="558">
        <f t="shared" ca="1" si="40"/>
        <v>7.5462173669904695E-4</v>
      </c>
      <c r="AF91" s="557" t="s">
        <v>336</v>
      </c>
      <c r="AG91" s="558">
        <f t="shared" ref="AG91:AH100" ca="1" si="41">(1-$N$84)*(1-G91)*N60/$K91</f>
        <v>0</v>
      </c>
      <c r="AH91" s="558">
        <f t="shared" ca="1" si="41"/>
        <v>5.0736831203806434E-4</v>
      </c>
      <c r="AI91" s="557" t="s">
        <v>336</v>
      </c>
      <c r="AJ91" s="507">
        <f t="shared" ref="AJ91:AK110" ca="1" si="42">L91-R91</f>
        <v>0</v>
      </c>
      <c r="AK91" s="507">
        <f t="shared" ca="1" si="42"/>
        <v>6.8293853109143252E-2</v>
      </c>
      <c r="AL91" s="507">
        <f t="shared" ref="AL91:AM110" ca="1" si="43">O91-U91</f>
        <v>0</v>
      </c>
      <c r="AM91" s="507">
        <f t="shared" ca="1" si="43"/>
        <v>7.4536341723465571E-2</v>
      </c>
      <c r="AN91" s="507">
        <f t="shared" ref="AN91:AO110" ca="1" si="44">X91-AD91</f>
        <v>0</v>
      </c>
      <c r="AO91" s="507">
        <f t="shared" ca="1" si="44"/>
        <v>1.8289838725707994E-4</v>
      </c>
      <c r="AP91" s="507">
        <f t="shared" ref="AP91:AQ110" ca="1" si="45">AA91-AG91</f>
        <v>0</v>
      </c>
      <c r="AQ91" s="507">
        <f t="shared" ca="1" si="45"/>
        <v>1.2297133981725933E-4</v>
      </c>
      <c r="AR91" s="812" t="s">
        <v>137</v>
      </c>
      <c r="AS91" s="812">
        <v>2104008100</v>
      </c>
      <c r="AT91" s="507">
        <f t="shared" ref="AT91:AU100" ca="1" si="46">AJ91/$C40</f>
        <v>0</v>
      </c>
      <c r="AU91" s="507">
        <f t="shared" ca="1" si="46"/>
        <v>0.28795766284735758</v>
      </c>
      <c r="AV91" s="507">
        <f t="shared" ref="AV91:AW100" ca="1" si="47">AL91/$C60</f>
        <v>0</v>
      </c>
      <c r="AW91" s="507">
        <f t="shared" ca="1" si="47"/>
        <v>0.28795766284735752</v>
      </c>
      <c r="AX91" s="507">
        <f t="shared" ref="AX91:AY100" ca="1" si="48">AN91/$J40</f>
        <v>0</v>
      </c>
      <c r="AY91" s="507">
        <f t="shared" ca="1" si="48"/>
        <v>5.6185178519436288E-2</v>
      </c>
      <c r="AZ91" s="507">
        <f t="shared" ref="AZ91:BA100" ca="1" si="49">AP91/$J60</f>
        <v>0</v>
      </c>
      <c r="BA91" s="507">
        <f t="shared" ca="1" si="49"/>
        <v>5.6185178519436309E-2</v>
      </c>
      <c r="BB91" s="550">
        <f ca="1">1-((1-AT91))</f>
        <v>0</v>
      </c>
      <c r="BC91" s="550">
        <f ca="1">1-((1-AU91))</f>
        <v>0.28795766284735758</v>
      </c>
      <c r="BD91" s="550">
        <f ca="1">1-((1-AX91))</f>
        <v>0</v>
      </c>
      <c r="BE91" s="550">
        <f ca="1">1-((1-AY91))</f>
        <v>5.6185178519436274E-2</v>
      </c>
    </row>
    <row r="92" spans="1:57" x14ac:dyDescent="0.25">
      <c r="A92" s="60">
        <f t="shared" si="29"/>
        <v>0.4</v>
      </c>
      <c r="B92" s="812"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5.3309079031951898E-3</v>
      </c>
      <c r="M92" s="559">
        <f t="shared" ca="1" si="34"/>
        <v>5.3309079031951898E-3</v>
      </c>
      <c r="N92" s="557" t="s">
        <v>336</v>
      </c>
      <c r="O92" s="559">
        <f t="shared" ca="1" si="35"/>
        <v>5.8181864850100681E-3</v>
      </c>
      <c r="P92" s="559">
        <f t="shared" ca="1" si="35"/>
        <v>5.8181864850100681E-3</v>
      </c>
      <c r="Q92" s="557" t="s">
        <v>336</v>
      </c>
      <c r="R92" s="558">
        <f t="shared" ca="1" si="36"/>
        <v>5.0634550861564307E-6</v>
      </c>
      <c r="S92" s="558">
        <f t="shared" ca="1" si="36"/>
        <v>5.0634550861564307E-6</v>
      </c>
      <c r="T92" s="557" t="s">
        <v>336</v>
      </c>
      <c r="U92" s="558">
        <f t="shared" ca="1" si="37"/>
        <v>5.5262867948015575E-6</v>
      </c>
      <c r="V92" s="558">
        <f t="shared" ca="1" si="37"/>
        <v>5.5262867948015575E-6</v>
      </c>
      <c r="W92" s="557" t="s">
        <v>336</v>
      </c>
      <c r="X92" s="559">
        <f t="shared" ca="1" si="38"/>
        <v>8.2735326835192021E-5</v>
      </c>
      <c r="Y92" s="559">
        <f t="shared" ca="1" si="38"/>
        <v>8.2735326835192021E-5</v>
      </c>
      <c r="Z92" s="557" t="s">
        <v>336</v>
      </c>
      <c r="AA92" s="559">
        <f t="shared" ca="1" si="39"/>
        <v>5.5626920191711937E-5</v>
      </c>
      <c r="AB92" s="559">
        <f t="shared" ca="1" si="39"/>
        <v>5.5626920191711937E-5</v>
      </c>
      <c r="AC92" s="557" t="s">
        <v>336</v>
      </c>
      <c r="AD92" s="558">
        <f t="shared" ca="1" si="40"/>
        <v>3.8054117104039943E-4</v>
      </c>
      <c r="AE92" s="558">
        <f t="shared" ca="1" si="40"/>
        <v>3.8054117104039943E-4</v>
      </c>
      <c r="AF92" s="557" t="s">
        <v>336</v>
      </c>
      <c r="AG92" s="558">
        <f t="shared" ca="1" si="41"/>
        <v>2.5585604313006484E-4</v>
      </c>
      <c r="AH92" s="558">
        <f t="shared" ca="1" si="41"/>
        <v>2.5585604313006484E-4</v>
      </c>
      <c r="AI92" s="557" t="s">
        <v>336</v>
      </c>
      <c r="AJ92" s="507">
        <f t="shared" ca="1" si="42"/>
        <v>5.3258444481090331E-3</v>
      </c>
      <c r="AK92" s="507">
        <f t="shared" ca="1" si="42"/>
        <v>5.3258444481090331E-3</v>
      </c>
      <c r="AL92" s="507">
        <f t="shared" ca="1" si="43"/>
        <v>5.8126601982152661E-3</v>
      </c>
      <c r="AM92" s="507">
        <f t="shared" ca="1" si="43"/>
        <v>5.8126601982152661E-3</v>
      </c>
      <c r="AN92" s="507">
        <f t="shared" ca="1" si="44"/>
        <v>-2.9780584420520742E-4</v>
      </c>
      <c r="AO92" s="507">
        <f t="shared" ca="1" si="44"/>
        <v>-2.9780584420520742E-4</v>
      </c>
      <c r="AP92" s="507">
        <f t="shared" ca="1" si="45"/>
        <v>-2.0022912293835289E-4</v>
      </c>
      <c r="AQ92" s="507">
        <f t="shared" ca="1" si="45"/>
        <v>-2.0022912293835289E-4</v>
      </c>
      <c r="AR92" s="812" t="s">
        <v>138</v>
      </c>
      <c r="AS92" s="812">
        <v>2104008210</v>
      </c>
      <c r="AT92" s="507">
        <f t="shared" ca="1" si="46"/>
        <v>0.28772644902307565</v>
      </c>
      <c r="AU92" s="507">
        <f t="shared" ca="1" si="46"/>
        <v>0.28772644902307565</v>
      </c>
      <c r="AV92" s="507">
        <f t="shared" ca="1" si="47"/>
        <v>0.28772644902307559</v>
      </c>
      <c r="AW92" s="507">
        <f t="shared" ca="1" si="47"/>
        <v>0.28772644902307559</v>
      </c>
      <c r="AX92" s="507">
        <f t="shared" ca="1" si="48"/>
        <v>-1.0366561227460784</v>
      </c>
      <c r="AY92" s="507">
        <f t="shared" ca="1" si="48"/>
        <v>-1.0366561227460784</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-1.0366561227460784</v>
      </c>
      <c r="BE92" s="550">
        <f t="shared" ca="1" si="51"/>
        <v>-1.0366561227460784</v>
      </c>
    </row>
    <row r="93" spans="1:57" x14ac:dyDescent="0.25">
      <c r="A93" s="60">
        <f t="shared" si="29"/>
        <v>0.66</v>
      </c>
      <c r="B93" s="812"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4.5143410484980856E-3</v>
      </c>
      <c r="M93" s="559">
        <f t="shared" ca="1" si="34"/>
        <v>4.4014825222856331E-3</v>
      </c>
      <c r="N93" s="557" t="s">
        <v>336</v>
      </c>
      <c r="O93" s="559">
        <f t="shared" ca="1" si="35"/>
        <v>4.9269802731641832E-3</v>
      </c>
      <c r="P93" s="559">
        <f t="shared" ca="1" si="35"/>
        <v>4.8038057663350791E-3</v>
      </c>
      <c r="Q93" s="557" t="s">
        <v>336</v>
      </c>
      <c r="R93" s="558">
        <f t="shared" ca="1" si="36"/>
        <v>1.8041152308241359E-5</v>
      </c>
      <c r="S93" s="558">
        <f t="shared" ca="1" si="36"/>
        <v>1.7590123500535325E-5</v>
      </c>
      <c r="T93" s="557" t="s">
        <v>336</v>
      </c>
      <c r="U93" s="558">
        <f t="shared" ca="1" si="37"/>
        <v>1.9690227338368396E-5</v>
      </c>
      <c r="V93" s="558">
        <f t="shared" ca="1" si="37"/>
        <v>1.9197971654909187E-5</v>
      </c>
      <c r="W93" s="557" t="s">
        <v>336</v>
      </c>
      <c r="X93" s="559">
        <f t="shared" ca="1" si="38"/>
        <v>1.7865877569678772E-4</v>
      </c>
      <c r="Y93" s="559">
        <f t="shared" ca="1" si="38"/>
        <v>1.7419230630436803E-4</v>
      </c>
      <c r="Z93" s="557" t="s">
        <v>336</v>
      </c>
      <c r="AA93" s="559">
        <f t="shared" ca="1" si="39"/>
        <v>1.2012084604477419E-4</v>
      </c>
      <c r="AB93" s="559">
        <f t="shared" ca="1" si="39"/>
        <v>1.1711782489365483E-4</v>
      </c>
      <c r="AC93" s="557" t="s">
        <v>336</v>
      </c>
      <c r="AD93" s="558">
        <f t="shared" ca="1" si="40"/>
        <v>1.3558728396873695E-3</v>
      </c>
      <c r="AE93" s="558">
        <f t="shared" ca="1" si="40"/>
        <v>1.3219760186951853E-3</v>
      </c>
      <c r="AF93" s="557" t="s">
        <v>336</v>
      </c>
      <c r="AG93" s="558">
        <f t="shared" ca="1" si="41"/>
        <v>9.1161820625476099E-4</v>
      </c>
      <c r="AH93" s="558">
        <f t="shared" ca="1" si="41"/>
        <v>8.8882775109839194E-4</v>
      </c>
      <c r="AI93" s="557" t="s">
        <v>336</v>
      </c>
      <c r="AJ93" s="507">
        <f t="shared" ca="1" si="42"/>
        <v>4.4962998961898442E-3</v>
      </c>
      <c r="AK93" s="507">
        <f t="shared" ca="1" si="42"/>
        <v>4.3838923987850982E-3</v>
      </c>
      <c r="AL93" s="507">
        <f t="shared" ca="1" si="43"/>
        <v>4.9072900458258144E-3</v>
      </c>
      <c r="AM93" s="507">
        <f t="shared" ca="1" si="43"/>
        <v>4.7846077946801704E-3</v>
      </c>
      <c r="AN93" s="507">
        <f t="shared" ca="1" si="44"/>
        <v>-1.1772140639905817E-3</v>
      </c>
      <c r="AO93" s="507">
        <f t="shared" ca="1" si="44"/>
        <v>-1.1477837123908172E-3</v>
      </c>
      <c r="AP93" s="507">
        <f t="shared" ca="1" si="45"/>
        <v>-7.9149736020998679E-4</v>
      </c>
      <c r="AQ93" s="507">
        <f t="shared" ca="1" si="45"/>
        <v>-7.7170992620473713E-4</v>
      </c>
      <c r="AR93" s="812" t="s">
        <v>139</v>
      </c>
      <c r="AS93" s="812">
        <v>2104008220</v>
      </c>
      <c r="AT93" s="507">
        <f t="shared" ca="1" si="46"/>
        <v>0.29420413770727244</v>
      </c>
      <c r="AU93" s="507">
        <f t="shared" ca="1" si="46"/>
        <v>0.28684903426459063</v>
      </c>
      <c r="AV93" s="507">
        <f t="shared" ca="1" si="47"/>
        <v>0.29420413770727238</v>
      </c>
      <c r="AW93" s="507">
        <f t="shared" ca="1" si="47"/>
        <v>0.28684903426459069</v>
      </c>
      <c r="AX93" s="507">
        <f t="shared" ca="1" si="48"/>
        <v>-1.9463411308010559</v>
      </c>
      <c r="AY93" s="507">
        <f t="shared" ca="1" si="48"/>
        <v>-1.8976826025310296</v>
      </c>
      <c r="AZ93" s="507">
        <f t="shared" ca="1" si="49"/>
        <v>-1.9463411308010561</v>
      </c>
      <c r="BA93" s="507">
        <f t="shared" ca="1" si="49"/>
        <v>-1.8976826025310296</v>
      </c>
      <c r="BB93" s="550">
        <f t="shared" ca="1" si="50"/>
        <v>0.29420413770727238</v>
      </c>
      <c r="BC93" s="550">
        <f t="shared" ca="1" si="50"/>
        <v>0.28684903426459063</v>
      </c>
      <c r="BD93" s="550">
        <f t="shared" ca="1" si="51"/>
        <v>-1.9463411308010556</v>
      </c>
      <c r="BE93" s="550">
        <f t="shared" ca="1" si="51"/>
        <v>-1.8976826025310296</v>
      </c>
    </row>
    <row r="94" spans="1:57" x14ac:dyDescent="0.25">
      <c r="A94" s="60">
        <f t="shared" si="29"/>
        <v>0.7</v>
      </c>
      <c r="B94" s="812"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2.9444608291001842E-3</v>
      </c>
      <c r="M94" s="559">
        <f t="shared" ca="1" si="34"/>
        <v>2.8708493083726794E-3</v>
      </c>
      <c r="N94" s="557" t="s">
        <v>336</v>
      </c>
      <c r="O94" s="559">
        <f t="shared" ca="1" si="35"/>
        <v>3.2136031071263033E-3</v>
      </c>
      <c r="P94" s="559">
        <f t="shared" ca="1" si="35"/>
        <v>3.1332630294481456E-3</v>
      </c>
      <c r="Q94" s="557" t="s">
        <v>336</v>
      </c>
      <c r="R94" s="558">
        <f t="shared" ca="1" si="36"/>
        <v>1.152040339201951E-5</v>
      </c>
      <c r="S94" s="558">
        <f t="shared" ca="1" si="36"/>
        <v>1.1232393307219021E-5</v>
      </c>
      <c r="T94" s="557" t="s">
        <v>336</v>
      </c>
      <c r="U94" s="558">
        <f t="shared" ca="1" si="37"/>
        <v>1.2573440872452049E-5</v>
      </c>
      <c r="V94" s="558">
        <f t="shared" ca="1" si="37"/>
        <v>1.2259104850640747E-5</v>
      </c>
      <c r="W94" s="557" t="s">
        <v>336</v>
      </c>
      <c r="X94" s="559">
        <f t="shared" ca="1" si="38"/>
        <v>1.0756566400879695E-4</v>
      </c>
      <c r="Y94" s="559">
        <f t="shared" ca="1" si="38"/>
        <v>1.0487652240857703E-4</v>
      </c>
      <c r="Z94" s="557" t="s">
        <v>336</v>
      </c>
      <c r="AA94" s="559">
        <f t="shared" ca="1" si="39"/>
        <v>7.2321544327793804E-5</v>
      </c>
      <c r="AB94" s="559">
        <f t="shared" ca="1" si="39"/>
        <v>7.0513505719598963E-5</v>
      </c>
      <c r="AC94" s="557" t="s">
        <v>336</v>
      </c>
      <c r="AD94" s="558">
        <f t="shared" ca="1" si="40"/>
        <v>8.6580955554297083E-4</v>
      </c>
      <c r="AE94" s="558">
        <f t="shared" ca="1" si="40"/>
        <v>8.441643166543965E-4</v>
      </c>
      <c r="AF94" s="557" t="s">
        <v>336</v>
      </c>
      <c r="AG94" s="558">
        <f t="shared" ca="1" si="41"/>
        <v>5.8212520442868726E-4</v>
      </c>
      <c r="AH94" s="558">
        <f t="shared" ca="1" si="41"/>
        <v>5.6757207431797009E-4</v>
      </c>
      <c r="AI94" s="557" t="s">
        <v>336</v>
      </c>
      <c r="AJ94" s="507">
        <f t="shared" ca="1" si="42"/>
        <v>2.9329404257081647E-3</v>
      </c>
      <c r="AK94" s="507">
        <f t="shared" ca="1" si="42"/>
        <v>2.8596169150654602E-3</v>
      </c>
      <c r="AL94" s="507">
        <f t="shared" ca="1" si="43"/>
        <v>3.2010296662538513E-3</v>
      </c>
      <c r="AM94" s="507">
        <f t="shared" ca="1" si="43"/>
        <v>3.1210039245975047E-3</v>
      </c>
      <c r="AN94" s="507">
        <f t="shared" ca="1" si="44"/>
        <v>-7.5824389153417388E-4</v>
      </c>
      <c r="AO94" s="507">
        <f t="shared" ca="1" si="44"/>
        <v>-7.3928779424581943E-4</v>
      </c>
      <c r="AP94" s="507">
        <f t="shared" ca="1" si="45"/>
        <v>-5.0980366010089351E-4</v>
      </c>
      <c r="AQ94" s="507">
        <f t="shared" ca="1" si="45"/>
        <v>-4.9705856859837117E-4</v>
      </c>
      <c r="AR94" s="812" t="s">
        <v>140</v>
      </c>
      <c r="AS94" s="812">
        <v>2104008230</v>
      </c>
      <c r="AT94" s="507">
        <f t="shared" ca="1" si="46"/>
        <v>0.29422890297323068</v>
      </c>
      <c r="AU94" s="507">
        <f t="shared" ca="1" si="46"/>
        <v>0.28687318039889986</v>
      </c>
      <c r="AV94" s="507">
        <f t="shared" ca="1" si="47"/>
        <v>0.29422890297323068</v>
      </c>
      <c r="AW94" s="507">
        <f t="shared" ca="1" si="47"/>
        <v>0.28687318039889986</v>
      </c>
      <c r="AX94" s="507">
        <f t="shared" ca="1" si="48"/>
        <v>-2.0822032972365507</v>
      </c>
      <c r="AY94" s="507">
        <f t="shared" ca="1" si="48"/>
        <v>-2.0301482148056369</v>
      </c>
      <c r="AZ94" s="507">
        <f t="shared" ca="1" si="49"/>
        <v>-2.0822032972365507</v>
      </c>
      <c r="BA94" s="507">
        <f t="shared" ca="1" si="49"/>
        <v>-2.0301482148056369</v>
      </c>
      <c r="BB94" s="550">
        <f t="shared" ca="1" si="50"/>
        <v>0.29422890297323068</v>
      </c>
      <c r="BC94" s="550">
        <f t="shared" ca="1" si="50"/>
        <v>0.28687318039889986</v>
      </c>
      <c r="BD94" s="550">
        <f t="shared" ca="1" si="51"/>
        <v>-2.0822032972365507</v>
      </c>
      <c r="BE94" s="550">
        <f t="shared" ca="1" si="51"/>
        <v>-2.0301482148056369</v>
      </c>
    </row>
    <row r="95" spans="1:57" x14ac:dyDescent="0.25">
      <c r="A95" s="60">
        <f t="shared" si="29"/>
        <v>0.54</v>
      </c>
      <c r="B95" s="812"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4.2928272414057826E-2</v>
      </c>
      <c r="M95" s="559">
        <f t="shared" ca="1" si="34"/>
        <v>4.2928272414057826E-2</v>
      </c>
      <c r="N95" s="557" t="s">
        <v>336</v>
      </c>
      <c r="O95" s="559">
        <f t="shared" ca="1" si="35"/>
        <v>4.6852187079540454E-2</v>
      </c>
      <c r="P95" s="559">
        <f t="shared" ca="1" si="35"/>
        <v>4.6852187079540454E-2</v>
      </c>
      <c r="Q95" s="557" t="s">
        <v>336</v>
      </c>
      <c r="R95" s="558">
        <f t="shared" ca="1" si="36"/>
        <v>1.3872448109987425E-4</v>
      </c>
      <c r="S95" s="558">
        <f t="shared" ca="1" si="36"/>
        <v>1.3872448109987425E-4</v>
      </c>
      <c r="T95" s="557" t="s">
        <v>336</v>
      </c>
      <c r="U95" s="558">
        <f t="shared" ca="1" si="37"/>
        <v>1.5140477302028722E-4</v>
      </c>
      <c r="V95" s="558">
        <f t="shared" ca="1" si="37"/>
        <v>1.5140477302028722E-4</v>
      </c>
      <c r="W95" s="557" t="s">
        <v>336</v>
      </c>
      <c r="X95" s="559">
        <f t="shared" ca="1" si="38"/>
        <v>1.6790489802872258E-3</v>
      </c>
      <c r="Y95" s="559">
        <f t="shared" ca="1" si="38"/>
        <v>1.6790489802872258E-3</v>
      </c>
      <c r="Z95" s="557" t="s">
        <v>336</v>
      </c>
      <c r="AA95" s="559">
        <f t="shared" ca="1" si="39"/>
        <v>1.1289049937575684E-3</v>
      </c>
      <c r="AB95" s="559">
        <f t="shared" ca="1" si="39"/>
        <v>1.1289049937575684E-3</v>
      </c>
      <c r="AC95" s="557" t="s">
        <v>336</v>
      </c>
      <c r="AD95" s="558">
        <f t="shared" ca="1" si="40"/>
        <v>1.0425761775600156E-2</v>
      </c>
      <c r="AE95" s="558">
        <f t="shared" ca="1" si="40"/>
        <v>1.0425761775600156E-2</v>
      </c>
      <c r="AF95" s="557" t="s">
        <v>336</v>
      </c>
      <c r="AG95" s="558">
        <f t="shared" ca="1" si="41"/>
        <v>7.0097386499043115E-3</v>
      </c>
      <c r="AH95" s="558">
        <f t="shared" ca="1" si="41"/>
        <v>7.0097386499043115E-3</v>
      </c>
      <c r="AI95" s="557" t="s">
        <v>336</v>
      </c>
      <c r="AJ95" s="507">
        <f t="shared" ca="1" si="42"/>
        <v>4.2789547932957951E-2</v>
      </c>
      <c r="AK95" s="507">
        <f t="shared" ca="1" si="42"/>
        <v>4.2789547932957951E-2</v>
      </c>
      <c r="AL95" s="507">
        <f t="shared" ca="1" si="43"/>
        <v>4.6700782306520167E-2</v>
      </c>
      <c r="AM95" s="507">
        <f t="shared" ca="1" si="43"/>
        <v>4.6700782306520167E-2</v>
      </c>
      <c r="AN95" s="507">
        <f t="shared" ca="1" si="44"/>
        <v>-8.7467127953129303E-3</v>
      </c>
      <c r="AO95" s="507">
        <f t="shared" ca="1" si="44"/>
        <v>-8.7467127953129303E-3</v>
      </c>
      <c r="AP95" s="507">
        <f t="shared" ca="1" si="45"/>
        <v>-5.8808336561467431E-3</v>
      </c>
      <c r="AQ95" s="507">
        <f t="shared" ca="1" si="45"/>
        <v>-5.8808336561467431E-3</v>
      </c>
      <c r="AR95" s="812" t="s">
        <v>141</v>
      </c>
      <c r="AS95" s="812">
        <v>2104008310</v>
      </c>
      <c r="AT95" s="507">
        <f t="shared" ca="1" si="46"/>
        <v>0.28706931613340025</v>
      </c>
      <c r="AU95" s="507">
        <f t="shared" ca="1" si="46"/>
        <v>0.28706931613340025</v>
      </c>
      <c r="AV95" s="507">
        <f t="shared" ca="1" si="47"/>
        <v>0.28706931613340025</v>
      </c>
      <c r="AW95" s="507">
        <f t="shared" ca="1" si="47"/>
        <v>0.28706931613340025</v>
      </c>
      <c r="AX95" s="507">
        <f t="shared" ca="1" si="48"/>
        <v>-1.5002857657072062</v>
      </c>
      <c r="AY95" s="507">
        <f t="shared" ca="1" si="48"/>
        <v>-1.5002857657072062</v>
      </c>
      <c r="AZ95" s="507">
        <f t="shared" ca="1" si="49"/>
        <v>-1.500285765707206</v>
      </c>
      <c r="BA95" s="507">
        <f t="shared" ca="1" si="49"/>
        <v>-1.500285765707206</v>
      </c>
      <c r="BB95" s="550">
        <f t="shared" ca="1" si="50"/>
        <v>0.28706931613340025</v>
      </c>
      <c r="BC95" s="550">
        <f t="shared" ca="1" si="50"/>
        <v>0.28706931613340025</v>
      </c>
      <c r="BD95" s="550">
        <f t="shared" ca="1" si="51"/>
        <v>-1.500285765707206</v>
      </c>
      <c r="BE95" s="550">
        <f t="shared" ca="1" si="51"/>
        <v>-1.500285765707206</v>
      </c>
    </row>
    <row r="96" spans="1:57" x14ac:dyDescent="0.25">
      <c r="A96" s="60">
        <f t="shared" si="29"/>
        <v>0.68</v>
      </c>
      <c r="B96" s="812"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6.0505051311651889E-2</v>
      </c>
      <c r="M96" s="559">
        <f t="shared" ca="1" si="34"/>
        <v>5.8992425028860596E-2</v>
      </c>
      <c r="N96" s="557" t="s">
        <v>336</v>
      </c>
      <c r="O96" s="559">
        <f t="shared" ca="1" si="35"/>
        <v>6.6035594350691659E-2</v>
      </c>
      <c r="P96" s="559">
        <f t="shared" ca="1" si="35"/>
        <v>6.4384704491924363E-2</v>
      </c>
      <c r="Q96" s="557" t="s">
        <v>336</v>
      </c>
      <c r="R96" s="558">
        <f t="shared" ca="1" si="36"/>
        <v>3.7722600875814068E-4</v>
      </c>
      <c r="S96" s="558">
        <f t="shared" ca="1" si="36"/>
        <v>3.6779535853918719E-4</v>
      </c>
      <c r="T96" s="557" t="s">
        <v>336</v>
      </c>
      <c r="U96" s="558">
        <f t="shared" ca="1" si="37"/>
        <v>4.1170684352573837E-4</v>
      </c>
      <c r="V96" s="558">
        <f t="shared" ca="1" si="37"/>
        <v>4.0141417243759491E-4</v>
      </c>
      <c r="W96" s="557" t="s">
        <v>336</v>
      </c>
      <c r="X96" s="559">
        <f t="shared" ca="1" si="38"/>
        <v>3.625740619247286E-3</v>
      </c>
      <c r="Y96" s="559">
        <f t="shared" ca="1" si="38"/>
        <v>3.5350971037661038E-3</v>
      </c>
      <c r="Z96" s="557" t="s">
        <v>336</v>
      </c>
      <c r="AA96" s="559">
        <f t="shared" ca="1" si="39"/>
        <v>2.4377589571197215E-3</v>
      </c>
      <c r="AB96" s="559">
        <f t="shared" ca="1" si="39"/>
        <v>2.3768149831917286E-3</v>
      </c>
      <c r="AC96" s="557" t="s">
        <v>336</v>
      </c>
      <c r="AD96" s="558">
        <f t="shared" ca="1" si="40"/>
        <v>2.8350212389991764E-2</v>
      </c>
      <c r="AE96" s="558">
        <f t="shared" ca="1" si="40"/>
        <v>2.7641457080241971E-2</v>
      </c>
      <c r="AF96" s="557" t="s">
        <v>336</v>
      </c>
      <c r="AG96" s="558">
        <f t="shared" ca="1" si="41"/>
        <v>1.906120471582343E-2</v>
      </c>
      <c r="AH96" s="558">
        <f t="shared" ca="1" si="41"/>
        <v>1.8584674597927845E-2</v>
      </c>
      <c r="AI96" s="557" t="s">
        <v>336</v>
      </c>
      <c r="AJ96" s="507">
        <f t="shared" ca="1" si="42"/>
        <v>6.0127825302893748E-2</v>
      </c>
      <c r="AK96" s="507">
        <f t="shared" ca="1" si="42"/>
        <v>5.8624629670321407E-2</v>
      </c>
      <c r="AL96" s="507">
        <f t="shared" ca="1" si="43"/>
        <v>6.5623887507165926E-2</v>
      </c>
      <c r="AM96" s="507">
        <f t="shared" ca="1" si="43"/>
        <v>6.3983290319486769E-2</v>
      </c>
      <c r="AN96" s="507">
        <f t="shared" ca="1" si="44"/>
        <v>-2.472447177074448E-2</v>
      </c>
      <c r="AO96" s="507">
        <f t="shared" ca="1" si="44"/>
        <v>-2.4106359976475866E-2</v>
      </c>
      <c r="AP96" s="507">
        <f t="shared" ca="1" si="45"/>
        <v>-1.6623445758703708E-2</v>
      </c>
      <c r="AQ96" s="507">
        <f t="shared" ca="1" si="45"/>
        <v>-1.6207859614736118E-2</v>
      </c>
      <c r="AR96" s="812" t="s">
        <v>142</v>
      </c>
      <c r="AS96" s="812">
        <v>2104008320</v>
      </c>
      <c r="AT96" s="507">
        <f t="shared" ca="1" si="46"/>
        <v>0.29354300452577725</v>
      </c>
      <c r="AU96" s="507">
        <f t="shared" ca="1" si="46"/>
        <v>0.28620442941263285</v>
      </c>
      <c r="AV96" s="507">
        <f t="shared" ca="1" si="47"/>
        <v>0.29354300452577731</v>
      </c>
      <c r="AW96" s="507">
        <f t="shared" ca="1" si="47"/>
        <v>0.28620442941263285</v>
      </c>
      <c r="AX96" s="507">
        <f t="shared" ca="1" si="48"/>
        <v>-2.0142722140188036</v>
      </c>
      <c r="AY96" s="507">
        <f t="shared" ca="1" si="48"/>
        <v>-1.9639154086683335</v>
      </c>
      <c r="AZ96" s="507">
        <f t="shared" ca="1" si="49"/>
        <v>-2.0142722140188036</v>
      </c>
      <c r="BA96" s="507">
        <f t="shared" ca="1" si="49"/>
        <v>-1.9639154086683339</v>
      </c>
      <c r="BB96" s="550">
        <f t="shared" ca="1" si="50"/>
        <v>0.2935430045257772</v>
      </c>
      <c r="BC96" s="550">
        <f t="shared" ca="1" si="50"/>
        <v>0.28620442941263291</v>
      </c>
      <c r="BD96" s="550">
        <f t="shared" ca="1" si="51"/>
        <v>-2.0142722140188036</v>
      </c>
      <c r="BE96" s="550">
        <f t="shared" ca="1" si="51"/>
        <v>-1.9639154086683335</v>
      </c>
    </row>
    <row r="97" spans="1:57" x14ac:dyDescent="0.25">
      <c r="A97" s="60">
        <f t="shared" si="29"/>
        <v>0.72</v>
      </c>
      <c r="B97" s="812"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4.0420632148703034E-2</v>
      </c>
      <c r="M97" s="559">
        <f t="shared" ca="1" si="34"/>
        <v>3.9410116344985459E-2</v>
      </c>
      <c r="N97" s="557" t="s">
        <v>336</v>
      </c>
      <c r="O97" s="559">
        <f t="shared" ca="1" si="35"/>
        <v>4.411533268886348E-2</v>
      </c>
      <c r="P97" s="559">
        <f t="shared" ca="1" si="35"/>
        <v>4.3012449371641892E-2</v>
      </c>
      <c r="Q97" s="557" t="s">
        <v>336</v>
      </c>
      <c r="R97" s="558">
        <f t="shared" ca="1" si="36"/>
        <v>2.4047754036206307E-4</v>
      </c>
      <c r="S97" s="558">
        <f t="shared" ca="1" si="36"/>
        <v>2.3446560185301149E-4</v>
      </c>
      <c r="T97" s="557" t="s">
        <v>336</v>
      </c>
      <c r="U97" s="558">
        <f t="shared" ca="1" si="37"/>
        <v>2.6245870322471953E-4</v>
      </c>
      <c r="V97" s="558">
        <f t="shared" ca="1" si="37"/>
        <v>2.5589723564410156E-4</v>
      </c>
      <c r="W97" s="557" t="s">
        <v>336</v>
      </c>
      <c r="X97" s="559">
        <f t="shared" ca="1" si="38"/>
        <v>2.1829613222856814E-3</v>
      </c>
      <c r="Y97" s="559">
        <f t="shared" ca="1" si="38"/>
        <v>2.1283872892285398E-3</v>
      </c>
      <c r="Z97" s="557" t="s">
        <v>336</v>
      </c>
      <c r="AA97" s="559">
        <f t="shared" ca="1" si="39"/>
        <v>1.467709380036291E-3</v>
      </c>
      <c r="AB97" s="559">
        <f t="shared" ca="1" si="39"/>
        <v>1.4310166455353838E-3</v>
      </c>
      <c r="AC97" s="557" t="s">
        <v>336</v>
      </c>
      <c r="AD97" s="558">
        <f t="shared" ca="1" si="40"/>
        <v>1.8072956758022517E-2</v>
      </c>
      <c r="AE97" s="558">
        <f t="shared" ca="1" si="40"/>
        <v>1.7621132839071959E-2</v>
      </c>
      <c r="AF97" s="557" t="s">
        <v>336</v>
      </c>
      <c r="AG97" s="558">
        <f t="shared" ca="1" si="41"/>
        <v>1.2151313854230773E-2</v>
      </c>
      <c r="AH97" s="558">
        <f t="shared" ca="1" si="41"/>
        <v>1.1847531007875004E-2</v>
      </c>
      <c r="AI97" s="557" t="s">
        <v>336</v>
      </c>
      <c r="AJ97" s="507">
        <f t="shared" ca="1" si="42"/>
        <v>4.0180154608340971E-2</v>
      </c>
      <c r="AK97" s="507">
        <f t="shared" ca="1" si="42"/>
        <v>3.9175650743132451E-2</v>
      </c>
      <c r="AL97" s="507">
        <f t="shared" ca="1" si="43"/>
        <v>4.3852873985638759E-2</v>
      </c>
      <c r="AM97" s="507">
        <f t="shared" ca="1" si="43"/>
        <v>4.2756552135997793E-2</v>
      </c>
      <c r="AN97" s="507">
        <f t="shared" ca="1" si="44"/>
        <v>-1.5889995435736836E-2</v>
      </c>
      <c r="AO97" s="507">
        <f t="shared" ca="1" si="44"/>
        <v>-1.549274554984342E-2</v>
      </c>
      <c r="AP97" s="507">
        <f t="shared" ca="1" si="45"/>
        <v>-1.0683604474194482E-2</v>
      </c>
      <c r="AQ97" s="507">
        <f t="shared" ca="1" si="45"/>
        <v>-1.041651436233962E-2</v>
      </c>
      <c r="AR97" s="812" t="s">
        <v>143</v>
      </c>
      <c r="AS97" s="812">
        <v>2104008330</v>
      </c>
      <c r="AT97" s="507">
        <f t="shared" ca="1" si="46"/>
        <v>0.29362726123173721</v>
      </c>
      <c r="AU97" s="507">
        <f t="shared" ca="1" si="46"/>
        <v>0.28628657970094379</v>
      </c>
      <c r="AV97" s="507">
        <f t="shared" ca="1" si="47"/>
        <v>0.29362726123173721</v>
      </c>
      <c r="AW97" s="507">
        <f t="shared" ca="1" si="47"/>
        <v>0.28628657970094379</v>
      </c>
      <c r="AX97" s="507">
        <f t="shared" ca="1" si="48"/>
        <v>-2.1501343804542983</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-2.1501343804542983</v>
      </c>
      <c r="BE97" s="550">
        <f t="shared" ca="1" si="51"/>
        <v>-2.0963810209429412</v>
      </c>
    </row>
    <row r="98" spans="1:57" x14ac:dyDescent="0.25">
      <c r="A98" s="60">
        <f t="shared" si="29"/>
        <v>0.56000000000000005</v>
      </c>
      <c r="B98" s="812"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1.4541818104672596E-3</v>
      </c>
      <c r="M98" s="559">
        <f t="shared" ca="1" si="34"/>
        <v>1.4541818104672596E-3</v>
      </c>
      <c r="N98" s="557" t="s">
        <v>336</v>
      </c>
      <c r="O98" s="559">
        <f t="shared" ca="1" si="35"/>
        <v>1.5871031933110281E-3</v>
      </c>
      <c r="P98" s="559">
        <f t="shared" ca="1" si="35"/>
        <v>1.5871031933110281E-3</v>
      </c>
      <c r="Q98" s="557" t="s">
        <v>336</v>
      </c>
      <c r="R98" s="558">
        <f t="shared" ca="1" si="36"/>
        <v>1.9097800474428082E-5</v>
      </c>
      <c r="S98" s="558">
        <f t="shared" ca="1" si="36"/>
        <v>1.9097800474428082E-5</v>
      </c>
      <c r="T98" s="557" t="s">
        <v>336</v>
      </c>
      <c r="U98" s="558">
        <f t="shared" ca="1" si="37"/>
        <v>2.0843459806750279E-5</v>
      </c>
      <c r="V98" s="558">
        <f t="shared" ca="1" si="37"/>
        <v>2.0843459806750279E-5</v>
      </c>
      <c r="W98" s="557" t="s">
        <v>336</v>
      </c>
      <c r="X98" s="559">
        <f t="shared" ca="1" si="38"/>
        <v>1.8665009596955436E-4</v>
      </c>
      <c r="Y98" s="559">
        <f t="shared" ca="1" si="38"/>
        <v>1.8665009596955436E-4</v>
      </c>
      <c r="Z98" s="557" t="s">
        <v>336</v>
      </c>
      <c r="AA98" s="559">
        <f t="shared" ca="1" si="39"/>
        <v>1.2549379315266566E-4</v>
      </c>
      <c r="AB98" s="559">
        <f t="shared" ca="1" si="39"/>
        <v>1.2549379315266566E-4</v>
      </c>
      <c r="AC98" s="557" t="s">
        <v>336</v>
      </c>
      <c r="AD98" s="558">
        <f t="shared" ca="1" si="40"/>
        <v>1.4352846491527535E-3</v>
      </c>
      <c r="AE98" s="558">
        <f t="shared" ca="1" si="40"/>
        <v>1.4352846491527535E-3</v>
      </c>
      <c r="AF98" s="557" t="s">
        <v>336</v>
      </c>
      <c r="AG98" s="558">
        <f t="shared" ca="1" si="41"/>
        <v>9.6501056664526075E-4</v>
      </c>
      <c r="AH98" s="558">
        <f t="shared" ca="1" si="41"/>
        <v>9.6501056664526075E-4</v>
      </c>
      <c r="AI98" s="557" t="s">
        <v>336</v>
      </c>
      <c r="AJ98" s="507">
        <f t="shared" ca="1" si="42"/>
        <v>1.4350840099928315E-3</v>
      </c>
      <c r="AK98" s="507">
        <f t="shared" ca="1" si="42"/>
        <v>1.4350840099928315E-3</v>
      </c>
      <c r="AL98" s="507">
        <f t="shared" ca="1" si="43"/>
        <v>1.5662597335042779E-3</v>
      </c>
      <c r="AM98" s="507">
        <f t="shared" ca="1" si="43"/>
        <v>1.5662597335042779E-3</v>
      </c>
      <c r="AN98" s="507">
        <f t="shared" ca="1" si="44"/>
        <v>-1.2486345531831991E-3</v>
      </c>
      <c r="AO98" s="507">
        <f t="shared" ca="1" si="44"/>
        <v>-1.2486345531831991E-3</v>
      </c>
      <c r="AP98" s="507">
        <f t="shared" ca="1" si="45"/>
        <v>-8.3951677349259506E-4</v>
      </c>
      <c r="AQ98" s="507">
        <f t="shared" ca="1" si="45"/>
        <v>-8.3951677349259506E-4</v>
      </c>
      <c r="AR98" s="812" t="s">
        <v>144</v>
      </c>
      <c r="AS98" s="812">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-1.9266357697207885</v>
      </c>
      <c r="BA98" s="507">
        <f t="shared" ca="1" si="49"/>
        <v>-1.9266357697207885</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2"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4.9050004406358504E-3</v>
      </c>
      <c r="M99" s="559">
        <f t="shared" ca="1" si="34"/>
        <v>4.9050004406358504E-3</v>
      </c>
      <c r="N99" s="557" t="s">
        <v>336</v>
      </c>
      <c r="O99" s="559">
        <f t="shared" ca="1" si="35"/>
        <v>5.3533483959779101E-3</v>
      </c>
      <c r="P99" s="559">
        <f t="shared" ca="1" si="35"/>
        <v>5.3533483959779101E-3</v>
      </c>
      <c r="Q99" s="557" t="s">
        <v>336</v>
      </c>
      <c r="R99" s="558">
        <f t="shared" ca="1" si="36"/>
        <v>8.9724339528220884E-5</v>
      </c>
      <c r="S99" s="558">
        <f t="shared" ca="1" si="36"/>
        <v>8.9724339528220884E-5</v>
      </c>
      <c r="T99" s="557" t="s">
        <v>336</v>
      </c>
      <c r="U99" s="558">
        <f t="shared" ca="1" si="37"/>
        <v>9.7925709672579066E-5</v>
      </c>
      <c r="V99" s="558">
        <f t="shared" ca="1" si="37"/>
        <v>9.7925709672579066E-5</v>
      </c>
      <c r="W99" s="557" t="s">
        <v>336</v>
      </c>
      <c r="X99" s="559">
        <f t="shared" ca="1" si="38"/>
        <v>6.2957657452833383E-4</v>
      </c>
      <c r="Y99" s="559">
        <f t="shared" ca="1" si="38"/>
        <v>6.2957657452833383E-4</v>
      </c>
      <c r="Z99" s="557" t="s">
        <v>336</v>
      </c>
      <c r="AA99" s="559">
        <f t="shared" ca="1" si="39"/>
        <v>4.2329446447490705E-4</v>
      </c>
      <c r="AB99" s="559">
        <f t="shared" ca="1" si="39"/>
        <v>4.2329446447490705E-4</v>
      </c>
      <c r="AC99" s="557" t="s">
        <v>336</v>
      </c>
      <c r="AD99" s="558">
        <f t="shared" ca="1" si="40"/>
        <v>6.7431831928845025E-3</v>
      </c>
      <c r="AE99" s="558">
        <f t="shared" ca="1" si="40"/>
        <v>6.7431831928845025E-3</v>
      </c>
      <c r="AF99" s="557" t="s">
        <v>336</v>
      </c>
      <c r="AG99" s="558">
        <f t="shared" ca="1" si="41"/>
        <v>4.5337648095097292E-3</v>
      </c>
      <c r="AH99" s="558">
        <f t="shared" ca="1" si="41"/>
        <v>4.5337648095097292E-3</v>
      </c>
      <c r="AI99" s="557" t="s">
        <v>336</v>
      </c>
      <c r="AJ99" s="507">
        <f t="shared" ca="1" si="42"/>
        <v>4.8152761011076295E-3</v>
      </c>
      <c r="AK99" s="507">
        <f t="shared" ca="1" si="42"/>
        <v>4.8152761011076295E-3</v>
      </c>
      <c r="AL99" s="507">
        <f t="shared" ca="1" si="43"/>
        <v>5.2554226863053312E-3</v>
      </c>
      <c r="AM99" s="507">
        <f t="shared" ca="1" si="43"/>
        <v>5.2554226863053312E-3</v>
      </c>
      <c r="AN99" s="507">
        <f t="shared" ca="1" si="44"/>
        <v>-6.1136066183561689E-3</v>
      </c>
      <c r="AO99" s="507">
        <f t="shared" ca="1" si="44"/>
        <v>-6.1136066183561689E-3</v>
      </c>
      <c r="AP99" s="507">
        <f t="shared" ca="1" si="45"/>
        <v>-4.1104703450348225E-3</v>
      </c>
      <c r="AQ99" s="507">
        <f t="shared" ca="1" si="45"/>
        <v>-4.1104703450348225E-3</v>
      </c>
      <c r="AR99" s="812" t="s">
        <v>145</v>
      </c>
      <c r="AS99" s="812">
        <v>2104008420</v>
      </c>
      <c r="AT99" s="507">
        <f t="shared" ca="1" si="46"/>
        <v>0.28273178237252561</v>
      </c>
      <c r="AU99" s="507">
        <f t="shared" ca="1" si="46"/>
        <v>0.28273178237252561</v>
      </c>
      <c r="AV99" s="507">
        <f t="shared" ca="1" si="47"/>
        <v>0.28273178237252561</v>
      </c>
      <c r="AW99" s="507">
        <f t="shared" ca="1" si="47"/>
        <v>0.28273178237252561</v>
      </c>
      <c r="AX99" s="507">
        <f t="shared" ca="1" si="48"/>
        <v>-2.7966712506825275</v>
      </c>
      <c r="AY99" s="507">
        <f t="shared" ca="1" si="48"/>
        <v>-2.7966712506825275</v>
      </c>
      <c r="AZ99" s="507">
        <f t="shared" ca="1" si="49"/>
        <v>-2.7966712506825275</v>
      </c>
      <c r="BA99" s="507">
        <f t="shared" ca="1" si="49"/>
        <v>-2.7966712506825275</v>
      </c>
      <c r="BB99" s="550">
        <f t="shared" ca="1" si="50"/>
        <v>0.28273178237252561</v>
      </c>
      <c r="BC99" s="550">
        <f t="shared" ca="1" si="50"/>
        <v>0.28273178237252561</v>
      </c>
      <c r="BD99" s="550">
        <f t="shared" ca="1" si="51"/>
        <v>-2.7966712506825275</v>
      </c>
      <c r="BE99" s="550">
        <f t="shared" ca="1" si="51"/>
        <v>-2.7966712506825275</v>
      </c>
    </row>
    <row r="100" spans="1:57" x14ac:dyDescent="0.25">
      <c r="A100" s="60">
        <f t="shared" si="29"/>
        <v>0.43</v>
      </c>
      <c r="B100" s="812"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2.2503087700580356E-2</v>
      </c>
      <c r="M100" s="559">
        <f t="shared" ca="1" si="34"/>
        <v>2.436970327021375E-2</v>
      </c>
      <c r="N100" s="557" t="s">
        <v>336</v>
      </c>
      <c r="O100" s="559">
        <f t="shared" ca="1" si="35"/>
        <v>2.4560011748099984E-2</v>
      </c>
      <c r="P100" s="559">
        <f t="shared" ca="1" si="35"/>
        <v>2.6597247745638229E-2</v>
      </c>
      <c r="Q100" s="557" t="s">
        <v>336</v>
      </c>
      <c r="R100" s="558">
        <f t="shared" ca="1" si="36"/>
        <v>7.1235084120508321E-5</v>
      </c>
      <c r="S100" s="558">
        <f t="shared" ca="1" si="36"/>
        <v>7.7143985107462932E-5</v>
      </c>
      <c r="T100" s="557" t="s">
        <v>336</v>
      </c>
      <c r="U100" s="558">
        <f t="shared" ca="1" si="37"/>
        <v>7.7746419787158997E-5</v>
      </c>
      <c r="V100" s="558">
        <f t="shared" ca="1" si="37"/>
        <v>8.4195431566739E-5</v>
      </c>
      <c r="W100" s="557" t="s">
        <v>336</v>
      </c>
      <c r="X100" s="559">
        <f t="shared" ca="1" si="38"/>
        <v>1.0827532651143015E-3</v>
      </c>
      <c r="Y100" s="559">
        <f t="shared" ca="1" si="38"/>
        <v>1.1725669000085751E-3</v>
      </c>
      <c r="Z100" s="557" t="s">
        <v>336</v>
      </c>
      <c r="AA100" s="559">
        <f t="shared" ca="1" si="39"/>
        <v>7.2798684394885873E-4</v>
      </c>
      <c r="AB100" s="559">
        <f t="shared" ca="1" si="39"/>
        <v>7.8837284943770417E-4</v>
      </c>
      <c r="AC100" s="557" t="s">
        <v>336</v>
      </c>
      <c r="AD100" s="558">
        <f t="shared" ca="1" si="40"/>
        <v>5.3536334121918033E-3</v>
      </c>
      <c r="AE100" s="558">
        <f t="shared" ca="1" si="40"/>
        <v>5.7977136030648553E-3</v>
      </c>
      <c r="AF100" s="557" t="s">
        <v>336</v>
      </c>
      <c r="AG100" s="558">
        <f t="shared" ca="1" si="41"/>
        <v>3.5995039839378752E-3</v>
      </c>
      <c r="AH100" s="558">
        <f t="shared" ca="1" si="41"/>
        <v>3.8980803512691274E-3</v>
      </c>
      <c r="AI100" s="557" t="s">
        <v>336</v>
      </c>
      <c r="AJ100" s="507">
        <f t="shared" ca="1" si="42"/>
        <v>2.2431852616459847E-2</v>
      </c>
      <c r="AK100" s="507">
        <f t="shared" ca="1" si="42"/>
        <v>2.4292559285106288E-2</v>
      </c>
      <c r="AL100" s="507">
        <f t="shared" ca="1" si="43"/>
        <v>2.4482265328312824E-2</v>
      </c>
      <c r="AM100" s="507">
        <f t="shared" ca="1" si="43"/>
        <v>2.651305231407149E-2</v>
      </c>
      <c r="AN100" s="507">
        <f t="shared" ca="1" si="44"/>
        <v>-4.2708801470775016E-3</v>
      </c>
      <c r="AO100" s="507">
        <f t="shared" ca="1" si="44"/>
        <v>-4.62514670305628E-3</v>
      </c>
      <c r="AP100" s="507">
        <f t="shared" ca="1" si="45"/>
        <v>-2.8715171399890166E-3</v>
      </c>
      <c r="AQ100" s="507">
        <f t="shared" ca="1" si="45"/>
        <v>-3.1097075018314234E-3</v>
      </c>
      <c r="AR100" s="812" t="s">
        <v>146</v>
      </c>
      <c r="AS100" s="812">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-1.0489921575897505</v>
      </c>
      <c r="AY100" s="507">
        <f t="shared" ca="1" si="48"/>
        <v>-1.1360053319520338</v>
      </c>
      <c r="AZ100" s="507">
        <f t="shared" ca="1" si="49"/>
        <v>-1.0489921575897505</v>
      </c>
      <c r="BA100" s="507">
        <f t="shared" ca="1" si="49"/>
        <v>-1.136005331952034</v>
      </c>
      <c r="BB100" s="550">
        <f t="shared" ca="1" si="50"/>
        <v>0.26509857267883641</v>
      </c>
      <c r="BC100" s="550">
        <f t="shared" ca="1" si="50"/>
        <v>0.28708831603468465</v>
      </c>
      <c r="BD100" s="550">
        <f t="shared" ca="1" si="51"/>
        <v>-1.0489921575897503</v>
      </c>
      <c r="BE100" s="550">
        <f t="shared" ca="1" si="51"/>
        <v>-1.1360053319520338</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0.24618713146703733</v>
      </c>
      <c r="AY106" s="507">
        <f t="shared" ca="1" si="61"/>
        <v>0.24618713146703733</v>
      </c>
      <c r="AZ106" s="507">
        <f t="shared" ca="1" si="62"/>
        <v>0.24394492861149722</v>
      </c>
      <c r="BA106" s="507">
        <f t="shared" ca="1" si="62"/>
        <v>0.24394492861149722</v>
      </c>
      <c r="BB106" s="550">
        <f t="shared" ca="1" si="50"/>
        <v>0.29896926355238951</v>
      </c>
      <c r="BC106" s="550">
        <f t="shared" ca="1" si="50"/>
        <v>0.29896926355238951</v>
      </c>
      <c r="BD106" s="550">
        <f t="shared" ca="1" si="51"/>
        <v>0.2461871314670373</v>
      </c>
      <c r="BE106" s="550">
        <f t="shared" ca="1" si="51"/>
        <v>0.2461871314670373</v>
      </c>
    </row>
    <row r="107" spans="1:57" x14ac:dyDescent="0.25">
      <c r="A107" s="60">
        <f t="shared" si="29"/>
        <v>0.43</v>
      </c>
      <c r="B107" s="812"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1.0092919302428949E-2</v>
      </c>
      <c r="M107" s="133">
        <f t="shared" ca="1" si="52"/>
        <v>1.0092919302428949E-2</v>
      </c>
      <c r="N107" s="551" t="s">
        <v>336</v>
      </c>
      <c r="O107" s="133">
        <f t="shared" ca="1" si="53"/>
        <v>1.1015475739975326E-2</v>
      </c>
      <c r="P107" s="133">
        <f t="shared" ca="1" si="53"/>
        <v>1.1015475739975326E-2</v>
      </c>
      <c r="Q107" s="551" t="s">
        <v>336</v>
      </c>
      <c r="R107" s="58">
        <f t="shared" ca="1" si="54"/>
        <v>3.4677132626018309E-5</v>
      </c>
      <c r="S107" s="58">
        <f t="shared" ca="1" si="54"/>
        <v>3.4677132626018309E-5</v>
      </c>
      <c r="T107" s="551" t="s">
        <v>336</v>
      </c>
      <c r="U107" s="58">
        <f t="shared" ca="1" si="55"/>
        <v>3.7846841109874272E-5</v>
      </c>
      <c r="V107" s="58">
        <f t="shared" ca="1" si="55"/>
        <v>3.7846841109874272E-5</v>
      </c>
      <c r="W107" s="551" t="s">
        <v>336</v>
      </c>
      <c r="X107" s="133">
        <f t="shared" ca="1" si="56"/>
        <v>1.3947751861464757E-2</v>
      </c>
      <c r="Y107" s="133">
        <f t="shared" ca="1" si="56"/>
        <v>1.3947751861464757E-2</v>
      </c>
      <c r="Z107" s="551" t="s">
        <v>336</v>
      </c>
      <c r="AA107" s="133">
        <f t="shared" ca="1" si="57"/>
        <v>9.3777411576197456E-3</v>
      </c>
      <c r="AB107" s="133">
        <f t="shared" ca="1" si="57"/>
        <v>9.3777411576197456E-3</v>
      </c>
      <c r="AC107" s="551" t="s">
        <v>336</v>
      </c>
      <c r="AD107" s="58">
        <f t="shared" ca="1" si="40"/>
        <v>2.5018951241712953E-3</v>
      </c>
      <c r="AE107" s="58">
        <f t="shared" ca="1" si="40"/>
        <v>2.5018951241712953E-3</v>
      </c>
      <c r="AF107" s="551" t="s">
        <v>336</v>
      </c>
      <c r="AG107" s="58">
        <f t="shared" ca="1" si="58"/>
        <v>1.7522331668442526E-3</v>
      </c>
      <c r="AH107" s="58">
        <f t="shared" ca="1" si="58"/>
        <v>1.7522331668442526E-3</v>
      </c>
      <c r="AI107" s="551" t="s">
        <v>336</v>
      </c>
      <c r="AJ107" s="507">
        <f t="shared" ca="1" si="42"/>
        <v>1.0058242169802931E-2</v>
      </c>
      <c r="AK107" s="507">
        <f t="shared" ca="1" si="42"/>
        <v>1.0058242169802931E-2</v>
      </c>
      <c r="AL107" s="507">
        <f t="shared" ca="1" si="43"/>
        <v>1.0977628898865452E-2</v>
      </c>
      <c r="AM107" s="507">
        <f t="shared" ca="1" si="43"/>
        <v>1.0977628898865452E-2</v>
      </c>
      <c r="AN107" s="507">
        <f t="shared" ca="1" si="44"/>
        <v>1.1445856737293461E-2</v>
      </c>
      <c r="AO107" s="507">
        <f t="shared" ca="1" si="44"/>
        <v>1.1445856737293461E-2</v>
      </c>
      <c r="AP107" s="507">
        <f t="shared" ca="1" si="45"/>
        <v>7.625507990775493E-3</v>
      </c>
      <c r="AQ107" s="507">
        <f t="shared" ca="1" si="45"/>
        <v>7.625507990775493E-3</v>
      </c>
      <c r="AR107" s="812" t="s">
        <v>152</v>
      </c>
      <c r="AS107" s="812">
        <v>2103002000</v>
      </c>
      <c r="AT107" s="507">
        <f t="shared" ca="1" si="59"/>
        <v>0.29896926355238945</v>
      </c>
      <c r="AU107" s="507">
        <f t="shared" ca="1" si="59"/>
        <v>0.29896926355238945</v>
      </c>
      <c r="AV107" s="507">
        <f t="shared" ca="1" si="60"/>
        <v>0.29896926355238951</v>
      </c>
      <c r="AW107" s="507">
        <f t="shared" ca="1" si="60"/>
        <v>0.29896926355238951</v>
      </c>
      <c r="AX107" s="507">
        <f t="shared" ca="1" si="61"/>
        <v>0.2461871314670373</v>
      </c>
      <c r="AY107" s="507">
        <f t="shared" ca="1" si="61"/>
        <v>0.2461871314670373</v>
      </c>
      <c r="AZ107" s="507">
        <f t="shared" ca="1" si="62"/>
        <v>0.24394492861149725</v>
      </c>
      <c r="BA107" s="507">
        <f t="shared" ca="1" si="62"/>
        <v>0.24394492861149725</v>
      </c>
      <c r="BB107" s="550">
        <f t="shared" ca="1" si="50"/>
        <v>0.29896926355238951</v>
      </c>
      <c r="BC107" s="550">
        <f t="shared" ca="1" si="50"/>
        <v>0.29896926355238951</v>
      </c>
      <c r="BD107" s="550">
        <f t="shared" ca="1" si="51"/>
        <v>0.2461871314670373</v>
      </c>
      <c r="BE107" s="550">
        <f t="shared" ca="1" si="51"/>
        <v>0.2461871314670373</v>
      </c>
    </row>
    <row r="108" spans="1:57" x14ac:dyDescent="0.25">
      <c r="A108" s="60">
        <f>A107</f>
        <v>0.43</v>
      </c>
      <c r="B108" s="812"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2.9703816529298972E-5</v>
      </c>
      <c r="M108" s="133">
        <f t="shared" ca="1" si="52"/>
        <v>2.9703816529298972E-5</v>
      </c>
      <c r="N108" s="551" t="s">
        <v>336</v>
      </c>
      <c r="O108" s="133">
        <f t="shared" ca="1" si="53"/>
        <v>3.2418932576269287E-5</v>
      </c>
      <c r="P108" s="133">
        <f t="shared" ca="1" si="53"/>
        <v>3.2418932576269287E-5</v>
      </c>
      <c r="Q108" s="551" t="s">
        <v>336</v>
      </c>
      <c r="R108" s="58">
        <f t="shared" ca="1" si="54"/>
        <v>1.0205602109961648E-7</v>
      </c>
      <c r="S108" s="58">
        <f t="shared" ca="1" si="54"/>
        <v>1.0205602109961648E-7</v>
      </c>
      <c r="T108" s="551" t="s">
        <v>336</v>
      </c>
      <c r="U108" s="58">
        <f t="shared" ca="1" si="55"/>
        <v>1.1138458466329835E-7</v>
      </c>
      <c r="V108" s="58">
        <f t="shared" ca="1" si="55"/>
        <v>1.1138458466329835E-7</v>
      </c>
      <c r="W108" s="551" t="s">
        <v>336</v>
      </c>
      <c r="X108" s="133">
        <f t="shared" ca="1" si="56"/>
        <v>4.1048724345733355E-5</v>
      </c>
      <c r="Y108" s="133">
        <f t="shared" ca="1" si="56"/>
        <v>4.1048724345733355E-5</v>
      </c>
      <c r="Z108" s="551" t="s">
        <v>336</v>
      </c>
      <c r="AA108" s="133">
        <f t="shared" ca="1" si="57"/>
        <v>2.7599022092463978E-5</v>
      </c>
      <c r="AB108" s="133">
        <f t="shared" ca="1" si="57"/>
        <v>2.7599022092463978E-5</v>
      </c>
      <c r="AC108" s="551" t="s">
        <v>336</v>
      </c>
      <c r="AD108" s="58">
        <f t="shared" ca="1" si="40"/>
        <v>7.3631653555425804E-6</v>
      </c>
      <c r="AE108" s="58">
        <f t="shared" ca="1" si="40"/>
        <v>7.3631653555425804E-6</v>
      </c>
      <c r="AF108" s="551" t="s">
        <v>336</v>
      </c>
      <c r="AG108" s="58">
        <f t="shared" ca="1" si="58"/>
        <v>5.1568838454864479E-6</v>
      </c>
      <c r="AH108" s="58">
        <f t="shared" ca="1" si="58"/>
        <v>5.1568838454864479E-6</v>
      </c>
      <c r="AI108" s="551" t="s">
        <v>336</v>
      </c>
      <c r="AJ108" s="507">
        <f t="shared" ca="1" si="42"/>
        <v>2.9601760508199354E-5</v>
      </c>
      <c r="AK108" s="507">
        <f t="shared" ca="1" si="42"/>
        <v>2.9601760508199354E-5</v>
      </c>
      <c r="AL108" s="507">
        <f t="shared" ca="1" si="43"/>
        <v>3.2307547991605991E-5</v>
      </c>
      <c r="AM108" s="507">
        <f t="shared" ca="1" si="43"/>
        <v>3.2307547991605991E-5</v>
      </c>
      <c r="AN108" s="507">
        <f t="shared" ca="1" si="44"/>
        <v>3.3685558990190772E-5</v>
      </c>
      <c r="AO108" s="507">
        <f t="shared" ca="1" si="44"/>
        <v>3.3685558990190772E-5</v>
      </c>
      <c r="AP108" s="507">
        <f t="shared" ca="1" si="45"/>
        <v>2.2442138246977532E-5</v>
      </c>
      <c r="AQ108" s="507">
        <f t="shared" ca="1" si="45"/>
        <v>2.2442138246977532E-5</v>
      </c>
      <c r="AR108" s="812" t="s">
        <v>153</v>
      </c>
      <c r="AS108" s="812">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-2.0457452173628474</v>
      </c>
      <c r="BA108" s="507">
        <f t="shared" ca="1" si="62"/>
        <v>-2.0457452173628474</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2"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2.9096002910318664E-5</v>
      </c>
      <c r="M109" s="133">
        <f t="shared" ca="1" si="52"/>
        <v>2.9096002910318664E-5</v>
      </c>
      <c r="N109" s="551" t="s">
        <v>336</v>
      </c>
      <c r="O109" s="133">
        <f t="shared" ca="1" si="53"/>
        <v>3.1755560961607416E-5</v>
      </c>
      <c r="P109" s="133">
        <f t="shared" ca="1" si="53"/>
        <v>3.1755560961607416E-5</v>
      </c>
      <c r="Q109" s="551" t="s">
        <v>336</v>
      </c>
      <c r="R109" s="58">
        <f t="shared" ca="1" si="54"/>
        <v>1.8140252442957723E-7</v>
      </c>
      <c r="S109" s="58">
        <f t="shared" ca="1" si="54"/>
        <v>1.8140252442957723E-7</v>
      </c>
      <c r="T109" s="551" t="s">
        <v>336</v>
      </c>
      <c r="U109" s="58">
        <f t="shared" ca="1" si="55"/>
        <v>1.9798385850002747E-7</v>
      </c>
      <c r="V109" s="58">
        <f t="shared" ca="1" si="55"/>
        <v>1.9798385850002747E-7</v>
      </c>
      <c r="W109" s="551" t="s">
        <v>336</v>
      </c>
      <c r="X109" s="133">
        <f t="shared" ca="1" si="56"/>
        <v>1.0104684702700147E-6</v>
      </c>
      <c r="Y109" s="133">
        <f t="shared" ca="1" si="56"/>
        <v>1.0104684702700147E-6</v>
      </c>
      <c r="Z109" s="551" t="s">
        <v>336</v>
      </c>
      <c r="AA109" s="133">
        <f t="shared" ca="1" si="57"/>
        <v>6.7938631660837763E-7</v>
      </c>
      <c r="AB109" s="133">
        <f t="shared" ca="1" si="57"/>
        <v>6.7938631660837763E-7</v>
      </c>
      <c r="AC109" s="551" t="s">
        <v>336</v>
      </c>
      <c r="AD109" s="58">
        <f t="shared" ca="1" si="40"/>
        <v>7.5849650605818863E-6</v>
      </c>
      <c r="AE109" s="58">
        <f t="shared" ca="1" si="40"/>
        <v>7.5849650605818863E-6</v>
      </c>
      <c r="AF109" s="551" t="s">
        <v>336</v>
      </c>
      <c r="AG109" s="58">
        <f t="shared" ca="1" si="58"/>
        <v>5.3122240097528767E-6</v>
      </c>
      <c r="AH109" s="58">
        <f t="shared" ca="1" si="58"/>
        <v>5.3122240097528767E-6</v>
      </c>
      <c r="AI109" s="551" t="s">
        <v>336</v>
      </c>
      <c r="AJ109" s="507">
        <f t="shared" ca="1" si="42"/>
        <v>2.8914600385889087E-5</v>
      </c>
      <c r="AK109" s="507">
        <f t="shared" ca="1" si="42"/>
        <v>2.8914600385889087E-5</v>
      </c>
      <c r="AL109" s="507">
        <f t="shared" ca="1" si="43"/>
        <v>3.1557577103107391E-5</v>
      </c>
      <c r="AM109" s="507">
        <f t="shared" ca="1" si="43"/>
        <v>3.1557577103107391E-5</v>
      </c>
      <c r="AN109" s="507">
        <f t="shared" ca="1" si="44"/>
        <v>-6.5744965903118716E-6</v>
      </c>
      <c r="AO109" s="507">
        <f t="shared" ca="1" si="44"/>
        <v>-6.5744965903118716E-6</v>
      </c>
      <c r="AP109" s="507">
        <f t="shared" ca="1" si="45"/>
        <v>-4.6328376931444989E-6</v>
      </c>
      <c r="AQ109" s="507">
        <f t="shared" ca="1" si="45"/>
        <v>-4.6328376931444989E-6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6.7620181673086241E-2</v>
      </c>
      <c r="AY109" s="541">
        <f t="shared" ca="1" si="61"/>
        <v>6.7620181673086241E-2</v>
      </c>
      <c r="AZ109" s="541">
        <f t="shared" ca="1" si="62"/>
        <v>5.7937689242798115E-2</v>
      </c>
      <c r="BA109" s="541">
        <f t="shared" ca="1" si="62"/>
        <v>5.7937689242798115E-2</v>
      </c>
      <c r="BB109" s="550">
        <f t="shared" ca="1" si="50"/>
        <v>0.27283781949599384</v>
      </c>
      <c r="BC109" s="550">
        <f t="shared" ca="1" si="50"/>
        <v>0.27283781949599384</v>
      </c>
      <c r="BD109" s="550">
        <f t="shared" ca="1" si="51"/>
        <v>6.7620181673086255E-2</v>
      </c>
      <c r="BE109" s="550">
        <f t="shared" ca="1" si="51"/>
        <v>6.7620181673086255E-2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2.6711608121688247E-4</v>
      </c>
      <c r="M110" s="544">
        <f t="shared" ca="1" si="52"/>
        <v>2.6711608121688247E-4</v>
      </c>
      <c r="N110" s="542" t="s">
        <v>336</v>
      </c>
      <c r="O110" s="544">
        <f t="shared" ca="1" si="53"/>
        <v>2.9153217461014779E-4</v>
      </c>
      <c r="P110" s="544">
        <f t="shared" ca="1" si="53"/>
        <v>2.9153217461014779E-4</v>
      </c>
      <c r="Q110" s="542" t="s">
        <v>336</v>
      </c>
      <c r="R110" s="543">
        <f t="shared" ca="1" si="54"/>
        <v>2.4184850711785797E-5</v>
      </c>
      <c r="S110" s="543">
        <f t="shared" ca="1" si="54"/>
        <v>2.4184850711785797E-5</v>
      </c>
      <c r="T110" s="542" t="s">
        <v>336</v>
      </c>
      <c r="U110" s="543">
        <f t="shared" ca="1" si="55"/>
        <v>2.6395498498287615E-5</v>
      </c>
      <c r="V110" s="543">
        <f t="shared" ca="1" si="55"/>
        <v>2.6395498498287615E-5</v>
      </c>
      <c r="W110" s="542" t="s">
        <v>336</v>
      </c>
      <c r="X110" s="544">
        <f t="shared" ca="1" si="56"/>
        <v>2.2526420099029062E-3</v>
      </c>
      <c r="Y110" s="544">
        <f t="shared" ca="1" si="56"/>
        <v>2.2526420099029062E-3</v>
      </c>
      <c r="Z110" s="542" t="s">
        <v>336</v>
      </c>
      <c r="AA110" s="544">
        <f t="shared" ca="1" si="57"/>
        <v>1.514559041447651E-3</v>
      </c>
      <c r="AB110" s="544">
        <f t="shared" ca="1" si="57"/>
        <v>1.514559041447651E-3</v>
      </c>
      <c r="AC110" s="542" t="s">
        <v>336</v>
      </c>
      <c r="AD110" s="543">
        <f t="shared" ca="1" si="40"/>
        <v>1.7448951367227041E-3</v>
      </c>
      <c r="AE110" s="543">
        <f t="shared" ca="1" si="40"/>
        <v>1.7448951367227041E-3</v>
      </c>
      <c r="AF110" s="542" t="s">
        <v>336</v>
      </c>
      <c r="AG110" s="543">
        <f t="shared" ca="1" si="58"/>
        <v>1.2220588711701038E-3</v>
      </c>
      <c r="AH110" s="543">
        <f t="shared" ca="1" si="58"/>
        <v>1.2220588711701038E-3</v>
      </c>
      <c r="AI110" s="542" t="s">
        <v>336</v>
      </c>
      <c r="AJ110" s="541">
        <f t="shared" ca="1" si="42"/>
        <v>2.4293123050509667E-4</v>
      </c>
      <c r="AK110" s="541">
        <f t="shared" ca="1" si="42"/>
        <v>2.4293123050509667E-4</v>
      </c>
      <c r="AL110" s="541">
        <f t="shared" ca="1" si="43"/>
        <v>2.651366761118602E-4</v>
      </c>
      <c r="AM110" s="541">
        <f t="shared" ca="1" si="43"/>
        <v>2.651366761118602E-4</v>
      </c>
      <c r="AN110" s="541">
        <f t="shared" ca="1" si="44"/>
        <v>5.0774687318020208E-4</v>
      </c>
      <c r="AO110" s="541">
        <f t="shared" ca="1" si="44"/>
        <v>5.0774687318020208E-4</v>
      </c>
      <c r="AP110" s="541">
        <f t="shared" ca="1" si="45"/>
        <v>2.9250017027754728E-4</v>
      </c>
      <c r="AQ110" s="541">
        <f t="shared" ca="1" si="45"/>
        <v>2.9250017027754728E-4</v>
      </c>
      <c r="AR110" s="810"/>
      <c r="AS110" s="810" t="s">
        <v>249</v>
      </c>
      <c r="AT110" s="506">
        <f ca="1">AJ111/SUM($C40:$C59)</f>
        <v>0.20682804603975508</v>
      </c>
      <c r="AU110" s="506">
        <f ca="1">AK111/SUM($C40:$C59)</f>
        <v>0.27841986863970791</v>
      </c>
      <c r="AV110" s="506">
        <f ca="1">AL111/SUM($C60:$C79)</f>
        <v>0.20682804603975505</v>
      </c>
      <c r="AW110" s="506">
        <f ca="1">AM111/SUM($C60:$C79)</f>
        <v>0.27841986863970791</v>
      </c>
      <c r="AX110" s="506">
        <f ca="1">AN111/SUM($J40:$J59)</f>
        <v>-2.9214608751734528E-2</v>
      </c>
      <c r="AY110" s="506">
        <f ca="1">AO111/SUM($J40:$J59)</f>
        <v>-2.8705884192637754E-2</v>
      </c>
      <c r="AZ110" s="506">
        <f ca="1">AP111/SUM($J60:$J79)</f>
        <v>-2.9315838566036718E-2</v>
      </c>
      <c r="BA110" s="506">
        <f ca="1">AQ111/SUM($J60:$J79)</f>
        <v>-2.8807114006939943E-2</v>
      </c>
      <c r="BB110" s="506"/>
      <c r="BC110" s="506"/>
      <c r="BD110" s="506"/>
      <c r="BE110" s="506"/>
    </row>
    <row r="111" spans="1:57" ht="15.75" thickTop="1" x14ac:dyDescent="0.25">
      <c r="K111" s="244" t="s">
        <v>784</v>
      </c>
      <c r="L111" s="137">
        <f ca="1">SUM(L91:L110)</f>
        <v>0.19592477080997511</v>
      </c>
      <c r="M111" s="137">
        <f ca="1">SUM(M91:M110)</f>
        <v>0.26338566830109694</v>
      </c>
      <c r="N111" s="540" t="s">
        <v>336</v>
      </c>
      <c r="O111" s="137">
        <f ca="1">SUM(O91:O110)</f>
        <v>0.21383352972990843</v>
      </c>
      <c r="P111" s="137">
        <f ca="1">SUM(P91:P110)</f>
        <v>0.2874607784419414</v>
      </c>
      <c r="Q111" s="540" t="s">
        <v>336</v>
      </c>
      <c r="R111" s="137">
        <f ca="1">SUM(R91:R110)</f>
        <v>1.0302557070129856E-3</v>
      </c>
      <c r="S111" s="137">
        <f ca="1">SUM(S91:S110)</f>
        <v>1.0300239261734577E-3</v>
      </c>
      <c r="T111" s="540" t="s">
        <v>336</v>
      </c>
      <c r="U111" s="137">
        <f ca="1">SUM(U91:U110)</f>
        <v>1.1244275720941807E-3</v>
      </c>
      <c r="V111" s="137">
        <f ca="1">SUM(V91:V110)</f>
        <v>1.1241746050250595E-3</v>
      </c>
      <c r="W111" s="540" t="s">
        <v>336</v>
      </c>
      <c r="X111" s="137">
        <f ca="1">SUM(X91:X110)</f>
        <v>2.5998143688156828E-2</v>
      </c>
      <c r="Y111" s="137">
        <f ca="1">SUM(Y91:Y110)</f>
        <v>2.6873104287476263E-2</v>
      </c>
      <c r="Z111" s="540" t="s">
        <v>336</v>
      </c>
      <c r="AA111" s="137">
        <f ca="1">SUM(AA91:AA110)</f>
        <v>1.7479796350530756E-2</v>
      </c>
      <c r="AB111" s="137">
        <f ca="1">SUM(AB91:AB110)</f>
        <v>1.8068074239686711E-2</v>
      </c>
      <c r="AC111" s="540" t="s">
        <v>336</v>
      </c>
      <c r="AD111" s="137">
        <f ca="1">SUM(AD91:AD110)</f>
        <v>7.724499413542435E-2</v>
      </c>
      <c r="AE111" s="137">
        <f ca="1">SUM(AE91:AE110)</f>
        <v>7.7227574774415331E-2</v>
      </c>
      <c r="AF111" s="540" t="s">
        <v>336</v>
      </c>
      <c r="AG111" s="137">
        <f ca="1">SUM(AG91:AG110)</f>
        <v>5.2054897179734494E-2</v>
      </c>
      <c r="AH111" s="137">
        <f ca="1">SUM(AH91:AH110)</f>
        <v>5.2043185309585377E-2</v>
      </c>
      <c r="AI111" s="540" t="s">
        <v>336</v>
      </c>
      <c r="AJ111" s="506">
        <f t="shared" ref="AJ111:AQ111" ca="1" si="64">SUM(AJ91:AJ110)</f>
        <v>0.19489451510296216</v>
      </c>
      <c r="AK111" s="506">
        <f t="shared" ca="1" si="64"/>
        <v>0.26235564437492354</v>
      </c>
      <c r="AL111" s="506">
        <f t="shared" ca="1" si="64"/>
        <v>0.21270910215781422</v>
      </c>
      <c r="AM111" s="506">
        <f t="shared" ca="1" si="64"/>
        <v>0.28633660383691639</v>
      </c>
      <c r="AN111" s="506">
        <f t="shared" ca="1" si="64"/>
        <v>-5.1246850447267546E-2</v>
      </c>
      <c r="AO111" s="506">
        <f t="shared" ca="1" si="64"/>
        <v>-5.0354470486939078E-2</v>
      </c>
      <c r="AP111" s="506">
        <f t="shared" ca="1" si="64"/>
        <v>-3.4575100829203724E-2</v>
      </c>
      <c r="AQ111" s="506">
        <f t="shared" ca="1" si="64"/>
        <v>-3.3975111069898638E-2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53"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0.40760361726077637</v>
      </c>
      <c r="AK113" s="506">
        <f ca="1">AK111+AM111</f>
        <v>0.54869224821183993</v>
      </c>
      <c r="AM113" s="506"/>
    </row>
    <row r="114" spans="1:53" x14ac:dyDescent="0.25">
      <c r="K114" s="244"/>
    </row>
    <row r="116" spans="1:53" ht="15.75" x14ac:dyDescent="0.25">
      <c r="A116" s="867" t="s">
        <v>787</v>
      </c>
      <c r="B116" s="867"/>
      <c r="C116" s="867"/>
      <c r="D116" s="867"/>
      <c r="E116" s="867"/>
      <c r="F116" s="867"/>
      <c r="G116" s="867"/>
      <c r="H116" s="867"/>
      <c r="I116" s="867"/>
      <c r="J116" s="867"/>
      <c r="K116" s="867"/>
      <c r="L116" s="867"/>
      <c r="M116" s="867"/>
      <c r="N116" s="867"/>
      <c r="O116" s="867"/>
      <c r="P116" s="867"/>
      <c r="AI116" s="264"/>
      <c r="AJ116" s="507"/>
      <c r="AK116" s="507"/>
      <c r="AL116" s="507"/>
      <c r="AM116" s="507"/>
      <c r="AN116" s="507"/>
      <c r="AO116" s="507"/>
      <c r="AP116" s="507"/>
      <c r="AQ116" s="507"/>
      <c r="AS116" s="264"/>
      <c r="AT116" s="507"/>
      <c r="AU116" s="507"/>
      <c r="AV116" s="507"/>
      <c r="AW116" s="507"/>
      <c r="AX116" s="507"/>
      <c r="AY116" s="507"/>
      <c r="AZ116" s="507"/>
      <c r="BA116" s="507"/>
    </row>
    <row r="117" spans="1:53" x14ac:dyDescent="0.25">
      <c r="A117" s="812"/>
      <c r="B117" s="812"/>
      <c r="C117" s="845" t="s">
        <v>788</v>
      </c>
      <c r="D117" s="845"/>
      <c r="E117" s="845"/>
      <c r="F117" s="845"/>
      <c r="G117" s="845"/>
      <c r="H117" s="845"/>
      <c r="I117" s="845"/>
      <c r="J117" s="845" t="s">
        <v>789</v>
      </c>
      <c r="K117" s="845"/>
      <c r="L117" s="845"/>
      <c r="M117" s="845"/>
      <c r="N117" s="845"/>
      <c r="O117" s="845"/>
      <c r="P117" s="845"/>
      <c r="AI117" s="264"/>
      <c r="AJ117" s="507"/>
      <c r="AK117" s="507"/>
      <c r="AL117" s="507"/>
      <c r="AM117" s="507"/>
      <c r="AN117" s="507"/>
      <c r="AO117" s="507"/>
      <c r="AP117" s="507"/>
      <c r="AQ117" s="507"/>
      <c r="AS117" s="264"/>
      <c r="AT117" s="507"/>
      <c r="AU117" s="507"/>
      <c r="AV117" s="507"/>
      <c r="AW117" s="507"/>
      <c r="AX117" s="507"/>
      <c r="AY117" s="507"/>
      <c r="AZ117" s="507"/>
      <c r="BA117" s="507"/>
    </row>
    <row r="118" spans="1:53"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53" ht="15.75" thickTop="1" x14ac:dyDescent="0.25">
      <c r="A119" s="812" t="s">
        <v>101</v>
      </c>
      <c r="B119" s="812" t="s">
        <v>752</v>
      </c>
      <c r="C119" s="539">
        <f t="shared" ref="C119:E120" ca="1" si="65">C32</f>
        <v>0.94230216276133483</v>
      </c>
      <c r="D119" s="539">
        <f t="shared" ca="1" si="65"/>
        <v>0.94230216276133483</v>
      </c>
      <c r="E119" s="539">
        <f t="shared" ca="1" si="65"/>
        <v>0.94230216276133483</v>
      </c>
      <c r="F119" s="539" t="s">
        <v>336</v>
      </c>
      <c r="G119" s="539">
        <f ca="1">G32</f>
        <v>0.94230216276133483</v>
      </c>
      <c r="H119" s="539">
        <f ca="1">H32</f>
        <v>0.94230216276133483</v>
      </c>
      <c r="I119" s="539" t="s">
        <v>336</v>
      </c>
      <c r="J119" s="539">
        <f t="shared" ref="J119:L120" ca="1" si="66">J32</f>
        <v>1.7541515233958052</v>
      </c>
      <c r="K119" s="539">
        <f t="shared" ca="1" si="66"/>
        <v>1.7541515233958052</v>
      </c>
      <c r="L119" s="539">
        <f t="shared" ca="1" si="66"/>
        <v>1.7541515233958052</v>
      </c>
      <c r="M119" s="539" t="s">
        <v>336</v>
      </c>
      <c r="N119" s="539">
        <f ca="1">N32</f>
        <v>1.7541515233958052</v>
      </c>
      <c r="O119" s="539">
        <f ca="1">O32</f>
        <v>1.7541515233958052</v>
      </c>
      <c r="P119" s="539" t="s">
        <v>336</v>
      </c>
    </row>
    <row r="120" spans="1:53" x14ac:dyDescent="0.25">
      <c r="A120" s="812" t="s">
        <v>101</v>
      </c>
      <c r="B120" s="812" t="s">
        <v>754</v>
      </c>
      <c r="C120" s="539">
        <f t="shared" ca="1" si="65"/>
        <v>1.0284345195473574</v>
      </c>
      <c r="D120" s="539">
        <f t="shared" ca="1" si="65"/>
        <v>1.0284345195473574</v>
      </c>
      <c r="E120" s="539">
        <f t="shared" ca="1" si="65"/>
        <v>1.0284345195473574</v>
      </c>
      <c r="F120" s="539" t="s">
        <v>336</v>
      </c>
      <c r="G120" s="539">
        <f ca="1">G33</f>
        <v>1.0284345195473574</v>
      </c>
      <c r="H120" s="539">
        <f ca="1">H33</f>
        <v>1.0284345195473574</v>
      </c>
      <c r="I120" s="539" t="s">
        <v>336</v>
      </c>
      <c r="J120" s="539">
        <f t="shared" ca="1" si="66"/>
        <v>1.1794000281220005</v>
      </c>
      <c r="K120" s="539">
        <f t="shared" ca="1" si="66"/>
        <v>1.1794000281220005</v>
      </c>
      <c r="L120" s="539">
        <f t="shared" ca="1" si="66"/>
        <v>1.1794000281220005</v>
      </c>
      <c r="M120" s="539" t="s">
        <v>336</v>
      </c>
      <c r="N120" s="539">
        <f ca="1">N33</f>
        <v>1.1794000281220005</v>
      </c>
      <c r="O120" s="539">
        <f ca="1">O33</f>
        <v>1.1794000281220005</v>
      </c>
      <c r="P120" s="539" t="s">
        <v>336</v>
      </c>
    </row>
    <row r="121" spans="1:53" x14ac:dyDescent="0.25">
      <c r="A121" s="813" t="s">
        <v>101</v>
      </c>
      <c r="B121" s="813" t="s">
        <v>792</v>
      </c>
      <c r="C121" s="535">
        <f ca="1">IFERROR(C122-SUM(C119:C120),"-")</f>
        <v>0.53270067441923441</v>
      </c>
      <c r="D121" s="535">
        <f ca="1">IFERROR(D122-SUM(D119:D120),"-")</f>
        <v>0.53270067441923441</v>
      </c>
      <c r="E121" s="535">
        <f ca="1">IFERROR(E122-SUM(E119:E120),"-")</f>
        <v>0.53270067441923441</v>
      </c>
      <c r="F121" s="535" t="s">
        <v>336</v>
      </c>
      <c r="G121" s="535">
        <f ca="1">IFERROR(G122-SUM(G119:G120),"-")</f>
        <v>0.53270067441923441</v>
      </c>
      <c r="H121" s="535">
        <f ca="1">IFERROR(H122-SUM(H119:H120),"-")</f>
        <v>0.53270067441923441</v>
      </c>
      <c r="I121" s="535" t="s">
        <v>336</v>
      </c>
      <c r="J121" s="535">
        <f ca="1">IFERROR(J122-SUM(J119:J120),"-")</f>
        <v>0.99165399006215171</v>
      </c>
      <c r="K121" s="535">
        <f ca="1">IFERROR(K122-SUM(K119:K120),"-")</f>
        <v>0.99165399006215171</v>
      </c>
      <c r="L121" s="535">
        <f ca="1">IFERROR(L122-SUM(L119:L120),"-")</f>
        <v>0.99165399006215171</v>
      </c>
      <c r="M121" s="535" t="s">
        <v>336</v>
      </c>
      <c r="N121" s="535">
        <f ca="1">IFERROR(N122-SUM(N119:N120),"-")</f>
        <v>0.99165399006215171</v>
      </c>
      <c r="O121" s="535">
        <f ca="1">IFERROR(O122-SUM(O119:O120),"-")</f>
        <v>0.99165399006215171</v>
      </c>
      <c r="P121" s="535" t="s">
        <v>336</v>
      </c>
    </row>
    <row r="122" spans="1:53" x14ac:dyDescent="0.25">
      <c r="A122" s="348" t="s">
        <v>101</v>
      </c>
      <c r="B122" s="348" t="s">
        <v>793</v>
      </c>
      <c r="C122" s="534">
        <f ca="1">C26</f>
        <v>2.5034373567279267</v>
      </c>
      <c r="D122" s="534">
        <f ca="1">D26</f>
        <v>2.5034373567279267</v>
      </c>
      <c r="E122" s="534">
        <f ca="1">E26</f>
        <v>2.5034373567279267</v>
      </c>
      <c r="F122" s="534" t="s">
        <v>336</v>
      </c>
      <c r="G122" s="534">
        <f ca="1">G26</f>
        <v>2.5034373567279267</v>
      </c>
      <c r="H122" s="534">
        <f ca="1">H26</f>
        <v>2.5034373567279267</v>
      </c>
      <c r="I122" s="534" t="s">
        <v>336</v>
      </c>
      <c r="J122" s="534">
        <f ca="1">J26</f>
        <v>3.9252055415799574</v>
      </c>
      <c r="K122" s="534">
        <f ca="1">K26</f>
        <v>3.9252055415799574</v>
      </c>
      <c r="L122" s="534">
        <f ca="1">L26</f>
        <v>3.9252055415799574</v>
      </c>
      <c r="M122" s="534" t="s">
        <v>336</v>
      </c>
      <c r="N122" s="534">
        <f ca="1">N26</f>
        <v>3.9252055415799574</v>
      </c>
      <c r="O122" s="534">
        <f ca="1">O26</f>
        <v>3.9252055415799574</v>
      </c>
      <c r="P122" s="534" t="s">
        <v>336</v>
      </c>
    </row>
    <row r="123" spans="1:53" x14ac:dyDescent="0.25">
      <c r="A123" s="812" t="s">
        <v>722</v>
      </c>
      <c r="B123" s="812" t="s">
        <v>752</v>
      </c>
      <c r="C123" s="133">
        <f ca="1">C119</f>
        <v>0.94230216276133483</v>
      </c>
      <c r="D123" s="537">
        <f ca="1">D119-L$111+R$111</f>
        <v>0.74740764765837264</v>
      </c>
      <c r="E123" s="537">
        <f ca="1">E119-M$111+S$111</f>
        <v>0.6799465183864114</v>
      </c>
      <c r="F123" s="538" t="s">
        <v>336</v>
      </c>
      <c r="G123" s="521">
        <f ca="1">G119</f>
        <v>0.94230216276133483</v>
      </c>
      <c r="H123" s="521">
        <f ca="1">H119</f>
        <v>0.94230216276133483</v>
      </c>
      <c r="I123" s="538" t="s">
        <v>336</v>
      </c>
      <c r="J123" s="133">
        <f ca="1">J119</f>
        <v>1.7541515233958052</v>
      </c>
      <c r="K123" s="537">
        <f ca="1">K119-X$111+AD$111</f>
        <v>1.8053983738430726</v>
      </c>
      <c r="L123" s="537">
        <f ca="1">L119-Y$111+AE$111</f>
        <v>1.8045059938827441</v>
      </c>
      <c r="M123" s="538" t="s">
        <v>336</v>
      </c>
      <c r="N123" s="521">
        <f ca="1">N119</f>
        <v>1.7541515233958052</v>
      </c>
      <c r="O123" s="521">
        <f ca="1">O119</f>
        <v>1.7541515233958052</v>
      </c>
      <c r="P123" s="538" t="s">
        <v>336</v>
      </c>
    </row>
    <row r="124" spans="1:53" x14ac:dyDescent="0.25">
      <c r="A124" s="812" t="s">
        <v>722</v>
      </c>
      <c r="B124" s="812" t="s">
        <v>754</v>
      </c>
      <c r="C124" s="133">
        <f ca="1">C120</f>
        <v>1.0284345195473574</v>
      </c>
      <c r="D124" s="521">
        <f ca="1">D120</f>
        <v>1.0284345195473574</v>
      </c>
      <c r="E124" s="521">
        <f ca="1">E120</f>
        <v>1.0284345195473574</v>
      </c>
      <c r="F124" s="536" t="s">
        <v>336</v>
      </c>
      <c r="G124" s="537">
        <f ca="1">G120-O$111+U$111</f>
        <v>0.81572541738954318</v>
      </c>
      <c r="H124" s="537">
        <f ca="1">H120-P$111+V$111</f>
        <v>0.74209791571044104</v>
      </c>
      <c r="I124" s="536" t="s">
        <v>336</v>
      </c>
      <c r="J124" s="133">
        <f ca="1">J120</f>
        <v>1.1794000281220005</v>
      </c>
      <c r="K124" s="521">
        <f ca="1">K120</f>
        <v>1.1794000281220005</v>
      </c>
      <c r="L124" s="521">
        <f ca="1">L120</f>
        <v>1.1794000281220005</v>
      </c>
      <c r="M124" s="536" t="s">
        <v>336</v>
      </c>
      <c r="N124" s="537">
        <f ca="1">N120-AA$111+AG$111</f>
        <v>1.2139751289512044</v>
      </c>
      <c r="O124" s="537">
        <f ca="1">O120-AB$111+AH$111</f>
        <v>1.213375139191899</v>
      </c>
      <c r="P124" s="536" t="s">
        <v>336</v>
      </c>
    </row>
    <row r="125" spans="1:53" x14ac:dyDescent="0.25">
      <c r="A125" s="813" t="s">
        <v>722</v>
      </c>
      <c r="B125" s="813" t="s">
        <v>792</v>
      </c>
      <c r="C125" s="527">
        <f ca="1">C121</f>
        <v>0.53270067441923441</v>
      </c>
      <c r="D125" s="527">
        <f ca="1">D121</f>
        <v>0.53270067441923441</v>
      </c>
      <c r="E125" s="527">
        <f ca="1">E121</f>
        <v>0.53270067441923441</v>
      </c>
      <c r="F125" s="535" t="s">
        <v>336</v>
      </c>
      <c r="G125" s="527">
        <f ca="1">G121</f>
        <v>0.53270067441923441</v>
      </c>
      <c r="H125" s="527">
        <f ca="1">H121</f>
        <v>0.53270067441923441</v>
      </c>
      <c r="I125" s="535" t="s">
        <v>336</v>
      </c>
      <c r="J125" s="527">
        <f ca="1">J121</f>
        <v>0.99165399006215171</v>
      </c>
      <c r="K125" s="527">
        <f ca="1">K121</f>
        <v>0.99165399006215171</v>
      </c>
      <c r="L125" s="527">
        <f ca="1">L121</f>
        <v>0.99165399006215171</v>
      </c>
      <c r="M125" s="535" t="s">
        <v>336</v>
      </c>
      <c r="N125" s="527">
        <f ca="1">N121</f>
        <v>0.99165399006215171</v>
      </c>
      <c r="O125" s="527">
        <f ca="1">O121</f>
        <v>0.99165399006215171</v>
      </c>
      <c r="P125" s="535" t="s">
        <v>336</v>
      </c>
    </row>
    <row r="126" spans="1:53" x14ac:dyDescent="0.25">
      <c r="A126" s="348" t="s">
        <v>722</v>
      </c>
      <c r="B126" s="348" t="s">
        <v>793</v>
      </c>
      <c r="C126" s="466">
        <f ca="1">SUM(C123:C125)</f>
        <v>2.5034373567279267</v>
      </c>
      <c r="D126" s="466">
        <f ca="1">SUM(D123:D125)</f>
        <v>2.3085428416249645</v>
      </c>
      <c r="E126" s="466">
        <f ca="1">SUM(E123:E125)</f>
        <v>2.2410817123530031</v>
      </c>
      <c r="F126" s="534" t="s">
        <v>336</v>
      </c>
      <c r="G126" s="466">
        <f ca="1">SUM(G123:G125)</f>
        <v>2.2907282545701122</v>
      </c>
      <c r="H126" s="466">
        <f ca="1">SUM(H123:H125)</f>
        <v>2.2171007528910103</v>
      </c>
      <c r="I126" s="534" t="s">
        <v>336</v>
      </c>
      <c r="J126" s="466">
        <f ca="1">SUM(J123:J125)</f>
        <v>3.9252055415799574</v>
      </c>
      <c r="K126" s="466">
        <f ca="1">SUM(K123:K125)</f>
        <v>3.976452392027225</v>
      </c>
      <c r="L126" s="466">
        <f ca="1">SUM(L123:L125)</f>
        <v>3.9755600120668966</v>
      </c>
      <c r="M126" s="534" t="s">
        <v>336</v>
      </c>
      <c r="N126" s="466">
        <f ca="1">SUM(N123:N125)</f>
        <v>3.9597806424091613</v>
      </c>
      <c r="O126" s="466">
        <f ca="1">SUM(O123:O125)</f>
        <v>3.9591806526498559</v>
      </c>
      <c r="P126" s="534" t="s">
        <v>336</v>
      </c>
    </row>
    <row r="127" spans="1:53" x14ac:dyDescent="0.25">
      <c r="A127" s="363" t="s">
        <v>794</v>
      </c>
      <c r="B127" s="363" t="s">
        <v>793</v>
      </c>
      <c r="C127" s="532">
        <f ca="1">C122-C126</f>
        <v>0</v>
      </c>
      <c r="D127" s="532">
        <f ca="1">D122-D126</f>
        <v>0.19489451510296218</v>
      </c>
      <c r="E127" s="532">
        <f ca="1">E122-E126</f>
        <v>0.26235564437492354</v>
      </c>
      <c r="F127" s="533" t="s">
        <v>336</v>
      </c>
      <c r="G127" s="532">
        <f ca="1">G122-G126</f>
        <v>0.21270910215781447</v>
      </c>
      <c r="H127" s="532">
        <f ca="1">H122-H126</f>
        <v>0.28633660383691639</v>
      </c>
      <c r="I127" s="533" t="s">
        <v>336</v>
      </c>
      <c r="J127" s="532">
        <f ca="1">J122-J126</f>
        <v>0</v>
      </c>
      <c r="K127" s="532">
        <f ca="1">K122-K126</f>
        <v>-5.1246850447267622E-2</v>
      </c>
      <c r="L127" s="532">
        <f ca="1">L122-L126</f>
        <v>-5.0354470486939196E-2</v>
      </c>
      <c r="M127" s="533" t="s">
        <v>336</v>
      </c>
      <c r="N127" s="532">
        <f ca="1">N122-N126</f>
        <v>-3.4575100829203897E-2</v>
      </c>
      <c r="O127" s="532">
        <f ca="1">O122-O126</f>
        <v>-3.3975111069898478E-2</v>
      </c>
      <c r="P127" s="533" t="s">
        <v>336</v>
      </c>
    </row>
    <row r="128" spans="1:53"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797B-54FC-4179-A057-2F600547131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2021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2021</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2021 Baseline NA Area PM2.5 Emissions (tpd) by Curtailment Regime</v>
      </c>
      <c r="D4" s="840"/>
      <c r="E4" s="840"/>
      <c r="F4" s="840"/>
      <c r="G4" s="840"/>
      <c r="H4" s="840"/>
      <c r="I4" s="840"/>
      <c r="J4" s="840" t="str">
        <f>$B$2&amp;" Baseline NA Area SO2 Emissions (tpd) by Curtailment Regime"</f>
        <v>2021 Baseline NA Area SO2 Emissions (tpd) by Curtailment Regime</v>
      </c>
      <c r="K4" s="840"/>
      <c r="L4" s="840"/>
      <c r="M4" s="840"/>
      <c r="N4" s="840"/>
      <c r="O4" s="840"/>
      <c r="P4" s="840"/>
      <c r="Q4" s="840" t="str">
        <f>$B$2&amp;" Baseline NA Area Energy Use (mmBTU) by Curtailment Regime"</f>
        <v>2021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0.65165628507835227</v>
      </c>
      <c r="D6" s="133">
        <f ca="1">INDIRECT("'DevSumOut-"&amp;$B$2&amp;"BSR'!R50")</f>
        <v>0.65165628507835227</v>
      </c>
      <c r="E6" s="133">
        <f ca="1">INDIRECT("'DevSumOut-"&amp;$B$2&amp;"BSR'!R50")</f>
        <v>0.65165628507835227</v>
      </c>
      <c r="F6" s="551" t="s">
        <v>336</v>
      </c>
      <c r="G6" s="133">
        <f ca="1">INDIRECT("'DevSumOut-"&amp;$B$2&amp;"BSR'!R50")</f>
        <v>0.65165628507835227</v>
      </c>
      <c r="H6" s="133">
        <f ca="1">INDIRECT("'DevSumOut-"&amp;$B$2&amp;"BSR'!R50")</f>
        <v>0.65165628507835227</v>
      </c>
      <c r="I6" s="551" t="s">
        <v>336</v>
      </c>
      <c r="J6" s="133">
        <f ca="1">INDIRECT("'DevSumOut-"&amp;$B$2&amp;"BSR'!P50")</f>
        <v>7.5335986714260388E-3</v>
      </c>
      <c r="K6" s="133">
        <f ca="1">INDIRECT("'DevSumOut-"&amp;$B$2&amp;"BSR'!P50")</f>
        <v>7.5335986714260388E-3</v>
      </c>
      <c r="L6" s="133">
        <f ca="1">INDIRECT("'DevSumOut-"&amp;$B$2&amp;"BSR'!P50")</f>
        <v>7.5335986714260388E-3</v>
      </c>
      <c r="M6" s="551" t="s">
        <v>336</v>
      </c>
      <c r="N6" s="133">
        <f ca="1">INDIRECT("'DevSumOut-"&amp;$B$2&amp;"BSR'!P50")</f>
        <v>7.5335986714260388E-3</v>
      </c>
      <c r="O6" s="133">
        <f ca="1">INDIRECT("'DevSumOut-"&amp;$B$2&amp;"BSR'!P50")</f>
        <v>7.5335986714260388E-3</v>
      </c>
      <c r="P6" s="551" t="s">
        <v>336</v>
      </c>
      <c r="Q6" s="45">
        <f ca="1">INDIRECT("'DevSumOut-"&amp;$B$2&amp;"BSR'!U50")</f>
        <v>604.87238573868535</v>
      </c>
      <c r="R6" s="45">
        <f ca="1">INDIRECT("'DevSumOut-"&amp;$B$2&amp;"BSR'!U50")</f>
        <v>604.87238573868535</v>
      </c>
      <c r="S6" s="45">
        <f ca="1">INDIRECT("'DevSumOut-"&amp;$B$2&amp;"BSR'!U50")</f>
        <v>604.87238573868535</v>
      </c>
      <c r="T6" s="581" t="s">
        <v>336</v>
      </c>
      <c r="U6" s="45">
        <f ca="1">INDIRECT("'DevSumOut-"&amp;$B$2&amp;"BSR'!U50")</f>
        <v>604.87238573868535</v>
      </c>
      <c r="V6" s="45">
        <f ca="1">INDIRECT("'DevSumOut-"&amp;$B$2&amp;"BSR'!U50")</f>
        <v>604.87238573868535</v>
      </c>
      <c r="W6" s="581" t="s">
        <v>336</v>
      </c>
      <c r="X6" s="133">
        <f t="shared" ref="X6:Z22" ca="1" si="0">C6*2000/Q6</f>
        <v>2.1546901476830795</v>
      </c>
      <c r="Y6" s="133">
        <f t="shared" ca="1" si="0"/>
        <v>2.1546901476830795</v>
      </c>
      <c r="Z6" s="133">
        <f t="shared" ca="1" si="0"/>
        <v>2.1546901476830795</v>
      </c>
      <c r="AA6" s="133"/>
      <c r="AB6" s="133">
        <f t="shared" ref="AB6:AC22" ca="1" si="1">G6*2000/U6</f>
        <v>2.1546901476830795</v>
      </c>
      <c r="AC6" s="133">
        <f t="shared" ca="1" si="1"/>
        <v>2.1546901476830795</v>
      </c>
    </row>
    <row r="7" spans="1:29" x14ac:dyDescent="0.25">
      <c r="A7" s="812">
        <v>2104008210</v>
      </c>
      <c r="B7" s="812" t="s">
        <v>138</v>
      </c>
      <c r="C7" s="133">
        <f ca="1">INDIRECT("'DevSumOut-"&amp;$B$2&amp;"BSR'!R51")</f>
        <v>5.085938902969421E-2</v>
      </c>
      <c r="D7" s="133">
        <f ca="1">INDIRECT("'DevSumOut-"&amp;$B$2&amp;"BSR'!R51")</f>
        <v>5.085938902969421E-2</v>
      </c>
      <c r="E7" s="133">
        <f ca="1">INDIRECT("'DevSumOut-"&amp;$B$2&amp;"BSR'!R51")</f>
        <v>5.085938902969421E-2</v>
      </c>
      <c r="F7" s="551" t="s">
        <v>336</v>
      </c>
      <c r="G7" s="133">
        <f ca="1">INDIRECT("'DevSumOut-"&amp;$B$2&amp;"BSR'!R51")</f>
        <v>5.085938902969421E-2</v>
      </c>
      <c r="H7" s="133">
        <f ca="1">INDIRECT("'DevSumOut-"&amp;$B$2&amp;"BSR'!R51")</f>
        <v>5.085938902969421E-2</v>
      </c>
      <c r="I7" s="551" t="s">
        <v>336</v>
      </c>
      <c r="J7" s="133">
        <f ca="1">INDIRECT("'DevSumOut-"&amp;$B$2&amp;"BSR'!P51")</f>
        <v>6.6482861476724472E-4</v>
      </c>
      <c r="K7" s="133">
        <f ca="1">INDIRECT("'DevSumOut-"&amp;$B$2&amp;"BSR'!P51")</f>
        <v>6.6482861476724472E-4</v>
      </c>
      <c r="L7" s="133">
        <f ca="1">INDIRECT("'DevSumOut-"&amp;$B$2&amp;"BSR'!P51")</f>
        <v>6.6482861476724472E-4</v>
      </c>
      <c r="M7" s="551" t="s">
        <v>336</v>
      </c>
      <c r="N7" s="133">
        <f ca="1">INDIRECT("'DevSumOut-"&amp;$B$2&amp;"BSR'!P51")</f>
        <v>6.6482861476724472E-4</v>
      </c>
      <c r="O7" s="133">
        <f ca="1">INDIRECT("'DevSumOut-"&amp;$B$2&amp;"BSR'!P51")</f>
        <v>6.6482861476724472E-4</v>
      </c>
      <c r="P7" s="551" t="s">
        <v>336</v>
      </c>
      <c r="Q7" s="45">
        <f ca="1">INDIRECT("'DevSumOut-"&amp;$B$2&amp;"BSR'!U51")</f>
        <v>53.369557195848209</v>
      </c>
      <c r="R7" s="45">
        <f ca="1">INDIRECT("'DevSumOut-"&amp;$B$2&amp;"BSR'!U51")</f>
        <v>53.369557195848209</v>
      </c>
      <c r="S7" s="45">
        <f ca="1">INDIRECT("'DevSumOut-"&amp;$B$2&amp;"BSR'!U51")</f>
        <v>53.369557195848209</v>
      </c>
      <c r="T7" s="581" t="s">
        <v>336</v>
      </c>
      <c r="U7" s="45">
        <f ca="1">INDIRECT("'DevSumOut-"&amp;$B$2&amp;"BSR'!U51")</f>
        <v>53.369557195848209</v>
      </c>
      <c r="V7" s="45">
        <f ca="1">INDIRECT("'DevSumOut-"&amp;$B$2&amp;"BSR'!U51")</f>
        <v>53.369557195848209</v>
      </c>
      <c r="W7" s="581" t="s">
        <v>336</v>
      </c>
      <c r="X7" s="133">
        <f t="shared" ca="1" si="0"/>
        <v>1.9059325841156025</v>
      </c>
      <c r="Y7" s="133">
        <f t="shared" ca="1" si="0"/>
        <v>1.9059325841156025</v>
      </c>
      <c r="Z7" s="133">
        <f t="shared" ca="1" si="0"/>
        <v>1.9059325841156025</v>
      </c>
      <c r="AA7" s="133"/>
      <c r="AB7" s="133">
        <f t="shared" ca="1" si="1"/>
        <v>1.9059325841156025</v>
      </c>
      <c r="AC7" s="133">
        <f t="shared" ca="1" si="1"/>
        <v>1.9059325841156025</v>
      </c>
    </row>
    <row r="8" spans="1:29" x14ac:dyDescent="0.25">
      <c r="A8" s="812">
        <v>2104008220</v>
      </c>
      <c r="B8" s="812" t="s">
        <v>139</v>
      </c>
      <c r="C8" s="133">
        <f ca="1">INDIRECT("'DevSumOut-"&amp;$B$2&amp;"BSR'!R52")</f>
        <v>4.1992230211696527E-2</v>
      </c>
      <c r="D8" s="133">
        <f ca="1">INDIRECT("'DevSumOut-"&amp;$B$2&amp;"BSR'!R52")</f>
        <v>4.1992230211696527E-2</v>
      </c>
      <c r="E8" s="133">
        <f ca="1">INDIRECT("'DevSumOut-"&amp;$B$2&amp;"BSR'!R52")</f>
        <v>4.1992230211696527E-2</v>
      </c>
      <c r="F8" s="551" t="s">
        <v>336</v>
      </c>
      <c r="G8" s="133">
        <f ca="1">INDIRECT("'DevSumOut-"&amp;$B$2&amp;"BSR'!R52")</f>
        <v>4.1992230211696527E-2</v>
      </c>
      <c r="H8" s="133">
        <f ca="1">INDIRECT("'DevSumOut-"&amp;$B$2&amp;"BSR'!R52")</f>
        <v>4.1992230211696527E-2</v>
      </c>
      <c r="I8" s="551" t="s">
        <v>336</v>
      </c>
      <c r="J8" s="133">
        <f ca="1">INDIRECT("'DevSumOut-"&amp;$B$2&amp;"BSR'!P52")</f>
        <v>1.399741007056551E-3</v>
      </c>
      <c r="K8" s="133">
        <f ca="1">INDIRECT("'DevSumOut-"&amp;$B$2&amp;"BSR'!P52")</f>
        <v>1.399741007056551E-3</v>
      </c>
      <c r="L8" s="133">
        <f ca="1">INDIRECT("'DevSumOut-"&amp;$B$2&amp;"BSR'!P52")</f>
        <v>1.399741007056551E-3</v>
      </c>
      <c r="M8" s="551" t="s">
        <v>336</v>
      </c>
      <c r="N8" s="133">
        <f ca="1">INDIRECT("'DevSumOut-"&amp;$B$2&amp;"BSR'!P52")</f>
        <v>1.399741007056551E-3</v>
      </c>
      <c r="O8" s="133">
        <f ca="1">INDIRECT("'DevSumOut-"&amp;$B$2&amp;"BSR'!P52")</f>
        <v>1.399741007056551E-3</v>
      </c>
      <c r="P8" s="551" t="s">
        <v>336</v>
      </c>
      <c r="Q8" s="45">
        <f ca="1">INDIRECT("'DevSumOut-"&amp;$B$2&amp;"BSR'!U52")</f>
        <v>112.36513603078349</v>
      </c>
      <c r="R8" s="45">
        <f ca="1">INDIRECT("'DevSumOut-"&amp;$B$2&amp;"BSR'!U52")</f>
        <v>112.36513603078349</v>
      </c>
      <c r="S8" s="45">
        <f ca="1">INDIRECT("'DevSumOut-"&amp;$B$2&amp;"BSR'!U52")</f>
        <v>112.36513603078349</v>
      </c>
      <c r="T8" s="581" t="s">
        <v>336</v>
      </c>
      <c r="U8" s="45">
        <f ca="1">INDIRECT("'DevSumOut-"&amp;$B$2&amp;"BSR'!U52")</f>
        <v>112.36513603078349</v>
      </c>
      <c r="V8" s="45">
        <f ca="1">INDIRECT("'DevSumOut-"&amp;$B$2&amp;"BSR'!U52")</f>
        <v>112.36513603078349</v>
      </c>
      <c r="W8" s="581" t="s">
        <v>336</v>
      </c>
      <c r="X8" s="133">
        <f t="shared" ca="1" si="0"/>
        <v>0.74742454279043213</v>
      </c>
      <c r="Y8" s="133">
        <f t="shared" ca="1" si="0"/>
        <v>0.74742454279043213</v>
      </c>
      <c r="Z8" s="133">
        <f t="shared" ca="1" si="0"/>
        <v>0.74742454279043213</v>
      </c>
      <c r="AA8" s="133"/>
      <c r="AB8" s="133">
        <f t="shared" ca="1" si="1"/>
        <v>0.74742454279043213</v>
      </c>
      <c r="AC8" s="133">
        <f t="shared" ca="1" si="1"/>
        <v>0.74742454279043213</v>
      </c>
    </row>
    <row r="9" spans="1:29" x14ac:dyDescent="0.25">
      <c r="A9" s="812">
        <v>2104008230</v>
      </c>
      <c r="B9" s="812" t="s">
        <v>140</v>
      </c>
      <c r="C9" s="133">
        <f ca="1">INDIRECT("'DevSumOut-"&amp;$B$2&amp;"BSR'!R53")</f>
        <v>2.7389263606043691E-2</v>
      </c>
      <c r="D9" s="133">
        <f ca="1">INDIRECT("'DevSumOut-"&amp;$B$2&amp;"BSR'!R53")</f>
        <v>2.7389263606043691E-2</v>
      </c>
      <c r="E9" s="133">
        <f ca="1">INDIRECT("'DevSumOut-"&amp;$B$2&amp;"BSR'!R53")</f>
        <v>2.7389263606043691E-2</v>
      </c>
      <c r="F9" s="551" t="s">
        <v>336</v>
      </c>
      <c r="G9" s="133">
        <f ca="1">INDIRECT("'DevSumOut-"&amp;$B$2&amp;"BSR'!R53")</f>
        <v>2.7389263606043691E-2</v>
      </c>
      <c r="H9" s="133">
        <f ca="1">INDIRECT("'DevSumOut-"&amp;$B$2&amp;"BSR'!R53")</f>
        <v>2.7389263606043691E-2</v>
      </c>
      <c r="I9" s="551" t="s">
        <v>336</v>
      </c>
      <c r="J9" s="133">
        <f ca="1">INDIRECT("'DevSumOut-"&amp;$B$2&amp;"BSR'!P53")</f>
        <v>8.4274657249365211E-4</v>
      </c>
      <c r="K9" s="133">
        <f ca="1">INDIRECT("'DevSumOut-"&amp;$B$2&amp;"BSR'!P53")</f>
        <v>8.4274657249365211E-4</v>
      </c>
      <c r="L9" s="133">
        <f ca="1">INDIRECT("'DevSumOut-"&amp;$B$2&amp;"BSR'!P53")</f>
        <v>8.4274657249365211E-4</v>
      </c>
      <c r="M9" s="551" t="s">
        <v>336</v>
      </c>
      <c r="N9" s="133">
        <f ca="1">INDIRECT("'DevSumOut-"&amp;$B$2&amp;"BSR'!P53")</f>
        <v>8.4274657249365211E-4</v>
      </c>
      <c r="O9" s="133">
        <f ca="1">INDIRECT("'DevSumOut-"&amp;$B$2&amp;"BSR'!P53")</f>
        <v>8.4274657249365211E-4</v>
      </c>
      <c r="P9" s="551" t="s">
        <v>336</v>
      </c>
      <c r="Q9" s="45">
        <f ca="1">INDIRECT("'DevSumOut-"&amp;$B$2&amp;"BSR'!U53")</f>
        <v>67.65203904174821</v>
      </c>
      <c r="R9" s="45">
        <f ca="1">INDIRECT("'DevSumOut-"&amp;$B$2&amp;"BSR'!U53")</f>
        <v>67.65203904174821</v>
      </c>
      <c r="S9" s="45">
        <f ca="1">INDIRECT("'DevSumOut-"&amp;$B$2&amp;"BSR'!U53")</f>
        <v>67.65203904174821</v>
      </c>
      <c r="T9" s="581" t="s">
        <v>336</v>
      </c>
      <c r="U9" s="45">
        <f ca="1">INDIRECT("'DevSumOut-"&amp;$B$2&amp;"BSR'!U53")</f>
        <v>67.65203904174821</v>
      </c>
      <c r="V9" s="45">
        <f ca="1">INDIRECT("'DevSumOut-"&amp;$B$2&amp;"BSR'!U53")</f>
        <v>67.65203904174821</v>
      </c>
      <c r="W9" s="581" t="s">
        <v>336</v>
      </c>
      <c r="X9" s="133">
        <f t="shared" ca="1" si="0"/>
        <v>0.80970992135630149</v>
      </c>
      <c r="Y9" s="133">
        <f t="shared" ca="1" si="0"/>
        <v>0.80970992135630149</v>
      </c>
      <c r="Z9" s="133">
        <f t="shared" ca="1" si="0"/>
        <v>0.80970992135630149</v>
      </c>
      <c r="AA9" s="133"/>
      <c r="AB9" s="133">
        <f t="shared" ca="1" si="1"/>
        <v>0.80970992135630149</v>
      </c>
      <c r="AC9" s="133">
        <f t="shared" ca="1" si="1"/>
        <v>0.80970992135630149</v>
      </c>
    </row>
    <row r="10" spans="1:29" x14ac:dyDescent="0.25">
      <c r="A10" s="812">
        <v>2104008310</v>
      </c>
      <c r="B10" s="812" t="s">
        <v>141</v>
      </c>
      <c r="C10" s="133">
        <f ca="1">INDIRECT("'DevSumOut-"&amp;$B$2&amp;"BSR'!R54")</f>
        <v>0.4095560731354313</v>
      </c>
      <c r="D10" s="133">
        <f ca="1">INDIRECT("'DevSumOut-"&amp;$B$2&amp;"BSR'!R54")</f>
        <v>0.4095560731354313</v>
      </c>
      <c r="E10" s="133">
        <f ca="1">INDIRECT("'DevSumOut-"&amp;$B$2&amp;"BSR'!R54")</f>
        <v>0.4095560731354313</v>
      </c>
      <c r="F10" s="551" t="s">
        <v>336</v>
      </c>
      <c r="G10" s="133">
        <f ca="1">INDIRECT("'DevSumOut-"&amp;$B$2&amp;"BSR'!R54")</f>
        <v>0.4095560731354313</v>
      </c>
      <c r="H10" s="133">
        <f ca="1">INDIRECT("'DevSumOut-"&amp;$B$2&amp;"BSR'!R54")</f>
        <v>0.4095560731354313</v>
      </c>
      <c r="I10" s="551" t="s">
        <v>336</v>
      </c>
      <c r="J10" s="133">
        <f ca="1">INDIRECT("'DevSumOut-"&amp;$B$2&amp;"BSR'!P54")</f>
        <v>1.3492178618141309E-2</v>
      </c>
      <c r="K10" s="133">
        <f ca="1">INDIRECT("'DevSumOut-"&amp;$B$2&amp;"BSR'!P54")</f>
        <v>1.3492178618141309E-2</v>
      </c>
      <c r="L10" s="133">
        <f ca="1">INDIRECT("'DevSumOut-"&amp;$B$2&amp;"BSR'!P54")</f>
        <v>1.3492178618141309E-2</v>
      </c>
      <c r="M10" s="551" t="s">
        <v>336</v>
      </c>
      <c r="N10" s="133">
        <f ca="1">INDIRECT("'DevSumOut-"&amp;$B$2&amp;"BSR'!P54")</f>
        <v>1.3492178618141309E-2</v>
      </c>
      <c r="O10" s="133">
        <f ca="1">INDIRECT("'DevSumOut-"&amp;$B$2&amp;"BSR'!P54")</f>
        <v>1.3492178618141309E-2</v>
      </c>
      <c r="P10" s="551" t="s">
        <v>336</v>
      </c>
      <c r="Q10" s="45">
        <f ca="1">INDIRECT("'DevSumOut-"&amp;$B$2&amp;"BSR'!U54")</f>
        <v>1083.0935709793252</v>
      </c>
      <c r="R10" s="45">
        <f ca="1">INDIRECT("'DevSumOut-"&amp;$B$2&amp;"BSR'!U54")</f>
        <v>1083.0935709793252</v>
      </c>
      <c r="S10" s="45">
        <f ca="1">INDIRECT("'DevSumOut-"&amp;$B$2&amp;"BSR'!U54")</f>
        <v>1083.0935709793252</v>
      </c>
      <c r="T10" s="581" t="s">
        <v>336</v>
      </c>
      <c r="U10" s="45">
        <f ca="1">INDIRECT("'DevSumOut-"&amp;$B$2&amp;"BSR'!U54")</f>
        <v>1083.0935709793252</v>
      </c>
      <c r="V10" s="45">
        <f ca="1">INDIRECT("'DevSumOut-"&amp;$B$2&amp;"BSR'!U54")</f>
        <v>1083.0935709793252</v>
      </c>
      <c r="W10" s="581" t="s">
        <v>336</v>
      </c>
      <c r="X10" s="133">
        <f t="shared" ca="1" si="0"/>
        <v>0.75627089682586468</v>
      </c>
      <c r="Y10" s="133">
        <f t="shared" ca="1" si="0"/>
        <v>0.75627089682586468</v>
      </c>
      <c r="Z10" s="133">
        <f t="shared" ca="1" si="0"/>
        <v>0.75627089682586468</v>
      </c>
      <c r="AA10" s="133"/>
      <c r="AB10" s="133">
        <f t="shared" ca="1" si="1"/>
        <v>0.75627089682586468</v>
      </c>
      <c r="AC10" s="133">
        <f t="shared" ca="1" si="1"/>
        <v>0.75627089682586468</v>
      </c>
    </row>
    <row r="11" spans="1:29" x14ac:dyDescent="0.25">
      <c r="A11" s="812">
        <v>2104008320</v>
      </c>
      <c r="B11" s="812" t="s">
        <v>142</v>
      </c>
      <c r="C11" s="133">
        <f ca="1">INDIRECT("'DevSumOut-"&amp;$B$2&amp;"BSR'!R55")</f>
        <v>0.56281570584807661</v>
      </c>
      <c r="D11" s="133">
        <f ca="1">INDIRECT("'DevSumOut-"&amp;$B$2&amp;"BSR'!R55")</f>
        <v>0.56281570584807661</v>
      </c>
      <c r="E11" s="133">
        <f ca="1">INDIRECT("'DevSumOut-"&amp;$B$2&amp;"BSR'!R55")</f>
        <v>0.56281570584807661</v>
      </c>
      <c r="F11" s="551" t="s">
        <v>336</v>
      </c>
      <c r="G11" s="133">
        <f ca="1">INDIRECT("'DevSumOut-"&amp;$B$2&amp;"BSR'!R55")</f>
        <v>0.56281570584807661</v>
      </c>
      <c r="H11" s="133">
        <f ca="1">INDIRECT("'DevSumOut-"&amp;$B$2&amp;"BSR'!R55")</f>
        <v>0.56281570584807661</v>
      </c>
      <c r="I11" s="551" t="s">
        <v>336</v>
      </c>
      <c r="J11" s="133">
        <f ca="1">INDIRECT("'DevSumOut-"&amp;$B$2&amp;"BSR'!P55")</f>
        <v>2.8406652882947556E-2</v>
      </c>
      <c r="K11" s="133">
        <f ca="1">INDIRECT("'DevSumOut-"&amp;$B$2&amp;"BSR'!P55")</f>
        <v>2.8406652882947556E-2</v>
      </c>
      <c r="L11" s="133">
        <f ca="1">INDIRECT("'DevSumOut-"&amp;$B$2&amp;"BSR'!P55")</f>
        <v>2.8406652882947556E-2</v>
      </c>
      <c r="M11" s="551" t="s">
        <v>336</v>
      </c>
      <c r="N11" s="133">
        <f ca="1">INDIRECT("'DevSumOut-"&amp;$B$2&amp;"BSR'!P55")</f>
        <v>2.8406652882947556E-2</v>
      </c>
      <c r="O11" s="133">
        <f ca="1">INDIRECT("'DevSumOut-"&amp;$B$2&amp;"BSR'!P55")</f>
        <v>2.8406652882947556E-2</v>
      </c>
      <c r="P11" s="551" t="s">
        <v>336</v>
      </c>
      <c r="Q11" s="45">
        <f ca="1">INDIRECT("'DevSumOut-"&amp;$B$2&amp;"BSR'!U55")</f>
        <v>2280.3628666161476</v>
      </c>
      <c r="R11" s="45">
        <f ca="1">INDIRECT("'DevSumOut-"&amp;$B$2&amp;"BSR'!U55")</f>
        <v>2280.3628666161476</v>
      </c>
      <c r="S11" s="45">
        <f ca="1">INDIRECT("'DevSumOut-"&amp;$B$2&amp;"BSR'!U55")</f>
        <v>2280.3628666161476</v>
      </c>
      <c r="T11" s="581" t="s">
        <v>336</v>
      </c>
      <c r="U11" s="45">
        <f ca="1">INDIRECT("'DevSumOut-"&amp;$B$2&amp;"BSR'!U55")</f>
        <v>2280.3628666161476</v>
      </c>
      <c r="V11" s="45">
        <f ca="1">INDIRECT("'DevSumOut-"&amp;$B$2&amp;"BSR'!U55")</f>
        <v>2280.3628666161476</v>
      </c>
      <c r="W11" s="581" t="s">
        <v>336</v>
      </c>
      <c r="X11" s="133">
        <f t="shared" ca="1" si="0"/>
        <v>0.49361942705482154</v>
      </c>
      <c r="Y11" s="133">
        <f t="shared" ca="1" si="0"/>
        <v>0.49361942705482154</v>
      </c>
      <c r="Z11" s="133">
        <f t="shared" ca="1" si="0"/>
        <v>0.49361942705482154</v>
      </c>
      <c r="AA11" s="133"/>
      <c r="AB11" s="133">
        <f t="shared" ca="1" si="1"/>
        <v>0.49361942705482154</v>
      </c>
      <c r="AC11" s="133">
        <f t="shared" ca="1" si="1"/>
        <v>0.49361942705482154</v>
      </c>
    </row>
    <row r="12" spans="1:29" x14ac:dyDescent="0.25">
      <c r="A12" s="812">
        <v>2104008330</v>
      </c>
      <c r="B12" s="812" t="s">
        <v>143</v>
      </c>
      <c r="C12" s="133">
        <f ca="1">INDIRECT("'DevSumOut-"&amp;$B$2&amp;"BSR'!R56")</f>
        <v>0.37599119611384829</v>
      </c>
      <c r="D12" s="133">
        <f ca="1">INDIRECT("'DevSumOut-"&amp;$B$2&amp;"BSR'!R56")</f>
        <v>0.37599119611384829</v>
      </c>
      <c r="E12" s="133">
        <f ca="1">INDIRECT("'DevSumOut-"&amp;$B$2&amp;"BSR'!R56")</f>
        <v>0.37599119611384829</v>
      </c>
      <c r="F12" s="551" t="s">
        <v>336</v>
      </c>
      <c r="G12" s="133">
        <f ca="1">INDIRECT("'DevSumOut-"&amp;$B$2&amp;"BSR'!R56")</f>
        <v>0.37599119611384829</v>
      </c>
      <c r="H12" s="133">
        <f ca="1">INDIRECT("'DevSumOut-"&amp;$B$2&amp;"BSR'!R56")</f>
        <v>0.37599119611384829</v>
      </c>
      <c r="I12" s="551" t="s">
        <v>336</v>
      </c>
      <c r="J12" s="133">
        <f ca="1">INDIRECT("'DevSumOut-"&amp;$B$2&amp;"BSR'!P56")</f>
        <v>1.7102884914018811E-2</v>
      </c>
      <c r="K12" s="133">
        <f ca="1">INDIRECT("'DevSumOut-"&amp;$B$2&amp;"BSR'!P56")</f>
        <v>1.7102884914018811E-2</v>
      </c>
      <c r="L12" s="133">
        <f ca="1">INDIRECT("'DevSumOut-"&amp;$B$2&amp;"BSR'!P56")</f>
        <v>1.7102884914018811E-2</v>
      </c>
      <c r="M12" s="551" t="s">
        <v>336</v>
      </c>
      <c r="N12" s="133">
        <f ca="1">INDIRECT("'DevSumOut-"&amp;$B$2&amp;"BSR'!P56")</f>
        <v>1.7102884914018811E-2</v>
      </c>
      <c r="O12" s="133">
        <f ca="1">INDIRECT("'DevSumOut-"&amp;$B$2&amp;"BSR'!P56")</f>
        <v>1.7102884914018811E-2</v>
      </c>
      <c r="P12" s="551" t="s">
        <v>336</v>
      </c>
      <c r="Q12" s="45">
        <f ca="1">INDIRECT("'DevSumOut-"&amp;$B$2&amp;"BSR'!U56")</f>
        <v>1372.9454093252241</v>
      </c>
      <c r="R12" s="45">
        <f ca="1">INDIRECT("'DevSumOut-"&amp;$B$2&amp;"BSR'!U56")</f>
        <v>1372.9454093252241</v>
      </c>
      <c r="S12" s="45">
        <f ca="1">INDIRECT("'DevSumOut-"&amp;$B$2&amp;"BSR'!U56")</f>
        <v>1372.9454093252241</v>
      </c>
      <c r="T12" s="581" t="s">
        <v>336</v>
      </c>
      <c r="U12" s="45">
        <f ca="1">INDIRECT("'DevSumOut-"&amp;$B$2&amp;"BSR'!U56")</f>
        <v>1372.9454093252241</v>
      </c>
      <c r="V12" s="45">
        <f ca="1">INDIRECT("'DevSumOut-"&amp;$B$2&amp;"BSR'!U56")</f>
        <v>1372.9454093252241</v>
      </c>
      <c r="W12" s="581" t="s">
        <v>336</v>
      </c>
      <c r="X12" s="133">
        <f t="shared" ca="1" si="0"/>
        <v>0.54771470673206246</v>
      </c>
      <c r="Y12" s="133">
        <f t="shared" ca="1" si="0"/>
        <v>0.54771470673206246</v>
      </c>
      <c r="Z12" s="133">
        <f t="shared" ca="1" si="0"/>
        <v>0.54771470673206246</v>
      </c>
      <c r="AA12" s="133"/>
      <c r="AB12" s="133">
        <f t="shared" ca="1" si="1"/>
        <v>0.54771470673206246</v>
      </c>
      <c r="AC12" s="133">
        <f t="shared" ca="1" si="1"/>
        <v>0.54771470673206246</v>
      </c>
    </row>
    <row r="13" spans="1:29" x14ac:dyDescent="0.25">
      <c r="A13" s="812">
        <v>2104008410</v>
      </c>
      <c r="B13" s="812" t="s">
        <v>144</v>
      </c>
      <c r="C13" s="133">
        <f ca="1">INDIRECT("'DevSumOut-"&amp;$B$2&amp;"BSR'!R57")</f>
        <v>1.3873583967588464E-2</v>
      </c>
      <c r="D13" s="133">
        <f ca="1">INDIRECT("'DevSumOut-"&amp;$B$2&amp;"BSR'!R57")</f>
        <v>1.3873583967588464E-2</v>
      </c>
      <c r="E13" s="133">
        <f ca="1">INDIRECT("'DevSumOut-"&amp;$B$2&amp;"BSR'!R57")</f>
        <v>1.3873583967588464E-2</v>
      </c>
      <c r="F13" s="551" t="s">
        <v>336</v>
      </c>
      <c r="G13" s="133">
        <f ca="1">INDIRECT("'DevSumOut-"&amp;$B$2&amp;"BSR'!R57")</f>
        <v>1.3873583967588464E-2</v>
      </c>
      <c r="H13" s="133">
        <f ca="1">INDIRECT("'DevSumOut-"&amp;$B$2&amp;"BSR'!R57")</f>
        <v>1.3873583967588464E-2</v>
      </c>
      <c r="I13" s="551" t="s">
        <v>336</v>
      </c>
      <c r="J13" s="133">
        <f ca="1">INDIRECT("'DevSumOut-"&amp;$B$2&amp;"BSR'!P57")</f>
        <v>1.4998469154149686E-3</v>
      </c>
      <c r="K13" s="133">
        <f ca="1">INDIRECT("'DevSumOut-"&amp;$B$2&amp;"BSR'!P57")</f>
        <v>1.4998469154149686E-3</v>
      </c>
      <c r="L13" s="133">
        <f ca="1">INDIRECT("'DevSumOut-"&amp;$B$2&amp;"BSR'!P57")</f>
        <v>1.4998469154149686E-3</v>
      </c>
      <c r="M13" s="551" t="s">
        <v>336</v>
      </c>
      <c r="N13" s="133">
        <f ca="1">INDIRECT("'DevSumOut-"&amp;$B$2&amp;"BSR'!P57")</f>
        <v>1.4998469154149686E-3</v>
      </c>
      <c r="O13" s="133">
        <f ca="1">INDIRECT("'DevSumOut-"&amp;$B$2&amp;"BSR'!P57")</f>
        <v>1.4998469154149686E-3</v>
      </c>
      <c r="P13" s="551" t="s">
        <v>336</v>
      </c>
      <c r="Q13" s="45">
        <f ca="1">INDIRECT("'DevSumOut-"&amp;$B$2&amp;"BSR'!U57")</f>
        <v>143.78115019320484</v>
      </c>
      <c r="R13" s="45">
        <f ca="1">INDIRECT("'DevSumOut-"&amp;$B$2&amp;"BSR'!U57")</f>
        <v>143.78115019320484</v>
      </c>
      <c r="S13" s="45">
        <f ca="1">INDIRECT("'DevSumOut-"&amp;$B$2&amp;"BSR'!U57")</f>
        <v>143.78115019320484</v>
      </c>
      <c r="T13" s="581" t="s">
        <v>336</v>
      </c>
      <c r="U13" s="45">
        <f ca="1">INDIRECT("'DevSumOut-"&amp;$B$2&amp;"BSR'!U57")</f>
        <v>143.78115019320484</v>
      </c>
      <c r="V13" s="45">
        <f ca="1">INDIRECT("'DevSumOut-"&amp;$B$2&amp;"BSR'!U57")</f>
        <v>143.78115019320484</v>
      </c>
      <c r="W13" s="581" t="s">
        <v>336</v>
      </c>
      <c r="X13" s="133">
        <f t="shared" ca="1" si="0"/>
        <v>0.19298195832966894</v>
      </c>
      <c r="Y13" s="133">
        <f t="shared" ca="1" si="0"/>
        <v>0.19298195832966894</v>
      </c>
      <c r="Z13" s="133">
        <f t="shared" ca="1" si="0"/>
        <v>0.19298195832966894</v>
      </c>
      <c r="AA13" s="133"/>
      <c r="AB13" s="133">
        <f t="shared" ca="1" si="1"/>
        <v>0.19298195832966894</v>
      </c>
      <c r="AC13" s="133">
        <f t="shared" ca="1" si="1"/>
        <v>0.19298195832966894</v>
      </c>
    </row>
    <row r="14" spans="1:29" x14ac:dyDescent="0.25">
      <c r="A14" s="812">
        <v>2104008420</v>
      </c>
      <c r="B14" s="812" t="s">
        <v>145</v>
      </c>
      <c r="C14" s="133">
        <f ca="1">INDIRECT("'DevSumOut-"&amp;$B$2&amp;"BSR'!R58")</f>
        <v>4.6796029894194582E-2</v>
      </c>
      <c r="D14" s="133">
        <f ca="1">INDIRECT("'DevSumOut-"&amp;$B$2&amp;"BSR'!R58")</f>
        <v>4.6796029894194582E-2</v>
      </c>
      <c r="E14" s="133">
        <f ca="1">INDIRECT("'DevSumOut-"&amp;$B$2&amp;"BSR'!R58")</f>
        <v>4.6796029894194582E-2</v>
      </c>
      <c r="F14" s="551" t="s">
        <v>336</v>
      </c>
      <c r="G14" s="133">
        <f ca="1">INDIRECT("'DevSumOut-"&amp;$B$2&amp;"BSR'!R58")</f>
        <v>4.6796029894194582E-2</v>
      </c>
      <c r="H14" s="133">
        <f ca="1">INDIRECT("'DevSumOut-"&amp;$B$2&amp;"BSR'!R58")</f>
        <v>4.6796029894194582E-2</v>
      </c>
      <c r="I14" s="551" t="s">
        <v>336</v>
      </c>
      <c r="J14" s="133">
        <f ca="1">INDIRECT("'DevSumOut-"&amp;$B$2&amp;"BSR'!P58")</f>
        <v>5.0590302588318474E-3</v>
      </c>
      <c r="K14" s="133">
        <f ca="1">INDIRECT("'DevSumOut-"&amp;$B$2&amp;"BSR'!P58")</f>
        <v>5.0590302588318474E-3</v>
      </c>
      <c r="L14" s="133">
        <f ca="1">INDIRECT("'DevSumOut-"&amp;$B$2&amp;"BSR'!P58")</f>
        <v>5.0590302588318474E-3</v>
      </c>
      <c r="M14" s="551" t="s">
        <v>336</v>
      </c>
      <c r="N14" s="133">
        <f ca="1">INDIRECT("'DevSumOut-"&amp;$B$2&amp;"BSR'!P58")</f>
        <v>5.0590302588318474E-3</v>
      </c>
      <c r="O14" s="133">
        <f ca="1">INDIRECT("'DevSumOut-"&amp;$B$2&amp;"BSR'!P58")</f>
        <v>5.0590302588318474E-3</v>
      </c>
      <c r="P14" s="551" t="s">
        <v>336</v>
      </c>
      <c r="Q14" s="45">
        <f ca="1">INDIRECT("'DevSumOut-"&amp;$B$2&amp;"BSR'!U58")</f>
        <v>484.97828811803691</v>
      </c>
      <c r="R14" s="45">
        <f ca="1">INDIRECT("'DevSumOut-"&amp;$B$2&amp;"BSR'!U58")</f>
        <v>484.97828811803691</v>
      </c>
      <c r="S14" s="45">
        <f ca="1">INDIRECT("'DevSumOut-"&amp;$B$2&amp;"BSR'!U58")</f>
        <v>484.97828811803691</v>
      </c>
      <c r="T14" s="581" t="s">
        <v>336</v>
      </c>
      <c r="U14" s="45">
        <f ca="1">INDIRECT("'DevSumOut-"&amp;$B$2&amp;"BSR'!U58")</f>
        <v>484.97828811803691</v>
      </c>
      <c r="V14" s="45">
        <f ca="1">INDIRECT("'DevSumOut-"&amp;$B$2&amp;"BSR'!U58")</f>
        <v>484.97828811803691</v>
      </c>
      <c r="W14" s="581" t="s">
        <v>336</v>
      </c>
      <c r="X14" s="133">
        <f t="shared" ca="1" si="0"/>
        <v>0.19298195832966891</v>
      </c>
      <c r="Y14" s="133">
        <f t="shared" ca="1" si="0"/>
        <v>0.19298195832966891</v>
      </c>
      <c r="Z14" s="133">
        <f t="shared" ca="1" si="0"/>
        <v>0.19298195832966891</v>
      </c>
      <c r="AA14" s="133"/>
      <c r="AB14" s="133">
        <f t="shared" ca="1" si="1"/>
        <v>0.19298195832966891</v>
      </c>
      <c r="AC14" s="133">
        <f t="shared" ca="1" si="1"/>
        <v>0.19298195832966891</v>
      </c>
    </row>
    <row r="15" spans="1:29" x14ac:dyDescent="0.25">
      <c r="A15" s="812">
        <v>2104008610</v>
      </c>
      <c r="B15" s="812" t="s">
        <v>146</v>
      </c>
      <c r="C15" s="133">
        <f ca="1">INDIRECT("'DevSumOut-"&amp;$B$2&amp;"BSR'!R59")</f>
        <v>0.23249892936764927</v>
      </c>
      <c r="D15" s="133">
        <f ca="1">INDIRECT("'DevSumOut-"&amp;$B$2&amp;"BSR'!R59")</f>
        <v>0.23249892936764927</v>
      </c>
      <c r="E15" s="133">
        <f ca="1">INDIRECT("'DevSumOut-"&amp;$B$2&amp;"BSR'!R59")</f>
        <v>0.23249892936764927</v>
      </c>
      <c r="F15" s="551" t="s">
        <v>336</v>
      </c>
      <c r="G15" s="133">
        <f ca="1">INDIRECT("'DevSumOut-"&amp;$B$2&amp;"BSR'!R59")</f>
        <v>0.23249892936764927</v>
      </c>
      <c r="H15" s="133">
        <f ca="1">INDIRECT("'DevSumOut-"&amp;$B$2&amp;"BSR'!R59")</f>
        <v>0.23249892936764927</v>
      </c>
      <c r="I15" s="551" t="s">
        <v>336</v>
      </c>
      <c r="J15" s="133">
        <f ca="1">INDIRECT("'DevSumOut-"&amp;$B$2&amp;"BSR'!P59")</f>
        <v>9.4223038307631977E-3</v>
      </c>
      <c r="K15" s="133">
        <f ca="1">INDIRECT("'DevSumOut-"&amp;$B$2&amp;"BSR'!P59")</f>
        <v>9.4223038307631977E-3</v>
      </c>
      <c r="L15" s="133">
        <f ca="1">INDIRECT("'DevSumOut-"&amp;$B$2&amp;"BSR'!P59")</f>
        <v>9.4223038307631977E-3</v>
      </c>
      <c r="M15" s="551" t="s">
        <v>336</v>
      </c>
      <c r="N15" s="133">
        <f ca="1">INDIRECT("'DevSumOut-"&amp;$B$2&amp;"BSR'!P59")</f>
        <v>9.4223038307631977E-3</v>
      </c>
      <c r="O15" s="133">
        <f ca="1">INDIRECT("'DevSumOut-"&amp;$B$2&amp;"BSR'!P59")</f>
        <v>9.4223038307631977E-3</v>
      </c>
      <c r="P15" s="551" t="s">
        <v>336</v>
      </c>
      <c r="Q15" s="45">
        <f ca="1">INDIRECT("'DevSumOut-"&amp;$B$2&amp;"BSR'!U59")</f>
        <v>756.12203547860452</v>
      </c>
      <c r="R15" s="45">
        <f ca="1">INDIRECT("'DevSumOut-"&amp;$B$2&amp;"BSR'!U59")</f>
        <v>756.12203547860452</v>
      </c>
      <c r="S15" s="45">
        <f ca="1">INDIRECT("'DevSumOut-"&amp;$B$2&amp;"BSR'!U59")</f>
        <v>756.12203547860452</v>
      </c>
      <c r="T15" s="581" t="s">
        <v>336</v>
      </c>
      <c r="U15" s="45">
        <f ca="1">INDIRECT("'DevSumOut-"&amp;$B$2&amp;"BSR'!U59")</f>
        <v>756.12203547860452</v>
      </c>
      <c r="V15" s="45">
        <f ca="1">INDIRECT("'DevSumOut-"&amp;$B$2&amp;"BSR'!U59")</f>
        <v>756.12203547860452</v>
      </c>
      <c r="W15" s="581" t="s">
        <v>336</v>
      </c>
      <c r="X15" s="133">
        <f t="shared" ca="1" si="0"/>
        <v>0.61497726149584786</v>
      </c>
      <c r="Y15" s="133">
        <f t="shared" ca="1" si="0"/>
        <v>0.61497726149584786</v>
      </c>
      <c r="Z15" s="133">
        <f t="shared" ca="1" si="0"/>
        <v>0.61497726149584786</v>
      </c>
      <c r="AA15" s="133"/>
      <c r="AB15" s="133">
        <f t="shared" ca="1" si="1"/>
        <v>0.61497726149584786</v>
      </c>
      <c r="AC15" s="133">
        <f t="shared" ca="1" si="1"/>
        <v>0.61497726149584786</v>
      </c>
    </row>
    <row r="16" spans="1:29" x14ac:dyDescent="0.25">
      <c r="A16" s="812">
        <v>2104004000</v>
      </c>
      <c r="B16" s="812" t="s">
        <v>568</v>
      </c>
      <c r="C16" s="133">
        <f ca="1">INDIRECT("'DevSumOut-"&amp;$B$2&amp;"BSR'!R60")</f>
        <v>5.1731917569597156E-2</v>
      </c>
      <c r="D16" s="133">
        <f ca="1">INDIRECT("'DevSumOut-"&amp;$B$2&amp;"BSR'!R60")</f>
        <v>5.1731917569597156E-2</v>
      </c>
      <c r="E16" s="133">
        <f ca="1">INDIRECT("'DevSumOut-"&amp;$B$2&amp;"BSR'!R60")</f>
        <v>5.1731917569597156E-2</v>
      </c>
      <c r="F16" s="551" t="s">
        <v>336</v>
      </c>
      <c r="G16" s="133">
        <f ca="1">INDIRECT("'DevSumOut-"&amp;$B$2&amp;"BSR'!R60")</f>
        <v>5.1731917569597156E-2</v>
      </c>
      <c r="H16" s="133">
        <f ca="1">INDIRECT("'DevSumOut-"&amp;$B$2&amp;"BSR'!R60")</f>
        <v>5.1731917569597156E-2</v>
      </c>
      <c r="I16" s="551" t="s">
        <v>336</v>
      </c>
      <c r="J16" s="133">
        <f ca="1">INDIRECT("'DevSumOut-"&amp;$B$2&amp;"BSR'!P60")</f>
        <v>3.2746283910070026</v>
      </c>
      <c r="K16" s="133">
        <f ca="1">INDIRECT("'DevSumOut-"&amp;$B$2&amp;"BSR'!P60")</f>
        <v>3.2746283910070026</v>
      </c>
      <c r="L16" s="133">
        <f ca="1">INDIRECT("'DevSumOut-"&amp;$B$2&amp;"BSR'!P60")</f>
        <v>3.2746283910070026</v>
      </c>
      <c r="M16" s="551" t="s">
        <v>336</v>
      </c>
      <c r="N16" s="133">
        <f ca="1">INDIRECT("'DevSumOut-"&amp;$B$2&amp;"BSR'!P60")</f>
        <v>3.2746283910070026</v>
      </c>
      <c r="O16" s="133">
        <f ca="1">INDIRECT("'DevSumOut-"&amp;$B$2&amp;"BSR'!P60")</f>
        <v>3.2746283910070026</v>
      </c>
      <c r="P16" s="551" t="s">
        <v>336</v>
      </c>
      <c r="Q16" s="45">
        <f ca="1">INDIRECT("'DevSumOut-"&amp;$B$2&amp;"BSR'!U60")</f>
        <v>30411.821958632481</v>
      </c>
      <c r="R16" s="45">
        <f ca="1">INDIRECT("'DevSumOut-"&amp;$B$2&amp;"BSR'!U60")</f>
        <v>30411.821958632481</v>
      </c>
      <c r="S16" s="45">
        <f ca="1">INDIRECT("'DevSumOut-"&amp;$B$2&amp;"BSR'!U60")</f>
        <v>30411.821958632481</v>
      </c>
      <c r="T16" s="581" t="s">
        <v>336</v>
      </c>
      <c r="U16" s="45">
        <f ca="1">INDIRECT("'DevSumOut-"&amp;$B$2&amp;"BSR'!U60")</f>
        <v>30411.821958632481</v>
      </c>
      <c r="V16" s="45">
        <f ca="1">INDIRECT("'DevSumOut-"&amp;$B$2&amp;"BSR'!U60")</f>
        <v>30411.821958632481</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2">
        <v>2103004001</v>
      </c>
      <c r="B17" s="812" t="s">
        <v>148</v>
      </c>
      <c r="C17" s="133">
        <f ca="1">INDIRECT("'DevSumOut-"&amp;$B$2&amp;"BSR'!R61")</f>
        <v>1.6668606649109026E-2</v>
      </c>
      <c r="D17" s="133">
        <f ca="1">INDIRECT("'DevSumOut-"&amp;$B$2&amp;"BSR'!R61")</f>
        <v>1.6668606649109026E-2</v>
      </c>
      <c r="E17" s="133">
        <f ca="1">INDIRECT("'DevSumOut-"&amp;$B$2&amp;"BSR'!R61")</f>
        <v>1.6668606649109026E-2</v>
      </c>
      <c r="F17" s="551" t="s">
        <v>336</v>
      </c>
      <c r="G17" s="133">
        <f ca="1">INDIRECT("'DevSumOut-"&amp;$B$2&amp;"BSR'!R61")</f>
        <v>1.6668606649109026E-2</v>
      </c>
      <c r="H17" s="133">
        <f ca="1">INDIRECT("'DevSumOut-"&amp;$B$2&amp;"BSR'!R61")</f>
        <v>1.6668606649109026E-2</v>
      </c>
      <c r="I17" s="551" t="s">
        <v>336</v>
      </c>
      <c r="J17" s="133">
        <f ca="1">INDIRECT("'DevSumOut-"&amp;$B$2&amp;"BSR'!P61")</f>
        <v>0.4644751714251617</v>
      </c>
      <c r="K17" s="133">
        <f ca="1">INDIRECT("'DevSumOut-"&amp;$B$2&amp;"BSR'!P61")</f>
        <v>0.4644751714251617</v>
      </c>
      <c r="L17" s="133">
        <f ca="1">INDIRECT("'DevSumOut-"&amp;$B$2&amp;"BSR'!P61")</f>
        <v>0.4644751714251617</v>
      </c>
      <c r="M17" s="551" t="s">
        <v>336</v>
      </c>
      <c r="N17" s="133">
        <f ca="1">INDIRECT("'DevSumOut-"&amp;$B$2&amp;"BSR'!P61")</f>
        <v>0.4644751714251617</v>
      </c>
      <c r="O17" s="133">
        <f ca="1">INDIRECT("'DevSumOut-"&amp;$B$2&amp;"BSR'!P61")</f>
        <v>0.4644751714251617</v>
      </c>
      <c r="P17" s="551" t="s">
        <v>336</v>
      </c>
      <c r="Q17" s="45">
        <f ca="1">INDIRECT("'DevSumOut-"&amp;$B$2&amp;"BSR'!U61")</f>
        <v>10112.206244087163</v>
      </c>
      <c r="R17" s="45">
        <f ca="1">INDIRECT("'DevSumOut-"&amp;$B$2&amp;"BSR'!U61")</f>
        <v>10112.206244087163</v>
      </c>
      <c r="S17" s="45">
        <f ca="1">INDIRECT("'DevSumOut-"&amp;$B$2&amp;"BSR'!U61")</f>
        <v>10112.206244087163</v>
      </c>
      <c r="T17" s="581" t="s">
        <v>336</v>
      </c>
      <c r="U17" s="45">
        <f ca="1">INDIRECT("'DevSumOut-"&amp;$B$2&amp;"BSR'!U61")</f>
        <v>10112.206244087163</v>
      </c>
      <c r="V17" s="45">
        <f ca="1">INDIRECT("'DevSumOut-"&amp;$B$2&amp;"BSR'!U61")</f>
        <v>10112.206244087163</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2">
        <v>2104004000</v>
      </c>
      <c r="B18" s="812" t="s">
        <v>746</v>
      </c>
      <c r="C18" s="133">
        <f ca="1">INDIRECT("'DevSumOut-"&amp;$B$2&amp;"BSR'!R62")</f>
        <v>3.081230003710974E-4</v>
      </c>
      <c r="D18" s="133">
        <f ca="1">INDIRECT("'DevSumOut-"&amp;$B$2&amp;"BSR'!R62")</f>
        <v>3.081230003710974E-4</v>
      </c>
      <c r="E18" s="133">
        <f ca="1">INDIRECT("'DevSumOut-"&amp;$B$2&amp;"BSR'!R62")</f>
        <v>3.081230003710974E-4</v>
      </c>
      <c r="F18" s="551" t="s">
        <v>336</v>
      </c>
      <c r="G18" s="133">
        <f ca="1">INDIRECT("'DevSumOut-"&amp;$B$2&amp;"BSR'!R62")</f>
        <v>3.081230003710974E-4</v>
      </c>
      <c r="H18" s="133">
        <f ca="1">INDIRECT("'DevSumOut-"&amp;$B$2&amp;"BSR'!R62")</f>
        <v>3.081230003710974E-4</v>
      </c>
      <c r="I18" s="551" t="s">
        <v>336</v>
      </c>
      <c r="J18" s="133">
        <f ca="1">INDIRECT("'DevSumOut-"&amp;$B$2&amp;"BSR'!P62")</f>
        <v>2.2263873270136389E-2</v>
      </c>
      <c r="K18" s="133">
        <f ca="1">INDIRECT("'DevSumOut-"&amp;$B$2&amp;"BSR'!P62")</f>
        <v>2.2263873270136389E-2</v>
      </c>
      <c r="L18" s="133">
        <f ca="1">INDIRECT("'DevSumOut-"&amp;$B$2&amp;"BSR'!P62")</f>
        <v>2.2263873270136389E-2</v>
      </c>
      <c r="M18" s="551" t="s">
        <v>336</v>
      </c>
      <c r="N18" s="133">
        <f ca="1">INDIRECT("'DevSumOut-"&amp;$B$2&amp;"BSR'!P62")</f>
        <v>2.2263873270136389E-2</v>
      </c>
      <c r="O18" s="133">
        <f ca="1">INDIRECT("'DevSumOut-"&amp;$B$2&amp;"BSR'!P62")</f>
        <v>2.2263873270136389E-2</v>
      </c>
      <c r="P18" s="551" t="s">
        <v>336</v>
      </c>
      <c r="Q18" s="45">
        <f ca="1">INDIRECT("'DevSumOut-"&amp;$B$2&amp;"BSR'!U62")</f>
        <v>211.05655217919244</v>
      </c>
      <c r="R18" s="45">
        <f ca="1">INDIRECT("'DevSumOut-"&amp;$B$2&amp;"BSR'!U62")</f>
        <v>211.05655217919244</v>
      </c>
      <c r="S18" s="45">
        <f ca="1">INDIRECT("'DevSumOut-"&amp;$B$2&amp;"BSR'!U62")</f>
        <v>211.05655217919244</v>
      </c>
      <c r="T18" s="581" t="s">
        <v>336</v>
      </c>
      <c r="U18" s="45">
        <f ca="1">INDIRECT("'DevSumOut-"&amp;$B$2&amp;"BSR'!U62")</f>
        <v>211.05655217919244</v>
      </c>
      <c r="V18" s="45">
        <f ca="1">INDIRECT("'DevSumOut-"&amp;$B$2&amp;"BSR'!U62")</f>
        <v>211.05655217919244</v>
      </c>
      <c r="W18" s="581" t="s">
        <v>336</v>
      </c>
      <c r="X18" s="133">
        <f t="shared" ca="1" si="0"/>
        <v>2.9198145917734225E-3</v>
      </c>
      <c r="Y18" s="133">
        <f t="shared" ca="1" si="0"/>
        <v>2.9198145917734225E-3</v>
      </c>
      <c r="Z18" s="133">
        <f t="shared" ca="1" si="0"/>
        <v>2.9198145917734225E-3</v>
      </c>
      <c r="AA18" s="133"/>
      <c r="AB18" s="133">
        <f t="shared" ca="1" si="1"/>
        <v>2.9198145917734225E-3</v>
      </c>
      <c r="AC18" s="133">
        <f t="shared" ca="1" si="1"/>
        <v>2.9198145917734225E-3</v>
      </c>
    </row>
    <row r="19" spans="1:29" x14ac:dyDescent="0.25">
      <c r="A19" s="812">
        <v>2104007000</v>
      </c>
      <c r="B19" s="812" t="s">
        <v>747</v>
      </c>
      <c r="C19" s="133">
        <f ca="1">INDIRECT("'DevSumOut-"&amp;$B$2&amp;"BSR'!R63")</f>
        <v>1.1970198371852739E-3</v>
      </c>
      <c r="D19" s="133">
        <f ca="1">INDIRECT("'DevSumOut-"&amp;$B$2&amp;"BSR'!R63")</f>
        <v>1.1970198371852739E-3</v>
      </c>
      <c r="E19" s="133">
        <f ca="1">INDIRECT("'DevSumOut-"&amp;$B$2&amp;"BSR'!R63")</f>
        <v>1.1970198371852739E-3</v>
      </c>
      <c r="F19" s="551" t="s">
        <v>336</v>
      </c>
      <c r="G19" s="133">
        <f ca="1">INDIRECT("'DevSumOut-"&amp;$B$2&amp;"BSR'!R63")</f>
        <v>1.1970198371852739E-3</v>
      </c>
      <c r="H19" s="133">
        <f ca="1">INDIRECT("'DevSumOut-"&amp;$B$2&amp;"BSR'!R63")</f>
        <v>1.1970198371852739E-3</v>
      </c>
      <c r="I19" s="551" t="s">
        <v>336</v>
      </c>
      <c r="J19" s="133">
        <f ca="1">INDIRECT("'DevSumOut-"&amp;$B$2&amp;"BSR'!P63")</f>
        <v>7.5771309620835364E-2</v>
      </c>
      <c r="K19" s="133">
        <f ca="1">INDIRECT("'DevSumOut-"&amp;$B$2&amp;"BSR'!P63")</f>
        <v>7.5771309620835364E-2</v>
      </c>
      <c r="L19" s="133">
        <f ca="1">INDIRECT("'DevSumOut-"&amp;$B$2&amp;"BSR'!P63")</f>
        <v>7.5771309620835364E-2</v>
      </c>
      <c r="M19" s="551" t="s">
        <v>336</v>
      </c>
      <c r="N19" s="133">
        <f ca="1">INDIRECT("'DevSumOut-"&amp;$B$2&amp;"BSR'!P63")</f>
        <v>7.5771309620835364E-2</v>
      </c>
      <c r="O19" s="133">
        <f ca="1">INDIRECT("'DevSumOut-"&amp;$B$2&amp;"BSR'!P63")</f>
        <v>7.5771309620835364E-2</v>
      </c>
      <c r="P19" s="551" t="s">
        <v>336</v>
      </c>
      <c r="Q19" s="45">
        <f ca="1">INDIRECT("'DevSumOut-"&amp;$B$2&amp;"BSR'!U63")</f>
        <v>655.40267239055322</v>
      </c>
      <c r="R19" s="45">
        <f ca="1">INDIRECT("'DevSumOut-"&amp;$B$2&amp;"BSR'!U63")</f>
        <v>655.40267239055322</v>
      </c>
      <c r="S19" s="45">
        <f ca="1">INDIRECT("'DevSumOut-"&amp;$B$2&amp;"BSR'!U63")</f>
        <v>655.40267239055322</v>
      </c>
      <c r="T19" s="581" t="s">
        <v>336</v>
      </c>
      <c r="U19" s="45">
        <f ca="1">INDIRECT("'DevSumOut-"&amp;$B$2&amp;"BSR'!U63")</f>
        <v>655.40267239055322</v>
      </c>
      <c r="V19" s="45">
        <f ca="1">INDIRECT("'DevSumOut-"&amp;$B$2&amp;"BSR'!U63")</f>
        <v>655.40267239055322</v>
      </c>
      <c r="W19" s="581" t="s">
        <v>336</v>
      </c>
      <c r="X19" s="133">
        <f t="shared" ca="1" si="0"/>
        <v>3.652776796955054E-3</v>
      </c>
      <c r="Y19" s="133">
        <f t="shared" ca="1" si="0"/>
        <v>3.652776796955054E-3</v>
      </c>
      <c r="Z19" s="133">
        <f t="shared" ca="1" si="0"/>
        <v>3.652776796955054E-3</v>
      </c>
      <c r="AA19" s="133"/>
      <c r="AB19" s="133">
        <f t="shared" ca="1" si="1"/>
        <v>3.652776796955054E-3</v>
      </c>
      <c r="AC19" s="133">
        <f t="shared" ca="1" si="1"/>
        <v>3.652776796955054E-3</v>
      </c>
    </row>
    <row r="20" spans="1:29" x14ac:dyDescent="0.25">
      <c r="A20" s="812">
        <v>2104006010</v>
      </c>
      <c r="B20" s="812"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7.0898784775737584E-5</v>
      </c>
      <c r="K20" s="133">
        <f ca="1">INDIRECT("'DevSumOut-"&amp;$B$2&amp;"BSR'!P64")</f>
        <v>7.0898784775737584E-5</v>
      </c>
      <c r="L20" s="133">
        <f ca="1">INDIRECT("'DevSumOut-"&amp;$B$2&amp;"BSR'!P64")</f>
        <v>7.0898784775737584E-5</v>
      </c>
      <c r="M20" s="551" t="s">
        <v>336</v>
      </c>
      <c r="N20" s="133">
        <f ca="1">INDIRECT("'DevSumOut-"&amp;$B$2&amp;"BSR'!P64")</f>
        <v>7.0898784775737584E-5</v>
      </c>
      <c r="O20" s="133">
        <f ca="1">INDIRECT("'DevSumOut-"&amp;$B$2&amp;"BSR'!P64")</f>
        <v>7.0898784775737584E-5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4.0124456975701566E-5</v>
      </c>
      <c r="Y20" s="133">
        <f t="shared" ca="1" si="0"/>
        <v>4.0124456975701566E-5</v>
      </c>
      <c r="Z20" s="133">
        <f t="shared" ca="1" si="0"/>
        <v>4.0124456975701566E-5</v>
      </c>
      <c r="AA20" s="133"/>
      <c r="AB20" s="133">
        <f t="shared" ca="1" si="1"/>
        <v>4.0124456975701566E-5</v>
      </c>
      <c r="AC20" s="133">
        <f t="shared" ca="1" si="1"/>
        <v>4.0124456975701566E-5</v>
      </c>
    </row>
    <row r="21" spans="1:29" x14ac:dyDescent="0.25">
      <c r="A21" s="812">
        <v>2103006000</v>
      </c>
      <c r="B21" s="812"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7.9575146604215531E-4</v>
      </c>
      <c r="K21" s="133">
        <f ca="1">INDIRECT("'DevSumOut-"&amp;$B$2&amp;"BSR'!P65")</f>
        <v>7.9575146604215531E-4</v>
      </c>
      <c r="L21" s="133">
        <f ca="1">INDIRECT("'DevSumOut-"&amp;$B$2&amp;"BSR'!P65")</f>
        <v>7.9575146604215531E-4</v>
      </c>
      <c r="M21" s="551" t="s">
        <v>336</v>
      </c>
      <c r="N21" s="133">
        <f ca="1">INDIRECT("'DevSumOut-"&amp;$B$2&amp;"BSR'!P65")</f>
        <v>7.9575146604215531E-4</v>
      </c>
      <c r="O21" s="133">
        <f ca="1">INDIRECT("'DevSumOut-"&amp;$B$2&amp;"BSR'!P65")</f>
        <v>7.9575146604215531E-4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7.4876847290640414E-3</v>
      </c>
      <c r="Y21" s="133">
        <f t="shared" ca="1" si="0"/>
        <v>7.4876847290640414E-3</v>
      </c>
      <c r="Z21" s="133">
        <f t="shared" ca="1" si="0"/>
        <v>7.4876847290640414E-3</v>
      </c>
      <c r="AA21" s="133"/>
      <c r="AB21" s="133">
        <f t="shared" ca="1" si="1"/>
        <v>7.4876847290640414E-3</v>
      </c>
      <c r="AC21" s="133">
        <f t="shared" ca="1" si="1"/>
        <v>7.4876847290640414E-3</v>
      </c>
    </row>
    <row r="22" spans="1:29" x14ac:dyDescent="0.25">
      <c r="A22" s="812">
        <v>2104002000</v>
      </c>
      <c r="B22" s="812" t="s">
        <v>151</v>
      </c>
      <c r="C22" s="133">
        <f ca="1">INDIRECT("'DevSumOut-"&amp;$B$2&amp;"BSR'!R66")</f>
        <v>9.1944691416765034E-2</v>
      </c>
      <c r="D22" s="133">
        <f ca="1">INDIRECT("'DevSumOut-"&amp;$B$2&amp;"BSR'!R66")</f>
        <v>9.1944691416765034E-2</v>
      </c>
      <c r="E22" s="133">
        <f ca="1">INDIRECT("'DevSumOut-"&amp;$B$2&amp;"BSR'!R66")</f>
        <v>9.1944691416765034E-2</v>
      </c>
      <c r="F22" s="551" t="s">
        <v>336</v>
      </c>
      <c r="G22" s="133">
        <f ca="1">INDIRECT("'DevSumOut-"&amp;$B$2&amp;"BSR'!R66")</f>
        <v>9.1944691416765034E-2</v>
      </c>
      <c r="H22" s="133">
        <f ca="1">INDIRECT("'DevSumOut-"&amp;$B$2&amp;"BSR'!R66")</f>
        <v>9.1944691416765034E-2</v>
      </c>
      <c r="I22" s="551" t="s">
        <v>336</v>
      </c>
      <c r="J22" s="133">
        <f ca="1">INDIRECT("'DevSumOut-"&amp;$B$2&amp;"BSR'!P66")</f>
        <v>0.10701947811963887</v>
      </c>
      <c r="K22" s="133">
        <f ca="1">INDIRECT("'DevSumOut-"&amp;$B$2&amp;"BSR'!P66")</f>
        <v>0.10701947811963887</v>
      </c>
      <c r="L22" s="133">
        <f ca="1">INDIRECT("'DevSumOut-"&amp;$B$2&amp;"BSR'!P66")</f>
        <v>0.10701947811963887</v>
      </c>
      <c r="M22" s="551" t="s">
        <v>336</v>
      </c>
      <c r="N22" s="133">
        <f ca="1">INDIRECT("'DevSumOut-"&amp;$B$2&amp;"BSR'!P66")</f>
        <v>0.10701947811963887</v>
      </c>
      <c r="O22" s="133">
        <f ca="1">INDIRECT("'DevSumOut-"&amp;$B$2&amp;"BSR'!P66")</f>
        <v>0.10701947811963887</v>
      </c>
      <c r="P22" s="551" t="s">
        <v>336</v>
      </c>
      <c r="Q22" s="45">
        <f ca="1">INDIRECT("'DevSumOut-"&amp;$B$2&amp;"BSR'!U66")</f>
        <v>349.82711127279811</v>
      </c>
      <c r="R22" s="45">
        <f ca="1">INDIRECT("'DevSumOut-"&amp;$B$2&amp;"BSR'!U66")</f>
        <v>349.82711127279811</v>
      </c>
      <c r="S22" s="45">
        <f ca="1">INDIRECT("'DevSumOut-"&amp;$B$2&amp;"BSR'!U66")</f>
        <v>349.82711127279811</v>
      </c>
      <c r="T22" s="581" t="s">
        <v>336</v>
      </c>
      <c r="U22" s="45">
        <f ca="1">INDIRECT("'DevSumOut-"&amp;$B$2&amp;"BSR'!U66")</f>
        <v>349.82711127279811</v>
      </c>
      <c r="V22" s="45">
        <f ca="1">INDIRECT("'DevSumOut-"&amp;$B$2&amp;"BSR'!U66")</f>
        <v>349.82711127279811</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2.5882506455525549</v>
      </c>
      <c r="D26" s="137">
        <f ca="1">SUM(D6:D25)</f>
        <v>2.5882506455525549</v>
      </c>
      <c r="E26" s="137">
        <f ca="1">SUM(E6:E25)</f>
        <v>2.5882506455525549</v>
      </c>
      <c r="F26" s="566" t="s">
        <v>336</v>
      </c>
      <c r="G26" s="137">
        <f t="shared" ref="G26:H26" ca="1" si="2">SUM(G6:G25)</f>
        <v>2.5882506455525549</v>
      </c>
      <c r="H26" s="137">
        <f t="shared" ca="1" si="2"/>
        <v>2.5882506455525549</v>
      </c>
      <c r="I26" s="566" t="s">
        <v>336</v>
      </c>
      <c r="J26" s="137">
        <f ca="1">SUM(J6:J25)</f>
        <v>4.0475646035746573</v>
      </c>
      <c r="K26" s="137">
        <f ca="1">SUM(K6:K25)</f>
        <v>4.0475646035746573</v>
      </c>
      <c r="L26" s="137">
        <f ca="1">SUM(L6:L25)</f>
        <v>4.0475646035746573</v>
      </c>
      <c r="M26" s="566" t="s">
        <v>336</v>
      </c>
      <c r="N26" s="137">
        <f ca="1">SUM(N6:N25)</f>
        <v>4.0475646035746573</v>
      </c>
      <c r="O26" s="137">
        <f ca="1">SUM(O6:O25)</f>
        <v>4.0475646035746573</v>
      </c>
      <c r="P26" s="566" t="s">
        <v>336</v>
      </c>
      <c r="Q26" s="87">
        <f ca="1">SUM(Q6:Q25)</f>
        <v>51832.82158544907</v>
      </c>
      <c r="R26" s="87">
        <f ca="1">SUM(R6:R25)</f>
        <v>51832.82158544907</v>
      </c>
      <c r="S26" s="87">
        <f ca="1">SUM(S6:S25)</f>
        <v>51832.82158544907</v>
      </c>
      <c r="T26" s="566" t="s">
        <v>336</v>
      </c>
      <c r="U26" s="87">
        <f ca="1">SUM(U6:U25)</f>
        <v>51832.82158544907</v>
      </c>
      <c r="V26" s="87">
        <f ca="1">SUM(V6:V25)</f>
        <v>51832.82158544907</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2021 Baseline PM2.5 Emissions (tpd) by Curtailment Regime and AQCZ</v>
      </c>
      <c r="D30" s="840"/>
      <c r="E30" s="840"/>
      <c r="F30" s="840"/>
      <c r="G30" s="840"/>
      <c r="H30" s="840"/>
      <c r="I30" s="840"/>
      <c r="J30" s="840" t="str">
        <f>$B$2&amp;" Baseline SO2 Emissions (tpd) by Curtailment Regime and AQCZ"</f>
        <v>2021 Baseline SO2 Emissions (tpd) by Curtailment Regime and AQCZ</v>
      </c>
      <c r="K30" s="840"/>
      <c r="L30" s="840"/>
      <c r="M30" s="840"/>
      <c r="N30" s="840"/>
      <c r="O30" s="840"/>
      <c r="P30" s="840"/>
      <c r="Q30" s="840" t="str">
        <f>$B$2&amp;" Baseline Energy Use (mmBTU) by Curtailment Regime and AQCZ"</f>
        <v>2021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0.97419019482885216</v>
      </c>
      <c r="D32" s="133">
        <f ca="1">(D26-D33)*AQCZSplits!$F$5</f>
        <v>0.97419019482885216</v>
      </c>
      <c r="E32" s="133">
        <f ca="1">(E26-E33)*AQCZSplits!$F$5</f>
        <v>0.97419019482885216</v>
      </c>
      <c r="F32" s="551" t="s">
        <v>336</v>
      </c>
      <c r="G32" s="133">
        <f ca="1">(G26-G33)*AQCZSplits!$F$5</f>
        <v>0.97419019482885216</v>
      </c>
      <c r="H32" s="133">
        <f ca="1">(H26-H33)*AQCZSplits!$F$5</f>
        <v>0.97419019482885216</v>
      </c>
      <c r="I32" s="551" t="s">
        <v>336</v>
      </c>
      <c r="J32" s="133">
        <f ca="1">(J26-J33)*AQCZSplits!$F$5</f>
        <v>1.8097940882622638</v>
      </c>
      <c r="K32" s="133">
        <f ca="1">(K26-K33)*AQCZSplits!$F$5</f>
        <v>1.8097940882622638</v>
      </c>
      <c r="L32" s="133">
        <f ca="1">(L26-L33)*AQCZSplits!$F$5</f>
        <v>1.8097940882622638</v>
      </c>
      <c r="M32" s="551" t="s">
        <v>336</v>
      </c>
      <c r="N32" s="133">
        <f ca="1">(N26-N33)*AQCZSplits!$F$5</f>
        <v>1.8097940882622638</v>
      </c>
      <c r="O32" s="133">
        <f ca="1">(O26-O33)*AQCZSplits!$F$5</f>
        <v>1.8097940882622638</v>
      </c>
      <c r="P32" s="551" t="s">
        <v>336</v>
      </c>
      <c r="Q32" s="45">
        <f ca="1">(Q26-Q33)*AQCZSplits!$F$5</f>
        <v>23695.698814127052</v>
      </c>
      <c r="R32" s="45">
        <f ca="1">(R26-R33)*AQCZSplits!$F$5</f>
        <v>23695.698814127052</v>
      </c>
      <c r="S32" s="45">
        <f ca="1">(S26-S33)*AQCZSplits!$F$5</f>
        <v>23695.698814127052</v>
      </c>
      <c r="T32" s="551" t="s">
        <v>336</v>
      </c>
      <c r="U32" s="45">
        <f ca="1">(U26-U33)*AQCZSplits!$F$5</f>
        <v>23695.698814127052</v>
      </c>
      <c r="V32" s="45">
        <f ca="1">(V26-V33)*AQCZSplits!$F$5</f>
        <v>23695.698814127052</v>
      </c>
      <c r="W32" s="551" t="s">
        <v>336</v>
      </c>
    </row>
    <row r="33" spans="1:23" ht="15.75" thickBot="1" x14ac:dyDescent="0.3">
      <c r="A33" s="6" t="s">
        <v>754</v>
      </c>
      <c r="B33" s="6" t="s">
        <v>755</v>
      </c>
      <c r="C33" s="544">
        <f ca="1">SUMIFS(INDIRECT("'ZipOutNA-"&amp;$B$2&amp;"BSR'!$J$5:$J$669"),INDIRECT("'ZipOutNA-"&amp;$B$2&amp;"BSR'!$D$5:$D$669"),99705)/35</f>
        <v>1.06333288762739</v>
      </c>
      <c r="D33" s="544">
        <f ca="1">SUMIFS(INDIRECT("'ZipOutNA-"&amp;$B$2&amp;"BSR'!$J$5:$J$669"),INDIRECT("'ZipOutNA-"&amp;$B$2&amp;"BSR'!$D$5:$D$669"),99705)/35</f>
        <v>1.06333288762739</v>
      </c>
      <c r="E33" s="544">
        <f ca="1">SUMIFS(INDIRECT("'ZipOutNA-"&amp;$B$2&amp;"BSR'!$J$5:$J$669"),INDIRECT("'ZipOutNA-"&amp;$B$2&amp;"BSR'!$D$5:$D$669"),99705)/35</f>
        <v>1.06333288762739</v>
      </c>
      <c r="F33" s="542" t="s">
        <v>336</v>
      </c>
      <c r="G33" s="544">
        <f ca="1">SUMIFS(INDIRECT("'ZipOutNA-"&amp;$B$2&amp;"BSR'!$J$5:$J$669"),INDIRECT("'ZipOutNA-"&amp;$B$2&amp;"BSR'!$D$5:$D$669"),99705)/35</f>
        <v>1.06333288762739</v>
      </c>
      <c r="H33" s="544">
        <f ca="1">SUMIFS(INDIRECT("'ZipOutNA-"&amp;$B$2&amp;"BSR'!$J$5:$J$669"),INDIRECT("'ZipOutNA-"&amp;$B$2&amp;"BSR'!$D$5:$D$669"),99705)/35</f>
        <v>1.06333288762739</v>
      </c>
      <c r="I33" s="542" t="s">
        <v>336</v>
      </c>
      <c r="J33" s="544">
        <f ca="1">SUMIFS(INDIRECT("'ZipOutNA-"&amp;$B$2&amp;"BSR'!$H$5:$H$669"),INDIRECT("'ZipOutNA-"&amp;$B$2&amp;"BSR'!$D$5:$D$669"),99705)/35</f>
        <v>1.2146607640282585</v>
      </c>
      <c r="K33" s="544">
        <f ca="1">SUMIFS(INDIRECT("'ZipOutNA-"&amp;$B$2&amp;"BSR'!$H$5:$H$669"),INDIRECT("'ZipOutNA-"&amp;$B$2&amp;"BSR'!$D$5:$D$669"),99705)/35</f>
        <v>1.2146607640282585</v>
      </c>
      <c r="L33" s="544">
        <f ca="1">SUMIFS(INDIRECT("'ZipOutNA-"&amp;$B$2&amp;"BSR'!$H$5:$H$669"),INDIRECT("'ZipOutNA-"&amp;$B$2&amp;"BSR'!$D$5:$D$669"),99705)/35</f>
        <v>1.2146607640282585</v>
      </c>
      <c r="M33" s="542" t="s">
        <v>336</v>
      </c>
      <c r="N33" s="544">
        <f ca="1">SUMIFS(INDIRECT("'ZipOutNA-"&amp;$B$2&amp;"BSR'!$H$5:$H$669"),INDIRECT("'ZipOutNA-"&amp;$B$2&amp;"BSR'!$D$5:$D$669"),99705)/35</f>
        <v>1.2146607640282585</v>
      </c>
      <c r="O33" s="544">
        <f ca="1">SUMIFS(INDIRECT("'ZipOutNA-"&amp;$B$2&amp;"BSR'!$H$5:$H$669"),INDIRECT("'ZipOutNA-"&amp;$B$2&amp;"BSR'!$D$5:$D$669"),99705)/35</f>
        <v>1.2146607640282585</v>
      </c>
      <c r="P33" s="542" t="s">
        <v>336</v>
      </c>
      <c r="Q33" s="567">
        <f ca="1">SUMIFS(INDIRECT("'ZipOutNA-"&amp;$B$2&amp;"BSR'!$M$5:$M$669"),INDIRECT("'ZipOutNA-"&amp;$B$2&amp;"BSR'!$D$5:$D$669"),99705)/35</f>
        <v>14741.510155798818</v>
      </c>
      <c r="R33" s="567">
        <f ca="1">SUMIFS(INDIRECT("'ZipOutNA-"&amp;$B$2&amp;"BSR'!$M$5:$M$669"),INDIRECT("'ZipOutNA-"&amp;$B$2&amp;"BSR'!$D$5:$D$669"),99705)/35</f>
        <v>14741.510155798818</v>
      </c>
      <c r="S33" s="567">
        <f ca="1">SUMIFS(INDIRECT("'ZipOutNA-"&amp;$B$2&amp;"BSR'!$M$5:$M$669"),INDIRECT("'ZipOutNA-"&amp;$B$2&amp;"BSR'!$D$5:$D$669"),99705)/35</f>
        <v>14741.510155798818</v>
      </c>
      <c r="T33" s="542" t="s">
        <v>336</v>
      </c>
      <c r="U33" s="567">
        <f ca="1">SUMIFS(INDIRECT("'ZipOutNA-"&amp;$B$2&amp;"BSR'!$M$5:$M$669"),INDIRECT("'ZipOutNA-"&amp;$B$2&amp;"BSR'!$D$5:$D$669"),99705)/35</f>
        <v>14741.510155798818</v>
      </c>
      <c r="V33" s="567">
        <f ca="1">SUMIFS(INDIRECT("'ZipOutNA-"&amp;$B$2&amp;"BSR'!$M$5:$M$669"),INDIRECT("'ZipOutNA-"&amp;$B$2&amp;"BSR'!$D$5:$D$669"),99705)/35</f>
        <v>14741.510155798818</v>
      </c>
      <c r="W33" s="542" t="s">
        <v>336</v>
      </c>
    </row>
    <row r="34" spans="1:23" ht="15.75" thickTop="1" x14ac:dyDescent="0.25">
      <c r="C34" s="137">
        <f ca="1">SUM(C32:C33)</f>
        <v>2.037523082456242</v>
      </c>
      <c r="D34" s="137">
        <f ca="1">SUM(D32:D33)</f>
        <v>2.037523082456242</v>
      </c>
      <c r="E34" s="137">
        <f ca="1">SUM(E32:E33)</f>
        <v>2.037523082456242</v>
      </c>
      <c r="F34" s="566" t="s">
        <v>336</v>
      </c>
      <c r="G34" s="137">
        <f ca="1">SUM(G32:G33)</f>
        <v>2.037523082456242</v>
      </c>
      <c r="H34" s="137">
        <f ca="1">SUM(H32:H33)</f>
        <v>2.037523082456242</v>
      </c>
      <c r="I34" s="566" t="s">
        <v>336</v>
      </c>
      <c r="J34" s="137">
        <f ca="1">SUM(J32:J33)</f>
        <v>3.0244548522905221</v>
      </c>
      <c r="K34" s="137">
        <f ca="1">SUM(K32:K33)</f>
        <v>3.0244548522905221</v>
      </c>
      <c r="L34" s="137">
        <f ca="1">SUM(L32:L33)</f>
        <v>3.0244548522905221</v>
      </c>
      <c r="M34" s="566" t="s">
        <v>336</v>
      </c>
      <c r="N34" s="137">
        <f ca="1">SUM(N32:N33)</f>
        <v>3.0244548522905221</v>
      </c>
      <c r="O34" s="137">
        <f ca="1">SUM(O32:O33)</f>
        <v>3.0244548522905221</v>
      </c>
      <c r="P34" s="566" t="s">
        <v>336</v>
      </c>
      <c r="Q34" s="87">
        <f ca="1">SUM(Q32:Q33)</f>
        <v>38437.208969925872</v>
      </c>
      <c r="R34" s="87">
        <f ca="1">SUM(R32:R33)</f>
        <v>38437.208969925872</v>
      </c>
      <c r="S34" s="87">
        <f ca="1">SUM(S32:S33)</f>
        <v>38437.208969925872</v>
      </c>
      <c r="T34" s="566" t="s">
        <v>336</v>
      </c>
      <c r="U34" s="87">
        <f ca="1">SUM(U32:U33)</f>
        <v>38437.208969925872</v>
      </c>
      <c r="V34" s="87">
        <f ca="1">SUM(V32:V33)</f>
        <v>38437.208969925872</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2021 Baseline NA Area PM2.5 Emissions (tpd) by Curtailment Regime</v>
      </c>
      <c r="D38" s="840"/>
      <c r="E38" s="840"/>
      <c r="F38" s="840"/>
      <c r="G38" s="840"/>
      <c r="H38" s="840"/>
      <c r="I38" s="840"/>
      <c r="J38" s="840" t="str">
        <f>J4</f>
        <v>2021 Baseline NA Area SO2 Emissions (tpd) by Curtailment Regime</v>
      </c>
      <c r="K38" s="840"/>
      <c r="L38" s="840"/>
      <c r="M38" s="840"/>
      <c r="N38" s="840"/>
      <c r="O38" s="840"/>
      <c r="P38" s="840"/>
      <c r="Q38" s="840" t="str">
        <f>Q4</f>
        <v>2021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0.24527654012673775</v>
      </c>
      <c r="D40" s="133">
        <f t="shared" ca="1" si="3"/>
        <v>0.24527654012673775</v>
      </c>
      <c r="E40" s="133">
        <f t="shared" ca="1" si="3"/>
        <v>0.24527654012673775</v>
      </c>
      <c r="F40" s="551" t="s">
        <v>336</v>
      </c>
      <c r="G40" s="575">
        <f t="shared" ref="G40:H55" ca="1" si="4">G6*G$32/G$26</f>
        <v>0.24527654012673775</v>
      </c>
      <c r="H40" s="575">
        <f t="shared" ca="1" si="4"/>
        <v>0.24527654012673775</v>
      </c>
      <c r="I40" s="574" t="s">
        <v>336</v>
      </c>
      <c r="J40" s="133">
        <f t="shared" ref="J40:L55" ca="1" si="5">J6*J$32/J$26</f>
        <v>3.3685101225675359E-3</v>
      </c>
      <c r="K40" s="133">
        <f t="shared" ca="1" si="5"/>
        <v>3.3685101225675359E-3</v>
      </c>
      <c r="L40" s="133">
        <f t="shared" ca="1" si="5"/>
        <v>3.3685101225675359E-3</v>
      </c>
      <c r="M40" s="551" t="s">
        <v>336</v>
      </c>
      <c r="N40" s="575">
        <f t="shared" ref="N40:O55" ca="1" si="6">N6*N$32/N$26</f>
        <v>3.3685101225675359E-3</v>
      </c>
      <c r="O40" s="575">
        <f t="shared" ca="1" si="6"/>
        <v>3.3685101225675359E-3</v>
      </c>
      <c r="P40" s="574" t="s">
        <v>336</v>
      </c>
      <c r="Q40" s="45">
        <f t="shared" ref="Q40:S55" ca="1" si="7">Q6*Q$32/Q$26</f>
        <v>276.52119709165146</v>
      </c>
      <c r="R40" s="45">
        <f t="shared" ca="1" si="7"/>
        <v>276.52119709165146</v>
      </c>
      <c r="S40" s="45">
        <f t="shared" ca="1" si="7"/>
        <v>276.52119709165146</v>
      </c>
      <c r="T40" s="581" t="s">
        <v>336</v>
      </c>
      <c r="U40" s="573">
        <f t="shared" ref="U40:V55" ca="1" si="8">U6*U$32/U$26</f>
        <v>276.52119709165146</v>
      </c>
      <c r="V40" s="573">
        <f t="shared" ca="1" si="8"/>
        <v>276.52119709165146</v>
      </c>
      <c r="W40" s="574" t="s">
        <v>336</v>
      </c>
    </row>
    <row r="41" spans="1:23" x14ac:dyDescent="0.25">
      <c r="A41" s="812" t="str">
        <f t="shared" ref="A41:A58" si="9">A40</f>
        <v>FB</v>
      </c>
      <c r="B41" s="812" t="s">
        <v>138</v>
      </c>
      <c r="C41" s="133">
        <f t="shared" ca="1" si="3"/>
        <v>1.9142936636701451E-2</v>
      </c>
      <c r="D41" s="133">
        <f t="shared" ca="1" si="3"/>
        <v>1.9142936636701451E-2</v>
      </c>
      <c r="E41" s="133">
        <f t="shared" ca="1" si="3"/>
        <v>1.9142936636701451E-2</v>
      </c>
      <c r="F41" s="551" t="s">
        <v>336</v>
      </c>
      <c r="G41" s="575">
        <f t="shared" ca="1" si="4"/>
        <v>1.9142936636701451E-2</v>
      </c>
      <c r="H41" s="575">
        <f t="shared" ca="1" si="4"/>
        <v>1.9142936636701451E-2</v>
      </c>
      <c r="I41" s="574" t="s">
        <v>336</v>
      </c>
      <c r="J41" s="133">
        <f t="shared" ca="1" si="5"/>
        <v>2.9726589061746558E-4</v>
      </c>
      <c r="K41" s="133">
        <f t="shared" ca="1" si="5"/>
        <v>2.9726589061746558E-4</v>
      </c>
      <c r="L41" s="133">
        <f t="shared" ca="1" si="5"/>
        <v>2.9726589061746558E-4</v>
      </c>
      <c r="M41" s="551" t="s">
        <v>336</v>
      </c>
      <c r="N41" s="575">
        <f t="shared" ca="1" si="6"/>
        <v>2.9726589061746558E-4</v>
      </c>
      <c r="O41" s="575">
        <f t="shared" ca="1" si="6"/>
        <v>2.9726589061746558E-4</v>
      </c>
      <c r="P41" s="574" t="s">
        <v>336</v>
      </c>
      <c r="Q41" s="45">
        <f t="shared" ca="1" si="7"/>
        <v>24.398227116988807</v>
      </c>
      <c r="R41" s="45">
        <f t="shared" ca="1" si="7"/>
        <v>24.398227116988807</v>
      </c>
      <c r="S41" s="45">
        <f t="shared" ca="1" si="7"/>
        <v>24.398227116988807</v>
      </c>
      <c r="T41" s="581" t="s">
        <v>336</v>
      </c>
      <c r="U41" s="573">
        <f t="shared" ca="1" si="8"/>
        <v>24.398227116988807</v>
      </c>
      <c r="V41" s="573">
        <f t="shared" ca="1" si="8"/>
        <v>24.398227116988807</v>
      </c>
      <c r="W41" s="574" t="s">
        <v>336</v>
      </c>
    </row>
    <row r="42" spans="1:23" x14ac:dyDescent="0.25">
      <c r="A42" s="812" t="str">
        <f t="shared" si="9"/>
        <v>FB</v>
      </c>
      <c r="B42" s="812" t="s">
        <v>139</v>
      </c>
      <c r="C42" s="133">
        <f t="shared" ca="1" si="3"/>
        <v>1.5805431750408116E-2</v>
      </c>
      <c r="D42" s="133">
        <f t="shared" ca="1" si="3"/>
        <v>1.5805431750408116E-2</v>
      </c>
      <c r="E42" s="133">
        <f t="shared" ca="1" si="3"/>
        <v>1.5805431750408116E-2</v>
      </c>
      <c r="F42" s="551" t="s">
        <v>336</v>
      </c>
      <c r="G42" s="575">
        <f t="shared" ca="1" si="4"/>
        <v>1.5805431750408116E-2</v>
      </c>
      <c r="H42" s="575">
        <f t="shared" ca="1" si="4"/>
        <v>1.5805431750408116E-2</v>
      </c>
      <c r="I42" s="574" t="s">
        <v>336</v>
      </c>
      <c r="J42" s="133">
        <f t="shared" ca="1" si="5"/>
        <v>6.2586845369483389E-4</v>
      </c>
      <c r="K42" s="133">
        <f t="shared" ca="1" si="5"/>
        <v>6.2586845369483389E-4</v>
      </c>
      <c r="L42" s="133">
        <f t="shared" ca="1" si="5"/>
        <v>6.2586845369483389E-4</v>
      </c>
      <c r="M42" s="551" t="s">
        <v>336</v>
      </c>
      <c r="N42" s="575">
        <f t="shared" ca="1" si="6"/>
        <v>6.2586845369483389E-4</v>
      </c>
      <c r="O42" s="575">
        <f t="shared" ca="1" si="6"/>
        <v>6.2586845369483389E-4</v>
      </c>
      <c r="P42" s="574" t="s">
        <v>336</v>
      </c>
      <c r="Q42" s="45">
        <f t="shared" ca="1" si="7"/>
        <v>51.368425240066799</v>
      </c>
      <c r="R42" s="45">
        <f t="shared" ca="1" si="7"/>
        <v>51.368425240066799</v>
      </c>
      <c r="S42" s="45">
        <f t="shared" ca="1" si="7"/>
        <v>51.368425240066799</v>
      </c>
      <c r="T42" s="581" t="s">
        <v>336</v>
      </c>
      <c r="U42" s="573">
        <f t="shared" ca="1" si="8"/>
        <v>51.368425240066799</v>
      </c>
      <c r="V42" s="573">
        <f t="shared" ca="1" si="8"/>
        <v>51.368425240066799</v>
      </c>
      <c r="W42" s="574" t="s">
        <v>336</v>
      </c>
    </row>
    <row r="43" spans="1:23" x14ac:dyDescent="0.25">
      <c r="A43" s="812" t="str">
        <f t="shared" si="9"/>
        <v>FB</v>
      </c>
      <c r="B43" s="812" t="s">
        <v>140</v>
      </c>
      <c r="C43" s="133">
        <f t="shared" ca="1" si="3"/>
        <v>1.0309029418939519E-2</v>
      </c>
      <c r="D43" s="133">
        <f t="shared" ca="1" si="3"/>
        <v>1.0309029418939519E-2</v>
      </c>
      <c r="E43" s="133">
        <f t="shared" ca="1" si="3"/>
        <v>1.0309029418939519E-2</v>
      </c>
      <c r="F43" s="551" t="s">
        <v>336</v>
      </c>
      <c r="G43" s="575">
        <f t="shared" ca="1" si="4"/>
        <v>1.0309029418939519E-2</v>
      </c>
      <c r="H43" s="575">
        <f t="shared" ca="1" si="4"/>
        <v>1.0309029418939519E-2</v>
      </c>
      <c r="I43" s="574" t="s">
        <v>336</v>
      </c>
      <c r="J43" s="133">
        <f t="shared" ca="1" si="5"/>
        <v>3.7681863396455718E-4</v>
      </c>
      <c r="K43" s="133">
        <f t="shared" ca="1" si="5"/>
        <v>3.7681863396455718E-4</v>
      </c>
      <c r="L43" s="133">
        <f t="shared" ca="1" si="5"/>
        <v>3.7681863396455718E-4</v>
      </c>
      <c r="M43" s="551" t="s">
        <v>336</v>
      </c>
      <c r="N43" s="575">
        <f t="shared" ca="1" si="6"/>
        <v>3.7681863396455718E-4</v>
      </c>
      <c r="O43" s="575">
        <f t="shared" ca="1" si="6"/>
        <v>3.7681863396455718E-4</v>
      </c>
      <c r="P43" s="574" t="s">
        <v>336</v>
      </c>
      <c r="Q43" s="45">
        <f t="shared" ca="1" si="7"/>
        <v>30.927553088193349</v>
      </c>
      <c r="R43" s="45">
        <f t="shared" ca="1" si="7"/>
        <v>30.927553088193349</v>
      </c>
      <c r="S43" s="45">
        <f t="shared" ca="1" si="7"/>
        <v>30.927553088193349</v>
      </c>
      <c r="T43" s="581" t="s">
        <v>336</v>
      </c>
      <c r="U43" s="573">
        <f t="shared" ca="1" si="8"/>
        <v>30.927553088193349</v>
      </c>
      <c r="V43" s="573">
        <f t="shared" ca="1" si="8"/>
        <v>30.927553088193349</v>
      </c>
      <c r="W43" s="574" t="s">
        <v>336</v>
      </c>
    </row>
    <row r="44" spans="1:23" x14ac:dyDescent="0.25">
      <c r="A44" s="812" t="str">
        <f t="shared" si="9"/>
        <v>FB</v>
      </c>
      <c r="B44" s="812" t="s">
        <v>141</v>
      </c>
      <c r="C44" s="133">
        <f t="shared" ca="1" si="3"/>
        <v>0.15415257844781399</v>
      </c>
      <c r="D44" s="133">
        <f t="shared" ca="1" si="3"/>
        <v>0.15415257844781399</v>
      </c>
      <c r="E44" s="133">
        <f t="shared" ca="1" si="3"/>
        <v>0.15415257844781399</v>
      </c>
      <c r="F44" s="551" t="s">
        <v>336</v>
      </c>
      <c r="G44" s="575">
        <f t="shared" ca="1" si="4"/>
        <v>0.15415257844781399</v>
      </c>
      <c r="H44" s="575">
        <f t="shared" ca="1" si="4"/>
        <v>0.15415257844781399</v>
      </c>
      <c r="I44" s="574" t="s">
        <v>336</v>
      </c>
      <c r="J44" s="133">
        <f t="shared" ca="1" si="5"/>
        <v>6.0327795828942531E-3</v>
      </c>
      <c r="K44" s="133">
        <f t="shared" ca="1" si="5"/>
        <v>6.0327795828942531E-3</v>
      </c>
      <c r="L44" s="133">
        <f t="shared" ca="1" si="5"/>
        <v>6.0327795828942531E-3</v>
      </c>
      <c r="M44" s="551" t="s">
        <v>336</v>
      </c>
      <c r="N44" s="575">
        <f t="shared" ca="1" si="6"/>
        <v>6.0327795828942531E-3</v>
      </c>
      <c r="O44" s="575">
        <f t="shared" ca="1" si="6"/>
        <v>6.0327795828942531E-3</v>
      </c>
      <c r="P44" s="574" t="s">
        <v>336</v>
      </c>
      <c r="Q44" s="45">
        <f t="shared" ca="1" si="7"/>
        <v>495.14300515425197</v>
      </c>
      <c r="R44" s="45">
        <f t="shared" ca="1" si="7"/>
        <v>495.14300515425197</v>
      </c>
      <c r="S44" s="45">
        <f t="shared" ca="1" si="7"/>
        <v>495.14300515425197</v>
      </c>
      <c r="T44" s="581" t="s">
        <v>336</v>
      </c>
      <c r="U44" s="573">
        <f t="shared" ca="1" si="8"/>
        <v>495.14300515425197</v>
      </c>
      <c r="V44" s="573">
        <f t="shared" ca="1" si="8"/>
        <v>495.14300515425197</v>
      </c>
      <c r="W44" s="574" t="s">
        <v>336</v>
      </c>
    </row>
    <row r="45" spans="1:23" x14ac:dyDescent="0.25">
      <c r="A45" s="812" t="str">
        <f t="shared" si="9"/>
        <v>FB</v>
      </c>
      <c r="B45" s="812" t="s">
        <v>142</v>
      </c>
      <c r="C45" s="133">
        <f t="shared" ca="1" si="3"/>
        <v>0.21183788481807705</v>
      </c>
      <c r="D45" s="133">
        <f t="shared" ca="1" si="3"/>
        <v>0.21183788481807705</v>
      </c>
      <c r="E45" s="133">
        <f t="shared" ca="1" si="3"/>
        <v>0.21183788481807705</v>
      </c>
      <c r="F45" s="551" t="s">
        <v>336</v>
      </c>
      <c r="G45" s="575">
        <f t="shared" ca="1" si="4"/>
        <v>0.21183788481807705</v>
      </c>
      <c r="H45" s="575">
        <f t="shared" ca="1" si="4"/>
        <v>0.21183788481807705</v>
      </c>
      <c r="I45" s="574" t="s">
        <v>336</v>
      </c>
      <c r="J45" s="133">
        <f t="shared" ca="1" si="5"/>
        <v>1.2701512511862844E-2</v>
      </c>
      <c r="K45" s="133">
        <f t="shared" ca="1" si="5"/>
        <v>1.2701512511862844E-2</v>
      </c>
      <c r="L45" s="133">
        <f t="shared" ca="1" si="5"/>
        <v>1.2701512511862844E-2</v>
      </c>
      <c r="M45" s="551" t="s">
        <v>336</v>
      </c>
      <c r="N45" s="575">
        <f t="shared" ca="1" si="6"/>
        <v>1.2701512511862844E-2</v>
      </c>
      <c r="O45" s="575">
        <f t="shared" ca="1" si="6"/>
        <v>1.2701512511862844E-2</v>
      </c>
      <c r="P45" s="574" t="s">
        <v>336</v>
      </c>
      <c r="Q45" s="45">
        <f t="shared" ca="1" si="7"/>
        <v>1042.4821574719117</v>
      </c>
      <c r="R45" s="45">
        <f t="shared" ca="1" si="7"/>
        <v>1042.4821574719117</v>
      </c>
      <c r="S45" s="45">
        <f t="shared" ca="1" si="7"/>
        <v>1042.4821574719117</v>
      </c>
      <c r="T45" s="581" t="s">
        <v>336</v>
      </c>
      <c r="U45" s="573">
        <f t="shared" ca="1" si="8"/>
        <v>1042.4821574719117</v>
      </c>
      <c r="V45" s="573">
        <f t="shared" ca="1" si="8"/>
        <v>1042.4821574719117</v>
      </c>
      <c r="W45" s="574" t="s">
        <v>336</v>
      </c>
    </row>
    <row r="46" spans="1:23" x14ac:dyDescent="0.25">
      <c r="A46" s="812" t="str">
        <f t="shared" si="9"/>
        <v>FB</v>
      </c>
      <c r="B46" s="812" t="s">
        <v>143</v>
      </c>
      <c r="C46" s="133">
        <f t="shared" ca="1" si="3"/>
        <v>0.14151911339246898</v>
      </c>
      <c r="D46" s="133">
        <f t="shared" ca="1" si="3"/>
        <v>0.14151911339246898</v>
      </c>
      <c r="E46" s="133">
        <f t="shared" ca="1" si="3"/>
        <v>0.14151911339246898</v>
      </c>
      <c r="F46" s="551" t="s">
        <v>336</v>
      </c>
      <c r="G46" s="575">
        <f t="shared" ca="1" si="4"/>
        <v>0.14151911339246898</v>
      </c>
      <c r="H46" s="575">
        <f t="shared" ca="1" si="4"/>
        <v>0.14151911339246898</v>
      </c>
      <c r="I46" s="574" t="s">
        <v>336</v>
      </c>
      <c r="J46" s="133">
        <f t="shared" ca="1" si="5"/>
        <v>7.6472405115621464E-3</v>
      </c>
      <c r="K46" s="133">
        <f t="shared" ca="1" si="5"/>
        <v>7.6472405115621464E-3</v>
      </c>
      <c r="L46" s="133">
        <f t="shared" ca="1" si="5"/>
        <v>7.6472405115621464E-3</v>
      </c>
      <c r="M46" s="551" t="s">
        <v>336</v>
      </c>
      <c r="N46" s="575">
        <f t="shared" ca="1" si="6"/>
        <v>7.6472405115621464E-3</v>
      </c>
      <c r="O46" s="575">
        <f t="shared" ca="1" si="6"/>
        <v>7.6472405115621464E-3</v>
      </c>
      <c r="P46" s="574" t="s">
        <v>336</v>
      </c>
      <c r="Q46" s="45">
        <f t="shared" ca="1" si="7"/>
        <v>627.65058726306711</v>
      </c>
      <c r="R46" s="45">
        <f t="shared" ca="1" si="7"/>
        <v>627.65058726306711</v>
      </c>
      <c r="S46" s="45">
        <f t="shared" ca="1" si="7"/>
        <v>627.65058726306711</v>
      </c>
      <c r="T46" s="581" t="s">
        <v>336</v>
      </c>
      <c r="U46" s="573">
        <f t="shared" ca="1" si="8"/>
        <v>627.65058726306711</v>
      </c>
      <c r="V46" s="573">
        <f t="shared" ca="1" si="8"/>
        <v>627.65058726306711</v>
      </c>
      <c r="W46" s="574" t="s">
        <v>336</v>
      </c>
    </row>
    <row r="47" spans="1:23" x14ac:dyDescent="0.25">
      <c r="A47" s="812" t="str">
        <f t="shared" si="9"/>
        <v>FB</v>
      </c>
      <c r="B47" s="812" t="s">
        <v>144</v>
      </c>
      <c r="C47" s="133">
        <f t="shared" ca="1" si="3"/>
        <v>5.2218704133556101E-3</v>
      </c>
      <c r="D47" s="133">
        <f t="shared" ca="1" si="3"/>
        <v>5.2218704133556101E-3</v>
      </c>
      <c r="E47" s="133">
        <f t="shared" ca="1" si="3"/>
        <v>5.2218704133556101E-3</v>
      </c>
      <c r="F47" s="551" t="s">
        <v>336</v>
      </c>
      <c r="G47" s="575">
        <f t="shared" ca="1" si="4"/>
        <v>5.2218704133556101E-3</v>
      </c>
      <c r="H47" s="575">
        <f t="shared" ca="1" si="4"/>
        <v>5.2218704133556101E-3</v>
      </c>
      <c r="I47" s="574" t="s">
        <v>336</v>
      </c>
      <c r="J47" s="133">
        <f t="shared" ca="1" si="5"/>
        <v>6.7062896992901193E-4</v>
      </c>
      <c r="K47" s="133">
        <f t="shared" ca="1" si="5"/>
        <v>6.7062896992901193E-4</v>
      </c>
      <c r="L47" s="133">
        <f t="shared" ca="1" si="5"/>
        <v>6.7062896992901193E-4</v>
      </c>
      <c r="M47" s="551" t="s">
        <v>336</v>
      </c>
      <c r="N47" s="575">
        <f t="shared" ca="1" si="6"/>
        <v>6.7062896992901193E-4</v>
      </c>
      <c r="O47" s="575">
        <f t="shared" ca="1" si="6"/>
        <v>6.7062896992901193E-4</v>
      </c>
      <c r="P47" s="574" t="s">
        <v>336</v>
      </c>
      <c r="Q47" s="45">
        <f t="shared" ca="1" si="7"/>
        <v>65.73045275010432</v>
      </c>
      <c r="R47" s="45">
        <f t="shared" ca="1" si="7"/>
        <v>65.73045275010432</v>
      </c>
      <c r="S47" s="45">
        <f t="shared" ca="1" si="7"/>
        <v>65.73045275010432</v>
      </c>
      <c r="T47" s="581" t="s">
        <v>336</v>
      </c>
      <c r="U47" s="573">
        <f t="shared" ca="1" si="8"/>
        <v>65.73045275010432</v>
      </c>
      <c r="V47" s="573">
        <f t="shared" ca="1" si="8"/>
        <v>65.73045275010432</v>
      </c>
      <c r="W47" s="574" t="s">
        <v>336</v>
      </c>
    </row>
    <row r="48" spans="1:23" x14ac:dyDescent="0.25">
      <c r="A48" s="812" t="str">
        <f t="shared" si="9"/>
        <v>FB</v>
      </c>
      <c r="B48" s="812" t="s">
        <v>145</v>
      </c>
      <c r="C48" s="133">
        <f t="shared" ca="1" si="3"/>
        <v>1.7613531192652236E-2</v>
      </c>
      <c r="D48" s="133">
        <f t="shared" ca="1" si="3"/>
        <v>1.7613531192652236E-2</v>
      </c>
      <c r="E48" s="133">
        <f t="shared" ca="1" si="3"/>
        <v>1.7613531192652236E-2</v>
      </c>
      <c r="F48" s="551" t="s">
        <v>336</v>
      </c>
      <c r="G48" s="575">
        <f t="shared" ca="1" si="4"/>
        <v>1.7613531192652236E-2</v>
      </c>
      <c r="H48" s="575">
        <f t="shared" ca="1" si="4"/>
        <v>1.7613531192652236E-2</v>
      </c>
      <c r="I48" s="574" t="s">
        <v>336</v>
      </c>
      <c r="J48" s="133">
        <f t="shared" ca="1" si="5"/>
        <v>2.2620523577777428E-3</v>
      </c>
      <c r="K48" s="133">
        <f t="shared" ca="1" si="5"/>
        <v>2.2620523577777428E-3</v>
      </c>
      <c r="L48" s="133">
        <f t="shared" ca="1" si="5"/>
        <v>2.2620523577777428E-3</v>
      </c>
      <c r="M48" s="551" t="s">
        <v>336</v>
      </c>
      <c r="N48" s="575">
        <f t="shared" ca="1" si="6"/>
        <v>2.2620523577777428E-3</v>
      </c>
      <c r="O48" s="575">
        <f t="shared" ca="1" si="6"/>
        <v>2.2620523577777428E-3</v>
      </c>
      <c r="P48" s="574" t="s">
        <v>336</v>
      </c>
      <c r="Q48" s="45">
        <f t="shared" ca="1" si="7"/>
        <v>221.71085993632335</v>
      </c>
      <c r="R48" s="45">
        <f t="shared" ca="1" si="7"/>
        <v>221.71085993632335</v>
      </c>
      <c r="S48" s="45">
        <f t="shared" ca="1" si="7"/>
        <v>221.71085993632335</v>
      </c>
      <c r="T48" s="581" t="s">
        <v>336</v>
      </c>
      <c r="U48" s="573">
        <f t="shared" ca="1" si="8"/>
        <v>221.71085993632335</v>
      </c>
      <c r="V48" s="573">
        <f t="shared" ca="1" si="8"/>
        <v>221.71085993632335</v>
      </c>
      <c r="W48" s="574" t="s">
        <v>336</v>
      </c>
    </row>
    <row r="49" spans="1:23" x14ac:dyDescent="0.25">
      <c r="A49" s="812" t="str">
        <f t="shared" si="9"/>
        <v>FB</v>
      </c>
      <c r="B49" s="812" t="s">
        <v>146</v>
      </c>
      <c r="C49" s="133">
        <f t="shared" ca="1" si="3"/>
        <v>8.7510140367342823E-2</v>
      </c>
      <c r="D49" s="133">
        <f t="shared" ca="1" si="3"/>
        <v>8.7510140367342823E-2</v>
      </c>
      <c r="E49" s="133">
        <f t="shared" ca="1" si="3"/>
        <v>8.7510140367342823E-2</v>
      </c>
      <c r="F49" s="551" t="s">
        <v>336</v>
      </c>
      <c r="G49" s="575">
        <f t="shared" ca="1" si="4"/>
        <v>8.7510140367342823E-2</v>
      </c>
      <c r="H49" s="575">
        <f t="shared" ca="1" si="4"/>
        <v>8.7510140367342823E-2</v>
      </c>
      <c r="I49" s="574" t="s">
        <v>336</v>
      </c>
      <c r="J49" s="133">
        <f t="shared" ca="1" si="5"/>
        <v>4.2130099061707497E-3</v>
      </c>
      <c r="K49" s="133">
        <f t="shared" ca="1" si="5"/>
        <v>4.2130099061707497E-3</v>
      </c>
      <c r="L49" s="133">
        <f t="shared" ca="1" si="5"/>
        <v>4.2130099061707497E-3</v>
      </c>
      <c r="M49" s="551" t="s">
        <v>336</v>
      </c>
      <c r="N49" s="575">
        <f t="shared" ca="1" si="6"/>
        <v>4.2130099061707497E-3</v>
      </c>
      <c r="O49" s="575">
        <f t="shared" ca="1" si="6"/>
        <v>4.2130099061707497E-3</v>
      </c>
      <c r="P49" s="574" t="s">
        <v>336</v>
      </c>
      <c r="Q49" s="45">
        <f t="shared" ca="1" si="7"/>
        <v>345.66592115555335</v>
      </c>
      <c r="R49" s="45">
        <f t="shared" ca="1" si="7"/>
        <v>345.66592115555335</v>
      </c>
      <c r="S49" s="45">
        <f t="shared" ca="1" si="7"/>
        <v>345.66592115555335</v>
      </c>
      <c r="T49" s="581" t="s">
        <v>336</v>
      </c>
      <c r="U49" s="573">
        <f t="shared" ca="1" si="8"/>
        <v>345.66592115555335</v>
      </c>
      <c r="V49" s="573">
        <f t="shared" ca="1" si="8"/>
        <v>345.66592115555335</v>
      </c>
      <c r="W49" s="574" t="s">
        <v>336</v>
      </c>
    </row>
    <row r="50" spans="1:23" x14ac:dyDescent="0.25">
      <c r="A50" s="812" t="str">
        <f t="shared" si="9"/>
        <v>FB</v>
      </c>
      <c r="B50" s="812" t="s">
        <v>568</v>
      </c>
      <c r="C50" s="133">
        <f t="shared" ca="1" si="3"/>
        <v>1.9471347159748117E-2</v>
      </c>
      <c r="D50" s="133">
        <f t="shared" ca="1" si="3"/>
        <v>1.9471347159748117E-2</v>
      </c>
      <c r="E50" s="133">
        <f t="shared" ca="1" si="3"/>
        <v>1.9471347159748117E-2</v>
      </c>
      <c r="F50" s="551" t="s">
        <v>336</v>
      </c>
      <c r="G50" s="575">
        <f t="shared" ca="1" si="4"/>
        <v>1.9471347159748117E-2</v>
      </c>
      <c r="H50" s="575">
        <f t="shared" ca="1" si="4"/>
        <v>1.9471347159748117E-2</v>
      </c>
      <c r="I50" s="574" t="s">
        <v>336</v>
      </c>
      <c r="J50" s="133">
        <f t="shared" ca="1" si="5"/>
        <v>1.4641898731069705</v>
      </c>
      <c r="K50" s="133">
        <f t="shared" ca="1" si="5"/>
        <v>1.4641898731069705</v>
      </c>
      <c r="L50" s="133">
        <f t="shared" ca="1" si="5"/>
        <v>1.4641898731069705</v>
      </c>
      <c r="M50" s="551" t="s">
        <v>336</v>
      </c>
      <c r="N50" s="575">
        <f t="shared" ca="1" si="6"/>
        <v>1.4641898731069705</v>
      </c>
      <c r="O50" s="575">
        <f t="shared" ca="1" si="6"/>
        <v>1.4641898731069705</v>
      </c>
      <c r="P50" s="574" t="s">
        <v>336</v>
      </c>
      <c r="Q50" s="45">
        <f t="shared" ca="1" si="7"/>
        <v>13902.954758745213</v>
      </c>
      <c r="R50" s="45">
        <f t="shared" ca="1" si="7"/>
        <v>13902.954758745213</v>
      </c>
      <c r="S50" s="45">
        <f t="shared" ca="1" si="7"/>
        <v>13902.954758745213</v>
      </c>
      <c r="T50" s="581" t="s">
        <v>336</v>
      </c>
      <c r="U50" s="573">
        <f t="shared" ca="1" si="8"/>
        <v>13902.954758745213</v>
      </c>
      <c r="V50" s="573">
        <f t="shared" ca="1" si="8"/>
        <v>13902.954758745213</v>
      </c>
      <c r="W50" s="574" t="s">
        <v>336</v>
      </c>
    </row>
    <row r="51" spans="1:23" x14ac:dyDescent="0.25">
      <c r="A51" s="812" t="str">
        <f t="shared" si="9"/>
        <v>FB</v>
      </c>
      <c r="B51" s="812" t="s">
        <v>148</v>
      </c>
      <c r="C51" s="133">
        <f t="shared" ca="1" si="3"/>
        <v>6.2738874177135015E-3</v>
      </c>
      <c r="D51" s="133">
        <f t="shared" ca="1" si="3"/>
        <v>6.2738874177135015E-3</v>
      </c>
      <c r="E51" s="133">
        <f t="shared" ca="1" si="3"/>
        <v>6.2738874177135015E-3</v>
      </c>
      <c r="F51" s="551" t="s">
        <v>336</v>
      </c>
      <c r="G51" s="575">
        <f t="shared" ca="1" si="4"/>
        <v>6.2738874177135015E-3</v>
      </c>
      <c r="H51" s="575">
        <f t="shared" ca="1" si="4"/>
        <v>6.2738874177135015E-3</v>
      </c>
      <c r="I51" s="574" t="s">
        <v>336</v>
      </c>
      <c r="J51" s="133">
        <f t="shared" ca="1" si="5"/>
        <v>0.20768153240777648</v>
      </c>
      <c r="K51" s="133">
        <f t="shared" ca="1" si="5"/>
        <v>0.20768153240777648</v>
      </c>
      <c r="L51" s="133">
        <f t="shared" ca="1" si="5"/>
        <v>0.20768153240777648</v>
      </c>
      <c r="M51" s="551" t="s">
        <v>336</v>
      </c>
      <c r="N51" s="575">
        <f t="shared" ca="1" si="6"/>
        <v>0.20768153240777648</v>
      </c>
      <c r="O51" s="575">
        <f t="shared" ca="1" si="6"/>
        <v>0.20768153240777648</v>
      </c>
      <c r="P51" s="574" t="s">
        <v>336</v>
      </c>
      <c r="Q51" s="45">
        <f t="shared" ca="1" si="7"/>
        <v>4622.858377701963</v>
      </c>
      <c r="R51" s="45">
        <f t="shared" ca="1" si="7"/>
        <v>4622.858377701963</v>
      </c>
      <c r="S51" s="45">
        <f t="shared" ca="1" si="7"/>
        <v>4622.858377701963</v>
      </c>
      <c r="T51" s="581" t="s">
        <v>336</v>
      </c>
      <c r="U51" s="573">
        <f t="shared" ca="1" si="8"/>
        <v>4622.858377701963</v>
      </c>
      <c r="V51" s="573">
        <f t="shared" ca="1" si="8"/>
        <v>4622.858377701963</v>
      </c>
      <c r="W51" s="574" t="s">
        <v>336</v>
      </c>
    </row>
    <row r="52" spans="1:23" x14ac:dyDescent="0.25">
      <c r="A52" s="812" t="str">
        <f t="shared" si="9"/>
        <v>FB</v>
      </c>
      <c r="B52" s="812" t="s">
        <v>746</v>
      </c>
      <c r="C52" s="133">
        <f t="shared" ca="1" si="3"/>
        <v>1.1597424162863009E-4</v>
      </c>
      <c r="D52" s="133">
        <f t="shared" ca="1" si="3"/>
        <v>1.1597424162863009E-4</v>
      </c>
      <c r="E52" s="133">
        <f t="shared" ca="1" si="3"/>
        <v>1.1597424162863009E-4</v>
      </c>
      <c r="F52" s="551" t="s">
        <v>336</v>
      </c>
      <c r="G52" s="575">
        <f t="shared" ca="1" si="4"/>
        <v>1.1597424162863009E-4</v>
      </c>
      <c r="H52" s="575">
        <f t="shared" ca="1" si="4"/>
        <v>1.1597424162863009E-4</v>
      </c>
      <c r="I52" s="574" t="s">
        <v>336</v>
      </c>
      <c r="J52" s="133">
        <f t="shared" ca="1" si="5"/>
        <v>9.954881557795961E-3</v>
      </c>
      <c r="K52" s="133">
        <f t="shared" ca="1" si="5"/>
        <v>9.954881557795961E-3</v>
      </c>
      <c r="L52" s="133">
        <f t="shared" ca="1" si="5"/>
        <v>9.954881557795961E-3</v>
      </c>
      <c r="M52" s="551" t="s">
        <v>336</v>
      </c>
      <c r="N52" s="575">
        <f t="shared" ca="1" si="6"/>
        <v>9.954881557795961E-3</v>
      </c>
      <c r="O52" s="575">
        <f t="shared" ca="1" si="6"/>
        <v>9.954881557795961E-3</v>
      </c>
      <c r="P52" s="574" t="s">
        <v>336</v>
      </c>
      <c r="Q52" s="45">
        <f t="shared" ca="1" si="7"/>
        <v>96.485823850851162</v>
      </c>
      <c r="R52" s="45">
        <f t="shared" ca="1" si="7"/>
        <v>96.485823850851162</v>
      </c>
      <c r="S52" s="45">
        <f t="shared" ca="1" si="7"/>
        <v>96.485823850851162</v>
      </c>
      <c r="T52" s="581" t="s">
        <v>336</v>
      </c>
      <c r="U52" s="573">
        <f t="shared" ca="1" si="8"/>
        <v>96.485823850851162</v>
      </c>
      <c r="V52" s="573">
        <f t="shared" ca="1" si="8"/>
        <v>96.485823850851162</v>
      </c>
      <c r="W52" s="574" t="s">
        <v>336</v>
      </c>
    </row>
    <row r="53" spans="1:23" x14ac:dyDescent="0.25">
      <c r="A53" s="812" t="str">
        <f t="shared" si="9"/>
        <v>FB</v>
      </c>
      <c r="B53" s="812" t="s">
        <v>747</v>
      </c>
      <c r="C53" s="133">
        <f t="shared" ca="1" si="3"/>
        <v>4.5054561868082592E-4</v>
      </c>
      <c r="D53" s="133">
        <f t="shared" ca="1" si="3"/>
        <v>4.5054561868082592E-4</v>
      </c>
      <c r="E53" s="133">
        <f t="shared" ca="1" si="3"/>
        <v>4.5054561868082592E-4</v>
      </c>
      <c r="F53" s="551" t="s">
        <v>336</v>
      </c>
      <c r="G53" s="575">
        <f t="shared" ca="1" si="4"/>
        <v>4.5054561868082592E-4</v>
      </c>
      <c r="H53" s="575">
        <f t="shared" ca="1" si="4"/>
        <v>4.5054561868082592E-4</v>
      </c>
      <c r="I53" s="574" t="s">
        <v>336</v>
      </c>
      <c r="J53" s="133">
        <f t="shared" ca="1" si="5"/>
        <v>3.3879747858889996E-2</v>
      </c>
      <c r="K53" s="133">
        <f t="shared" ca="1" si="5"/>
        <v>3.3879747858889996E-2</v>
      </c>
      <c r="L53" s="133">
        <f t="shared" ca="1" si="5"/>
        <v>3.3879747858889996E-2</v>
      </c>
      <c r="M53" s="551" t="s">
        <v>336</v>
      </c>
      <c r="N53" s="575">
        <f t="shared" ca="1" si="6"/>
        <v>3.3879747858889996E-2</v>
      </c>
      <c r="O53" s="575">
        <f t="shared" ca="1" si="6"/>
        <v>3.3879747858889996E-2</v>
      </c>
      <c r="P53" s="574" t="s">
        <v>336</v>
      </c>
      <c r="Q53" s="45">
        <f t="shared" ca="1" si="7"/>
        <v>299.62143390820739</v>
      </c>
      <c r="R53" s="45">
        <f t="shared" ca="1" si="7"/>
        <v>299.62143390820739</v>
      </c>
      <c r="S53" s="45">
        <f t="shared" ca="1" si="7"/>
        <v>299.62143390820739</v>
      </c>
      <c r="T53" s="581" t="s">
        <v>336</v>
      </c>
      <c r="U53" s="573">
        <f t="shared" ca="1" si="8"/>
        <v>299.62143390820739</v>
      </c>
      <c r="V53" s="573">
        <f t="shared" ca="1" si="8"/>
        <v>299.62143390820739</v>
      </c>
      <c r="W53" s="574" t="s">
        <v>336</v>
      </c>
    </row>
    <row r="54" spans="1:23" x14ac:dyDescent="0.25">
      <c r="A54" s="812" t="str">
        <f t="shared" si="9"/>
        <v>FB</v>
      </c>
      <c r="B54" s="812" t="s">
        <v>149</v>
      </c>
      <c r="C54" s="133">
        <f t="shared" ca="1" si="3"/>
        <v>2.2029813894585723E-6</v>
      </c>
      <c r="D54" s="133">
        <f t="shared" ca="1" si="3"/>
        <v>2.2029813894585723E-6</v>
      </c>
      <c r="E54" s="133">
        <f t="shared" ca="1" si="3"/>
        <v>2.2029813894585723E-6</v>
      </c>
      <c r="F54" s="551" t="s">
        <v>336</v>
      </c>
      <c r="G54" s="575">
        <f t="shared" ca="1" si="4"/>
        <v>2.2029813894585723E-6</v>
      </c>
      <c r="H54" s="575">
        <f t="shared" ca="1" si="4"/>
        <v>2.2029813894585723E-6</v>
      </c>
      <c r="I54" s="574" t="s">
        <v>336</v>
      </c>
      <c r="J54" s="133">
        <f t="shared" ca="1" si="5"/>
        <v>3.1701087967512106E-5</v>
      </c>
      <c r="K54" s="133">
        <f t="shared" ca="1" si="5"/>
        <v>3.1701087967512106E-5</v>
      </c>
      <c r="L54" s="133">
        <f t="shared" ca="1" si="5"/>
        <v>3.1701087967512106E-5</v>
      </c>
      <c r="M54" s="551" t="s">
        <v>336</v>
      </c>
      <c r="N54" s="575">
        <f t="shared" ca="1" si="6"/>
        <v>3.1701087967512106E-5</v>
      </c>
      <c r="O54" s="575">
        <f t="shared" ca="1" si="6"/>
        <v>3.1701087967512106E-5</v>
      </c>
      <c r="P54" s="574" t="s">
        <v>336</v>
      </c>
      <c r="Q54" s="45">
        <f t="shared" ca="1" si="7"/>
        <v>133.37023093026002</v>
      </c>
      <c r="R54" s="45">
        <f t="shared" ca="1" si="7"/>
        <v>133.37023093026002</v>
      </c>
      <c r="S54" s="45">
        <f t="shared" ca="1" si="7"/>
        <v>133.37023093026002</v>
      </c>
      <c r="T54" s="581" t="s">
        <v>336</v>
      </c>
      <c r="U54" s="573">
        <f t="shared" ca="1" si="8"/>
        <v>133.37023093026002</v>
      </c>
      <c r="V54" s="573">
        <f t="shared" ca="1" si="8"/>
        <v>133.37023093026002</v>
      </c>
      <c r="W54" s="574" t="s">
        <v>336</v>
      </c>
    </row>
    <row r="55" spans="1:23" x14ac:dyDescent="0.25">
      <c r="A55" s="812" t="str">
        <f t="shared" si="9"/>
        <v>FB</v>
      </c>
      <c r="B55" s="812" t="s">
        <v>150</v>
      </c>
      <c r="C55" s="133">
        <f t="shared" ca="1" si="3"/>
        <v>3.7938242867756556E-3</v>
      </c>
      <c r="D55" s="133">
        <f t="shared" ca="1" si="3"/>
        <v>3.7938242867756556E-3</v>
      </c>
      <c r="E55" s="133">
        <f t="shared" ca="1" si="3"/>
        <v>3.7938242867756556E-3</v>
      </c>
      <c r="F55" s="551" t="s">
        <v>336</v>
      </c>
      <c r="G55" s="575">
        <f t="shared" ca="1" si="4"/>
        <v>3.7938242867756556E-3</v>
      </c>
      <c r="H55" s="575">
        <f t="shared" ca="1" si="4"/>
        <v>3.7938242867756556E-3</v>
      </c>
      <c r="I55" s="574" t="s">
        <v>336</v>
      </c>
      <c r="J55" s="133">
        <f t="shared" ca="1" si="5"/>
        <v>3.558056362330175E-4</v>
      </c>
      <c r="K55" s="133">
        <f t="shared" ca="1" si="5"/>
        <v>3.558056362330175E-4</v>
      </c>
      <c r="L55" s="133">
        <f t="shared" ca="1" si="5"/>
        <v>3.558056362330175E-4</v>
      </c>
      <c r="M55" s="551" t="s">
        <v>336</v>
      </c>
      <c r="N55" s="575">
        <f t="shared" ca="1" si="6"/>
        <v>3.558056362330175E-4</v>
      </c>
      <c r="O55" s="575">
        <f t="shared" ca="1" si="6"/>
        <v>3.558056362330175E-4</v>
      </c>
      <c r="P55" s="574" t="s">
        <v>336</v>
      </c>
      <c r="Q55" s="45">
        <f t="shared" ca="1" si="7"/>
        <v>1230.7983494420484</v>
      </c>
      <c r="R55" s="45">
        <f t="shared" ca="1" si="7"/>
        <v>1230.7983494420484</v>
      </c>
      <c r="S55" s="45">
        <f t="shared" ca="1" si="7"/>
        <v>1230.7983494420484</v>
      </c>
      <c r="T55" s="581" t="s">
        <v>336</v>
      </c>
      <c r="U55" s="573">
        <f t="shared" ca="1" si="8"/>
        <v>1230.7983494420484</v>
      </c>
      <c r="V55" s="573">
        <f t="shared" ca="1" si="8"/>
        <v>1230.7983494420484</v>
      </c>
      <c r="W55" s="574" t="s">
        <v>336</v>
      </c>
    </row>
    <row r="56" spans="1:23" x14ac:dyDescent="0.25">
      <c r="A56" s="812" t="str">
        <f t="shared" si="9"/>
        <v>FB</v>
      </c>
      <c r="B56" s="812" t="s">
        <v>151</v>
      </c>
      <c r="C56" s="133">
        <f t="shared" ref="C56:E59" ca="1" si="10">C22*C$32/C$26</f>
        <v>3.4607010336765415E-2</v>
      </c>
      <c r="D56" s="133">
        <f t="shared" ca="1" si="10"/>
        <v>3.4607010336765415E-2</v>
      </c>
      <c r="E56" s="133">
        <f t="shared" ca="1" si="10"/>
        <v>3.4607010336765415E-2</v>
      </c>
      <c r="F56" s="551" t="s">
        <v>336</v>
      </c>
      <c r="G56" s="575">
        <f t="shared" ref="G56:H59" ca="1" si="11">G22*G$32/G$26</f>
        <v>3.4607010336765415E-2</v>
      </c>
      <c r="H56" s="575">
        <f t="shared" ca="1" si="11"/>
        <v>3.4607010336765415E-2</v>
      </c>
      <c r="I56" s="574" t="s">
        <v>336</v>
      </c>
      <c r="J56" s="133">
        <f t="shared" ref="J56:L59" ca="1" si="12">J22*J$32/J$26</f>
        <v>4.78517918302728E-2</v>
      </c>
      <c r="K56" s="133">
        <f t="shared" ca="1" si="12"/>
        <v>4.78517918302728E-2</v>
      </c>
      <c r="L56" s="133">
        <f t="shared" ca="1" si="12"/>
        <v>4.78517918302728E-2</v>
      </c>
      <c r="M56" s="551" t="s">
        <v>336</v>
      </c>
      <c r="N56" s="575">
        <f t="shared" ref="N56:O59" ca="1" si="13">N22*N$32/N$26</f>
        <v>4.78517918302728E-2</v>
      </c>
      <c r="O56" s="575">
        <f t="shared" ca="1" si="13"/>
        <v>4.78517918302728E-2</v>
      </c>
      <c r="P56" s="574" t="s">
        <v>336</v>
      </c>
      <c r="Q56" s="45">
        <f t="shared" ref="Q56:S59" ca="1" si="14">Q22*Q$32/Q$26</f>
        <v>159.92565351802884</v>
      </c>
      <c r="R56" s="45">
        <f t="shared" ca="1" si="14"/>
        <v>159.92565351802884</v>
      </c>
      <c r="S56" s="45">
        <f t="shared" ca="1" si="14"/>
        <v>159.92565351802884</v>
      </c>
      <c r="T56" s="581" t="s">
        <v>336</v>
      </c>
      <c r="U56" s="573">
        <f t="shared" ref="U56:V59" ca="1" si="15">U22*U$32/U$26</f>
        <v>159.92565351802884</v>
      </c>
      <c r="V56" s="573">
        <f t="shared" ca="1" si="15"/>
        <v>159.92565351802884</v>
      </c>
      <c r="W56" s="574" t="s">
        <v>336</v>
      </c>
    </row>
    <row r="57" spans="1:23" x14ac:dyDescent="0.25">
      <c r="A57" s="812" t="str">
        <f t="shared" si="9"/>
        <v>FB</v>
      </c>
      <c r="B57" s="812" t="s">
        <v>152</v>
      </c>
      <c r="C57" s="133">
        <f t="shared" ca="1" si="10"/>
        <v>9.9009065805894073E-5</v>
      </c>
      <c r="D57" s="133">
        <f t="shared" ca="1" si="10"/>
        <v>9.9009065805894073E-5</v>
      </c>
      <c r="E57" s="133">
        <f t="shared" ca="1" si="10"/>
        <v>9.9009065805894073E-5</v>
      </c>
      <c r="F57" s="551" t="s">
        <v>336</v>
      </c>
      <c r="G57" s="575">
        <f t="shared" ca="1" si="11"/>
        <v>9.9009065805894073E-5</v>
      </c>
      <c r="H57" s="575">
        <f t="shared" ca="1" si="11"/>
        <v>9.9009065805894073E-5</v>
      </c>
      <c r="I57" s="574" t="s">
        <v>336</v>
      </c>
      <c r="J57" s="133">
        <f t="shared" ca="1" si="12"/>
        <v>1.3690177684086668E-4</v>
      </c>
      <c r="K57" s="133">
        <f t="shared" ca="1" si="12"/>
        <v>1.3690177684086668E-4</v>
      </c>
      <c r="L57" s="133">
        <f t="shared" ca="1" si="12"/>
        <v>1.3690177684086668E-4</v>
      </c>
      <c r="M57" s="551" t="s">
        <v>336</v>
      </c>
      <c r="N57" s="575">
        <f t="shared" ca="1" si="13"/>
        <v>1.3690177684086668E-4</v>
      </c>
      <c r="O57" s="575">
        <f t="shared" ca="1" si="13"/>
        <v>1.3690177684086668E-4</v>
      </c>
      <c r="P57" s="574" t="s">
        <v>336</v>
      </c>
      <c r="Q57" s="45">
        <f t="shared" ca="1" si="14"/>
        <v>6.9170112337329916</v>
      </c>
      <c r="R57" s="45">
        <f t="shared" ca="1" si="14"/>
        <v>6.9170112337329916</v>
      </c>
      <c r="S57" s="45">
        <f t="shared" ca="1" si="14"/>
        <v>6.9170112337329916</v>
      </c>
      <c r="T57" s="581" t="s">
        <v>336</v>
      </c>
      <c r="U57" s="573">
        <f t="shared" ca="1" si="15"/>
        <v>6.9170112337329916</v>
      </c>
      <c r="V57" s="573">
        <f t="shared" ca="1" si="15"/>
        <v>6.9170112337329916</v>
      </c>
      <c r="W57" s="574" t="s">
        <v>336</v>
      </c>
    </row>
    <row r="58" spans="1:23" x14ac:dyDescent="0.25">
      <c r="A58" s="812" t="str">
        <f t="shared" si="9"/>
        <v>FB</v>
      </c>
      <c r="B58" s="812" t="s">
        <v>153</v>
      </c>
      <c r="C58" s="133">
        <f t="shared" ca="1" si="10"/>
        <v>9.6983095219253099E-5</v>
      </c>
      <c r="D58" s="133">
        <f t="shared" ca="1" si="10"/>
        <v>9.6983095219253099E-5</v>
      </c>
      <c r="E58" s="133">
        <f t="shared" ca="1" si="10"/>
        <v>9.6983095219253099E-5</v>
      </c>
      <c r="F58" s="551" t="s">
        <v>336</v>
      </c>
      <c r="G58" s="575">
        <f t="shared" ca="1" si="11"/>
        <v>9.6983095219253099E-5</v>
      </c>
      <c r="H58" s="575">
        <f t="shared" ca="1" si="11"/>
        <v>9.6983095219253099E-5</v>
      </c>
      <c r="I58" s="574" t="s">
        <v>336</v>
      </c>
      <c r="J58" s="133">
        <f t="shared" ca="1" si="12"/>
        <v>3.3700177344491867E-6</v>
      </c>
      <c r="K58" s="133">
        <f t="shared" ca="1" si="12"/>
        <v>3.3700177344491867E-6</v>
      </c>
      <c r="L58" s="133">
        <f t="shared" ca="1" si="12"/>
        <v>3.3700177344491867E-6</v>
      </c>
      <c r="M58" s="551" t="s">
        <v>336</v>
      </c>
      <c r="N58" s="575">
        <f t="shared" ca="1" si="13"/>
        <v>3.3700177344491867E-6</v>
      </c>
      <c r="O58" s="575">
        <f t="shared" ca="1" si="13"/>
        <v>3.3700177344491867E-6</v>
      </c>
      <c r="P58" s="574" t="s">
        <v>336</v>
      </c>
      <c r="Q58" s="45">
        <f t="shared" ca="1" si="14"/>
        <v>3.6092597959978621</v>
      </c>
      <c r="R58" s="45">
        <f t="shared" ca="1" si="14"/>
        <v>3.6092597959978621</v>
      </c>
      <c r="S58" s="45">
        <f t="shared" ca="1" si="14"/>
        <v>3.6092597959978621</v>
      </c>
      <c r="T58" s="581" t="s">
        <v>336</v>
      </c>
      <c r="U58" s="573">
        <f t="shared" ca="1" si="15"/>
        <v>3.6092597959978621</v>
      </c>
      <c r="V58" s="573">
        <f t="shared" ca="1" si="15"/>
        <v>3.6092597959978621</v>
      </c>
      <c r="W58" s="574" t="s">
        <v>336</v>
      </c>
    </row>
    <row r="59" spans="1:23" x14ac:dyDescent="0.25">
      <c r="A59" s="813" t="str">
        <f>A56</f>
        <v>FB</v>
      </c>
      <c r="B59" s="813" t="s">
        <v>154</v>
      </c>
      <c r="C59" s="135">
        <f t="shared" ca="1" si="10"/>
        <v>8.9035406062814876E-4</v>
      </c>
      <c r="D59" s="135">
        <f t="shared" ca="1" si="10"/>
        <v>8.9035406062814876E-4</v>
      </c>
      <c r="E59" s="135">
        <f t="shared" ca="1" si="10"/>
        <v>8.9035406062814876E-4</v>
      </c>
      <c r="F59" s="580" t="s">
        <v>336</v>
      </c>
      <c r="G59" s="579">
        <f t="shared" ca="1" si="11"/>
        <v>8.9035406062814876E-4</v>
      </c>
      <c r="H59" s="579">
        <f t="shared" ca="1" si="11"/>
        <v>8.9035406062814876E-4</v>
      </c>
      <c r="I59" s="576" t="s">
        <v>336</v>
      </c>
      <c r="J59" s="135">
        <f t="shared" ca="1" si="12"/>
        <v>7.5127960407408738E-3</v>
      </c>
      <c r="K59" s="135">
        <f t="shared" ca="1" si="12"/>
        <v>7.5127960407408738E-3</v>
      </c>
      <c r="L59" s="135">
        <f t="shared" ca="1" si="12"/>
        <v>7.5127960407408738E-3</v>
      </c>
      <c r="M59" s="580" t="s">
        <v>336</v>
      </c>
      <c r="N59" s="579">
        <f t="shared" ca="1" si="13"/>
        <v>7.5127960407408738E-3</v>
      </c>
      <c r="O59" s="579">
        <f t="shared" ca="1" si="13"/>
        <v>7.5127960407408738E-3</v>
      </c>
      <c r="P59" s="576" t="s">
        <v>336</v>
      </c>
      <c r="Q59" s="88">
        <f t="shared" ca="1" si="14"/>
        <v>57.559528732636181</v>
      </c>
      <c r="R59" s="88">
        <f t="shared" ca="1" si="14"/>
        <v>57.559528732636181</v>
      </c>
      <c r="S59" s="88">
        <f t="shared" ca="1" si="14"/>
        <v>57.559528732636181</v>
      </c>
      <c r="T59" s="578" t="s">
        <v>336</v>
      </c>
      <c r="U59" s="577">
        <f t="shared" ca="1" si="15"/>
        <v>57.559528732636181</v>
      </c>
      <c r="V59" s="577">
        <f t="shared" ca="1" si="15"/>
        <v>57.559528732636181</v>
      </c>
      <c r="W59" s="576" t="s">
        <v>336</v>
      </c>
    </row>
    <row r="60" spans="1:23" x14ac:dyDescent="0.25">
      <c r="A60" s="82" t="s">
        <v>754</v>
      </c>
      <c r="B60" s="812" t="s">
        <v>137</v>
      </c>
      <c r="C60" s="133">
        <f t="shared" ref="C60:E75" ca="1" si="16">C6*C$33/C$26</f>
        <v>0.26772042365509457</v>
      </c>
      <c r="D60" s="575">
        <f t="shared" ca="1" si="16"/>
        <v>0.26772042365509457</v>
      </c>
      <c r="E60" s="575">
        <f t="shared" ca="1" si="16"/>
        <v>0.26772042365509457</v>
      </c>
      <c r="F60" s="574" t="s">
        <v>336</v>
      </c>
      <c r="G60" s="133">
        <f t="shared" ref="G60:H75" ca="1" si="17">G6*G$33/G$26</f>
        <v>0.26772042365509457</v>
      </c>
      <c r="H60" s="133">
        <f t="shared" ca="1" si="17"/>
        <v>0.26772042365509457</v>
      </c>
      <c r="I60" s="551" t="s">
        <v>336</v>
      </c>
      <c r="J60" s="575">
        <f t="shared" ref="J60:L75" ca="1" si="18">J6*J$33/J$26</f>
        <v>2.260808069631554E-3</v>
      </c>
      <c r="K60" s="575">
        <f t="shared" ca="1" si="18"/>
        <v>2.260808069631554E-3</v>
      </c>
      <c r="L60" s="575">
        <f t="shared" ca="1" si="18"/>
        <v>2.260808069631554E-3</v>
      </c>
      <c r="M60" s="574" t="s">
        <v>336</v>
      </c>
      <c r="N60" s="133">
        <f t="shared" ref="N60:O75" ca="1" si="19">N6*N$33/N$26</f>
        <v>2.260808069631554E-3</v>
      </c>
      <c r="O60" s="133">
        <f t="shared" ca="1" si="19"/>
        <v>2.260808069631554E-3</v>
      </c>
      <c r="P60" s="551" t="s">
        <v>336</v>
      </c>
      <c r="Q60" s="573">
        <f t="shared" ref="Q60:S75" ca="1" si="20">Q6*Q$33/Q$26</f>
        <v>172.0286904047737</v>
      </c>
      <c r="R60" s="573">
        <f t="shared" ca="1" si="20"/>
        <v>172.0286904047737</v>
      </c>
      <c r="S60" s="573">
        <f t="shared" ca="1" si="20"/>
        <v>172.0286904047737</v>
      </c>
      <c r="T60" s="572" t="s">
        <v>336</v>
      </c>
      <c r="U60" s="45">
        <f t="shared" ref="U60:V75" ca="1" si="21">U6*U$33/U$26</f>
        <v>172.0286904047737</v>
      </c>
      <c r="V60" s="45">
        <f t="shared" ca="1" si="21"/>
        <v>172.0286904047737</v>
      </c>
      <c r="W60" s="551" t="s">
        <v>336</v>
      </c>
    </row>
    <row r="61" spans="1:23" x14ac:dyDescent="0.25">
      <c r="A61" s="812" t="str">
        <f t="shared" ref="A61:A78" si="22">A60</f>
        <v>NP</v>
      </c>
      <c r="B61" s="812" t="s">
        <v>138</v>
      </c>
      <c r="C61" s="133">
        <f t="shared" ca="1" si="16"/>
        <v>2.0894599637340815E-2</v>
      </c>
      <c r="D61" s="575">
        <f t="shared" ca="1" si="16"/>
        <v>2.0894599637340815E-2</v>
      </c>
      <c r="E61" s="575">
        <f t="shared" ca="1" si="16"/>
        <v>2.0894599637340815E-2</v>
      </c>
      <c r="F61" s="574" t="s">
        <v>336</v>
      </c>
      <c r="G61" s="133">
        <f t="shared" ca="1" si="17"/>
        <v>2.0894599637340815E-2</v>
      </c>
      <c r="H61" s="133">
        <f t="shared" ca="1" si="17"/>
        <v>2.0894599637340815E-2</v>
      </c>
      <c r="I61" s="551" t="s">
        <v>336</v>
      </c>
      <c r="J61" s="575">
        <f t="shared" ca="1" si="18"/>
        <v>1.9951287064024626E-4</v>
      </c>
      <c r="K61" s="575">
        <f t="shared" ca="1" si="18"/>
        <v>1.9951287064024626E-4</v>
      </c>
      <c r="L61" s="575">
        <f t="shared" ca="1" si="18"/>
        <v>1.9951287064024626E-4</v>
      </c>
      <c r="M61" s="574" t="s">
        <v>336</v>
      </c>
      <c r="N61" s="133">
        <f t="shared" ca="1" si="19"/>
        <v>1.9951287064024626E-4</v>
      </c>
      <c r="O61" s="133">
        <f t="shared" ca="1" si="19"/>
        <v>1.9951287064024626E-4</v>
      </c>
      <c r="P61" s="551" t="s">
        <v>336</v>
      </c>
      <c r="Q61" s="573">
        <f t="shared" ca="1" si="20"/>
        <v>15.178565344278779</v>
      </c>
      <c r="R61" s="573">
        <f t="shared" ca="1" si="20"/>
        <v>15.178565344278779</v>
      </c>
      <c r="S61" s="573">
        <f t="shared" ca="1" si="20"/>
        <v>15.178565344278779</v>
      </c>
      <c r="T61" s="572" t="s">
        <v>336</v>
      </c>
      <c r="U61" s="45">
        <f t="shared" ca="1" si="21"/>
        <v>15.178565344278779</v>
      </c>
      <c r="V61" s="45">
        <f t="shared" ca="1" si="21"/>
        <v>15.178565344278779</v>
      </c>
      <c r="W61" s="551" t="s">
        <v>336</v>
      </c>
    </row>
    <row r="62" spans="1:23" x14ac:dyDescent="0.25">
      <c r="A62" s="812" t="str">
        <f t="shared" si="22"/>
        <v>NP</v>
      </c>
      <c r="B62" s="812" t="s">
        <v>139</v>
      </c>
      <c r="C62" s="133">
        <f t="shared" ca="1" si="16"/>
        <v>1.7251698356820031E-2</v>
      </c>
      <c r="D62" s="575">
        <f t="shared" ca="1" si="16"/>
        <v>1.7251698356820031E-2</v>
      </c>
      <c r="E62" s="575">
        <f t="shared" ca="1" si="16"/>
        <v>1.7251698356820031E-2</v>
      </c>
      <c r="F62" s="574" t="s">
        <v>336</v>
      </c>
      <c r="G62" s="133">
        <f t="shared" ca="1" si="17"/>
        <v>1.7251698356820031E-2</v>
      </c>
      <c r="H62" s="133">
        <f t="shared" ca="1" si="17"/>
        <v>1.7251698356820031E-2</v>
      </c>
      <c r="I62" s="551" t="s">
        <v>336</v>
      </c>
      <c r="J62" s="575">
        <f t="shared" ca="1" si="18"/>
        <v>4.200576513519839E-4</v>
      </c>
      <c r="K62" s="575">
        <f t="shared" ca="1" si="18"/>
        <v>4.200576513519839E-4</v>
      </c>
      <c r="L62" s="575">
        <f t="shared" ca="1" si="18"/>
        <v>4.200576513519839E-4</v>
      </c>
      <c r="M62" s="574" t="s">
        <v>336</v>
      </c>
      <c r="N62" s="133">
        <f t="shared" ca="1" si="19"/>
        <v>4.200576513519839E-4</v>
      </c>
      <c r="O62" s="133">
        <f t="shared" ca="1" si="19"/>
        <v>4.200576513519839E-4</v>
      </c>
      <c r="P62" s="551" t="s">
        <v>336</v>
      </c>
      <c r="Q62" s="573">
        <f t="shared" ca="1" si="20"/>
        <v>31.957198996485221</v>
      </c>
      <c r="R62" s="573">
        <f t="shared" ca="1" si="20"/>
        <v>31.957198996485221</v>
      </c>
      <c r="S62" s="573">
        <f t="shared" ca="1" si="20"/>
        <v>31.957198996485221</v>
      </c>
      <c r="T62" s="572" t="s">
        <v>336</v>
      </c>
      <c r="U62" s="45">
        <f t="shared" ca="1" si="21"/>
        <v>31.957198996485221</v>
      </c>
      <c r="V62" s="45">
        <f t="shared" ca="1" si="21"/>
        <v>31.957198996485221</v>
      </c>
      <c r="W62" s="551" t="s">
        <v>336</v>
      </c>
    </row>
    <row r="63" spans="1:23" x14ac:dyDescent="0.25">
      <c r="A63" s="812" t="str">
        <f t="shared" si="22"/>
        <v>NP</v>
      </c>
      <c r="B63" s="812" t="s">
        <v>140</v>
      </c>
      <c r="C63" s="133">
        <f t="shared" ca="1" si="16"/>
        <v>1.1252351007908154E-2</v>
      </c>
      <c r="D63" s="575">
        <f t="shared" ca="1" si="16"/>
        <v>1.1252351007908154E-2</v>
      </c>
      <c r="E63" s="575">
        <f t="shared" ca="1" si="16"/>
        <v>1.1252351007908154E-2</v>
      </c>
      <c r="F63" s="574" t="s">
        <v>336</v>
      </c>
      <c r="G63" s="133">
        <f t="shared" ca="1" si="17"/>
        <v>1.1252351007908154E-2</v>
      </c>
      <c r="H63" s="133">
        <f t="shared" ca="1" si="17"/>
        <v>1.1252351007908154E-2</v>
      </c>
      <c r="I63" s="551" t="s">
        <v>336</v>
      </c>
      <c r="J63" s="575">
        <f t="shared" ca="1" si="18"/>
        <v>2.5290546189757796E-4</v>
      </c>
      <c r="K63" s="575">
        <f t="shared" ca="1" si="18"/>
        <v>2.5290546189757796E-4</v>
      </c>
      <c r="L63" s="575">
        <f t="shared" ca="1" si="18"/>
        <v>2.5290546189757796E-4</v>
      </c>
      <c r="M63" s="574" t="s">
        <v>336</v>
      </c>
      <c r="N63" s="133">
        <f t="shared" ca="1" si="19"/>
        <v>2.5290546189757796E-4</v>
      </c>
      <c r="O63" s="133">
        <f t="shared" ca="1" si="19"/>
        <v>2.5290546189757796E-4</v>
      </c>
      <c r="P63" s="551" t="s">
        <v>336</v>
      </c>
      <c r="Q63" s="573">
        <f t="shared" ca="1" si="20"/>
        <v>19.240573638275514</v>
      </c>
      <c r="R63" s="573">
        <f t="shared" ca="1" si="20"/>
        <v>19.240573638275514</v>
      </c>
      <c r="S63" s="573">
        <f t="shared" ca="1" si="20"/>
        <v>19.240573638275514</v>
      </c>
      <c r="T63" s="572" t="s">
        <v>336</v>
      </c>
      <c r="U63" s="45">
        <f t="shared" ca="1" si="21"/>
        <v>19.240573638275514</v>
      </c>
      <c r="V63" s="45">
        <f t="shared" ca="1" si="21"/>
        <v>19.240573638275514</v>
      </c>
      <c r="W63" s="551" t="s">
        <v>336</v>
      </c>
    </row>
    <row r="64" spans="1:23" x14ac:dyDescent="0.25">
      <c r="A64" s="812" t="str">
        <f t="shared" si="22"/>
        <v>NP</v>
      </c>
      <c r="B64" s="812" t="s">
        <v>141</v>
      </c>
      <c r="C64" s="133">
        <f t="shared" ca="1" si="16"/>
        <v>0.16825821820647544</v>
      </c>
      <c r="D64" s="575">
        <f t="shared" ca="1" si="16"/>
        <v>0.16825821820647544</v>
      </c>
      <c r="E64" s="575">
        <f t="shared" ca="1" si="16"/>
        <v>0.16825821820647544</v>
      </c>
      <c r="F64" s="574" t="s">
        <v>336</v>
      </c>
      <c r="G64" s="133">
        <f t="shared" ca="1" si="17"/>
        <v>0.16825821820647544</v>
      </c>
      <c r="H64" s="133">
        <f t="shared" ca="1" si="17"/>
        <v>0.16825821820647544</v>
      </c>
      <c r="I64" s="551" t="s">
        <v>336</v>
      </c>
      <c r="J64" s="575">
        <f t="shared" ca="1" si="18"/>
        <v>4.0489582239758735E-3</v>
      </c>
      <c r="K64" s="575">
        <f t="shared" ca="1" si="18"/>
        <v>4.0489582239758735E-3</v>
      </c>
      <c r="L64" s="575">
        <f t="shared" ca="1" si="18"/>
        <v>4.0489582239758735E-3</v>
      </c>
      <c r="M64" s="574" t="s">
        <v>336</v>
      </c>
      <c r="N64" s="133">
        <f t="shared" ca="1" si="19"/>
        <v>4.0489582239758735E-3</v>
      </c>
      <c r="O64" s="133">
        <f t="shared" ca="1" si="19"/>
        <v>4.0489582239758735E-3</v>
      </c>
      <c r="P64" s="551" t="s">
        <v>336</v>
      </c>
      <c r="Q64" s="573">
        <f t="shared" ca="1" si="20"/>
        <v>308.03715460387667</v>
      </c>
      <c r="R64" s="573">
        <f t="shared" ca="1" si="20"/>
        <v>308.03715460387667</v>
      </c>
      <c r="S64" s="573">
        <f t="shared" ca="1" si="20"/>
        <v>308.03715460387667</v>
      </c>
      <c r="T64" s="572" t="s">
        <v>336</v>
      </c>
      <c r="U64" s="45">
        <f t="shared" ca="1" si="21"/>
        <v>308.03715460387667</v>
      </c>
      <c r="V64" s="45">
        <f t="shared" ca="1" si="21"/>
        <v>308.03715460387667</v>
      </c>
      <c r="W64" s="551" t="s">
        <v>336</v>
      </c>
    </row>
    <row r="65" spans="1:23" x14ac:dyDescent="0.25">
      <c r="A65" s="812" t="str">
        <f t="shared" si="22"/>
        <v>NP</v>
      </c>
      <c r="B65" s="812" t="s">
        <v>142</v>
      </c>
      <c r="C65" s="133">
        <f t="shared" ca="1" si="16"/>
        <v>0.23122198413427622</v>
      </c>
      <c r="D65" s="575">
        <f t="shared" ca="1" si="16"/>
        <v>0.23122198413427622</v>
      </c>
      <c r="E65" s="575">
        <f t="shared" ca="1" si="16"/>
        <v>0.23122198413427622</v>
      </c>
      <c r="F65" s="574" t="s">
        <v>336</v>
      </c>
      <c r="G65" s="133">
        <f t="shared" ca="1" si="17"/>
        <v>0.23122198413427622</v>
      </c>
      <c r="H65" s="133">
        <f t="shared" ca="1" si="17"/>
        <v>0.23122198413427622</v>
      </c>
      <c r="I65" s="551" t="s">
        <v>336</v>
      </c>
      <c r="J65" s="575">
        <f t="shared" ca="1" si="18"/>
        <v>8.5247426721277216E-3</v>
      </c>
      <c r="K65" s="575">
        <f t="shared" ca="1" si="18"/>
        <v>8.5247426721277216E-3</v>
      </c>
      <c r="L65" s="575">
        <f t="shared" ca="1" si="18"/>
        <v>8.5247426721277216E-3</v>
      </c>
      <c r="M65" s="574" t="s">
        <v>336</v>
      </c>
      <c r="N65" s="133">
        <f t="shared" ca="1" si="19"/>
        <v>8.5247426721277216E-3</v>
      </c>
      <c r="O65" s="133">
        <f t="shared" ca="1" si="19"/>
        <v>8.5247426721277216E-3</v>
      </c>
      <c r="P65" s="551" t="s">
        <v>336</v>
      </c>
      <c r="Q65" s="573">
        <f t="shared" ca="1" si="20"/>
        <v>648.5464485415049</v>
      </c>
      <c r="R65" s="573">
        <f t="shared" ca="1" si="20"/>
        <v>648.5464485415049</v>
      </c>
      <c r="S65" s="573">
        <f t="shared" ca="1" si="20"/>
        <v>648.5464485415049</v>
      </c>
      <c r="T65" s="572" t="s">
        <v>336</v>
      </c>
      <c r="U65" s="45">
        <f t="shared" ca="1" si="21"/>
        <v>648.5464485415049</v>
      </c>
      <c r="V65" s="45">
        <f t="shared" ca="1" si="21"/>
        <v>648.5464485415049</v>
      </c>
      <c r="W65" s="551" t="s">
        <v>336</v>
      </c>
    </row>
    <row r="66" spans="1:23" x14ac:dyDescent="0.25">
      <c r="A66" s="812" t="str">
        <f t="shared" si="22"/>
        <v>NP</v>
      </c>
      <c r="B66" s="812" t="s">
        <v>143</v>
      </c>
      <c r="C66" s="133">
        <f t="shared" ca="1" si="16"/>
        <v>0.15446873546547968</v>
      </c>
      <c r="D66" s="575">
        <f t="shared" ca="1" si="16"/>
        <v>0.15446873546547968</v>
      </c>
      <c r="E66" s="575">
        <f t="shared" ca="1" si="16"/>
        <v>0.15446873546547968</v>
      </c>
      <c r="F66" s="574" t="s">
        <v>336</v>
      </c>
      <c r="G66" s="133">
        <f t="shared" ca="1" si="17"/>
        <v>0.15446873546547968</v>
      </c>
      <c r="H66" s="133">
        <f t="shared" ca="1" si="17"/>
        <v>0.15446873546547968</v>
      </c>
      <c r="I66" s="551" t="s">
        <v>336</v>
      </c>
      <c r="J66" s="575">
        <f t="shared" ca="1" si="18"/>
        <v>5.132519253281953E-3</v>
      </c>
      <c r="K66" s="575">
        <f t="shared" ca="1" si="18"/>
        <v>5.132519253281953E-3</v>
      </c>
      <c r="L66" s="575">
        <f t="shared" ca="1" si="18"/>
        <v>5.132519253281953E-3</v>
      </c>
      <c r="M66" s="574" t="s">
        <v>336</v>
      </c>
      <c r="N66" s="133">
        <f t="shared" ca="1" si="19"/>
        <v>5.132519253281953E-3</v>
      </c>
      <c r="O66" s="133">
        <f t="shared" ca="1" si="19"/>
        <v>5.132519253281953E-3</v>
      </c>
      <c r="P66" s="551" t="s">
        <v>336</v>
      </c>
      <c r="Q66" s="573">
        <f t="shared" ca="1" si="20"/>
        <v>390.4724472998185</v>
      </c>
      <c r="R66" s="573">
        <f t="shared" ca="1" si="20"/>
        <v>390.4724472998185</v>
      </c>
      <c r="S66" s="573">
        <f t="shared" ca="1" si="20"/>
        <v>390.4724472998185</v>
      </c>
      <c r="T66" s="572" t="s">
        <v>336</v>
      </c>
      <c r="U66" s="45">
        <f t="shared" ca="1" si="21"/>
        <v>390.4724472998185</v>
      </c>
      <c r="V66" s="45">
        <f t="shared" ca="1" si="21"/>
        <v>390.4724472998185</v>
      </c>
      <c r="W66" s="551" t="s">
        <v>336</v>
      </c>
    </row>
    <row r="67" spans="1:23" x14ac:dyDescent="0.25">
      <c r="A67" s="812" t="str">
        <f t="shared" si="22"/>
        <v>NP</v>
      </c>
      <c r="B67" s="812" t="s">
        <v>144</v>
      </c>
      <c r="C67" s="133">
        <f t="shared" ca="1" si="16"/>
        <v>5.699694551354979E-3</v>
      </c>
      <c r="D67" s="575">
        <f t="shared" ca="1" si="16"/>
        <v>5.699694551354979E-3</v>
      </c>
      <c r="E67" s="575">
        <f t="shared" ca="1" si="16"/>
        <v>5.699694551354979E-3</v>
      </c>
      <c r="F67" s="574" t="s">
        <v>336</v>
      </c>
      <c r="G67" s="133">
        <f t="shared" ca="1" si="17"/>
        <v>5.699694551354979E-3</v>
      </c>
      <c r="H67" s="133">
        <f t="shared" ca="1" si="17"/>
        <v>5.699694551354979E-3</v>
      </c>
      <c r="I67" s="551" t="s">
        <v>336</v>
      </c>
      <c r="J67" s="575">
        <f t="shared" ca="1" si="18"/>
        <v>4.5009910369174158E-4</v>
      </c>
      <c r="K67" s="575">
        <f t="shared" ca="1" si="18"/>
        <v>4.5009910369174158E-4</v>
      </c>
      <c r="L67" s="575">
        <f t="shared" ca="1" si="18"/>
        <v>4.5009910369174158E-4</v>
      </c>
      <c r="M67" s="574" t="s">
        <v>336</v>
      </c>
      <c r="N67" s="133">
        <f t="shared" ca="1" si="19"/>
        <v>4.5009910369174158E-4</v>
      </c>
      <c r="O67" s="133">
        <f t="shared" ca="1" si="19"/>
        <v>4.5009910369174158E-4</v>
      </c>
      <c r="P67" s="551" t="s">
        <v>336</v>
      </c>
      <c r="Q67" s="573">
        <f t="shared" ca="1" si="20"/>
        <v>40.892068402862748</v>
      </c>
      <c r="R67" s="573">
        <f t="shared" ca="1" si="20"/>
        <v>40.892068402862748</v>
      </c>
      <c r="S67" s="573">
        <f t="shared" ca="1" si="20"/>
        <v>40.892068402862748</v>
      </c>
      <c r="T67" s="572" t="s">
        <v>336</v>
      </c>
      <c r="U67" s="45">
        <f t="shared" ca="1" si="21"/>
        <v>40.892068402862748</v>
      </c>
      <c r="V67" s="45">
        <f t="shared" ca="1" si="21"/>
        <v>40.892068402862748</v>
      </c>
      <c r="W67" s="551" t="s">
        <v>336</v>
      </c>
    </row>
    <row r="68" spans="1:23" x14ac:dyDescent="0.25">
      <c r="A68" s="812" t="str">
        <f t="shared" si="22"/>
        <v>NP</v>
      </c>
      <c r="B68" s="812" t="s">
        <v>145</v>
      </c>
      <c r="C68" s="133">
        <f t="shared" ca="1" si="16"/>
        <v>1.9225246860227706E-2</v>
      </c>
      <c r="D68" s="575">
        <f t="shared" ca="1" si="16"/>
        <v>1.9225246860227706E-2</v>
      </c>
      <c r="E68" s="575">
        <f t="shared" ca="1" si="16"/>
        <v>1.9225246860227706E-2</v>
      </c>
      <c r="F68" s="574" t="s">
        <v>336</v>
      </c>
      <c r="G68" s="133">
        <f t="shared" ca="1" si="17"/>
        <v>1.9225246860227706E-2</v>
      </c>
      <c r="H68" s="133">
        <f t="shared" ca="1" si="17"/>
        <v>1.9225246860227706E-2</v>
      </c>
      <c r="I68" s="551" t="s">
        <v>336</v>
      </c>
      <c r="J68" s="575">
        <f t="shared" ca="1" si="18"/>
        <v>1.5181982652006918E-3</v>
      </c>
      <c r="K68" s="575">
        <f t="shared" ca="1" si="18"/>
        <v>1.5181982652006918E-3</v>
      </c>
      <c r="L68" s="575">
        <f t="shared" ca="1" si="18"/>
        <v>1.5181982652006918E-3</v>
      </c>
      <c r="M68" s="574" t="s">
        <v>336</v>
      </c>
      <c r="N68" s="133">
        <f t="shared" ca="1" si="19"/>
        <v>1.5181982652006918E-3</v>
      </c>
      <c r="O68" s="133">
        <f t="shared" ca="1" si="19"/>
        <v>1.5181982652006918E-3</v>
      </c>
      <c r="P68" s="551" t="s">
        <v>336</v>
      </c>
      <c r="Q68" s="573">
        <f t="shared" ca="1" si="20"/>
        <v>137.93021759095166</v>
      </c>
      <c r="R68" s="573">
        <f t="shared" ca="1" si="20"/>
        <v>137.93021759095166</v>
      </c>
      <c r="S68" s="573">
        <f t="shared" ca="1" si="20"/>
        <v>137.93021759095166</v>
      </c>
      <c r="T68" s="572" t="s">
        <v>336</v>
      </c>
      <c r="U68" s="45">
        <f t="shared" ca="1" si="21"/>
        <v>137.93021759095166</v>
      </c>
      <c r="V68" s="45">
        <f t="shared" ca="1" si="21"/>
        <v>137.93021759095166</v>
      </c>
      <c r="W68" s="551" t="s">
        <v>336</v>
      </c>
    </row>
    <row r="69" spans="1:23" x14ac:dyDescent="0.25">
      <c r="A69" s="812" t="str">
        <f t="shared" si="22"/>
        <v>NP</v>
      </c>
      <c r="B69" s="812" t="s">
        <v>146</v>
      </c>
      <c r="C69" s="133">
        <f t="shared" ca="1" si="16"/>
        <v>9.5517703573102089E-2</v>
      </c>
      <c r="D69" s="575">
        <f t="shared" ca="1" si="16"/>
        <v>9.5517703573102089E-2</v>
      </c>
      <c r="E69" s="575">
        <f t="shared" ca="1" si="16"/>
        <v>9.5517703573102089E-2</v>
      </c>
      <c r="F69" s="574" t="s">
        <v>336</v>
      </c>
      <c r="G69" s="133">
        <f t="shared" ca="1" si="17"/>
        <v>9.5517703573102089E-2</v>
      </c>
      <c r="H69" s="133">
        <f t="shared" ca="1" si="17"/>
        <v>9.5517703573102089E-2</v>
      </c>
      <c r="I69" s="551" t="s">
        <v>336</v>
      </c>
      <c r="J69" s="575">
        <f t="shared" ca="1" si="18"/>
        <v>2.8276022475029806E-3</v>
      </c>
      <c r="K69" s="575">
        <f t="shared" ca="1" si="18"/>
        <v>2.8276022475029806E-3</v>
      </c>
      <c r="L69" s="575">
        <f t="shared" ca="1" si="18"/>
        <v>2.8276022475029806E-3</v>
      </c>
      <c r="M69" s="574" t="s">
        <v>336</v>
      </c>
      <c r="N69" s="133">
        <f t="shared" ca="1" si="19"/>
        <v>2.8276022475029806E-3</v>
      </c>
      <c r="O69" s="133">
        <f t="shared" ca="1" si="19"/>
        <v>2.8276022475029806E-3</v>
      </c>
      <c r="P69" s="551" t="s">
        <v>336</v>
      </c>
      <c r="Q69" s="573">
        <f t="shared" ca="1" si="20"/>
        <v>215.04483692163546</v>
      </c>
      <c r="R69" s="573">
        <f t="shared" ca="1" si="20"/>
        <v>215.04483692163546</v>
      </c>
      <c r="S69" s="573">
        <f t="shared" ca="1" si="20"/>
        <v>215.04483692163546</v>
      </c>
      <c r="T69" s="572" t="s">
        <v>336</v>
      </c>
      <c r="U69" s="45">
        <f t="shared" ca="1" si="21"/>
        <v>215.04483692163546</v>
      </c>
      <c r="V69" s="45">
        <f t="shared" ca="1" si="21"/>
        <v>215.04483692163546</v>
      </c>
      <c r="W69" s="551" t="s">
        <v>336</v>
      </c>
    </row>
    <row r="70" spans="1:23" x14ac:dyDescent="0.25">
      <c r="A70" s="812" t="str">
        <f t="shared" si="22"/>
        <v>NP</v>
      </c>
      <c r="B70" s="812" t="s">
        <v>568</v>
      </c>
      <c r="C70" s="133">
        <f t="shared" ca="1" si="16"/>
        <v>2.1253061169444188E-2</v>
      </c>
      <c r="D70" s="575">
        <f t="shared" ca="1" si="16"/>
        <v>2.1253061169444188E-2</v>
      </c>
      <c r="E70" s="575">
        <f t="shared" ca="1" si="16"/>
        <v>2.1253061169444188E-2</v>
      </c>
      <c r="F70" s="574" t="s">
        <v>336</v>
      </c>
      <c r="G70" s="133">
        <f t="shared" ca="1" si="17"/>
        <v>2.1253061169444188E-2</v>
      </c>
      <c r="H70" s="133">
        <f t="shared" ca="1" si="17"/>
        <v>2.1253061169444188E-2</v>
      </c>
      <c r="I70" s="551" t="s">
        <v>336</v>
      </c>
      <c r="J70" s="575">
        <f t="shared" ca="1" si="18"/>
        <v>0.98270516048498846</v>
      </c>
      <c r="K70" s="575">
        <f t="shared" ca="1" si="18"/>
        <v>0.98270516048498846</v>
      </c>
      <c r="L70" s="575">
        <f t="shared" ca="1" si="18"/>
        <v>0.98270516048498846</v>
      </c>
      <c r="M70" s="574" t="s">
        <v>336</v>
      </c>
      <c r="N70" s="133">
        <f t="shared" ca="1" si="19"/>
        <v>0.98270516048498846</v>
      </c>
      <c r="O70" s="133">
        <f t="shared" ca="1" si="19"/>
        <v>0.98270516048498846</v>
      </c>
      <c r="P70" s="551" t="s">
        <v>336</v>
      </c>
      <c r="Q70" s="573">
        <f t="shared" ca="1" si="20"/>
        <v>8649.2721898315722</v>
      </c>
      <c r="R70" s="573">
        <f t="shared" ca="1" si="20"/>
        <v>8649.2721898315722</v>
      </c>
      <c r="S70" s="573">
        <f t="shared" ca="1" si="20"/>
        <v>8649.2721898315722</v>
      </c>
      <c r="T70" s="572" t="s">
        <v>336</v>
      </c>
      <c r="U70" s="45">
        <f t="shared" ca="1" si="21"/>
        <v>8649.2721898315722</v>
      </c>
      <c r="V70" s="45">
        <f t="shared" ca="1" si="21"/>
        <v>8649.2721898315722</v>
      </c>
      <c r="W70" s="551" t="s">
        <v>336</v>
      </c>
    </row>
    <row r="71" spans="1:23" x14ac:dyDescent="0.25">
      <c r="A71" s="812" t="str">
        <f t="shared" si="22"/>
        <v>NP</v>
      </c>
      <c r="B71" s="812" t="s">
        <v>148</v>
      </c>
      <c r="C71" s="133">
        <f t="shared" ca="1" si="16"/>
        <v>6.8479757443036708E-3</v>
      </c>
      <c r="D71" s="575">
        <f t="shared" ca="1" si="16"/>
        <v>6.8479757443036708E-3</v>
      </c>
      <c r="E71" s="575">
        <f t="shared" ca="1" si="16"/>
        <v>6.8479757443036708E-3</v>
      </c>
      <c r="F71" s="574" t="s">
        <v>336</v>
      </c>
      <c r="G71" s="133">
        <f t="shared" ca="1" si="17"/>
        <v>6.8479757443036708E-3</v>
      </c>
      <c r="H71" s="133">
        <f t="shared" ca="1" si="17"/>
        <v>6.8479757443036708E-3</v>
      </c>
      <c r="I71" s="551" t="s">
        <v>336</v>
      </c>
      <c r="J71" s="575">
        <f t="shared" ca="1" si="18"/>
        <v>0.13938746427844062</v>
      </c>
      <c r="K71" s="575">
        <f t="shared" ca="1" si="18"/>
        <v>0.13938746427844062</v>
      </c>
      <c r="L71" s="575">
        <f t="shared" ca="1" si="18"/>
        <v>0.13938746427844062</v>
      </c>
      <c r="M71" s="574" t="s">
        <v>336</v>
      </c>
      <c r="N71" s="133">
        <f t="shared" ca="1" si="19"/>
        <v>0.13938746427844062</v>
      </c>
      <c r="O71" s="133">
        <f t="shared" ca="1" si="19"/>
        <v>0.13938746427844062</v>
      </c>
      <c r="P71" s="551" t="s">
        <v>336</v>
      </c>
      <c r="Q71" s="573">
        <f t="shared" ca="1" si="20"/>
        <v>2875.9613404220131</v>
      </c>
      <c r="R71" s="573">
        <f t="shared" ca="1" si="20"/>
        <v>2875.9613404220131</v>
      </c>
      <c r="S71" s="573">
        <f t="shared" ca="1" si="20"/>
        <v>2875.9613404220131</v>
      </c>
      <c r="T71" s="572" t="s">
        <v>336</v>
      </c>
      <c r="U71" s="45">
        <f t="shared" ca="1" si="21"/>
        <v>2875.9613404220131</v>
      </c>
      <c r="V71" s="45">
        <f t="shared" ca="1" si="21"/>
        <v>2875.9613404220131</v>
      </c>
      <c r="W71" s="551" t="s">
        <v>336</v>
      </c>
    </row>
    <row r="72" spans="1:23" x14ac:dyDescent="0.25">
      <c r="A72" s="812" t="str">
        <f t="shared" si="22"/>
        <v>NP</v>
      </c>
      <c r="B72" s="812" t="s">
        <v>746</v>
      </c>
      <c r="C72" s="133">
        <f t="shared" ca="1" si="16"/>
        <v>1.2658639544512444E-4</v>
      </c>
      <c r="D72" s="575">
        <f t="shared" ca="1" si="16"/>
        <v>1.2658639544512444E-4</v>
      </c>
      <c r="E72" s="575">
        <f t="shared" ca="1" si="16"/>
        <v>1.2658639544512444E-4</v>
      </c>
      <c r="F72" s="574" t="s">
        <v>336</v>
      </c>
      <c r="G72" s="133">
        <f t="shared" ca="1" si="17"/>
        <v>1.2658639544512444E-4</v>
      </c>
      <c r="H72" s="133">
        <f t="shared" ca="1" si="17"/>
        <v>1.2658639544512444E-4</v>
      </c>
      <c r="I72" s="551" t="s">
        <v>336</v>
      </c>
      <c r="J72" s="575">
        <f t="shared" ca="1" si="18"/>
        <v>6.6813148065996957E-3</v>
      </c>
      <c r="K72" s="575">
        <f t="shared" ca="1" si="18"/>
        <v>6.6813148065996957E-3</v>
      </c>
      <c r="L72" s="575">
        <f t="shared" ca="1" si="18"/>
        <v>6.6813148065996957E-3</v>
      </c>
      <c r="M72" s="574" t="s">
        <v>336</v>
      </c>
      <c r="N72" s="133">
        <f t="shared" ca="1" si="19"/>
        <v>6.6813148065996957E-3</v>
      </c>
      <c r="O72" s="133">
        <f t="shared" ca="1" si="19"/>
        <v>6.6813148065996957E-3</v>
      </c>
      <c r="P72" s="551" t="s">
        <v>336</v>
      </c>
      <c r="Q72" s="573">
        <f t="shared" ca="1" si="20"/>
        <v>60.025524604488744</v>
      </c>
      <c r="R72" s="573">
        <f t="shared" ca="1" si="20"/>
        <v>60.025524604488744</v>
      </c>
      <c r="S72" s="573">
        <f t="shared" ca="1" si="20"/>
        <v>60.025524604488744</v>
      </c>
      <c r="T72" s="572" t="s">
        <v>336</v>
      </c>
      <c r="U72" s="45">
        <f t="shared" ca="1" si="21"/>
        <v>60.025524604488744</v>
      </c>
      <c r="V72" s="45">
        <f t="shared" ca="1" si="21"/>
        <v>60.025524604488744</v>
      </c>
      <c r="W72" s="551" t="s">
        <v>336</v>
      </c>
    </row>
    <row r="73" spans="1:23" x14ac:dyDescent="0.25">
      <c r="A73" s="812" t="str">
        <f t="shared" si="22"/>
        <v>NP</v>
      </c>
      <c r="B73" s="812" t="s">
        <v>747</v>
      </c>
      <c r="C73" s="133">
        <f t="shared" ca="1" si="16"/>
        <v>4.9177252682564454E-4</v>
      </c>
      <c r="D73" s="575">
        <f t="shared" ca="1" si="16"/>
        <v>4.9177252682564454E-4</v>
      </c>
      <c r="E73" s="575">
        <f t="shared" ca="1" si="16"/>
        <v>4.9177252682564454E-4</v>
      </c>
      <c r="F73" s="574" t="s">
        <v>336</v>
      </c>
      <c r="G73" s="133">
        <f t="shared" ca="1" si="17"/>
        <v>4.9177252682564454E-4</v>
      </c>
      <c r="H73" s="133">
        <f t="shared" ca="1" si="17"/>
        <v>4.9177252682564454E-4</v>
      </c>
      <c r="I73" s="551" t="s">
        <v>336</v>
      </c>
      <c r="J73" s="575">
        <f t="shared" ca="1" si="18"/>
        <v>2.2738719662234046E-2</v>
      </c>
      <c r="K73" s="575">
        <f t="shared" ca="1" si="18"/>
        <v>2.2738719662234046E-2</v>
      </c>
      <c r="L73" s="575">
        <f t="shared" ca="1" si="18"/>
        <v>2.2738719662234046E-2</v>
      </c>
      <c r="M73" s="574" t="s">
        <v>336</v>
      </c>
      <c r="N73" s="133">
        <f t="shared" ca="1" si="19"/>
        <v>2.2738719662234046E-2</v>
      </c>
      <c r="O73" s="133">
        <f t="shared" ca="1" si="19"/>
        <v>2.2738719662234046E-2</v>
      </c>
      <c r="P73" s="551" t="s">
        <v>336</v>
      </c>
      <c r="Q73" s="573">
        <f t="shared" ca="1" si="20"/>
        <v>186.39975319991677</v>
      </c>
      <c r="R73" s="573">
        <f t="shared" ca="1" si="20"/>
        <v>186.39975319991677</v>
      </c>
      <c r="S73" s="573">
        <f t="shared" ca="1" si="20"/>
        <v>186.39975319991677</v>
      </c>
      <c r="T73" s="572" t="s">
        <v>336</v>
      </c>
      <c r="U73" s="45">
        <f t="shared" ca="1" si="21"/>
        <v>186.39975319991677</v>
      </c>
      <c r="V73" s="45">
        <f t="shared" ca="1" si="21"/>
        <v>186.39975319991677</v>
      </c>
      <c r="W73" s="551" t="s">
        <v>336</v>
      </c>
    </row>
    <row r="74" spans="1:23" x14ac:dyDescent="0.25">
      <c r="A74" s="812" t="str">
        <f t="shared" si="22"/>
        <v>NP</v>
      </c>
      <c r="B74" s="812" t="s">
        <v>149</v>
      </c>
      <c r="C74" s="133">
        <f t="shared" ca="1" si="16"/>
        <v>2.4045638877056439E-6</v>
      </c>
      <c r="D74" s="575">
        <f t="shared" ca="1" si="16"/>
        <v>2.4045638877056439E-6</v>
      </c>
      <c r="E74" s="575">
        <f t="shared" ca="1" si="16"/>
        <v>2.4045638877056439E-6</v>
      </c>
      <c r="F74" s="574" t="s">
        <v>336</v>
      </c>
      <c r="G74" s="133">
        <f t="shared" ca="1" si="17"/>
        <v>2.4045638877056439E-6</v>
      </c>
      <c r="H74" s="133">
        <f t="shared" ca="1" si="17"/>
        <v>2.4045638877056439E-6</v>
      </c>
      <c r="I74" s="551" t="s">
        <v>336</v>
      </c>
      <c r="J74" s="575">
        <f t="shared" ca="1" si="18"/>
        <v>2.1276491055464887E-5</v>
      </c>
      <c r="K74" s="575">
        <f t="shared" ca="1" si="18"/>
        <v>2.1276491055464887E-5</v>
      </c>
      <c r="L74" s="575">
        <f t="shared" ca="1" si="18"/>
        <v>2.1276491055464887E-5</v>
      </c>
      <c r="M74" s="574" t="s">
        <v>336</v>
      </c>
      <c r="N74" s="133">
        <f t="shared" ca="1" si="19"/>
        <v>2.1276491055464887E-5</v>
      </c>
      <c r="O74" s="133">
        <f t="shared" ca="1" si="19"/>
        <v>2.1276491055464887E-5</v>
      </c>
      <c r="P74" s="551" t="s">
        <v>336</v>
      </c>
      <c r="Q74" s="573">
        <f t="shared" ca="1" si="20"/>
        <v>82.971961669579969</v>
      </c>
      <c r="R74" s="573">
        <f t="shared" ca="1" si="20"/>
        <v>82.971961669579969</v>
      </c>
      <c r="S74" s="573">
        <f t="shared" ca="1" si="20"/>
        <v>82.971961669579969</v>
      </c>
      <c r="T74" s="572" t="s">
        <v>336</v>
      </c>
      <c r="U74" s="45">
        <f t="shared" ca="1" si="21"/>
        <v>82.971961669579969</v>
      </c>
      <c r="V74" s="45">
        <f t="shared" ca="1" si="21"/>
        <v>82.971961669579969</v>
      </c>
      <c r="W74" s="551" t="s">
        <v>336</v>
      </c>
    </row>
    <row r="75" spans="1:23" x14ac:dyDescent="0.25">
      <c r="A75" s="812" t="str">
        <f t="shared" si="22"/>
        <v>NP</v>
      </c>
      <c r="B75" s="812" t="s">
        <v>150</v>
      </c>
      <c r="C75" s="133">
        <f t="shared" ca="1" si="16"/>
        <v>4.1409759156083486E-3</v>
      </c>
      <c r="D75" s="575">
        <f t="shared" ca="1" si="16"/>
        <v>4.1409759156083486E-3</v>
      </c>
      <c r="E75" s="575">
        <f t="shared" ca="1" si="16"/>
        <v>4.1409759156083486E-3</v>
      </c>
      <c r="F75" s="574" t="s">
        <v>336</v>
      </c>
      <c r="G75" s="133">
        <f t="shared" ca="1" si="17"/>
        <v>4.1409759156083486E-3</v>
      </c>
      <c r="H75" s="133">
        <f t="shared" ca="1" si="17"/>
        <v>4.1409759156083486E-3</v>
      </c>
      <c r="I75" s="551" t="s">
        <v>336</v>
      </c>
      <c r="J75" s="575">
        <f t="shared" ca="1" si="18"/>
        <v>2.3880238572739136E-4</v>
      </c>
      <c r="K75" s="575">
        <f t="shared" ca="1" si="18"/>
        <v>2.3880238572739136E-4</v>
      </c>
      <c r="L75" s="575">
        <f t="shared" ca="1" si="18"/>
        <v>2.3880238572739136E-4</v>
      </c>
      <c r="M75" s="574" t="s">
        <v>336</v>
      </c>
      <c r="N75" s="133">
        <f t="shared" ca="1" si="19"/>
        <v>2.3880238572739136E-4</v>
      </c>
      <c r="O75" s="133">
        <f t="shared" ca="1" si="19"/>
        <v>2.3880238572739136E-4</v>
      </c>
      <c r="P75" s="551" t="s">
        <v>336</v>
      </c>
      <c r="Q75" s="573">
        <f t="shared" ca="1" si="20"/>
        <v>765.70125702405028</v>
      </c>
      <c r="R75" s="573">
        <f t="shared" ca="1" si="20"/>
        <v>765.70125702405028</v>
      </c>
      <c r="S75" s="573">
        <f t="shared" ca="1" si="20"/>
        <v>765.70125702405028</v>
      </c>
      <c r="T75" s="572" t="s">
        <v>336</v>
      </c>
      <c r="U75" s="45">
        <f t="shared" ca="1" si="21"/>
        <v>765.70125702405028</v>
      </c>
      <c r="V75" s="45">
        <f t="shared" ca="1" si="21"/>
        <v>765.70125702405028</v>
      </c>
      <c r="W75" s="551" t="s">
        <v>336</v>
      </c>
    </row>
    <row r="76" spans="1:23" x14ac:dyDescent="0.25">
      <c r="A76" s="812" t="str">
        <f t="shared" si="22"/>
        <v>NP</v>
      </c>
      <c r="B76" s="812" t="s">
        <v>151</v>
      </c>
      <c r="C76" s="133">
        <f t="shared" ref="C76:E79" ca="1" si="23">C22*C$33/C$26</f>
        <v>3.7773704178996163E-2</v>
      </c>
      <c r="D76" s="575">
        <f t="shared" ca="1" si="23"/>
        <v>3.7773704178996163E-2</v>
      </c>
      <c r="E76" s="575">
        <f t="shared" ca="1" si="23"/>
        <v>3.7773704178996163E-2</v>
      </c>
      <c r="F76" s="574" t="s">
        <v>336</v>
      </c>
      <c r="G76" s="133">
        <f t="shared" ref="G76:H79" ca="1" si="24">G22*G$33/G$26</f>
        <v>3.7773704178996163E-2</v>
      </c>
      <c r="H76" s="133">
        <f t="shared" ca="1" si="24"/>
        <v>3.7773704178996163E-2</v>
      </c>
      <c r="I76" s="551" t="s">
        <v>336</v>
      </c>
      <c r="J76" s="575">
        <f t="shared" ref="J76:L79" ca="1" si="25">J22*J$33/J$26</f>
        <v>3.2116191782066102E-2</v>
      </c>
      <c r="K76" s="575">
        <f t="shared" ca="1" si="25"/>
        <v>3.2116191782066102E-2</v>
      </c>
      <c r="L76" s="575">
        <f t="shared" ca="1" si="25"/>
        <v>3.2116191782066102E-2</v>
      </c>
      <c r="M76" s="574" t="s">
        <v>336</v>
      </c>
      <c r="N76" s="133">
        <f t="shared" ref="N76:O79" ca="1" si="26">N22*N$33/N$26</f>
        <v>3.2116191782066102E-2</v>
      </c>
      <c r="O76" s="133">
        <f t="shared" ca="1" si="26"/>
        <v>3.2116191782066102E-2</v>
      </c>
      <c r="P76" s="551" t="s">
        <v>336</v>
      </c>
      <c r="Q76" s="573">
        <f t="shared" ref="Q76:S79" ca="1" si="27">Q22*Q$33/Q$26</f>
        <v>99.492556180839401</v>
      </c>
      <c r="R76" s="573">
        <f t="shared" ca="1" si="27"/>
        <v>99.492556180839401</v>
      </c>
      <c r="S76" s="573">
        <f t="shared" ca="1" si="27"/>
        <v>99.492556180839401</v>
      </c>
      <c r="T76" s="572" t="s">
        <v>336</v>
      </c>
      <c r="U76" s="45">
        <f t="shared" ref="U76:V79" ca="1" si="28">U22*U$33/U$26</f>
        <v>99.492556180839401</v>
      </c>
      <c r="V76" s="45">
        <f t="shared" ca="1" si="28"/>
        <v>99.492556180839401</v>
      </c>
      <c r="W76" s="551" t="s">
        <v>336</v>
      </c>
    </row>
    <row r="77" spans="1:23" x14ac:dyDescent="0.25">
      <c r="A77" s="812" t="str">
        <f t="shared" si="22"/>
        <v>NP</v>
      </c>
      <c r="B77" s="812" t="s">
        <v>152</v>
      </c>
      <c r="C77" s="133">
        <f t="shared" ca="1" si="23"/>
        <v>1.0806883132627646E-4</v>
      </c>
      <c r="D77" s="575">
        <f t="shared" ca="1" si="23"/>
        <v>1.0806883132627646E-4</v>
      </c>
      <c r="E77" s="575">
        <f t="shared" ca="1" si="23"/>
        <v>1.0806883132627646E-4</v>
      </c>
      <c r="F77" s="574" t="s">
        <v>336</v>
      </c>
      <c r="G77" s="133">
        <f t="shared" ca="1" si="24"/>
        <v>1.0806883132627646E-4</v>
      </c>
      <c r="H77" s="133">
        <f t="shared" ca="1" si="24"/>
        <v>1.0806883132627646E-4</v>
      </c>
      <c r="I77" s="551" t="s">
        <v>336</v>
      </c>
      <c r="J77" s="575">
        <f t="shared" ca="1" si="25"/>
        <v>9.1882948415430838E-5</v>
      </c>
      <c r="K77" s="575">
        <f t="shared" ca="1" si="25"/>
        <v>9.1882948415430838E-5</v>
      </c>
      <c r="L77" s="575">
        <f t="shared" ca="1" si="25"/>
        <v>9.1882948415430838E-5</v>
      </c>
      <c r="M77" s="574" t="s">
        <v>336</v>
      </c>
      <c r="N77" s="133">
        <f t="shared" ca="1" si="26"/>
        <v>9.1882948415430838E-5</v>
      </c>
      <c r="O77" s="133">
        <f t="shared" ca="1" si="26"/>
        <v>9.1882948415430838E-5</v>
      </c>
      <c r="P77" s="551" t="s">
        <v>336</v>
      </c>
      <c r="Q77" s="573">
        <f t="shared" ca="1" si="27"/>
        <v>4.3031941007394128</v>
      </c>
      <c r="R77" s="573">
        <f t="shared" ca="1" si="27"/>
        <v>4.3031941007394128</v>
      </c>
      <c r="S77" s="573">
        <f t="shared" ca="1" si="27"/>
        <v>4.3031941007394128</v>
      </c>
      <c r="T77" s="572" t="s">
        <v>336</v>
      </c>
      <c r="U77" s="45">
        <f t="shared" ca="1" si="28"/>
        <v>4.3031941007394128</v>
      </c>
      <c r="V77" s="45">
        <f t="shared" ca="1" si="28"/>
        <v>4.3031941007394128</v>
      </c>
      <c r="W77" s="551" t="s">
        <v>336</v>
      </c>
    </row>
    <row r="78" spans="1:23" x14ac:dyDescent="0.25">
      <c r="A78" s="812" t="str">
        <f t="shared" si="22"/>
        <v>NP</v>
      </c>
      <c r="B78" s="812" t="s">
        <v>153</v>
      </c>
      <c r="C78" s="133">
        <f t="shared" ca="1" si="23"/>
        <v>1.0585747550933603E-4</v>
      </c>
      <c r="D78" s="575">
        <f t="shared" ca="1" si="23"/>
        <v>1.0585747550933603E-4</v>
      </c>
      <c r="E78" s="575">
        <f t="shared" ca="1" si="23"/>
        <v>1.0585747550933603E-4</v>
      </c>
      <c r="F78" s="574" t="s">
        <v>336</v>
      </c>
      <c r="G78" s="133">
        <f t="shared" ca="1" si="24"/>
        <v>1.0585747550933603E-4</v>
      </c>
      <c r="H78" s="133">
        <f t="shared" ca="1" si="24"/>
        <v>1.0585747550933603E-4</v>
      </c>
      <c r="I78" s="551" t="s">
        <v>336</v>
      </c>
      <c r="J78" s="575">
        <f t="shared" ca="1" si="25"/>
        <v>2.2618199178920272E-6</v>
      </c>
      <c r="K78" s="575">
        <f t="shared" ca="1" si="25"/>
        <v>2.2618199178920272E-6</v>
      </c>
      <c r="L78" s="575">
        <f t="shared" ca="1" si="25"/>
        <v>2.2618199178920272E-6</v>
      </c>
      <c r="M78" s="574" t="s">
        <v>336</v>
      </c>
      <c r="N78" s="133">
        <f t="shared" ca="1" si="26"/>
        <v>2.2618199178920272E-6</v>
      </c>
      <c r="O78" s="133">
        <f t="shared" ca="1" si="26"/>
        <v>2.2618199178920272E-6</v>
      </c>
      <c r="P78" s="551" t="s">
        <v>336</v>
      </c>
      <c r="Q78" s="573">
        <f t="shared" ca="1" si="27"/>
        <v>2.245383871350449</v>
      </c>
      <c r="R78" s="573">
        <f t="shared" ca="1" si="27"/>
        <v>2.245383871350449</v>
      </c>
      <c r="S78" s="573">
        <f t="shared" ca="1" si="27"/>
        <v>2.245383871350449</v>
      </c>
      <c r="T78" s="572" t="s">
        <v>336</v>
      </c>
      <c r="U78" s="45">
        <f t="shared" ca="1" si="28"/>
        <v>2.245383871350449</v>
      </c>
      <c r="V78" s="45">
        <f t="shared" ca="1" si="28"/>
        <v>2.245383871350449</v>
      </c>
      <c r="W78" s="551" t="s">
        <v>336</v>
      </c>
    </row>
    <row r="79" spans="1:23" ht="15.75" thickBot="1" x14ac:dyDescent="0.3">
      <c r="A79" s="6" t="str">
        <f>A76</f>
        <v>NP</v>
      </c>
      <c r="B79" s="6" t="s">
        <v>154</v>
      </c>
      <c r="C79" s="544">
        <f t="shared" ca="1" si="23"/>
        <v>9.7182537796413303E-4</v>
      </c>
      <c r="D79" s="571">
        <f t="shared" ca="1" si="23"/>
        <v>9.7182537796413303E-4</v>
      </c>
      <c r="E79" s="571">
        <f t="shared" ca="1" si="23"/>
        <v>9.7182537796413303E-4</v>
      </c>
      <c r="F79" s="570" t="s">
        <v>336</v>
      </c>
      <c r="G79" s="544">
        <f t="shared" ca="1" si="24"/>
        <v>9.7182537796413303E-4</v>
      </c>
      <c r="H79" s="544">
        <f t="shared" ca="1" si="24"/>
        <v>9.7182537796413303E-4</v>
      </c>
      <c r="I79" s="542" t="s">
        <v>336</v>
      </c>
      <c r="J79" s="571">
        <f t="shared" ca="1" si="25"/>
        <v>5.0422855495107438E-3</v>
      </c>
      <c r="K79" s="571">
        <f t="shared" ca="1" si="25"/>
        <v>5.0422855495107438E-3</v>
      </c>
      <c r="L79" s="571">
        <f t="shared" ca="1" si="25"/>
        <v>5.0422855495107438E-3</v>
      </c>
      <c r="M79" s="570" t="s">
        <v>336</v>
      </c>
      <c r="N79" s="544">
        <f t="shared" ca="1" si="26"/>
        <v>5.0422855495107438E-3</v>
      </c>
      <c r="O79" s="544">
        <f t="shared" ca="1" si="26"/>
        <v>5.0422855495107438E-3</v>
      </c>
      <c r="P79" s="542" t="s">
        <v>336</v>
      </c>
      <c r="Q79" s="569">
        <f t="shared" ca="1" si="27"/>
        <v>35.808793149804785</v>
      </c>
      <c r="R79" s="569">
        <f t="shared" ca="1" si="27"/>
        <v>35.808793149804785</v>
      </c>
      <c r="S79" s="569">
        <f t="shared" ca="1" si="27"/>
        <v>35.808793149804785</v>
      </c>
      <c r="T79" s="568" t="s">
        <v>336</v>
      </c>
      <c r="U79" s="567">
        <f t="shared" ca="1" si="28"/>
        <v>35.808793149804785</v>
      </c>
      <c r="V79" s="567">
        <f t="shared" ca="1" si="28"/>
        <v>35.808793149804785</v>
      </c>
      <c r="W79" s="542" t="s">
        <v>336</v>
      </c>
    </row>
    <row r="80" spans="1:23" ht="15.75" thickTop="1" x14ac:dyDescent="0.25">
      <c r="C80" s="137">
        <f ca="1">SUM(C40:C79)</f>
        <v>2.0375230824562425</v>
      </c>
      <c r="D80" s="137">
        <f ca="1">SUM(D40:D79)</f>
        <v>2.0375230824562425</v>
      </c>
      <c r="E80" s="137">
        <f ca="1">SUM(E40:E79)</f>
        <v>2.0375230824562425</v>
      </c>
      <c r="F80" s="566" t="s">
        <v>336</v>
      </c>
      <c r="G80" s="137">
        <f ca="1">SUM(G40:G79)</f>
        <v>2.0375230824562425</v>
      </c>
      <c r="H80" s="137">
        <f ca="1">SUM(H40:H79)</f>
        <v>2.0375230824562425</v>
      </c>
      <c r="I80" s="566" t="s">
        <v>336</v>
      </c>
      <c r="J80" s="137">
        <f ca="1">SUM(J40:J79)</f>
        <v>3.0244548522905226</v>
      </c>
      <c r="K80" s="137">
        <f ca="1">SUM(K40:K79)</f>
        <v>3.0244548522905226</v>
      </c>
      <c r="L80" s="137">
        <f ca="1">SUM(L40:L79)</f>
        <v>3.0244548522905226</v>
      </c>
      <c r="M80" s="566" t="s">
        <v>336</v>
      </c>
      <c r="N80" s="137">
        <f ca="1">SUM(N40:N79)</f>
        <v>3.0244548522905226</v>
      </c>
      <c r="O80" s="137">
        <f ca="1">SUM(O40:O79)</f>
        <v>3.0244548522905226</v>
      </c>
      <c r="P80" s="566" t="s">
        <v>336</v>
      </c>
      <c r="Q80" s="87">
        <f ca="1">SUM(Q40:Q79)</f>
        <v>38437.208969925865</v>
      </c>
      <c r="R80" s="87">
        <f ca="1">SUM(R40:R79)</f>
        <v>38437.208969925865</v>
      </c>
      <c r="S80" s="87">
        <f ca="1">SUM(S40:S79)</f>
        <v>38437.208969925865</v>
      </c>
      <c r="T80" s="566" t="s">
        <v>336</v>
      </c>
      <c r="U80" s="87">
        <f ca="1">SUM(U40:U79)</f>
        <v>38437.208969925865</v>
      </c>
      <c r="V80" s="87">
        <f ca="1">SUM(V40:V79)</f>
        <v>38437.208969925865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7.0639643556500473E-2</v>
      </c>
      <c r="N91" s="557" t="s">
        <v>336</v>
      </c>
      <c r="O91" s="559">
        <f t="shared" ref="O91:P100" ca="1" si="35">(1-$N$84)*(1-G91)*G60</f>
        <v>0</v>
      </c>
      <c r="P91" s="559">
        <f t="shared" ca="1" si="35"/>
        <v>7.7103482012667243E-2</v>
      </c>
      <c r="Q91" s="557" t="s">
        <v>336</v>
      </c>
      <c r="R91" s="558">
        <f t="shared" ref="R91:S100" ca="1" si="36">(1-$N$84)*(1-D91)*D40/$J91</f>
        <v>0</v>
      </c>
      <c r="S91" s="558">
        <f t="shared" ca="1" si="36"/>
        <v>1.0384310318967599E-5</v>
      </c>
      <c r="T91" s="557" t="s">
        <v>336</v>
      </c>
      <c r="U91" s="558">
        <f t="shared" ref="U91:V100" ca="1" si="37">(1-$N$84)*(1-G91)*G60/$J91</f>
        <v>0</v>
      </c>
      <c r="V91" s="558">
        <f t="shared" ca="1" si="37"/>
        <v>1.1334520441797917E-5</v>
      </c>
      <c r="W91" s="557" t="s">
        <v>336</v>
      </c>
      <c r="X91" s="559">
        <f t="shared" ref="X91:Y100" ca="1" si="38">(1-$N$84)*(1-D91)*K40</f>
        <v>0</v>
      </c>
      <c r="Y91" s="559">
        <f t="shared" ca="1" si="38"/>
        <v>9.7013091529945042E-4</v>
      </c>
      <c r="Z91" s="557" t="s">
        <v>336</v>
      </c>
      <c r="AA91" s="559">
        <f t="shared" ref="AA91:AB100" ca="1" si="39">(1-$N$84)*(1-G91)*N60</f>
        <v>0</v>
      </c>
      <c r="AB91" s="559">
        <f t="shared" ca="1" si="39"/>
        <v>6.5111272405388762E-4</v>
      </c>
      <c r="AC91" s="557" t="s">
        <v>336</v>
      </c>
      <c r="AD91" s="558">
        <f t="shared" ref="AD91:AE110" ca="1" si="40">(1-$N$84)*(1-D91)*K40/$K91</f>
        <v>0</v>
      </c>
      <c r="AE91" s="558">
        <f t="shared" ca="1" si="40"/>
        <v>7.8087057271846512E-4</v>
      </c>
      <c r="AF91" s="557" t="s">
        <v>336</v>
      </c>
      <c r="AG91" s="558">
        <f t="shared" ref="AG91:AH100" ca="1" si="41">(1-$N$84)*(1-G91)*N60/$K91</f>
        <v>0</v>
      </c>
      <c r="AH91" s="558">
        <f t="shared" ca="1" si="41"/>
        <v>5.2408881906345663E-4</v>
      </c>
      <c r="AI91" s="557" t="s">
        <v>336</v>
      </c>
      <c r="AJ91" s="507">
        <f t="shared" ref="AJ91:AK110" ca="1" si="42">L91-R91</f>
        <v>0</v>
      </c>
      <c r="AK91" s="507">
        <f t="shared" ca="1" si="42"/>
        <v>7.0629259246181506E-2</v>
      </c>
      <c r="AL91" s="507">
        <f t="shared" ref="AL91:AM110" ca="1" si="43">O91-U91</f>
        <v>0</v>
      </c>
      <c r="AM91" s="507">
        <f t="shared" ca="1" si="43"/>
        <v>7.7092147492225441E-2</v>
      </c>
      <c r="AN91" s="507">
        <f t="shared" ref="AN91:AO110" ca="1" si="44">X91-AD91</f>
        <v>0</v>
      </c>
      <c r="AO91" s="507">
        <f t="shared" ca="1" si="44"/>
        <v>1.892603425809853E-4</v>
      </c>
      <c r="AP91" s="507">
        <f t="shared" ref="AP91:AQ110" ca="1" si="45">AA91-AG91</f>
        <v>0</v>
      </c>
      <c r="AQ91" s="507">
        <f t="shared" ca="1" si="45"/>
        <v>1.2702390499043099E-4</v>
      </c>
      <c r="AR91" s="812" t="s">
        <v>137</v>
      </c>
      <c r="AS91" s="812">
        <v>2104008100</v>
      </c>
      <c r="AT91" s="507">
        <f t="shared" ref="AT91:AU100" ca="1" si="46">AJ91/$C40</f>
        <v>0</v>
      </c>
      <c r="AU91" s="507">
        <f t="shared" ca="1" si="46"/>
        <v>0.28795766284735752</v>
      </c>
      <c r="AV91" s="507">
        <f t="shared" ref="AV91:AW100" ca="1" si="47">AL91/$C60</f>
        <v>0</v>
      </c>
      <c r="AW91" s="507">
        <f t="shared" ca="1" si="47"/>
        <v>0.28795766284735752</v>
      </c>
      <c r="AX91" s="507">
        <f t="shared" ref="AX91:AY100" ca="1" si="48">AN91/$J40</f>
        <v>0</v>
      </c>
      <c r="AY91" s="507">
        <f t="shared" ca="1" si="48"/>
        <v>5.6185178519436309E-2</v>
      </c>
      <c r="AZ91" s="507">
        <f t="shared" ref="AZ91:BA100" ca="1" si="49">AP91/$J60</f>
        <v>0</v>
      </c>
      <c r="BA91" s="507">
        <f t="shared" ca="1" si="49"/>
        <v>5.6185178519436281E-2</v>
      </c>
      <c r="BB91" s="550">
        <f ca="1">1-((1-AT91))</f>
        <v>0</v>
      </c>
      <c r="BC91" s="550">
        <f ca="1">1-((1-AU91))</f>
        <v>0.28795766284735747</v>
      </c>
      <c r="BD91" s="550">
        <f ca="1">1-((1-AX91))</f>
        <v>0</v>
      </c>
      <c r="BE91" s="550">
        <f ca="1">1-((1-AY91))</f>
        <v>5.6185178519436274E-2</v>
      </c>
    </row>
    <row r="92" spans="1:57" x14ac:dyDescent="0.25">
      <c r="A92" s="60">
        <f t="shared" si="29"/>
        <v>0.4</v>
      </c>
      <c r="B92" s="812"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5.5131657513700187E-3</v>
      </c>
      <c r="M92" s="559">
        <f t="shared" ca="1" si="34"/>
        <v>5.5131657513700187E-3</v>
      </c>
      <c r="N92" s="557" t="s">
        <v>336</v>
      </c>
      <c r="O92" s="559">
        <f t="shared" ca="1" si="35"/>
        <v>6.0176446955541559E-3</v>
      </c>
      <c r="P92" s="559">
        <f t="shared" ca="1" si="35"/>
        <v>6.0176446955541559E-3</v>
      </c>
      <c r="Q92" s="557" t="s">
        <v>336</v>
      </c>
      <c r="R92" s="558">
        <f t="shared" ca="1" si="36"/>
        <v>5.2365690181715818E-6</v>
      </c>
      <c r="S92" s="558">
        <f t="shared" ca="1" si="36"/>
        <v>5.2365690181715818E-6</v>
      </c>
      <c r="T92" s="557" t="s">
        <v>336</v>
      </c>
      <c r="U92" s="558">
        <f t="shared" ca="1" si="37"/>
        <v>5.7157381432388075E-6</v>
      </c>
      <c r="V92" s="558">
        <f t="shared" ca="1" si="37"/>
        <v>5.7157381432388075E-6</v>
      </c>
      <c r="W92" s="557" t="s">
        <v>336</v>
      </c>
      <c r="X92" s="559">
        <f t="shared" ca="1" si="38"/>
        <v>8.5612576497830098E-5</v>
      </c>
      <c r="Y92" s="559">
        <f t="shared" ca="1" si="38"/>
        <v>8.5612576497830098E-5</v>
      </c>
      <c r="Z92" s="557" t="s">
        <v>336</v>
      </c>
      <c r="AA92" s="559">
        <f t="shared" ca="1" si="39"/>
        <v>5.7459706744390929E-5</v>
      </c>
      <c r="AB92" s="559">
        <f t="shared" ca="1" si="39"/>
        <v>5.7459706744390929E-5</v>
      </c>
      <c r="AC92" s="557" t="s">
        <v>336</v>
      </c>
      <c r="AD92" s="558">
        <f t="shared" ca="1" si="40"/>
        <v>3.9377508208999188E-4</v>
      </c>
      <c r="AE92" s="558">
        <f t="shared" ca="1" si="40"/>
        <v>3.9377508208999188E-4</v>
      </c>
      <c r="AF92" s="557" t="s">
        <v>336</v>
      </c>
      <c r="AG92" s="558">
        <f t="shared" ca="1" si="41"/>
        <v>2.6428594566024852E-4</v>
      </c>
      <c r="AH92" s="558">
        <f t="shared" ca="1" si="41"/>
        <v>2.6428594566024852E-4</v>
      </c>
      <c r="AI92" s="557" t="s">
        <v>336</v>
      </c>
      <c r="AJ92" s="507">
        <f t="shared" ca="1" si="42"/>
        <v>5.5079291823518471E-3</v>
      </c>
      <c r="AK92" s="507">
        <f t="shared" ca="1" si="42"/>
        <v>5.5079291823518471E-3</v>
      </c>
      <c r="AL92" s="507">
        <f t="shared" ca="1" si="43"/>
        <v>6.0119289574109168E-3</v>
      </c>
      <c r="AM92" s="507">
        <f t="shared" ca="1" si="43"/>
        <v>6.0119289574109168E-3</v>
      </c>
      <c r="AN92" s="507">
        <f t="shared" ca="1" si="44"/>
        <v>-3.0816250559216179E-4</v>
      </c>
      <c r="AO92" s="507">
        <f t="shared" ca="1" si="44"/>
        <v>-3.0816250559216179E-4</v>
      </c>
      <c r="AP92" s="507">
        <f t="shared" ca="1" si="45"/>
        <v>-2.068262389158576E-4</v>
      </c>
      <c r="AQ92" s="507">
        <f t="shared" ca="1" si="45"/>
        <v>-2.068262389158576E-4</v>
      </c>
      <c r="AR92" s="812" t="s">
        <v>138</v>
      </c>
      <c r="AS92" s="812">
        <v>2104008210</v>
      </c>
      <c r="AT92" s="507">
        <f t="shared" ca="1" si="46"/>
        <v>0.28772644902307565</v>
      </c>
      <c r="AU92" s="507">
        <f t="shared" ca="1" si="46"/>
        <v>0.28772644902307565</v>
      </c>
      <c r="AV92" s="507">
        <f t="shared" ca="1" si="47"/>
        <v>0.28772644902307565</v>
      </c>
      <c r="AW92" s="507">
        <f t="shared" ca="1" si="47"/>
        <v>0.28772644902307565</v>
      </c>
      <c r="AX92" s="507">
        <f t="shared" ca="1" si="48"/>
        <v>-1.0366561227460787</v>
      </c>
      <c r="AY92" s="507">
        <f t="shared" ca="1" si="48"/>
        <v>-1.0366561227460787</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-1.0366561227460789</v>
      </c>
      <c r="BE92" s="550">
        <f t="shared" ca="1" si="51"/>
        <v>-1.0366561227460789</v>
      </c>
    </row>
    <row r="93" spans="1:57" x14ac:dyDescent="0.25">
      <c r="A93" s="60">
        <f t="shared" si="29"/>
        <v>0.66</v>
      </c>
      <c r="B93" s="812"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4.6686813785820902E-3</v>
      </c>
      <c r="M93" s="559">
        <f t="shared" ca="1" si="34"/>
        <v>4.5519643441175378E-3</v>
      </c>
      <c r="N93" s="557" t="s">
        <v>336</v>
      </c>
      <c r="O93" s="559">
        <f t="shared" ca="1" si="35"/>
        <v>5.0958862838606867E-3</v>
      </c>
      <c r="P93" s="559">
        <f t="shared" ca="1" si="35"/>
        <v>4.9684891267641699E-3</v>
      </c>
      <c r="Q93" s="557" t="s">
        <v>336</v>
      </c>
      <c r="R93" s="558">
        <f t="shared" ca="1" si="36"/>
        <v>1.8657959362124929E-5</v>
      </c>
      <c r="S93" s="558">
        <f t="shared" ca="1" si="36"/>
        <v>1.8191510378071808E-5</v>
      </c>
      <c r="T93" s="557" t="s">
        <v>336</v>
      </c>
      <c r="U93" s="558">
        <f t="shared" ca="1" si="37"/>
        <v>2.0365244806480797E-5</v>
      </c>
      <c r="V93" s="558">
        <f t="shared" ca="1" si="37"/>
        <v>1.9856113686318779E-5</v>
      </c>
      <c r="W93" s="557" t="s">
        <v>336</v>
      </c>
      <c r="X93" s="559">
        <f t="shared" ca="1" si="38"/>
        <v>1.848719124760125E-4</v>
      </c>
      <c r="Y93" s="559">
        <f t="shared" ca="1" si="38"/>
        <v>1.8025011466411218E-4</v>
      </c>
      <c r="Z93" s="557" t="s">
        <v>336</v>
      </c>
      <c r="AA93" s="559">
        <f t="shared" ca="1" si="39"/>
        <v>1.2407856778397065E-4</v>
      </c>
      <c r="AB93" s="559">
        <f t="shared" ca="1" si="39"/>
        <v>1.2097660358937137E-4</v>
      </c>
      <c r="AC93" s="557" t="s">
        <v>336</v>
      </c>
      <c r="AD93" s="558">
        <f t="shared" ca="1" si="40"/>
        <v>1.4030254263731239E-3</v>
      </c>
      <c r="AE93" s="558">
        <f t="shared" ca="1" si="40"/>
        <v>1.3679497907137957E-3</v>
      </c>
      <c r="AF93" s="557" t="s">
        <v>336</v>
      </c>
      <c r="AG93" s="558">
        <f t="shared" ca="1" si="41"/>
        <v>9.4165405191802684E-4</v>
      </c>
      <c r="AH93" s="558">
        <f t="shared" ca="1" si="41"/>
        <v>9.1811270062007596E-4</v>
      </c>
      <c r="AI93" s="557" t="s">
        <v>336</v>
      </c>
      <c r="AJ93" s="507">
        <f t="shared" ca="1" si="42"/>
        <v>4.6500234192199657E-3</v>
      </c>
      <c r="AK93" s="507">
        <f t="shared" ca="1" si="42"/>
        <v>4.5337728337394656E-3</v>
      </c>
      <c r="AL93" s="507">
        <f t="shared" ca="1" si="43"/>
        <v>5.0755210390542056E-3</v>
      </c>
      <c r="AM93" s="507">
        <f t="shared" ca="1" si="43"/>
        <v>4.9486330130778513E-3</v>
      </c>
      <c r="AN93" s="507">
        <f t="shared" ca="1" si="44"/>
        <v>-1.2181535138971113E-3</v>
      </c>
      <c r="AO93" s="507">
        <f t="shared" ca="1" si="44"/>
        <v>-1.1876996760496834E-3</v>
      </c>
      <c r="AP93" s="507">
        <f t="shared" ca="1" si="45"/>
        <v>-8.1757548413405616E-4</v>
      </c>
      <c r="AQ93" s="507">
        <f t="shared" ca="1" si="45"/>
        <v>-7.9713609703070459E-4</v>
      </c>
      <c r="AR93" s="812" t="s">
        <v>139</v>
      </c>
      <c r="AS93" s="812">
        <v>2104008220</v>
      </c>
      <c r="AT93" s="507">
        <f t="shared" ca="1" si="46"/>
        <v>0.29420413770727244</v>
      </c>
      <c r="AU93" s="507">
        <f t="shared" ca="1" si="46"/>
        <v>0.28684903426459057</v>
      </c>
      <c r="AV93" s="507">
        <f t="shared" ca="1" si="47"/>
        <v>0.29420413770727238</v>
      </c>
      <c r="AW93" s="507">
        <f t="shared" ca="1" si="47"/>
        <v>0.28684903426459063</v>
      </c>
      <c r="AX93" s="507">
        <f t="shared" ca="1" si="48"/>
        <v>-1.9463411308010559</v>
      </c>
      <c r="AY93" s="507">
        <f t="shared" ca="1" si="48"/>
        <v>-1.8976826025310294</v>
      </c>
      <c r="AZ93" s="507">
        <f t="shared" ca="1" si="49"/>
        <v>-1.9463411308010563</v>
      </c>
      <c r="BA93" s="507">
        <f t="shared" ca="1" si="49"/>
        <v>-1.8976826025310294</v>
      </c>
      <c r="BB93" s="550">
        <f t="shared" ca="1" si="50"/>
        <v>0.29420413770727238</v>
      </c>
      <c r="BC93" s="550">
        <f t="shared" ca="1" si="50"/>
        <v>0.28684903426459063</v>
      </c>
      <c r="BD93" s="550">
        <f t="shared" ca="1" si="51"/>
        <v>-1.9463411308010556</v>
      </c>
      <c r="BE93" s="550">
        <f t="shared" ca="1" si="51"/>
        <v>-1.8976826025310292</v>
      </c>
    </row>
    <row r="94" spans="1:57" x14ac:dyDescent="0.25">
      <c r="A94" s="60">
        <f t="shared" si="29"/>
        <v>0.7</v>
      </c>
      <c r="B94" s="812"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3.0451286899021352E-3</v>
      </c>
      <c r="M94" s="559">
        <f t="shared" ca="1" si="34"/>
        <v>2.969000472654582E-3</v>
      </c>
      <c r="N94" s="557" t="s">
        <v>336</v>
      </c>
      <c r="O94" s="559">
        <f t="shared" ca="1" si="35"/>
        <v>3.3237713746436396E-3</v>
      </c>
      <c r="P94" s="559">
        <f t="shared" ca="1" si="35"/>
        <v>3.2406770902775489E-3</v>
      </c>
      <c r="Q94" s="557" t="s">
        <v>336</v>
      </c>
      <c r="R94" s="558">
        <f t="shared" ca="1" si="36"/>
        <v>1.1914273248798877E-5</v>
      </c>
      <c r="S94" s="558">
        <f t="shared" ca="1" si="36"/>
        <v>1.1616416417578906E-5</v>
      </c>
      <c r="T94" s="557" t="s">
        <v>336</v>
      </c>
      <c r="U94" s="558">
        <f t="shared" ca="1" si="37"/>
        <v>1.3004481717097107E-5</v>
      </c>
      <c r="V94" s="558">
        <f t="shared" ca="1" si="37"/>
        <v>1.267936967416968E-5</v>
      </c>
      <c r="W94" s="557" t="s">
        <v>336</v>
      </c>
      <c r="X94" s="559">
        <f t="shared" ca="1" si="38"/>
        <v>1.1130642726337691E-4</v>
      </c>
      <c r="Y94" s="559">
        <f t="shared" ca="1" si="38"/>
        <v>1.0852376658179249E-4</v>
      </c>
      <c r="Z94" s="557" t="s">
        <v>336</v>
      </c>
      <c r="AA94" s="559">
        <f t="shared" ca="1" si="39"/>
        <v>7.4704382591284576E-5</v>
      </c>
      <c r="AB94" s="559">
        <f t="shared" ca="1" si="39"/>
        <v>7.2836773026502461E-5</v>
      </c>
      <c r="AC94" s="557" t="s">
        <v>336</v>
      </c>
      <c r="AD94" s="558">
        <f t="shared" ca="1" si="40"/>
        <v>8.9591942936455087E-4</v>
      </c>
      <c r="AE94" s="558">
        <f t="shared" ca="1" si="40"/>
        <v>8.7352144363043711E-4</v>
      </c>
      <c r="AF94" s="557" t="s">
        <v>336</v>
      </c>
      <c r="AG94" s="558">
        <f t="shared" ca="1" si="41"/>
        <v>6.0130496924355433E-4</v>
      </c>
      <c r="AH94" s="558">
        <f t="shared" ca="1" si="41"/>
        <v>5.8627234501246542E-4</v>
      </c>
      <c r="AI94" s="557" t="s">
        <v>336</v>
      </c>
      <c r="AJ94" s="507">
        <f t="shared" ca="1" si="42"/>
        <v>3.0332144166533362E-3</v>
      </c>
      <c r="AK94" s="507">
        <f t="shared" ca="1" si="42"/>
        <v>2.9573840562370029E-3</v>
      </c>
      <c r="AL94" s="507">
        <f t="shared" ca="1" si="43"/>
        <v>3.3107668929265423E-3</v>
      </c>
      <c r="AM94" s="507">
        <f t="shared" ca="1" si="43"/>
        <v>3.2279977206033793E-3</v>
      </c>
      <c r="AN94" s="507">
        <f t="shared" ca="1" si="44"/>
        <v>-7.8461300210117392E-4</v>
      </c>
      <c r="AO94" s="507">
        <f t="shared" ca="1" si="44"/>
        <v>-7.6499767704864459E-4</v>
      </c>
      <c r="AP94" s="507">
        <f t="shared" ca="1" si="45"/>
        <v>-5.2660058665226974E-4</v>
      </c>
      <c r="AQ94" s="507">
        <f t="shared" ca="1" si="45"/>
        <v>-5.1343557198596295E-4</v>
      </c>
      <c r="AR94" s="812" t="s">
        <v>140</v>
      </c>
      <c r="AS94" s="812">
        <v>2104008230</v>
      </c>
      <c r="AT94" s="507">
        <f t="shared" ca="1" si="46"/>
        <v>0.29422890297323068</v>
      </c>
      <c r="AU94" s="507">
        <f t="shared" ca="1" si="46"/>
        <v>0.28687318039889992</v>
      </c>
      <c r="AV94" s="507">
        <f t="shared" ca="1" si="47"/>
        <v>0.29422890297323062</v>
      </c>
      <c r="AW94" s="507">
        <f t="shared" ca="1" si="47"/>
        <v>0.28687318039889992</v>
      </c>
      <c r="AX94" s="507">
        <f t="shared" ca="1" si="48"/>
        <v>-2.0822032972365507</v>
      </c>
      <c r="AY94" s="507">
        <f t="shared" ca="1" si="48"/>
        <v>-2.0301482148056373</v>
      </c>
      <c r="AZ94" s="507">
        <f t="shared" ca="1" si="49"/>
        <v>-2.0822032972365512</v>
      </c>
      <c r="BA94" s="507">
        <f t="shared" ca="1" si="49"/>
        <v>-2.0301482148056369</v>
      </c>
      <c r="BB94" s="550">
        <f t="shared" ca="1" si="50"/>
        <v>0.29422890297323068</v>
      </c>
      <c r="BC94" s="550">
        <f t="shared" ca="1" si="50"/>
        <v>0.28687318039889997</v>
      </c>
      <c r="BD94" s="550">
        <f t="shared" ca="1" si="51"/>
        <v>-2.0822032972365507</v>
      </c>
      <c r="BE94" s="550">
        <f t="shared" ca="1" si="51"/>
        <v>-2.0301482148056373</v>
      </c>
    </row>
    <row r="95" spans="1:57" x14ac:dyDescent="0.25">
      <c r="A95" s="60">
        <f t="shared" si="29"/>
        <v>0.54</v>
      </c>
      <c r="B95" s="812"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4.4395942592970437E-2</v>
      </c>
      <c r="M95" s="559">
        <f t="shared" ca="1" si="34"/>
        <v>4.4395942592970437E-2</v>
      </c>
      <c r="N95" s="557" t="s">
        <v>336</v>
      </c>
      <c r="O95" s="559">
        <f t="shared" ca="1" si="35"/>
        <v>4.8458366843464933E-2</v>
      </c>
      <c r="P95" s="559">
        <f t="shared" ca="1" si="35"/>
        <v>4.8458366843464933E-2</v>
      </c>
      <c r="Q95" s="557" t="s">
        <v>336</v>
      </c>
      <c r="R95" s="558">
        <f t="shared" ca="1" si="36"/>
        <v>1.4346731775613666E-4</v>
      </c>
      <c r="S95" s="558">
        <f t="shared" ca="1" si="36"/>
        <v>1.4346731775613666E-4</v>
      </c>
      <c r="T95" s="557" t="s">
        <v>336</v>
      </c>
      <c r="U95" s="558">
        <f t="shared" ca="1" si="37"/>
        <v>1.565952091075912E-4</v>
      </c>
      <c r="V95" s="558">
        <f t="shared" ca="1" si="37"/>
        <v>1.565952091075912E-4</v>
      </c>
      <c r="W95" s="557" t="s">
        <v>336</v>
      </c>
      <c r="X95" s="559">
        <f t="shared" ca="1" si="38"/>
        <v>1.7374405198735451E-3</v>
      </c>
      <c r="Y95" s="559">
        <f t="shared" ca="1" si="38"/>
        <v>1.7374405198735451E-3</v>
      </c>
      <c r="Z95" s="557" t="s">
        <v>336</v>
      </c>
      <c r="AA95" s="559">
        <f t="shared" ca="1" si="39"/>
        <v>1.1660999685050516E-3</v>
      </c>
      <c r="AB95" s="559">
        <f t="shared" ca="1" si="39"/>
        <v>1.1660999685050516E-3</v>
      </c>
      <c r="AC95" s="557" t="s">
        <v>336</v>
      </c>
      <c r="AD95" s="558">
        <f t="shared" ca="1" si="40"/>
        <v>1.0788333855738848E-2</v>
      </c>
      <c r="AE95" s="558">
        <f t="shared" ca="1" si="40"/>
        <v>1.0788333855738848E-2</v>
      </c>
      <c r="AF95" s="557" t="s">
        <v>336</v>
      </c>
      <c r="AG95" s="558">
        <f t="shared" ca="1" si="41"/>
        <v>7.2406943578791835E-3</v>
      </c>
      <c r="AH95" s="558">
        <f t="shared" ca="1" si="41"/>
        <v>7.2406943578791835E-3</v>
      </c>
      <c r="AI95" s="557" t="s">
        <v>336</v>
      </c>
      <c r="AJ95" s="507">
        <f t="shared" ca="1" si="42"/>
        <v>4.4252475275214302E-2</v>
      </c>
      <c r="AK95" s="507">
        <f t="shared" ca="1" si="42"/>
        <v>4.4252475275214302E-2</v>
      </c>
      <c r="AL95" s="507">
        <f t="shared" ca="1" si="43"/>
        <v>4.8301771634357345E-2</v>
      </c>
      <c r="AM95" s="507">
        <f t="shared" ca="1" si="43"/>
        <v>4.8301771634357345E-2</v>
      </c>
      <c r="AN95" s="507">
        <f t="shared" ca="1" si="44"/>
        <v>-9.0508933358653034E-3</v>
      </c>
      <c r="AO95" s="507">
        <f t="shared" ca="1" si="44"/>
        <v>-9.0508933358653034E-3</v>
      </c>
      <c r="AP95" s="507">
        <f t="shared" ca="1" si="45"/>
        <v>-6.0745943893741319E-3</v>
      </c>
      <c r="AQ95" s="507">
        <f t="shared" ca="1" si="45"/>
        <v>-6.0745943893741319E-3</v>
      </c>
      <c r="AR95" s="812" t="s">
        <v>141</v>
      </c>
      <c r="AS95" s="812">
        <v>2104008310</v>
      </c>
      <c r="AT95" s="507">
        <f t="shared" ca="1" si="46"/>
        <v>0.28706931613340031</v>
      </c>
      <c r="AU95" s="507">
        <f t="shared" ca="1" si="46"/>
        <v>0.28706931613340031</v>
      </c>
      <c r="AV95" s="507">
        <f t="shared" ca="1" si="47"/>
        <v>0.28706931613340031</v>
      </c>
      <c r="AW95" s="507">
        <f t="shared" ca="1" si="47"/>
        <v>0.28706931613340031</v>
      </c>
      <c r="AX95" s="507">
        <f t="shared" ca="1" si="48"/>
        <v>-1.500285765707206</v>
      </c>
      <c r="AY95" s="507">
        <f t="shared" ca="1" si="48"/>
        <v>-1.500285765707206</v>
      </c>
      <c r="AZ95" s="507">
        <f t="shared" ca="1" si="49"/>
        <v>-1.500285765707206</v>
      </c>
      <c r="BA95" s="507">
        <f t="shared" ca="1" si="49"/>
        <v>-1.500285765707206</v>
      </c>
      <c r="BB95" s="550">
        <f t="shared" ca="1" si="50"/>
        <v>0.28706931613340037</v>
      </c>
      <c r="BC95" s="550">
        <f t="shared" ca="1" si="50"/>
        <v>0.28706931613340037</v>
      </c>
      <c r="BD95" s="550">
        <f t="shared" ca="1" si="51"/>
        <v>-1.500285765707206</v>
      </c>
      <c r="BE95" s="550">
        <f t="shared" ca="1" si="51"/>
        <v>-1.500285765707206</v>
      </c>
    </row>
    <row r="96" spans="1:57" x14ac:dyDescent="0.25">
      <c r="A96" s="60">
        <f t="shared" si="29"/>
        <v>0.68</v>
      </c>
      <c r="B96" s="812"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6.2573652130878149E-2</v>
      </c>
      <c r="M96" s="559">
        <f t="shared" ca="1" si="34"/>
        <v>6.1009310827606196E-2</v>
      </c>
      <c r="N96" s="557" t="s">
        <v>336</v>
      </c>
      <c r="O96" s="559">
        <f t="shared" ca="1" si="35"/>
        <v>6.8299416851970829E-2</v>
      </c>
      <c r="P96" s="559">
        <f t="shared" ca="1" si="35"/>
        <v>6.6591931430671561E-2</v>
      </c>
      <c r="Q96" s="557" t="s">
        <v>336</v>
      </c>
      <c r="R96" s="558">
        <f t="shared" ca="1" si="36"/>
        <v>3.9012294899427381E-4</v>
      </c>
      <c r="S96" s="558">
        <f t="shared" ca="1" si="36"/>
        <v>3.8036987526941693E-4</v>
      </c>
      <c r="T96" s="557" t="s">
        <v>336</v>
      </c>
      <c r="U96" s="558">
        <f t="shared" ca="1" si="37"/>
        <v>4.2582091678378315E-4</v>
      </c>
      <c r="V96" s="558">
        <f t="shared" ca="1" si="37"/>
        <v>4.151753938641886E-4</v>
      </c>
      <c r="W96" s="557" t="s">
        <v>336</v>
      </c>
      <c r="X96" s="559">
        <f t="shared" ca="1" si="38"/>
        <v>3.7518313881194864E-3</v>
      </c>
      <c r="Y96" s="559">
        <f t="shared" ca="1" si="38"/>
        <v>3.6580356034164995E-3</v>
      </c>
      <c r="Z96" s="557" t="s">
        <v>336</v>
      </c>
      <c r="AA96" s="559">
        <f t="shared" ca="1" si="39"/>
        <v>2.5180778354592656E-3</v>
      </c>
      <c r="AB96" s="559">
        <f t="shared" ca="1" si="39"/>
        <v>2.4551258895727842E-3</v>
      </c>
      <c r="AC96" s="557" t="s">
        <v>336</v>
      </c>
      <c r="AD96" s="558">
        <f t="shared" ca="1" si="40"/>
        <v>2.9336135116776994E-2</v>
      </c>
      <c r="AE96" s="558">
        <f t="shared" ca="1" si="40"/>
        <v>2.8602731738857572E-2</v>
      </c>
      <c r="AF96" s="557" t="s">
        <v>336</v>
      </c>
      <c r="AG96" s="558">
        <f t="shared" ca="1" si="41"/>
        <v>1.9689230131586542E-2</v>
      </c>
      <c r="AH96" s="558">
        <f t="shared" ca="1" si="41"/>
        <v>1.9196999378296883E-2</v>
      </c>
      <c r="AI96" s="557" t="s">
        <v>336</v>
      </c>
      <c r="AJ96" s="507">
        <f t="shared" ca="1" si="42"/>
        <v>6.2183529181883877E-2</v>
      </c>
      <c r="AK96" s="507">
        <f t="shared" ca="1" si="42"/>
        <v>6.0628940952336778E-2</v>
      </c>
      <c r="AL96" s="507">
        <f t="shared" ca="1" si="43"/>
        <v>6.7873595935187048E-2</v>
      </c>
      <c r="AM96" s="507">
        <f t="shared" ca="1" si="43"/>
        <v>6.6176756036807366E-2</v>
      </c>
      <c r="AN96" s="507">
        <f t="shared" ca="1" si="44"/>
        <v>-2.5584303728657509E-2</v>
      </c>
      <c r="AO96" s="507">
        <f t="shared" ca="1" si="44"/>
        <v>-2.494469613544107E-2</v>
      </c>
      <c r="AP96" s="507">
        <f t="shared" ca="1" si="45"/>
        <v>-1.7171152296127278E-2</v>
      </c>
      <c r="AQ96" s="507">
        <f t="shared" ca="1" si="45"/>
        <v>-1.67418734887241E-2</v>
      </c>
      <c r="AR96" s="812" t="s">
        <v>142</v>
      </c>
      <c r="AS96" s="812">
        <v>2104008320</v>
      </c>
      <c r="AT96" s="507">
        <f t="shared" ca="1" si="46"/>
        <v>0.29354300452577725</v>
      </c>
      <c r="AU96" s="507">
        <f t="shared" ca="1" si="46"/>
        <v>0.28620442941263285</v>
      </c>
      <c r="AV96" s="507">
        <f t="shared" ca="1" si="47"/>
        <v>0.29354300452577731</v>
      </c>
      <c r="AW96" s="507">
        <f t="shared" ca="1" si="47"/>
        <v>0.2862044294126328</v>
      </c>
      <c r="AX96" s="507">
        <f t="shared" ca="1" si="48"/>
        <v>-2.0142722140188036</v>
      </c>
      <c r="AY96" s="507">
        <f t="shared" ca="1" si="48"/>
        <v>-1.9639154086683337</v>
      </c>
      <c r="AZ96" s="507">
        <f t="shared" ca="1" si="49"/>
        <v>-2.0142722140188036</v>
      </c>
      <c r="BA96" s="507">
        <f t="shared" ca="1" si="49"/>
        <v>-1.9639154086683341</v>
      </c>
      <c r="BB96" s="550">
        <f t="shared" ca="1" si="50"/>
        <v>0.2935430045257772</v>
      </c>
      <c r="BC96" s="550">
        <f t="shared" ca="1" si="50"/>
        <v>0.28620442941263291</v>
      </c>
      <c r="BD96" s="550">
        <f t="shared" ca="1" si="51"/>
        <v>-2.0142722140188036</v>
      </c>
      <c r="BE96" s="550">
        <f t="shared" ca="1" si="51"/>
        <v>-1.9639154086683339</v>
      </c>
    </row>
    <row r="97" spans="1:57" x14ac:dyDescent="0.25">
      <c r="A97" s="60">
        <f t="shared" si="29"/>
        <v>0.72</v>
      </c>
      <c r="B97" s="812"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4.1802568879006227E-2</v>
      </c>
      <c r="M97" s="559">
        <f t="shared" ca="1" si="34"/>
        <v>4.0757504657031068E-2</v>
      </c>
      <c r="N97" s="557" t="s">
        <v>336</v>
      </c>
      <c r="O97" s="559">
        <f t="shared" ca="1" si="35"/>
        <v>4.5627688014418619E-2</v>
      </c>
      <c r="P97" s="559">
        <f t="shared" ca="1" si="35"/>
        <v>4.4486995814058156E-2</v>
      </c>
      <c r="Q97" s="557" t="s">
        <v>336</v>
      </c>
      <c r="R97" s="558">
        <f t="shared" ca="1" si="36"/>
        <v>2.4869920163189967E-4</v>
      </c>
      <c r="S97" s="558">
        <f t="shared" ca="1" si="36"/>
        <v>2.4248172159110215E-4</v>
      </c>
      <c r="T97" s="557" t="s">
        <v>336</v>
      </c>
      <c r="U97" s="558">
        <f t="shared" ca="1" si="37"/>
        <v>2.7145627376010855E-4</v>
      </c>
      <c r="V97" s="558">
        <f t="shared" ca="1" si="37"/>
        <v>2.6466986691610583E-4</v>
      </c>
      <c r="W97" s="557" t="s">
        <v>336</v>
      </c>
      <c r="X97" s="559">
        <f t="shared" ca="1" si="38"/>
        <v>2.258877197261434E-3</v>
      </c>
      <c r="Y97" s="559">
        <f t="shared" ca="1" si="38"/>
        <v>2.2024052673298984E-3</v>
      </c>
      <c r="Z97" s="557" t="s">
        <v>336</v>
      </c>
      <c r="AA97" s="559">
        <f t="shared" ca="1" si="39"/>
        <v>1.5160672255848232E-3</v>
      </c>
      <c r="AB97" s="559">
        <f t="shared" ca="1" si="39"/>
        <v>1.4781655449452027E-3</v>
      </c>
      <c r="AC97" s="557" t="s">
        <v>336</v>
      </c>
      <c r="AD97" s="558">
        <f t="shared" ca="1" si="40"/>
        <v>1.8701471936774121E-2</v>
      </c>
      <c r="AE97" s="558">
        <f t="shared" ca="1" si="40"/>
        <v>1.8233935138354772E-2</v>
      </c>
      <c r="AF97" s="557" t="s">
        <v>336</v>
      </c>
      <c r="AG97" s="558">
        <f t="shared" ca="1" si="41"/>
        <v>1.2551673330409975E-2</v>
      </c>
      <c r="AH97" s="558">
        <f t="shared" ca="1" si="41"/>
        <v>1.2237881497149727E-2</v>
      </c>
      <c r="AI97" s="557" t="s">
        <v>336</v>
      </c>
      <c r="AJ97" s="507">
        <f t="shared" ca="1" si="42"/>
        <v>4.155386967737433E-2</v>
      </c>
      <c r="AK97" s="507">
        <f t="shared" ca="1" si="42"/>
        <v>4.0515022935439966E-2</v>
      </c>
      <c r="AL97" s="507">
        <f t="shared" ca="1" si="43"/>
        <v>4.5356231740658511E-2</v>
      </c>
      <c r="AM97" s="507">
        <f t="shared" ca="1" si="43"/>
        <v>4.4222325947142052E-2</v>
      </c>
      <c r="AN97" s="507">
        <f t="shared" ca="1" si="44"/>
        <v>-1.6442594739512685E-2</v>
      </c>
      <c r="AO97" s="507">
        <f t="shared" ca="1" si="44"/>
        <v>-1.6031529871024873E-2</v>
      </c>
      <c r="AP97" s="507">
        <f t="shared" ca="1" si="45"/>
        <v>-1.1035606104825152E-2</v>
      </c>
      <c r="AQ97" s="507">
        <f t="shared" ca="1" si="45"/>
        <v>-1.0759715952204523E-2</v>
      </c>
      <c r="AR97" s="812" t="s">
        <v>143</v>
      </c>
      <c r="AS97" s="812">
        <v>2104008330</v>
      </c>
      <c r="AT97" s="507">
        <f t="shared" ca="1" si="46"/>
        <v>0.29362726123173721</v>
      </c>
      <c r="AU97" s="507">
        <f t="shared" ca="1" si="46"/>
        <v>0.28628657970094373</v>
      </c>
      <c r="AV97" s="507">
        <f t="shared" ca="1" si="47"/>
        <v>0.29362726123173721</v>
      </c>
      <c r="AW97" s="507">
        <f t="shared" ca="1" si="47"/>
        <v>0.28628657970094379</v>
      </c>
      <c r="AX97" s="507">
        <f t="shared" ca="1" si="48"/>
        <v>-2.1501343804542983</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-2.1501343804542983</v>
      </c>
      <c r="BE97" s="550">
        <f t="shared" ca="1" si="51"/>
        <v>-2.0963810209429412</v>
      </c>
    </row>
    <row r="98" spans="1:57" x14ac:dyDescent="0.25">
      <c r="A98" s="60">
        <f t="shared" si="29"/>
        <v>0.56000000000000005</v>
      </c>
      <c r="B98" s="812"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1.5038986790464159E-3</v>
      </c>
      <c r="M98" s="559">
        <f t="shared" ca="1" si="34"/>
        <v>1.5038986790464159E-3</v>
      </c>
      <c r="N98" s="557" t="s">
        <v>336</v>
      </c>
      <c r="O98" s="559">
        <f t="shared" ca="1" si="35"/>
        <v>1.6415120307902342E-3</v>
      </c>
      <c r="P98" s="559">
        <f t="shared" ca="1" si="35"/>
        <v>1.6415120307902342E-3</v>
      </c>
      <c r="Q98" s="557" t="s">
        <v>336</v>
      </c>
      <c r="R98" s="558">
        <f t="shared" ca="1" si="36"/>
        <v>1.9750733161045172E-5</v>
      </c>
      <c r="S98" s="558">
        <f t="shared" ca="1" si="36"/>
        <v>1.9750733161045172E-5</v>
      </c>
      <c r="T98" s="557" t="s">
        <v>336</v>
      </c>
      <c r="U98" s="558">
        <f t="shared" ca="1" si="37"/>
        <v>2.1558012220172078E-5</v>
      </c>
      <c r="V98" s="558">
        <f t="shared" ca="1" si="37"/>
        <v>2.1558012220172078E-5</v>
      </c>
      <c r="W98" s="557" t="s">
        <v>336</v>
      </c>
      <c r="X98" s="559">
        <f t="shared" ca="1" si="38"/>
        <v>1.9314114333955545E-4</v>
      </c>
      <c r="Y98" s="559">
        <f t="shared" ca="1" si="38"/>
        <v>1.9314114333955545E-4</v>
      </c>
      <c r="Z98" s="557" t="s">
        <v>336</v>
      </c>
      <c r="AA98" s="559">
        <f t="shared" ca="1" si="39"/>
        <v>1.296285418632216E-4</v>
      </c>
      <c r="AB98" s="559">
        <f t="shared" ca="1" si="39"/>
        <v>1.296285418632216E-4</v>
      </c>
      <c r="AC98" s="557" t="s">
        <v>336</v>
      </c>
      <c r="AD98" s="558">
        <f t="shared" ca="1" si="40"/>
        <v>1.4851989050157968E-3</v>
      </c>
      <c r="AE98" s="558">
        <f t="shared" ca="1" si="40"/>
        <v>1.4851989050157968E-3</v>
      </c>
      <c r="AF98" s="557" t="s">
        <v>336</v>
      </c>
      <c r="AG98" s="558">
        <f t="shared" ca="1" si="41"/>
        <v>9.9680557495499715E-4</v>
      </c>
      <c r="AH98" s="558">
        <f t="shared" ca="1" si="41"/>
        <v>9.9680557495499715E-4</v>
      </c>
      <c r="AI98" s="557" t="s">
        <v>336</v>
      </c>
      <c r="AJ98" s="507">
        <f t="shared" ca="1" si="42"/>
        <v>1.4841479458853708E-3</v>
      </c>
      <c r="AK98" s="507">
        <f t="shared" ca="1" si="42"/>
        <v>1.4841479458853708E-3</v>
      </c>
      <c r="AL98" s="507">
        <f t="shared" ca="1" si="43"/>
        <v>1.6199540185700622E-3</v>
      </c>
      <c r="AM98" s="507">
        <f t="shared" ca="1" si="43"/>
        <v>1.6199540185700622E-3</v>
      </c>
      <c r="AN98" s="507">
        <f t="shared" ca="1" si="44"/>
        <v>-1.2920577616762413E-3</v>
      </c>
      <c r="AO98" s="507">
        <f t="shared" ca="1" si="44"/>
        <v>-1.2920577616762413E-3</v>
      </c>
      <c r="AP98" s="507">
        <f t="shared" ca="1" si="45"/>
        <v>-8.6717703309177553E-4</v>
      </c>
      <c r="AQ98" s="507">
        <f t="shared" ca="1" si="45"/>
        <v>-8.6717703309177553E-4</v>
      </c>
      <c r="AR98" s="812" t="s">
        <v>144</v>
      </c>
      <c r="AS98" s="812">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-1.9266357697207885</v>
      </c>
      <c r="BA98" s="507">
        <f t="shared" ca="1" si="49"/>
        <v>-1.9266357697207885</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2"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5.0726969834838445E-3</v>
      </c>
      <c r="M99" s="559">
        <f t="shared" ca="1" si="34"/>
        <v>5.0726969834838445E-3</v>
      </c>
      <c r="N99" s="557" t="s">
        <v>336</v>
      </c>
      <c r="O99" s="559">
        <f t="shared" ca="1" si="35"/>
        <v>5.5368710957455804E-3</v>
      </c>
      <c r="P99" s="559">
        <f t="shared" ca="1" si="35"/>
        <v>5.5368710957455804E-3</v>
      </c>
      <c r="Q99" s="557" t="s">
        <v>336</v>
      </c>
      <c r="R99" s="558">
        <f t="shared" ca="1" si="36"/>
        <v>9.2791915511201178E-5</v>
      </c>
      <c r="S99" s="558">
        <f t="shared" ca="1" si="36"/>
        <v>9.2791915511201178E-5</v>
      </c>
      <c r="T99" s="557" t="s">
        <v>336</v>
      </c>
      <c r="U99" s="558">
        <f t="shared" ca="1" si="37"/>
        <v>1.01282784401599E-4</v>
      </c>
      <c r="V99" s="558">
        <f t="shared" ca="1" si="37"/>
        <v>1.01282784401599E-4</v>
      </c>
      <c r="W99" s="557" t="s">
        <v>336</v>
      </c>
      <c r="X99" s="559">
        <f t="shared" ca="1" si="38"/>
        <v>6.5147107903998998E-4</v>
      </c>
      <c r="Y99" s="559">
        <f t="shared" ca="1" si="38"/>
        <v>6.5147107903998998E-4</v>
      </c>
      <c r="Z99" s="557" t="s">
        <v>336</v>
      </c>
      <c r="AA99" s="559">
        <f t="shared" ca="1" si="39"/>
        <v>4.3724110037779928E-4</v>
      </c>
      <c r="AB99" s="559">
        <f t="shared" ca="1" si="39"/>
        <v>4.3724110037779928E-4</v>
      </c>
      <c r="AC99" s="557" t="s">
        <v>336</v>
      </c>
      <c r="AD99" s="558">
        <f t="shared" ca="1" si="40"/>
        <v>6.9776878755756291E-3</v>
      </c>
      <c r="AE99" s="558">
        <f t="shared" ca="1" si="40"/>
        <v>6.9776878755756291E-3</v>
      </c>
      <c r="AF99" s="557" t="s">
        <v>336</v>
      </c>
      <c r="AG99" s="558">
        <f t="shared" ca="1" si="41"/>
        <v>4.6831425415006607E-3</v>
      </c>
      <c r="AH99" s="558">
        <f t="shared" ca="1" si="41"/>
        <v>4.6831425415006607E-3</v>
      </c>
      <c r="AI99" s="557" t="s">
        <v>336</v>
      </c>
      <c r="AJ99" s="507">
        <f t="shared" ca="1" si="42"/>
        <v>4.9799050679726438E-3</v>
      </c>
      <c r="AK99" s="507">
        <f t="shared" ca="1" si="42"/>
        <v>4.9799050679726438E-3</v>
      </c>
      <c r="AL99" s="507">
        <f t="shared" ca="1" si="43"/>
        <v>5.4355883113439817E-3</v>
      </c>
      <c r="AM99" s="507">
        <f t="shared" ca="1" si="43"/>
        <v>5.4355883113439817E-3</v>
      </c>
      <c r="AN99" s="507">
        <f t="shared" ca="1" si="44"/>
        <v>-6.3262167965356395E-3</v>
      </c>
      <c r="AO99" s="507">
        <f t="shared" ca="1" si="44"/>
        <v>-6.3262167965356395E-3</v>
      </c>
      <c r="AP99" s="507">
        <f t="shared" ca="1" si="45"/>
        <v>-4.2459014411228612E-3</v>
      </c>
      <c r="AQ99" s="507">
        <f t="shared" ca="1" si="45"/>
        <v>-4.2459014411228612E-3</v>
      </c>
      <c r="AR99" s="812" t="s">
        <v>145</v>
      </c>
      <c r="AS99" s="812">
        <v>2104008420</v>
      </c>
      <c r="AT99" s="507">
        <f t="shared" ca="1" si="46"/>
        <v>0.28273178237252561</v>
      </c>
      <c r="AU99" s="507">
        <f t="shared" ca="1" si="46"/>
        <v>0.28273178237252561</v>
      </c>
      <c r="AV99" s="507">
        <f t="shared" ca="1" si="47"/>
        <v>0.28273178237252566</v>
      </c>
      <c r="AW99" s="507">
        <f t="shared" ca="1" si="47"/>
        <v>0.28273178237252566</v>
      </c>
      <c r="AX99" s="507">
        <f t="shared" ca="1" si="48"/>
        <v>-2.7966712506825271</v>
      </c>
      <c r="AY99" s="507">
        <f t="shared" ca="1" si="48"/>
        <v>-2.7966712506825271</v>
      </c>
      <c r="AZ99" s="507">
        <f t="shared" ca="1" si="49"/>
        <v>-2.7966712506825266</v>
      </c>
      <c r="BA99" s="507">
        <f t="shared" ca="1" si="49"/>
        <v>-2.7966712506825266</v>
      </c>
      <c r="BB99" s="550">
        <f t="shared" ca="1" si="50"/>
        <v>0.28273178237252561</v>
      </c>
      <c r="BC99" s="550">
        <f t="shared" ca="1" si="50"/>
        <v>0.28273178237252561</v>
      </c>
      <c r="BD99" s="550">
        <f t="shared" ca="1" si="51"/>
        <v>-2.7966712506825271</v>
      </c>
      <c r="BE99" s="550">
        <f t="shared" ca="1" si="51"/>
        <v>-2.7966712506825271</v>
      </c>
    </row>
    <row r="100" spans="1:57" x14ac:dyDescent="0.25">
      <c r="A100" s="60">
        <f t="shared" si="29"/>
        <v>0.43</v>
      </c>
      <c r="B100" s="812"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2.3272483967648756E-2</v>
      </c>
      <c r="M100" s="559">
        <f t="shared" ca="1" si="34"/>
        <v>2.5202920425794736E-2</v>
      </c>
      <c r="N100" s="557" t="s">
        <v>336</v>
      </c>
      <c r="O100" s="559">
        <f t="shared" ca="1" si="35"/>
        <v>2.540201873406208E-2</v>
      </c>
      <c r="P100" s="559">
        <f t="shared" ca="1" si="35"/>
        <v>2.7509098629053406E-2</v>
      </c>
      <c r="Q100" s="557" t="s">
        <v>336</v>
      </c>
      <c r="R100" s="558">
        <f t="shared" ca="1" si="36"/>
        <v>7.3670661341549372E-5</v>
      </c>
      <c r="S100" s="558">
        <f t="shared" ca="1" si="36"/>
        <v>7.9781591775410603E-5</v>
      </c>
      <c r="T100" s="557" t="s">
        <v>336</v>
      </c>
      <c r="U100" s="558">
        <f t="shared" ca="1" si="37"/>
        <v>8.0411851272524395E-5</v>
      </c>
      <c r="V100" s="558">
        <f t="shared" ca="1" si="37"/>
        <v>8.7081958751351302E-5</v>
      </c>
      <c r="W100" s="557" t="s">
        <v>336</v>
      </c>
      <c r="X100" s="559">
        <f t="shared" ca="1" si="38"/>
        <v>1.1204096472172223E-3</v>
      </c>
      <c r="Y100" s="559">
        <f t="shared" ca="1" si="38"/>
        <v>1.213346852977176E-3</v>
      </c>
      <c r="Z100" s="557" t="s">
        <v>336</v>
      </c>
      <c r="AA100" s="559">
        <f t="shared" ca="1" si="39"/>
        <v>7.5197374493594167E-4</v>
      </c>
      <c r="AB100" s="559">
        <f t="shared" ca="1" si="39"/>
        <v>8.1434944728085853E-4</v>
      </c>
      <c r="AC100" s="557" t="s">
        <v>336</v>
      </c>
      <c r="AD100" s="558">
        <f t="shared" ca="1" si="40"/>
        <v>5.5398239986382703E-3</v>
      </c>
      <c r="AE100" s="558">
        <f t="shared" ca="1" si="40"/>
        <v>5.999348569953886E-3</v>
      </c>
      <c r="AF100" s="557" t="s">
        <v>336</v>
      </c>
      <c r="AG100" s="558">
        <f t="shared" ca="1" si="41"/>
        <v>3.7181063273497212E-3</v>
      </c>
      <c r="AH100" s="558">
        <f t="shared" ca="1" si="41"/>
        <v>4.0265206770837992E-3</v>
      </c>
      <c r="AI100" s="557" t="s">
        <v>336</v>
      </c>
      <c r="AJ100" s="507">
        <f t="shared" ca="1" si="42"/>
        <v>2.3198813306307207E-2</v>
      </c>
      <c r="AK100" s="507">
        <f t="shared" ca="1" si="42"/>
        <v>2.5123138834019326E-2</v>
      </c>
      <c r="AL100" s="507">
        <f t="shared" ca="1" si="43"/>
        <v>2.5321606882789557E-2</v>
      </c>
      <c r="AM100" s="507">
        <f t="shared" ca="1" si="43"/>
        <v>2.7422016670302054E-2</v>
      </c>
      <c r="AN100" s="507">
        <f t="shared" ca="1" si="44"/>
        <v>-4.4194143514210485E-3</v>
      </c>
      <c r="AO100" s="507">
        <f t="shared" ca="1" si="44"/>
        <v>-4.7860017169767104E-3</v>
      </c>
      <c r="AP100" s="507">
        <f t="shared" ca="1" si="45"/>
        <v>-2.9661325824137793E-3</v>
      </c>
      <c r="AQ100" s="507">
        <f t="shared" ca="1" si="45"/>
        <v>-3.2121712298029408E-3</v>
      </c>
      <c r="AR100" s="812" t="s">
        <v>146</v>
      </c>
      <c r="AS100" s="812">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-1.0489921575897507</v>
      </c>
      <c r="AY100" s="507">
        <f t="shared" ca="1" si="48"/>
        <v>-1.136005331952034</v>
      </c>
      <c r="AZ100" s="507">
        <f t="shared" ca="1" si="49"/>
        <v>-1.0489921575897505</v>
      </c>
      <c r="BA100" s="507">
        <f t="shared" ca="1" si="49"/>
        <v>-1.136005331952034</v>
      </c>
      <c r="BB100" s="550">
        <f t="shared" ca="1" si="50"/>
        <v>0.26509857267883641</v>
      </c>
      <c r="BC100" s="550">
        <f t="shared" ca="1" si="50"/>
        <v>0.28708831603468465</v>
      </c>
      <c r="BD100" s="550">
        <f t="shared" ca="1" si="51"/>
        <v>-1.0489921575897507</v>
      </c>
      <c r="BE100" s="550">
        <f t="shared" ca="1" si="51"/>
        <v>-1.1360053319520338</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0.24618713146703736</v>
      </c>
      <c r="AY106" s="507">
        <f t="shared" ca="1" si="61"/>
        <v>0.24618713146703736</v>
      </c>
      <c r="AZ106" s="507">
        <f t="shared" ca="1" si="62"/>
        <v>0.24394492861149725</v>
      </c>
      <c r="BA106" s="507">
        <f t="shared" ca="1" si="62"/>
        <v>0.24394492861149725</v>
      </c>
      <c r="BB106" s="550">
        <f t="shared" ca="1" si="50"/>
        <v>0.29896926355238951</v>
      </c>
      <c r="BC106" s="550">
        <f t="shared" ca="1" si="50"/>
        <v>0.29896926355238951</v>
      </c>
      <c r="BD106" s="550">
        <f t="shared" ca="1" si="51"/>
        <v>0.24618713146703741</v>
      </c>
      <c r="BE106" s="550">
        <f t="shared" ca="1" si="51"/>
        <v>0.24618713146703741</v>
      </c>
    </row>
    <row r="107" spans="1:57" x14ac:dyDescent="0.25">
      <c r="A107" s="60">
        <f t="shared" si="29"/>
        <v>0.43</v>
      </c>
      <c r="B107" s="812"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1.0382103101029626E-2</v>
      </c>
      <c r="M107" s="133">
        <f t="shared" ca="1" si="52"/>
        <v>1.0382103101029626E-2</v>
      </c>
      <c r="N107" s="551" t="s">
        <v>336</v>
      </c>
      <c r="O107" s="133">
        <f t="shared" ca="1" si="53"/>
        <v>1.1332111253698851E-2</v>
      </c>
      <c r="P107" s="133">
        <f t="shared" ca="1" si="53"/>
        <v>1.1332111253698851E-2</v>
      </c>
      <c r="Q107" s="551" t="s">
        <v>336</v>
      </c>
      <c r="R107" s="58">
        <f t="shared" ca="1" si="54"/>
        <v>3.5670706896938923E-5</v>
      </c>
      <c r="S107" s="58">
        <f t="shared" ca="1" si="54"/>
        <v>3.5670706896938923E-5</v>
      </c>
      <c r="T107" s="551" t="s">
        <v>336</v>
      </c>
      <c r="U107" s="58">
        <f t="shared" ca="1" si="55"/>
        <v>3.8934733658550026E-5</v>
      </c>
      <c r="V107" s="58">
        <f t="shared" ca="1" si="55"/>
        <v>3.8934733658550026E-5</v>
      </c>
      <c r="W107" s="551" t="s">
        <v>336</v>
      </c>
      <c r="X107" s="133">
        <f t="shared" ca="1" si="56"/>
        <v>1.4355537549081842E-2</v>
      </c>
      <c r="Y107" s="133">
        <f t="shared" ca="1" si="56"/>
        <v>1.4355537549081842E-2</v>
      </c>
      <c r="Z107" s="551" t="s">
        <v>336</v>
      </c>
      <c r="AA107" s="133">
        <f t="shared" ca="1" si="57"/>
        <v>9.6348575346198312E-3</v>
      </c>
      <c r="AB107" s="133">
        <f t="shared" ca="1" si="57"/>
        <v>9.6348575346198312E-3</v>
      </c>
      <c r="AC107" s="551" t="s">
        <v>336</v>
      </c>
      <c r="AD107" s="58">
        <f t="shared" ca="1" si="40"/>
        <v>2.5750421828291685E-3</v>
      </c>
      <c r="AE107" s="58">
        <f t="shared" ca="1" si="40"/>
        <v>2.5750421828291685E-3</v>
      </c>
      <c r="AF107" s="551" t="s">
        <v>336</v>
      </c>
      <c r="AG107" s="58">
        <f t="shared" ca="1" si="58"/>
        <v>1.8002754230705626E-3</v>
      </c>
      <c r="AH107" s="58">
        <f t="shared" ca="1" si="58"/>
        <v>1.8002754230705626E-3</v>
      </c>
      <c r="AI107" s="551" t="s">
        <v>336</v>
      </c>
      <c r="AJ107" s="507">
        <f t="shared" ca="1" si="42"/>
        <v>1.0346432394132687E-2</v>
      </c>
      <c r="AK107" s="507">
        <f t="shared" ca="1" si="42"/>
        <v>1.0346432394132687E-2</v>
      </c>
      <c r="AL107" s="507">
        <f t="shared" ca="1" si="43"/>
        <v>1.1293176520040301E-2</v>
      </c>
      <c r="AM107" s="507">
        <f t="shared" ca="1" si="43"/>
        <v>1.1293176520040301E-2</v>
      </c>
      <c r="AN107" s="507">
        <f t="shared" ca="1" si="44"/>
        <v>1.1780495366252674E-2</v>
      </c>
      <c r="AO107" s="507">
        <f t="shared" ca="1" si="44"/>
        <v>1.1780495366252674E-2</v>
      </c>
      <c r="AP107" s="507">
        <f t="shared" ca="1" si="45"/>
        <v>7.8345821115492695E-3</v>
      </c>
      <c r="AQ107" s="507">
        <f t="shared" ca="1" si="45"/>
        <v>7.8345821115492695E-3</v>
      </c>
      <c r="AR107" s="812" t="s">
        <v>152</v>
      </c>
      <c r="AS107" s="812">
        <v>2103002000</v>
      </c>
      <c r="AT107" s="507">
        <f t="shared" ca="1" si="59"/>
        <v>0.29896926355238951</v>
      </c>
      <c r="AU107" s="507">
        <f t="shared" ca="1" si="59"/>
        <v>0.29896926355238951</v>
      </c>
      <c r="AV107" s="507">
        <f t="shared" ca="1" si="60"/>
        <v>0.29896926355238951</v>
      </c>
      <c r="AW107" s="507">
        <f t="shared" ca="1" si="60"/>
        <v>0.29896926355238951</v>
      </c>
      <c r="AX107" s="507">
        <f t="shared" ca="1" si="61"/>
        <v>0.24618713146703736</v>
      </c>
      <c r="AY107" s="507">
        <f t="shared" ca="1" si="61"/>
        <v>0.24618713146703736</v>
      </c>
      <c r="AZ107" s="507">
        <f t="shared" ca="1" si="62"/>
        <v>0.24394492861149727</v>
      </c>
      <c r="BA107" s="507">
        <f t="shared" ca="1" si="62"/>
        <v>0.24394492861149727</v>
      </c>
      <c r="BB107" s="550">
        <f t="shared" ca="1" si="50"/>
        <v>0.29896926355238951</v>
      </c>
      <c r="BC107" s="550">
        <f t="shared" ca="1" si="50"/>
        <v>0.29896926355238951</v>
      </c>
      <c r="BD107" s="550">
        <f t="shared" ca="1" si="51"/>
        <v>0.24618713146703741</v>
      </c>
      <c r="BE107" s="550">
        <f t="shared" ca="1" si="51"/>
        <v>0.24618713146703741</v>
      </c>
    </row>
    <row r="108" spans="1:57" x14ac:dyDescent="0.25">
      <c r="A108" s="60">
        <f>A107</f>
        <v>0.43</v>
      </c>
      <c r="B108" s="812"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2.9702719741768227E-5</v>
      </c>
      <c r="M108" s="133">
        <f t="shared" ca="1" si="52"/>
        <v>2.9702719741768227E-5</v>
      </c>
      <c r="N108" s="551" t="s">
        <v>336</v>
      </c>
      <c r="O108" s="133">
        <f t="shared" ca="1" si="53"/>
        <v>3.2420649397882946E-5</v>
      </c>
      <c r="P108" s="133">
        <f t="shared" ca="1" si="53"/>
        <v>3.2420649397882946E-5</v>
      </c>
      <c r="Q108" s="551" t="s">
        <v>336</v>
      </c>
      <c r="R108" s="58">
        <f t="shared" ca="1" si="54"/>
        <v>1.0205225277000574E-7</v>
      </c>
      <c r="S108" s="58">
        <f t="shared" ca="1" si="54"/>
        <v>1.0205225277000574E-7</v>
      </c>
      <c r="T108" s="551" t="s">
        <v>336</v>
      </c>
      <c r="U108" s="58">
        <f t="shared" ca="1" si="55"/>
        <v>1.1139048329866916E-7</v>
      </c>
      <c r="V108" s="58">
        <f t="shared" ca="1" si="55"/>
        <v>1.1139048329866916E-7</v>
      </c>
      <c r="W108" s="551" t="s">
        <v>336</v>
      </c>
      <c r="X108" s="133">
        <f t="shared" ca="1" si="56"/>
        <v>4.1070533052260011E-5</v>
      </c>
      <c r="Y108" s="133">
        <f t="shared" ca="1" si="56"/>
        <v>4.1070533052260011E-5</v>
      </c>
      <c r="Z108" s="551" t="s">
        <v>336</v>
      </c>
      <c r="AA108" s="133">
        <f t="shared" ca="1" si="57"/>
        <v>2.7564884524629257E-5</v>
      </c>
      <c r="AB108" s="133">
        <f t="shared" ca="1" si="57"/>
        <v>2.7564884524629257E-5</v>
      </c>
      <c r="AC108" s="551" t="s">
        <v>336</v>
      </c>
      <c r="AD108" s="58">
        <f t="shared" ca="1" si="40"/>
        <v>7.3670773190665553E-6</v>
      </c>
      <c r="AE108" s="58">
        <f t="shared" ca="1" si="40"/>
        <v>7.3670773190665553E-6</v>
      </c>
      <c r="AF108" s="551" t="s">
        <v>336</v>
      </c>
      <c r="AG108" s="58">
        <f t="shared" ca="1" si="58"/>
        <v>5.150505232813097E-6</v>
      </c>
      <c r="AH108" s="58">
        <f t="shared" ca="1" si="58"/>
        <v>5.150505232813097E-6</v>
      </c>
      <c r="AI108" s="551" t="s">
        <v>336</v>
      </c>
      <c r="AJ108" s="507">
        <f t="shared" ca="1" si="42"/>
        <v>2.9600667488998222E-5</v>
      </c>
      <c r="AK108" s="507">
        <f t="shared" ca="1" si="42"/>
        <v>2.9600667488998222E-5</v>
      </c>
      <c r="AL108" s="507">
        <f t="shared" ca="1" si="43"/>
        <v>3.2309258914584276E-5</v>
      </c>
      <c r="AM108" s="507">
        <f t="shared" ca="1" si="43"/>
        <v>3.2309258914584276E-5</v>
      </c>
      <c r="AN108" s="507">
        <f t="shared" ca="1" si="44"/>
        <v>3.3703455733193458E-5</v>
      </c>
      <c r="AO108" s="507">
        <f t="shared" ca="1" si="44"/>
        <v>3.3703455733193458E-5</v>
      </c>
      <c r="AP108" s="507">
        <f t="shared" ca="1" si="45"/>
        <v>2.2414379291816162E-5</v>
      </c>
      <c r="AQ108" s="507">
        <f t="shared" ca="1" si="45"/>
        <v>2.2414379291816162E-5</v>
      </c>
      <c r="AR108" s="812" t="s">
        <v>153</v>
      </c>
      <c r="AS108" s="812">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-2.0457452173628479</v>
      </c>
      <c r="BA108" s="507">
        <f t="shared" ca="1" si="62"/>
        <v>-2.0457452173628479</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2"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2.9094928565775933E-5</v>
      </c>
      <c r="M109" s="133">
        <f t="shared" ca="1" si="52"/>
        <v>2.9094928565775933E-5</v>
      </c>
      <c r="N109" s="551" t="s">
        <v>336</v>
      </c>
      <c r="O109" s="133">
        <f t="shared" ca="1" si="53"/>
        <v>3.1757242652800815E-5</v>
      </c>
      <c r="P109" s="133">
        <f t="shared" ca="1" si="53"/>
        <v>3.1757242652800815E-5</v>
      </c>
      <c r="Q109" s="551" t="s">
        <v>336</v>
      </c>
      <c r="R109" s="58">
        <f t="shared" ca="1" si="54"/>
        <v>1.8139582629950214E-7</v>
      </c>
      <c r="S109" s="58">
        <f t="shared" ca="1" si="54"/>
        <v>1.8139582629950214E-7</v>
      </c>
      <c r="T109" s="551" t="s">
        <v>336</v>
      </c>
      <c r="U109" s="58">
        <f t="shared" ca="1" si="55"/>
        <v>1.9799434320573545E-7</v>
      </c>
      <c r="V109" s="58">
        <f t="shared" ca="1" si="55"/>
        <v>1.9799434320573545E-7</v>
      </c>
      <c r="W109" s="551" t="s">
        <v>336</v>
      </c>
      <c r="X109" s="133">
        <f t="shared" ca="1" si="56"/>
        <v>1.0110053203347563E-6</v>
      </c>
      <c r="Y109" s="133">
        <f t="shared" ca="1" si="56"/>
        <v>1.0110053203347563E-6</v>
      </c>
      <c r="Z109" s="551" t="s">
        <v>336</v>
      </c>
      <c r="AA109" s="133">
        <f t="shared" ca="1" si="57"/>
        <v>6.7854597536760823E-7</v>
      </c>
      <c r="AB109" s="133">
        <f t="shared" ca="1" si="57"/>
        <v>6.7854597536760823E-7</v>
      </c>
      <c r="AC109" s="551" t="s">
        <v>336</v>
      </c>
      <c r="AD109" s="58">
        <f t="shared" ca="1" si="40"/>
        <v>7.5889948636916729E-6</v>
      </c>
      <c r="AE109" s="58">
        <f t="shared" ca="1" si="40"/>
        <v>7.5889948636916729E-6</v>
      </c>
      <c r="AF109" s="551" t="s">
        <v>336</v>
      </c>
      <c r="AG109" s="58">
        <f t="shared" ca="1" si="58"/>
        <v>5.3056532549312517E-6</v>
      </c>
      <c r="AH109" s="58">
        <f t="shared" ca="1" si="58"/>
        <v>5.3056532549312517E-6</v>
      </c>
      <c r="AI109" s="551" t="s">
        <v>336</v>
      </c>
      <c r="AJ109" s="507">
        <f t="shared" ca="1" si="42"/>
        <v>2.891353273947643E-5</v>
      </c>
      <c r="AK109" s="507">
        <f t="shared" ca="1" si="42"/>
        <v>2.891353273947643E-5</v>
      </c>
      <c r="AL109" s="507">
        <f t="shared" ca="1" si="43"/>
        <v>3.1559248309595081E-5</v>
      </c>
      <c r="AM109" s="507">
        <f t="shared" ca="1" si="43"/>
        <v>3.1559248309595081E-5</v>
      </c>
      <c r="AN109" s="507">
        <f t="shared" ca="1" si="44"/>
        <v>-6.5779895433569162E-6</v>
      </c>
      <c r="AO109" s="507">
        <f t="shared" ca="1" si="44"/>
        <v>-6.5779895433569162E-6</v>
      </c>
      <c r="AP109" s="507">
        <f t="shared" ca="1" si="45"/>
        <v>-4.6271072795636436E-6</v>
      </c>
      <c r="AQ109" s="507">
        <f t="shared" ca="1" si="45"/>
        <v>-4.6271072795636436E-6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6.7620181673086172E-2</v>
      </c>
      <c r="AY109" s="541">
        <f t="shared" ca="1" si="61"/>
        <v>6.7620181673086172E-2</v>
      </c>
      <c r="AZ109" s="541">
        <f t="shared" ca="1" si="62"/>
        <v>5.7937689242798095E-2</v>
      </c>
      <c r="BA109" s="541">
        <f t="shared" ca="1" si="62"/>
        <v>5.7937689242798095E-2</v>
      </c>
      <c r="BB109" s="550">
        <f t="shared" ca="1" si="50"/>
        <v>0.27283781949599384</v>
      </c>
      <c r="BC109" s="550">
        <f t="shared" ca="1" si="50"/>
        <v>0.27283781949599384</v>
      </c>
      <c r="BD109" s="550">
        <f t="shared" ca="1" si="51"/>
        <v>6.7620181673086144E-2</v>
      </c>
      <c r="BE109" s="550">
        <f t="shared" ca="1" si="51"/>
        <v>6.7620181673086144E-2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2.6710621818844466E-4</v>
      </c>
      <c r="M110" s="544">
        <f t="shared" ca="1" si="52"/>
        <v>2.6710621818844466E-4</v>
      </c>
      <c r="N110" s="542" t="s">
        <v>336</v>
      </c>
      <c r="O110" s="544">
        <f t="shared" ca="1" si="53"/>
        <v>2.9154761338923997E-4</v>
      </c>
      <c r="P110" s="544">
        <f t="shared" ca="1" si="53"/>
        <v>2.9154761338923997E-4</v>
      </c>
      <c r="Q110" s="542" t="s">
        <v>336</v>
      </c>
      <c r="R110" s="543">
        <f t="shared" ca="1" si="54"/>
        <v>2.4183957707256651E-5</v>
      </c>
      <c r="S110" s="543">
        <f t="shared" ca="1" si="54"/>
        <v>2.4183957707256651E-5</v>
      </c>
      <c r="T110" s="542" t="s">
        <v>336</v>
      </c>
      <c r="U110" s="543">
        <f t="shared" ca="1" si="55"/>
        <v>2.6396896334635826E-5</v>
      </c>
      <c r="V110" s="543">
        <f t="shared" ca="1" si="55"/>
        <v>2.6396896334635826E-5</v>
      </c>
      <c r="W110" s="542" t="s">
        <v>336</v>
      </c>
      <c r="X110" s="544">
        <f t="shared" ca="1" si="56"/>
        <v>2.2538388122222623E-3</v>
      </c>
      <c r="Y110" s="544">
        <f t="shared" ca="1" si="56"/>
        <v>2.2538388122222623E-3</v>
      </c>
      <c r="Z110" s="542" t="s">
        <v>336</v>
      </c>
      <c r="AA110" s="544">
        <f t="shared" ca="1" si="57"/>
        <v>1.5126856648532234E-3</v>
      </c>
      <c r="AB110" s="544">
        <f t="shared" ca="1" si="57"/>
        <v>1.5126856648532234E-3</v>
      </c>
      <c r="AC110" s="542" t="s">
        <v>336</v>
      </c>
      <c r="AD110" s="543">
        <f t="shared" ca="1" si="40"/>
        <v>1.7458221790745219E-3</v>
      </c>
      <c r="AE110" s="543">
        <f t="shared" ca="1" si="40"/>
        <v>1.7458221790745219E-3</v>
      </c>
      <c r="AF110" s="542" t="s">
        <v>336</v>
      </c>
      <c r="AG110" s="543">
        <f t="shared" ca="1" si="58"/>
        <v>1.2205472916122185E-3</v>
      </c>
      <c r="AH110" s="543">
        <f t="shared" ca="1" si="58"/>
        <v>1.2205472916122185E-3</v>
      </c>
      <c r="AI110" s="542" t="s">
        <v>336</v>
      </c>
      <c r="AJ110" s="541">
        <f t="shared" ca="1" si="42"/>
        <v>2.4292226048118801E-4</v>
      </c>
      <c r="AK110" s="541">
        <f t="shared" ca="1" si="42"/>
        <v>2.4292226048118801E-4</v>
      </c>
      <c r="AL110" s="541">
        <f t="shared" ca="1" si="43"/>
        <v>2.6515071705460414E-4</v>
      </c>
      <c r="AM110" s="541">
        <f t="shared" ca="1" si="43"/>
        <v>2.6515071705460414E-4</v>
      </c>
      <c r="AN110" s="541">
        <f t="shared" ca="1" si="44"/>
        <v>5.0801663314774042E-4</v>
      </c>
      <c r="AO110" s="541">
        <f t="shared" ca="1" si="44"/>
        <v>5.0801663314774042E-4</v>
      </c>
      <c r="AP110" s="541">
        <f t="shared" ca="1" si="45"/>
        <v>2.9213837324100489E-4</v>
      </c>
      <c r="AQ110" s="541">
        <f t="shared" ca="1" si="45"/>
        <v>2.9213837324100489E-4</v>
      </c>
      <c r="AR110" s="810"/>
      <c r="AS110" s="810" t="s">
        <v>249</v>
      </c>
      <c r="AT110" s="506">
        <f ca="1">AJ111/SUM($C40:$C59)</f>
        <v>0.20683001881691462</v>
      </c>
      <c r="AU110" s="506">
        <f ca="1">AK111/SUM($C40:$C59)</f>
        <v>0.2784464949699848</v>
      </c>
      <c r="AV110" s="506">
        <f ca="1">AL111/SUM($C60:$C79)</f>
        <v>0.20683001881691462</v>
      </c>
      <c r="AW110" s="506">
        <f ca="1">AM111/SUM($C60:$C79)</f>
        <v>0.27844649496998491</v>
      </c>
      <c r="AX110" s="506">
        <f ca="1">AN111/SUM($J40:$J59)</f>
        <v>-2.9346306640146435E-2</v>
      </c>
      <c r="AY110" s="506">
        <f ca="1">AO111/SUM($J40:$J59)</f>
        <v>-2.8836074781384984E-2</v>
      </c>
      <c r="AZ110" s="506">
        <f ca="1">AP111/SUM($J60:$J79)</f>
        <v>-2.9446129700640061E-2</v>
      </c>
      <c r="BA110" s="506">
        <f ca="1">AQ111/SUM($J60:$J79)</f>
        <v>-2.8935897841878618E-2</v>
      </c>
      <c r="BB110" s="506"/>
      <c r="BC110" s="506"/>
      <c r="BD110" s="506"/>
      <c r="BE110" s="506"/>
    </row>
    <row r="111" spans="1:57" ht="15.75" thickTop="1" x14ac:dyDescent="0.25">
      <c r="K111" s="244" t="s">
        <v>784</v>
      </c>
      <c r="L111" s="137">
        <f ca="1">SUM(L91:L110)</f>
        <v>0.20255622602041368</v>
      </c>
      <c r="M111" s="137">
        <f ca="1">SUM(M91:M110)</f>
        <v>0.27232405525810088</v>
      </c>
      <c r="N111" s="540" t="s">
        <v>336</v>
      </c>
      <c r="O111" s="137">
        <f ca="1">SUM(O91:O110)</f>
        <v>0.22109101268364956</v>
      </c>
      <c r="P111" s="137">
        <f ca="1">SUM(P91:P110)</f>
        <v>0.29724290552818583</v>
      </c>
      <c r="Q111" s="540" t="s">
        <v>336</v>
      </c>
      <c r="R111" s="137">
        <f ca="1">SUM(R91:R110)</f>
        <v>1.0644496927084662E-3</v>
      </c>
      <c r="S111" s="137">
        <f ca="1">SUM(S91:S110)</f>
        <v>1.0642100738803676E-3</v>
      </c>
      <c r="T111" s="540" t="s">
        <v>336</v>
      </c>
      <c r="U111" s="137">
        <f ca="1">SUM(U91:U110)</f>
        <v>1.1618515270322852E-3</v>
      </c>
      <c r="V111" s="137">
        <f ca="1">SUM(V91:V110)</f>
        <v>1.1615899820262233E-3</v>
      </c>
      <c r="W111" s="540" t="s">
        <v>336</v>
      </c>
      <c r="X111" s="137">
        <f ca="1">SUM(X91:X110)</f>
        <v>2.6746419790765152E-2</v>
      </c>
      <c r="Y111" s="137">
        <f ca="1">SUM(Y91:Y110)</f>
        <v>2.7651815738696548E-2</v>
      </c>
      <c r="Z111" s="540" t="s">
        <v>336</v>
      </c>
      <c r="AA111" s="137">
        <f ca="1">SUM(AA91:AA110)</f>
        <v>1.7951117703818801E-2</v>
      </c>
      <c r="AB111" s="137">
        <f ca="1">SUM(AB91:AB110)</f>
        <v>1.855878292993212E-2</v>
      </c>
      <c r="AC111" s="540" t="s">
        <v>336</v>
      </c>
      <c r="AD111" s="137">
        <f ca="1">SUM(AD91:AD110)</f>
        <v>7.9857192060433776E-2</v>
      </c>
      <c r="AE111" s="137">
        <f ca="1">SUM(AE91:AE110)</f>
        <v>7.9839173406735645E-2</v>
      </c>
      <c r="AF111" s="540" t="s">
        <v>336</v>
      </c>
      <c r="AG111" s="137">
        <f ca="1">SUM(AG91:AG110)</f>
        <v>5.3718176103673437E-2</v>
      </c>
      <c r="AH111" s="137">
        <f ca="1">SUM(AH91:AH110)</f>
        <v>5.3706082710392018E-2</v>
      </c>
      <c r="AI111" s="540" t="s">
        <v>336</v>
      </c>
      <c r="AJ111" s="506">
        <f t="shared" ref="AJ111:AQ111" ca="1" si="64">SUM(AJ91:AJ110)</f>
        <v>0.20149177632770524</v>
      </c>
      <c r="AK111" s="506">
        <f t="shared" ca="1" si="64"/>
        <v>0.27125984518422053</v>
      </c>
      <c r="AL111" s="506">
        <f t="shared" ca="1" si="64"/>
        <v>0.21992916115661723</v>
      </c>
      <c r="AM111" s="506">
        <f t="shared" ca="1" si="64"/>
        <v>0.29608131554615957</v>
      </c>
      <c r="AN111" s="506">
        <f t="shared" ca="1" si="64"/>
        <v>-5.3110772269668621E-2</v>
      </c>
      <c r="AO111" s="506">
        <f t="shared" ca="1" si="64"/>
        <v>-5.2187357668039086E-2</v>
      </c>
      <c r="AP111" s="506">
        <f t="shared" ca="1" si="64"/>
        <v>-3.5767058399854633E-2</v>
      </c>
      <c r="AQ111" s="506">
        <f t="shared" ca="1" si="64"/>
        <v>-3.5147299780459898E-2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0.42142093748432247</v>
      </c>
      <c r="AK113" s="506">
        <f ca="1">AK111+AM111</f>
        <v>0.5673411607303801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0.97419019482885216</v>
      </c>
      <c r="D119" s="539">
        <f t="shared" ca="1" si="65"/>
        <v>0.97419019482885216</v>
      </c>
      <c r="E119" s="539">
        <f t="shared" ca="1" si="65"/>
        <v>0.97419019482885216</v>
      </c>
      <c r="F119" s="539" t="s">
        <v>336</v>
      </c>
      <c r="G119" s="539">
        <f ca="1">G32</f>
        <v>0.97419019482885216</v>
      </c>
      <c r="H119" s="539">
        <f ca="1">H32</f>
        <v>0.97419019482885216</v>
      </c>
      <c r="I119" s="539" t="s">
        <v>336</v>
      </c>
      <c r="J119" s="539">
        <f t="shared" ref="J119:L120" ca="1" si="66">J32</f>
        <v>1.8097940882622638</v>
      </c>
      <c r="K119" s="539">
        <f t="shared" ca="1" si="66"/>
        <v>1.8097940882622638</v>
      </c>
      <c r="L119" s="539">
        <f t="shared" ca="1" si="66"/>
        <v>1.8097940882622638</v>
      </c>
      <c r="M119" s="539" t="s">
        <v>336</v>
      </c>
      <c r="N119" s="539">
        <f ca="1">N32</f>
        <v>1.8097940882622638</v>
      </c>
      <c r="O119" s="539">
        <f ca="1">O32</f>
        <v>1.8097940882622638</v>
      </c>
      <c r="P119" s="539" t="s">
        <v>336</v>
      </c>
    </row>
    <row r="120" spans="1:39" x14ac:dyDescent="0.25">
      <c r="A120" s="812" t="s">
        <v>101</v>
      </c>
      <c r="B120" s="812" t="s">
        <v>754</v>
      </c>
      <c r="C120" s="539">
        <f t="shared" ca="1" si="65"/>
        <v>1.06333288762739</v>
      </c>
      <c r="D120" s="539">
        <f t="shared" ca="1" si="65"/>
        <v>1.06333288762739</v>
      </c>
      <c r="E120" s="539">
        <f t="shared" ca="1" si="65"/>
        <v>1.06333288762739</v>
      </c>
      <c r="F120" s="539" t="s">
        <v>336</v>
      </c>
      <c r="G120" s="539">
        <f ca="1">G33</f>
        <v>1.06333288762739</v>
      </c>
      <c r="H120" s="539">
        <f ca="1">H33</f>
        <v>1.06333288762739</v>
      </c>
      <c r="I120" s="539" t="s">
        <v>336</v>
      </c>
      <c r="J120" s="539">
        <f t="shared" ca="1" si="66"/>
        <v>1.2146607640282585</v>
      </c>
      <c r="K120" s="539">
        <f t="shared" ca="1" si="66"/>
        <v>1.2146607640282585</v>
      </c>
      <c r="L120" s="539">
        <f t="shared" ca="1" si="66"/>
        <v>1.2146607640282585</v>
      </c>
      <c r="M120" s="539" t="s">
        <v>336</v>
      </c>
      <c r="N120" s="539">
        <f ca="1">N33</f>
        <v>1.2146607640282585</v>
      </c>
      <c r="O120" s="539">
        <f ca="1">O33</f>
        <v>1.2146607640282585</v>
      </c>
      <c r="P120" s="539" t="s">
        <v>336</v>
      </c>
    </row>
    <row r="121" spans="1:39" x14ac:dyDescent="0.25">
      <c r="A121" s="813" t="s">
        <v>101</v>
      </c>
      <c r="B121" s="813" t="s">
        <v>792</v>
      </c>
      <c r="C121" s="535">
        <f ca="1">IFERROR(C122-SUM(C119:C120),"-")</f>
        <v>0.55072756309631288</v>
      </c>
      <c r="D121" s="535">
        <f ca="1">IFERROR(D122-SUM(D119:D120),"-")</f>
        <v>0.55072756309631288</v>
      </c>
      <c r="E121" s="535">
        <f ca="1">IFERROR(E122-SUM(E119:E120),"-")</f>
        <v>0.55072756309631288</v>
      </c>
      <c r="F121" s="535" t="s">
        <v>336</v>
      </c>
      <c r="G121" s="535">
        <f ca="1">IFERROR(G122-SUM(G119:G120),"-")</f>
        <v>0.55072756309631288</v>
      </c>
      <c r="H121" s="535">
        <f ca="1">IFERROR(H122-SUM(H119:H120),"-")</f>
        <v>0.55072756309631288</v>
      </c>
      <c r="I121" s="535" t="s">
        <v>336</v>
      </c>
      <c r="J121" s="535">
        <f ca="1">IFERROR(J122-SUM(J119:J120),"-")</f>
        <v>1.0231097512841352</v>
      </c>
      <c r="K121" s="535">
        <f ca="1">IFERROR(K122-SUM(K119:K120),"-")</f>
        <v>1.0231097512841352</v>
      </c>
      <c r="L121" s="535">
        <f ca="1">IFERROR(L122-SUM(L119:L120),"-")</f>
        <v>1.0231097512841352</v>
      </c>
      <c r="M121" s="535" t="s">
        <v>336</v>
      </c>
      <c r="N121" s="535">
        <f ca="1">IFERROR(N122-SUM(N119:N120),"-")</f>
        <v>1.0231097512841352</v>
      </c>
      <c r="O121" s="535">
        <f ca="1">IFERROR(O122-SUM(O119:O120),"-")</f>
        <v>1.0231097512841352</v>
      </c>
      <c r="P121" s="535" t="s">
        <v>336</v>
      </c>
    </row>
    <row r="122" spans="1:39" x14ac:dyDescent="0.25">
      <c r="A122" s="348" t="s">
        <v>101</v>
      </c>
      <c r="B122" s="348" t="s">
        <v>793</v>
      </c>
      <c r="C122" s="534">
        <f ca="1">C26</f>
        <v>2.5882506455525549</v>
      </c>
      <c r="D122" s="534">
        <f ca="1">D26</f>
        <v>2.5882506455525549</v>
      </c>
      <c r="E122" s="534">
        <f ca="1">E26</f>
        <v>2.5882506455525549</v>
      </c>
      <c r="F122" s="534" t="s">
        <v>336</v>
      </c>
      <c r="G122" s="534">
        <f ca="1">G26</f>
        <v>2.5882506455525549</v>
      </c>
      <c r="H122" s="534">
        <f ca="1">H26</f>
        <v>2.5882506455525549</v>
      </c>
      <c r="I122" s="534" t="s">
        <v>336</v>
      </c>
      <c r="J122" s="534">
        <f ca="1">J26</f>
        <v>4.0475646035746573</v>
      </c>
      <c r="K122" s="534">
        <f ca="1">K26</f>
        <v>4.0475646035746573</v>
      </c>
      <c r="L122" s="534">
        <f ca="1">L26</f>
        <v>4.0475646035746573</v>
      </c>
      <c r="M122" s="534" t="s">
        <v>336</v>
      </c>
      <c r="N122" s="534">
        <f ca="1">N26</f>
        <v>4.0475646035746573</v>
      </c>
      <c r="O122" s="534">
        <f ca="1">O26</f>
        <v>4.0475646035746573</v>
      </c>
      <c r="P122" s="534" t="s">
        <v>336</v>
      </c>
    </row>
    <row r="123" spans="1:39" x14ac:dyDescent="0.25">
      <c r="A123" s="812" t="s">
        <v>722</v>
      </c>
      <c r="B123" s="812" t="s">
        <v>752</v>
      </c>
      <c r="C123" s="133">
        <f ca="1">C119</f>
        <v>0.97419019482885216</v>
      </c>
      <c r="D123" s="537">
        <f ca="1">D119-L$111+R$111</f>
        <v>0.77269841850114696</v>
      </c>
      <c r="E123" s="537">
        <f ca="1">E119-M$111+S$111</f>
        <v>0.70293034964463164</v>
      </c>
      <c r="F123" s="538" t="s">
        <v>336</v>
      </c>
      <c r="G123" s="521">
        <f ca="1">G119</f>
        <v>0.97419019482885216</v>
      </c>
      <c r="H123" s="521">
        <f ca="1">H119</f>
        <v>0.97419019482885216</v>
      </c>
      <c r="I123" s="538" t="s">
        <v>336</v>
      </c>
      <c r="J123" s="133">
        <f ca="1">J119</f>
        <v>1.8097940882622638</v>
      </c>
      <c r="K123" s="537">
        <f ca="1">K119-X$111+AD$111</f>
        <v>1.8629048605319325</v>
      </c>
      <c r="L123" s="537">
        <f ca="1">L119-Y$111+AE$111</f>
        <v>1.861981445930303</v>
      </c>
      <c r="M123" s="538" t="s">
        <v>336</v>
      </c>
      <c r="N123" s="521">
        <f ca="1">N119</f>
        <v>1.8097940882622638</v>
      </c>
      <c r="O123" s="521">
        <f ca="1">O119</f>
        <v>1.8097940882622638</v>
      </c>
      <c r="P123" s="538" t="s">
        <v>336</v>
      </c>
    </row>
    <row r="124" spans="1:39" x14ac:dyDescent="0.25">
      <c r="A124" s="812" t="s">
        <v>722</v>
      </c>
      <c r="B124" s="812" t="s">
        <v>754</v>
      </c>
      <c r="C124" s="133">
        <f ca="1">C120</f>
        <v>1.06333288762739</v>
      </c>
      <c r="D124" s="521">
        <f ca="1">D120</f>
        <v>1.06333288762739</v>
      </c>
      <c r="E124" s="521">
        <f ca="1">E120</f>
        <v>1.06333288762739</v>
      </c>
      <c r="F124" s="536" t="s">
        <v>336</v>
      </c>
      <c r="G124" s="537">
        <f ca="1">G120-O$111+U$111</f>
        <v>0.84340372647077266</v>
      </c>
      <c r="H124" s="537">
        <f ca="1">H120-P$111+V$111</f>
        <v>0.7672515720812304</v>
      </c>
      <c r="I124" s="536" t="s">
        <v>336</v>
      </c>
      <c r="J124" s="133">
        <f ca="1">J120</f>
        <v>1.2146607640282585</v>
      </c>
      <c r="K124" s="521">
        <f ca="1">K120</f>
        <v>1.2146607640282585</v>
      </c>
      <c r="L124" s="521">
        <f ca="1">L120</f>
        <v>1.2146607640282585</v>
      </c>
      <c r="M124" s="536" t="s">
        <v>336</v>
      </c>
      <c r="N124" s="537">
        <f ca="1">N120-AA$111+AG$111</f>
        <v>1.2504278224281131</v>
      </c>
      <c r="O124" s="537">
        <f ca="1">O120-AB$111+AH$111</f>
        <v>1.2498080638087186</v>
      </c>
      <c r="P124" s="536" t="s">
        <v>336</v>
      </c>
    </row>
    <row r="125" spans="1:39" x14ac:dyDescent="0.25">
      <c r="A125" s="813" t="s">
        <v>722</v>
      </c>
      <c r="B125" s="813" t="s">
        <v>792</v>
      </c>
      <c r="C125" s="527">
        <f ca="1">C121</f>
        <v>0.55072756309631288</v>
      </c>
      <c r="D125" s="527">
        <f ca="1">D121</f>
        <v>0.55072756309631288</v>
      </c>
      <c r="E125" s="527">
        <f ca="1">E121</f>
        <v>0.55072756309631288</v>
      </c>
      <c r="F125" s="535" t="s">
        <v>336</v>
      </c>
      <c r="G125" s="527">
        <f ca="1">G121</f>
        <v>0.55072756309631288</v>
      </c>
      <c r="H125" s="527">
        <f ca="1">H121</f>
        <v>0.55072756309631288</v>
      </c>
      <c r="I125" s="535" t="s">
        <v>336</v>
      </c>
      <c r="J125" s="527">
        <f ca="1">J121</f>
        <v>1.0231097512841352</v>
      </c>
      <c r="K125" s="527">
        <f ca="1">K121</f>
        <v>1.0231097512841352</v>
      </c>
      <c r="L125" s="527">
        <f ca="1">L121</f>
        <v>1.0231097512841352</v>
      </c>
      <c r="M125" s="535" t="s">
        <v>336</v>
      </c>
      <c r="N125" s="527">
        <f ca="1">N121</f>
        <v>1.0231097512841352</v>
      </c>
      <c r="O125" s="527">
        <f ca="1">O121</f>
        <v>1.0231097512841352</v>
      </c>
      <c r="P125" s="535" t="s">
        <v>336</v>
      </c>
    </row>
    <row r="126" spans="1:39" x14ac:dyDescent="0.25">
      <c r="A126" s="348" t="s">
        <v>722</v>
      </c>
      <c r="B126" s="348" t="s">
        <v>793</v>
      </c>
      <c r="C126" s="466">
        <f ca="1">SUM(C123:C125)</f>
        <v>2.5882506455525549</v>
      </c>
      <c r="D126" s="466">
        <f ca="1">SUM(D123:D125)</f>
        <v>2.3867588692248498</v>
      </c>
      <c r="E126" s="466">
        <f ca="1">SUM(E123:E125)</f>
        <v>2.3169908003683344</v>
      </c>
      <c r="F126" s="534" t="s">
        <v>336</v>
      </c>
      <c r="G126" s="466">
        <f ca="1">SUM(G123:G125)</f>
        <v>2.3683214843959375</v>
      </c>
      <c r="H126" s="466">
        <f ca="1">SUM(H123:H125)</f>
        <v>2.2921693300063954</v>
      </c>
      <c r="I126" s="534" t="s">
        <v>336</v>
      </c>
      <c r="J126" s="466">
        <f ca="1">SUM(J123:J125)</f>
        <v>4.0475646035746573</v>
      </c>
      <c r="K126" s="466">
        <f ca="1">SUM(K123:K125)</f>
        <v>4.1006753758443262</v>
      </c>
      <c r="L126" s="466">
        <f ca="1">SUM(L123:L125)</f>
        <v>4.0997519612426965</v>
      </c>
      <c r="M126" s="534" t="s">
        <v>336</v>
      </c>
      <c r="N126" s="466">
        <f ca="1">SUM(N123:N125)</f>
        <v>4.0833316619745119</v>
      </c>
      <c r="O126" s="466">
        <f ca="1">SUM(O123:O125)</f>
        <v>4.0827119033551176</v>
      </c>
      <c r="P126" s="534" t="s">
        <v>336</v>
      </c>
    </row>
    <row r="127" spans="1:39" x14ac:dyDescent="0.25">
      <c r="A127" s="363" t="s">
        <v>794</v>
      </c>
      <c r="B127" s="363" t="s">
        <v>793</v>
      </c>
      <c r="C127" s="532">
        <f ca="1">C122-C126</f>
        <v>0</v>
      </c>
      <c r="D127" s="532">
        <f ca="1">D122-D126</f>
        <v>0.2014917763277051</v>
      </c>
      <c r="E127" s="532">
        <f ca="1">E122-E126</f>
        <v>0.27125984518422053</v>
      </c>
      <c r="F127" s="533" t="s">
        <v>336</v>
      </c>
      <c r="G127" s="532">
        <f ca="1">G122-G126</f>
        <v>0.21992916115661743</v>
      </c>
      <c r="H127" s="532">
        <f ca="1">H122-H126</f>
        <v>0.29608131554615946</v>
      </c>
      <c r="I127" s="533" t="s">
        <v>336</v>
      </c>
      <c r="J127" s="532">
        <f ca="1">J122-J126</f>
        <v>0</v>
      </c>
      <c r="K127" s="532">
        <f ca="1">K122-K126</f>
        <v>-5.3110772269668871E-2</v>
      </c>
      <c r="L127" s="532">
        <f ca="1">L122-L126</f>
        <v>-5.2187357668039169E-2</v>
      </c>
      <c r="M127" s="533" t="s">
        <v>336</v>
      </c>
      <c r="N127" s="532">
        <f ca="1">N122-N126</f>
        <v>-3.5767058399854612E-2</v>
      </c>
      <c r="O127" s="532">
        <f ca="1">O122-O126</f>
        <v>-3.5147299780460273E-2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161D-D94D-4284-915D-AC8F66EBC80C}">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2022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2022</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2022 Baseline NA Area PM2.5 Emissions (tpd) by Curtailment Regime</v>
      </c>
      <c r="D4" s="840"/>
      <c r="E4" s="840"/>
      <c r="F4" s="840"/>
      <c r="G4" s="840"/>
      <c r="H4" s="840"/>
      <c r="I4" s="840"/>
      <c r="J4" s="840" t="str">
        <f>$B$2&amp;" Baseline NA Area SO2 Emissions (tpd) by Curtailment Regime"</f>
        <v>2022 Baseline NA Area SO2 Emissions (tpd) by Curtailment Regime</v>
      </c>
      <c r="K4" s="840"/>
      <c r="L4" s="840"/>
      <c r="M4" s="840"/>
      <c r="N4" s="840"/>
      <c r="O4" s="840"/>
      <c r="P4" s="840"/>
      <c r="Q4" s="840" t="str">
        <f>$B$2&amp;" Baseline NA Area Energy Use (mmBTU) by Curtailment Regime"</f>
        <v>2022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0.66414800189714196</v>
      </c>
      <c r="D6" s="133">
        <f ca="1">INDIRECT("'DevSumOut-"&amp;$B$2&amp;"BSR'!R50")</f>
        <v>0.66414800189714196</v>
      </c>
      <c r="E6" s="133">
        <f ca="1">INDIRECT("'DevSumOut-"&amp;$B$2&amp;"BSR'!R50")</f>
        <v>0.66414800189714196</v>
      </c>
      <c r="F6" s="551" t="s">
        <v>336</v>
      </c>
      <c r="G6" s="133">
        <f ca="1">INDIRECT("'DevSumOut-"&amp;$B$2&amp;"BSR'!R50")</f>
        <v>0.66414800189714196</v>
      </c>
      <c r="H6" s="133">
        <f ca="1">INDIRECT("'DevSumOut-"&amp;$B$2&amp;"BSR'!R50")</f>
        <v>0.66414800189714196</v>
      </c>
      <c r="I6" s="551" t="s">
        <v>336</v>
      </c>
      <c r="J6" s="133">
        <f ca="1">INDIRECT("'DevSumOut-"&amp;$B$2&amp;"BSR'!P50")</f>
        <v>7.6780115826259165E-3</v>
      </c>
      <c r="K6" s="133">
        <f ca="1">INDIRECT("'DevSumOut-"&amp;$B$2&amp;"BSR'!P50")</f>
        <v>7.6780115826259165E-3</v>
      </c>
      <c r="L6" s="133">
        <f ca="1">INDIRECT("'DevSumOut-"&amp;$B$2&amp;"BSR'!P50")</f>
        <v>7.6780115826259165E-3</v>
      </c>
      <c r="M6" s="551" t="s">
        <v>336</v>
      </c>
      <c r="N6" s="133">
        <f ca="1">INDIRECT("'DevSumOut-"&amp;$B$2&amp;"BSR'!P50")</f>
        <v>7.6780115826259165E-3</v>
      </c>
      <c r="O6" s="133">
        <f ca="1">INDIRECT("'DevSumOut-"&amp;$B$2&amp;"BSR'!P50")</f>
        <v>7.6780115826259165E-3</v>
      </c>
      <c r="P6" s="551" t="s">
        <v>336</v>
      </c>
      <c r="Q6" s="45">
        <f ca="1">INDIRECT("'DevSumOut-"&amp;$B$2&amp;"BSR'!U50")</f>
        <v>616.4672937865048</v>
      </c>
      <c r="R6" s="45">
        <f ca="1">INDIRECT("'DevSumOut-"&amp;$B$2&amp;"BSR'!U50")</f>
        <v>616.4672937865048</v>
      </c>
      <c r="S6" s="45">
        <f ca="1">INDIRECT("'DevSumOut-"&amp;$B$2&amp;"BSR'!U50")</f>
        <v>616.4672937865048</v>
      </c>
      <c r="T6" s="581" t="s">
        <v>336</v>
      </c>
      <c r="U6" s="45">
        <f ca="1">INDIRECT("'DevSumOut-"&amp;$B$2&amp;"BSR'!U50")</f>
        <v>616.4672937865048</v>
      </c>
      <c r="V6" s="45">
        <f ca="1">INDIRECT("'DevSumOut-"&amp;$B$2&amp;"BSR'!U50")</f>
        <v>616.4672937865048</v>
      </c>
      <c r="W6" s="581" t="s">
        <v>336</v>
      </c>
      <c r="X6" s="133">
        <f t="shared" ref="X6:Z22" ca="1" si="0">C6*2000/Q6</f>
        <v>2.1546901468779298</v>
      </c>
      <c r="Y6" s="133">
        <f t="shared" ca="1" si="0"/>
        <v>2.1546901468779298</v>
      </c>
      <c r="Z6" s="133">
        <f t="shared" ca="1" si="0"/>
        <v>2.1546901468779298</v>
      </c>
      <c r="AA6" s="133"/>
      <c r="AB6" s="133">
        <f t="shared" ref="AB6:AC22" ca="1" si="1">G6*2000/U6</f>
        <v>2.1546901468779298</v>
      </c>
      <c r="AC6" s="133">
        <f t="shared" ca="1" si="1"/>
        <v>2.1546901468779298</v>
      </c>
    </row>
    <row r="7" spans="1:29" x14ac:dyDescent="0.25">
      <c r="A7" s="812">
        <v>2104008210</v>
      </c>
      <c r="B7" s="812" t="s">
        <v>138</v>
      </c>
      <c r="C7" s="133">
        <f ca="1">INDIRECT("'DevSumOut-"&amp;$B$2&amp;"BSR'!R51")</f>
        <v>5.1833834205788992E-2</v>
      </c>
      <c r="D7" s="133">
        <f ca="1">INDIRECT("'DevSumOut-"&amp;$B$2&amp;"BSR'!R51")</f>
        <v>5.1833834205788992E-2</v>
      </c>
      <c r="E7" s="133">
        <f ca="1">INDIRECT("'DevSumOut-"&amp;$B$2&amp;"BSR'!R51")</f>
        <v>5.1833834205788992E-2</v>
      </c>
      <c r="F7" s="551" t="s">
        <v>336</v>
      </c>
      <c r="G7" s="133">
        <f ca="1">INDIRECT("'DevSumOut-"&amp;$B$2&amp;"BSR'!R51")</f>
        <v>5.1833834205788992E-2</v>
      </c>
      <c r="H7" s="133">
        <f ca="1">INDIRECT("'DevSumOut-"&amp;$B$2&amp;"BSR'!R51")</f>
        <v>5.1833834205788992E-2</v>
      </c>
      <c r="I7" s="551" t="s">
        <v>336</v>
      </c>
      <c r="J7" s="133">
        <f ca="1">INDIRECT("'DevSumOut-"&amp;$B$2&amp;"BSR'!P51")</f>
        <v>6.7756646020639209E-4</v>
      </c>
      <c r="K7" s="133">
        <f ca="1">INDIRECT("'DevSumOut-"&amp;$B$2&amp;"BSR'!P51")</f>
        <v>6.7756646020639209E-4</v>
      </c>
      <c r="L7" s="133">
        <f ca="1">INDIRECT("'DevSumOut-"&amp;$B$2&amp;"BSR'!P51")</f>
        <v>6.7756646020639209E-4</v>
      </c>
      <c r="M7" s="551" t="s">
        <v>336</v>
      </c>
      <c r="N7" s="133">
        <f ca="1">INDIRECT("'DevSumOut-"&amp;$B$2&amp;"BSR'!P51")</f>
        <v>6.7756646020639209E-4</v>
      </c>
      <c r="O7" s="133">
        <f ca="1">INDIRECT("'DevSumOut-"&amp;$B$2&amp;"BSR'!P51")</f>
        <v>6.7756646020639209E-4</v>
      </c>
      <c r="P7" s="551" t="s">
        <v>336</v>
      </c>
      <c r="Q7" s="45">
        <f ca="1">INDIRECT("'DevSumOut-"&amp;$B$2&amp;"BSR'!U51")</f>
        <v>54.392096174095641</v>
      </c>
      <c r="R7" s="45">
        <f ca="1">INDIRECT("'DevSumOut-"&amp;$B$2&amp;"BSR'!U51")</f>
        <v>54.392096174095641</v>
      </c>
      <c r="S7" s="45">
        <f ca="1">INDIRECT("'DevSumOut-"&amp;$B$2&amp;"BSR'!U51")</f>
        <v>54.392096174095641</v>
      </c>
      <c r="T7" s="581" t="s">
        <v>336</v>
      </c>
      <c r="U7" s="45">
        <f ca="1">INDIRECT("'DevSumOut-"&amp;$B$2&amp;"BSR'!U51")</f>
        <v>54.392096174095641</v>
      </c>
      <c r="V7" s="45">
        <f ca="1">INDIRECT("'DevSumOut-"&amp;$B$2&amp;"BSR'!U51")</f>
        <v>54.392096174095641</v>
      </c>
      <c r="W7" s="581" t="s">
        <v>336</v>
      </c>
      <c r="X7" s="133">
        <f t="shared" ca="1" si="0"/>
        <v>1.9059325840240358</v>
      </c>
      <c r="Y7" s="133">
        <f t="shared" ca="1" si="0"/>
        <v>1.9059325840240358</v>
      </c>
      <c r="Z7" s="133">
        <f t="shared" ca="1" si="0"/>
        <v>1.9059325840240358</v>
      </c>
      <c r="AA7" s="133"/>
      <c r="AB7" s="133">
        <f t="shared" ca="1" si="1"/>
        <v>1.9059325840240358</v>
      </c>
      <c r="AC7" s="133">
        <f t="shared" ca="1" si="1"/>
        <v>1.9059325840240358</v>
      </c>
    </row>
    <row r="8" spans="1:29" x14ac:dyDescent="0.25">
      <c r="A8" s="812">
        <v>2104008220</v>
      </c>
      <c r="B8" s="812" t="s">
        <v>139</v>
      </c>
      <c r="C8" s="133">
        <f ca="1">INDIRECT("'DevSumOut-"&amp;$B$2&amp;"BSR'!R52")</f>
        <v>4.2796784236900379E-2</v>
      </c>
      <c r="D8" s="133">
        <f ca="1">INDIRECT("'DevSumOut-"&amp;$B$2&amp;"BSR'!R52")</f>
        <v>4.2796784236900379E-2</v>
      </c>
      <c r="E8" s="133">
        <f ca="1">INDIRECT("'DevSumOut-"&amp;$B$2&amp;"BSR'!R52")</f>
        <v>4.2796784236900379E-2</v>
      </c>
      <c r="F8" s="551" t="s">
        <v>336</v>
      </c>
      <c r="G8" s="133">
        <f ca="1">INDIRECT("'DevSumOut-"&amp;$B$2&amp;"BSR'!R52")</f>
        <v>4.2796784236900379E-2</v>
      </c>
      <c r="H8" s="133">
        <f ca="1">INDIRECT("'DevSumOut-"&amp;$B$2&amp;"BSR'!R52")</f>
        <v>4.2796784236900379E-2</v>
      </c>
      <c r="I8" s="551" t="s">
        <v>336</v>
      </c>
      <c r="J8" s="133">
        <f ca="1">INDIRECT("'DevSumOut-"&amp;$B$2&amp;"BSR'!P52")</f>
        <v>1.4265594745633456E-3</v>
      </c>
      <c r="K8" s="133">
        <f ca="1">INDIRECT("'DevSumOut-"&amp;$B$2&amp;"BSR'!P52")</f>
        <v>1.4265594745633456E-3</v>
      </c>
      <c r="L8" s="133">
        <f ca="1">INDIRECT("'DevSumOut-"&amp;$B$2&amp;"BSR'!P52")</f>
        <v>1.4265594745633456E-3</v>
      </c>
      <c r="M8" s="551" t="s">
        <v>336</v>
      </c>
      <c r="N8" s="133">
        <f ca="1">INDIRECT("'DevSumOut-"&amp;$B$2&amp;"BSR'!P52")</f>
        <v>1.4265594745633456E-3</v>
      </c>
      <c r="O8" s="133">
        <f ca="1">INDIRECT("'DevSumOut-"&amp;$B$2&amp;"BSR'!P52")</f>
        <v>1.4265594745633456E-3</v>
      </c>
      <c r="P8" s="551" t="s">
        <v>336</v>
      </c>
      <c r="Q8" s="45">
        <f ca="1">INDIRECT("'DevSumOut-"&amp;$B$2&amp;"BSR'!U52")</f>
        <v>114.51800627038304</v>
      </c>
      <c r="R8" s="45">
        <f ca="1">INDIRECT("'DevSumOut-"&amp;$B$2&amp;"BSR'!U52")</f>
        <v>114.51800627038304</v>
      </c>
      <c r="S8" s="45">
        <f ca="1">INDIRECT("'DevSumOut-"&amp;$B$2&amp;"BSR'!U52")</f>
        <v>114.51800627038304</v>
      </c>
      <c r="T8" s="581" t="s">
        <v>336</v>
      </c>
      <c r="U8" s="45">
        <f ca="1">INDIRECT("'DevSumOut-"&amp;$B$2&amp;"BSR'!U52")</f>
        <v>114.51800627038304</v>
      </c>
      <c r="V8" s="45">
        <f ca="1">INDIRECT("'DevSumOut-"&amp;$B$2&amp;"BSR'!U52")</f>
        <v>114.51800627038304</v>
      </c>
      <c r="W8" s="581" t="s">
        <v>336</v>
      </c>
      <c r="X8" s="133">
        <f t="shared" ca="1" si="0"/>
        <v>0.74742454275452397</v>
      </c>
      <c r="Y8" s="133">
        <f t="shared" ca="1" si="0"/>
        <v>0.74742454275452397</v>
      </c>
      <c r="Z8" s="133">
        <f t="shared" ca="1" si="0"/>
        <v>0.74742454275452397</v>
      </c>
      <c r="AA8" s="133"/>
      <c r="AB8" s="133">
        <f t="shared" ca="1" si="1"/>
        <v>0.74742454275452397</v>
      </c>
      <c r="AC8" s="133">
        <f t="shared" ca="1" si="1"/>
        <v>0.74742454275452397</v>
      </c>
    </row>
    <row r="9" spans="1:29" x14ac:dyDescent="0.25">
      <c r="A9" s="812">
        <v>2104008230</v>
      </c>
      <c r="B9" s="812" t="s">
        <v>140</v>
      </c>
      <c r="C9" s="133">
        <f ca="1">INDIRECT("'DevSumOut-"&amp;$B$2&amp;"BSR'!R53")</f>
        <v>2.7914030739642468E-2</v>
      </c>
      <c r="D9" s="133">
        <f ca="1">INDIRECT("'DevSumOut-"&amp;$B$2&amp;"BSR'!R53")</f>
        <v>2.7914030739642468E-2</v>
      </c>
      <c r="E9" s="133">
        <f ca="1">INDIRECT("'DevSumOut-"&amp;$B$2&amp;"BSR'!R53")</f>
        <v>2.7914030739642468E-2</v>
      </c>
      <c r="F9" s="551" t="s">
        <v>336</v>
      </c>
      <c r="G9" s="133">
        <f ca="1">INDIRECT("'DevSumOut-"&amp;$B$2&amp;"BSR'!R53")</f>
        <v>2.7914030739642468E-2</v>
      </c>
      <c r="H9" s="133">
        <f ca="1">INDIRECT("'DevSumOut-"&amp;$B$2&amp;"BSR'!R53")</f>
        <v>2.7914030739642468E-2</v>
      </c>
      <c r="I9" s="551" t="s">
        <v>336</v>
      </c>
      <c r="J9" s="133">
        <f ca="1">INDIRECT("'DevSumOut-"&amp;$B$2&amp;"BSR'!P53")</f>
        <v>8.5889325352746042E-4</v>
      </c>
      <c r="K9" s="133">
        <f ca="1">INDIRECT("'DevSumOut-"&amp;$B$2&amp;"BSR'!P53")</f>
        <v>8.5889325352746042E-4</v>
      </c>
      <c r="L9" s="133">
        <f ca="1">INDIRECT("'DevSumOut-"&amp;$B$2&amp;"BSR'!P53")</f>
        <v>8.5889325352746042E-4</v>
      </c>
      <c r="M9" s="551" t="s">
        <v>336</v>
      </c>
      <c r="N9" s="133">
        <f ca="1">INDIRECT("'DevSumOut-"&amp;$B$2&amp;"BSR'!P53")</f>
        <v>8.5889325352746042E-4</v>
      </c>
      <c r="O9" s="133">
        <f ca="1">INDIRECT("'DevSumOut-"&amp;$B$2&amp;"BSR'!P53")</f>
        <v>8.5889325352746042E-4</v>
      </c>
      <c r="P9" s="551" t="s">
        <v>336</v>
      </c>
      <c r="Q9" s="45">
        <f ca="1">INDIRECT("'DevSumOut-"&amp;$B$2&amp;"BSR'!U53")</f>
        <v>68.94822455485351</v>
      </c>
      <c r="R9" s="45">
        <f ca="1">INDIRECT("'DevSumOut-"&amp;$B$2&amp;"BSR'!U53")</f>
        <v>68.94822455485351</v>
      </c>
      <c r="S9" s="45">
        <f ca="1">INDIRECT("'DevSumOut-"&amp;$B$2&amp;"BSR'!U53")</f>
        <v>68.94822455485351</v>
      </c>
      <c r="T9" s="581" t="s">
        <v>336</v>
      </c>
      <c r="U9" s="45">
        <f ca="1">INDIRECT("'DevSumOut-"&amp;$B$2&amp;"BSR'!U53")</f>
        <v>68.94822455485351</v>
      </c>
      <c r="V9" s="45">
        <f ca="1">INDIRECT("'DevSumOut-"&amp;$B$2&amp;"BSR'!U53")</f>
        <v>68.94822455485351</v>
      </c>
      <c r="W9" s="581" t="s">
        <v>336</v>
      </c>
      <c r="X9" s="133">
        <f t="shared" ca="1" si="0"/>
        <v>0.80970992131740105</v>
      </c>
      <c r="Y9" s="133">
        <f t="shared" ca="1" si="0"/>
        <v>0.80970992131740105</v>
      </c>
      <c r="Z9" s="133">
        <f t="shared" ca="1" si="0"/>
        <v>0.80970992131740105</v>
      </c>
      <c r="AA9" s="133"/>
      <c r="AB9" s="133">
        <f t="shared" ca="1" si="1"/>
        <v>0.80970992131740105</v>
      </c>
      <c r="AC9" s="133">
        <f t="shared" ca="1" si="1"/>
        <v>0.80970992131740105</v>
      </c>
    </row>
    <row r="10" spans="1:29" x14ac:dyDescent="0.25">
      <c r="A10" s="812">
        <v>2104008310</v>
      </c>
      <c r="B10" s="812" t="s">
        <v>141</v>
      </c>
      <c r="C10" s="133">
        <f ca="1">INDIRECT("'DevSumOut-"&amp;$B$2&amp;"BSR'!R54")</f>
        <v>0.41740300066289604</v>
      </c>
      <c r="D10" s="133">
        <f ca="1">INDIRECT("'DevSumOut-"&amp;$B$2&amp;"BSR'!R54")</f>
        <v>0.41740300066289604</v>
      </c>
      <c r="E10" s="133">
        <f ca="1">INDIRECT("'DevSumOut-"&amp;$B$2&amp;"BSR'!R54")</f>
        <v>0.41740300066289604</v>
      </c>
      <c r="F10" s="551" t="s">
        <v>336</v>
      </c>
      <c r="G10" s="133">
        <f ca="1">INDIRECT("'DevSumOut-"&amp;$B$2&amp;"BSR'!R54")</f>
        <v>0.41740300066289604</v>
      </c>
      <c r="H10" s="133">
        <f ca="1">INDIRECT("'DevSumOut-"&amp;$B$2&amp;"BSR'!R54")</f>
        <v>0.41740300066289604</v>
      </c>
      <c r="I10" s="551" t="s">
        <v>336</v>
      </c>
      <c r="J10" s="133">
        <f ca="1">INDIRECT("'DevSumOut-"&amp;$B$2&amp;"BSR'!P54")</f>
        <v>1.3750683264388261E-2</v>
      </c>
      <c r="K10" s="133">
        <f ca="1">INDIRECT("'DevSumOut-"&amp;$B$2&amp;"BSR'!P54")</f>
        <v>1.3750683264388261E-2</v>
      </c>
      <c r="L10" s="133">
        <f ca="1">INDIRECT("'DevSumOut-"&amp;$B$2&amp;"BSR'!P54")</f>
        <v>1.3750683264388261E-2</v>
      </c>
      <c r="M10" s="551" t="s">
        <v>336</v>
      </c>
      <c r="N10" s="133">
        <f ca="1">INDIRECT("'DevSumOut-"&amp;$B$2&amp;"BSR'!P54")</f>
        <v>1.3750683264388261E-2</v>
      </c>
      <c r="O10" s="133">
        <f ca="1">INDIRECT("'DevSumOut-"&amp;$B$2&amp;"BSR'!P54")</f>
        <v>1.3750683264388261E-2</v>
      </c>
      <c r="P10" s="551" t="s">
        <v>336</v>
      </c>
      <c r="Q10" s="45">
        <f ca="1">INDIRECT("'DevSumOut-"&amp;$B$2&amp;"BSR'!U54")</f>
        <v>1103.8452026511297</v>
      </c>
      <c r="R10" s="45">
        <f ca="1">INDIRECT("'DevSumOut-"&amp;$B$2&amp;"BSR'!U54")</f>
        <v>1103.8452026511297</v>
      </c>
      <c r="S10" s="45">
        <f ca="1">INDIRECT("'DevSumOut-"&amp;$B$2&amp;"BSR'!U54")</f>
        <v>1103.8452026511297</v>
      </c>
      <c r="T10" s="581" t="s">
        <v>336</v>
      </c>
      <c r="U10" s="45">
        <f ca="1">INDIRECT("'DevSumOut-"&amp;$B$2&amp;"BSR'!U54")</f>
        <v>1103.8452026511297</v>
      </c>
      <c r="V10" s="45">
        <f ca="1">INDIRECT("'DevSumOut-"&amp;$B$2&amp;"BSR'!U54")</f>
        <v>1103.8452026511297</v>
      </c>
      <c r="W10" s="581" t="s">
        <v>336</v>
      </c>
      <c r="X10" s="133">
        <f t="shared" ca="1" si="0"/>
        <v>0.75627089678953152</v>
      </c>
      <c r="Y10" s="133">
        <f t="shared" ca="1" si="0"/>
        <v>0.75627089678953152</v>
      </c>
      <c r="Z10" s="133">
        <f t="shared" ca="1" si="0"/>
        <v>0.75627089678953152</v>
      </c>
      <c r="AA10" s="133"/>
      <c r="AB10" s="133">
        <f t="shared" ca="1" si="1"/>
        <v>0.75627089678953152</v>
      </c>
      <c r="AC10" s="133">
        <f t="shared" ca="1" si="1"/>
        <v>0.75627089678953152</v>
      </c>
    </row>
    <row r="11" spans="1:29" x14ac:dyDescent="0.25">
      <c r="A11" s="812">
        <v>2104008320</v>
      </c>
      <c r="B11" s="812" t="s">
        <v>142</v>
      </c>
      <c r="C11" s="133">
        <f ca="1">INDIRECT("'DevSumOut-"&amp;$B$2&amp;"BSR'!R55")</f>
        <v>0.57359902550757647</v>
      </c>
      <c r="D11" s="133">
        <f ca="1">INDIRECT("'DevSumOut-"&amp;$B$2&amp;"BSR'!R55")</f>
        <v>0.57359902550757647</v>
      </c>
      <c r="E11" s="133">
        <f ca="1">INDIRECT("'DevSumOut-"&amp;$B$2&amp;"BSR'!R55")</f>
        <v>0.57359902550757647</v>
      </c>
      <c r="F11" s="551" t="s">
        <v>336</v>
      </c>
      <c r="G11" s="133">
        <f ca="1">INDIRECT("'DevSumOut-"&amp;$B$2&amp;"BSR'!R55")</f>
        <v>0.57359902550757647</v>
      </c>
      <c r="H11" s="133">
        <f ca="1">INDIRECT("'DevSumOut-"&amp;$B$2&amp;"BSR'!R55")</f>
        <v>0.57359902550757647</v>
      </c>
      <c r="I11" s="551" t="s">
        <v>336</v>
      </c>
      <c r="J11" s="133">
        <f ca="1">INDIRECT("'DevSumOut-"&amp;$B$2&amp;"BSR'!P55")</f>
        <v>2.8950912780655459E-2</v>
      </c>
      <c r="K11" s="133">
        <f ca="1">INDIRECT("'DevSumOut-"&amp;$B$2&amp;"BSR'!P55")</f>
        <v>2.8950912780655459E-2</v>
      </c>
      <c r="L11" s="133">
        <f ca="1">INDIRECT("'DevSumOut-"&amp;$B$2&amp;"BSR'!P55")</f>
        <v>2.8950912780655459E-2</v>
      </c>
      <c r="M11" s="551" t="s">
        <v>336</v>
      </c>
      <c r="N11" s="133">
        <f ca="1">INDIRECT("'DevSumOut-"&amp;$B$2&amp;"BSR'!P55")</f>
        <v>2.8950912780655459E-2</v>
      </c>
      <c r="O11" s="133">
        <f ca="1">INDIRECT("'DevSumOut-"&amp;$B$2&amp;"BSR'!P55")</f>
        <v>2.8950912780655459E-2</v>
      </c>
      <c r="P11" s="551" t="s">
        <v>336</v>
      </c>
      <c r="Q11" s="45">
        <f ca="1">INDIRECT("'DevSumOut-"&amp;$B$2&amp;"BSR'!U55")</f>
        <v>2324.0536903399848</v>
      </c>
      <c r="R11" s="45">
        <f ca="1">INDIRECT("'DevSumOut-"&amp;$B$2&amp;"BSR'!U55")</f>
        <v>2324.0536903399848</v>
      </c>
      <c r="S11" s="45">
        <f ca="1">INDIRECT("'DevSumOut-"&amp;$B$2&amp;"BSR'!U55")</f>
        <v>2324.0536903399848</v>
      </c>
      <c r="T11" s="581" t="s">
        <v>336</v>
      </c>
      <c r="U11" s="45">
        <f ca="1">INDIRECT("'DevSumOut-"&amp;$B$2&amp;"BSR'!U55")</f>
        <v>2324.0536903399848</v>
      </c>
      <c r="V11" s="45">
        <f ca="1">INDIRECT("'DevSumOut-"&amp;$B$2&amp;"BSR'!U55")</f>
        <v>2324.0536903399848</v>
      </c>
      <c r="W11" s="581" t="s">
        <v>336</v>
      </c>
      <c r="X11" s="133">
        <f t="shared" ca="1" si="0"/>
        <v>0.49361942703110695</v>
      </c>
      <c r="Y11" s="133">
        <f t="shared" ca="1" si="0"/>
        <v>0.49361942703110695</v>
      </c>
      <c r="Z11" s="133">
        <f t="shared" ca="1" si="0"/>
        <v>0.49361942703110695</v>
      </c>
      <c r="AA11" s="133"/>
      <c r="AB11" s="133">
        <f t="shared" ca="1" si="1"/>
        <v>0.49361942703110695</v>
      </c>
      <c r="AC11" s="133">
        <f t="shared" ca="1" si="1"/>
        <v>0.49361942703110695</v>
      </c>
    </row>
    <row r="12" spans="1:29" x14ac:dyDescent="0.25">
      <c r="A12" s="812">
        <v>2104008330</v>
      </c>
      <c r="B12" s="812" t="s">
        <v>143</v>
      </c>
      <c r="C12" s="133">
        <f ca="1">INDIRECT("'DevSumOut-"&amp;$B$2&amp;"BSR'!R56")</f>
        <v>0.38319503427032575</v>
      </c>
      <c r="D12" s="133">
        <f ca="1">INDIRECT("'DevSumOut-"&amp;$B$2&amp;"BSR'!R56")</f>
        <v>0.38319503427032575</v>
      </c>
      <c r="E12" s="133">
        <f ca="1">INDIRECT("'DevSumOut-"&amp;$B$2&amp;"BSR'!R56")</f>
        <v>0.38319503427032575</v>
      </c>
      <c r="F12" s="551" t="s">
        <v>336</v>
      </c>
      <c r="G12" s="133">
        <f ca="1">INDIRECT("'DevSumOut-"&amp;$B$2&amp;"BSR'!R56")</f>
        <v>0.38319503427032575</v>
      </c>
      <c r="H12" s="133">
        <f ca="1">INDIRECT("'DevSumOut-"&amp;$B$2&amp;"BSR'!R56")</f>
        <v>0.38319503427032575</v>
      </c>
      <c r="I12" s="551" t="s">
        <v>336</v>
      </c>
      <c r="J12" s="133">
        <f ca="1">INDIRECT("'DevSumOut-"&amp;$B$2&amp;"BSR'!P56")</f>
        <v>1.7430569222063472E-2</v>
      </c>
      <c r="K12" s="133">
        <f ca="1">INDIRECT("'DevSumOut-"&amp;$B$2&amp;"BSR'!P56")</f>
        <v>1.7430569222063472E-2</v>
      </c>
      <c r="L12" s="133">
        <f ca="1">INDIRECT("'DevSumOut-"&amp;$B$2&amp;"BSR'!P56")</f>
        <v>1.7430569222063472E-2</v>
      </c>
      <c r="M12" s="551" t="s">
        <v>336</v>
      </c>
      <c r="N12" s="133">
        <f ca="1">INDIRECT("'DevSumOut-"&amp;$B$2&amp;"BSR'!P56")</f>
        <v>1.7430569222063472E-2</v>
      </c>
      <c r="O12" s="133">
        <f ca="1">INDIRECT("'DevSumOut-"&amp;$B$2&amp;"BSR'!P56")</f>
        <v>1.7430569222063472E-2</v>
      </c>
      <c r="P12" s="551" t="s">
        <v>336</v>
      </c>
      <c r="Q12" s="45">
        <f ca="1">INDIRECT("'DevSumOut-"&amp;$B$2&amp;"BSR'!U56")</f>
        <v>1399.2504841619725</v>
      </c>
      <c r="R12" s="45">
        <f ca="1">INDIRECT("'DevSumOut-"&amp;$B$2&amp;"BSR'!U56")</f>
        <v>1399.2504841619725</v>
      </c>
      <c r="S12" s="45">
        <f ca="1">INDIRECT("'DevSumOut-"&amp;$B$2&amp;"BSR'!U56")</f>
        <v>1399.2504841619725</v>
      </c>
      <c r="T12" s="581" t="s">
        <v>336</v>
      </c>
      <c r="U12" s="45">
        <f ca="1">INDIRECT("'DevSumOut-"&amp;$B$2&amp;"BSR'!U56")</f>
        <v>1399.2504841619725</v>
      </c>
      <c r="V12" s="45">
        <f ca="1">INDIRECT("'DevSumOut-"&amp;$B$2&amp;"BSR'!U56")</f>
        <v>1399.2504841619725</v>
      </c>
      <c r="W12" s="581" t="s">
        <v>336</v>
      </c>
      <c r="X12" s="133">
        <f t="shared" ca="1" si="0"/>
        <v>0.54771470670574862</v>
      </c>
      <c r="Y12" s="133">
        <f t="shared" ca="1" si="0"/>
        <v>0.54771470670574862</v>
      </c>
      <c r="Z12" s="133">
        <f t="shared" ca="1" si="0"/>
        <v>0.54771470670574862</v>
      </c>
      <c r="AA12" s="133"/>
      <c r="AB12" s="133">
        <f t="shared" ca="1" si="1"/>
        <v>0.54771470670574862</v>
      </c>
      <c r="AC12" s="133">
        <f t="shared" ca="1" si="1"/>
        <v>0.54771470670574862</v>
      </c>
    </row>
    <row r="13" spans="1:29" x14ac:dyDescent="0.25">
      <c r="A13" s="812">
        <v>2104008410</v>
      </c>
      <c r="B13" s="812" t="s">
        <v>144</v>
      </c>
      <c r="C13" s="133">
        <f ca="1">INDIRECT("'DevSumOut-"&amp;$B$2&amp;"BSR'!R57")</f>
        <v>1.4139396184964282E-2</v>
      </c>
      <c r="D13" s="133">
        <f ca="1">INDIRECT("'DevSumOut-"&amp;$B$2&amp;"BSR'!R57")</f>
        <v>1.4139396184964282E-2</v>
      </c>
      <c r="E13" s="133">
        <f ca="1">INDIRECT("'DevSumOut-"&amp;$B$2&amp;"BSR'!R57")</f>
        <v>1.4139396184964282E-2</v>
      </c>
      <c r="F13" s="551" t="s">
        <v>336</v>
      </c>
      <c r="G13" s="133">
        <f ca="1">INDIRECT("'DevSumOut-"&amp;$B$2&amp;"BSR'!R57")</f>
        <v>1.4139396184964282E-2</v>
      </c>
      <c r="H13" s="133">
        <f ca="1">INDIRECT("'DevSumOut-"&amp;$B$2&amp;"BSR'!R57")</f>
        <v>1.4139396184964282E-2</v>
      </c>
      <c r="I13" s="551" t="s">
        <v>336</v>
      </c>
      <c r="J13" s="133">
        <f ca="1">INDIRECT("'DevSumOut-"&amp;$B$2&amp;"BSR'!P57")</f>
        <v>1.5285833713474901E-3</v>
      </c>
      <c r="K13" s="133">
        <f ca="1">INDIRECT("'DevSumOut-"&amp;$B$2&amp;"BSR'!P57")</f>
        <v>1.5285833713474901E-3</v>
      </c>
      <c r="L13" s="133">
        <f ca="1">INDIRECT("'DevSumOut-"&amp;$B$2&amp;"BSR'!P57")</f>
        <v>1.5285833713474901E-3</v>
      </c>
      <c r="M13" s="551" t="s">
        <v>336</v>
      </c>
      <c r="N13" s="133">
        <f ca="1">INDIRECT("'DevSumOut-"&amp;$B$2&amp;"BSR'!P57")</f>
        <v>1.5285833713474901E-3</v>
      </c>
      <c r="O13" s="133">
        <f ca="1">INDIRECT("'DevSumOut-"&amp;$B$2&amp;"BSR'!P57")</f>
        <v>1.5285833713474901E-3</v>
      </c>
      <c r="P13" s="551" t="s">
        <v>336</v>
      </c>
      <c r="Q13" s="45">
        <f ca="1">INDIRECT("'DevSumOut-"&amp;$B$2&amp;"BSR'!U57")</f>
        <v>146.53593846829364</v>
      </c>
      <c r="R13" s="45">
        <f ca="1">INDIRECT("'DevSumOut-"&amp;$B$2&amp;"BSR'!U57")</f>
        <v>146.53593846829364</v>
      </c>
      <c r="S13" s="45">
        <f ca="1">INDIRECT("'DevSumOut-"&amp;$B$2&amp;"BSR'!U57")</f>
        <v>146.53593846829364</v>
      </c>
      <c r="T13" s="581" t="s">
        <v>336</v>
      </c>
      <c r="U13" s="45">
        <f ca="1">INDIRECT("'DevSumOut-"&amp;$B$2&amp;"BSR'!U57")</f>
        <v>146.53593846829364</v>
      </c>
      <c r="V13" s="45">
        <f ca="1">INDIRECT("'DevSumOut-"&amp;$B$2&amp;"BSR'!U57")</f>
        <v>146.53593846829364</v>
      </c>
      <c r="W13" s="581" t="s">
        <v>336</v>
      </c>
      <c r="X13" s="133">
        <f t="shared" ca="1" si="0"/>
        <v>0.19298195832039741</v>
      </c>
      <c r="Y13" s="133">
        <f t="shared" ca="1" si="0"/>
        <v>0.19298195832039741</v>
      </c>
      <c r="Z13" s="133">
        <f t="shared" ca="1" si="0"/>
        <v>0.19298195832039741</v>
      </c>
      <c r="AA13" s="133"/>
      <c r="AB13" s="133">
        <f t="shared" ca="1" si="1"/>
        <v>0.19298195832039741</v>
      </c>
      <c r="AC13" s="133">
        <f t="shared" ca="1" si="1"/>
        <v>0.19298195832039741</v>
      </c>
    </row>
    <row r="14" spans="1:29" x14ac:dyDescent="0.25">
      <c r="A14" s="812">
        <v>2104008420</v>
      </c>
      <c r="B14" s="812" t="s">
        <v>145</v>
      </c>
      <c r="C14" s="133">
        <f ca="1">INDIRECT("'DevSumOut-"&amp;$B$2&amp;"BSR'!R58")</f>
        <v>4.769262276447387E-2</v>
      </c>
      <c r="D14" s="133">
        <f ca="1">INDIRECT("'DevSumOut-"&amp;$B$2&amp;"BSR'!R58")</f>
        <v>4.769262276447387E-2</v>
      </c>
      <c r="E14" s="133">
        <f ca="1">INDIRECT("'DevSumOut-"&amp;$B$2&amp;"BSR'!R58")</f>
        <v>4.769262276447387E-2</v>
      </c>
      <c r="F14" s="551" t="s">
        <v>336</v>
      </c>
      <c r="G14" s="133">
        <f ca="1">INDIRECT("'DevSumOut-"&amp;$B$2&amp;"BSR'!R58")</f>
        <v>4.769262276447387E-2</v>
      </c>
      <c r="H14" s="133">
        <f ca="1">INDIRECT("'DevSumOut-"&amp;$B$2&amp;"BSR'!R58")</f>
        <v>4.769262276447387E-2</v>
      </c>
      <c r="I14" s="551" t="s">
        <v>336</v>
      </c>
      <c r="J14" s="133">
        <f ca="1">INDIRECT("'DevSumOut-"&amp;$B$2&amp;"BSR'!P58")</f>
        <v>5.1559592177809607E-3</v>
      </c>
      <c r="K14" s="133">
        <f ca="1">INDIRECT("'DevSumOut-"&amp;$B$2&amp;"BSR'!P58")</f>
        <v>5.1559592177809607E-3</v>
      </c>
      <c r="L14" s="133">
        <f ca="1">INDIRECT("'DevSumOut-"&amp;$B$2&amp;"BSR'!P58")</f>
        <v>5.1559592177809607E-3</v>
      </c>
      <c r="M14" s="551" t="s">
        <v>336</v>
      </c>
      <c r="N14" s="133">
        <f ca="1">INDIRECT("'DevSumOut-"&amp;$B$2&amp;"BSR'!P58")</f>
        <v>5.1559592177809607E-3</v>
      </c>
      <c r="O14" s="133">
        <f ca="1">INDIRECT("'DevSumOut-"&amp;$B$2&amp;"BSR'!P58")</f>
        <v>5.1559592177809607E-3</v>
      </c>
      <c r="P14" s="551" t="s">
        <v>336</v>
      </c>
      <c r="Q14" s="45">
        <f ca="1">INDIRECT("'DevSumOut-"&amp;$B$2&amp;"BSR'!U58")</f>
        <v>494.27027458486452</v>
      </c>
      <c r="R14" s="45">
        <f ca="1">INDIRECT("'DevSumOut-"&amp;$B$2&amp;"BSR'!U58")</f>
        <v>494.27027458486452</v>
      </c>
      <c r="S14" s="45">
        <f ca="1">INDIRECT("'DevSumOut-"&amp;$B$2&amp;"BSR'!U58")</f>
        <v>494.27027458486452</v>
      </c>
      <c r="T14" s="581" t="s">
        <v>336</v>
      </c>
      <c r="U14" s="45">
        <f ca="1">INDIRECT("'DevSumOut-"&amp;$B$2&amp;"BSR'!U58")</f>
        <v>494.27027458486452</v>
      </c>
      <c r="V14" s="45">
        <f ca="1">INDIRECT("'DevSumOut-"&amp;$B$2&amp;"BSR'!U58")</f>
        <v>494.27027458486452</v>
      </c>
      <c r="W14" s="581" t="s">
        <v>336</v>
      </c>
      <c r="X14" s="133">
        <f t="shared" ca="1" si="0"/>
        <v>0.19298195832039747</v>
      </c>
      <c r="Y14" s="133">
        <f t="shared" ca="1" si="0"/>
        <v>0.19298195832039747</v>
      </c>
      <c r="Z14" s="133">
        <f t="shared" ca="1" si="0"/>
        <v>0.19298195832039747</v>
      </c>
      <c r="AA14" s="133"/>
      <c r="AB14" s="133">
        <f t="shared" ca="1" si="1"/>
        <v>0.19298195832039747</v>
      </c>
      <c r="AC14" s="133">
        <f t="shared" ca="1" si="1"/>
        <v>0.19298195832039747</v>
      </c>
    </row>
    <row r="15" spans="1:29" x14ac:dyDescent="0.25">
      <c r="A15" s="812">
        <v>2104008610</v>
      </c>
      <c r="B15" s="812" t="s">
        <v>146</v>
      </c>
      <c r="C15" s="133">
        <f ca="1">INDIRECT("'DevSumOut-"&amp;$B$2&amp;"BSR'!R59")</f>
        <v>0.23695404740806003</v>
      </c>
      <c r="D15" s="133">
        <f ca="1">INDIRECT("'DevSumOut-"&amp;$B$2&amp;"BSR'!R59")</f>
        <v>0.23695404740806003</v>
      </c>
      <c r="E15" s="133">
        <f ca="1">INDIRECT("'DevSumOut-"&amp;$B$2&amp;"BSR'!R59")</f>
        <v>0.23695404740806003</v>
      </c>
      <c r="F15" s="551" t="s">
        <v>336</v>
      </c>
      <c r="G15" s="133">
        <f ca="1">INDIRECT("'DevSumOut-"&amp;$B$2&amp;"BSR'!R59")</f>
        <v>0.23695404740806003</v>
      </c>
      <c r="H15" s="133">
        <f ca="1">INDIRECT("'DevSumOut-"&amp;$B$2&amp;"BSR'!R59")</f>
        <v>0.23695404740806003</v>
      </c>
      <c r="I15" s="551" t="s">
        <v>336</v>
      </c>
      <c r="J15" s="133">
        <f ca="1">INDIRECT("'DevSumOut-"&amp;$B$2&amp;"BSR'!P59")</f>
        <v>9.6028529450874461E-3</v>
      </c>
      <c r="K15" s="133">
        <f ca="1">INDIRECT("'DevSumOut-"&amp;$B$2&amp;"BSR'!P59")</f>
        <v>9.6028529450874461E-3</v>
      </c>
      <c r="L15" s="133">
        <f ca="1">INDIRECT("'DevSumOut-"&amp;$B$2&amp;"BSR'!P59")</f>
        <v>9.6028529450874461E-3</v>
      </c>
      <c r="M15" s="551" t="s">
        <v>336</v>
      </c>
      <c r="N15" s="133">
        <f ca="1">INDIRECT("'DevSumOut-"&amp;$B$2&amp;"BSR'!P59")</f>
        <v>9.6028529450874461E-3</v>
      </c>
      <c r="O15" s="133">
        <f ca="1">INDIRECT("'DevSumOut-"&amp;$B$2&amp;"BSR'!P59")</f>
        <v>9.6028529450874461E-3</v>
      </c>
      <c r="P15" s="551" t="s">
        <v>336</v>
      </c>
      <c r="Q15" s="45">
        <f ca="1">INDIRECT("'DevSumOut-"&amp;$B$2&amp;"BSR'!U59")</f>
        <v>770.61075992427504</v>
      </c>
      <c r="R15" s="45">
        <f ca="1">INDIRECT("'DevSumOut-"&amp;$B$2&amp;"BSR'!U59")</f>
        <v>770.61075992427504</v>
      </c>
      <c r="S15" s="45">
        <f ca="1">INDIRECT("'DevSumOut-"&amp;$B$2&amp;"BSR'!U59")</f>
        <v>770.61075992427504</v>
      </c>
      <c r="T15" s="581" t="s">
        <v>336</v>
      </c>
      <c r="U15" s="45">
        <f ca="1">INDIRECT("'DevSumOut-"&amp;$B$2&amp;"BSR'!U59")</f>
        <v>770.61075992427504</v>
      </c>
      <c r="V15" s="45">
        <f ca="1">INDIRECT("'DevSumOut-"&amp;$B$2&amp;"BSR'!U59")</f>
        <v>770.61075992427504</v>
      </c>
      <c r="W15" s="581" t="s">
        <v>336</v>
      </c>
      <c r="X15" s="133">
        <f t="shared" ca="1" si="0"/>
        <v>0.6149772614941027</v>
      </c>
      <c r="Y15" s="133">
        <f t="shared" ca="1" si="0"/>
        <v>0.6149772614941027</v>
      </c>
      <c r="Z15" s="133">
        <f t="shared" ca="1" si="0"/>
        <v>0.6149772614941027</v>
      </c>
      <c r="AA15" s="133"/>
      <c r="AB15" s="133">
        <f t="shared" ca="1" si="1"/>
        <v>0.6149772614941027</v>
      </c>
      <c r="AC15" s="133">
        <f t="shared" ca="1" si="1"/>
        <v>0.6149772614941027</v>
      </c>
    </row>
    <row r="16" spans="1:29" x14ac:dyDescent="0.25">
      <c r="A16" s="812">
        <v>2104004000</v>
      </c>
      <c r="B16" s="812" t="s">
        <v>568</v>
      </c>
      <c r="C16" s="133">
        <f ca="1">INDIRECT("'DevSumOut-"&amp;$B$2&amp;"BSR'!R60")</f>
        <v>5.2306366355052564E-2</v>
      </c>
      <c r="D16" s="133">
        <f ca="1">INDIRECT("'DevSumOut-"&amp;$B$2&amp;"BSR'!R60")</f>
        <v>5.2306366355052564E-2</v>
      </c>
      <c r="E16" s="133">
        <f ca="1">INDIRECT("'DevSumOut-"&amp;$B$2&amp;"BSR'!R60")</f>
        <v>5.2306366355052564E-2</v>
      </c>
      <c r="F16" s="551" t="s">
        <v>336</v>
      </c>
      <c r="G16" s="133">
        <f ca="1">INDIRECT("'DevSumOut-"&amp;$B$2&amp;"BSR'!R60")</f>
        <v>5.2306366355052564E-2</v>
      </c>
      <c r="H16" s="133">
        <f ca="1">INDIRECT("'DevSumOut-"&amp;$B$2&amp;"BSR'!R60")</f>
        <v>5.2306366355052564E-2</v>
      </c>
      <c r="I16" s="551" t="s">
        <v>336</v>
      </c>
      <c r="J16" s="133">
        <f ca="1">INDIRECT("'DevSumOut-"&amp;$B$2&amp;"BSR'!P60")</f>
        <v>3.3109909770159418</v>
      </c>
      <c r="K16" s="133">
        <f ca="1">INDIRECT("'DevSumOut-"&amp;$B$2&amp;"BSR'!P60")</f>
        <v>3.3109909770159418</v>
      </c>
      <c r="L16" s="133">
        <f ca="1">INDIRECT("'DevSumOut-"&amp;$B$2&amp;"BSR'!P60")</f>
        <v>3.3109909770159418</v>
      </c>
      <c r="M16" s="551" t="s">
        <v>336</v>
      </c>
      <c r="N16" s="133">
        <f ca="1">INDIRECT("'DevSumOut-"&amp;$B$2&amp;"BSR'!P60")</f>
        <v>3.3109909770159418</v>
      </c>
      <c r="O16" s="133">
        <f ca="1">INDIRECT("'DevSumOut-"&amp;$B$2&amp;"BSR'!P60")</f>
        <v>3.3109909770159418</v>
      </c>
      <c r="P16" s="551" t="s">
        <v>336</v>
      </c>
      <c r="Q16" s="45">
        <f ca="1">INDIRECT("'DevSumOut-"&amp;$B$2&amp;"BSR'!U60")</f>
        <v>30749.525160222096</v>
      </c>
      <c r="R16" s="45">
        <f ca="1">INDIRECT("'DevSumOut-"&amp;$B$2&amp;"BSR'!U60")</f>
        <v>30749.525160222096</v>
      </c>
      <c r="S16" s="45">
        <f ca="1">INDIRECT("'DevSumOut-"&amp;$B$2&amp;"BSR'!U60")</f>
        <v>30749.525160222096</v>
      </c>
      <c r="T16" s="581" t="s">
        <v>336</v>
      </c>
      <c r="U16" s="45">
        <f ca="1">INDIRECT("'DevSumOut-"&amp;$B$2&amp;"BSR'!U60")</f>
        <v>30749.525160222096</v>
      </c>
      <c r="V16" s="45">
        <f ca="1">INDIRECT("'DevSumOut-"&amp;$B$2&amp;"BSR'!U60")</f>
        <v>30749.525160222096</v>
      </c>
      <c r="W16" s="581" t="s">
        <v>336</v>
      </c>
      <c r="X16" s="133">
        <f t="shared" ca="1" si="0"/>
        <v>3.4020926230572575E-3</v>
      </c>
      <c r="Y16" s="133">
        <f t="shared" ca="1" si="0"/>
        <v>3.4020926230572575E-3</v>
      </c>
      <c r="Z16" s="133">
        <f t="shared" ca="1" si="0"/>
        <v>3.4020926230572575E-3</v>
      </c>
      <c r="AA16" s="133"/>
      <c r="AB16" s="133">
        <f t="shared" ca="1" si="1"/>
        <v>3.4020926230572575E-3</v>
      </c>
      <c r="AC16" s="133">
        <f t="shared" ca="1" si="1"/>
        <v>3.4020926230572575E-3</v>
      </c>
    </row>
    <row r="17" spans="1:29" x14ac:dyDescent="0.25">
      <c r="A17" s="812">
        <v>2103004001</v>
      </c>
      <c r="B17" s="812" t="s">
        <v>148</v>
      </c>
      <c r="C17" s="133">
        <f ca="1">INDIRECT("'DevSumOut-"&amp;$B$2&amp;"BSR'!R61")</f>
        <v>1.7087456833518078E-2</v>
      </c>
      <c r="D17" s="133">
        <f ca="1">INDIRECT("'DevSumOut-"&amp;$B$2&amp;"BSR'!R61")</f>
        <v>1.7087456833518078E-2</v>
      </c>
      <c r="E17" s="133">
        <f ca="1">INDIRECT("'DevSumOut-"&amp;$B$2&amp;"BSR'!R61")</f>
        <v>1.7087456833518078E-2</v>
      </c>
      <c r="F17" s="551" t="s">
        <v>336</v>
      </c>
      <c r="G17" s="133">
        <f ca="1">INDIRECT("'DevSumOut-"&amp;$B$2&amp;"BSR'!R61")</f>
        <v>1.7087456833518078E-2</v>
      </c>
      <c r="H17" s="133">
        <f ca="1">INDIRECT("'DevSumOut-"&amp;$B$2&amp;"BSR'!R61")</f>
        <v>1.7087456833518078E-2</v>
      </c>
      <c r="I17" s="551" t="s">
        <v>336</v>
      </c>
      <c r="J17" s="133">
        <f ca="1">INDIRECT("'DevSumOut-"&amp;$B$2&amp;"BSR'!P61")</f>
        <v>0.47614654356203151</v>
      </c>
      <c r="K17" s="133">
        <f ca="1">INDIRECT("'DevSumOut-"&amp;$B$2&amp;"BSR'!P61")</f>
        <v>0.47614654356203151</v>
      </c>
      <c r="L17" s="133">
        <f ca="1">INDIRECT("'DevSumOut-"&amp;$B$2&amp;"BSR'!P61")</f>
        <v>0.47614654356203151</v>
      </c>
      <c r="M17" s="551" t="s">
        <v>336</v>
      </c>
      <c r="N17" s="133">
        <f ca="1">INDIRECT("'DevSumOut-"&amp;$B$2&amp;"BSR'!P61")</f>
        <v>0.47614654356203151</v>
      </c>
      <c r="O17" s="133">
        <f ca="1">INDIRECT("'DevSumOut-"&amp;$B$2&amp;"BSR'!P61")</f>
        <v>0.47614654356203151</v>
      </c>
      <c r="P17" s="551" t="s">
        <v>336</v>
      </c>
      <c r="Q17" s="45">
        <f ca="1">INDIRECT("'DevSumOut-"&amp;$B$2&amp;"BSR'!U61")</f>
        <v>10366.306634076549</v>
      </c>
      <c r="R17" s="45">
        <f ca="1">INDIRECT("'DevSumOut-"&amp;$B$2&amp;"BSR'!U61")</f>
        <v>10366.306634076549</v>
      </c>
      <c r="S17" s="45">
        <f ca="1">INDIRECT("'DevSumOut-"&amp;$B$2&amp;"BSR'!U61")</f>
        <v>10366.306634076549</v>
      </c>
      <c r="T17" s="581" t="s">
        <v>336</v>
      </c>
      <c r="U17" s="45">
        <f ca="1">INDIRECT("'DevSumOut-"&amp;$B$2&amp;"BSR'!U61")</f>
        <v>10366.306634076549</v>
      </c>
      <c r="V17" s="45">
        <f ca="1">INDIRECT("'DevSumOut-"&amp;$B$2&amp;"BSR'!U61")</f>
        <v>10366.306634076549</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2">
        <v>2104004000</v>
      </c>
      <c r="B18" s="812" t="s">
        <v>746</v>
      </c>
      <c r="C18" s="133">
        <f ca="1">INDIRECT("'DevSumOut-"&amp;$B$2&amp;"BSR'!R62")</f>
        <v>3.1204218472621664E-4</v>
      </c>
      <c r="D18" s="133">
        <f ca="1">INDIRECT("'DevSumOut-"&amp;$B$2&amp;"BSR'!R62")</f>
        <v>3.1204218472621664E-4</v>
      </c>
      <c r="E18" s="133">
        <f ca="1">INDIRECT("'DevSumOut-"&amp;$B$2&amp;"BSR'!R62")</f>
        <v>3.1204218472621664E-4</v>
      </c>
      <c r="F18" s="551" t="s">
        <v>336</v>
      </c>
      <c r="G18" s="133">
        <f ca="1">INDIRECT("'DevSumOut-"&amp;$B$2&amp;"BSR'!R62")</f>
        <v>3.1204218472621664E-4</v>
      </c>
      <c r="H18" s="133">
        <f ca="1">INDIRECT("'DevSumOut-"&amp;$B$2&amp;"BSR'!R62")</f>
        <v>3.1204218472621664E-4</v>
      </c>
      <c r="I18" s="551" t="s">
        <v>336</v>
      </c>
      <c r="J18" s="133">
        <f ca="1">INDIRECT("'DevSumOut-"&amp;$B$2&amp;"BSR'!P62")</f>
        <v>2.2547059607084891E-2</v>
      </c>
      <c r="K18" s="133">
        <f ca="1">INDIRECT("'DevSumOut-"&amp;$B$2&amp;"BSR'!P62")</f>
        <v>2.2547059607084891E-2</v>
      </c>
      <c r="L18" s="133">
        <f ca="1">INDIRECT("'DevSumOut-"&amp;$B$2&amp;"BSR'!P62")</f>
        <v>2.2547059607084891E-2</v>
      </c>
      <c r="M18" s="551" t="s">
        <v>336</v>
      </c>
      <c r="N18" s="133">
        <f ca="1">INDIRECT("'DevSumOut-"&amp;$B$2&amp;"BSR'!P62")</f>
        <v>2.2547059607084891E-2</v>
      </c>
      <c r="O18" s="133">
        <f ca="1">INDIRECT("'DevSumOut-"&amp;$B$2&amp;"BSR'!P62")</f>
        <v>2.2547059607084891E-2</v>
      </c>
      <c r="P18" s="551" t="s">
        <v>336</v>
      </c>
      <c r="Q18" s="45">
        <f ca="1">INDIRECT("'DevSumOut-"&amp;$B$2&amp;"BSR'!U62")</f>
        <v>213.74109548284019</v>
      </c>
      <c r="R18" s="45">
        <f ca="1">INDIRECT("'DevSumOut-"&amp;$B$2&amp;"BSR'!U62")</f>
        <v>213.74109548284019</v>
      </c>
      <c r="S18" s="45">
        <f ca="1">INDIRECT("'DevSumOut-"&amp;$B$2&amp;"BSR'!U62")</f>
        <v>213.74109548284019</v>
      </c>
      <c r="T18" s="581" t="s">
        <v>336</v>
      </c>
      <c r="U18" s="45">
        <f ca="1">INDIRECT("'DevSumOut-"&amp;$B$2&amp;"BSR'!U62")</f>
        <v>213.74109548284019</v>
      </c>
      <c r="V18" s="45">
        <f ca="1">INDIRECT("'DevSumOut-"&amp;$B$2&amp;"BSR'!U62")</f>
        <v>213.74109548284019</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2">
        <v>2104007000</v>
      </c>
      <c r="B19" s="812" t="s">
        <v>747</v>
      </c>
      <c r="C19" s="133">
        <f ca="1">INDIRECT("'DevSumOut-"&amp;$B$2&amp;"BSR'!R63")</f>
        <v>1.2099307936399306E-3</v>
      </c>
      <c r="D19" s="133">
        <f ca="1">INDIRECT("'DevSumOut-"&amp;$B$2&amp;"BSR'!R63")</f>
        <v>1.2099307936399306E-3</v>
      </c>
      <c r="E19" s="133">
        <f ca="1">INDIRECT("'DevSumOut-"&amp;$B$2&amp;"BSR'!R63")</f>
        <v>1.2099307936399306E-3</v>
      </c>
      <c r="F19" s="551" t="s">
        <v>336</v>
      </c>
      <c r="G19" s="133">
        <f ca="1">INDIRECT("'DevSumOut-"&amp;$B$2&amp;"BSR'!R63")</f>
        <v>1.2099307936399306E-3</v>
      </c>
      <c r="H19" s="133">
        <f ca="1">INDIRECT("'DevSumOut-"&amp;$B$2&amp;"BSR'!R63")</f>
        <v>1.2099307936399306E-3</v>
      </c>
      <c r="I19" s="551" t="s">
        <v>336</v>
      </c>
      <c r="J19" s="133">
        <f ca="1">INDIRECT("'DevSumOut-"&amp;$B$2&amp;"BSR'!P63")</f>
        <v>7.6588572667475638E-2</v>
      </c>
      <c r="K19" s="133">
        <f ca="1">INDIRECT("'DevSumOut-"&amp;$B$2&amp;"BSR'!P63")</f>
        <v>7.6588572667475638E-2</v>
      </c>
      <c r="L19" s="133">
        <f ca="1">INDIRECT("'DevSumOut-"&amp;$B$2&amp;"BSR'!P63")</f>
        <v>7.6588572667475638E-2</v>
      </c>
      <c r="M19" s="551" t="s">
        <v>336</v>
      </c>
      <c r="N19" s="133">
        <f ca="1">INDIRECT("'DevSumOut-"&amp;$B$2&amp;"BSR'!P63")</f>
        <v>7.6588572667475638E-2</v>
      </c>
      <c r="O19" s="133">
        <f ca="1">INDIRECT("'DevSumOut-"&amp;$B$2&amp;"BSR'!P63")</f>
        <v>7.6588572667475638E-2</v>
      </c>
      <c r="P19" s="551" t="s">
        <v>336</v>
      </c>
      <c r="Q19" s="45">
        <f ca="1">INDIRECT("'DevSumOut-"&amp;$B$2&amp;"BSR'!U63")</f>
        <v>662.47179113080529</v>
      </c>
      <c r="R19" s="45">
        <f ca="1">INDIRECT("'DevSumOut-"&amp;$B$2&amp;"BSR'!U63")</f>
        <v>662.47179113080529</v>
      </c>
      <c r="S19" s="45">
        <f ca="1">INDIRECT("'DevSumOut-"&amp;$B$2&amp;"BSR'!U63")</f>
        <v>662.47179113080529</v>
      </c>
      <c r="T19" s="581" t="s">
        <v>336</v>
      </c>
      <c r="U19" s="45">
        <f ca="1">INDIRECT("'DevSumOut-"&amp;$B$2&amp;"BSR'!U63")</f>
        <v>662.47179113080529</v>
      </c>
      <c r="V19" s="45">
        <f ca="1">INDIRECT("'DevSumOut-"&amp;$B$2&amp;"BSR'!U63")</f>
        <v>662.47179113080529</v>
      </c>
      <c r="W19" s="581" t="s">
        <v>336</v>
      </c>
      <c r="X19" s="133">
        <f t="shared" ca="1" si="0"/>
        <v>3.6527767969550553E-3</v>
      </c>
      <c r="Y19" s="133">
        <f t="shared" ca="1" si="0"/>
        <v>3.6527767969550553E-3</v>
      </c>
      <c r="Z19" s="133">
        <f t="shared" ca="1" si="0"/>
        <v>3.6527767969550553E-3</v>
      </c>
      <c r="AA19" s="133"/>
      <c r="AB19" s="133">
        <f t="shared" ca="1" si="1"/>
        <v>3.6527767969550553E-3</v>
      </c>
      <c r="AC19" s="133">
        <f t="shared" ca="1" si="1"/>
        <v>3.6527767969550553E-3</v>
      </c>
    </row>
    <row r="20" spans="1:29" x14ac:dyDescent="0.25">
      <c r="A20" s="812">
        <v>2104006010</v>
      </c>
      <c r="B20" s="812"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7.0898784775737624E-5</v>
      </c>
      <c r="K20" s="133">
        <f ca="1">INDIRECT("'DevSumOut-"&amp;$B$2&amp;"BSR'!P64")</f>
        <v>7.0898784775737624E-5</v>
      </c>
      <c r="L20" s="133">
        <f ca="1">INDIRECT("'DevSumOut-"&amp;$B$2&amp;"BSR'!P64")</f>
        <v>7.0898784775737624E-5</v>
      </c>
      <c r="M20" s="551" t="s">
        <v>336</v>
      </c>
      <c r="N20" s="133">
        <f ca="1">INDIRECT("'DevSumOut-"&amp;$B$2&amp;"BSR'!P64")</f>
        <v>7.0898784775737624E-5</v>
      </c>
      <c r="O20" s="133">
        <f ca="1">INDIRECT("'DevSumOut-"&amp;$B$2&amp;"BSR'!P64")</f>
        <v>7.0898784775737624E-5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2">
        <v>2103006000</v>
      </c>
      <c r="B21" s="812"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7.9575146604215412E-4</v>
      </c>
      <c r="K21" s="133">
        <f ca="1">INDIRECT("'DevSumOut-"&amp;$B$2&amp;"BSR'!P65")</f>
        <v>7.9575146604215412E-4</v>
      </c>
      <c r="L21" s="133">
        <f ca="1">INDIRECT("'DevSumOut-"&amp;$B$2&amp;"BSR'!P65")</f>
        <v>7.9575146604215412E-4</v>
      </c>
      <c r="M21" s="551" t="s">
        <v>336</v>
      </c>
      <c r="N21" s="133">
        <f ca="1">INDIRECT("'DevSumOut-"&amp;$B$2&amp;"BSR'!P65")</f>
        <v>7.9575146604215412E-4</v>
      </c>
      <c r="O21" s="133">
        <f ca="1">INDIRECT("'DevSumOut-"&amp;$B$2&amp;"BSR'!P65")</f>
        <v>7.9575146604215412E-4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7.4876847290640414E-3</v>
      </c>
      <c r="Y21" s="133">
        <f t="shared" ca="1" si="0"/>
        <v>7.4876847290640414E-3</v>
      </c>
      <c r="Z21" s="133">
        <f t="shared" ca="1" si="0"/>
        <v>7.4876847290640414E-3</v>
      </c>
      <c r="AA21" s="133"/>
      <c r="AB21" s="133">
        <f t="shared" ca="1" si="1"/>
        <v>7.4876847290640414E-3</v>
      </c>
      <c r="AC21" s="133">
        <f t="shared" ca="1" si="1"/>
        <v>7.4876847290640414E-3</v>
      </c>
    </row>
    <row r="22" spans="1:29" x14ac:dyDescent="0.25">
      <c r="A22" s="812">
        <v>2104002000</v>
      </c>
      <c r="B22" s="812" t="s">
        <v>151</v>
      </c>
      <c r="C22" s="133">
        <f ca="1">INDIRECT("'DevSumOut-"&amp;$B$2&amp;"BSR'!R66")</f>
        <v>9.3114624157333514E-2</v>
      </c>
      <c r="D22" s="133">
        <f ca="1">INDIRECT("'DevSumOut-"&amp;$B$2&amp;"BSR'!R66")</f>
        <v>9.3114624157333514E-2</v>
      </c>
      <c r="E22" s="133">
        <f ca="1">INDIRECT("'DevSumOut-"&amp;$B$2&amp;"BSR'!R66")</f>
        <v>9.3114624157333514E-2</v>
      </c>
      <c r="F22" s="551" t="s">
        <v>336</v>
      </c>
      <c r="G22" s="133">
        <f ca="1">INDIRECT("'DevSumOut-"&amp;$B$2&amp;"BSR'!R66")</f>
        <v>9.3114624157333514E-2</v>
      </c>
      <c r="H22" s="133">
        <f ca="1">INDIRECT("'DevSumOut-"&amp;$B$2&amp;"BSR'!R66")</f>
        <v>9.3114624157333514E-2</v>
      </c>
      <c r="I22" s="551" t="s">
        <v>336</v>
      </c>
      <c r="J22" s="133">
        <f ca="1">INDIRECT("'DevSumOut-"&amp;$B$2&amp;"BSR'!P66")</f>
        <v>0.10838122711679619</v>
      </c>
      <c r="K22" s="133">
        <f ca="1">INDIRECT("'DevSumOut-"&amp;$B$2&amp;"BSR'!P66")</f>
        <v>0.10838122711679619</v>
      </c>
      <c r="L22" s="133">
        <f ca="1">INDIRECT("'DevSumOut-"&amp;$B$2&amp;"BSR'!P66")</f>
        <v>0.10838122711679619</v>
      </c>
      <c r="M22" s="551" t="s">
        <v>336</v>
      </c>
      <c r="N22" s="133">
        <f ca="1">INDIRECT("'DevSumOut-"&amp;$B$2&amp;"BSR'!P66")</f>
        <v>0.10838122711679619</v>
      </c>
      <c r="O22" s="133">
        <f ca="1">INDIRECT("'DevSumOut-"&amp;$B$2&amp;"BSR'!P66")</f>
        <v>0.10838122711679619</v>
      </c>
      <c r="P22" s="551" t="s">
        <v>336</v>
      </c>
      <c r="Q22" s="45">
        <f ca="1">INDIRECT("'DevSumOut-"&amp;$B$2&amp;"BSR'!U66")</f>
        <v>354.27841982264556</v>
      </c>
      <c r="R22" s="45">
        <f ca="1">INDIRECT("'DevSumOut-"&amp;$B$2&amp;"BSR'!U66")</f>
        <v>354.27841982264556</v>
      </c>
      <c r="S22" s="45">
        <f ca="1">INDIRECT("'DevSumOut-"&amp;$B$2&amp;"BSR'!U66")</f>
        <v>354.27841982264556</v>
      </c>
      <c r="T22" s="581" t="s">
        <v>336</v>
      </c>
      <c r="U22" s="45">
        <f ca="1">INDIRECT("'DevSumOut-"&amp;$B$2&amp;"BSR'!U66")</f>
        <v>354.27841982264556</v>
      </c>
      <c r="V22" s="45">
        <f ca="1">INDIRECT("'DevSumOut-"&amp;$B$2&amp;"BSR'!U66")</f>
        <v>354.27841982264556</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2.6366777990289929</v>
      </c>
      <c r="D26" s="137">
        <f ca="1">SUM(D6:D25)</f>
        <v>2.6366777990289929</v>
      </c>
      <c r="E26" s="137">
        <f ca="1">SUM(E6:E25)</f>
        <v>2.6366777990289929</v>
      </c>
      <c r="F26" s="566" t="s">
        <v>336</v>
      </c>
      <c r="G26" s="137">
        <f t="shared" ref="G26:H26" ca="1" si="2">SUM(G6:G25)</f>
        <v>2.6366777990289929</v>
      </c>
      <c r="H26" s="137">
        <f t="shared" ca="1" si="2"/>
        <v>2.6366777990289929</v>
      </c>
      <c r="I26" s="566" t="s">
        <v>336</v>
      </c>
      <c r="J26" s="137">
        <f ca="1">SUM(J6:J25)</f>
        <v>4.0996975393875967</v>
      </c>
      <c r="K26" s="137">
        <f ca="1">SUM(K6:K25)</f>
        <v>4.0996975393875967</v>
      </c>
      <c r="L26" s="137">
        <f ca="1">SUM(L6:L25)</f>
        <v>4.0996975393875967</v>
      </c>
      <c r="M26" s="566" t="s">
        <v>336</v>
      </c>
      <c r="N26" s="137">
        <f ca="1">SUM(N6:N25)</f>
        <v>4.0996975393875967</v>
      </c>
      <c r="O26" s="137">
        <f ca="1">SUM(O6:O25)</f>
        <v>4.0996975393875967</v>
      </c>
      <c r="P26" s="566" t="s">
        <v>336</v>
      </c>
      <c r="Q26" s="87">
        <f ca="1">SUM(Q6:Q25)</f>
        <v>52572.179679820561</v>
      </c>
      <c r="R26" s="87">
        <f ca="1">SUM(R6:R25)</f>
        <v>52572.179679820561</v>
      </c>
      <c r="S26" s="87">
        <f ca="1">SUM(S6:S25)</f>
        <v>52572.179679820561</v>
      </c>
      <c r="T26" s="566" t="s">
        <v>336</v>
      </c>
      <c r="U26" s="87">
        <f ca="1">SUM(U6:U25)</f>
        <v>52572.179679820561</v>
      </c>
      <c r="V26" s="87">
        <f ca="1">SUM(V6:V25)</f>
        <v>52572.179679820561</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2022 Baseline PM2.5 Emissions (tpd) by Curtailment Regime and AQCZ</v>
      </c>
      <c r="D30" s="840"/>
      <c r="E30" s="840"/>
      <c r="F30" s="840"/>
      <c r="G30" s="840"/>
      <c r="H30" s="840"/>
      <c r="I30" s="840"/>
      <c r="J30" s="840" t="str">
        <f>$B$2&amp;" Baseline SO2 Emissions (tpd) by Curtailment Regime and AQCZ"</f>
        <v>2022 Baseline SO2 Emissions (tpd) by Curtailment Regime and AQCZ</v>
      </c>
      <c r="K30" s="840"/>
      <c r="L30" s="840"/>
      <c r="M30" s="840"/>
      <c r="N30" s="840"/>
      <c r="O30" s="840"/>
      <c r="P30" s="840"/>
      <c r="Q30" s="840" t="str">
        <f>$B$2&amp;" Baseline Energy Use (mmBTU) by Curtailment Regime and AQCZ"</f>
        <v>2022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0.99239706738936717</v>
      </c>
      <c r="D32" s="133">
        <f ca="1">(D26-D33)*AQCZSplits!$F$5</f>
        <v>0.99239706738936717</v>
      </c>
      <c r="E32" s="133">
        <f ca="1">(E26-E33)*AQCZSplits!$F$5</f>
        <v>0.99239706738936717</v>
      </c>
      <c r="F32" s="551" t="s">
        <v>336</v>
      </c>
      <c r="G32" s="133">
        <f ca="1">(G26-G33)*AQCZSplits!$F$5</f>
        <v>0.99239706738936717</v>
      </c>
      <c r="H32" s="133">
        <f ca="1">(H26-H33)*AQCZSplits!$F$5</f>
        <v>0.99239706738936717</v>
      </c>
      <c r="I32" s="551" t="s">
        <v>336</v>
      </c>
      <c r="J32" s="133">
        <f ca="1">(J26-J33)*AQCZSplits!$F$5</f>
        <v>1.8337975983473853</v>
      </c>
      <c r="K32" s="133">
        <f ca="1">(K26-K33)*AQCZSplits!$F$5</f>
        <v>1.8337975983473853</v>
      </c>
      <c r="L32" s="133">
        <f ca="1">(L26-L33)*AQCZSplits!$F$5</f>
        <v>1.8337975983473853</v>
      </c>
      <c r="M32" s="551" t="s">
        <v>336</v>
      </c>
      <c r="N32" s="133">
        <f ca="1">(N26-N33)*AQCZSplits!$F$5</f>
        <v>1.8337975983473853</v>
      </c>
      <c r="O32" s="133">
        <f ca="1">(O26-O33)*AQCZSplits!$F$5</f>
        <v>1.8337975983473853</v>
      </c>
      <c r="P32" s="551" t="s">
        <v>336</v>
      </c>
      <c r="Q32" s="45">
        <f ca="1">(Q26-Q33)*AQCZSplits!$F$5</f>
        <v>24033.297226986633</v>
      </c>
      <c r="R32" s="45">
        <f ca="1">(R26-R33)*AQCZSplits!$F$5</f>
        <v>24033.297226986633</v>
      </c>
      <c r="S32" s="45">
        <f ca="1">(S26-S33)*AQCZSplits!$F$5</f>
        <v>24033.297226986633</v>
      </c>
      <c r="T32" s="551" t="s">
        <v>336</v>
      </c>
      <c r="U32" s="45">
        <f ca="1">(U26-U33)*AQCZSplits!$F$5</f>
        <v>24033.297226986633</v>
      </c>
      <c r="V32" s="45">
        <f ca="1">(V26-V33)*AQCZSplits!$F$5</f>
        <v>24033.297226986633</v>
      </c>
      <c r="W32" s="551" t="s">
        <v>336</v>
      </c>
    </row>
    <row r="33" spans="1:23" ht="15.75" thickBot="1" x14ac:dyDescent="0.3">
      <c r="A33" s="6" t="s">
        <v>754</v>
      </c>
      <c r="B33" s="6" t="s">
        <v>755</v>
      </c>
      <c r="C33" s="544">
        <f ca="1">SUMIFS(INDIRECT("'ZipOutNA-"&amp;$B$2&amp;"BSR'!$J$5:$J$669"),INDIRECT("'ZipOutNA-"&amp;$B$2&amp;"BSR'!$D$5:$D$669"),99705)/35</f>
        <v>1.0832604899574656</v>
      </c>
      <c r="D33" s="544">
        <f ca="1">SUMIFS(INDIRECT("'ZipOutNA-"&amp;$B$2&amp;"BSR'!$J$5:$J$669"),INDIRECT("'ZipOutNA-"&amp;$B$2&amp;"BSR'!$D$5:$D$669"),99705)/35</f>
        <v>1.0832604899574656</v>
      </c>
      <c r="E33" s="544">
        <f ca="1">SUMIFS(INDIRECT("'ZipOutNA-"&amp;$B$2&amp;"BSR'!$J$5:$J$669"),INDIRECT("'ZipOutNA-"&amp;$B$2&amp;"BSR'!$D$5:$D$669"),99705)/35</f>
        <v>1.0832604899574656</v>
      </c>
      <c r="F33" s="542" t="s">
        <v>336</v>
      </c>
      <c r="G33" s="544">
        <f ca="1">SUMIFS(INDIRECT("'ZipOutNA-"&amp;$B$2&amp;"BSR'!$J$5:$J$669"),INDIRECT("'ZipOutNA-"&amp;$B$2&amp;"BSR'!$D$5:$D$669"),99705)/35</f>
        <v>1.0832604899574656</v>
      </c>
      <c r="H33" s="544">
        <f ca="1">SUMIFS(INDIRECT("'ZipOutNA-"&amp;$B$2&amp;"BSR'!$J$5:$J$669"),INDIRECT("'ZipOutNA-"&amp;$B$2&amp;"BSR'!$D$5:$D$669"),99705)/35</f>
        <v>1.0832604899574656</v>
      </c>
      <c r="I33" s="542" t="s">
        <v>336</v>
      </c>
      <c r="J33" s="544">
        <f ca="1">SUMIFS(INDIRECT("'ZipOutNA-"&amp;$B$2&amp;"BSR'!$H$5:$H$669"),INDIRECT("'ZipOutNA-"&amp;$B$2&amp;"BSR'!$D$5:$D$669"),99705)/35</f>
        <v>1.229220565790339</v>
      </c>
      <c r="K33" s="544">
        <f ca="1">SUMIFS(INDIRECT("'ZipOutNA-"&amp;$B$2&amp;"BSR'!$H$5:$H$669"),INDIRECT("'ZipOutNA-"&amp;$B$2&amp;"BSR'!$D$5:$D$669"),99705)/35</f>
        <v>1.229220565790339</v>
      </c>
      <c r="L33" s="544">
        <f ca="1">SUMIFS(INDIRECT("'ZipOutNA-"&amp;$B$2&amp;"BSR'!$H$5:$H$669"),INDIRECT("'ZipOutNA-"&amp;$B$2&amp;"BSR'!$D$5:$D$669"),99705)/35</f>
        <v>1.229220565790339</v>
      </c>
      <c r="M33" s="542" t="s">
        <v>336</v>
      </c>
      <c r="N33" s="544">
        <f ca="1">SUMIFS(INDIRECT("'ZipOutNA-"&amp;$B$2&amp;"BSR'!$H$5:$H$669"),INDIRECT("'ZipOutNA-"&amp;$B$2&amp;"BSR'!$D$5:$D$669"),99705)/35</f>
        <v>1.229220565790339</v>
      </c>
      <c r="O33" s="544">
        <f ca="1">SUMIFS(INDIRECT("'ZipOutNA-"&amp;$B$2&amp;"BSR'!$H$5:$H$669"),INDIRECT("'ZipOutNA-"&amp;$B$2&amp;"BSR'!$D$5:$D$669"),99705)/35</f>
        <v>1.229220565790339</v>
      </c>
      <c r="P33" s="542" t="s">
        <v>336</v>
      </c>
      <c r="Q33" s="567">
        <f ca="1">SUMIFS(INDIRECT("'ZipOutNA-"&amp;$B$2&amp;"BSR'!$M$5:$M$669"),INDIRECT("'ZipOutNA-"&amp;$B$2&amp;"BSR'!$D$5:$D$669"),99705)/35</f>
        <v>14952.419270135795</v>
      </c>
      <c r="R33" s="567">
        <f ca="1">SUMIFS(INDIRECT("'ZipOutNA-"&amp;$B$2&amp;"BSR'!$M$5:$M$669"),INDIRECT("'ZipOutNA-"&amp;$B$2&amp;"BSR'!$D$5:$D$669"),99705)/35</f>
        <v>14952.419270135795</v>
      </c>
      <c r="S33" s="567">
        <f ca="1">SUMIFS(INDIRECT("'ZipOutNA-"&amp;$B$2&amp;"BSR'!$M$5:$M$669"),INDIRECT("'ZipOutNA-"&amp;$B$2&amp;"BSR'!$D$5:$D$669"),99705)/35</f>
        <v>14952.419270135795</v>
      </c>
      <c r="T33" s="542" t="s">
        <v>336</v>
      </c>
      <c r="U33" s="567">
        <f ca="1">SUMIFS(INDIRECT("'ZipOutNA-"&amp;$B$2&amp;"BSR'!$M$5:$M$669"),INDIRECT("'ZipOutNA-"&amp;$B$2&amp;"BSR'!$D$5:$D$669"),99705)/35</f>
        <v>14952.419270135795</v>
      </c>
      <c r="V33" s="567">
        <f ca="1">SUMIFS(INDIRECT("'ZipOutNA-"&amp;$B$2&amp;"BSR'!$M$5:$M$669"),INDIRECT("'ZipOutNA-"&amp;$B$2&amp;"BSR'!$D$5:$D$669"),99705)/35</f>
        <v>14952.419270135795</v>
      </c>
      <c r="W33" s="542" t="s">
        <v>336</v>
      </c>
    </row>
    <row r="34" spans="1:23" ht="15.75" thickTop="1" x14ac:dyDescent="0.25">
      <c r="C34" s="137">
        <f ca="1">SUM(C32:C33)</f>
        <v>2.0756575573468328</v>
      </c>
      <c r="D34" s="137">
        <f ca="1">SUM(D32:D33)</f>
        <v>2.0756575573468328</v>
      </c>
      <c r="E34" s="137">
        <f ca="1">SUM(E32:E33)</f>
        <v>2.0756575573468328</v>
      </c>
      <c r="F34" s="566" t="s">
        <v>336</v>
      </c>
      <c r="G34" s="137">
        <f ca="1">SUM(G32:G33)</f>
        <v>2.0756575573468328</v>
      </c>
      <c r="H34" s="137">
        <f ca="1">SUM(H32:H33)</f>
        <v>2.0756575573468328</v>
      </c>
      <c r="I34" s="566" t="s">
        <v>336</v>
      </c>
      <c r="J34" s="137">
        <f ca="1">SUM(J32:J33)</f>
        <v>3.0630181641377243</v>
      </c>
      <c r="K34" s="137">
        <f ca="1">SUM(K32:K33)</f>
        <v>3.0630181641377243</v>
      </c>
      <c r="L34" s="137">
        <f ca="1">SUM(L32:L33)</f>
        <v>3.0630181641377243</v>
      </c>
      <c r="M34" s="566" t="s">
        <v>336</v>
      </c>
      <c r="N34" s="137">
        <f ca="1">SUM(N32:N33)</f>
        <v>3.0630181641377243</v>
      </c>
      <c r="O34" s="137">
        <f ca="1">SUM(O32:O33)</f>
        <v>3.0630181641377243</v>
      </c>
      <c r="P34" s="566" t="s">
        <v>336</v>
      </c>
      <c r="Q34" s="87">
        <f ca="1">SUM(Q32:Q33)</f>
        <v>38985.716497122427</v>
      </c>
      <c r="R34" s="87">
        <f ca="1">SUM(R32:R33)</f>
        <v>38985.716497122427</v>
      </c>
      <c r="S34" s="87">
        <f ca="1">SUM(S32:S33)</f>
        <v>38985.716497122427</v>
      </c>
      <c r="T34" s="566" t="s">
        <v>336</v>
      </c>
      <c r="U34" s="87">
        <f ca="1">SUM(U32:U33)</f>
        <v>38985.716497122427</v>
      </c>
      <c r="V34" s="87">
        <f ca="1">SUM(V32:V33)</f>
        <v>38985.716497122427</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2022 Baseline NA Area PM2.5 Emissions (tpd) by Curtailment Regime</v>
      </c>
      <c r="D38" s="840"/>
      <c r="E38" s="840"/>
      <c r="F38" s="840"/>
      <c r="G38" s="840"/>
      <c r="H38" s="840"/>
      <c r="I38" s="840"/>
      <c r="J38" s="840" t="str">
        <f>J4</f>
        <v>2022 Baseline NA Area SO2 Emissions (tpd) by Curtailment Regime</v>
      </c>
      <c r="K38" s="840"/>
      <c r="L38" s="840"/>
      <c r="M38" s="840"/>
      <c r="N38" s="840"/>
      <c r="O38" s="840"/>
      <c r="P38" s="840"/>
      <c r="Q38" s="840" t="str">
        <f>Q4</f>
        <v>2022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0.24997310237828724</v>
      </c>
      <c r="D40" s="133">
        <f t="shared" ca="1" si="3"/>
        <v>0.24997310237828724</v>
      </c>
      <c r="E40" s="133">
        <f t="shared" ca="1" si="3"/>
        <v>0.24997310237828724</v>
      </c>
      <c r="F40" s="551" t="s">
        <v>336</v>
      </c>
      <c r="G40" s="575">
        <f t="shared" ref="G40:H55" ca="1" si="4">G6*G$32/G$26</f>
        <v>0.24997310237828724</v>
      </c>
      <c r="H40" s="575">
        <f t="shared" ca="1" si="4"/>
        <v>0.24997310237828724</v>
      </c>
      <c r="I40" s="574" t="s">
        <v>336</v>
      </c>
      <c r="J40" s="133">
        <f t="shared" ref="J40:L55" ca="1" si="5">J6*J$32/J$26</f>
        <v>3.4343799914581109E-3</v>
      </c>
      <c r="K40" s="133">
        <f t="shared" ca="1" si="5"/>
        <v>3.4343799914581109E-3</v>
      </c>
      <c r="L40" s="133">
        <f t="shared" ca="1" si="5"/>
        <v>3.4343799914581109E-3</v>
      </c>
      <c r="M40" s="551" t="s">
        <v>336</v>
      </c>
      <c r="N40" s="575">
        <f t="shared" ref="N40:O55" ca="1" si="6">N6*N$32/N$26</f>
        <v>3.4343799914581109E-3</v>
      </c>
      <c r="O40" s="575">
        <f t="shared" ca="1" si="6"/>
        <v>3.4343799914581109E-3</v>
      </c>
      <c r="P40" s="574" t="s">
        <v>336</v>
      </c>
      <c r="Q40" s="45">
        <f t="shared" ref="Q40:S55" ca="1" si="7">Q6*Q$32/Q$26</f>
        <v>281.81714725391294</v>
      </c>
      <c r="R40" s="45">
        <f t="shared" ca="1" si="7"/>
        <v>281.81714725391294</v>
      </c>
      <c r="S40" s="45">
        <f t="shared" ca="1" si="7"/>
        <v>281.81714725391294</v>
      </c>
      <c r="T40" s="581" t="s">
        <v>336</v>
      </c>
      <c r="U40" s="573">
        <f t="shared" ref="U40:V55" ca="1" si="8">U6*U$32/U$26</f>
        <v>281.81714725391294</v>
      </c>
      <c r="V40" s="573">
        <f t="shared" ca="1" si="8"/>
        <v>281.81714725391294</v>
      </c>
      <c r="W40" s="574" t="s">
        <v>336</v>
      </c>
    </row>
    <row r="41" spans="1:23" x14ac:dyDescent="0.25">
      <c r="A41" s="812" t="str">
        <f t="shared" ref="A41:A58" si="9">A40</f>
        <v>FB</v>
      </c>
      <c r="B41" s="812" t="s">
        <v>138</v>
      </c>
      <c r="C41" s="133">
        <f t="shared" ca="1" si="3"/>
        <v>1.9509302606604165E-2</v>
      </c>
      <c r="D41" s="133">
        <f t="shared" ca="1" si="3"/>
        <v>1.9509302606604165E-2</v>
      </c>
      <c r="E41" s="133">
        <f t="shared" ca="1" si="3"/>
        <v>1.9509302606604165E-2</v>
      </c>
      <c r="F41" s="551" t="s">
        <v>336</v>
      </c>
      <c r="G41" s="575">
        <f t="shared" ca="1" si="4"/>
        <v>1.9509302606604165E-2</v>
      </c>
      <c r="H41" s="575">
        <f t="shared" ca="1" si="4"/>
        <v>1.9509302606604165E-2</v>
      </c>
      <c r="I41" s="574" t="s">
        <v>336</v>
      </c>
      <c r="J41" s="133">
        <f t="shared" ca="1" si="5"/>
        <v>3.0307595511858799E-4</v>
      </c>
      <c r="K41" s="133">
        <f t="shared" ca="1" si="5"/>
        <v>3.0307595511858799E-4</v>
      </c>
      <c r="L41" s="133">
        <f t="shared" ca="1" si="5"/>
        <v>3.0307595511858799E-4</v>
      </c>
      <c r="M41" s="551" t="s">
        <v>336</v>
      </c>
      <c r="N41" s="575">
        <f t="shared" ca="1" si="6"/>
        <v>3.0307595511858799E-4</v>
      </c>
      <c r="O41" s="575">
        <f t="shared" ca="1" si="6"/>
        <v>3.0307595511858799E-4</v>
      </c>
      <c r="P41" s="574" t="s">
        <v>336</v>
      </c>
      <c r="Q41" s="45">
        <f t="shared" ca="1" si="7"/>
        <v>24.865269465946266</v>
      </c>
      <c r="R41" s="45">
        <f t="shared" ca="1" si="7"/>
        <v>24.865269465946266</v>
      </c>
      <c r="S41" s="45">
        <f t="shared" ca="1" si="7"/>
        <v>24.865269465946266</v>
      </c>
      <c r="T41" s="581" t="s">
        <v>336</v>
      </c>
      <c r="U41" s="573">
        <f t="shared" ca="1" si="8"/>
        <v>24.865269465946266</v>
      </c>
      <c r="V41" s="573">
        <f t="shared" ca="1" si="8"/>
        <v>24.865269465946266</v>
      </c>
      <c r="W41" s="574" t="s">
        <v>336</v>
      </c>
    </row>
    <row r="42" spans="1:23" x14ac:dyDescent="0.25">
      <c r="A42" s="812" t="str">
        <f t="shared" si="9"/>
        <v>FB</v>
      </c>
      <c r="B42" s="812" t="s">
        <v>139</v>
      </c>
      <c r="C42" s="133">
        <f t="shared" ca="1" si="3"/>
        <v>1.6107923078821515E-2</v>
      </c>
      <c r="D42" s="133">
        <f t="shared" ca="1" si="3"/>
        <v>1.6107923078821515E-2</v>
      </c>
      <c r="E42" s="133">
        <f t="shared" ca="1" si="3"/>
        <v>1.6107923078821515E-2</v>
      </c>
      <c r="F42" s="551" t="s">
        <v>336</v>
      </c>
      <c r="G42" s="575">
        <f t="shared" ca="1" si="4"/>
        <v>1.6107923078821515E-2</v>
      </c>
      <c r="H42" s="575">
        <f t="shared" ca="1" si="4"/>
        <v>1.6107923078821515E-2</v>
      </c>
      <c r="I42" s="574" t="s">
        <v>336</v>
      </c>
      <c r="J42" s="133">
        <f t="shared" ca="1" si="5"/>
        <v>6.3810105824166395E-4</v>
      </c>
      <c r="K42" s="133">
        <f t="shared" ca="1" si="5"/>
        <v>6.3810105824166395E-4</v>
      </c>
      <c r="L42" s="133">
        <f t="shared" ca="1" si="5"/>
        <v>6.3810105824166395E-4</v>
      </c>
      <c r="M42" s="551" t="s">
        <v>336</v>
      </c>
      <c r="N42" s="575">
        <f t="shared" ca="1" si="6"/>
        <v>6.3810105824166395E-4</v>
      </c>
      <c r="O42" s="575">
        <f t="shared" ca="1" si="6"/>
        <v>6.3810105824166395E-4</v>
      </c>
      <c r="P42" s="574" t="s">
        <v>336</v>
      </c>
      <c r="Q42" s="45">
        <f t="shared" ca="1" si="7"/>
        <v>52.351743817737564</v>
      </c>
      <c r="R42" s="45">
        <f t="shared" ca="1" si="7"/>
        <v>52.351743817737564</v>
      </c>
      <c r="S42" s="45">
        <f t="shared" ca="1" si="7"/>
        <v>52.351743817737564</v>
      </c>
      <c r="T42" s="581" t="s">
        <v>336</v>
      </c>
      <c r="U42" s="573">
        <f t="shared" ca="1" si="8"/>
        <v>52.351743817737564</v>
      </c>
      <c r="V42" s="573">
        <f t="shared" ca="1" si="8"/>
        <v>52.351743817737564</v>
      </c>
      <c r="W42" s="574" t="s">
        <v>336</v>
      </c>
    </row>
    <row r="43" spans="1:23" x14ac:dyDescent="0.25">
      <c r="A43" s="812" t="str">
        <f t="shared" si="9"/>
        <v>FB</v>
      </c>
      <c r="B43" s="812" t="s">
        <v>140</v>
      </c>
      <c r="C43" s="133">
        <f t="shared" ca="1" si="3"/>
        <v>1.0506328173749389E-2</v>
      </c>
      <c r="D43" s="133">
        <f t="shared" ca="1" si="3"/>
        <v>1.0506328173749389E-2</v>
      </c>
      <c r="E43" s="133">
        <f t="shared" ca="1" si="3"/>
        <v>1.0506328173749389E-2</v>
      </c>
      <c r="F43" s="551" t="s">
        <v>336</v>
      </c>
      <c r="G43" s="575">
        <f t="shared" ca="1" si="4"/>
        <v>1.0506328173749389E-2</v>
      </c>
      <c r="H43" s="575">
        <f t="shared" ca="1" si="4"/>
        <v>1.0506328173749389E-2</v>
      </c>
      <c r="I43" s="574" t="s">
        <v>336</v>
      </c>
      <c r="J43" s="133">
        <f t="shared" ca="1" si="5"/>
        <v>3.8418355754866351E-4</v>
      </c>
      <c r="K43" s="133">
        <f t="shared" ca="1" si="5"/>
        <v>3.8418355754866351E-4</v>
      </c>
      <c r="L43" s="133">
        <f t="shared" ca="1" si="5"/>
        <v>3.8418355754866351E-4</v>
      </c>
      <c r="M43" s="551" t="s">
        <v>336</v>
      </c>
      <c r="N43" s="575">
        <f t="shared" ca="1" si="6"/>
        <v>3.8418355754866351E-4</v>
      </c>
      <c r="O43" s="575">
        <f t="shared" ca="1" si="6"/>
        <v>3.8418355754866351E-4</v>
      </c>
      <c r="P43" s="574" t="s">
        <v>336</v>
      </c>
      <c r="Q43" s="45">
        <f t="shared" ca="1" si="7"/>
        <v>31.51958286857678</v>
      </c>
      <c r="R43" s="45">
        <f t="shared" ca="1" si="7"/>
        <v>31.51958286857678</v>
      </c>
      <c r="S43" s="45">
        <f t="shared" ca="1" si="7"/>
        <v>31.51958286857678</v>
      </c>
      <c r="T43" s="581" t="s">
        <v>336</v>
      </c>
      <c r="U43" s="573">
        <f t="shared" ca="1" si="8"/>
        <v>31.51958286857678</v>
      </c>
      <c r="V43" s="573">
        <f t="shared" ca="1" si="8"/>
        <v>31.51958286857678</v>
      </c>
      <c r="W43" s="574" t="s">
        <v>336</v>
      </c>
    </row>
    <row r="44" spans="1:23" x14ac:dyDescent="0.25">
      <c r="A44" s="812" t="str">
        <f t="shared" si="9"/>
        <v>FB</v>
      </c>
      <c r="B44" s="812" t="s">
        <v>141</v>
      </c>
      <c r="C44" s="133">
        <f t="shared" ca="1" si="3"/>
        <v>0.15710281852789448</v>
      </c>
      <c r="D44" s="133">
        <f t="shared" ca="1" si="3"/>
        <v>0.15710281852789448</v>
      </c>
      <c r="E44" s="133">
        <f t="shared" ca="1" si="3"/>
        <v>0.15710281852789448</v>
      </c>
      <c r="F44" s="551" t="s">
        <v>336</v>
      </c>
      <c r="G44" s="575">
        <f t="shared" ca="1" si="4"/>
        <v>0.15710281852789448</v>
      </c>
      <c r="H44" s="575">
        <f t="shared" ca="1" si="4"/>
        <v>0.15710281852789448</v>
      </c>
      <c r="I44" s="574" t="s">
        <v>336</v>
      </c>
      <c r="J44" s="133">
        <f t="shared" ca="1" si="5"/>
        <v>6.1506903140072823E-3</v>
      </c>
      <c r="K44" s="133">
        <f t="shared" ca="1" si="5"/>
        <v>6.1506903140072823E-3</v>
      </c>
      <c r="L44" s="133">
        <f t="shared" ca="1" si="5"/>
        <v>6.1506903140072823E-3</v>
      </c>
      <c r="M44" s="551" t="s">
        <v>336</v>
      </c>
      <c r="N44" s="575">
        <f t="shared" ca="1" si="6"/>
        <v>6.1506903140072823E-3</v>
      </c>
      <c r="O44" s="575">
        <f t="shared" ca="1" si="6"/>
        <v>6.1506903140072823E-3</v>
      </c>
      <c r="P44" s="574" t="s">
        <v>336</v>
      </c>
      <c r="Q44" s="45">
        <f t="shared" ca="1" si="7"/>
        <v>504.62126564786257</v>
      </c>
      <c r="R44" s="45">
        <f t="shared" ca="1" si="7"/>
        <v>504.62126564786257</v>
      </c>
      <c r="S44" s="45">
        <f t="shared" ca="1" si="7"/>
        <v>504.62126564786257</v>
      </c>
      <c r="T44" s="581" t="s">
        <v>336</v>
      </c>
      <c r="U44" s="573">
        <f t="shared" ca="1" si="8"/>
        <v>504.62126564786257</v>
      </c>
      <c r="V44" s="573">
        <f t="shared" ca="1" si="8"/>
        <v>504.62126564786257</v>
      </c>
      <c r="W44" s="574" t="s">
        <v>336</v>
      </c>
    </row>
    <row r="45" spans="1:23" x14ac:dyDescent="0.25">
      <c r="A45" s="812" t="str">
        <f t="shared" si="9"/>
        <v>FB</v>
      </c>
      <c r="B45" s="812" t="s">
        <v>142</v>
      </c>
      <c r="C45" s="133">
        <f t="shared" ca="1" si="3"/>
        <v>0.21589213175032251</v>
      </c>
      <c r="D45" s="133">
        <f t="shared" ca="1" si="3"/>
        <v>0.21589213175032251</v>
      </c>
      <c r="E45" s="133">
        <f t="shared" ca="1" si="3"/>
        <v>0.21589213175032251</v>
      </c>
      <c r="F45" s="551" t="s">
        <v>336</v>
      </c>
      <c r="G45" s="575">
        <f t="shared" ca="1" si="4"/>
        <v>0.21589213175032251</v>
      </c>
      <c r="H45" s="575">
        <f t="shared" ca="1" si="4"/>
        <v>0.21589213175032251</v>
      </c>
      <c r="I45" s="574" t="s">
        <v>336</v>
      </c>
      <c r="J45" s="133">
        <f t="shared" ca="1" si="5"/>
        <v>1.2949763687947837E-2</v>
      </c>
      <c r="K45" s="133">
        <f t="shared" ca="1" si="5"/>
        <v>1.2949763687947837E-2</v>
      </c>
      <c r="L45" s="133">
        <f t="shared" ca="1" si="5"/>
        <v>1.2949763687947837E-2</v>
      </c>
      <c r="M45" s="551" t="s">
        <v>336</v>
      </c>
      <c r="N45" s="575">
        <f t="shared" ca="1" si="6"/>
        <v>1.2949763687947837E-2</v>
      </c>
      <c r="O45" s="575">
        <f t="shared" ca="1" si="6"/>
        <v>1.2949763687947837E-2</v>
      </c>
      <c r="P45" s="574" t="s">
        <v>336</v>
      </c>
      <c r="Q45" s="45">
        <f t="shared" ca="1" si="7"/>
        <v>1062.4378416795109</v>
      </c>
      <c r="R45" s="45">
        <f t="shared" ca="1" si="7"/>
        <v>1062.4378416795109</v>
      </c>
      <c r="S45" s="45">
        <f t="shared" ca="1" si="7"/>
        <v>1062.4378416795109</v>
      </c>
      <c r="T45" s="581" t="s">
        <v>336</v>
      </c>
      <c r="U45" s="573">
        <f t="shared" ca="1" si="8"/>
        <v>1062.4378416795109</v>
      </c>
      <c r="V45" s="573">
        <f t="shared" ca="1" si="8"/>
        <v>1062.4378416795109</v>
      </c>
      <c r="W45" s="574" t="s">
        <v>336</v>
      </c>
    </row>
    <row r="46" spans="1:23" x14ac:dyDescent="0.25">
      <c r="A46" s="812" t="str">
        <f t="shared" si="9"/>
        <v>FB</v>
      </c>
      <c r="B46" s="812" t="s">
        <v>143</v>
      </c>
      <c r="C46" s="133">
        <f t="shared" ca="1" si="3"/>
        <v>0.14422756864266287</v>
      </c>
      <c r="D46" s="133">
        <f t="shared" ca="1" si="3"/>
        <v>0.14422756864266287</v>
      </c>
      <c r="E46" s="133">
        <f t="shared" ca="1" si="3"/>
        <v>0.14422756864266287</v>
      </c>
      <c r="F46" s="551" t="s">
        <v>336</v>
      </c>
      <c r="G46" s="575">
        <f t="shared" ca="1" si="4"/>
        <v>0.14422756864266287</v>
      </c>
      <c r="H46" s="575">
        <f t="shared" ca="1" si="4"/>
        <v>0.14422756864266287</v>
      </c>
      <c r="I46" s="574" t="s">
        <v>336</v>
      </c>
      <c r="J46" s="133">
        <f t="shared" ca="1" si="5"/>
        <v>7.796705896021436E-3</v>
      </c>
      <c r="K46" s="133">
        <f t="shared" ca="1" si="5"/>
        <v>7.796705896021436E-3</v>
      </c>
      <c r="L46" s="133">
        <f t="shared" ca="1" si="5"/>
        <v>7.796705896021436E-3</v>
      </c>
      <c r="M46" s="551" t="s">
        <v>336</v>
      </c>
      <c r="N46" s="575">
        <f t="shared" ca="1" si="6"/>
        <v>7.796705896021436E-3</v>
      </c>
      <c r="O46" s="575">
        <f t="shared" ca="1" si="6"/>
        <v>7.796705896021436E-3</v>
      </c>
      <c r="P46" s="574" t="s">
        <v>336</v>
      </c>
      <c r="Q46" s="45">
        <f t="shared" ca="1" si="7"/>
        <v>639.66537027145046</v>
      </c>
      <c r="R46" s="45">
        <f t="shared" ca="1" si="7"/>
        <v>639.66537027145046</v>
      </c>
      <c r="S46" s="45">
        <f t="shared" ca="1" si="7"/>
        <v>639.66537027145046</v>
      </c>
      <c r="T46" s="581" t="s">
        <v>336</v>
      </c>
      <c r="U46" s="573">
        <f t="shared" ca="1" si="8"/>
        <v>639.66537027145046</v>
      </c>
      <c r="V46" s="573">
        <f t="shared" ca="1" si="8"/>
        <v>639.66537027145046</v>
      </c>
      <c r="W46" s="574" t="s">
        <v>336</v>
      </c>
    </row>
    <row r="47" spans="1:23" x14ac:dyDescent="0.25">
      <c r="A47" s="812" t="str">
        <f t="shared" si="9"/>
        <v>FB</v>
      </c>
      <c r="B47" s="812" t="s">
        <v>144</v>
      </c>
      <c r="C47" s="133">
        <f t="shared" ca="1" si="3"/>
        <v>5.3218088739482973E-3</v>
      </c>
      <c r="D47" s="133">
        <f t="shared" ca="1" si="3"/>
        <v>5.3218088739482973E-3</v>
      </c>
      <c r="E47" s="133">
        <f t="shared" ca="1" si="3"/>
        <v>5.3218088739482973E-3</v>
      </c>
      <c r="F47" s="551" t="s">
        <v>336</v>
      </c>
      <c r="G47" s="575">
        <f t="shared" ca="1" si="4"/>
        <v>5.3218088739482973E-3</v>
      </c>
      <c r="H47" s="575">
        <f t="shared" ca="1" si="4"/>
        <v>5.3218088739482973E-3</v>
      </c>
      <c r="I47" s="574" t="s">
        <v>336</v>
      </c>
      <c r="J47" s="133">
        <f t="shared" ca="1" si="5"/>
        <v>6.8373641916752209E-4</v>
      </c>
      <c r="K47" s="133">
        <f t="shared" ca="1" si="5"/>
        <v>6.8373641916752209E-4</v>
      </c>
      <c r="L47" s="133">
        <f t="shared" ca="1" si="5"/>
        <v>6.8373641916752209E-4</v>
      </c>
      <c r="M47" s="551" t="s">
        <v>336</v>
      </c>
      <c r="N47" s="575">
        <f t="shared" ca="1" si="6"/>
        <v>6.8373641916752209E-4</v>
      </c>
      <c r="O47" s="575">
        <f t="shared" ca="1" si="6"/>
        <v>6.8373641916752209E-4</v>
      </c>
      <c r="P47" s="574" t="s">
        <v>336</v>
      </c>
      <c r="Q47" s="45">
        <f t="shared" ca="1" si="7"/>
        <v>66.98869601930771</v>
      </c>
      <c r="R47" s="45">
        <f t="shared" ca="1" si="7"/>
        <v>66.98869601930771</v>
      </c>
      <c r="S47" s="45">
        <f t="shared" ca="1" si="7"/>
        <v>66.98869601930771</v>
      </c>
      <c r="T47" s="581" t="s">
        <v>336</v>
      </c>
      <c r="U47" s="573">
        <f t="shared" ca="1" si="8"/>
        <v>66.98869601930771</v>
      </c>
      <c r="V47" s="573">
        <f t="shared" ca="1" si="8"/>
        <v>66.98869601930771</v>
      </c>
      <c r="W47" s="574" t="s">
        <v>336</v>
      </c>
    </row>
    <row r="48" spans="1:23" x14ac:dyDescent="0.25">
      <c r="A48" s="812" t="str">
        <f t="shared" si="9"/>
        <v>FB</v>
      </c>
      <c r="B48" s="812" t="s">
        <v>145</v>
      </c>
      <c r="C48" s="133">
        <f t="shared" ca="1" si="3"/>
        <v>1.7950626726178462E-2</v>
      </c>
      <c r="D48" s="133">
        <f t="shared" ca="1" si="3"/>
        <v>1.7950626726178462E-2</v>
      </c>
      <c r="E48" s="133">
        <f t="shared" ca="1" si="3"/>
        <v>1.7950626726178462E-2</v>
      </c>
      <c r="F48" s="551" t="s">
        <v>336</v>
      </c>
      <c r="G48" s="575">
        <f t="shared" ca="1" si="4"/>
        <v>1.7950626726178462E-2</v>
      </c>
      <c r="H48" s="575">
        <f t="shared" ca="1" si="4"/>
        <v>1.7950626726178462E-2</v>
      </c>
      <c r="I48" s="574" t="s">
        <v>336</v>
      </c>
      <c r="J48" s="133">
        <f t="shared" ca="1" si="5"/>
        <v>2.3062641914203636E-3</v>
      </c>
      <c r="K48" s="133">
        <f t="shared" ca="1" si="5"/>
        <v>2.3062641914203636E-3</v>
      </c>
      <c r="L48" s="133">
        <f t="shared" ca="1" si="5"/>
        <v>2.3062641914203636E-3</v>
      </c>
      <c r="M48" s="551" t="s">
        <v>336</v>
      </c>
      <c r="N48" s="575">
        <f t="shared" ca="1" si="6"/>
        <v>2.3062641914203636E-3</v>
      </c>
      <c r="O48" s="575">
        <f t="shared" ca="1" si="6"/>
        <v>2.3062641914203636E-3</v>
      </c>
      <c r="P48" s="574" t="s">
        <v>336</v>
      </c>
      <c r="Q48" s="45">
        <f t="shared" ca="1" si="7"/>
        <v>225.95495358778118</v>
      </c>
      <c r="R48" s="45">
        <f t="shared" ca="1" si="7"/>
        <v>225.95495358778118</v>
      </c>
      <c r="S48" s="45">
        <f t="shared" ca="1" si="7"/>
        <v>225.95495358778118</v>
      </c>
      <c r="T48" s="581" t="s">
        <v>336</v>
      </c>
      <c r="U48" s="573">
        <f t="shared" ca="1" si="8"/>
        <v>225.95495358778118</v>
      </c>
      <c r="V48" s="573">
        <f t="shared" ca="1" si="8"/>
        <v>225.95495358778118</v>
      </c>
      <c r="W48" s="574" t="s">
        <v>336</v>
      </c>
    </row>
    <row r="49" spans="1:23" x14ac:dyDescent="0.25">
      <c r="A49" s="812" t="str">
        <f t="shared" si="9"/>
        <v>FB</v>
      </c>
      <c r="B49" s="812" t="s">
        <v>146</v>
      </c>
      <c r="C49" s="133">
        <f t="shared" ca="1" si="3"/>
        <v>8.9185148765768524E-2</v>
      </c>
      <c r="D49" s="133">
        <f t="shared" ca="1" si="3"/>
        <v>8.9185148765768524E-2</v>
      </c>
      <c r="E49" s="133">
        <f t="shared" ca="1" si="3"/>
        <v>8.9185148765768524E-2</v>
      </c>
      <c r="F49" s="551" t="s">
        <v>336</v>
      </c>
      <c r="G49" s="575">
        <f t="shared" ca="1" si="4"/>
        <v>8.9185148765768524E-2</v>
      </c>
      <c r="H49" s="575">
        <f t="shared" ca="1" si="4"/>
        <v>8.9185148765768524E-2</v>
      </c>
      <c r="I49" s="574" t="s">
        <v>336</v>
      </c>
      <c r="J49" s="133">
        <f t="shared" ca="1" si="5"/>
        <v>4.295362889286454E-3</v>
      </c>
      <c r="K49" s="133">
        <f t="shared" ca="1" si="5"/>
        <v>4.295362889286454E-3</v>
      </c>
      <c r="L49" s="133">
        <f t="shared" ca="1" si="5"/>
        <v>4.295362889286454E-3</v>
      </c>
      <c r="M49" s="551" t="s">
        <v>336</v>
      </c>
      <c r="N49" s="575">
        <f t="shared" ca="1" si="6"/>
        <v>4.295362889286454E-3</v>
      </c>
      <c r="O49" s="575">
        <f t="shared" ca="1" si="6"/>
        <v>4.295362889286454E-3</v>
      </c>
      <c r="P49" s="574" t="s">
        <v>336</v>
      </c>
      <c r="Q49" s="45">
        <f t="shared" ca="1" si="7"/>
        <v>352.28361373578406</v>
      </c>
      <c r="R49" s="45">
        <f t="shared" ca="1" si="7"/>
        <v>352.28361373578406</v>
      </c>
      <c r="S49" s="45">
        <f t="shared" ca="1" si="7"/>
        <v>352.28361373578406</v>
      </c>
      <c r="T49" s="581" t="s">
        <v>336</v>
      </c>
      <c r="U49" s="573">
        <f t="shared" ca="1" si="8"/>
        <v>352.28361373578406</v>
      </c>
      <c r="V49" s="573">
        <f t="shared" ca="1" si="8"/>
        <v>352.28361373578406</v>
      </c>
      <c r="W49" s="574" t="s">
        <v>336</v>
      </c>
    </row>
    <row r="50" spans="1:23" x14ac:dyDescent="0.25">
      <c r="A50" s="812" t="str">
        <f t="shared" si="9"/>
        <v>FB</v>
      </c>
      <c r="B50" s="812" t="s">
        <v>568</v>
      </c>
      <c r="C50" s="133">
        <f t="shared" ca="1" si="3"/>
        <v>1.9687155023516485E-2</v>
      </c>
      <c r="D50" s="133">
        <f t="shared" ca="1" si="3"/>
        <v>1.9687155023516485E-2</v>
      </c>
      <c r="E50" s="133">
        <f t="shared" ca="1" si="3"/>
        <v>1.9687155023516485E-2</v>
      </c>
      <c r="F50" s="551" t="s">
        <v>336</v>
      </c>
      <c r="G50" s="575">
        <f t="shared" ca="1" si="4"/>
        <v>1.9687155023516485E-2</v>
      </c>
      <c r="H50" s="575">
        <f t="shared" ca="1" si="4"/>
        <v>1.9687155023516485E-2</v>
      </c>
      <c r="I50" s="574" t="s">
        <v>336</v>
      </c>
      <c r="J50" s="133">
        <f t="shared" ca="1" si="5"/>
        <v>1.4810085972119473</v>
      </c>
      <c r="K50" s="133">
        <f t="shared" ca="1" si="5"/>
        <v>1.4810085972119473</v>
      </c>
      <c r="L50" s="133">
        <f t="shared" ca="1" si="5"/>
        <v>1.4810085972119473</v>
      </c>
      <c r="M50" s="551" t="s">
        <v>336</v>
      </c>
      <c r="N50" s="575">
        <f t="shared" ca="1" si="6"/>
        <v>1.4810085972119473</v>
      </c>
      <c r="O50" s="575">
        <f t="shared" ca="1" si="6"/>
        <v>1.4810085972119473</v>
      </c>
      <c r="P50" s="574" t="s">
        <v>336</v>
      </c>
      <c r="Q50" s="45">
        <f t="shared" ca="1" si="7"/>
        <v>14057.10172690416</v>
      </c>
      <c r="R50" s="45">
        <f t="shared" ca="1" si="7"/>
        <v>14057.10172690416</v>
      </c>
      <c r="S50" s="45">
        <f t="shared" ca="1" si="7"/>
        <v>14057.10172690416</v>
      </c>
      <c r="T50" s="581" t="s">
        <v>336</v>
      </c>
      <c r="U50" s="573">
        <f t="shared" ca="1" si="8"/>
        <v>14057.10172690416</v>
      </c>
      <c r="V50" s="573">
        <f t="shared" ca="1" si="8"/>
        <v>14057.10172690416</v>
      </c>
      <c r="W50" s="574" t="s">
        <v>336</v>
      </c>
    </row>
    <row r="51" spans="1:23" x14ac:dyDescent="0.25">
      <c r="A51" s="812" t="str">
        <f t="shared" si="9"/>
        <v>FB</v>
      </c>
      <c r="B51" s="812" t="s">
        <v>148</v>
      </c>
      <c r="C51" s="133">
        <f t="shared" ca="1" si="3"/>
        <v>6.4314047233873933E-3</v>
      </c>
      <c r="D51" s="133">
        <f t="shared" ca="1" si="3"/>
        <v>6.4314047233873933E-3</v>
      </c>
      <c r="E51" s="133">
        <f t="shared" ca="1" si="3"/>
        <v>6.4314047233873933E-3</v>
      </c>
      <c r="F51" s="551" t="s">
        <v>336</v>
      </c>
      <c r="G51" s="575">
        <f t="shared" ca="1" si="4"/>
        <v>6.4314047233873933E-3</v>
      </c>
      <c r="H51" s="575">
        <f t="shared" ca="1" si="4"/>
        <v>6.4314047233873933E-3</v>
      </c>
      <c r="I51" s="574" t="s">
        <v>336</v>
      </c>
      <c r="J51" s="133">
        <f t="shared" ca="1" si="5"/>
        <v>0.21298068446675997</v>
      </c>
      <c r="K51" s="133">
        <f t="shared" ca="1" si="5"/>
        <v>0.21298068446675997</v>
      </c>
      <c r="L51" s="133">
        <f t="shared" ca="1" si="5"/>
        <v>0.21298068446675997</v>
      </c>
      <c r="M51" s="551" t="s">
        <v>336</v>
      </c>
      <c r="N51" s="575">
        <f t="shared" ca="1" si="6"/>
        <v>0.21298068446675997</v>
      </c>
      <c r="O51" s="575">
        <f t="shared" ca="1" si="6"/>
        <v>0.21298068446675997</v>
      </c>
      <c r="P51" s="574" t="s">
        <v>336</v>
      </c>
      <c r="Q51" s="45">
        <f t="shared" ca="1" si="7"/>
        <v>4738.9423455553297</v>
      </c>
      <c r="R51" s="45">
        <f t="shared" ca="1" si="7"/>
        <v>4738.9423455553297</v>
      </c>
      <c r="S51" s="45">
        <f t="shared" ca="1" si="7"/>
        <v>4738.9423455553297</v>
      </c>
      <c r="T51" s="581" t="s">
        <v>336</v>
      </c>
      <c r="U51" s="573">
        <f t="shared" ca="1" si="8"/>
        <v>4738.9423455553297</v>
      </c>
      <c r="V51" s="573">
        <f t="shared" ca="1" si="8"/>
        <v>4738.9423455553297</v>
      </c>
      <c r="W51" s="574" t="s">
        <v>336</v>
      </c>
    </row>
    <row r="52" spans="1:23" x14ac:dyDescent="0.25">
      <c r="A52" s="812" t="str">
        <f t="shared" si="9"/>
        <v>FB</v>
      </c>
      <c r="B52" s="812" t="s">
        <v>746</v>
      </c>
      <c r="C52" s="133">
        <f t="shared" ca="1" si="3"/>
        <v>1.1744694370245405E-4</v>
      </c>
      <c r="D52" s="133">
        <f t="shared" ca="1" si="3"/>
        <v>1.1744694370245405E-4</v>
      </c>
      <c r="E52" s="133">
        <f t="shared" ca="1" si="3"/>
        <v>1.1744694370245405E-4</v>
      </c>
      <c r="F52" s="551" t="s">
        <v>336</v>
      </c>
      <c r="G52" s="575">
        <f t="shared" ca="1" si="4"/>
        <v>1.1744694370245405E-4</v>
      </c>
      <c r="H52" s="575">
        <f t="shared" ca="1" si="4"/>
        <v>1.1744694370245405E-4</v>
      </c>
      <c r="I52" s="574" t="s">
        <v>336</v>
      </c>
      <c r="J52" s="133">
        <f t="shared" ca="1" si="5"/>
        <v>1.0085315650735517E-2</v>
      </c>
      <c r="K52" s="133">
        <f t="shared" ca="1" si="5"/>
        <v>1.0085315650735517E-2</v>
      </c>
      <c r="L52" s="133">
        <f t="shared" ca="1" si="5"/>
        <v>1.0085315650735517E-2</v>
      </c>
      <c r="M52" s="551" t="s">
        <v>336</v>
      </c>
      <c r="N52" s="575">
        <f t="shared" ca="1" si="6"/>
        <v>1.0085315650735517E-2</v>
      </c>
      <c r="O52" s="575">
        <f t="shared" ca="1" si="6"/>
        <v>1.0085315650735517E-2</v>
      </c>
      <c r="P52" s="574" t="s">
        <v>336</v>
      </c>
      <c r="Q52" s="45">
        <f t="shared" ca="1" si="7"/>
        <v>97.711438039016485</v>
      </c>
      <c r="R52" s="45">
        <f t="shared" ca="1" si="7"/>
        <v>97.711438039016485</v>
      </c>
      <c r="S52" s="45">
        <f t="shared" ca="1" si="7"/>
        <v>97.711438039016485</v>
      </c>
      <c r="T52" s="581" t="s">
        <v>336</v>
      </c>
      <c r="U52" s="573">
        <f t="shared" ca="1" si="8"/>
        <v>97.711438039016485</v>
      </c>
      <c r="V52" s="573">
        <f t="shared" ca="1" si="8"/>
        <v>97.711438039016485</v>
      </c>
      <c r="W52" s="574" t="s">
        <v>336</v>
      </c>
    </row>
    <row r="53" spans="1:23" x14ac:dyDescent="0.25">
      <c r="A53" s="812" t="str">
        <f t="shared" si="9"/>
        <v>FB</v>
      </c>
      <c r="B53" s="812" t="s">
        <v>747</v>
      </c>
      <c r="C53" s="133">
        <f t="shared" ca="1" si="3"/>
        <v>4.5539571493890884E-4</v>
      </c>
      <c r="D53" s="133">
        <f t="shared" ca="1" si="3"/>
        <v>4.5539571493890884E-4</v>
      </c>
      <c r="E53" s="133">
        <f t="shared" ca="1" si="3"/>
        <v>4.5539571493890884E-4</v>
      </c>
      <c r="F53" s="551" t="s">
        <v>336</v>
      </c>
      <c r="G53" s="575">
        <f t="shared" ca="1" si="4"/>
        <v>4.5539571493890884E-4</v>
      </c>
      <c r="H53" s="575">
        <f t="shared" ca="1" si="4"/>
        <v>4.5539571493890884E-4</v>
      </c>
      <c r="I53" s="574" t="s">
        <v>336</v>
      </c>
      <c r="J53" s="133">
        <f t="shared" ca="1" si="5"/>
        <v>3.4258122524680391E-2</v>
      </c>
      <c r="K53" s="133">
        <f t="shared" ca="1" si="5"/>
        <v>3.4258122524680391E-2</v>
      </c>
      <c r="L53" s="133">
        <f t="shared" ca="1" si="5"/>
        <v>3.4258122524680391E-2</v>
      </c>
      <c r="M53" s="551" t="s">
        <v>336</v>
      </c>
      <c r="N53" s="575">
        <f t="shared" ca="1" si="6"/>
        <v>3.4258122524680391E-2</v>
      </c>
      <c r="O53" s="575">
        <f t="shared" ca="1" si="6"/>
        <v>3.4258122524680391E-2</v>
      </c>
      <c r="P53" s="574" t="s">
        <v>336</v>
      </c>
      <c r="Q53" s="45">
        <f t="shared" ca="1" si="7"/>
        <v>302.84803783496454</v>
      </c>
      <c r="R53" s="45">
        <f t="shared" ca="1" si="7"/>
        <v>302.84803783496454</v>
      </c>
      <c r="S53" s="45">
        <f t="shared" ca="1" si="7"/>
        <v>302.84803783496454</v>
      </c>
      <c r="T53" s="581" t="s">
        <v>336</v>
      </c>
      <c r="U53" s="573">
        <f t="shared" ca="1" si="8"/>
        <v>302.84803783496454</v>
      </c>
      <c r="V53" s="573">
        <f t="shared" ca="1" si="8"/>
        <v>302.84803783496454</v>
      </c>
      <c r="W53" s="574" t="s">
        <v>336</v>
      </c>
    </row>
    <row r="54" spans="1:23" x14ac:dyDescent="0.25">
      <c r="A54" s="812" t="str">
        <f t="shared" si="9"/>
        <v>FB</v>
      </c>
      <c r="B54" s="812" t="s">
        <v>149</v>
      </c>
      <c r="C54" s="133">
        <f t="shared" ca="1" si="3"/>
        <v>2.2029356694989098E-6</v>
      </c>
      <c r="D54" s="133">
        <f t="shared" ca="1" si="3"/>
        <v>2.2029356694989098E-6</v>
      </c>
      <c r="E54" s="133">
        <f t="shared" ca="1" si="3"/>
        <v>2.2029356694989098E-6</v>
      </c>
      <c r="F54" s="551" t="s">
        <v>336</v>
      </c>
      <c r="G54" s="575">
        <f t="shared" ca="1" si="4"/>
        <v>2.2029356694989098E-6</v>
      </c>
      <c r="H54" s="575">
        <f t="shared" ca="1" si="4"/>
        <v>2.2029356694989098E-6</v>
      </c>
      <c r="I54" s="574" t="s">
        <v>336</v>
      </c>
      <c r="J54" s="133">
        <f t="shared" ca="1" si="5"/>
        <v>3.1713076391220077E-5</v>
      </c>
      <c r="K54" s="133">
        <f t="shared" ca="1" si="5"/>
        <v>3.1713076391220077E-5</v>
      </c>
      <c r="L54" s="133">
        <f t="shared" ca="1" si="5"/>
        <v>3.1713076391220077E-5</v>
      </c>
      <c r="M54" s="551" t="s">
        <v>336</v>
      </c>
      <c r="N54" s="575">
        <f t="shared" ca="1" si="6"/>
        <v>3.1713076391220077E-5</v>
      </c>
      <c r="O54" s="575">
        <f t="shared" ca="1" si="6"/>
        <v>3.1713076391220077E-5</v>
      </c>
      <c r="P54" s="574" t="s">
        <v>336</v>
      </c>
      <c r="Q54" s="45">
        <f t="shared" ca="1" si="7"/>
        <v>133.3679903019727</v>
      </c>
      <c r="R54" s="45">
        <f t="shared" ca="1" si="7"/>
        <v>133.3679903019727</v>
      </c>
      <c r="S54" s="45">
        <f t="shared" ca="1" si="7"/>
        <v>133.3679903019727</v>
      </c>
      <c r="T54" s="581" t="s">
        <v>336</v>
      </c>
      <c r="U54" s="573">
        <f t="shared" ca="1" si="8"/>
        <v>133.3679903019727</v>
      </c>
      <c r="V54" s="573">
        <f t="shared" ca="1" si="8"/>
        <v>133.3679903019727</v>
      </c>
      <c r="W54" s="574" t="s">
        <v>336</v>
      </c>
    </row>
    <row r="55" spans="1:23" x14ac:dyDescent="0.25">
      <c r="A55" s="812" t="str">
        <f t="shared" si="9"/>
        <v>FB</v>
      </c>
      <c r="B55" s="812" t="s">
        <v>150</v>
      </c>
      <c r="C55" s="133">
        <f t="shared" ca="1" si="3"/>
        <v>3.7937455509796164E-3</v>
      </c>
      <c r="D55" s="133">
        <f t="shared" ca="1" si="3"/>
        <v>3.7937455509796164E-3</v>
      </c>
      <c r="E55" s="133">
        <f t="shared" ca="1" si="3"/>
        <v>3.7937455509796164E-3</v>
      </c>
      <c r="F55" s="551" t="s">
        <v>336</v>
      </c>
      <c r="G55" s="575">
        <f t="shared" ca="1" si="4"/>
        <v>3.7937455509796164E-3</v>
      </c>
      <c r="H55" s="575">
        <f t="shared" ca="1" si="4"/>
        <v>3.7937455509796164E-3</v>
      </c>
      <c r="I55" s="574" t="s">
        <v>336</v>
      </c>
      <c r="J55" s="133">
        <f t="shared" ca="1" si="5"/>
        <v>3.559401915116626E-4</v>
      </c>
      <c r="K55" s="133">
        <f t="shared" ca="1" si="5"/>
        <v>3.559401915116626E-4</v>
      </c>
      <c r="L55" s="133">
        <f t="shared" ca="1" si="5"/>
        <v>3.559401915116626E-4</v>
      </c>
      <c r="M55" s="551" t="s">
        <v>336</v>
      </c>
      <c r="N55" s="575">
        <f t="shared" ca="1" si="6"/>
        <v>3.559401915116626E-4</v>
      </c>
      <c r="O55" s="575">
        <f t="shared" ca="1" si="6"/>
        <v>3.559401915116626E-4</v>
      </c>
      <c r="P55" s="574" t="s">
        <v>336</v>
      </c>
      <c r="Q55" s="45">
        <f t="shared" ca="1" si="7"/>
        <v>1230.7776719521867</v>
      </c>
      <c r="R55" s="45">
        <f t="shared" ca="1" si="7"/>
        <v>1230.7776719521867</v>
      </c>
      <c r="S55" s="45">
        <f t="shared" ca="1" si="7"/>
        <v>1230.7776719521867</v>
      </c>
      <c r="T55" s="581" t="s">
        <v>336</v>
      </c>
      <c r="U55" s="573">
        <f t="shared" ca="1" si="8"/>
        <v>1230.7776719521867</v>
      </c>
      <c r="V55" s="573">
        <f t="shared" ca="1" si="8"/>
        <v>1230.7776719521867</v>
      </c>
      <c r="W55" s="574" t="s">
        <v>336</v>
      </c>
    </row>
    <row r="56" spans="1:23" x14ac:dyDescent="0.25">
      <c r="A56" s="812" t="str">
        <f t="shared" si="9"/>
        <v>FB</v>
      </c>
      <c r="B56" s="812" t="s">
        <v>151</v>
      </c>
      <c r="C56" s="133">
        <f t="shared" ref="C56:E59" ca="1" si="10">C22*C$32/C$26</f>
        <v>3.5046633296958556E-2</v>
      </c>
      <c r="D56" s="133">
        <f t="shared" ca="1" si="10"/>
        <v>3.5046633296958556E-2</v>
      </c>
      <c r="E56" s="133">
        <f t="shared" ca="1" si="10"/>
        <v>3.5046633296958556E-2</v>
      </c>
      <c r="F56" s="551" t="s">
        <v>336</v>
      </c>
      <c r="G56" s="575">
        <f t="shared" ref="G56:H59" ca="1" si="11">G22*G$32/G$26</f>
        <v>3.5046633296958556E-2</v>
      </c>
      <c r="H56" s="575">
        <f t="shared" ca="1" si="11"/>
        <v>3.5046633296958556E-2</v>
      </c>
      <c r="I56" s="574" t="s">
        <v>336</v>
      </c>
      <c r="J56" s="133">
        <f t="shared" ref="J56:L59" ca="1" si="12">J22*J$32/J$26</f>
        <v>4.8478999263543737E-2</v>
      </c>
      <c r="K56" s="133">
        <f t="shared" ca="1" si="12"/>
        <v>4.8478999263543737E-2</v>
      </c>
      <c r="L56" s="133">
        <f t="shared" ca="1" si="12"/>
        <v>4.8478999263543737E-2</v>
      </c>
      <c r="M56" s="551" t="s">
        <v>336</v>
      </c>
      <c r="N56" s="575">
        <f t="shared" ref="N56:O59" ca="1" si="13">N22*N$32/N$26</f>
        <v>4.8478999263543737E-2</v>
      </c>
      <c r="O56" s="575">
        <f t="shared" ca="1" si="13"/>
        <v>4.8478999263543737E-2</v>
      </c>
      <c r="P56" s="574" t="s">
        <v>336</v>
      </c>
      <c r="Q56" s="45">
        <f t="shared" ref="Q56:S59" ca="1" si="14">Q22*Q$32/Q$26</f>
        <v>161.95787613449502</v>
      </c>
      <c r="R56" s="45">
        <f t="shared" ca="1" si="14"/>
        <v>161.95787613449502</v>
      </c>
      <c r="S56" s="45">
        <f t="shared" ca="1" si="14"/>
        <v>161.95787613449502</v>
      </c>
      <c r="T56" s="581" t="s">
        <v>336</v>
      </c>
      <c r="U56" s="573">
        <f t="shared" ref="U56:V59" ca="1" si="15">U22*U$32/U$26</f>
        <v>161.95787613449502</v>
      </c>
      <c r="V56" s="573">
        <f t="shared" ca="1" si="15"/>
        <v>161.95787613449502</v>
      </c>
      <c r="W56" s="574" t="s">
        <v>336</v>
      </c>
    </row>
    <row r="57" spans="1:23" x14ac:dyDescent="0.25">
      <c r="A57" s="812" t="str">
        <f t="shared" si="9"/>
        <v>FB</v>
      </c>
      <c r="B57" s="812" t="s">
        <v>152</v>
      </c>
      <c r="C57" s="133">
        <f t="shared" ca="1" si="10"/>
        <v>9.9007011003925929E-5</v>
      </c>
      <c r="D57" s="133">
        <f t="shared" ca="1" si="10"/>
        <v>9.9007011003925929E-5</v>
      </c>
      <c r="E57" s="133">
        <f t="shared" ca="1" si="10"/>
        <v>9.9007011003925929E-5</v>
      </c>
      <c r="F57" s="551" t="s">
        <v>336</v>
      </c>
      <c r="G57" s="575">
        <f t="shared" ca="1" si="11"/>
        <v>9.9007011003925929E-5</v>
      </c>
      <c r="H57" s="575">
        <f t="shared" ca="1" si="11"/>
        <v>9.9007011003925929E-5</v>
      </c>
      <c r="I57" s="574" t="s">
        <v>336</v>
      </c>
      <c r="J57" s="133">
        <f t="shared" ca="1" si="12"/>
        <v>1.3695354908631205E-4</v>
      </c>
      <c r="K57" s="133">
        <f t="shared" ca="1" si="12"/>
        <v>1.3695354908631205E-4</v>
      </c>
      <c r="L57" s="133">
        <f t="shared" ca="1" si="12"/>
        <v>1.3695354908631205E-4</v>
      </c>
      <c r="M57" s="551" t="s">
        <v>336</v>
      </c>
      <c r="N57" s="575">
        <f t="shared" ca="1" si="13"/>
        <v>1.3695354908631205E-4</v>
      </c>
      <c r="O57" s="575">
        <f t="shared" ca="1" si="13"/>
        <v>1.3695354908631205E-4</v>
      </c>
      <c r="P57" s="574" t="s">
        <v>336</v>
      </c>
      <c r="Q57" s="45">
        <f t="shared" ca="1" si="14"/>
        <v>6.9168950275082084</v>
      </c>
      <c r="R57" s="45">
        <f t="shared" ca="1" si="14"/>
        <v>6.9168950275082084</v>
      </c>
      <c r="S57" s="45">
        <f t="shared" ca="1" si="14"/>
        <v>6.9168950275082084</v>
      </c>
      <c r="T57" s="581" t="s">
        <v>336</v>
      </c>
      <c r="U57" s="573">
        <f t="shared" ca="1" si="15"/>
        <v>6.9168950275082084</v>
      </c>
      <c r="V57" s="573">
        <f t="shared" ca="1" si="15"/>
        <v>6.9168950275082084</v>
      </c>
      <c r="W57" s="574" t="s">
        <v>336</v>
      </c>
    </row>
    <row r="58" spans="1:23" x14ac:dyDescent="0.25">
      <c r="A58" s="812" t="str">
        <f t="shared" si="9"/>
        <v>FB</v>
      </c>
      <c r="B58" s="812" t="s">
        <v>153</v>
      </c>
      <c r="C58" s="133">
        <f t="shared" ca="1" si="10"/>
        <v>9.6981082463619943E-5</v>
      </c>
      <c r="D58" s="133">
        <f t="shared" ca="1" si="10"/>
        <v>9.6981082463619943E-5</v>
      </c>
      <c r="E58" s="133">
        <f t="shared" ca="1" si="10"/>
        <v>9.6981082463619943E-5</v>
      </c>
      <c r="F58" s="551" t="s">
        <v>336</v>
      </c>
      <c r="G58" s="575">
        <f t="shared" ca="1" si="11"/>
        <v>9.6981082463619943E-5</v>
      </c>
      <c r="H58" s="575">
        <f t="shared" ca="1" si="11"/>
        <v>9.6981082463619943E-5</v>
      </c>
      <c r="I58" s="574" t="s">
        <v>336</v>
      </c>
      <c r="J58" s="133">
        <f t="shared" ca="1" si="12"/>
        <v>3.3712921765297007E-6</v>
      </c>
      <c r="K58" s="133">
        <f t="shared" ca="1" si="12"/>
        <v>3.3712921765297007E-6</v>
      </c>
      <c r="L58" s="133">
        <f t="shared" ca="1" si="12"/>
        <v>3.3712921765297007E-6</v>
      </c>
      <c r="M58" s="551" t="s">
        <v>336</v>
      </c>
      <c r="N58" s="575">
        <f t="shared" ca="1" si="13"/>
        <v>3.3712921765297007E-6</v>
      </c>
      <c r="O58" s="575">
        <f t="shared" ca="1" si="13"/>
        <v>3.3712921765297007E-6</v>
      </c>
      <c r="P58" s="574" t="s">
        <v>336</v>
      </c>
      <c r="Q58" s="45">
        <f t="shared" ca="1" si="14"/>
        <v>3.6091991602057569</v>
      </c>
      <c r="R58" s="45">
        <f t="shared" ca="1" si="14"/>
        <v>3.6091991602057569</v>
      </c>
      <c r="S58" s="45">
        <f t="shared" ca="1" si="14"/>
        <v>3.6091991602057569</v>
      </c>
      <c r="T58" s="581" t="s">
        <v>336</v>
      </c>
      <c r="U58" s="573">
        <f t="shared" ca="1" si="15"/>
        <v>3.6091991602057569</v>
      </c>
      <c r="V58" s="573">
        <f t="shared" ca="1" si="15"/>
        <v>3.6091991602057569</v>
      </c>
      <c r="W58" s="574" t="s">
        <v>336</v>
      </c>
    </row>
    <row r="59" spans="1:23" x14ac:dyDescent="0.25">
      <c r="A59" s="813" t="str">
        <f>A56</f>
        <v>FB</v>
      </c>
      <c r="B59" s="813" t="s">
        <v>154</v>
      </c>
      <c r="C59" s="135">
        <f t="shared" ca="1" si="10"/>
        <v>8.9033558250939024E-4</v>
      </c>
      <c r="D59" s="135">
        <f t="shared" ca="1" si="10"/>
        <v>8.9033558250939024E-4</v>
      </c>
      <c r="E59" s="135">
        <f t="shared" ca="1" si="10"/>
        <v>8.9033558250939024E-4</v>
      </c>
      <c r="F59" s="580" t="s">
        <v>336</v>
      </c>
      <c r="G59" s="579">
        <f t="shared" ca="1" si="11"/>
        <v>8.9033558250939024E-4</v>
      </c>
      <c r="H59" s="579">
        <f t="shared" ca="1" si="11"/>
        <v>8.9033558250939024E-4</v>
      </c>
      <c r="I59" s="576" t="s">
        <v>336</v>
      </c>
      <c r="J59" s="135">
        <f t="shared" ca="1" si="12"/>
        <v>7.515637160334627E-3</v>
      </c>
      <c r="K59" s="135">
        <f t="shared" ca="1" si="12"/>
        <v>7.515637160334627E-3</v>
      </c>
      <c r="L59" s="135">
        <f t="shared" ca="1" si="12"/>
        <v>7.515637160334627E-3</v>
      </c>
      <c r="M59" s="580" t="s">
        <v>336</v>
      </c>
      <c r="N59" s="579">
        <f t="shared" ca="1" si="13"/>
        <v>7.515637160334627E-3</v>
      </c>
      <c r="O59" s="579">
        <f t="shared" ca="1" si="13"/>
        <v>7.515637160334627E-3</v>
      </c>
      <c r="P59" s="576" t="s">
        <v>336</v>
      </c>
      <c r="Q59" s="88">
        <f t="shared" ca="1" si="14"/>
        <v>57.55856172892485</v>
      </c>
      <c r="R59" s="88">
        <f t="shared" ca="1" si="14"/>
        <v>57.55856172892485</v>
      </c>
      <c r="S59" s="88">
        <f t="shared" ca="1" si="14"/>
        <v>57.55856172892485</v>
      </c>
      <c r="T59" s="578" t="s">
        <v>336</v>
      </c>
      <c r="U59" s="577">
        <f t="shared" ca="1" si="15"/>
        <v>57.55856172892485</v>
      </c>
      <c r="V59" s="577">
        <f t="shared" ca="1" si="15"/>
        <v>57.55856172892485</v>
      </c>
      <c r="W59" s="576" t="s">
        <v>336</v>
      </c>
    </row>
    <row r="60" spans="1:23" x14ac:dyDescent="0.25">
      <c r="A60" s="82" t="s">
        <v>754</v>
      </c>
      <c r="B60" s="812" t="s">
        <v>137</v>
      </c>
      <c r="C60" s="133">
        <f t="shared" ref="C60:E75" ca="1" si="16">C6*C$33/C$26</f>
        <v>0.27286052554632167</v>
      </c>
      <c r="D60" s="575">
        <f t="shared" ca="1" si="16"/>
        <v>0.27286052554632167</v>
      </c>
      <c r="E60" s="575">
        <f t="shared" ca="1" si="16"/>
        <v>0.27286052554632167</v>
      </c>
      <c r="F60" s="574" t="s">
        <v>336</v>
      </c>
      <c r="G60" s="133">
        <f t="shared" ref="G60:H75" ca="1" si="17">G6*G$33/G$26</f>
        <v>0.27286052554632167</v>
      </c>
      <c r="H60" s="133">
        <f t="shared" ca="1" si="17"/>
        <v>0.27286052554632167</v>
      </c>
      <c r="I60" s="551" t="s">
        <v>336</v>
      </c>
      <c r="J60" s="575">
        <f t="shared" ref="J60:L75" ca="1" si="18">J6*J$33/J$26</f>
        <v>2.3021136684024811E-3</v>
      </c>
      <c r="K60" s="575">
        <f t="shared" ca="1" si="18"/>
        <v>2.3021136684024811E-3</v>
      </c>
      <c r="L60" s="575">
        <f t="shared" ca="1" si="18"/>
        <v>2.3021136684024811E-3</v>
      </c>
      <c r="M60" s="574" t="s">
        <v>336</v>
      </c>
      <c r="N60" s="133">
        <f t="shared" ref="N60:O75" ca="1" si="19">N6*N$33/N$26</f>
        <v>2.3021136684024811E-3</v>
      </c>
      <c r="O60" s="133">
        <f t="shared" ca="1" si="19"/>
        <v>2.3021136684024811E-3</v>
      </c>
      <c r="P60" s="551" t="s">
        <v>336</v>
      </c>
      <c r="Q60" s="573">
        <f t="shared" ref="Q60:S75" ca="1" si="20">Q6*Q$33/Q$26</f>
        <v>175.33375064834786</v>
      </c>
      <c r="R60" s="573">
        <f t="shared" ca="1" si="20"/>
        <v>175.33375064834786</v>
      </c>
      <c r="S60" s="573">
        <f t="shared" ca="1" si="20"/>
        <v>175.33375064834786</v>
      </c>
      <c r="T60" s="572" t="s">
        <v>336</v>
      </c>
      <c r="U60" s="45">
        <f t="shared" ref="U60:V75" ca="1" si="21">U6*U$33/U$26</f>
        <v>175.33375064834786</v>
      </c>
      <c r="V60" s="45">
        <f t="shared" ca="1" si="21"/>
        <v>175.33375064834786</v>
      </c>
      <c r="W60" s="551" t="s">
        <v>336</v>
      </c>
    </row>
    <row r="61" spans="1:23" x14ac:dyDescent="0.25">
      <c r="A61" s="812" t="str">
        <f t="shared" ref="A61:A78" si="22">A60</f>
        <v>NP</v>
      </c>
      <c r="B61" s="812" t="s">
        <v>138</v>
      </c>
      <c r="C61" s="133">
        <f t="shared" ca="1" si="16"/>
        <v>2.1295565449375411E-2</v>
      </c>
      <c r="D61" s="575">
        <f t="shared" ca="1" si="16"/>
        <v>2.1295565449375411E-2</v>
      </c>
      <c r="E61" s="575">
        <f t="shared" ca="1" si="16"/>
        <v>2.1295565449375411E-2</v>
      </c>
      <c r="F61" s="574" t="s">
        <v>336</v>
      </c>
      <c r="G61" s="133">
        <f t="shared" ca="1" si="17"/>
        <v>2.1295565449375411E-2</v>
      </c>
      <c r="H61" s="133">
        <f t="shared" ca="1" si="17"/>
        <v>2.1295565449375411E-2</v>
      </c>
      <c r="I61" s="551" t="s">
        <v>336</v>
      </c>
      <c r="J61" s="575">
        <f t="shared" ca="1" si="18"/>
        <v>2.0315611568259056E-4</v>
      </c>
      <c r="K61" s="575">
        <f t="shared" ca="1" si="18"/>
        <v>2.0315611568259056E-4</v>
      </c>
      <c r="L61" s="575">
        <f t="shared" ca="1" si="18"/>
        <v>2.0315611568259056E-4</v>
      </c>
      <c r="M61" s="574" t="s">
        <v>336</v>
      </c>
      <c r="N61" s="133">
        <f t="shared" ca="1" si="19"/>
        <v>2.0315611568259056E-4</v>
      </c>
      <c r="O61" s="133">
        <f t="shared" ca="1" si="19"/>
        <v>2.0315611568259056E-4</v>
      </c>
      <c r="P61" s="551" t="s">
        <v>336</v>
      </c>
      <c r="Q61" s="573">
        <f t="shared" ca="1" si="20"/>
        <v>15.470034378064863</v>
      </c>
      <c r="R61" s="573">
        <f t="shared" ca="1" si="20"/>
        <v>15.470034378064863</v>
      </c>
      <c r="S61" s="573">
        <f t="shared" ca="1" si="20"/>
        <v>15.470034378064863</v>
      </c>
      <c r="T61" s="572" t="s">
        <v>336</v>
      </c>
      <c r="U61" s="45">
        <f t="shared" ca="1" si="21"/>
        <v>15.470034378064863</v>
      </c>
      <c r="V61" s="45">
        <f t="shared" ca="1" si="21"/>
        <v>15.470034378064863</v>
      </c>
      <c r="W61" s="551" t="s">
        <v>336</v>
      </c>
    </row>
    <row r="62" spans="1:23" x14ac:dyDescent="0.25">
      <c r="A62" s="812" t="str">
        <f t="shared" si="22"/>
        <v>NP</v>
      </c>
      <c r="B62" s="812" t="s">
        <v>139</v>
      </c>
      <c r="C62" s="133">
        <f t="shared" ca="1" si="16"/>
        <v>1.7582757164391352E-2</v>
      </c>
      <c r="D62" s="575">
        <f t="shared" ca="1" si="16"/>
        <v>1.7582757164391352E-2</v>
      </c>
      <c r="E62" s="575">
        <f t="shared" ca="1" si="16"/>
        <v>1.7582757164391352E-2</v>
      </c>
      <c r="F62" s="574" t="s">
        <v>336</v>
      </c>
      <c r="G62" s="133">
        <f t="shared" ca="1" si="17"/>
        <v>1.7582757164391352E-2</v>
      </c>
      <c r="H62" s="133">
        <f t="shared" ca="1" si="17"/>
        <v>1.7582757164391352E-2</v>
      </c>
      <c r="I62" s="551" t="s">
        <v>336</v>
      </c>
      <c r="J62" s="575">
        <f t="shared" ca="1" si="18"/>
        <v>4.2772819887543863E-4</v>
      </c>
      <c r="K62" s="575">
        <f t="shared" ca="1" si="18"/>
        <v>4.2772819887543863E-4</v>
      </c>
      <c r="L62" s="575">
        <f t="shared" ca="1" si="18"/>
        <v>4.2772819887543863E-4</v>
      </c>
      <c r="M62" s="574" t="s">
        <v>336</v>
      </c>
      <c r="N62" s="133">
        <f t="shared" ca="1" si="19"/>
        <v>4.2772819887543863E-4</v>
      </c>
      <c r="O62" s="133">
        <f t="shared" ca="1" si="19"/>
        <v>4.2772819887543863E-4</v>
      </c>
      <c r="P62" s="551" t="s">
        <v>336</v>
      </c>
      <c r="Q62" s="573">
        <f t="shared" ca="1" si="20"/>
        <v>32.570862653276464</v>
      </c>
      <c r="R62" s="573">
        <f t="shared" ca="1" si="20"/>
        <v>32.570862653276464</v>
      </c>
      <c r="S62" s="573">
        <f t="shared" ca="1" si="20"/>
        <v>32.570862653276464</v>
      </c>
      <c r="T62" s="572" t="s">
        <v>336</v>
      </c>
      <c r="U62" s="45">
        <f t="shared" ca="1" si="21"/>
        <v>32.570862653276464</v>
      </c>
      <c r="V62" s="45">
        <f t="shared" ca="1" si="21"/>
        <v>32.570862653276464</v>
      </c>
      <c r="W62" s="551" t="s">
        <v>336</v>
      </c>
    </row>
    <row r="63" spans="1:23" x14ac:dyDescent="0.25">
      <c r="A63" s="812" t="str">
        <f t="shared" si="22"/>
        <v>NP</v>
      </c>
      <c r="B63" s="812" t="s">
        <v>140</v>
      </c>
      <c r="C63" s="133">
        <f t="shared" ca="1" si="16"/>
        <v>1.1468282786333862E-2</v>
      </c>
      <c r="D63" s="575">
        <f t="shared" ca="1" si="16"/>
        <v>1.1468282786333862E-2</v>
      </c>
      <c r="E63" s="575">
        <f t="shared" ca="1" si="16"/>
        <v>1.1468282786333862E-2</v>
      </c>
      <c r="F63" s="574" t="s">
        <v>336</v>
      </c>
      <c r="G63" s="133">
        <f t="shared" ca="1" si="17"/>
        <v>1.1468282786333862E-2</v>
      </c>
      <c r="H63" s="133">
        <f t="shared" ca="1" si="17"/>
        <v>1.1468282786333862E-2</v>
      </c>
      <c r="I63" s="551" t="s">
        <v>336</v>
      </c>
      <c r="J63" s="575">
        <f t="shared" ca="1" si="18"/>
        <v>2.5752369312889321E-4</v>
      </c>
      <c r="K63" s="575">
        <f t="shared" ca="1" si="18"/>
        <v>2.5752369312889321E-4</v>
      </c>
      <c r="L63" s="575">
        <f t="shared" ca="1" si="18"/>
        <v>2.5752369312889321E-4</v>
      </c>
      <c r="M63" s="574" t="s">
        <v>336</v>
      </c>
      <c r="N63" s="133">
        <f t="shared" ca="1" si="19"/>
        <v>2.5752369312889321E-4</v>
      </c>
      <c r="O63" s="133">
        <f t="shared" ca="1" si="19"/>
        <v>2.5752369312889321E-4</v>
      </c>
      <c r="P63" s="551" t="s">
        <v>336</v>
      </c>
      <c r="Q63" s="573">
        <f t="shared" ca="1" si="20"/>
        <v>19.610044090893215</v>
      </c>
      <c r="R63" s="573">
        <f t="shared" ca="1" si="20"/>
        <v>19.610044090893215</v>
      </c>
      <c r="S63" s="573">
        <f t="shared" ca="1" si="20"/>
        <v>19.610044090893215</v>
      </c>
      <c r="T63" s="572" t="s">
        <v>336</v>
      </c>
      <c r="U63" s="45">
        <f t="shared" ca="1" si="21"/>
        <v>19.610044090893215</v>
      </c>
      <c r="V63" s="45">
        <f t="shared" ca="1" si="21"/>
        <v>19.610044090893215</v>
      </c>
      <c r="W63" s="551" t="s">
        <v>336</v>
      </c>
    </row>
    <row r="64" spans="1:23" x14ac:dyDescent="0.25">
      <c r="A64" s="812" t="str">
        <f t="shared" si="22"/>
        <v>NP</v>
      </c>
      <c r="B64" s="812" t="s">
        <v>141</v>
      </c>
      <c r="C64" s="133">
        <f t="shared" ca="1" si="16"/>
        <v>0.17148708089184059</v>
      </c>
      <c r="D64" s="575">
        <f t="shared" ca="1" si="16"/>
        <v>0.17148708089184059</v>
      </c>
      <c r="E64" s="575">
        <f t="shared" ca="1" si="16"/>
        <v>0.17148708089184059</v>
      </c>
      <c r="F64" s="574" t="s">
        <v>336</v>
      </c>
      <c r="G64" s="133">
        <f t="shared" ca="1" si="17"/>
        <v>0.17148708089184059</v>
      </c>
      <c r="H64" s="133">
        <f t="shared" ca="1" si="17"/>
        <v>0.17148708089184059</v>
      </c>
      <c r="I64" s="551" t="s">
        <v>336</v>
      </c>
      <c r="J64" s="575">
        <f t="shared" ca="1" si="18"/>
        <v>4.1228950428328325E-3</v>
      </c>
      <c r="K64" s="575">
        <f t="shared" ca="1" si="18"/>
        <v>4.1228950428328325E-3</v>
      </c>
      <c r="L64" s="575">
        <f t="shared" ca="1" si="18"/>
        <v>4.1228950428328325E-3</v>
      </c>
      <c r="M64" s="574" t="s">
        <v>336</v>
      </c>
      <c r="N64" s="133">
        <f t="shared" ca="1" si="19"/>
        <v>4.1228950428328325E-3</v>
      </c>
      <c r="O64" s="133">
        <f t="shared" ca="1" si="19"/>
        <v>4.1228950428328325E-3</v>
      </c>
      <c r="P64" s="551" t="s">
        <v>336</v>
      </c>
      <c r="Q64" s="573">
        <f t="shared" ca="1" si="20"/>
        <v>313.95229149502211</v>
      </c>
      <c r="R64" s="573">
        <f t="shared" ca="1" si="20"/>
        <v>313.95229149502211</v>
      </c>
      <c r="S64" s="573">
        <f t="shared" ca="1" si="20"/>
        <v>313.95229149502211</v>
      </c>
      <c r="T64" s="572" t="s">
        <v>336</v>
      </c>
      <c r="U64" s="45">
        <f t="shared" ca="1" si="21"/>
        <v>313.95229149502211</v>
      </c>
      <c r="V64" s="45">
        <f t="shared" ca="1" si="21"/>
        <v>313.95229149502211</v>
      </c>
      <c r="W64" s="551" t="s">
        <v>336</v>
      </c>
    </row>
    <row r="65" spans="1:23" x14ac:dyDescent="0.25">
      <c r="A65" s="812" t="str">
        <f t="shared" si="22"/>
        <v>NP</v>
      </c>
      <c r="B65" s="812" t="s">
        <v>142</v>
      </c>
      <c r="C65" s="133">
        <f t="shared" ca="1" si="16"/>
        <v>0.23565911680194249</v>
      </c>
      <c r="D65" s="575">
        <f t="shared" ca="1" si="16"/>
        <v>0.23565911680194249</v>
      </c>
      <c r="E65" s="575">
        <f t="shared" ca="1" si="16"/>
        <v>0.23565911680194249</v>
      </c>
      <c r="F65" s="574" t="s">
        <v>336</v>
      </c>
      <c r="G65" s="133">
        <f t="shared" ca="1" si="17"/>
        <v>0.23565911680194249</v>
      </c>
      <c r="H65" s="133">
        <f t="shared" ca="1" si="17"/>
        <v>0.23565911680194249</v>
      </c>
      <c r="I65" s="551" t="s">
        <v>336</v>
      </c>
      <c r="J65" s="575">
        <f t="shared" ca="1" si="18"/>
        <v>8.6804104562552605E-3</v>
      </c>
      <c r="K65" s="575">
        <f t="shared" ca="1" si="18"/>
        <v>8.6804104562552605E-3</v>
      </c>
      <c r="L65" s="575">
        <f t="shared" ca="1" si="18"/>
        <v>8.6804104562552605E-3</v>
      </c>
      <c r="M65" s="574" t="s">
        <v>336</v>
      </c>
      <c r="N65" s="133">
        <f t="shared" ca="1" si="19"/>
        <v>8.6804104562552605E-3</v>
      </c>
      <c r="O65" s="133">
        <f t="shared" ca="1" si="19"/>
        <v>8.6804104562552605E-3</v>
      </c>
      <c r="P65" s="551" t="s">
        <v>336</v>
      </c>
      <c r="Q65" s="573">
        <f t="shared" ca="1" si="20"/>
        <v>661.00027421173115</v>
      </c>
      <c r="R65" s="573">
        <f t="shared" ca="1" si="20"/>
        <v>661.00027421173115</v>
      </c>
      <c r="S65" s="573">
        <f t="shared" ca="1" si="20"/>
        <v>661.00027421173115</v>
      </c>
      <c r="T65" s="572" t="s">
        <v>336</v>
      </c>
      <c r="U65" s="45">
        <f t="shared" ca="1" si="21"/>
        <v>661.00027421173115</v>
      </c>
      <c r="V65" s="45">
        <f t="shared" ca="1" si="21"/>
        <v>661.00027421173115</v>
      </c>
      <c r="W65" s="551" t="s">
        <v>336</v>
      </c>
    </row>
    <row r="66" spans="1:23" x14ac:dyDescent="0.25">
      <c r="A66" s="812" t="str">
        <f t="shared" si="22"/>
        <v>NP</v>
      </c>
      <c r="B66" s="812" t="s">
        <v>143</v>
      </c>
      <c r="C66" s="133">
        <f t="shared" ca="1" si="16"/>
        <v>0.1574329790032781</v>
      </c>
      <c r="D66" s="575">
        <f t="shared" ca="1" si="16"/>
        <v>0.1574329790032781</v>
      </c>
      <c r="E66" s="575">
        <f t="shared" ca="1" si="16"/>
        <v>0.1574329790032781</v>
      </c>
      <c r="F66" s="574" t="s">
        <v>336</v>
      </c>
      <c r="G66" s="133">
        <f t="shared" ca="1" si="17"/>
        <v>0.1574329790032781</v>
      </c>
      <c r="H66" s="133">
        <f t="shared" ca="1" si="17"/>
        <v>0.1574329790032781</v>
      </c>
      <c r="I66" s="551" t="s">
        <v>336</v>
      </c>
      <c r="J66" s="575">
        <f t="shared" ca="1" si="18"/>
        <v>5.2262426570114963E-3</v>
      </c>
      <c r="K66" s="575">
        <f t="shared" ca="1" si="18"/>
        <v>5.2262426570114963E-3</v>
      </c>
      <c r="L66" s="575">
        <f t="shared" ca="1" si="18"/>
        <v>5.2262426570114963E-3</v>
      </c>
      <c r="M66" s="574" t="s">
        <v>336</v>
      </c>
      <c r="N66" s="133">
        <f t="shared" ca="1" si="19"/>
        <v>5.2262426570114963E-3</v>
      </c>
      <c r="O66" s="133">
        <f t="shared" ca="1" si="19"/>
        <v>5.2262426570114963E-3</v>
      </c>
      <c r="P66" s="551" t="s">
        <v>336</v>
      </c>
      <c r="Q66" s="573">
        <f t="shared" ca="1" si="20"/>
        <v>397.97056219757883</v>
      </c>
      <c r="R66" s="573">
        <f t="shared" ca="1" si="20"/>
        <v>397.97056219757883</v>
      </c>
      <c r="S66" s="573">
        <f t="shared" ca="1" si="20"/>
        <v>397.97056219757883</v>
      </c>
      <c r="T66" s="572" t="s">
        <v>336</v>
      </c>
      <c r="U66" s="45">
        <f t="shared" ca="1" si="21"/>
        <v>397.97056219757883</v>
      </c>
      <c r="V66" s="45">
        <f t="shared" ca="1" si="21"/>
        <v>397.97056219757883</v>
      </c>
      <c r="W66" s="551" t="s">
        <v>336</v>
      </c>
    </row>
    <row r="67" spans="1:23" x14ac:dyDescent="0.25">
      <c r="A67" s="812" t="str">
        <f t="shared" si="22"/>
        <v>NP</v>
      </c>
      <c r="B67" s="812" t="s">
        <v>144</v>
      </c>
      <c r="C67" s="133">
        <f t="shared" ca="1" si="16"/>
        <v>5.8090712656160629E-3</v>
      </c>
      <c r="D67" s="575">
        <f t="shared" ca="1" si="16"/>
        <v>5.8090712656160629E-3</v>
      </c>
      <c r="E67" s="575">
        <f t="shared" ca="1" si="16"/>
        <v>5.8090712656160629E-3</v>
      </c>
      <c r="F67" s="574" t="s">
        <v>336</v>
      </c>
      <c r="G67" s="133">
        <f t="shared" ca="1" si="17"/>
        <v>5.8090712656160629E-3</v>
      </c>
      <c r="H67" s="133">
        <f t="shared" ca="1" si="17"/>
        <v>5.8090712656160629E-3</v>
      </c>
      <c r="I67" s="551" t="s">
        <v>336</v>
      </c>
      <c r="J67" s="575">
        <f t="shared" ca="1" si="18"/>
        <v>4.5831822921896362E-4</v>
      </c>
      <c r="K67" s="575">
        <f t="shared" ca="1" si="18"/>
        <v>4.5831822921896362E-4</v>
      </c>
      <c r="L67" s="575">
        <f t="shared" ca="1" si="18"/>
        <v>4.5831822921896362E-4</v>
      </c>
      <c r="M67" s="574" t="s">
        <v>336</v>
      </c>
      <c r="N67" s="133">
        <f t="shared" ca="1" si="19"/>
        <v>4.5831822921896362E-4</v>
      </c>
      <c r="O67" s="133">
        <f t="shared" ca="1" si="19"/>
        <v>4.5831822921896362E-4</v>
      </c>
      <c r="P67" s="551" t="s">
        <v>336</v>
      </c>
      <c r="Q67" s="573">
        <f t="shared" ca="1" si="20"/>
        <v>41.677305439206883</v>
      </c>
      <c r="R67" s="573">
        <f t="shared" ca="1" si="20"/>
        <v>41.677305439206883</v>
      </c>
      <c r="S67" s="573">
        <f t="shared" ca="1" si="20"/>
        <v>41.677305439206883</v>
      </c>
      <c r="T67" s="572" t="s">
        <v>336</v>
      </c>
      <c r="U67" s="45">
        <f t="shared" ca="1" si="21"/>
        <v>41.677305439206883</v>
      </c>
      <c r="V67" s="45">
        <f t="shared" ca="1" si="21"/>
        <v>41.677305439206883</v>
      </c>
      <c r="W67" s="551" t="s">
        <v>336</v>
      </c>
    </row>
    <row r="68" spans="1:23" x14ac:dyDescent="0.25">
      <c r="A68" s="812" t="str">
        <f t="shared" si="22"/>
        <v>NP</v>
      </c>
      <c r="B68" s="812" t="s">
        <v>145</v>
      </c>
      <c r="C68" s="133">
        <f t="shared" ca="1" si="16"/>
        <v>1.9594177916705115E-2</v>
      </c>
      <c r="D68" s="575">
        <f t="shared" ca="1" si="16"/>
        <v>1.9594177916705115E-2</v>
      </c>
      <c r="E68" s="575">
        <f t="shared" ca="1" si="16"/>
        <v>1.9594177916705115E-2</v>
      </c>
      <c r="F68" s="574" t="s">
        <v>336</v>
      </c>
      <c r="G68" s="133">
        <f t="shared" ca="1" si="17"/>
        <v>1.9594177916705115E-2</v>
      </c>
      <c r="H68" s="133">
        <f t="shared" ca="1" si="17"/>
        <v>1.9594177916705115E-2</v>
      </c>
      <c r="I68" s="551" t="s">
        <v>336</v>
      </c>
      <c r="J68" s="575">
        <f t="shared" ca="1" si="18"/>
        <v>1.5459216310428972E-3</v>
      </c>
      <c r="K68" s="575">
        <f t="shared" ca="1" si="18"/>
        <v>1.5459216310428972E-3</v>
      </c>
      <c r="L68" s="575">
        <f t="shared" ca="1" si="18"/>
        <v>1.5459216310428972E-3</v>
      </c>
      <c r="M68" s="574" t="s">
        <v>336</v>
      </c>
      <c r="N68" s="133">
        <f t="shared" ca="1" si="19"/>
        <v>1.5459216310428972E-3</v>
      </c>
      <c r="O68" s="133">
        <f t="shared" ca="1" si="19"/>
        <v>1.5459216310428972E-3</v>
      </c>
      <c r="P68" s="551" t="s">
        <v>336</v>
      </c>
      <c r="Q68" s="573">
        <f t="shared" ca="1" si="20"/>
        <v>140.57884651860539</v>
      </c>
      <c r="R68" s="573">
        <f t="shared" ca="1" si="20"/>
        <v>140.57884651860539</v>
      </c>
      <c r="S68" s="573">
        <f t="shared" ca="1" si="20"/>
        <v>140.57884651860539</v>
      </c>
      <c r="T68" s="572" t="s">
        <v>336</v>
      </c>
      <c r="U68" s="45">
        <f t="shared" ca="1" si="21"/>
        <v>140.57884651860539</v>
      </c>
      <c r="V68" s="45">
        <f t="shared" ca="1" si="21"/>
        <v>140.57884651860539</v>
      </c>
      <c r="W68" s="551" t="s">
        <v>336</v>
      </c>
    </row>
    <row r="69" spans="1:23" x14ac:dyDescent="0.25">
      <c r="A69" s="812" t="str">
        <f t="shared" si="22"/>
        <v>NP</v>
      </c>
      <c r="B69" s="812" t="s">
        <v>146</v>
      </c>
      <c r="C69" s="133">
        <f t="shared" ca="1" si="16"/>
        <v>9.73509002833748E-2</v>
      </c>
      <c r="D69" s="575">
        <f t="shared" ca="1" si="16"/>
        <v>9.73509002833748E-2</v>
      </c>
      <c r="E69" s="575">
        <f t="shared" ca="1" si="16"/>
        <v>9.73509002833748E-2</v>
      </c>
      <c r="F69" s="574" t="s">
        <v>336</v>
      </c>
      <c r="G69" s="133">
        <f t="shared" ca="1" si="17"/>
        <v>9.73509002833748E-2</v>
      </c>
      <c r="H69" s="133">
        <f t="shared" ca="1" si="17"/>
        <v>9.73509002833748E-2</v>
      </c>
      <c r="I69" s="551" t="s">
        <v>336</v>
      </c>
      <c r="J69" s="575">
        <f t="shared" ca="1" si="18"/>
        <v>2.879242728751417E-3</v>
      </c>
      <c r="K69" s="575">
        <f t="shared" ca="1" si="18"/>
        <v>2.879242728751417E-3</v>
      </c>
      <c r="L69" s="575">
        <f t="shared" ca="1" si="18"/>
        <v>2.879242728751417E-3</v>
      </c>
      <c r="M69" s="574" t="s">
        <v>336</v>
      </c>
      <c r="N69" s="133">
        <f t="shared" ca="1" si="19"/>
        <v>2.879242728751417E-3</v>
      </c>
      <c r="O69" s="133">
        <f t="shared" ca="1" si="19"/>
        <v>2.879242728751417E-3</v>
      </c>
      <c r="P69" s="551" t="s">
        <v>336</v>
      </c>
      <c r="Q69" s="573">
        <f t="shared" ca="1" si="20"/>
        <v>219.17476594352704</v>
      </c>
      <c r="R69" s="573">
        <f t="shared" ca="1" si="20"/>
        <v>219.17476594352704</v>
      </c>
      <c r="S69" s="573">
        <f t="shared" ca="1" si="20"/>
        <v>219.17476594352704</v>
      </c>
      <c r="T69" s="572" t="s">
        <v>336</v>
      </c>
      <c r="U69" s="45">
        <f t="shared" ca="1" si="21"/>
        <v>219.17476594352704</v>
      </c>
      <c r="V69" s="45">
        <f t="shared" ca="1" si="21"/>
        <v>219.17476594352704</v>
      </c>
      <c r="W69" s="551" t="s">
        <v>336</v>
      </c>
    </row>
    <row r="70" spans="1:23" x14ac:dyDescent="0.25">
      <c r="A70" s="812" t="str">
        <f t="shared" si="22"/>
        <v>NP</v>
      </c>
      <c r="B70" s="812" t="s">
        <v>568</v>
      </c>
      <c r="C70" s="133">
        <f t="shared" ca="1" si="16"/>
        <v>2.1489701952409804E-2</v>
      </c>
      <c r="D70" s="575">
        <f t="shared" ca="1" si="16"/>
        <v>2.1489701952409804E-2</v>
      </c>
      <c r="E70" s="575">
        <f t="shared" ca="1" si="16"/>
        <v>2.1489701952409804E-2</v>
      </c>
      <c r="F70" s="574" t="s">
        <v>336</v>
      </c>
      <c r="G70" s="133">
        <f t="shared" ca="1" si="17"/>
        <v>2.1489701952409804E-2</v>
      </c>
      <c r="H70" s="133">
        <f t="shared" ca="1" si="17"/>
        <v>2.1489701952409804E-2</v>
      </c>
      <c r="I70" s="551" t="s">
        <v>336</v>
      </c>
      <c r="J70" s="575">
        <f t="shared" ca="1" si="18"/>
        <v>0.99274108955418239</v>
      </c>
      <c r="K70" s="575">
        <f t="shared" ca="1" si="18"/>
        <v>0.99274108955418239</v>
      </c>
      <c r="L70" s="575">
        <f t="shared" ca="1" si="18"/>
        <v>0.99274108955418239</v>
      </c>
      <c r="M70" s="574" t="s">
        <v>336</v>
      </c>
      <c r="N70" s="133">
        <f t="shared" ca="1" si="19"/>
        <v>0.99274108955418239</v>
      </c>
      <c r="O70" s="133">
        <f t="shared" ca="1" si="19"/>
        <v>0.99274108955418239</v>
      </c>
      <c r="P70" s="551" t="s">
        <v>336</v>
      </c>
      <c r="Q70" s="573">
        <f t="shared" ca="1" si="20"/>
        <v>8745.6863183801634</v>
      </c>
      <c r="R70" s="573">
        <f t="shared" ca="1" si="20"/>
        <v>8745.6863183801634</v>
      </c>
      <c r="S70" s="573">
        <f t="shared" ca="1" si="20"/>
        <v>8745.6863183801634</v>
      </c>
      <c r="T70" s="572" t="s">
        <v>336</v>
      </c>
      <c r="U70" s="45">
        <f t="shared" ca="1" si="21"/>
        <v>8745.6863183801634</v>
      </c>
      <c r="V70" s="45">
        <f t="shared" ca="1" si="21"/>
        <v>8745.6863183801634</v>
      </c>
      <c r="W70" s="551" t="s">
        <v>336</v>
      </c>
    </row>
    <row r="71" spans="1:23" x14ac:dyDescent="0.25">
      <c r="A71" s="812" t="str">
        <f t="shared" si="22"/>
        <v>NP</v>
      </c>
      <c r="B71" s="812" t="s">
        <v>148</v>
      </c>
      <c r="C71" s="133">
        <f t="shared" ca="1" si="16"/>
        <v>7.020261204619147E-3</v>
      </c>
      <c r="D71" s="575">
        <f t="shared" ca="1" si="16"/>
        <v>7.020261204619147E-3</v>
      </c>
      <c r="E71" s="575">
        <f t="shared" ca="1" si="16"/>
        <v>7.020261204619147E-3</v>
      </c>
      <c r="F71" s="574" t="s">
        <v>336</v>
      </c>
      <c r="G71" s="133">
        <f t="shared" ca="1" si="17"/>
        <v>7.020261204619147E-3</v>
      </c>
      <c r="H71" s="133">
        <f t="shared" ca="1" si="17"/>
        <v>7.020261204619147E-3</v>
      </c>
      <c r="I71" s="551" t="s">
        <v>336</v>
      </c>
      <c r="J71" s="575">
        <f t="shared" ca="1" si="18"/>
        <v>0.14276397662347157</v>
      </c>
      <c r="K71" s="575">
        <f t="shared" ca="1" si="18"/>
        <v>0.14276397662347157</v>
      </c>
      <c r="L71" s="575">
        <f t="shared" ca="1" si="18"/>
        <v>0.14276397662347157</v>
      </c>
      <c r="M71" s="574" t="s">
        <v>336</v>
      </c>
      <c r="N71" s="133">
        <f t="shared" ca="1" si="19"/>
        <v>0.14276397662347157</v>
      </c>
      <c r="O71" s="133">
        <f t="shared" ca="1" si="19"/>
        <v>0.14276397662347157</v>
      </c>
      <c r="P71" s="551" t="s">
        <v>336</v>
      </c>
      <c r="Q71" s="573">
        <f t="shared" ca="1" si="20"/>
        <v>2948.353369015796</v>
      </c>
      <c r="R71" s="573">
        <f t="shared" ca="1" si="20"/>
        <v>2948.353369015796</v>
      </c>
      <c r="S71" s="573">
        <f t="shared" ca="1" si="20"/>
        <v>2948.353369015796</v>
      </c>
      <c r="T71" s="572" t="s">
        <v>336</v>
      </c>
      <c r="U71" s="45">
        <f t="shared" ca="1" si="21"/>
        <v>2948.353369015796</v>
      </c>
      <c r="V71" s="45">
        <f t="shared" ca="1" si="21"/>
        <v>2948.353369015796</v>
      </c>
      <c r="W71" s="551" t="s">
        <v>336</v>
      </c>
    </row>
    <row r="72" spans="1:23" x14ac:dyDescent="0.25">
      <c r="A72" s="812" t="str">
        <f t="shared" si="22"/>
        <v>NP</v>
      </c>
      <c r="B72" s="812" t="s">
        <v>746</v>
      </c>
      <c r="C72" s="133">
        <f t="shared" ca="1" si="16"/>
        <v>1.2820033226600643E-4</v>
      </c>
      <c r="D72" s="575">
        <f t="shared" ca="1" si="16"/>
        <v>1.2820033226600643E-4</v>
      </c>
      <c r="E72" s="575">
        <f t="shared" ca="1" si="16"/>
        <v>1.2820033226600643E-4</v>
      </c>
      <c r="F72" s="574" t="s">
        <v>336</v>
      </c>
      <c r="G72" s="133">
        <f t="shared" ca="1" si="17"/>
        <v>1.2820033226600643E-4</v>
      </c>
      <c r="H72" s="133">
        <f t="shared" ca="1" si="17"/>
        <v>1.2820033226600643E-4</v>
      </c>
      <c r="I72" s="551" t="s">
        <v>336</v>
      </c>
      <c r="J72" s="575">
        <f t="shared" ca="1" si="18"/>
        <v>6.760330268478644E-3</v>
      </c>
      <c r="K72" s="575">
        <f t="shared" ca="1" si="18"/>
        <v>6.760330268478644E-3</v>
      </c>
      <c r="L72" s="575">
        <f t="shared" ca="1" si="18"/>
        <v>6.760330268478644E-3</v>
      </c>
      <c r="M72" s="574" t="s">
        <v>336</v>
      </c>
      <c r="N72" s="133">
        <f t="shared" ca="1" si="19"/>
        <v>6.760330268478644E-3</v>
      </c>
      <c r="O72" s="133">
        <f t="shared" ca="1" si="19"/>
        <v>6.760330268478644E-3</v>
      </c>
      <c r="P72" s="551" t="s">
        <v>336</v>
      </c>
      <c r="Q72" s="573">
        <f t="shared" ca="1" si="20"/>
        <v>60.791591567665108</v>
      </c>
      <c r="R72" s="573">
        <f t="shared" ca="1" si="20"/>
        <v>60.791591567665108</v>
      </c>
      <c r="S72" s="573">
        <f t="shared" ca="1" si="20"/>
        <v>60.791591567665108</v>
      </c>
      <c r="T72" s="572" t="s">
        <v>336</v>
      </c>
      <c r="U72" s="45">
        <f t="shared" ca="1" si="21"/>
        <v>60.791591567665108</v>
      </c>
      <c r="V72" s="45">
        <f t="shared" ca="1" si="21"/>
        <v>60.791591567665108</v>
      </c>
      <c r="W72" s="551" t="s">
        <v>336</v>
      </c>
    </row>
    <row r="73" spans="1:23" x14ac:dyDescent="0.25">
      <c r="A73" s="812" t="str">
        <f t="shared" si="22"/>
        <v>NP</v>
      </c>
      <c r="B73" s="812" t="s">
        <v>747</v>
      </c>
      <c r="C73" s="133">
        <f t="shared" ca="1" si="16"/>
        <v>4.9709153875975888E-4</v>
      </c>
      <c r="D73" s="575">
        <f t="shared" ca="1" si="16"/>
        <v>4.9709153875975888E-4</v>
      </c>
      <c r="E73" s="575">
        <f t="shared" ca="1" si="16"/>
        <v>4.9709153875975888E-4</v>
      </c>
      <c r="F73" s="574" t="s">
        <v>336</v>
      </c>
      <c r="G73" s="133">
        <f t="shared" ca="1" si="17"/>
        <v>4.9709153875975888E-4</v>
      </c>
      <c r="H73" s="133">
        <f t="shared" ca="1" si="17"/>
        <v>4.9709153875975888E-4</v>
      </c>
      <c r="I73" s="551" t="s">
        <v>336</v>
      </c>
      <c r="J73" s="575">
        <f t="shared" ca="1" si="18"/>
        <v>2.296370591315669E-2</v>
      </c>
      <c r="K73" s="575">
        <f t="shared" ca="1" si="18"/>
        <v>2.296370591315669E-2</v>
      </c>
      <c r="L73" s="575">
        <f t="shared" ca="1" si="18"/>
        <v>2.296370591315669E-2</v>
      </c>
      <c r="M73" s="574" t="s">
        <v>336</v>
      </c>
      <c r="N73" s="133">
        <f t="shared" ca="1" si="19"/>
        <v>2.296370591315669E-2</v>
      </c>
      <c r="O73" s="133">
        <f t="shared" ca="1" si="19"/>
        <v>2.296370591315669E-2</v>
      </c>
      <c r="P73" s="551" t="s">
        <v>336</v>
      </c>
      <c r="Q73" s="573">
        <f t="shared" ca="1" si="20"/>
        <v>188.41820970622229</v>
      </c>
      <c r="R73" s="573">
        <f t="shared" ca="1" si="20"/>
        <v>188.41820970622229</v>
      </c>
      <c r="S73" s="573">
        <f t="shared" ca="1" si="20"/>
        <v>188.41820970622229</v>
      </c>
      <c r="T73" s="572" t="s">
        <v>336</v>
      </c>
      <c r="U73" s="45">
        <f t="shared" ca="1" si="21"/>
        <v>188.41820970622229</v>
      </c>
      <c r="V73" s="45">
        <f t="shared" ca="1" si="21"/>
        <v>188.41820970622229</v>
      </c>
      <c r="W73" s="551" t="s">
        <v>336</v>
      </c>
    </row>
    <row r="74" spans="1:23" x14ac:dyDescent="0.25">
      <c r="A74" s="812" t="str">
        <f t="shared" si="22"/>
        <v>NP</v>
      </c>
      <c r="B74" s="812" t="s">
        <v>149</v>
      </c>
      <c r="C74" s="133">
        <f t="shared" ca="1" si="16"/>
        <v>2.4046354539960366E-6</v>
      </c>
      <c r="D74" s="575">
        <f t="shared" ca="1" si="16"/>
        <v>2.4046354539960366E-6</v>
      </c>
      <c r="E74" s="575">
        <f t="shared" ca="1" si="16"/>
        <v>2.4046354539960366E-6</v>
      </c>
      <c r="F74" s="574" t="s">
        <v>336</v>
      </c>
      <c r="G74" s="133">
        <f t="shared" ca="1" si="17"/>
        <v>2.4046354539960366E-6</v>
      </c>
      <c r="H74" s="133">
        <f t="shared" ca="1" si="17"/>
        <v>2.4046354539960366E-6</v>
      </c>
      <c r="I74" s="551" t="s">
        <v>336</v>
      </c>
      <c r="J74" s="575">
        <f t="shared" ca="1" si="18"/>
        <v>2.1257725356221759E-5</v>
      </c>
      <c r="K74" s="575">
        <f t="shared" ca="1" si="18"/>
        <v>2.1257725356221759E-5</v>
      </c>
      <c r="L74" s="575">
        <f t="shared" ca="1" si="18"/>
        <v>2.1257725356221759E-5</v>
      </c>
      <c r="M74" s="574" t="s">
        <v>336</v>
      </c>
      <c r="N74" s="133">
        <f t="shared" ca="1" si="19"/>
        <v>2.1257725356221759E-5</v>
      </c>
      <c r="O74" s="133">
        <f t="shared" ca="1" si="19"/>
        <v>2.1257725356221759E-5</v>
      </c>
      <c r="P74" s="551" t="s">
        <v>336</v>
      </c>
      <c r="Q74" s="573">
        <f t="shared" ca="1" si="20"/>
        <v>82.975468966083938</v>
      </c>
      <c r="R74" s="573">
        <f t="shared" ca="1" si="20"/>
        <v>82.975468966083938</v>
      </c>
      <c r="S74" s="573">
        <f t="shared" ca="1" si="20"/>
        <v>82.975468966083938</v>
      </c>
      <c r="T74" s="572" t="s">
        <v>336</v>
      </c>
      <c r="U74" s="45">
        <f t="shared" ca="1" si="21"/>
        <v>82.975468966083938</v>
      </c>
      <c r="V74" s="45">
        <f t="shared" ca="1" si="21"/>
        <v>82.975468966083938</v>
      </c>
      <c r="W74" s="551" t="s">
        <v>336</v>
      </c>
    </row>
    <row r="75" spans="1:23" x14ac:dyDescent="0.25">
      <c r="A75" s="812" t="str">
        <f t="shared" si="22"/>
        <v>NP</v>
      </c>
      <c r="B75" s="812" t="s">
        <v>150</v>
      </c>
      <c r="C75" s="133">
        <f t="shared" ca="1" si="16"/>
        <v>4.1410991621922306E-3</v>
      </c>
      <c r="D75" s="575">
        <f t="shared" ca="1" si="16"/>
        <v>4.1410991621922306E-3</v>
      </c>
      <c r="E75" s="575">
        <f t="shared" ca="1" si="16"/>
        <v>4.1410991621922306E-3</v>
      </c>
      <c r="F75" s="574" t="s">
        <v>336</v>
      </c>
      <c r="G75" s="133">
        <f t="shared" ca="1" si="17"/>
        <v>4.1410991621922306E-3</v>
      </c>
      <c r="H75" s="133">
        <f t="shared" ca="1" si="17"/>
        <v>4.1410991621922306E-3</v>
      </c>
      <c r="I75" s="551" t="s">
        <v>336</v>
      </c>
      <c r="J75" s="575">
        <f t="shared" ca="1" si="18"/>
        <v>2.3859176388484085E-4</v>
      </c>
      <c r="K75" s="575">
        <f t="shared" ca="1" si="18"/>
        <v>2.3859176388484085E-4</v>
      </c>
      <c r="L75" s="575">
        <f t="shared" ca="1" si="18"/>
        <v>2.3859176388484085E-4</v>
      </c>
      <c r="M75" s="574" t="s">
        <v>336</v>
      </c>
      <c r="N75" s="133">
        <f t="shared" ca="1" si="19"/>
        <v>2.3859176388484085E-4</v>
      </c>
      <c r="O75" s="133">
        <f t="shared" ca="1" si="19"/>
        <v>2.3859176388484085E-4</v>
      </c>
      <c r="P75" s="551" t="s">
        <v>336</v>
      </c>
      <c r="Q75" s="573">
        <f t="shared" ca="1" si="20"/>
        <v>765.73362387771647</v>
      </c>
      <c r="R75" s="573">
        <f t="shared" ca="1" si="20"/>
        <v>765.73362387771647</v>
      </c>
      <c r="S75" s="573">
        <f t="shared" ca="1" si="20"/>
        <v>765.73362387771647</v>
      </c>
      <c r="T75" s="572" t="s">
        <v>336</v>
      </c>
      <c r="U75" s="45">
        <f t="shared" ca="1" si="21"/>
        <v>765.73362387771647</v>
      </c>
      <c r="V75" s="45">
        <f t="shared" ca="1" si="21"/>
        <v>765.73362387771647</v>
      </c>
      <c r="W75" s="551" t="s">
        <v>336</v>
      </c>
    </row>
    <row r="76" spans="1:23" x14ac:dyDescent="0.25">
      <c r="A76" s="812" t="str">
        <f t="shared" si="22"/>
        <v>NP</v>
      </c>
      <c r="B76" s="812" t="s">
        <v>151</v>
      </c>
      <c r="C76" s="133">
        <f t="shared" ref="C76:E79" ca="1" si="23">C22*C$33/C$26</f>
        <v>3.8255487046625382E-2</v>
      </c>
      <c r="D76" s="575">
        <f t="shared" ca="1" si="23"/>
        <v>3.8255487046625382E-2</v>
      </c>
      <c r="E76" s="575">
        <f t="shared" ca="1" si="23"/>
        <v>3.8255487046625382E-2</v>
      </c>
      <c r="F76" s="574" t="s">
        <v>336</v>
      </c>
      <c r="G76" s="133">
        <f t="shared" ref="G76:H79" ca="1" si="24">G22*G$33/G$26</f>
        <v>3.8255487046625382E-2</v>
      </c>
      <c r="H76" s="133">
        <f t="shared" ca="1" si="24"/>
        <v>3.8255487046625382E-2</v>
      </c>
      <c r="I76" s="551" t="s">
        <v>336</v>
      </c>
      <c r="J76" s="575">
        <f t="shared" ref="J76:L79" ca="1" si="25">J22*J$33/J$26</f>
        <v>3.2496161494259941E-2</v>
      </c>
      <c r="K76" s="575">
        <f t="shared" ca="1" si="25"/>
        <v>3.2496161494259941E-2</v>
      </c>
      <c r="L76" s="575">
        <f t="shared" ca="1" si="25"/>
        <v>3.2496161494259941E-2</v>
      </c>
      <c r="M76" s="574" t="s">
        <v>336</v>
      </c>
      <c r="N76" s="133">
        <f t="shared" ref="N76:O79" ca="1" si="26">N22*N$33/N$26</f>
        <v>3.2496161494259941E-2</v>
      </c>
      <c r="O76" s="133">
        <f t="shared" ca="1" si="26"/>
        <v>3.2496161494259941E-2</v>
      </c>
      <c r="P76" s="551" t="s">
        <v>336</v>
      </c>
      <c r="Q76" s="573">
        <f t="shared" ref="Q76:S79" ca="1" si="27">Q22*Q$33/Q$26</f>
        <v>100.76278944132729</v>
      </c>
      <c r="R76" s="573">
        <f t="shared" ca="1" si="27"/>
        <v>100.76278944132729</v>
      </c>
      <c r="S76" s="573">
        <f t="shared" ca="1" si="27"/>
        <v>100.76278944132729</v>
      </c>
      <c r="T76" s="572" t="s">
        <v>336</v>
      </c>
      <c r="U76" s="45">
        <f t="shared" ref="U76:V79" ca="1" si="28">U22*U$33/U$26</f>
        <v>100.76278944132729</v>
      </c>
      <c r="V76" s="45">
        <f t="shared" ca="1" si="28"/>
        <v>100.76278944132729</v>
      </c>
      <c r="W76" s="551" t="s">
        <v>336</v>
      </c>
    </row>
    <row r="77" spans="1:23" x14ac:dyDescent="0.25">
      <c r="A77" s="812" t="str">
        <f t="shared" si="22"/>
        <v>NP</v>
      </c>
      <c r="B77" s="812" t="s">
        <v>152</v>
      </c>
      <c r="C77" s="133">
        <f t="shared" ca="1" si="23"/>
        <v>1.0807204774543866E-4</v>
      </c>
      <c r="D77" s="575">
        <f t="shared" ca="1" si="23"/>
        <v>1.0807204774543866E-4</v>
      </c>
      <c r="E77" s="575">
        <f t="shared" ca="1" si="23"/>
        <v>1.0807204774543866E-4</v>
      </c>
      <c r="F77" s="574" t="s">
        <v>336</v>
      </c>
      <c r="G77" s="133">
        <f t="shared" ca="1" si="24"/>
        <v>1.0807204774543866E-4</v>
      </c>
      <c r="H77" s="133">
        <f t="shared" ca="1" si="24"/>
        <v>1.0807204774543866E-4</v>
      </c>
      <c r="I77" s="551" t="s">
        <v>336</v>
      </c>
      <c r="J77" s="575">
        <f t="shared" ca="1" si="25"/>
        <v>9.1801908371231733E-5</v>
      </c>
      <c r="K77" s="575">
        <f t="shared" ca="1" si="25"/>
        <v>9.1801908371231733E-5</v>
      </c>
      <c r="L77" s="575">
        <f t="shared" ca="1" si="25"/>
        <v>9.1801908371231733E-5</v>
      </c>
      <c r="M77" s="574" t="s">
        <v>336</v>
      </c>
      <c r="N77" s="133">
        <f t="shared" ca="1" si="26"/>
        <v>9.1801908371231733E-5</v>
      </c>
      <c r="O77" s="133">
        <f t="shared" ca="1" si="26"/>
        <v>9.1801908371231733E-5</v>
      </c>
      <c r="P77" s="551" t="s">
        <v>336</v>
      </c>
      <c r="Q77" s="573">
        <f t="shared" ca="1" si="27"/>
        <v>4.3033760004718191</v>
      </c>
      <c r="R77" s="573">
        <f t="shared" ca="1" si="27"/>
        <v>4.3033760004718191</v>
      </c>
      <c r="S77" s="573">
        <f t="shared" ca="1" si="27"/>
        <v>4.3033760004718191</v>
      </c>
      <c r="T77" s="572" t="s">
        <v>336</v>
      </c>
      <c r="U77" s="45">
        <f t="shared" ca="1" si="28"/>
        <v>4.3033760004718191</v>
      </c>
      <c r="V77" s="45">
        <f t="shared" ca="1" si="28"/>
        <v>4.3033760004718191</v>
      </c>
      <c r="W77" s="551" t="s">
        <v>336</v>
      </c>
    </row>
    <row r="78" spans="1:23" x14ac:dyDescent="0.25">
      <c r="A78" s="812" t="str">
        <f t="shared" si="22"/>
        <v>NP</v>
      </c>
      <c r="B78" s="812" t="s">
        <v>153</v>
      </c>
      <c r="C78" s="133">
        <f t="shared" ca="1" si="23"/>
        <v>1.0586062611259982E-4</v>
      </c>
      <c r="D78" s="575">
        <f t="shared" ca="1" si="23"/>
        <v>1.0586062611259982E-4</v>
      </c>
      <c r="E78" s="575">
        <f t="shared" ca="1" si="23"/>
        <v>1.0586062611259982E-4</v>
      </c>
      <c r="F78" s="574" t="s">
        <v>336</v>
      </c>
      <c r="G78" s="133">
        <f t="shared" ca="1" si="24"/>
        <v>1.0586062611259982E-4</v>
      </c>
      <c r="H78" s="133">
        <f t="shared" ca="1" si="24"/>
        <v>1.0586062611259982E-4</v>
      </c>
      <c r="I78" s="551" t="s">
        <v>336</v>
      </c>
      <c r="J78" s="575">
        <f t="shared" ca="1" si="25"/>
        <v>2.2598250103571966E-6</v>
      </c>
      <c r="K78" s="575">
        <f t="shared" ca="1" si="25"/>
        <v>2.2598250103571966E-6</v>
      </c>
      <c r="L78" s="575">
        <f t="shared" ca="1" si="25"/>
        <v>2.2598250103571966E-6</v>
      </c>
      <c r="M78" s="574" t="s">
        <v>336</v>
      </c>
      <c r="N78" s="133">
        <f t="shared" ca="1" si="26"/>
        <v>2.2598250103571966E-6</v>
      </c>
      <c r="O78" s="133">
        <f t="shared" ca="1" si="26"/>
        <v>2.2598250103571966E-6</v>
      </c>
      <c r="P78" s="551" t="s">
        <v>336</v>
      </c>
      <c r="Q78" s="573">
        <f t="shared" ca="1" si="27"/>
        <v>2.2454787856666032</v>
      </c>
      <c r="R78" s="573">
        <f t="shared" ca="1" si="27"/>
        <v>2.2454787856666032</v>
      </c>
      <c r="S78" s="573">
        <f t="shared" ca="1" si="27"/>
        <v>2.2454787856666032</v>
      </c>
      <c r="T78" s="572" t="s">
        <v>336</v>
      </c>
      <c r="U78" s="45">
        <f t="shared" ca="1" si="28"/>
        <v>2.2454787856666032</v>
      </c>
      <c r="V78" s="45">
        <f t="shared" ca="1" si="28"/>
        <v>2.2454787856666032</v>
      </c>
      <c r="W78" s="551" t="s">
        <v>336</v>
      </c>
    </row>
    <row r="79" spans="1:23" ht="15.75" thickBot="1" x14ac:dyDescent="0.3">
      <c r="A79" s="6" t="str">
        <f>A76</f>
        <v>NP</v>
      </c>
      <c r="B79" s="6" t="s">
        <v>154</v>
      </c>
      <c r="C79" s="544">
        <f t="shared" ca="1" si="23"/>
        <v>9.7185430210192211E-4</v>
      </c>
      <c r="D79" s="571">
        <f t="shared" ca="1" si="23"/>
        <v>9.7185430210192211E-4</v>
      </c>
      <c r="E79" s="571">
        <f t="shared" ca="1" si="23"/>
        <v>9.7185430210192211E-4</v>
      </c>
      <c r="F79" s="570" t="s">
        <v>336</v>
      </c>
      <c r="G79" s="544">
        <f t="shared" ca="1" si="24"/>
        <v>9.7185430210192211E-4</v>
      </c>
      <c r="H79" s="544">
        <f t="shared" ca="1" si="24"/>
        <v>9.7185430210192211E-4</v>
      </c>
      <c r="I79" s="542" t="s">
        <v>336</v>
      </c>
      <c r="J79" s="571">
        <f t="shared" ca="1" si="25"/>
        <v>5.037838292964847E-3</v>
      </c>
      <c r="K79" s="571">
        <f t="shared" ca="1" si="25"/>
        <v>5.037838292964847E-3</v>
      </c>
      <c r="L79" s="571">
        <f t="shared" ca="1" si="25"/>
        <v>5.037838292964847E-3</v>
      </c>
      <c r="M79" s="570" t="s">
        <v>336</v>
      </c>
      <c r="N79" s="544">
        <f t="shared" ca="1" si="26"/>
        <v>5.037838292964847E-3</v>
      </c>
      <c r="O79" s="544">
        <f t="shared" ca="1" si="26"/>
        <v>5.037838292964847E-3</v>
      </c>
      <c r="P79" s="542" t="s">
        <v>336</v>
      </c>
      <c r="Q79" s="569">
        <f t="shared" ca="1" si="27"/>
        <v>35.810306818428437</v>
      </c>
      <c r="R79" s="569">
        <f t="shared" ca="1" si="27"/>
        <v>35.810306818428437</v>
      </c>
      <c r="S79" s="569">
        <f t="shared" ca="1" si="27"/>
        <v>35.810306818428437</v>
      </c>
      <c r="T79" s="568" t="s">
        <v>336</v>
      </c>
      <c r="U79" s="567">
        <f t="shared" ca="1" si="28"/>
        <v>35.810306818428437</v>
      </c>
      <c r="V79" s="567">
        <f t="shared" ca="1" si="28"/>
        <v>35.810306818428437</v>
      </c>
      <c r="W79" s="542" t="s">
        <v>336</v>
      </c>
    </row>
    <row r="80" spans="1:23" ht="15.75" thickTop="1" x14ac:dyDescent="0.25">
      <c r="C80" s="137">
        <f ca="1">SUM(C40:C79)</f>
        <v>2.0756575573468328</v>
      </c>
      <c r="D80" s="137">
        <f ca="1">SUM(D40:D79)</f>
        <v>2.0756575573468328</v>
      </c>
      <c r="E80" s="137">
        <f ca="1">SUM(E40:E79)</f>
        <v>2.0756575573468328</v>
      </c>
      <c r="F80" s="566" t="s">
        <v>336</v>
      </c>
      <c r="G80" s="137">
        <f ca="1">SUM(G40:G79)</f>
        <v>2.0756575573468328</v>
      </c>
      <c r="H80" s="137">
        <f ca="1">SUM(H40:H79)</f>
        <v>2.0756575573468328</v>
      </c>
      <c r="I80" s="566" t="s">
        <v>336</v>
      </c>
      <c r="J80" s="137">
        <f ca="1">SUM(J40:J79)</f>
        <v>3.0630181641377239</v>
      </c>
      <c r="K80" s="137">
        <f ca="1">SUM(K40:K79)</f>
        <v>3.0630181641377239</v>
      </c>
      <c r="L80" s="137">
        <f ca="1">SUM(L40:L79)</f>
        <v>3.0630181641377239</v>
      </c>
      <c r="M80" s="566" t="s">
        <v>336</v>
      </c>
      <c r="N80" s="137">
        <f ca="1">SUM(N40:N79)</f>
        <v>3.0630181641377239</v>
      </c>
      <c r="O80" s="137">
        <f ca="1">SUM(O40:O79)</f>
        <v>3.0630181641377239</v>
      </c>
      <c r="P80" s="566" t="s">
        <v>336</v>
      </c>
      <c r="Q80" s="87">
        <f ca="1">SUM(Q40:Q79)</f>
        <v>38985.716497122419</v>
      </c>
      <c r="R80" s="87">
        <f ca="1">SUM(R40:R79)</f>
        <v>38985.716497122419</v>
      </c>
      <c r="S80" s="87">
        <f ca="1">SUM(S40:S79)</f>
        <v>38985.716497122419</v>
      </c>
      <c r="T80" s="566" t="s">
        <v>336</v>
      </c>
      <c r="U80" s="87">
        <f ca="1">SUM(U40:U79)</f>
        <v>38985.716497122419</v>
      </c>
      <c r="V80" s="87">
        <f ca="1">SUM(V40:V79)</f>
        <v>38985.716497122419</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0.6</v>
      </c>
      <c r="F91" s="264"/>
      <c r="G91" s="556">
        <f t="shared" ref="G91:H110" si="31">D91</f>
        <v>1</v>
      </c>
      <c r="H91" s="264">
        <f t="shared" si="31"/>
        <v>0.6</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9.5989671313262304E-2</v>
      </c>
      <c r="N91" s="557" t="s">
        <v>336</v>
      </c>
      <c r="O91" s="559">
        <f t="shared" ref="O91:P100" ca="1" si="35">(1-$N$84)*(1-G91)*G60</f>
        <v>0</v>
      </c>
      <c r="P91" s="559">
        <f t="shared" ca="1" si="35"/>
        <v>0.10477844180978753</v>
      </c>
      <c r="Q91" s="557" t="s">
        <v>336</v>
      </c>
      <c r="R91" s="558">
        <f t="shared" ref="R91:S100" ca="1" si="36">(1-$N$84)*(1-D91)*D40/$J91</f>
        <v>0</v>
      </c>
      <c r="S91" s="558">
        <f t="shared" ca="1" si="36"/>
        <v>1.4110865855875211E-5</v>
      </c>
      <c r="T91" s="557" t="s">
        <v>336</v>
      </c>
      <c r="U91" s="558">
        <f t="shared" ref="U91:V100" ca="1" si="37">(1-$N$84)*(1-G91)*G60/$J91</f>
        <v>0</v>
      </c>
      <c r="V91" s="558">
        <f t="shared" ca="1" si="37"/>
        <v>1.5402850293553001E-5</v>
      </c>
      <c r="W91" s="557" t="s">
        <v>336</v>
      </c>
      <c r="X91" s="559">
        <f t="shared" ref="X91:Y100" ca="1" si="38">(1-$N$84)*(1-D91)*K40</f>
        <v>0</v>
      </c>
      <c r="Y91" s="559">
        <f t="shared" ca="1" si="38"/>
        <v>1.3188019167199147E-3</v>
      </c>
      <c r="Z91" s="557" t="s">
        <v>336</v>
      </c>
      <c r="AA91" s="559">
        <f t="shared" ref="AA91:AB100" ca="1" si="39">(1-$N$84)*(1-G91)*N60</f>
        <v>0</v>
      </c>
      <c r="AB91" s="559">
        <f t="shared" ca="1" si="39"/>
        <v>8.8401164866655274E-4</v>
      </c>
      <c r="AC91" s="557" t="s">
        <v>336</v>
      </c>
      <c r="AD91" s="558">
        <f t="shared" ref="AD91:AE110" ca="1" si="40">(1-$N$84)*(1-D91)*K40/$K91</f>
        <v>0</v>
      </c>
      <c r="AE91" s="558">
        <f t="shared" ca="1" si="40"/>
        <v>1.0615202461550426E-3</v>
      </c>
      <c r="AF91" s="557" t="s">
        <v>336</v>
      </c>
      <c r="AG91" s="558">
        <f t="shared" ref="AG91:AH100" ca="1" si="41">(1-$N$84)*(1-G91)*N60/$K91</f>
        <v>0</v>
      </c>
      <c r="AH91" s="558">
        <f t="shared" ca="1" si="41"/>
        <v>7.1155209209158236E-4</v>
      </c>
      <c r="AI91" s="557" t="s">
        <v>336</v>
      </c>
      <c r="AJ91" s="507">
        <f t="shared" ref="AJ91:AK110" ca="1" si="42">L91-R91</f>
        <v>0</v>
      </c>
      <c r="AK91" s="507">
        <f t="shared" ca="1" si="42"/>
        <v>9.5975560447406433E-2</v>
      </c>
      <c r="AL91" s="507">
        <f t="shared" ref="AL91:AM110" ca="1" si="43">O91-U91</f>
        <v>0</v>
      </c>
      <c r="AM91" s="507">
        <f t="shared" ca="1" si="43"/>
        <v>0.10476303895949397</v>
      </c>
      <c r="AN91" s="507">
        <f t="shared" ref="AN91:AO110" ca="1" si="44">X91-AD91</f>
        <v>0</v>
      </c>
      <c r="AO91" s="507">
        <f t="shared" ca="1" si="44"/>
        <v>2.5728167056487212E-4</v>
      </c>
      <c r="AP91" s="507">
        <f t="shared" ref="AP91:AQ110" ca="1" si="45">AA91-AG91</f>
        <v>0</v>
      </c>
      <c r="AQ91" s="507">
        <f t="shared" ca="1" si="45"/>
        <v>1.7245955657497038E-4</v>
      </c>
      <c r="AR91" s="812" t="s">
        <v>137</v>
      </c>
      <c r="AS91" s="812">
        <v>2104008100</v>
      </c>
      <c r="AT91" s="507">
        <f t="shared" ref="AT91:AU100" ca="1" si="46">AJ91/$C40</f>
        <v>0</v>
      </c>
      <c r="AU91" s="507">
        <f t="shared" ca="1" si="46"/>
        <v>0.38394355046314338</v>
      </c>
      <c r="AV91" s="507">
        <f t="shared" ref="AV91:AW100" ca="1" si="47">AL91/$C60</f>
        <v>0</v>
      </c>
      <c r="AW91" s="507">
        <f t="shared" ca="1" si="47"/>
        <v>0.38394355046314338</v>
      </c>
      <c r="AX91" s="507">
        <f t="shared" ref="AX91:AY100" ca="1" si="48">AN91/$J40</f>
        <v>0</v>
      </c>
      <c r="AY91" s="507">
        <f t="shared" ca="1" si="48"/>
        <v>7.4913571359248407E-2</v>
      </c>
      <c r="AZ91" s="507">
        <f t="shared" ref="AZ91:BA100" ca="1" si="49">AP91/$J60</f>
        <v>0</v>
      </c>
      <c r="BA91" s="507">
        <f t="shared" ca="1" si="49"/>
        <v>7.4913571359248407E-2</v>
      </c>
      <c r="BB91" s="550">
        <f ca="1">1-((1-AT91))</f>
        <v>0</v>
      </c>
      <c r="BC91" s="550">
        <f ca="1">1-((1-AU91))</f>
        <v>0.38394355046314343</v>
      </c>
      <c r="BD91" s="550">
        <f ca="1">1-((1-AX91))</f>
        <v>0</v>
      </c>
      <c r="BE91" s="550">
        <f ca="1">1-((1-AY91))</f>
        <v>7.4913571359248365E-2</v>
      </c>
    </row>
    <row r="92" spans="1:57" x14ac:dyDescent="0.25">
      <c r="A92" s="60">
        <f t="shared" si="29"/>
        <v>0.4</v>
      </c>
      <c r="B92" s="812" t="s">
        <v>138</v>
      </c>
      <c r="C92" s="554"/>
      <c r="D92" s="264">
        <f>1-$F$84</f>
        <v>0.6</v>
      </c>
      <c r="E92" s="264">
        <f t="shared" si="30"/>
        <v>0.6</v>
      </c>
      <c r="F92" s="264"/>
      <c r="G92" s="264">
        <f t="shared" si="31"/>
        <v>0.6</v>
      </c>
      <c r="H92" s="264">
        <f t="shared" si="31"/>
        <v>0.6</v>
      </c>
      <c r="I92" s="264"/>
      <c r="J92" s="555">
        <f t="shared" si="32"/>
        <v>1052.8202210719671</v>
      </c>
      <c r="K92" s="70">
        <f t="shared" si="33"/>
        <v>0.21741491625989814</v>
      </c>
      <c r="L92" s="559">
        <f t="shared" ca="1" si="34"/>
        <v>7.4915722009359998E-3</v>
      </c>
      <c r="M92" s="559">
        <f t="shared" ca="1" si="34"/>
        <v>7.4915722009359998E-3</v>
      </c>
      <c r="N92" s="557" t="s">
        <v>336</v>
      </c>
      <c r="O92" s="559">
        <f t="shared" ca="1" si="35"/>
        <v>8.1774971325601579E-3</v>
      </c>
      <c r="P92" s="559">
        <f t="shared" ca="1" si="35"/>
        <v>8.1774971325601579E-3</v>
      </c>
      <c r="Q92" s="557" t="s">
        <v>336</v>
      </c>
      <c r="R92" s="558">
        <f t="shared" ca="1" si="36"/>
        <v>7.1157183828670995E-6</v>
      </c>
      <c r="S92" s="558">
        <f t="shared" ca="1" si="36"/>
        <v>7.1157183828670995E-6</v>
      </c>
      <c r="T92" s="557" t="s">
        <v>336</v>
      </c>
      <c r="U92" s="558">
        <f t="shared" ca="1" si="37"/>
        <v>7.7672303104455402E-6</v>
      </c>
      <c r="V92" s="558">
        <f t="shared" ca="1" si="37"/>
        <v>7.7672303104455402E-6</v>
      </c>
      <c r="W92" s="557" t="s">
        <v>336</v>
      </c>
      <c r="X92" s="559">
        <f t="shared" ca="1" si="38"/>
        <v>1.1638116676553779E-4</v>
      </c>
      <c r="Y92" s="559">
        <f t="shared" ca="1" si="38"/>
        <v>1.1638116676553779E-4</v>
      </c>
      <c r="Z92" s="557" t="s">
        <v>336</v>
      </c>
      <c r="AA92" s="559">
        <f t="shared" ca="1" si="39"/>
        <v>7.8011948422114779E-5</v>
      </c>
      <c r="AB92" s="559">
        <f t="shared" ca="1" si="39"/>
        <v>7.8011948422114779E-5</v>
      </c>
      <c r="AC92" s="557" t="s">
        <v>336</v>
      </c>
      <c r="AD92" s="558">
        <f t="shared" ca="1" si="40"/>
        <v>5.352952261399377E-4</v>
      </c>
      <c r="AE92" s="558">
        <f t="shared" ca="1" si="40"/>
        <v>5.352952261399377E-4</v>
      </c>
      <c r="AF92" s="557" t="s">
        <v>336</v>
      </c>
      <c r="AG92" s="558">
        <f t="shared" ca="1" si="41"/>
        <v>3.5881599001633894E-4</v>
      </c>
      <c r="AH92" s="558">
        <f t="shared" ca="1" si="41"/>
        <v>3.5881599001633894E-4</v>
      </c>
      <c r="AI92" s="557" t="s">
        <v>336</v>
      </c>
      <c r="AJ92" s="507">
        <f t="shared" ca="1" si="42"/>
        <v>7.4844564825531324E-3</v>
      </c>
      <c r="AK92" s="507">
        <f t="shared" ca="1" si="42"/>
        <v>7.4844564825531324E-3</v>
      </c>
      <c r="AL92" s="507">
        <f t="shared" ca="1" si="43"/>
        <v>8.169729902249713E-3</v>
      </c>
      <c r="AM92" s="507">
        <f t="shared" ca="1" si="43"/>
        <v>8.169729902249713E-3</v>
      </c>
      <c r="AN92" s="507">
        <f t="shared" ca="1" si="44"/>
        <v>-4.1891405937439992E-4</v>
      </c>
      <c r="AO92" s="507">
        <f t="shared" ca="1" si="44"/>
        <v>-4.1891405937439992E-4</v>
      </c>
      <c r="AP92" s="507">
        <f t="shared" ca="1" si="45"/>
        <v>-2.8080404159422416E-4</v>
      </c>
      <c r="AQ92" s="507">
        <f t="shared" ca="1" si="45"/>
        <v>-2.8080404159422416E-4</v>
      </c>
      <c r="AR92" s="812" t="s">
        <v>138</v>
      </c>
      <c r="AS92" s="812">
        <v>2104008210</v>
      </c>
      <c r="AT92" s="507">
        <f t="shared" ca="1" si="46"/>
        <v>0.38363526536410081</v>
      </c>
      <c r="AU92" s="507">
        <f t="shared" ca="1" si="46"/>
        <v>0.38363526536410081</v>
      </c>
      <c r="AV92" s="507">
        <f t="shared" ca="1" si="47"/>
        <v>0.38363526536410086</v>
      </c>
      <c r="AW92" s="507">
        <f t="shared" ca="1" si="47"/>
        <v>0.38363526536410086</v>
      </c>
      <c r="AX92" s="507">
        <f t="shared" ca="1" si="48"/>
        <v>-1.3822081636614381</v>
      </c>
      <c r="AY92" s="507">
        <f t="shared" ca="1" si="48"/>
        <v>-1.3822081636614381</v>
      </c>
      <c r="AZ92" s="507">
        <f t="shared" ca="1" si="49"/>
        <v>-1.3822081636614381</v>
      </c>
      <c r="BA92" s="507">
        <f t="shared" ca="1" si="49"/>
        <v>-1.3822081636614381</v>
      </c>
      <c r="BB92" s="550">
        <f t="shared" ref="BB92:BC109" ca="1" si="50">1-((1-AT92))</f>
        <v>0.38363526536410086</v>
      </c>
      <c r="BC92" s="550">
        <f t="shared" ca="1" si="50"/>
        <v>0.38363526536410086</v>
      </c>
      <c r="BD92" s="550">
        <f t="shared" ref="BD92:BE109" ca="1" si="51">1-((1-AX92))</f>
        <v>-1.3822081636614381</v>
      </c>
      <c r="BE92" s="550">
        <f t="shared" ca="1" si="51"/>
        <v>-1.3822081636614381</v>
      </c>
    </row>
    <row r="93" spans="1:57" x14ac:dyDescent="0.25">
      <c r="A93" s="60">
        <f t="shared" si="29"/>
        <v>0.66</v>
      </c>
      <c r="B93" s="812" t="s">
        <v>139</v>
      </c>
      <c r="C93" s="554"/>
      <c r="D93" s="561">
        <f>$I$85</f>
        <v>0.69230769230769229</v>
      </c>
      <c r="E93" s="264">
        <f t="shared" si="30"/>
        <v>0.6</v>
      </c>
      <c r="F93" s="264"/>
      <c r="G93" s="561">
        <f t="shared" si="31"/>
        <v>0.69230769230769229</v>
      </c>
      <c r="H93" s="264">
        <f t="shared" si="31"/>
        <v>0.6</v>
      </c>
      <c r="I93" s="264"/>
      <c r="J93" s="555">
        <f t="shared" si="32"/>
        <v>250.22465147283825</v>
      </c>
      <c r="K93" s="70">
        <f t="shared" si="33"/>
        <v>0.13176661591508979</v>
      </c>
      <c r="L93" s="559">
        <f t="shared" ca="1" si="34"/>
        <v>4.7580326632826637E-3</v>
      </c>
      <c r="M93" s="559">
        <f t="shared" ca="1" si="34"/>
        <v>6.1854424622674615E-3</v>
      </c>
      <c r="N93" s="557" t="s">
        <v>336</v>
      </c>
      <c r="O93" s="559">
        <f t="shared" ca="1" si="35"/>
        <v>5.1936759624048303E-3</v>
      </c>
      <c r="P93" s="559">
        <f t="shared" ca="1" si="35"/>
        <v>6.7517787511262792E-3</v>
      </c>
      <c r="Q93" s="557" t="s">
        <v>336</v>
      </c>
      <c r="R93" s="558">
        <f t="shared" ca="1" si="36"/>
        <v>1.9015043622906777E-5</v>
      </c>
      <c r="S93" s="558">
        <f t="shared" ca="1" si="36"/>
        <v>2.4719556709778806E-5</v>
      </c>
      <c r="T93" s="557" t="s">
        <v>336</v>
      </c>
      <c r="U93" s="558">
        <f t="shared" ca="1" si="37"/>
        <v>2.0756052338706529E-5</v>
      </c>
      <c r="V93" s="558">
        <f t="shared" ca="1" si="37"/>
        <v>2.6982868040318485E-5</v>
      </c>
      <c r="W93" s="557" t="s">
        <v>336</v>
      </c>
      <c r="X93" s="559">
        <f t="shared" ca="1" si="38"/>
        <v>1.8848523566522999E-4</v>
      </c>
      <c r="Y93" s="559">
        <f t="shared" ca="1" si="38"/>
        <v>2.4503080636479897E-4</v>
      </c>
      <c r="Z93" s="557" t="s">
        <v>336</v>
      </c>
      <c r="AA93" s="559">
        <f t="shared" ca="1" si="39"/>
        <v>1.2634432951397573E-4</v>
      </c>
      <c r="AB93" s="559">
        <f t="shared" ca="1" si="39"/>
        <v>1.6424762836816844E-4</v>
      </c>
      <c r="AC93" s="557" t="s">
        <v>336</v>
      </c>
      <c r="AD93" s="558">
        <f t="shared" ca="1" si="40"/>
        <v>1.4304475709286607E-3</v>
      </c>
      <c r="AE93" s="558">
        <f t="shared" ca="1" si="40"/>
        <v>1.8595818422072587E-3</v>
      </c>
      <c r="AF93" s="557" t="s">
        <v>336</v>
      </c>
      <c r="AG93" s="558">
        <f t="shared" ca="1" si="41"/>
        <v>9.5884931578869587E-4</v>
      </c>
      <c r="AH93" s="558">
        <f t="shared" ca="1" si="41"/>
        <v>1.2465041105253047E-3</v>
      </c>
      <c r="AI93" s="557" t="s">
        <v>336</v>
      </c>
      <c r="AJ93" s="507">
        <f t="shared" ca="1" si="42"/>
        <v>4.7390176196597565E-3</v>
      </c>
      <c r="AK93" s="507">
        <f t="shared" ca="1" si="42"/>
        <v>6.1607229055576831E-3</v>
      </c>
      <c r="AL93" s="507">
        <f t="shared" ca="1" si="43"/>
        <v>5.1729199100661238E-3</v>
      </c>
      <c r="AM93" s="507">
        <f t="shared" ca="1" si="43"/>
        <v>6.7247958830859607E-3</v>
      </c>
      <c r="AN93" s="507">
        <f t="shared" ca="1" si="44"/>
        <v>-1.2419623352634308E-3</v>
      </c>
      <c r="AO93" s="507">
        <f t="shared" ca="1" si="44"/>
        <v>-1.6145510358424597E-3</v>
      </c>
      <c r="AP93" s="507">
        <f t="shared" ca="1" si="45"/>
        <v>-8.3250498627472018E-4</v>
      </c>
      <c r="AQ93" s="507">
        <f t="shared" ca="1" si="45"/>
        <v>-1.0822564821571362E-3</v>
      </c>
      <c r="AR93" s="812" t="s">
        <v>139</v>
      </c>
      <c r="AS93" s="812">
        <v>2104008220</v>
      </c>
      <c r="AT93" s="507">
        <f t="shared" ca="1" si="46"/>
        <v>0.29420413770727244</v>
      </c>
      <c r="AU93" s="507">
        <f t="shared" ca="1" si="46"/>
        <v>0.3824653790194541</v>
      </c>
      <c r="AV93" s="507">
        <f t="shared" ca="1" si="47"/>
        <v>0.29420413770727238</v>
      </c>
      <c r="AW93" s="507">
        <f t="shared" ca="1" si="47"/>
        <v>0.3824653790194541</v>
      </c>
      <c r="AX93" s="507">
        <f t="shared" ca="1" si="48"/>
        <v>-1.9463411308010561</v>
      </c>
      <c r="AY93" s="507">
        <f t="shared" ca="1" si="48"/>
        <v>-2.5302434700413725</v>
      </c>
      <c r="AZ93" s="507">
        <f t="shared" ca="1" si="49"/>
        <v>-1.9463411308010559</v>
      </c>
      <c r="BA93" s="507">
        <f t="shared" ca="1" si="49"/>
        <v>-2.530243470041373</v>
      </c>
      <c r="BB93" s="550">
        <f t="shared" ca="1" si="50"/>
        <v>0.29420413770727238</v>
      </c>
      <c r="BC93" s="550">
        <f t="shared" ca="1" si="50"/>
        <v>0.3824653790194541</v>
      </c>
      <c r="BD93" s="550">
        <f t="shared" ca="1" si="51"/>
        <v>-1.9463411308010561</v>
      </c>
      <c r="BE93" s="550">
        <f t="shared" ca="1" si="51"/>
        <v>-2.5302434700413725</v>
      </c>
    </row>
    <row r="94" spans="1:57" x14ac:dyDescent="0.25">
      <c r="A94" s="60">
        <f t="shared" si="29"/>
        <v>0.7</v>
      </c>
      <c r="B94" s="812" t="s">
        <v>140</v>
      </c>
      <c r="C94" s="554"/>
      <c r="D94" s="561">
        <f>$I$85</f>
        <v>0.69230769230769229</v>
      </c>
      <c r="E94" s="264">
        <f t="shared" si="30"/>
        <v>0.6</v>
      </c>
      <c r="F94" s="264"/>
      <c r="G94" s="561">
        <f t="shared" si="31"/>
        <v>0.69230769230769229</v>
      </c>
      <c r="H94" s="264">
        <f t="shared" si="31"/>
        <v>0.6</v>
      </c>
      <c r="I94" s="264"/>
      <c r="J94" s="555">
        <f t="shared" si="32"/>
        <v>255.58660829011339</v>
      </c>
      <c r="K94" s="70">
        <f t="shared" si="33"/>
        <v>0.12423709500565611</v>
      </c>
      <c r="L94" s="559">
        <f t="shared" ca="1" si="34"/>
        <v>3.1034077067075118E-3</v>
      </c>
      <c r="M94" s="559">
        <f t="shared" ca="1" si="34"/>
        <v>4.0344300187197656E-3</v>
      </c>
      <c r="N94" s="557" t="s">
        <v>336</v>
      </c>
      <c r="O94" s="559">
        <f t="shared" ca="1" si="35"/>
        <v>3.3875542999632336E-3</v>
      </c>
      <c r="P94" s="559">
        <f t="shared" ca="1" si="35"/>
        <v>4.4038205899522035E-3</v>
      </c>
      <c r="Q94" s="557" t="s">
        <v>336</v>
      </c>
      <c r="R94" s="558">
        <f t="shared" ca="1" si="36"/>
        <v>1.2142293868483397E-5</v>
      </c>
      <c r="S94" s="558">
        <f t="shared" ca="1" si="36"/>
        <v>1.5784982029028418E-5</v>
      </c>
      <c r="T94" s="557" t="s">
        <v>336</v>
      </c>
      <c r="U94" s="558">
        <f t="shared" ca="1" si="37"/>
        <v>1.325403675343608E-5</v>
      </c>
      <c r="V94" s="558">
        <f t="shared" ca="1" si="37"/>
        <v>1.7230247779466903E-5</v>
      </c>
      <c r="W94" s="557" t="s">
        <v>336</v>
      </c>
      <c r="X94" s="559">
        <f t="shared" ca="1" si="38"/>
        <v>1.1348191238360522E-4</v>
      </c>
      <c r="Y94" s="559">
        <f t="shared" ca="1" si="38"/>
        <v>1.4752648609868678E-4</v>
      </c>
      <c r="Z94" s="557" t="s">
        <v>336</v>
      </c>
      <c r="AA94" s="559">
        <f t="shared" ca="1" si="39"/>
        <v>7.6068537047303849E-5</v>
      </c>
      <c r="AB94" s="559">
        <f t="shared" ca="1" si="39"/>
        <v>9.8889098161495E-5</v>
      </c>
      <c r="AC94" s="557" t="s">
        <v>336</v>
      </c>
      <c r="AD94" s="558">
        <f t="shared" ca="1" si="40"/>
        <v>9.1343018265550044E-4</v>
      </c>
      <c r="AE94" s="558">
        <f t="shared" ca="1" si="40"/>
        <v>1.1874592374521505E-3</v>
      </c>
      <c r="AF94" s="557" t="s">
        <v>336</v>
      </c>
      <c r="AG94" s="558">
        <f t="shared" ca="1" si="41"/>
        <v>6.12285219996819E-4</v>
      </c>
      <c r="AH94" s="558">
        <f t="shared" ca="1" si="41"/>
        <v>7.9597078599586465E-4</v>
      </c>
      <c r="AI94" s="557" t="s">
        <v>336</v>
      </c>
      <c r="AJ94" s="507">
        <f t="shared" ca="1" si="42"/>
        <v>3.0912654128390283E-3</v>
      </c>
      <c r="AK94" s="507">
        <f t="shared" ca="1" si="42"/>
        <v>4.0186450366907376E-3</v>
      </c>
      <c r="AL94" s="507">
        <f t="shared" ca="1" si="43"/>
        <v>3.3743002632097975E-3</v>
      </c>
      <c r="AM94" s="507">
        <f t="shared" ca="1" si="43"/>
        <v>4.3865903421727364E-3</v>
      </c>
      <c r="AN94" s="507">
        <f t="shared" ca="1" si="44"/>
        <v>-7.9994827027189523E-4</v>
      </c>
      <c r="AO94" s="507">
        <f t="shared" ca="1" si="44"/>
        <v>-1.0399327513534637E-3</v>
      </c>
      <c r="AP94" s="507">
        <f t="shared" ca="1" si="45"/>
        <v>-5.3621668294951514E-4</v>
      </c>
      <c r="AQ94" s="507">
        <f t="shared" ca="1" si="45"/>
        <v>-6.9708168783436965E-4</v>
      </c>
      <c r="AR94" s="812" t="s">
        <v>140</v>
      </c>
      <c r="AS94" s="812">
        <v>2104008230</v>
      </c>
      <c r="AT94" s="507">
        <f t="shared" ca="1" si="46"/>
        <v>0.29422890297323062</v>
      </c>
      <c r="AU94" s="507">
        <f t="shared" ca="1" si="46"/>
        <v>0.38249757386519989</v>
      </c>
      <c r="AV94" s="507">
        <f t="shared" ca="1" si="47"/>
        <v>0.29422890297323068</v>
      </c>
      <c r="AW94" s="507">
        <f t="shared" ca="1" si="47"/>
        <v>0.38249757386519984</v>
      </c>
      <c r="AX94" s="507">
        <f t="shared" ca="1" si="48"/>
        <v>-2.0822032972365507</v>
      </c>
      <c r="AY94" s="507">
        <f t="shared" ca="1" si="48"/>
        <v>-2.7068642864075154</v>
      </c>
      <c r="AZ94" s="507">
        <f t="shared" ca="1" si="49"/>
        <v>-2.0822032972365507</v>
      </c>
      <c r="BA94" s="507">
        <f t="shared" ca="1" si="49"/>
        <v>-2.7068642864075159</v>
      </c>
      <c r="BB94" s="550">
        <f t="shared" ca="1" si="50"/>
        <v>0.29422890297323057</v>
      </c>
      <c r="BC94" s="550">
        <f t="shared" ca="1" si="50"/>
        <v>0.38249757386519989</v>
      </c>
      <c r="BD94" s="550">
        <f t="shared" ca="1" si="51"/>
        <v>-2.0822032972365507</v>
      </c>
      <c r="BE94" s="550">
        <f t="shared" ca="1" si="51"/>
        <v>-2.7068642864075154</v>
      </c>
    </row>
    <row r="95" spans="1:57" x14ac:dyDescent="0.25">
      <c r="A95" s="60">
        <f t="shared" si="29"/>
        <v>0.54</v>
      </c>
      <c r="B95" s="812" t="s">
        <v>141</v>
      </c>
      <c r="C95" s="554"/>
      <c r="D95" s="264">
        <f>1-$F$84</f>
        <v>0.6</v>
      </c>
      <c r="E95" s="264">
        <f t="shared" si="30"/>
        <v>0.6</v>
      </c>
      <c r="F95" s="264"/>
      <c r="G95" s="264">
        <f t="shared" si="31"/>
        <v>0.6</v>
      </c>
      <c r="H95" s="264">
        <f t="shared" si="31"/>
        <v>0.6</v>
      </c>
      <c r="I95" s="264"/>
      <c r="J95" s="555">
        <f t="shared" si="32"/>
        <v>309.44986835562031</v>
      </c>
      <c r="K95" s="70">
        <f t="shared" si="33"/>
        <v>0.16104808611844307</v>
      </c>
      <c r="L95" s="559">
        <f t="shared" ca="1" si="34"/>
        <v>6.0327482314711481E-2</v>
      </c>
      <c r="M95" s="559">
        <f t="shared" ca="1" si="34"/>
        <v>6.0327482314711481E-2</v>
      </c>
      <c r="N95" s="557" t="s">
        <v>336</v>
      </c>
      <c r="O95" s="559">
        <f t="shared" ca="1" si="35"/>
        <v>6.5851039062466782E-2</v>
      </c>
      <c r="P95" s="559">
        <f t="shared" ca="1" si="35"/>
        <v>6.5851039062466782E-2</v>
      </c>
      <c r="Q95" s="557" t="s">
        <v>336</v>
      </c>
      <c r="R95" s="558">
        <f t="shared" ca="1" si="36"/>
        <v>1.9495074480168476E-4</v>
      </c>
      <c r="S95" s="558">
        <f t="shared" ca="1" si="36"/>
        <v>1.9495074480168476E-4</v>
      </c>
      <c r="T95" s="557" t="s">
        <v>336</v>
      </c>
      <c r="U95" s="558">
        <f t="shared" ca="1" si="37"/>
        <v>2.1280034602176871E-4</v>
      </c>
      <c r="V95" s="558">
        <f t="shared" ca="1" si="37"/>
        <v>2.1280034602176871E-4</v>
      </c>
      <c r="W95" s="557" t="s">
        <v>336</v>
      </c>
      <c r="X95" s="559">
        <f t="shared" ca="1" si="38"/>
        <v>2.3618650805787966E-3</v>
      </c>
      <c r="Y95" s="559">
        <f t="shared" ca="1" si="38"/>
        <v>2.3618650805787966E-3</v>
      </c>
      <c r="Z95" s="557" t="s">
        <v>336</v>
      </c>
      <c r="AA95" s="559">
        <f t="shared" ca="1" si="39"/>
        <v>1.5831916964478077E-3</v>
      </c>
      <c r="AB95" s="559">
        <f t="shared" ca="1" si="39"/>
        <v>1.5831916964478077E-3</v>
      </c>
      <c r="AC95" s="557" t="s">
        <v>336</v>
      </c>
      <c r="AD95" s="558">
        <f t="shared" ca="1" si="40"/>
        <v>1.4665589250416545E-2</v>
      </c>
      <c r="AE95" s="558">
        <f t="shared" ca="1" si="40"/>
        <v>1.4665589250416545E-2</v>
      </c>
      <c r="AF95" s="557" t="s">
        <v>336</v>
      </c>
      <c r="AG95" s="558">
        <f t="shared" ca="1" si="41"/>
        <v>9.8305526914703404E-3</v>
      </c>
      <c r="AH95" s="558">
        <f t="shared" ca="1" si="41"/>
        <v>9.8305526914703404E-3</v>
      </c>
      <c r="AI95" s="557" t="s">
        <v>336</v>
      </c>
      <c r="AJ95" s="507">
        <f t="shared" ca="1" si="42"/>
        <v>6.0132531569909796E-2</v>
      </c>
      <c r="AK95" s="507">
        <f t="shared" ca="1" si="42"/>
        <v>6.0132531569909796E-2</v>
      </c>
      <c r="AL95" s="507">
        <f t="shared" ca="1" si="43"/>
        <v>6.5638238716445016E-2</v>
      </c>
      <c r="AM95" s="507">
        <f t="shared" ca="1" si="43"/>
        <v>6.5638238716445016E-2</v>
      </c>
      <c r="AN95" s="507">
        <f t="shared" ca="1" si="44"/>
        <v>-1.2303724169837748E-2</v>
      </c>
      <c r="AO95" s="507">
        <f t="shared" ca="1" si="44"/>
        <v>-1.2303724169837748E-2</v>
      </c>
      <c r="AP95" s="507">
        <f t="shared" ca="1" si="45"/>
        <v>-8.2473609950225318E-3</v>
      </c>
      <c r="AQ95" s="507">
        <f t="shared" ca="1" si="45"/>
        <v>-8.2473609950225318E-3</v>
      </c>
      <c r="AR95" s="812" t="s">
        <v>141</v>
      </c>
      <c r="AS95" s="812">
        <v>2104008310</v>
      </c>
      <c r="AT95" s="507">
        <f t="shared" ca="1" si="46"/>
        <v>0.38275908817786697</v>
      </c>
      <c r="AU95" s="507">
        <f t="shared" ca="1" si="46"/>
        <v>0.38275908817786697</v>
      </c>
      <c r="AV95" s="507">
        <f t="shared" ca="1" si="47"/>
        <v>0.38275908817786697</v>
      </c>
      <c r="AW95" s="507">
        <f t="shared" ca="1" si="47"/>
        <v>0.38275908817786697</v>
      </c>
      <c r="AX95" s="507">
        <f t="shared" ca="1" si="48"/>
        <v>-2.0003810209429416</v>
      </c>
      <c r="AY95" s="507">
        <f t="shared" ca="1" si="48"/>
        <v>-2.0003810209429416</v>
      </c>
      <c r="AZ95" s="507">
        <f t="shared" ca="1" si="49"/>
        <v>-2.0003810209429411</v>
      </c>
      <c r="BA95" s="507">
        <f t="shared" ca="1" si="49"/>
        <v>-2.0003810209429411</v>
      </c>
      <c r="BB95" s="550">
        <f t="shared" ca="1" si="50"/>
        <v>0.38275908817786697</v>
      </c>
      <c r="BC95" s="550">
        <f t="shared" ca="1" si="50"/>
        <v>0.38275908817786697</v>
      </c>
      <c r="BD95" s="550">
        <f t="shared" ca="1" si="51"/>
        <v>-2.0003810209429416</v>
      </c>
      <c r="BE95" s="550">
        <f t="shared" ca="1" si="51"/>
        <v>-2.0003810209429416</v>
      </c>
    </row>
    <row r="96" spans="1:57" x14ac:dyDescent="0.25">
      <c r="A96" s="60">
        <f t="shared" si="29"/>
        <v>0.68</v>
      </c>
      <c r="B96" s="812" t="s">
        <v>142</v>
      </c>
      <c r="C96" s="554"/>
      <c r="D96" s="561">
        <f>$I$85</f>
        <v>0.69230769230769229</v>
      </c>
      <c r="E96" s="264">
        <f t="shared" si="30"/>
        <v>0.6</v>
      </c>
      <c r="F96" s="264"/>
      <c r="G96" s="561">
        <f t="shared" si="31"/>
        <v>0.69230769230769229</v>
      </c>
      <c r="H96" s="264">
        <f t="shared" si="31"/>
        <v>0.6</v>
      </c>
      <c r="I96" s="264"/>
      <c r="J96" s="555">
        <f t="shared" si="32"/>
        <v>160.39469683132279</v>
      </c>
      <c r="K96" s="70">
        <f t="shared" si="33"/>
        <v>0.12789112721170479</v>
      </c>
      <c r="L96" s="559">
        <f t="shared" ca="1" si="34"/>
        <v>6.3771214301633738E-2</v>
      </c>
      <c r="M96" s="559">
        <f t="shared" ca="1" si="34"/>
        <v>8.2902578592123841E-2</v>
      </c>
      <c r="N96" s="557" t="s">
        <v>336</v>
      </c>
      <c r="O96" s="559">
        <f t="shared" ca="1" si="35"/>
        <v>6.9610077578419943E-2</v>
      </c>
      <c r="P96" s="559">
        <f t="shared" ca="1" si="35"/>
        <v>9.0493100851945923E-2</v>
      </c>
      <c r="Q96" s="557" t="s">
        <v>336</v>
      </c>
      <c r="R96" s="558">
        <f t="shared" ca="1" si="36"/>
        <v>3.9758929416910829E-4</v>
      </c>
      <c r="S96" s="558">
        <f t="shared" ca="1" si="36"/>
        <v>5.1686608241984064E-4</v>
      </c>
      <c r="T96" s="557" t="s">
        <v>336</v>
      </c>
      <c r="U96" s="558">
        <f t="shared" ca="1" si="37"/>
        <v>4.3399238848666278E-4</v>
      </c>
      <c r="V96" s="558">
        <f t="shared" ca="1" si="37"/>
        <v>5.6419010503266161E-4</v>
      </c>
      <c r="W96" s="557" t="s">
        <v>336</v>
      </c>
      <c r="X96" s="559">
        <f t="shared" ca="1" si="38"/>
        <v>3.8251609662861307E-3</v>
      </c>
      <c r="Y96" s="559">
        <f t="shared" ca="1" si="38"/>
        <v>4.9727092561719696E-3</v>
      </c>
      <c r="Z96" s="557" t="s">
        <v>336</v>
      </c>
      <c r="AA96" s="559">
        <f t="shared" ca="1" si="39"/>
        <v>2.5640597040015541E-3</v>
      </c>
      <c r="AB96" s="559">
        <f t="shared" ca="1" si="39"/>
        <v>3.3332776152020199E-3</v>
      </c>
      <c r="AC96" s="557" t="s">
        <v>336</v>
      </c>
      <c r="AD96" s="558">
        <f t="shared" ca="1" si="40"/>
        <v>2.990951014102913E-2</v>
      </c>
      <c r="AE96" s="558">
        <f t="shared" ca="1" si="40"/>
        <v>3.8882363183337862E-2</v>
      </c>
      <c r="AF96" s="557" t="s">
        <v>336</v>
      </c>
      <c r="AG96" s="558">
        <f t="shared" ca="1" si="41"/>
        <v>2.0048769292314812E-2</v>
      </c>
      <c r="AH96" s="558">
        <f t="shared" ca="1" si="41"/>
        <v>2.6063400080009253E-2</v>
      </c>
      <c r="AI96" s="557" t="s">
        <v>336</v>
      </c>
      <c r="AJ96" s="507">
        <f t="shared" ca="1" si="42"/>
        <v>6.3373625007464629E-2</v>
      </c>
      <c r="AK96" s="507">
        <f t="shared" ca="1" si="42"/>
        <v>8.2385712509704001E-2</v>
      </c>
      <c r="AL96" s="507">
        <f t="shared" ca="1" si="43"/>
        <v>6.9176085189933276E-2</v>
      </c>
      <c r="AM96" s="507">
        <f t="shared" ca="1" si="43"/>
        <v>8.9928910746913268E-2</v>
      </c>
      <c r="AN96" s="507">
        <f t="shared" ca="1" si="44"/>
        <v>-2.6084349174742998E-2</v>
      </c>
      <c r="AO96" s="507">
        <f t="shared" ca="1" si="44"/>
        <v>-3.3909653927165891E-2</v>
      </c>
      <c r="AP96" s="507">
        <f t="shared" ca="1" si="45"/>
        <v>-1.7484709588313257E-2</v>
      </c>
      <c r="AQ96" s="507">
        <f t="shared" ca="1" si="45"/>
        <v>-2.2730122464807233E-2</v>
      </c>
      <c r="AR96" s="812" t="s">
        <v>142</v>
      </c>
      <c r="AS96" s="812">
        <v>2104008320</v>
      </c>
      <c r="AT96" s="507">
        <f t="shared" ca="1" si="46"/>
        <v>0.29354300452577731</v>
      </c>
      <c r="AU96" s="507">
        <f t="shared" ca="1" si="46"/>
        <v>0.3816059058835104</v>
      </c>
      <c r="AV96" s="507">
        <f t="shared" ca="1" si="47"/>
        <v>0.29354300452577725</v>
      </c>
      <c r="AW96" s="507">
        <f t="shared" ca="1" si="47"/>
        <v>0.38160590588351045</v>
      </c>
      <c r="AX96" s="507">
        <f t="shared" ca="1" si="48"/>
        <v>-2.0142722140188036</v>
      </c>
      <c r="AY96" s="507">
        <f t="shared" ca="1" si="48"/>
        <v>-2.6185538782244442</v>
      </c>
      <c r="AZ96" s="507">
        <f t="shared" ca="1" si="49"/>
        <v>-2.0142722140188036</v>
      </c>
      <c r="BA96" s="507">
        <f t="shared" ca="1" si="49"/>
        <v>-2.6185538782244446</v>
      </c>
      <c r="BB96" s="550">
        <f t="shared" ca="1" si="50"/>
        <v>0.29354300452577731</v>
      </c>
      <c r="BC96" s="550">
        <f t="shared" ca="1" si="50"/>
        <v>0.3816059058835104</v>
      </c>
      <c r="BD96" s="550">
        <f t="shared" ca="1" si="51"/>
        <v>-2.0142722140188036</v>
      </c>
      <c r="BE96" s="550">
        <f t="shared" ca="1" si="51"/>
        <v>-2.6185538782244442</v>
      </c>
    </row>
    <row r="97" spans="1:57" x14ac:dyDescent="0.25">
      <c r="A97" s="60">
        <f t="shared" si="29"/>
        <v>0.72</v>
      </c>
      <c r="B97" s="812" t="s">
        <v>143</v>
      </c>
      <c r="C97" s="554"/>
      <c r="D97" s="561">
        <f>$I$85</f>
        <v>0.69230769230769229</v>
      </c>
      <c r="E97" s="264">
        <f t="shared" si="30"/>
        <v>0.6</v>
      </c>
      <c r="F97" s="264"/>
      <c r="G97" s="561">
        <f t="shared" si="31"/>
        <v>0.69230769230769229</v>
      </c>
      <c r="H97" s="264">
        <f t="shared" si="31"/>
        <v>0.6</v>
      </c>
      <c r="I97" s="264"/>
      <c r="J97" s="555">
        <f t="shared" si="32"/>
        <v>168.08485352871506</v>
      </c>
      <c r="K97" s="70">
        <f t="shared" si="33"/>
        <v>0.12078606458883231</v>
      </c>
      <c r="L97" s="559">
        <f t="shared" ca="1" si="34"/>
        <v>4.2602604891371187E-2</v>
      </c>
      <c r="M97" s="559">
        <f t="shared" ca="1" si="34"/>
        <v>5.5383386358782545E-2</v>
      </c>
      <c r="N97" s="557" t="s">
        <v>336</v>
      </c>
      <c r="O97" s="559">
        <f t="shared" ca="1" si="35"/>
        <v>4.6503279951737538E-2</v>
      </c>
      <c r="P97" s="559">
        <f t="shared" ca="1" si="35"/>
        <v>6.0454263937258793E-2</v>
      </c>
      <c r="Q97" s="557" t="s">
        <v>336</v>
      </c>
      <c r="R97" s="558">
        <f t="shared" ca="1" si="36"/>
        <v>2.5345891671371267E-4</v>
      </c>
      <c r="S97" s="558">
        <f t="shared" ca="1" si="36"/>
        <v>3.2949659172782649E-4</v>
      </c>
      <c r="T97" s="557" t="s">
        <v>336</v>
      </c>
      <c r="U97" s="558">
        <f t="shared" ca="1" si="37"/>
        <v>2.7666549945140102E-4</v>
      </c>
      <c r="V97" s="558">
        <f t="shared" ca="1" si="37"/>
        <v>3.596651492868213E-4</v>
      </c>
      <c r="W97" s="557" t="s">
        <v>336</v>
      </c>
      <c r="X97" s="559">
        <f t="shared" ca="1" si="38"/>
        <v>2.3030269723632551E-3</v>
      </c>
      <c r="Y97" s="559">
        <f t="shared" ca="1" si="38"/>
        <v>2.9939350640722315E-3</v>
      </c>
      <c r="Z97" s="557" t="s">
        <v>336</v>
      </c>
      <c r="AA97" s="559">
        <f t="shared" ca="1" si="39"/>
        <v>1.5437516771480114E-3</v>
      </c>
      <c r="AB97" s="559">
        <f t="shared" ca="1" si="39"/>
        <v>2.0068771802924145E-3</v>
      </c>
      <c r="AC97" s="557" t="s">
        <v>336</v>
      </c>
      <c r="AD97" s="558">
        <f t="shared" ca="1" si="40"/>
        <v>1.9066992373689681E-2</v>
      </c>
      <c r="AE97" s="558">
        <f t="shared" ca="1" si="40"/>
        <v>2.4787090085796586E-2</v>
      </c>
      <c r="AF97" s="557" t="s">
        <v>336</v>
      </c>
      <c r="AG97" s="558">
        <f t="shared" ca="1" si="41"/>
        <v>1.2780875694585253E-2</v>
      </c>
      <c r="AH97" s="558">
        <f t="shared" ca="1" si="41"/>
        <v>1.6615138402960826E-2</v>
      </c>
      <c r="AI97" s="557" t="s">
        <v>336</v>
      </c>
      <c r="AJ97" s="507">
        <f t="shared" ca="1" si="42"/>
        <v>4.2349145974657477E-2</v>
      </c>
      <c r="AK97" s="507">
        <f t="shared" ca="1" si="42"/>
        <v>5.505388976705472E-2</v>
      </c>
      <c r="AL97" s="507">
        <f t="shared" ca="1" si="43"/>
        <v>4.6226614452286138E-2</v>
      </c>
      <c r="AM97" s="507">
        <f t="shared" ca="1" si="43"/>
        <v>6.0094598787971971E-2</v>
      </c>
      <c r="AN97" s="507">
        <f t="shared" ca="1" si="44"/>
        <v>-1.6763965401326426E-2</v>
      </c>
      <c r="AO97" s="507">
        <f t="shared" ca="1" si="44"/>
        <v>-2.1793155021724353E-2</v>
      </c>
      <c r="AP97" s="507">
        <f t="shared" ca="1" si="45"/>
        <v>-1.1237124017437242E-2</v>
      </c>
      <c r="AQ97" s="507">
        <f t="shared" ca="1" si="45"/>
        <v>-1.4608261222668412E-2</v>
      </c>
      <c r="AR97" s="812" t="s">
        <v>143</v>
      </c>
      <c r="AS97" s="812">
        <v>2104008330</v>
      </c>
      <c r="AT97" s="507">
        <f t="shared" ca="1" si="46"/>
        <v>0.29362726123173721</v>
      </c>
      <c r="AU97" s="507">
        <f t="shared" ca="1" si="46"/>
        <v>0.38171543960125837</v>
      </c>
      <c r="AV97" s="507">
        <f t="shared" ca="1" si="47"/>
        <v>0.29362726123173721</v>
      </c>
      <c r="AW97" s="507">
        <f t="shared" ca="1" si="47"/>
        <v>0.38171543960125831</v>
      </c>
      <c r="AX97" s="507">
        <f t="shared" ca="1" si="48"/>
        <v>-2.1501343804542983</v>
      </c>
      <c r="AY97" s="507">
        <f t="shared" ca="1" si="48"/>
        <v>-2.795174694590588</v>
      </c>
      <c r="AZ97" s="507">
        <f t="shared" ca="1" si="49"/>
        <v>-2.1501343804542987</v>
      </c>
      <c r="BA97" s="507">
        <f t="shared" ca="1" si="49"/>
        <v>-2.795174694590588</v>
      </c>
      <c r="BB97" s="550">
        <f t="shared" ca="1" si="50"/>
        <v>0.29362726123173721</v>
      </c>
      <c r="BC97" s="550">
        <f t="shared" ca="1" si="50"/>
        <v>0.38171543960125831</v>
      </c>
      <c r="BD97" s="550">
        <f t="shared" ca="1" si="51"/>
        <v>-2.1501343804542983</v>
      </c>
      <c r="BE97" s="550">
        <f t="shared" ca="1" si="51"/>
        <v>-2.795174694590588</v>
      </c>
    </row>
    <row r="98" spans="1:57" x14ac:dyDescent="0.25">
      <c r="A98" s="60">
        <f t="shared" si="29"/>
        <v>0.56000000000000005</v>
      </c>
      <c r="B98" s="812" t="s">
        <v>144</v>
      </c>
      <c r="C98" s="554"/>
      <c r="D98" s="264">
        <f>1-$F$84</f>
        <v>0.6</v>
      </c>
      <c r="E98" s="264">
        <f t="shared" si="30"/>
        <v>0.6</v>
      </c>
      <c r="F98" s="264"/>
      <c r="G98" s="264">
        <f t="shared" si="31"/>
        <v>0.6</v>
      </c>
      <c r="H98" s="264">
        <f t="shared" si="31"/>
        <v>0.6</v>
      </c>
      <c r="I98" s="264"/>
      <c r="J98" s="555">
        <f t="shared" si="32"/>
        <v>76.143941937942344</v>
      </c>
      <c r="K98" s="70">
        <f t="shared" si="33"/>
        <v>0.13004395753813269</v>
      </c>
      <c r="L98" s="559">
        <f t="shared" ca="1" si="34"/>
        <v>2.0435746075961464E-3</v>
      </c>
      <c r="M98" s="559">
        <f t="shared" ca="1" si="34"/>
        <v>2.0435746075961464E-3</v>
      </c>
      <c r="N98" s="557" t="s">
        <v>336</v>
      </c>
      <c r="O98" s="559">
        <f t="shared" ca="1" si="35"/>
        <v>2.2306833659965684E-3</v>
      </c>
      <c r="P98" s="559">
        <f t="shared" ca="1" si="35"/>
        <v>2.2306833659965684E-3</v>
      </c>
      <c r="Q98" s="557" t="s">
        <v>336</v>
      </c>
      <c r="R98" s="558">
        <f t="shared" ca="1" si="36"/>
        <v>2.6838308545434498E-5</v>
      </c>
      <c r="S98" s="558">
        <f t="shared" ca="1" si="36"/>
        <v>2.6838308545434498E-5</v>
      </c>
      <c r="T98" s="557" t="s">
        <v>336</v>
      </c>
      <c r="U98" s="558">
        <f t="shared" ca="1" si="37"/>
        <v>2.9295611827065444E-5</v>
      </c>
      <c r="V98" s="558">
        <f t="shared" ca="1" si="37"/>
        <v>2.9295611827065444E-5</v>
      </c>
      <c r="W98" s="557" t="s">
        <v>336</v>
      </c>
      <c r="X98" s="559">
        <f t="shared" ca="1" si="38"/>
        <v>2.6255478496032847E-4</v>
      </c>
      <c r="Y98" s="559">
        <f t="shared" ca="1" si="38"/>
        <v>2.6255478496032847E-4</v>
      </c>
      <c r="Z98" s="557" t="s">
        <v>336</v>
      </c>
      <c r="AA98" s="559">
        <f t="shared" ca="1" si="39"/>
        <v>1.7599420002008202E-4</v>
      </c>
      <c r="AB98" s="559">
        <f t="shared" ca="1" si="39"/>
        <v>1.7599420002008202E-4</v>
      </c>
      <c r="AC98" s="557" t="s">
        <v>336</v>
      </c>
      <c r="AD98" s="558">
        <f t="shared" ca="1" si="40"/>
        <v>2.0189695079322677E-3</v>
      </c>
      <c r="AE98" s="558">
        <f t="shared" ca="1" si="40"/>
        <v>2.0189695079322677E-3</v>
      </c>
      <c r="AF98" s="557" t="s">
        <v>336</v>
      </c>
      <c r="AG98" s="558">
        <f t="shared" ca="1" si="41"/>
        <v>1.3533439257912107E-3</v>
      </c>
      <c r="AH98" s="558">
        <f t="shared" ca="1" si="41"/>
        <v>1.3533439257912107E-3</v>
      </c>
      <c r="AI98" s="557" t="s">
        <v>336</v>
      </c>
      <c r="AJ98" s="507">
        <f t="shared" ca="1" si="42"/>
        <v>2.016736299050712E-3</v>
      </c>
      <c r="AK98" s="507">
        <f t="shared" ca="1" si="42"/>
        <v>2.016736299050712E-3</v>
      </c>
      <c r="AL98" s="507">
        <f t="shared" ca="1" si="43"/>
        <v>2.2013877541695029E-3</v>
      </c>
      <c r="AM98" s="507">
        <f t="shared" ca="1" si="43"/>
        <v>2.2013877541695029E-3</v>
      </c>
      <c r="AN98" s="507">
        <f t="shared" ca="1" si="44"/>
        <v>-1.7564147229719392E-3</v>
      </c>
      <c r="AO98" s="507">
        <f t="shared" ca="1" si="44"/>
        <v>-1.7564147229719392E-3</v>
      </c>
      <c r="AP98" s="507">
        <f t="shared" ca="1" si="45"/>
        <v>-1.1773497257711288E-3</v>
      </c>
      <c r="AQ98" s="507">
        <f t="shared" ca="1" si="45"/>
        <v>-1.1773497257711288E-3</v>
      </c>
      <c r="AR98" s="812" t="s">
        <v>144</v>
      </c>
      <c r="AS98" s="812">
        <v>2104008410</v>
      </c>
      <c r="AT98" s="507">
        <f t="shared" ca="1" si="46"/>
        <v>0.37895691987797325</v>
      </c>
      <c r="AU98" s="507">
        <f t="shared" ca="1" si="46"/>
        <v>0.37895691987797325</v>
      </c>
      <c r="AV98" s="507">
        <f t="shared" ca="1" si="47"/>
        <v>0.37895691987797325</v>
      </c>
      <c r="AW98" s="507">
        <f t="shared" ca="1" si="47"/>
        <v>0.37895691987797325</v>
      </c>
      <c r="AX98" s="507">
        <f t="shared" ca="1" si="48"/>
        <v>-2.5688476929610511</v>
      </c>
      <c r="AY98" s="507">
        <f t="shared" ca="1" si="48"/>
        <v>-2.5688476929610511</v>
      </c>
      <c r="AZ98" s="507">
        <f t="shared" ca="1" si="49"/>
        <v>-2.5688476929610511</v>
      </c>
      <c r="BA98" s="507">
        <f t="shared" ca="1" si="49"/>
        <v>-2.5688476929610511</v>
      </c>
      <c r="BB98" s="550">
        <f t="shared" ca="1" si="50"/>
        <v>0.3789569198779732</v>
      </c>
      <c r="BC98" s="550">
        <f t="shared" ca="1" si="50"/>
        <v>0.3789569198779732</v>
      </c>
      <c r="BD98" s="550">
        <f t="shared" ca="1" si="51"/>
        <v>-2.5688476929610511</v>
      </c>
      <c r="BE98" s="550">
        <f t="shared" ca="1" si="51"/>
        <v>-2.5688476929610511</v>
      </c>
    </row>
    <row r="99" spans="1:57" x14ac:dyDescent="0.25">
      <c r="A99" s="60">
        <f t="shared" si="29"/>
        <v>0.78</v>
      </c>
      <c r="B99" s="812" t="s">
        <v>145</v>
      </c>
      <c r="C99" s="554"/>
      <c r="D99" s="264">
        <f>1-$F$84</f>
        <v>0.6</v>
      </c>
      <c r="E99" s="264">
        <f t="shared" si="30"/>
        <v>0.6</v>
      </c>
      <c r="F99" s="264"/>
      <c r="G99" s="264">
        <f t="shared" si="31"/>
        <v>0.6</v>
      </c>
      <c r="H99" s="264">
        <f t="shared" si="31"/>
        <v>0.6</v>
      </c>
      <c r="I99" s="264"/>
      <c r="J99" s="555">
        <f t="shared" si="32"/>
        <v>54.66744549390733</v>
      </c>
      <c r="K99" s="70">
        <f t="shared" si="33"/>
        <v>9.336489259147987E-2</v>
      </c>
      <c r="L99" s="559">
        <f t="shared" ca="1" si="34"/>
        <v>6.8930406628525294E-3</v>
      </c>
      <c r="M99" s="559">
        <f t="shared" ca="1" si="34"/>
        <v>6.8930406628525294E-3</v>
      </c>
      <c r="N99" s="557" t="s">
        <v>336</v>
      </c>
      <c r="O99" s="559">
        <f t="shared" ca="1" si="35"/>
        <v>7.5241643200147645E-3</v>
      </c>
      <c r="P99" s="559">
        <f t="shared" ca="1" si="35"/>
        <v>7.5241643200147645E-3</v>
      </c>
      <c r="Q99" s="557" t="s">
        <v>336</v>
      </c>
      <c r="R99" s="558">
        <f t="shared" ca="1" si="36"/>
        <v>1.2609041085742258E-4</v>
      </c>
      <c r="S99" s="558">
        <f t="shared" ca="1" si="36"/>
        <v>1.2609041085742258E-4</v>
      </c>
      <c r="T99" s="557" t="s">
        <v>336</v>
      </c>
      <c r="U99" s="558">
        <f t="shared" ca="1" si="37"/>
        <v>1.3763519132887469E-4</v>
      </c>
      <c r="V99" s="558">
        <f t="shared" ca="1" si="37"/>
        <v>1.3763519132887469E-4</v>
      </c>
      <c r="W99" s="557" t="s">
        <v>336</v>
      </c>
      <c r="X99" s="559">
        <f t="shared" ca="1" si="38"/>
        <v>8.8560544950541968E-4</v>
      </c>
      <c r="Y99" s="559">
        <f t="shared" ca="1" si="38"/>
        <v>8.8560544950541968E-4</v>
      </c>
      <c r="Z99" s="557" t="s">
        <v>336</v>
      </c>
      <c r="AA99" s="559">
        <f t="shared" ca="1" si="39"/>
        <v>5.9363390632047254E-4</v>
      </c>
      <c r="AB99" s="559">
        <f t="shared" ca="1" si="39"/>
        <v>5.9363390632047254E-4</v>
      </c>
      <c r="AC99" s="557" t="s">
        <v>336</v>
      </c>
      <c r="AD99" s="558">
        <f t="shared" ca="1" si="40"/>
        <v>9.4854224636706404E-3</v>
      </c>
      <c r="AE99" s="558">
        <f t="shared" ca="1" si="40"/>
        <v>9.4854224636706404E-3</v>
      </c>
      <c r="AF99" s="557" t="s">
        <v>336</v>
      </c>
      <c r="AG99" s="558">
        <f t="shared" ca="1" si="41"/>
        <v>6.3582133481150209E-3</v>
      </c>
      <c r="AH99" s="558">
        <f t="shared" ca="1" si="41"/>
        <v>6.3582133481150209E-3</v>
      </c>
      <c r="AI99" s="557" t="s">
        <v>336</v>
      </c>
      <c r="AJ99" s="507">
        <f t="shared" ca="1" si="42"/>
        <v>6.7669502519951069E-3</v>
      </c>
      <c r="AK99" s="507">
        <f t="shared" ca="1" si="42"/>
        <v>6.7669502519951069E-3</v>
      </c>
      <c r="AL99" s="507">
        <f t="shared" ca="1" si="43"/>
        <v>7.3865291286858903E-3</v>
      </c>
      <c r="AM99" s="507">
        <f t="shared" ca="1" si="43"/>
        <v>7.3865291286858903E-3</v>
      </c>
      <c r="AN99" s="507">
        <f t="shared" ca="1" si="44"/>
        <v>-8.5998170141652203E-3</v>
      </c>
      <c r="AO99" s="507">
        <f t="shared" ca="1" si="44"/>
        <v>-8.5998170141652203E-3</v>
      </c>
      <c r="AP99" s="507">
        <f t="shared" ca="1" si="45"/>
        <v>-5.7645794417945486E-3</v>
      </c>
      <c r="AQ99" s="507">
        <f t="shared" ca="1" si="45"/>
        <v>-5.7645794417945486E-3</v>
      </c>
      <c r="AR99" s="812" t="s">
        <v>145</v>
      </c>
      <c r="AS99" s="812">
        <v>2104008420</v>
      </c>
      <c r="AT99" s="507">
        <f t="shared" ca="1" si="46"/>
        <v>0.37697570983003409</v>
      </c>
      <c r="AU99" s="507">
        <f t="shared" ca="1" si="46"/>
        <v>0.37697570983003409</v>
      </c>
      <c r="AV99" s="507">
        <f t="shared" ca="1" si="47"/>
        <v>0.37697570983003414</v>
      </c>
      <c r="AW99" s="507">
        <f t="shared" ca="1" si="47"/>
        <v>0.37697570983003414</v>
      </c>
      <c r="AX99" s="507">
        <f t="shared" ca="1" si="48"/>
        <v>-3.7288950009100361</v>
      </c>
      <c r="AY99" s="507">
        <f t="shared" ca="1" si="48"/>
        <v>-3.7288950009100361</v>
      </c>
      <c r="AZ99" s="507">
        <f t="shared" ca="1" si="49"/>
        <v>-3.7288950009100361</v>
      </c>
      <c r="BA99" s="507">
        <f t="shared" ca="1" si="49"/>
        <v>-3.7288950009100361</v>
      </c>
      <c r="BB99" s="550">
        <f t="shared" ca="1" si="50"/>
        <v>0.37697570983003414</v>
      </c>
      <c r="BC99" s="550">
        <f t="shared" ca="1" si="50"/>
        <v>0.37697570983003414</v>
      </c>
      <c r="BD99" s="550">
        <f t="shared" ca="1" si="51"/>
        <v>-3.7288950009100361</v>
      </c>
      <c r="BE99" s="550">
        <f t="shared" ca="1" si="51"/>
        <v>-3.7288950009100361</v>
      </c>
    </row>
    <row r="100" spans="1:57" x14ac:dyDescent="0.25">
      <c r="A100" s="60">
        <f t="shared" si="29"/>
        <v>0.43</v>
      </c>
      <c r="B100" s="812" t="s">
        <v>146</v>
      </c>
      <c r="C100" s="554"/>
      <c r="D100" s="560">
        <f>$F$84*$F$85*$F$86+(1-$F$84)</f>
        <v>0.63063829787234038</v>
      </c>
      <c r="E100" s="264">
        <f t="shared" si="30"/>
        <v>0.6</v>
      </c>
      <c r="F100" s="264"/>
      <c r="G100" s="560">
        <f t="shared" si="31"/>
        <v>0.63063829787234038</v>
      </c>
      <c r="H100" s="264">
        <f t="shared" si="31"/>
        <v>0.6</v>
      </c>
      <c r="I100" s="264"/>
      <c r="J100" s="555">
        <f t="shared" si="32"/>
        <v>315.89894191058869</v>
      </c>
      <c r="K100" s="70">
        <f t="shared" si="33"/>
        <v>0.20224643373013787</v>
      </c>
      <c r="L100" s="559">
        <f t="shared" ca="1" si="34"/>
        <v>3.162391521852749E-2</v>
      </c>
      <c r="M100" s="559">
        <f t="shared" ca="1" si="34"/>
        <v>3.4247097126055115E-2</v>
      </c>
      <c r="N100" s="557" t="s">
        <v>336</v>
      </c>
      <c r="O100" s="559">
        <f t="shared" ca="1" si="35"/>
        <v>3.4519386463034277E-2</v>
      </c>
      <c r="P100" s="559">
        <f t="shared" ca="1" si="35"/>
        <v>3.7382745708815925E-2</v>
      </c>
      <c r="Q100" s="557" t="s">
        <v>336</v>
      </c>
      <c r="R100" s="558">
        <f t="shared" ca="1" si="36"/>
        <v>1.0010769592092604E-4</v>
      </c>
      <c r="S100" s="558">
        <f t="shared" ca="1" si="36"/>
        <v>1.0841156009869869E-4</v>
      </c>
      <c r="T100" s="557" t="s">
        <v>336</v>
      </c>
      <c r="U100" s="558">
        <f t="shared" ca="1" si="37"/>
        <v>1.0927351087109549E-4</v>
      </c>
      <c r="V100" s="558">
        <f t="shared" ca="1" si="37"/>
        <v>1.1833767306316793E-4</v>
      </c>
      <c r="W100" s="557" t="s">
        <v>336</v>
      </c>
      <c r="X100" s="559">
        <f t="shared" ca="1" si="38"/>
        <v>1.5230808461211135E-3</v>
      </c>
      <c r="Y100" s="559">
        <f t="shared" ca="1" si="38"/>
        <v>1.6494193494859984E-3</v>
      </c>
      <c r="Z100" s="557" t="s">
        <v>336</v>
      </c>
      <c r="AA100" s="559">
        <f t="shared" ca="1" si="39"/>
        <v>1.0209427153250984E-3</v>
      </c>
      <c r="AB100" s="559">
        <f t="shared" ca="1" si="39"/>
        <v>1.1056292078405442E-3</v>
      </c>
      <c r="AC100" s="557" t="s">
        <v>336</v>
      </c>
      <c r="AD100" s="558">
        <f t="shared" ca="1" si="40"/>
        <v>7.5308168259391696E-3</v>
      </c>
      <c r="AE100" s="558">
        <f t="shared" ca="1" si="40"/>
        <v>8.1554928760170717E-3</v>
      </c>
      <c r="AF100" s="557" t="s">
        <v>336</v>
      </c>
      <c r="AG100" s="558">
        <f t="shared" ca="1" si="41"/>
        <v>5.0480134383351647E-3</v>
      </c>
      <c r="AH100" s="558">
        <f t="shared" ca="1" si="41"/>
        <v>5.4667426636348555E-3</v>
      </c>
      <c r="AI100" s="557" t="s">
        <v>336</v>
      </c>
      <c r="AJ100" s="507">
        <f t="shared" ca="1" si="42"/>
        <v>3.1523807522606563E-2</v>
      </c>
      <c r="AK100" s="507">
        <f t="shared" ca="1" si="42"/>
        <v>3.4138685565956416E-2</v>
      </c>
      <c r="AL100" s="507">
        <f t="shared" ca="1" si="43"/>
        <v>3.4410112952163181E-2</v>
      </c>
      <c r="AM100" s="507">
        <f t="shared" ca="1" si="43"/>
        <v>3.7264408035752754E-2</v>
      </c>
      <c r="AN100" s="507">
        <f t="shared" ca="1" si="44"/>
        <v>-6.0077359798180558E-3</v>
      </c>
      <c r="AO100" s="507">
        <f t="shared" ca="1" si="44"/>
        <v>-6.5060735265310733E-3</v>
      </c>
      <c r="AP100" s="507">
        <f t="shared" ca="1" si="45"/>
        <v>-4.0270707230100665E-3</v>
      </c>
      <c r="AQ100" s="507">
        <f t="shared" ca="1" si="45"/>
        <v>-4.3611134557943118E-3</v>
      </c>
      <c r="AR100" s="812" t="s">
        <v>146</v>
      </c>
      <c r="AS100" s="812">
        <v>2104008610</v>
      </c>
      <c r="AT100" s="507">
        <f t="shared" ca="1" si="46"/>
        <v>0.35346476357178186</v>
      </c>
      <c r="AU100" s="507">
        <f t="shared" ca="1" si="46"/>
        <v>0.38278442137957941</v>
      </c>
      <c r="AV100" s="507">
        <f t="shared" ca="1" si="47"/>
        <v>0.3534647635717818</v>
      </c>
      <c r="AW100" s="507">
        <f t="shared" ca="1" si="47"/>
        <v>0.38278442137957941</v>
      </c>
      <c r="AX100" s="507">
        <f t="shared" ca="1" si="48"/>
        <v>-1.3986562101196673</v>
      </c>
      <c r="AY100" s="507">
        <f t="shared" ca="1" si="48"/>
        <v>-1.5146737759360449</v>
      </c>
      <c r="AZ100" s="507">
        <f t="shared" ca="1" si="49"/>
        <v>-1.3986562101196673</v>
      </c>
      <c r="BA100" s="507">
        <f t="shared" ca="1" si="49"/>
        <v>-1.5146737759360454</v>
      </c>
      <c r="BB100" s="550">
        <f t="shared" ca="1" si="50"/>
        <v>0.3534647635717818</v>
      </c>
      <c r="BC100" s="550">
        <f t="shared" ca="1" si="50"/>
        <v>0.38278442137957946</v>
      </c>
      <c r="BD100" s="550">
        <f t="shared" ca="1" si="51"/>
        <v>-1.3986562101196673</v>
      </c>
      <c r="BE100" s="550">
        <f t="shared" ca="1" si="51"/>
        <v>-1.5146737759360449</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0.39862568473651927</v>
      </c>
      <c r="AU106" s="507">
        <f t="shared" ca="1" si="59"/>
        <v>0.39862568473651927</v>
      </c>
      <c r="AV106" s="507">
        <f t="shared" ca="1" si="60"/>
        <v>0.39862568473651927</v>
      </c>
      <c r="AW106" s="507">
        <f t="shared" ca="1" si="60"/>
        <v>0.39862568473651927</v>
      </c>
      <c r="AX106" s="507">
        <f t="shared" ca="1" si="61"/>
        <v>0.32824950862271646</v>
      </c>
      <c r="AY106" s="507">
        <f t="shared" ca="1" si="61"/>
        <v>0.32824950862271646</v>
      </c>
      <c r="AZ106" s="507">
        <f t="shared" ca="1" si="62"/>
        <v>0.32525990481532963</v>
      </c>
      <c r="BA106" s="507">
        <f t="shared" ca="1" si="62"/>
        <v>0.32525990481532963</v>
      </c>
      <c r="BB106" s="550">
        <f t="shared" ca="1" si="50"/>
        <v>0.39862568473651927</v>
      </c>
      <c r="BC106" s="550">
        <f t="shared" ca="1" si="50"/>
        <v>0.39862568473651927</v>
      </c>
      <c r="BD106" s="550">
        <f t="shared" ca="1" si="51"/>
        <v>0.3282495086227164</v>
      </c>
      <c r="BE106" s="550">
        <f t="shared" ca="1" si="51"/>
        <v>0.3282495086227164</v>
      </c>
    </row>
    <row r="107" spans="1:57" x14ac:dyDescent="0.25">
      <c r="A107" s="60">
        <f t="shared" si="29"/>
        <v>0.43</v>
      </c>
      <c r="B107" s="812" t="s">
        <v>151</v>
      </c>
      <c r="C107" s="554"/>
      <c r="D107" s="264">
        <f t="shared" ref="D107:E110" si="63">1-$F$84</f>
        <v>0.6</v>
      </c>
      <c r="E107" s="264">
        <f t="shared" si="63"/>
        <v>0.6</v>
      </c>
      <c r="F107" s="264"/>
      <c r="G107" s="264">
        <f t="shared" si="31"/>
        <v>0.6</v>
      </c>
      <c r="H107" s="264">
        <f t="shared" si="31"/>
        <v>0.6</v>
      </c>
      <c r="I107" s="264"/>
      <c r="J107" s="555">
        <f t="shared" si="32"/>
        <v>291.05403296396588</v>
      </c>
      <c r="K107" s="70">
        <f t="shared" si="33"/>
        <v>5.3518797241516243</v>
      </c>
      <c r="L107" s="133">
        <f t="shared" ca="1" si="52"/>
        <v>1.4018653318783422E-2</v>
      </c>
      <c r="M107" s="133">
        <f t="shared" ca="1" si="52"/>
        <v>1.4018653318783422E-2</v>
      </c>
      <c r="N107" s="551" t="s">
        <v>336</v>
      </c>
      <c r="O107" s="133">
        <f t="shared" ca="1" si="53"/>
        <v>1.5302194818650153E-2</v>
      </c>
      <c r="P107" s="133">
        <f t="shared" ca="1" si="53"/>
        <v>1.5302194818650153E-2</v>
      </c>
      <c r="Q107" s="551" t="s">
        <v>336</v>
      </c>
      <c r="R107" s="58">
        <f t="shared" ca="1" si="54"/>
        <v>4.8165123073621902E-5</v>
      </c>
      <c r="S107" s="58">
        <f t="shared" ca="1" si="54"/>
        <v>4.8165123073621902E-5</v>
      </c>
      <c r="T107" s="551" t="s">
        <v>336</v>
      </c>
      <c r="U107" s="58">
        <f t="shared" ca="1" si="55"/>
        <v>5.2575099760066375E-5</v>
      </c>
      <c r="V107" s="58">
        <f t="shared" ca="1" si="55"/>
        <v>5.2575099760066375E-5</v>
      </c>
      <c r="W107" s="551" t="s">
        <v>336</v>
      </c>
      <c r="X107" s="133">
        <f t="shared" ca="1" si="56"/>
        <v>1.9391599705417498E-2</v>
      </c>
      <c r="Y107" s="133">
        <f t="shared" ca="1" si="56"/>
        <v>1.9391599705417498E-2</v>
      </c>
      <c r="Z107" s="551" t="s">
        <v>336</v>
      </c>
      <c r="AA107" s="133">
        <f t="shared" ca="1" si="57"/>
        <v>1.2998464597703978E-2</v>
      </c>
      <c r="AB107" s="133">
        <f t="shared" ca="1" si="57"/>
        <v>1.2998464597703978E-2</v>
      </c>
      <c r="AC107" s="551" t="s">
        <v>336</v>
      </c>
      <c r="AD107" s="58">
        <f t="shared" ca="1" si="40"/>
        <v>3.4783920186382327E-3</v>
      </c>
      <c r="AE107" s="58">
        <f t="shared" ca="1" si="40"/>
        <v>3.4783920186382327E-3</v>
      </c>
      <c r="AF107" s="551" t="s">
        <v>336</v>
      </c>
      <c r="AG107" s="58">
        <f t="shared" ca="1" si="58"/>
        <v>2.4287662032174097E-3</v>
      </c>
      <c r="AH107" s="58">
        <f t="shared" ca="1" si="58"/>
        <v>2.4287662032174097E-3</v>
      </c>
      <c r="AI107" s="551" t="s">
        <v>336</v>
      </c>
      <c r="AJ107" s="507">
        <f t="shared" ca="1" si="42"/>
        <v>1.39704881957098E-2</v>
      </c>
      <c r="AK107" s="507">
        <f t="shared" ca="1" si="42"/>
        <v>1.39704881957098E-2</v>
      </c>
      <c r="AL107" s="507">
        <f t="shared" ca="1" si="43"/>
        <v>1.5249619718890087E-2</v>
      </c>
      <c r="AM107" s="507">
        <f t="shared" ca="1" si="43"/>
        <v>1.5249619718890087E-2</v>
      </c>
      <c r="AN107" s="507">
        <f t="shared" ca="1" si="44"/>
        <v>1.5913207686779264E-2</v>
      </c>
      <c r="AO107" s="507">
        <f t="shared" ca="1" si="44"/>
        <v>1.5913207686779264E-2</v>
      </c>
      <c r="AP107" s="507">
        <f t="shared" ca="1" si="45"/>
        <v>1.0569698394486567E-2</v>
      </c>
      <c r="AQ107" s="507">
        <f t="shared" ca="1" si="45"/>
        <v>1.0569698394486567E-2</v>
      </c>
      <c r="AR107" s="812" t="s">
        <v>152</v>
      </c>
      <c r="AS107" s="812">
        <v>2103002000</v>
      </c>
      <c r="AT107" s="507">
        <f t="shared" ca="1" si="59"/>
        <v>0.39862568473651927</v>
      </c>
      <c r="AU107" s="507">
        <f t="shared" ca="1" si="59"/>
        <v>0.39862568473651927</v>
      </c>
      <c r="AV107" s="507">
        <f t="shared" ca="1" si="60"/>
        <v>0.39862568473651933</v>
      </c>
      <c r="AW107" s="507">
        <f t="shared" ca="1" si="60"/>
        <v>0.39862568473651933</v>
      </c>
      <c r="AX107" s="507">
        <f t="shared" ca="1" si="61"/>
        <v>0.3282495086227164</v>
      </c>
      <c r="AY107" s="507">
        <f t="shared" ca="1" si="61"/>
        <v>0.3282495086227164</v>
      </c>
      <c r="AZ107" s="507">
        <f t="shared" ca="1" si="62"/>
        <v>0.32525990481532957</v>
      </c>
      <c r="BA107" s="507">
        <f t="shared" ca="1" si="62"/>
        <v>0.32525990481532957</v>
      </c>
      <c r="BB107" s="550">
        <f t="shared" ca="1" si="50"/>
        <v>0.39862568473651927</v>
      </c>
      <c r="BC107" s="550">
        <f t="shared" ca="1" si="50"/>
        <v>0.39862568473651927</v>
      </c>
      <c r="BD107" s="550">
        <f t="shared" ca="1" si="51"/>
        <v>0.3282495086227164</v>
      </c>
      <c r="BE107" s="550">
        <f t="shared" ca="1" si="51"/>
        <v>0.3282495086227164</v>
      </c>
    </row>
    <row r="108" spans="1:57" x14ac:dyDescent="0.25">
      <c r="A108" s="60">
        <f>A107</f>
        <v>0.43</v>
      </c>
      <c r="B108" s="812" t="s">
        <v>152</v>
      </c>
      <c r="C108" s="554"/>
      <c r="D108" s="264">
        <f t="shared" si="63"/>
        <v>0.6</v>
      </c>
      <c r="E108" s="264">
        <f t="shared" si="63"/>
        <v>0.6</v>
      </c>
      <c r="F108" s="264"/>
      <c r="G108" s="264">
        <f t="shared" si="31"/>
        <v>0.6</v>
      </c>
      <c r="H108" s="264">
        <f t="shared" si="31"/>
        <v>0.6</v>
      </c>
      <c r="I108" s="264"/>
      <c r="J108" s="553">
        <f>J107</f>
        <v>291.05403296396588</v>
      </c>
      <c r="K108" s="552">
        <f>K107</f>
        <v>5.3518797241516243</v>
      </c>
      <c r="L108" s="133">
        <f t="shared" ca="1" si="52"/>
        <v>3.9602804401570376E-5</v>
      </c>
      <c r="M108" s="133">
        <f t="shared" ca="1" si="52"/>
        <v>3.9602804401570376E-5</v>
      </c>
      <c r="N108" s="551" t="s">
        <v>336</v>
      </c>
      <c r="O108" s="133">
        <f t="shared" ca="1" si="53"/>
        <v>4.3228819098175463E-5</v>
      </c>
      <c r="P108" s="133">
        <f t="shared" ca="1" si="53"/>
        <v>4.3228819098175463E-5</v>
      </c>
      <c r="Q108" s="551" t="s">
        <v>336</v>
      </c>
      <c r="R108" s="58">
        <f t="shared" ca="1" si="54"/>
        <v>1.3606684641429937E-7</v>
      </c>
      <c r="S108" s="58">
        <f t="shared" ca="1" si="54"/>
        <v>1.3606684641429937E-7</v>
      </c>
      <c r="T108" s="551" t="s">
        <v>336</v>
      </c>
      <c r="U108" s="58">
        <f t="shared" ca="1" si="55"/>
        <v>1.4852506477217388E-7</v>
      </c>
      <c r="V108" s="58">
        <f t="shared" ca="1" si="55"/>
        <v>1.4852506477217388E-7</v>
      </c>
      <c r="W108" s="551" t="s">
        <v>336</v>
      </c>
      <c r="X108" s="133">
        <f t="shared" ca="1" si="56"/>
        <v>5.4781419634524824E-5</v>
      </c>
      <c r="Y108" s="133">
        <f t="shared" ca="1" si="56"/>
        <v>5.4781419634524824E-5</v>
      </c>
      <c r="Z108" s="551" t="s">
        <v>336</v>
      </c>
      <c r="AA108" s="133">
        <f t="shared" ca="1" si="57"/>
        <v>3.6720763348492693E-5</v>
      </c>
      <c r="AB108" s="133">
        <f t="shared" ca="1" si="57"/>
        <v>3.6720763348492693E-5</v>
      </c>
      <c r="AC108" s="551" t="s">
        <v>336</v>
      </c>
      <c r="AD108" s="58">
        <f t="shared" ca="1" si="40"/>
        <v>9.8264844428058171E-6</v>
      </c>
      <c r="AE108" s="58">
        <f t="shared" ca="1" si="40"/>
        <v>9.8264844428058171E-6</v>
      </c>
      <c r="AF108" s="551" t="s">
        <v>336</v>
      </c>
      <c r="AG108" s="58">
        <f t="shared" ca="1" si="58"/>
        <v>6.8612833698002504E-6</v>
      </c>
      <c r="AH108" s="58">
        <f t="shared" ca="1" si="58"/>
        <v>6.8612833698002504E-6</v>
      </c>
      <c r="AI108" s="551" t="s">
        <v>336</v>
      </c>
      <c r="AJ108" s="507">
        <f t="shared" ca="1" si="42"/>
        <v>3.9466737555156074E-5</v>
      </c>
      <c r="AK108" s="507">
        <f t="shared" ca="1" si="42"/>
        <v>3.9466737555156074E-5</v>
      </c>
      <c r="AL108" s="507">
        <f t="shared" ca="1" si="43"/>
        <v>4.3080294033403292E-5</v>
      </c>
      <c r="AM108" s="507">
        <f t="shared" ca="1" si="43"/>
        <v>4.3080294033403292E-5</v>
      </c>
      <c r="AN108" s="507">
        <f t="shared" ca="1" si="44"/>
        <v>4.4954935191719004E-5</v>
      </c>
      <c r="AO108" s="507">
        <f t="shared" ca="1" si="44"/>
        <v>4.4954935191719004E-5</v>
      </c>
      <c r="AP108" s="507">
        <f t="shared" ca="1" si="45"/>
        <v>2.9859479978692442E-5</v>
      </c>
      <c r="AQ108" s="507">
        <f t="shared" ca="1" si="45"/>
        <v>2.9859479978692442E-5</v>
      </c>
      <c r="AR108" s="812" t="s">
        <v>153</v>
      </c>
      <c r="AS108" s="812">
        <v>2103008000</v>
      </c>
      <c r="AT108" s="507">
        <f t="shared" ca="1" si="59"/>
        <v>0.39750615196199007</v>
      </c>
      <c r="AU108" s="507">
        <f t="shared" ca="1" si="59"/>
        <v>0.39750615196199007</v>
      </c>
      <c r="AV108" s="507">
        <f t="shared" ca="1" si="60"/>
        <v>0.39750615196199002</v>
      </c>
      <c r="AW108" s="507">
        <f t="shared" ca="1" si="60"/>
        <v>0.39750615196199002</v>
      </c>
      <c r="AX108" s="507">
        <f t="shared" ca="1" si="61"/>
        <v>-2.6025538782244446</v>
      </c>
      <c r="AY108" s="507">
        <f t="shared" ca="1" si="61"/>
        <v>-2.6025538782244446</v>
      </c>
      <c r="AZ108" s="507">
        <f t="shared" ca="1" si="62"/>
        <v>-2.72766028981713</v>
      </c>
      <c r="BA108" s="507">
        <f t="shared" ca="1" si="62"/>
        <v>-2.72766028981713</v>
      </c>
      <c r="BB108" s="550">
        <f t="shared" ca="1" si="50"/>
        <v>0.39750615196199002</v>
      </c>
      <c r="BC108" s="550">
        <f t="shared" ca="1" si="50"/>
        <v>0.39750615196199002</v>
      </c>
      <c r="BD108" s="550">
        <f t="shared" ca="1" si="51"/>
        <v>-2.6025538782244446</v>
      </c>
      <c r="BE108" s="550">
        <f t="shared" ca="1" si="51"/>
        <v>-2.6025538782244446</v>
      </c>
    </row>
    <row r="109" spans="1:57" ht="15.75" thickBot="1" x14ac:dyDescent="0.3">
      <c r="A109" s="112">
        <v>0.6</v>
      </c>
      <c r="B109" s="812" t="s">
        <v>153</v>
      </c>
      <c r="C109" s="554"/>
      <c r="D109" s="264">
        <f t="shared" si="63"/>
        <v>0.6</v>
      </c>
      <c r="E109" s="264">
        <f t="shared" si="63"/>
        <v>0.6</v>
      </c>
      <c r="F109" s="264"/>
      <c r="G109" s="264">
        <f t="shared" si="31"/>
        <v>0.6</v>
      </c>
      <c r="H109" s="264">
        <f t="shared" si="31"/>
        <v>0.6</v>
      </c>
      <c r="I109" s="264"/>
      <c r="J109" s="553">
        <f>J96</f>
        <v>160.39469683132279</v>
      </c>
      <c r="K109" s="552">
        <f>K96</f>
        <v>0.12789112721170479</v>
      </c>
      <c r="L109" s="133">
        <f t="shared" ca="1" si="52"/>
        <v>3.8792432985447983E-5</v>
      </c>
      <c r="M109" s="133">
        <f t="shared" ca="1" si="52"/>
        <v>3.8792432985447983E-5</v>
      </c>
      <c r="N109" s="551" t="s">
        <v>336</v>
      </c>
      <c r="O109" s="133">
        <f t="shared" ca="1" si="53"/>
        <v>4.234425044503993E-5</v>
      </c>
      <c r="P109" s="133">
        <f t="shared" ca="1" si="53"/>
        <v>4.234425044503993E-5</v>
      </c>
      <c r="Q109" s="551" t="s">
        <v>336</v>
      </c>
      <c r="R109" s="58">
        <f t="shared" ca="1" si="54"/>
        <v>2.4185608222598278E-7</v>
      </c>
      <c r="S109" s="58">
        <f t="shared" ca="1" si="54"/>
        <v>2.4185608222598278E-7</v>
      </c>
      <c r="T109" s="551" t="s">
        <v>336</v>
      </c>
      <c r="U109" s="58">
        <f t="shared" ca="1" si="55"/>
        <v>2.6400031473341519E-7</v>
      </c>
      <c r="V109" s="58">
        <f t="shared" ca="1" si="55"/>
        <v>2.6400031473341519E-7</v>
      </c>
      <c r="W109" s="551" t="s">
        <v>336</v>
      </c>
      <c r="X109" s="133">
        <f t="shared" ca="1" si="56"/>
        <v>1.3485168706118804E-6</v>
      </c>
      <c r="Y109" s="133">
        <f t="shared" ca="1" si="56"/>
        <v>1.3485168706118804E-6</v>
      </c>
      <c r="Z109" s="551" t="s">
        <v>336</v>
      </c>
      <c r="AA109" s="133">
        <f t="shared" ca="1" si="57"/>
        <v>9.0393000414287872E-7</v>
      </c>
      <c r="AB109" s="133">
        <f t="shared" ca="1" si="57"/>
        <v>9.0393000414287872E-7</v>
      </c>
      <c r="AC109" s="551" t="s">
        <v>336</v>
      </c>
      <c r="AD109" s="58">
        <f t="shared" ca="1" si="40"/>
        <v>1.0122486399266983E-5</v>
      </c>
      <c r="AE109" s="58">
        <f t="shared" ca="1" si="40"/>
        <v>1.0122486399266983E-5</v>
      </c>
      <c r="AF109" s="551" t="s">
        <v>336</v>
      </c>
      <c r="AG109" s="58">
        <f t="shared" ca="1" si="58"/>
        <v>7.0679649468297887E-6</v>
      </c>
      <c r="AH109" s="58">
        <f t="shared" ca="1" si="58"/>
        <v>7.0679649468297887E-6</v>
      </c>
      <c r="AI109" s="551" t="s">
        <v>336</v>
      </c>
      <c r="AJ109" s="507">
        <f t="shared" ca="1" si="42"/>
        <v>3.8550576903222E-5</v>
      </c>
      <c r="AK109" s="507">
        <f t="shared" ca="1" si="42"/>
        <v>3.8550576903222E-5</v>
      </c>
      <c r="AL109" s="507">
        <f t="shared" ca="1" si="43"/>
        <v>4.2080250130306513E-5</v>
      </c>
      <c r="AM109" s="507">
        <f t="shared" ca="1" si="43"/>
        <v>4.2080250130306513E-5</v>
      </c>
      <c r="AN109" s="507">
        <f t="shared" ca="1" si="44"/>
        <v>-8.7739695286551018E-6</v>
      </c>
      <c r="AO109" s="507">
        <f t="shared" ca="1" si="44"/>
        <v>-8.7739695286551018E-6</v>
      </c>
      <c r="AP109" s="507">
        <f t="shared" ca="1" si="45"/>
        <v>-6.1640349426869095E-6</v>
      </c>
      <c r="AQ109" s="507">
        <f t="shared" ca="1" si="45"/>
        <v>-6.1640349426869095E-6</v>
      </c>
      <c r="AR109" s="6" t="s">
        <v>154</v>
      </c>
      <c r="AS109" s="6">
        <v>2102012000</v>
      </c>
      <c r="AT109" s="541">
        <f t="shared" ca="1" si="59"/>
        <v>0.36378375932799178</v>
      </c>
      <c r="AU109" s="541">
        <f t="shared" ca="1" si="59"/>
        <v>0.36378375932799178</v>
      </c>
      <c r="AV109" s="541">
        <f t="shared" ca="1" si="60"/>
        <v>0.36378375932799178</v>
      </c>
      <c r="AW109" s="541">
        <f t="shared" ca="1" si="60"/>
        <v>0.36378375932799178</v>
      </c>
      <c r="AX109" s="541">
        <f t="shared" ca="1" si="61"/>
        <v>9.0160242230781604E-2</v>
      </c>
      <c r="AY109" s="541">
        <f t="shared" ca="1" si="61"/>
        <v>9.0160242230781604E-2</v>
      </c>
      <c r="AZ109" s="541">
        <f t="shared" ca="1" si="62"/>
        <v>7.7250252323730825E-2</v>
      </c>
      <c r="BA109" s="541">
        <f t="shared" ca="1" si="62"/>
        <v>7.7250252323730825E-2</v>
      </c>
      <c r="BB109" s="550">
        <f t="shared" ca="1" si="50"/>
        <v>0.36378375932799178</v>
      </c>
      <c r="BC109" s="550">
        <f t="shared" ca="1" si="50"/>
        <v>0.36378375932799178</v>
      </c>
      <c r="BD109" s="550">
        <f t="shared" ca="1" si="51"/>
        <v>9.0160242230781562E-2</v>
      </c>
      <c r="BE109" s="550">
        <f t="shared" ca="1" si="51"/>
        <v>9.0160242230781562E-2</v>
      </c>
    </row>
    <row r="110" spans="1:57" ht="16.5" thickTop="1" thickBot="1" x14ac:dyDescent="0.3">
      <c r="A110" s="549">
        <f>P85</f>
        <v>0.81</v>
      </c>
      <c r="B110" s="6" t="s">
        <v>154</v>
      </c>
      <c r="C110" s="548"/>
      <c r="D110" s="547">
        <f t="shared" si="63"/>
        <v>0.6</v>
      </c>
      <c r="E110" s="547">
        <f t="shared" si="63"/>
        <v>0.6</v>
      </c>
      <c r="F110" s="547"/>
      <c r="G110" s="547">
        <f t="shared" si="31"/>
        <v>0.6</v>
      </c>
      <c r="H110" s="547">
        <f t="shared" si="31"/>
        <v>0.6</v>
      </c>
      <c r="I110" s="547"/>
      <c r="J110" s="546">
        <f>(VLOOKUP($B110,BTUEFs,11,FALSE)/$A110)/(VLOOKUP($N$85,BTUEFs,11,FALSE)/$P$85)</f>
        <v>11.044768661181401</v>
      </c>
      <c r="K110" s="545">
        <f>(VLOOKUP($B110,BTUEFs,9,FALSE)/$A110)/(VLOOKUP($N$85,BTUEFs,9,FALSE)/$P$85)</f>
        <v>1.2393503105112134</v>
      </c>
      <c r="L110" s="544">
        <f t="shared" ca="1" si="52"/>
        <v>3.5613423300375613E-4</v>
      </c>
      <c r="M110" s="544">
        <f t="shared" ca="1" si="52"/>
        <v>3.5613423300375613E-4</v>
      </c>
      <c r="N110" s="542" t="s">
        <v>336</v>
      </c>
      <c r="O110" s="544">
        <f t="shared" ca="1" si="53"/>
        <v>3.8874172084076887E-4</v>
      </c>
      <c r="P110" s="544">
        <f t="shared" ca="1" si="53"/>
        <v>3.8874172084076887E-4</v>
      </c>
      <c r="Q110" s="542" t="s">
        <v>336</v>
      </c>
      <c r="R110" s="543">
        <f t="shared" ca="1" si="54"/>
        <v>3.2244607735012744E-5</v>
      </c>
      <c r="S110" s="543">
        <f t="shared" ca="1" si="54"/>
        <v>3.2244607735012744E-5</v>
      </c>
      <c r="T110" s="542" t="s">
        <v>336</v>
      </c>
      <c r="U110" s="543">
        <f t="shared" ca="1" si="55"/>
        <v>3.5196909303049828E-5</v>
      </c>
      <c r="V110" s="543">
        <f t="shared" ca="1" si="55"/>
        <v>3.5196909303049828E-5</v>
      </c>
      <c r="W110" s="542" t="s">
        <v>336</v>
      </c>
      <c r="X110" s="544">
        <f t="shared" ca="1" si="56"/>
        <v>3.0062548641338512E-3</v>
      </c>
      <c r="Y110" s="544">
        <f t="shared" ca="1" si="56"/>
        <v>3.0062548641338512E-3</v>
      </c>
      <c r="Z110" s="542" t="s">
        <v>336</v>
      </c>
      <c r="AA110" s="544">
        <f t="shared" ca="1" si="57"/>
        <v>2.0151353171859389E-3</v>
      </c>
      <c r="AB110" s="544">
        <f t="shared" ca="1" si="57"/>
        <v>2.0151353171859389E-3</v>
      </c>
      <c r="AC110" s="542" t="s">
        <v>336</v>
      </c>
      <c r="AD110" s="543">
        <f t="shared" ca="1" si="40"/>
        <v>2.3286431972394175E-3</v>
      </c>
      <c r="AE110" s="543">
        <f t="shared" ca="1" si="40"/>
        <v>2.3286431972394175E-3</v>
      </c>
      <c r="AF110" s="542" t="s">
        <v>336</v>
      </c>
      <c r="AG110" s="543">
        <f t="shared" ca="1" si="58"/>
        <v>1.6259610378882511E-3</v>
      </c>
      <c r="AH110" s="543">
        <f t="shared" ca="1" si="58"/>
        <v>1.6259610378882511E-3</v>
      </c>
      <c r="AI110" s="542" t="s">
        <v>336</v>
      </c>
      <c r="AJ110" s="541">
        <f t="shared" ca="1" si="42"/>
        <v>3.2388962526874341E-4</v>
      </c>
      <c r="AK110" s="541">
        <f t="shared" ca="1" si="42"/>
        <v>3.2388962526874341E-4</v>
      </c>
      <c r="AL110" s="541">
        <f t="shared" ca="1" si="43"/>
        <v>3.5354481153771904E-4</v>
      </c>
      <c r="AM110" s="541">
        <f t="shared" ca="1" si="43"/>
        <v>3.5354481153771904E-4</v>
      </c>
      <c r="AN110" s="541">
        <f t="shared" ca="1" si="44"/>
        <v>6.7761166689443361E-4</v>
      </c>
      <c r="AO110" s="541">
        <f t="shared" ca="1" si="44"/>
        <v>6.7761166689443361E-4</v>
      </c>
      <c r="AP110" s="541">
        <f t="shared" ca="1" si="45"/>
        <v>3.8917427929768779E-4</v>
      </c>
      <c r="AQ110" s="541">
        <f t="shared" ca="1" si="45"/>
        <v>3.8917427929768779E-4</v>
      </c>
      <c r="AR110" s="810"/>
      <c r="AS110" s="810" t="s">
        <v>249</v>
      </c>
      <c r="AT110" s="506">
        <f ca="1">AJ111/SUM($C40:$C59)</f>
        <v>0.23765682006357372</v>
      </c>
      <c r="AU110" s="506">
        <f ca="1">AK111/SUM($C40:$C59)</f>
        <v>0.37132947897631385</v>
      </c>
      <c r="AV110" s="506">
        <f ca="1">AL111/SUM($C60:$C79)</f>
        <v>0.23765682006357364</v>
      </c>
      <c r="AW110" s="506">
        <f ca="1">AM111/SUM($C60:$C79)</f>
        <v>0.3713294789763138</v>
      </c>
      <c r="AX110" s="506">
        <f ca="1">AN111/SUM($J40:$J59)</f>
        <v>-3.1273806258727201E-2</v>
      </c>
      <c r="AY110" s="506">
        <f ca="1">AO111/SUM($J40:$J59)</f>
        <v>-3.8749071491369719E-2</v>
      </c>
      <c r="AZ110" s="506">
        <f ca="1">AP111/SUM($J60:$J79)</f>
        <v>-3.1406204189665034E-2</v>
      </c>
      <c r="BA110" s="506">
        <f ca="1">AQ111/SUM($J60:$J79)</f>
        <v>-3.8881469422307552E-2</v>
      </c>
      <c r="BB110" s="506"/>
      <c r="BC110" s="506"/>
      <c r="BD110" s="506"/>
      <c r="BE110" s="506"/>
    </row>
    <row r="111" spans="1:57" ht="15.75" thickTop="1" x14ac:dyDescent="0.25">
      <c r="K111" s="244" t="s">
        <v>784</v>
      </c>
      <c r="L111" s="137">
        <f ca="1">SUM(L91:L110)</f>
        <v>0.23706802735679297</v>
      </c>
      <c r="M111" s="137">
        <f ca="1">SUM(M91:M110)</f>
        <v>0.36995145844648136</v>
      </c>
      <c r="N111" s="540" t="s">
        <v>336</v>
      </c>
      <c r="O111" s="137">
        <f ca="1">SUM(O91:O110)</f>
        <v>0.25877386774563221</v>
      </c>
      <c r="P111" s="137">
        <f ca="1">SUM(P91:P110)</f>
        <v>0.40382404513895909</v>
      </c>
      <c r="Q111" s="540" t="s">
        <v>336</v>
      </c>
      <c r="R111" s="137">
        <f ca="1">SUM(R91:R110)</f>
        <v>1.218096080619821E-3</v>
      </c>
      <c r="S111" s="137">
        <f ca="1">SUM(S91:S110)</f>
        <v>1.4451724751657323E-3</v>
      </c>
      <c r="T111" s="540" t="s">
        <v>336</v>
      </c>
      <c r="U111" s="137">
        <f ca="1">SUM(U91:U110)</f>
        <v>1.3296244018320782E-3</v>
      </c>
      <c r="V111" s="137">
        <f ca="1">SUM(V91:V110)</f>
        <v>1.5774918074267657E-3</v>
      </c>
      <c r="W111" s="540" t="s">
        <v>336</v>
      </c>
      <c r="X111" s="137">
        <f ca="1">SUM(X91:X110)</f>
        <v>3.40336269206859E-2</v>
      </c>
      <c r="Y111" s="137">
        <f ca="1">SUM(Y91:Y110)</f>
        <v>3.7407813866780174E-2</v>
      </c>
      <c r="Z111" s="540" t="s">
        <v>336</v>
      </c>
      <c r="AA111" s="137">
        <f ca="1">SUM(AA91:AA110)</f>
        <v>2.281322332248897E-2</v>
      </c>
      <c r="AB111" s="137">
        <f ca="1">SUM(AB91:AB110)</f>
        <v>2.5074988737984225E-2</v>
      </c>
      <c r="AC111" s="540" t="s">
        <v>336</v>
      </c>
      <c r="AD111" s="137">
        <f ca="1">SUM(AD91:AD110)</f>
        <v>9.1383457729121237E-2</v>
      </c>
      <c r="AE111" s="137">
        <f ca="1">SUM(AE91:AE110)</f>
        <v>0.10846576810584507</v>
      </c>
      <c r="AF111" s="540" t="s">
        <v>336</v>
      </c>
      <c r="AG111" s="137">
        <f ca="1">SUM(AG91:AG110)</f>
        <v>6.1418375405835952E-2</v>
      </c>
      <c r="AH111" s="137">
        <f ca="1">SUM(AH91:AH110)</f>
        <v>7.2868890580032888E-2</v>
      </c>
      <c r="AI111" s="540" t="s">
        <v>336</v>
      </c>
      <c r="AJ111" s="506">
        <f t="shared" ref="AJ111:AQ111" ca="1" si="64">SUM(AJ91:AJ110)</f>
        <v>0.23584993127617312</v>
      </c>
      <c r="AK111" s="506">
        <f t="shared" ca="1" si="64"/>
        <v>0.36850628597131563</v>
      </c>
      <c r="AL111" s="506">
        <f t="shared" ca="1" si="64"/>
        <v>0.25744424334380012</v>
      </c>
      <c r="AM111" s="506">
        <f t="shared" ca="1" si="64"/>
        <v>0.40224655333153225</v>
      </c>
      <c r="AN111" s="506">
        <f t="shared" ca="1" si="64"/>
        <v>-5.7349830808435351E-2</v>
      </c>
      <c r="AO111" s="506">
        <f t="shared" ca="1" si="64"/>
        <v>-7.1057954239064913E-2</v>
      </c>
      <c r="AP111" s="506">
        <f t="shared" ca="1" si="64"/>
        <v>-3.8605152083346972E-2</v>
      </c>
      <c r="AQ111" s="506">
        <f t="shared" ca="1" si="64"/>
        <v>-4.7793901842048667E-2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0.49329417461997327</v>
      </c>
      <c r="AK113" s="506">
        <f ca="1">AK111+AM111</f>
        <v>0.77075283930284788</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0.99239706738936717</v>
      </c>
      <c r="D119" s="539">
        <f t="shared" ca="1" si="65"/>
        <v>0.99239706738936717</v>
      </c>
      <c r="E119" s="539">
        <f t="shared" ca="1" si="65"/>
        <v>0.99239706738936717</v>
      </c>
      <c r="F119" s="539" t="s">
        <v>336</v>
      </c>
      <c r="G119" s="539">
        <f ca="1">G32</f>
        <v>0.99239706738936717</v>
      </c>
      <c r="H119" s="539">
        <f ca="1">H32</f>
        <v>0.99239706738936717</v>
      </c>
      <c r="I119" s="539" t="s">
        <v>336</v>
      </c>
      <c r="J119" s="539">
        <f t="shared" ref="J119:L120" ca="1" si="66">J32</f>
        <v>1.8337975983473853</v>
      </c>
      <c r="K119" s="539">
        <f t="shared" ca="1" si="66"/>
        <v>1.8337975983473853</v>
      </c>
      <c r="L119" s="539">
        <f t="shared" ca="1" si="66"/>
        <v>1.8337975983473853</v>
      </c>
      <c r="M119" s="539" t="s">
        <v>336</v>
      </c>
      <c r="N119" s="539">
        <f ca="1">N32</f>
        <v>1.8337975983473853</v>
      </c>
      <c r="O119" s="539">
        <f ca="1">O32</f>
        <v>1.8337975983473853</v>
      </c>
      <c r="P119" s="539" t="s">
        <v>336</v>
      </c>
    </row>
    <row r="120" spans="1:39" x14ac:dyDescent="0.25">
      <c r="A120" s="812" t="s">
        <v>101</v>
      </c>
      <c r="B120" s="812" t="s">
        <v>754</v>
      </c>
      <c r="C120" s="539">
        <f t="shared" ca="1" si="65"/>
        <v>1.0832604899574656</v>
      </c>
      <c r="D120" s="539">
        <f t="shared" ca="1" si="65"/>
        <v>1.0832604899574656</v>
      </c>
      <c r="E120" s="539">
        <f t="shared" ca="1" si="65"/>
        <v>1.0832604899574656</v>
      </c>
      <c r="F120" s="539" t="s">
        <v>336</v>
      </c>
      <c r="G120" s="539">
        <f ca="1">G33</f>
        <v>1.0832604899574656</v>
      </c>
      <c r="H120" s="539">
        <f ca="1">H33</f>
        <v>1.0832604899574656</v>
      </c>
      <c r="I120" s="539" t="s">
        <v>336</v>
      </c>
      <c r="J120" s="539">
        <f t="shared" ca="1" si="66"/>
        <v>1.229220565790339</v>
      </c>
      <c r="K120" s="539">
        <f t="shared" ca="1" si="66"/>
        <v>1.229220565790339</v>
      </c>
      <c r="L120" s="539">
        <f t="shared" ca="1" si="66"/>
        <v>1.229220565790339</v>
      </c>
      <c r="M120" s="539" t="s">
        <v>336</v>
      </c>
      <c r="N120" s="539">
        <f ca="1">N33</f>
        <v>1.229220565790339</v>
      </c>
      <c r="O120" s="539">
        <f ca="1">O33</f>
        <v>1.229220565790339</v>
      </c>
      <c r="P120" s="539" t="s">
        <v>336</v>
      </c>
    </row>
    <row r="121" spans="1:39" x14ac:dyDescent="0.25">
      <c r="A121" s="813" t="s">
        <v>101</v>
      </c>
      <c r="B121" s="813" t="s">
        <v>792</v>
      </c>
      <c r="C121" s="535">
        <f ca="1">IFERROR(C122-SUM(C119:C120),"-")</f>
        <v>0.56102024168216014</v>
      </c>
      <c r="D121" s="535">
        <f ca="1">IFERROR(D122-SUM(D119:D120),"-")</f>
        <v>0.56102024168216014</v>
      </c>
      <c r="E121" s="535">
        <f ca="1">IFERROR(E122-SUM(E119:E120),"-")</f>
        <v>0.56102024168216014</v>
      </c>
      <c r="F121" s="535" t="s">
        <v>336</v>
      </c>
      <c r="G121" s="535">
        <f ca="1">IFERROR(G122-SUM(G119:G120),"-")</f>
        <v>0.56102024168216014</v>
      </c>
      <c r="H121" s="535">
        <f ca="1">IFERROR(H122-SUM(H119:H120),"-")</f>
        <v>0.56102024168216014</v>
      </c>
      <c r="I121" s="535" t="s">
        <v>336</v>
      </c>
      <c r="J121" s="535">
        <f ca="1">IFERROR(J122-SUM(J119:J120),"-")</f>
        <v>1.0366793752498724</v>
      </c>
      <c r="K121" s="535">
        <f ca="1">IFERROR(K122-SUM(K119:K120),"-")</f>
        <v>1.0366793752498724</v>
      </c>
      <c r="L121" s="535">
        <f ca="1">IFERROR(L122-SUM(L119:L120),"-")</f>
        <v>1.0366793752498724</v>
      </c>
      <c r="M121" s="535" t="s">
        <v>336</v>
      </c>
      <c r="N121" s="535">
        <f ca="1">IFERROR(N122-SUM(N119:N120),"-")</f>
        <v>1.0366793752498724</v>
      </c>
      <c r="O121" s="535">
        <f ca="1">IFERROR(O122-SUM(O119:O120),"-")</f>
        <v>1.0366793752498724</v>
      </c>
      <c r="P121" s="535" t="s">
        <v>336</v>
      </c>
    </row>
    <row r="122" spans="1:39" x14ac:dyDescent="0.25">
      <c r="A122" s="348" t="s">
        <v>101</v>
      </c>
      <c r="B122" s="348" t="s">
        <v>793</v>
      </c>
      <c r="C122" s="534">
        <f ca="1">C26</f>
        <v>2.6366777990289929</v>
      </c>
      <c r="D122" s="534">
        <f ca="1">D26</f>
        <v>2.6366777990289929</v>
      </c>
      <c r="E122" s="534">
        <f ca="1">E26</f>
        <v>2.6366777990289929</v>
      </c>
      <c r="F122" s="534" t="s">
        <v>336</v>
      </c>
      <c r="G122" s="534">
        <f ca="1">G26</f>
        <v>2.6366777990289929</v>
      </c>
      <c r="H122" s="534">
        <f ca="1">H26</f>
        <v>2.6366777990289929</v>
      </c>
      <c r="I122" s="534" t="s">
        <v>336</v>
      </c>
      <c r="J122" s="534">
        <f ca="1">J26</f>
        <v>4.0996975393875967</v>
      </c>
      <c r="K122" s="534">
        <f ca="1">K26</f>
        <v>4.0996975393875967</v>
      </c>
      <c r="L122" s="534">
        <f ca="1">L26</f>
        <v>4.0996975393875967</v>
      </c>
      <c r="M122" s="534" t="s">
        <v>336</v>
      </c>
      <c r="N122" s="534">
        <f ca="1">N26</f>
        <v>4.0996975393875967</v>
      </c>
      <c r="O122" s="534">
        <f ca="1">O26</f>
        <v>4.0996975393875967</v>
      </c>
      <c r="P122" s="534" t="s">
        <v>336</v>
      </c>
    </row>
    <row r="123" spans="1:39" x14ac:dyDescent="0.25">
      <c r="A123" s="812" t="s">
        <v>722</v>
      </c>
      <c r="B123" s="812" t="s">
        <v>752</v>
      </c>
      <c r="C123" s="133">
        <f ca="1">C119</f>
        <v>0.99239706738936717</v>
      </c>
      <c r="D123" s="537">
        <f ca="1">D119-L$111+R$111</f>
        <v>0.75654713611319402</v>
      </c>
      <c r="E123" s="537">
        <f ca="1">E119-M$111+S$111</f>
        <v>0.62389078141805154</v>
      </c>
      <c r="F123" s="538" t="s">
        <v>336</v>
      </c>
      <c r="G123" s="521">
        <f ca="1">G119</f>
        <v>0.99239706738936717</v>
      </c>
      <c r="H123" s="521">
        <f ca="1">H119</f>
        <v>0.99239706738936717</v>
      </c>
      <c r="I123" s="538" t="s">
        <v>336</v>
      </c>
      <c r="J123" s="133">
        <f ca="1">J119</f>
        <v>1.8337975983473853</v>
      </c>
      <c r="K123" s="537">
        <f ca="1">K119-X$111+AD$111</f>
        <v>1.8911474291558208</v>
      </c>
      <c r="L123" s="537">
        <f ca="1">L119-Y$111+AE$111</f>
        <v>1.9048555525864503</v>
      </c>
      <c r="M123" s="538" t="s">
        <v>336</v>
      </c>
      <c r="N123" s="521">
        <f ca="1">N119</f>
        <v>1.8337975983473853</v>
      </c>
      <c r="O123" s="521">
        <f ca="1">O119</f>
        <v>1.8337975983473853</v>
      </c>
      <c r="P123" s="538" t="s">
        <v>336</v>
      </c>
    </row>
    <row r="124" spans="1:39" x14ac:dyDescent="0.25">
      <c r="A124" s="812" t="s">
        <v>722</v>
      </c>
      <c r="B124" s="812" t="s">
        <v>754</v>
      </c>
      <c r="C124" s="133">
        <f ca="1">C120</f>
        <v>1.0832604899574656</v>
      </c>
      <c r="D124" s="521">
        <f ca="1">D120</f>
        <v>1.0832604899574656</v>
      </c>
      <c r="E124" s="521">
        <f ca="1">E120</f>
        <v>1.0832604899574656</v>
      </c>
      <c r="F124" s="536" t="s">
        <v>336</v>
      </c>
      <c r="G124" s="537">
        <f ca="1">G120-O$111+U$111</f>
        <v>0.82581624661366548</v>
      </c>
      <c r="H124" s="537">
        <f ca="1">H120-P$111+V$111</f>
        <v>0.68101393662593324</v>
      </c>
      <c r="I124" s="536" t="s">
        <v>336</v>
      </c>
      <c r="J124" s="133">
        <f ca="1">J120</f>
        <v>1.229220565790339</v>
      </c>
      <c r="K124" s="521">
        <f ca="1">K120</f>
        <v>1.229220565790339</v>
      </c>
      <c r="L124" s="521">
        <f ca="1">L120</f>
        <v>1.229220565790339</v>
      </c>
      <c r="M124" s="536" t="s">
        <v>336</v>
      </c>
      <c r="N124" s="537">
        <f ca="1">N120-AA$111+AG$111</f>
        <v>1.267825717873686</v>
      </c>
      <c r="O124" s="537">
        <f ca="1">O120-AB$111+AH$111</f>
        <v>1.2770144676323878</v>
      </c>
      <c r="P124" s="536" t="s">
        <v>336</v>
      </c>
    </row>
    <row r="125" spans="1:39" x14ac:dyDescent="0.25">
      <c r="A125" s="813" t="s">
        <v>722</v>
      </c>
      <c r="B125" s="813" t="s">
        <v>792</v>
      </c>
      <c r="C125" s="527">
        <f ca="1">C121</f>
        <v>0.56102024168216014</v>
      </c>
      <c r="D125" s="527">
        <f ca="1">D121</f>
        <v>0.56102024168216014</v>
      </c>
      <c r="E125" s="527">
        <f ca="1">E121</f>
        <v>0.56102024168216014</v>
      </c>
      <c r="F125" s="535" t="s">
        <v>336</v>
      </c>
      <c r="G125" s="527">
        <f ca="1">G121</f>
        <v>0.56102024168216014</v>
      </c>
      <c r="H125" s="527">
        <f ca="1">H121</f>
        <v>0.56102024168216014</v>
      </c>
      <c r="I125" s="535" t="s">
        <v>336</v>
      </c>
      <c r="J125" s="527">
        <f ca="1">J121</f>
        <v>1.0366793752498724</v>
      </c>
      <c r="K125" s="527">
        <f ca="1">K121</f>
        <v>1.0366793752498724</v>
      </c>
      <c r="L125" s="527">
        <f ca="1">L121</f>
        <v>1.0366793752498724</v>
      </c>
      <c r="M125" s="535" t="s">
        <v>336</v>
      </c>
      <c r="N125" s="527">
        <f ca="1">N121</f>
        <v>1.0366793752498724</v>
      </c>
      <c r="O125" s="527">
        <f ca="1">O121</f>
        <v>1.0366793752498724</v>
      </c>
      <c r="P125" s="535" t="s">
        <v>336</v>
      </c>
    </row>
    <row r="126" spans="1:39" x14ac:dyDescent="0.25">
      <c r="A126" s="348" t="s">
        <v>722</v>
      </c>
      <c r="B126" s="348" t="s">
        <v>793</v>
      </c>
      <c r="C126" s="466">
        <f ca="1">SUM(C123:C125)</f>
        <v>2.6366777990289929</v>
      </c>
      <c r="D126" s="466">
        <f ca="1">SUM(D123:D125)</f>
        <v>2.4008278677528199</v>
      </c>
      <c r="E126" s="466">
        <f ca="1">SUM(E123:E125)</f>
        <v>2.2681715130576774</v>
      </c>
      <c r="F126" s="534" t="s">
        <v>336</v>
      </c>
      <c r="G126" s="466">
        <f ca="1">SUM(G123:G125)</f>
        <v>2.3792335556851927</v>
      </c>
      <c r="H126" s="466">
        <f ca="1">SUM(H123:H125)</f>
        <v>2.2344312456974604</v>
      </c>
      <c r="I126" s="534" t="s">
        <v>336</v>
      </c>
      <c r="J126" s="466">
        <f ca="1">SUM(J123:J125)</f>
        <v>4.0996975393875967</v>
      </c>
      <c r="K126" s="466">
        <f ca="1">SUM(K123:K125)</f>
        <v>4.1570473701960324</v>
      </c>
      <c r="L126" s="466">
        <f ca="1">SUM(L123:L125)</f>
        <v>4.170755493626662</v>
      </c>
      <c r="M126" s="534" t="s">
        <v>336</v>
      </c>
      <c r="N126" s="466">
        <f ca="1">SUM(N123:N125)</f>
        <v>4.138302691470944</v>
      </c>
      <c r="O126" s="466">
        <f ca="1">SUM(O123:O125)</f>
        <v>4.1474914412296453</v>
      </c>
      <c r="P126" s="534" t="s">
        <v>336</v>
      </c>
    </row>
    <row r="127" spans="1:39" x14ac:dyDescent="0.25">
      <c r="A127" s="363" t="s">
        <v>794</v>
      </c>
      <c r="B127" s="363" t="s">
        <v>793</v>
      </c>
      <c r="C127" s="532">
        <f ca="1">C122-C126</f>
        <v>0</v>
      </c>
      <c r="D127" s="532">
        <f ca="1">D122-D126</f>
        <v>0.23584993127617304</v>
      </c>
      <c r="E127" s="532">
        <f ca="1">E122-E126</f>
        <v>0.36850628597131552</v>
      </c>
      <c r="F127" s="533" t="s">
        <v>336</v>
      </c>
      <c r="G127" s="532">
        <f ca="1">G122-G126</f>
        <v>0.25744424334380023</v>
      </c>
      <c r="H127" s="532">
        <f ca="1">H122-H126</f>
        <v>0.40224655333153247</v>
      </c>
      <c r="I127" s="533" t="s">
        <v>336</v>
      </c>
      <c r="J127" s="532">
        <f ca="1">J122-J126</f>
        <v>0</v>
      </c>
      <c r="K127" s="532">
        <f ca="1">K122-K126</f>
        <v>-5.7349830808435698E-2</v>
      </c>
      <c r="L127" s="532">
        <f ca="1">L122-L126</f>
        <v>-7.1057954239065246E-2</v>
      </c>
      <c r="M127" s="533" t="s">
        <v>336</v>
      </c>
      <c r="N127" s="532">
        <f ca="1">N122-N126</f>
        <v>-3.8605152083347249E-2</v>
      </c>
      <c r="O127" s="532">
        <f ca="1">O122-O126</f>
        <v>-4.779390184204857E-2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B0A4-AFF0-4E89-9D2A-1129E63935E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2023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2023</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2023 Baseline NA Area PM2.5 Emissions (tpd) by Curtailment Regime</v>
      </c>
      <c r="D4" s="840"/>
      <c r="E4" s="840"/>
      <c r="F4" s="840"/>
      <c r="G4" s="840"/>
      <c r="H4" s="840"/>
      <c r="I4" s="840"/>
      <c r="J4" s="840" t="str">
        <f>$B$2&amp;" Baseline NA Area SO2 Emissions (tpd) by Curtailment Regime"</f>
        <v>2023 Baseline NA Area SO2 Emissions (tpd) by Curtailment Regime</v>
      </c>
      <c r="K4" s="840"/>
      <c r="L4" s="840"/>
      <c r="M4" s="840"/>
      <c r="N4" s="840"/>
      <c r="O4" s="840"/>
      <c r="P4" s="840"/>
      <c r="Q4" s="840" t="str">
        <f>$B$2&amp;" Baseline NA Area Energy Use (mmBTU) by Curtailment Regime"</f>
        <v>2023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0.67238866781592821</v>
      </c>
      <c r="D6" s="133">
        <f ca="1">INDIRECT("'DevSumOut-"&amp;$B$2&amp;"BSR'!R50")</f>
        <v>0.67238866781592821</v>
      </c>
      <c r="E6" s="133">
        <f ca="1">INDIRECT("'DevSumOut-"&amp;$B$2&amp;"BSR'!R50")</f>
        <v>0.67238866781592821</v>
      </c>
      <c r="F6" s="551" t="s">
        <v>336</v>
      </c>
      <c r="G6" s="133">
        <f ca="1">INDIRECT("'DevSumOut-"&amp;$B$2&amp;"BSR'!R50")</f>
        <v>0.67238866781592821</v>
      </c>
      <c r="H6" s="133">
        <f ca="1">INDIRECT("'DevSumOut-"&amp;$B$2&amp;"BSR'!R50")</f>
        <v>0.67238866781592821</v>
      </c>
      <c r="I6" s="551" t="s">
        <v>336</v>
      </c>
      <c r="J6" s="133">
        <f ca="1">INDIRECT("'DevSumOut-"&amp;$B$2&amp;"BSR'!P50")</f>
        <v>7.7732793967159328E-3</v>
      </c>
      <c r="K6" s="133">
        <f ca="1">INDIRECT("'DevSumOut-"&amp;$B$2&amp;"BSR'!P50")</f>
        <v>7.7732793967159328E-3</v>
      </c>
      <c r="L6" s="133">
        <f ca="1">INDIRECT("'DevSumOut-"&amp;$B$2&amp;"BSR'!P50")</f>
        <v>7.7732793967159328E-3</v>
      </c>
      <c r="M6" s="551" t="s">
        <v>336</v>
      </c>
      <c r="N6" s="133">
        <f ca="1">INDIRECT("'DevSumOut-"&amp;$B$2&amp;"BSR'!P50")</f>
        <v>7.7732793967159328E-3</v>
      </c>
      <c r="O6" s="133">
        <f ca="1">INDIRECT("'DevSumOut-"&amp;$B$2&amp;"BSR'!P50")</f>
        <v>7.7732793967159328E-3</v>
      </c>
      <c r="P6" s="551" t="s">
        <v>336</v>
      </c>
      <c r="Q6" s="45">
        <f ca="1">INDIRECT("'DevSumOut-"&amp;$B$2&amp;"BSR'!U50")</f>
        <v>624.11634359187701</v>
      </c>
      <c r="R6" s="45">
        <f ca="1">INDIRECT("'DevSumOut-"&amp;$B$2&amp;"BSR'!U50")</f>
        <v>624.11634359187701</v>
      </c>
      <c r="S6" s="45">
        <f ca="1">INDIRECT("'DevSumOut-"&amp;$B$2&amp;"BSR'!U50")</f>
        <v>624.11634359187701</v>
      </c>
      <c r="T6" s="581" t="s">
        <v>336</v>
      </c>
      <c r="U6" s="45">
        <f ca="1">INDIRECT("'DevSumOut-"&amp;$B$2&amp;"BSR'!U50")</f>
        <v>624.11634359187701</v>
      </c>
      <c r="V6" s="45">
        <f ca="1">INDIRECT("'DevSumOut-"&amp;$B$2&amp;"BSR'!U50")</f>
        <v>624.11634359187701</v>
      </c>
      <c r="W6" s="581" t="s">
        <v>336</v>
      </c>
      <c r="X6" s="133">
        <f t="shared" ref="X6:Z22" ca="1" si="0">C6*2000/Q6</f>
        <v>2.1546901462193322</v>
      </c>
      <c r="Y6" s="133">
        <f t="shared" ca="1" si="0"/>
        <v>2.1546901462193322</v>
      </c>
      <c r="Z6" s="133">
        <f t="shared" ca="1" si="0"/>
        <v>2.1546901462193322</v>
      </c>
      <c r="AA6" s="133"/>
      <c r="AB6" s="133">
        <f t="shared" ref="AB6:AC22" ca="1" si="1">G6*2000/U6</f>
        <v>2.1546901462193322</v>
      </c>
      <c r="AC6" s="133">
        <f t="shared" ca="1" si="1"/>
        <v>2.1546901462193322</v>
      </c>
    </row>
    <row r="7" spans="1:29" x14ac:dyDescent="0.25">
      <c r="A7" s="812">
        <v>2104008210</v>
      </c>
      <c r="B7" s="812" t="s">
        <v>138</v>
      </c>
      <c r="C7" s="133">
        <f ca="1">INDIRECT("'DevSumOut-"&amp;$B$2&amp;"BSR'!R51")</f>
        <v>5.2476578016216698E-2</v>
      </c>
      <c r="D7" s="133">
        <f ca="1">INDIRECT("'DevSumOut-"&amp;$B$2&amp;"BSR'!R51")</f>
        <v>5.2476578016216698E-2</v>
      </c>
      <c r="E7" s="133">
        <f ca="1">INDIRECT("'DevSumOut-"&amp;$B$2&amp;"BSR'!R51")</f>
        <v>5.2476578016216698E-2</v>
      </c>
      <c r="F7" s="551" t="s">
        <v>336</v>
      </c>
      <c r="G7" s="133">
        <f ca="1">INDIRECT("'DevSumOut-"&amp;$B$2&amp;"BSR'!R51")</f>
        <v>5.2476578016216698E-2</v>
      </c>
      <c r="H7" s="133">
        <f ca="1">INDIRECT("'DevSumOut-"&amp;$B$2&amp;"BSR'!R51")</f>
        <v>5.2476578016216698E-2</v>
      </c>
      <c r="I7" s="551" t="s">
        <v>336</v>
      </c>
      <c r="J7" s="133">
        <f ca="1">INDIRECT("'DevSumOut-"&amp;$B$2&amp;"BSR'!P51")</f>
        <v>6.8596834008126406E-4</v>
      </c>
      <c r="K7" s="133">
        <f ca="1">INDIRECT("'DevSumOut-"&amp;$B$2&amp;"BSR'!P51")</f>
        <v>6.8596834008126406E-4</v>
      </c>
      <c r="L7" s="133">
        <f ca="1">INDIRECT("'DevSumOut-"&amp;$B$2&amp;"BSR'!P51")</f>
        <v>6.8596834008126406E-4</v>
      </c>
      <c r="M7" s="551" t="s">
        <v>336</v>
      </c>
      <c r="N7" s="133">
        <f ca="1">INDIRECT("'DevSumOut-"&amp;$B$2&amp;"BSR'!P51")</f>
        <v>6.8596834008126406E-4</v>
      </c>
      <c r="O7" s="133">
        <f ca="1">INDIRECT("'DevSumOut-"&amp;$B$2&amp;"BSR'!P51")</f>
        <v>6.8596834008126406E-4</v>
      </c>
      <c r="P7" s="551" t="s">
        <v>336</v>
      </c>
      <c r="Q7" s="45">
        <f ca="1">INDIRECT("'DevSumOut-"&amp;$B$2&amp;"BSR'!U51")</f>
        <v>55.066562645656781</v>
      </c>
      <c r="R7" s="45">
        <f ca="1">INDIRECT("'DevSumOut-"&amp;$B$2&amp;"BSR'!U51")</f>
        <v>55.066562645656781</v>
      </c>
      <c r="S7" s="45">
        <f ca="1">INDIRECT("'DevSumOut-"&amp;$B$2&amp;"BSR'!U51")</f>
        <v>55.066562645656781</v>
      </c>
      <c r="T7" s="581" t="s">
        <v>336</v>
      </c>
      <c r="U7" s="45">
        <f ca="1">INDIRECT("'DevSumOut-"&amp;$B$2&amp;"BSR'!U51")</f>
        <v>55.066562645656781</v>
      </c>
      <c r="V7" s="45">
        <f ca="1">INDIRECT("'DevSumOut-"&amp;$B$2&amp;"BSR'!U51")</f>
        <v>55.066562645656781</v>
      </c>
      <c r="W7" s="581" t="s">
        <v>336</v>
      </c>
      <c r="X7" s="133">
        <f t="shared" ca="1" si="0"/>
        <v>1.9059325839491323</v>
      </c>
      <c r="Y7" s="133">
        <f t="shared" ca="1" si="0"/>
        <v>1.9059325839491323</v>
      </c>
      <c r="Z7" s="133">
        <f t="shared" ca="1" si="0"/>
        <v>1.9059325839491323</v>
      </c>
      <c r="AA7" s="133"/>
      <c r="AB7" s="133">
        <f t="shared" ca="1" si="1"/>
        <v>1.9059325839491323</v>
      </c>
      <c r="AC7" s="133">
        <f t="shared" ca="1" si="1"/>
        <v>1.9059325839491323</v>
      </c>
    </row>
    <row r="8" spans="1:29" x14ac:dyDescent="0.25">
      <c r="A8" s="812">
        <v>2104008220</v>
      </c>
      <c r="B8" s="812" t="s">
        <v>139</v>
      </c>
      <c r="C8" s="133">
        <f ca="1">INDIRECT("'DevSumOut-"&amp;$B$2&amp;"BSR'!R52")</f>
        <v>4.3327467883903403E-2</v>
      </c>
      <c r="D8" s="133">
        <f ca="1">INDIRECT("'DevSumOut-"&amp;$B$2&amp;"BSR'!R52")</f>
        <v>4.3327467883903403E-2</v>
      </c>
      <c r="E8" s="133">
        <f ca="1">INDIRECT("'DevSumOut-"&amp;$B$2&amp;"BSR'!R52")</f>
        <v>4.3327467883903403E-2</v>
      </c>
      <c r="F8" s="551" t="s">
        <v>336</v>
      </c>
      <c r="G8" s="133">
        <f ca="1">INDIRECT("'DevSumOut-"&amp;$B$2&amp;"BSR'!R52")</f>
        <v>4.3327467883903403E-2</v>
      </c>
      <c r="H8" s="133">
        <f ca="1">INDIRECT("'DevSumOut-"&amp;$B$2&amp;"BSR'!R52")</f>
        <v>4.3327467883903403E-2</v>
      </c>
      <c r="I8" s="551" t="s">
        <v>336</v>
      </c>
      <c r="J8" s="133">
        <f ca="1">INDIRECT("'DevSumOut-"&amp;$B$2&amp;"BSR'!P52")</f>
        <v>1.4442489294634467E-3</v>
      </c>
      <c r="K8" s="133">
        <f ca="1">INDIRECT("'DevSumOut-"&amp;$B$2&amp;"BSR'!P52")</f>
        <v>1.4442489294634467E-3</v>
      </c>
      <c r="L8" s="133">
        <f ca="1">INDIRECT("'DevSumOut-"&amp;$B$2&amp;"BSR'!P52")</f>
        <v>1.4442489294634467E-3</v>
      </c>
      <c r="M8" s="551" t="s">
        <v>336</v>
      </c>
      <c r="N8" s="133">
        <f ca="1">INDIRECT("'DevSumOut-"&amp;$B$2&amp;"BSR'!P52")</f>
        <v>1.4442489294634467E-3</v>
      </c>
      <c r="O8" s="133">
        <f ca="1">INDIRECT("'DevSumOut-"&amp;$B$2&amp;"BSR'!P52")</f>
        <v>1.4442489294634467E-3</v>
      </c>
      <c r="P8" s="551" t="s">
        <v>336</v>
      </c>
      <c r="Q8" s="45">
        <f ca="1">INDIRECT("'DevSumOut-"&amp;$B$2&amp;"BSR'!U52")</f>
        <v>115.9380389783004</v>
      </c>
      <c r="R8" s="45">
        <f ca="1">INDIRECT("'DevSumOut-"&amp;$B$2&amp;"BSR'!U52")</f>
        <v>115.9380389783004</v>
      </c>
      <c r="S8" s="45">
        <f ca="1">INDIRECT("'DevSumOut-"&amp;$B$2&amp;"BSR'!U52")</f>
        <v>115.9380389783004</v>
      </c>
      <c r="T8" s="581" t="s">
        <v>336</v>
      </c>
      <c r="U8" s="45">
        <f ca="1">INDIRECT("'DevSumOut-"&amp;$B$2&amp;"BSR'!U52")</f>
        <v>115.9380389783004</v>
      </c>
      <c r="V8" s="45">
        <f ca="1">INDIRECT("'DevSumOut-"&amp;$B$2&amp;"BSR'!U52")</f>
        <v>115.9380389783004</v>
      </c>
      <c r="W8" s="581" t="s">
        <v>336</v>
      </c>
      <c r="X8" s="133">
        <f t="shared" ca="1" si="0"/>
        <v>0.74742454272515013</v>
      </c>
      <c r="Y8" s="133">
        <f t="shared" ca="1" si="0"/>
        <v>0.74742454272515013</v>
      </c>
      <c r="Z8" s="133">
        <f t="shared" ca="1" si="0"/>
        <v>0.74742454272515013</v>
      </c>
      <c r="AA8" s="133"/>
      <c r="AB8" s="133">
        <f t="shared" ca="1" si="1"/>
        <v>0.74742454272515013</v>
      </c>
      <c r="AC8" s="133">
        <f t="shared" ca="1" si="1"/>
        <v>0.74742454272515013</v>
      </c>
    </row>
    <row r="9" spans="1:29" x14ac:dyDescent="0.25">
      <c r="A9" s="812">
        <v>2104008230</v>
      </c>
      <c r="B9" s="812" t="s">
        <v>140</v>
      </c>
      <c r="C9" s="133">
        <f ca="1">INDIRECT("'DevSumOut-"&amp;$B$2&amp;"BSR'!R53")</f>
        <v>2.8260167018327988E-2</v>
      </c>
      <c r="D9" s="133">
        <f ca="1">INDIRECT("'DevSumOut-"&amp;$B$2&amp;"BSR'!R53")</f>
        <v>2.8260167018327988E-2</v>
      </c>
      <c r="E9" s="133">
        <f ca="1">INDIRECT("'DevSumOut-"&amp;$B$2&amp;"BSR'!R53")</f>
        <v>2.8260167018327988E-2</v>
      </c>
      <c r="F9" s="551" t="s">
        <v>336</v>
      </c>
      <c r="G9" s="133">
        <f ca="1">INDIRECT("'DevSumOut-"&amp;$B$2&amp;"BSR'!R53")</f>
        <v>2.8260167018327988E-2</v>
      </c>
      <c r="H9" s="133">
        <f ca="1">INDIRECT("'DevSumOut-"&amp;$B$2&amp;"BSR'!R53")</f>
        <v>2.8260167018327988E-2</v>
      </c>
      <c r="I9" s="551" t="s">
        <v>336</v>
      </c>
      <c r="J9" s="133">
        <f ca="1">INDIRECT("'DevSumOut-"&amp;$B$2&amp;"BSR'!P53")</f>
        <v>8.6954360056393763E-4</v>
      </c>
      <c r="K9" s="133">
        <f ca="1">INDIRECT("'DevSumOut-"&amp;$B$2&amp;"BSR'!P53")</f>
        <v>8.6954360056393763E-4</v>
      </c>
      <c r="L9" s="133">
        <f ca="1">INDIRECT("'DevSumOut-"&amp;$B$2&amp;"BSR'!P53")</f>
        <v>8.6954360056393763E-4</v>
      </c>
      <c r="M9" s="551" t="s">
        <v>336</v>
      </c>
      <c r="N9" s="133">
        <f ca="1">INDIRECT("'DevSumOut-"&amp;$B$2&amp;"BSR'!P53")</f>
        <v>8.6954360056393763E-4</v>
      </c>
      <c r="O9" s="133">
        <f ca="1">INDIRECT("'DevSumOut-"&amp;$B$2&amp;"BSR'!P53")</f>
        <v>8.6954360056393763E-4</v>
      </c>
      <c r="P9" s="551" t="s">
        <v>336</v>
      </c>
      <c r="Q9" s="45">
        <f ca="1">INDIRECT("'DevSumOut-"&amp;$B$2&amp;"BSR'!U53")</f>
        <v>69.803188216983244</v>
      </c>
      <c r="R9" s="45">
        <f ca="1">INDIRECT("'DevSumOut-"&amp;$B$2&amp;"BSR'!U53")</f>
        <v>69.803188216983244</v>
      </c>
      <c r="S9" s="45">
        <f ca="1">INDIRECT("'DevSumOut-"&amp;$B$2&amp;"BSR'!U53")</f>
        <v>69.803188216983244</v>
      </c>
      <c r="T9" s="581" t="s">
        <v>336</v>
      </c>
      <c r="U9" s="45">
        <f ca="1">INDIRECT("'DevSumOut-"&amp;$B$2&amp;"BSR'!U53")</f>
        <v>69.803188216983244</v>
      </c>
      <c r="V9" s="45">
        <f ca="1">INDIRECT("'DevSumOut-"&amp;$B$2&amp;"BSR'!U53")</f>
        <v>69.803188216983244</v>
      </c>
      <c r="W9" s="581" t="s">
        <v>336</v>
      </c>
      <c r="X9" s="133">
        <f t="shared" ca="1" si="0"/>
        <v>0.80970992128557928</v>
      </c>
      <c r="Y9" s="133">
        <f t="shared" ca="1" si="0"/>
        <v>0.80970992128557928</v>
      </c>
      <c r="Z9" s="133">
        <f t="shared" ca="1" si="0"/>
        <v>0.80970992128557928</v>
      </c>
      <c r="AA9" s="133"/>
      <c r="AB9" s="133">
        <f t="shared" ca="1" si="1"/>
        <v>0.80970992128557928</v>
      </c>
      <c r="AC9" s="133">
        <f t="shared" ca="1" si="1"/>
        <v>0.80970992128557928</v>
      </c>
    </row>
    <row r="10" spans="1:29" x14ac:dyDescent="0.25">
      <c r="A10" s="812">
        <v>2104008310</v>
      </c>
      <c r="B10" s="812" t="s">
        <v>141</v>
      </c>
      <c r="C10" s="133">
        <f ca="1">INDIRECT("'DevSumOut-"&amp;$B$2&amp;"BSR'!R54")</f>
        <v>0.4225788322262124</v>
      </c>
      <c r="D10" s="133">
        <f ca="1">INDIRECT("'DevSumOut-"&amp;$B$2&amp;"BSR'!R54")</f>
        <v>0.4225788322262124</v>
      </c>
      <c r="E10" s="133">
        <f ca="1">INDIRECT("'DevSumOut-"&amp;$B$2&amp;"BSR'!R54")</f>
        <v>0.4225788322262124</v>
      </c>
      <c r="F10" s="551" t="s">
        <v>336</v>
      </c>
      <c r="G10" s="133">
        <f ca="1">INDIRECT("'DevSumOut-"&amp;$B$2&amp;"BSR'!R54")</f>
        <v>0.4225788322262124</v>
      </c>
      <c r="H10" s="133">
        <f ca="1">INDIRECT("'DevSumOut-"&amp;$B$2&amp;"BSR'!R54")</f>
        <v>0.4225788322262124</v>
      </c>
      <c r="I10" s="551" t="s">
        <v>336</v>
      </c>
      <c r="J10" s="133">
        <f ca="1">INDIRECT("'DevSumOut-"&amp;$B$2&amp;"BSR'!P54")</f>
        <v>1.3921192868641121E-2</v>
      </c>
      <c r="K10" s="133">
        <f ca="1">INDIRECT("'DevSumOut-"&amp;$B$2&amp;"BSR'!P54")</f>
        <v>1.3921192868641121E-2</v>
      </c>
      <c r="L10" s="133">
        <f ca="1">INDIRECT("'DevSumOut-"&amp;$B$2&amp;"BSR'!P54")</f>
        <v>1.3921192868641121E-2</v>
      </c>
      <c r="M10" s="551" t="s">
        <v>336</v>
      </c>
      <c r="N10" s="133">
        <f ca="1">INDIRECT("'DevSumOut-"&amp;$B$2&amp;"BSR'!P54")</f>
        <v>1.3921192868641121E-2</v>
      </c>
      <c r="O10" s="133">
        <f ca="1">INDIRECT("'DevSumOut-"&amp;$B$2&amp;"BSR'!P54")</f>
        <v>1.3921192868641121E-2</v>
      </c>
      <c r="P10" s="551" t="s">
        <v>336</v>
      </c>
      <c r="Q10" s="45">
        <f ca="1">INDIRECT("'DevSumOut-"&amp;$B$2&amp;"BSR'!U54")</f>
        <v>1117.5329740618663</v>
      </c>
      <c r="R10" s="45">
        <f ca="1">INDIRECT("'DevSumOut-"&amp;$B$2&amp;"BSR'!U54")</f>
        <v>1117.5329740618663</v>
      </c>
      <c r="S10" s="45">
        <f ca="1">INDIRECT("'DevSumOut-"&amp;$B$2&amp;"BSR'!U54")</f>
        <v>1117.5329740618663</v>
      </c>
      <c r="T10" s="581" t="s">
        <v>336</v>
      </c>
      <c r="U10" s="45">
        <f ca="1">INDIRECT("'DevSumOut-"&amp;$B$2&amp;"BSR'!U54")</f>
        <v>1117.5329740618663</v>
      </c>
      <c r="V10" s="45">
        <f ca="1">INDIRECT("'DevSumOut-"&amp;$B$2&amp;"BSR'!U54")</f>
        <v>1117.5329740618663</v>
      </c>
      <c r="W10" s="581" t="s">
        <v>336</v>
      </c>
      <c r="X10" s="133">
        <f t="shared" ca="1" si="0"/>
        <v>0.75627089675980974</v>
      </c>
      <c r="Y10" s="133">
        <f t="shared" ca="1" si="0"/>
        <v>0.75627089675980974</v>
      </c>
      <c r="Z10" s="133">
        <f t="shared" ca="1" si="0"/>
        <v>0.75627089675980974</v>
      </c>
      <c r="AA10" s="133"/>
      <c r="AB10" s="133">
        <f t="shared" ca="1" si="1"/>
        <v>0.75627089675980974</v>
      </c>
      <c r="AC10" s="133">
        <f t="shared" ca="1" si="1"/>
        <v>0.75627089675980974</v>
      </c>
    </row>
    <row r="11" spans="1:29" x14ac:dyDescent="0.25">
      <c r="A11" s="812">
        <v>2104008320</v>
      </c>
      <c r="B11" s="812" t="s">
        <v>142</v>
      </c>
      <c r="C11" s="133">
        <f ca="1">INDIRECT("'DevSumOut-"&amp;$B$2&amp;"BSR'!R55")</f>
        <v>0.58071170063495825</v>
      </c>
      <c r="D11" s="133">
        <f ca="1">INDIRECT("'DevSumOut-"&amp;$B$2&amp;"BSR'!R55")</f>
        <v>0.58071170063495825</v>
      </c>
      <c r="E11" s="133">
        <f ca="1">INDIRECT("'DevSumOut-"&amp;$B$2&amp;"BSR'!R55")</f>
        <v>0.58071170063495825</v>
      </c>
      <c r="F11" s="551" t="s">
        <v>336</v>
      </c>
      <c r="G11" s="133">
        <f ca="1">INDIRECT("'DevSumOut-"&amp;$B$2&amp;"BSR'!R55")</f>
        <v>0.58071170063495825</v>
      </c>
      <c r="H11" s="133">
        <f ca="1">INDIRECT("'DevSumOut-"&amp;$B$2&amp;"BSR'!R55")</f>
        <v>0.58071170063495825</v>
      </c>
      <c r="I11" s="551" t="s">
        <v>336</v>
      </c>
      <c r="J11" s="133">
        <f ca="1">INDIRECT("'DevSumOut-"&amp;$B$2&amp;"BSR'!P55")</f>
        <v>2.930990648199195E-2</v>
      </c>
      <c r="K11" s="133">
        <f ca="1">INDIRECT("'DevSumOut-"&amp;$B$2&amp;"BSR'!P55")</f>
        <v>2.930990648199195E-2</v>
      </c>
      <c r="L11" s="133">
        <f ca="1">INDIRECT("'DevSumOut-"&amp;$B$2&amp;"BSR'!P55")</f>
        <v>2.930990648199195E-2</v>
      </c>
      <c r="M11" s="551" t="s">
        <v>336</v>
      </c>
      <c r="N11" s="133">
        <f ca="1">INDIRECT("'DevSumOut-"&amp;$B$2&amp;"BSR'!P55")</f>
        <v>2.930990648199195E-2</v>
      </c>
      <c r="O11" s="133">
        <f ca="1">INDIRECT("'DevSumOut-"&amp;$B$2&amp;"BSR'!P55")</f>
        <v>2.930990648199195E-2</v>
      </c>
      <c r="P11" s="551" t="s">
        <v>336</v>
      </c>
      <c r="Q11" s="45">
        <f ca="1">INDIRECT("'DevSumOut-"&amp;$B$2&amp;"BSR'!U55")</f>
        <v>2352.8721474780427</v>
      </c>
      <c r="R11" s="45">
        <f ca="1">INDIRECT("'DevSumOut-"&amp;$B$2&amp;"BSR'!U55")</f>
        <v>2352.8721474780427</v>
      </c>
      <c r="S11" s="45">
        <f ca="1">INDIRECT("'DevSumOut-"&amp;$B$2&amp;"BSR'!U55")</f>
        <v>2352.8721474780427</v>
      </c>
      <c r="T11" s="581" t="s">
        <v>336</v>
      </c>
      <c r="U11" s="45">
        <f ca="1">INDIRECT("'DevSumOut-"&amp;$B$2&amp;"BSR'!U55")</f>
        <v>2352.8721474780427</v>
      </c>
      <c r="V11" s="45">
        <f ca="1">INDIRECT("'DevSumOut-"&amp;$B$2&amp;"BSR'!U55")</f>
        <v>2352.8721474780427</v>
      </c>
      <c r="W11" s="581" t="s">
        <v>336</v>
      </c>
      <c r="X11" s="133">
        <f t="shared" ca="1" si="0"/>
        <v>0.49361942701170719</v>
      </c>
      <c r="Y11" s="133">
        <f t="shared" ca="1" si="0"/>
        <v>0.49361942701170719</v>
      </c>
      <c r="Z11" s="133">
        <f t="shared" ca="1" si="0"/>
        <v>0.49361942701170719</v>
      </c>
      <c r="AA11" s="133"/>
      <c r="AB11" s="133">
        <f t="shared" ca="1" si="1"/>
        <v>0.49361942701170719</v>
      </c>
      <c r="AC11" s="133">
        <f t="shared" ca="1" si="1"/>
        <v>0.49361942701170719</v>
      </c>
    </row>
    <row r="12" spans="1:29" x14ac:dyDescent="0.25">
      <c r="A12" s="812">
        <v>2104008330</v>
      </c>
      <c r="B12" s="812" t="s">
        <v>143</v>
      </c>
      <c r="C12" s="133">
        <f ca="1">INDIRECT("'DevSumOut-"&amp;$B$2&amp;"BSR'!R56")</f>
        <v>0.38794668423482676</v>
      </c>
      <c r="D12" s="133">
        <f ca="1">INDIRECT("'DevSumOut-"&amp;$B$2&amp;"BSR'!R56")</f>
        <v>0.38794668423482676</v>
      </c>
      <c r="E12" s="133">
        <f ca="1">INDIRECT("'DevSumOut-"&amp;$B$2&amp;"BSR'!R56")</f>
        <v>0.38794668423482676</v>
      </c>
      <c r="F12" s="551" t="s">
        <v>336</v>
      </c>
      <c r="G12" s="133">
        <f ca="1">INDIRECT("'DevSumOut-"&amp;$B$2&amp;"BSR'!R56")</f>
        <v>0.38794668423482676</v>
      </c>
      <c r="H12" s="133">
        <f ca="1">INDIRECT("'DevSumOut-"&amp;$B$2&amp;"BSR'!R56")</f>
        <v>0.38794668423482676</v>
      </c>
      <c r="I12" s="551" t="s">
        <v>336</v>
      </c>
      <c r="J12" s="133">
        <f ca="1">INDIRECT("'DevSumOut-"&amp;$B$2&amp;"BSR'!P56")</f>
        <v>1.7646709715071065E-2</v>
      </c>
      <c r="K12" s="133">
        <f ca="1">INDIRECT("'DevSumOut-"&amp;$B$2&amp;"BSR'!P56")</f>
        <v>1.7646709715071065E-2</v>
      </c>
      <c r="L12" s="133">
        <f ca="1">INDIRECT("'DevSumOut-"&amp;$B$2&amp;"BSR'!P56")</f>
        <v>1.7646709715071065E-2</v>
      </c>
      <c r="M12" s="551" t="s">
        <v>336</v>
      </c>
      <c r="N12" s="133">
        <f ca="1">INDIRECT("'DevSumOut-"&amp;$B$2&amp;"BSR'!P56")</f>
        <v>1.7646709715071065E-2</v>
      </c>
      <c r="O12" s="133">
        <f ca="1">INDIRECT("'DevSumOut-"&amp;$B$2&amp;"BSR'!P56")</f>
        <v>1.7646709715071065E-2</v>
      </c>
      <c r="P12" s="551" t="s">
        <v>336</v>
      </c>
      <c r="Q12" s="45">
        <f ca="1">INDIRECT("'DevSumOut-"&amp;$B$2&amp;"BSR'!U56")</f>
        <v>1416.6013053890545</v>
      </c>
      <c r="R12" s="45">
        <f ca="1">INDIRECT("'DevSumOut-"&amp;$B$2&amp;"BSR'!U56")</f>
        <v>1416.6013053890545</v>
      </c>
      <c r="S12" s="45">
        <f ca="1">INDIRECT("'DevSumOut-"&amp;$B$2&amp;"BSR'!U56")</f>
        <v>1416.6013053890545</v>
      </c>
      <c r="T12" s="581" t="s">
        <v>336</v>
      </c>
      <c r="U12" s="45">
        <f ca="1">INDIRECT("'DevSumOut-"&amp;$B$2&amp;"BSR'!U56")</f>
        <v>1416.6013053890545</v>
      </c>
      <c r="V12" s="45">
        <f ca="1">INDIRECT("'DevSumOut-"&amp;$B$2&amp;"BSR'!U56")</f>
        <v>1416.6013053890545</v>
      </c>
      <c r="W12" s="581" t="s">
        <v>336</v>
      </c>
      <c r="X12" s="133">
        <f t="shared" ca="1" si="0"/>
        <v>0.54771470668422306</v>
      </c>
      <c r="Y12" s="133">
        <f t="shared" ca="1" si="0"/>
        <v>0.54771470668422306</v>
      </c>
      <c r="Z12" s="133">
        <f t="shared" ca="1" si="0"/>
        <v>0.54771470668422306</v>
      </c>
      <c r="AA12" s="133"/>
      <c r="AB12" s="133">
        <f t="shared" ca="1" si="1"/>
        <v>0.54771470668422306</v>
      </c>
      <c r="AC12" s="133">
        <f t="shared" ca="1" si="1"/>
        <v>0.54771470668422306</v>
      </c>
    </row>
    <row r="13" spans="1:29" x14ac:dyDescent="0.25">
      <c r="A13" s="812">
        <v>2104008410</v>
      </c>
      <c r="B13" s="812" t="s">
        <v>144</v>
      </c>
      <c r="C13" s="133">
        <f ca="1">INDIRECT("'DevSumOut-"&amp;$B$2&amp;"BSR'!R57")</f>
        <v>1.4314725861425995E-2</v>
      </c>
      <c r="D13" s="133">
        <f ca="1">INDIRECT("'DevSumOut-"&amp;$B$2&amp;"BSR'!R57")</f>
        <v>1.4314725861425995E-2</v>
      </c>
      <c r="E13" s="133">
        <f ca="1">INDIRECT("'DevSumOut-"&amp;$B$2&amp;"BSR'!R57")</f>
        <v>1.4314725861425995E-2</v>
      </c>
      <c r="F13" s="551" t="s">
        <v>336</v>
      </c>
      <c r="G13" s="133">
        <f ca="1">INDIRECT("'DevSumOut-"&amp;$B$2&amp;"BSR'!R57")</f>
        <v>1.4314725861425995E-2</v>
      </c>
      <c r="H13" s="133">
        <f ca="1">INDIRECT("'DevSumOut-"&amp;$B$2&amp;"BSR'!R57")</f>
        <v>1.4314725861425995E-2</v>
      </c>
      <c r="I13" s="551" t="s">
        <v>336</v>
      </c>
      <c r="J13" s="133">
        <f ca="1">INDIRECT("'DevSumOut-"&amp;$B$2&amp;"BSR'!P57")</f>
        <v>1.5475379309649723E-3</v>
      </c>
      <c r="K13" s="133">
        <f ca="1">INDIRECT("'DevSumOut-"&amp;$B$2&amp;"BSR'!P57")</f>
        <v>1.5475379309649723E-3</v>
      </c>
      <c r="L13" s="133">
        <f ca="1">INDIRECT("'DevSumOut-"&amp;$B$2&amp;"BSR'!P57")</f>
        <v>1.5475379309649723E-3</v>
      </c>
      <c r="M13" s="551" t="s">
        <v>336</v>
      </c>
      <c r="N13" s="133">
        <f ca="1">INDIRECT("'DevSumOut-"&amp;$B$2&amp;"BSR'!P57")</f>
        <v>1.5475379309649723E-3</v>
      </c>
      <c r="O13" s="133">
        <f ca="1">INDIRECT("'DevSumOut-"&amp;$B$2&amp;"BSR'!P57")</f>
        <v>1.5475379309649723E-3</v>
      </c>
      <c r="P13" s="551" t="s">
        <v>336</v>
      </c>
      <c r="Q13" s="45">
        <f ca="1">INDIRECT("'DevSumOut-"&amp;$B$2&amp;"BSR'!U57")</f>
        <v>148.35299617203182</v>
      </c>
      <c r="R13" s="45">
        <f ca="1">INDIRECT("'DevSumOut-"&amp;$B$2&amp;"BSR'!U57")</f>
        <v>148.35299617203182</v>
      </c>
      <c r="S13" s="45">
        <f ca="1">INDIRECT("'DevSumOut-"&amp;$B$2&amp;"BSR'!U57")</f>
        <v>148.35299617203182</v>
      </c>
      <c r="T13" s="581" t="s">
        <v>336</v>
      </c>
      <c r="U13" s="45">
        <f ca="1">INDIRECT("'DevSumOut-"&amp;$B$2&amp;"BSR'!U57")</f>
        <v>148.35299617203182</v>
      </c>
      <c r="V13" s="45">
        <f ca="1">INDIRECT("'DevSumOut-"&amp;$B$2&amp;"BSR'!U57")</f>
        <v>148.35299617203182</v>
      </c>
      <c r="W13" s="581" t="s">
        <v>336</v>
      </c>
      <c r="X13" s="133">
        <f t="shared" ca="1" si="0"/>
        <v>0.19298195831281326</v>
      </c>
      <c r="Y13" s="133">
        <f t="shared" ca="1" si="0"/>
        <v>0.19298195831281326</v>
      </c>
      <c r="Z13" s="133">
        <f t="shared" ca="1" si="0"/>
        <v>0.19298195831281326</v>
      </c>
      <c r="AA13" s="133"/>
      <c r="AB13" s="133">
        <f t="shared" ca="1" si="1"/>
        <v>0.19298195831281326</v>
      </c>
      <c r="AC13" s="133">
        <f t="shared" ca="1" si="1"/>
        <v>0.19298195831281326</v>
      </c>
    </row>
    <row r="14" spans="1:29" x14ac:dyDescent="0.25">
      <c r="A14" s="812">
        <v>2104008420</v>
      </c>
      <c r="B14" s="812" t="s">
        <v>145</v>
      </c>
      <c r="C14" s="133">
        <f ca="1">INDIRECT("'DevSumOut-"&amp;$B$2&amp;"BSR'!R58")</f>
        <v>4.8284015212179503E-2</v>
      </c>
      <c r="D14" s="133">
        <f ca="1">INDIRECT("'DevSumOut-"&amp;$B$2&amp;"BSR'!R58")</f>
        <v>4.8284015212179503E-2</v>
      </c>
      <c r="E14" s="133">
        <f ca="1">INDIRECT("'DevSumOut-"&amp;$B$2&amp;"BSR'!R58")</f>
        <v>4.8284015212179503E-2</v>
      </c>
      <c r="F14" s="551" t="s">
        <v>336</v>
      </c>
      <c r="G14" s="133">
        <f ca="1">INDIRECT("'DevSumOut-"&amp;$B$2&amp;"BSR'!R58")</f>
        <v>4.8284015212179503E-2</v>
      </c>
      <c r="H14" s="133">
        <f ca="1">INDIRECT("'DevSumOut-"&amp;$B$2&amp;"BSR'!R58")</f>
        <v>4.8284015212179503E-2</v>
      </c>
      <c r="I14" s="551" t="s">
        <v>336</v>
      </c>
      <c r="J14" s="133">
        <f ca="1">INDIRECT("'DevSumOut-"&amp;$B$2&amp;"BSR'!P58")</f>
        <v>5.2198935364518393E-3</v>
      </c>
      <c r="K14" s="133">
        <f ca="1">INDIRECT("'DevSumOut-"&amp;$B$2&amp;"BSR'!P58")</f>
        <v>5.2198935364518393E-3</v>
      </c>
      <c r="L14" s="133">
        <f ca="1">INDIRECT("'DevSumOut-"&amp;$B$2&amp;"BSR'!P58")</f>
        <v>5.2198935364518393E-3</v>
      </c>
      <c r="M14" s="551" t="s">
        <v>336</v>
      </c>
      <c r="N14" s="133">
        <f ca="1">INDIRECT("'DevSumOut-"&amp;$B$2&amp;"BSR'!P58")</f>
        <v>5.2198935364518393E-3</v>
      </c>
      <c r="O14" s="133">
        <f ca="1">INDIRECT("'DevSumOut-"&amp;$B$2&amp;"BSR'!P58")</f>
        <v>5.2198935364518393E-3</v>
      </c>
      <c r="P14" s="551" t="s">
        <v>336</v>
      </c>
      <c r="Q14" s="45">
        <f ca="1">INDIRECT("'DevSumOut-"&amp;$B$2&amp;"BSR'!U58")</f>
        <v>500.39926669117693</v>
      </c>
      <c r="R14" s="45">
        <f ca="1">INDIRECT("'DevSumOut-"&amp;$B$2&amp;"BSR'!U58")</f>
        <v>500.39926669117693</v>
      </c>
      <c r="S14" s="45">
        <f ca="1">INDIRECT("'DevSumOut-"&amp;$B$2&amp;"BSR'!U58")</f>
        <v>500.39926669117693</v>
      </c>
      <c r="T14" s="581" t="s">
        <v>336</v>
      </c>
      <c r="U14" s="45">
        <f ca="1">INDIRECT("'DevSumOut-"&amp;$B$2&amp;"BSR'!U58")</f>
        <v>500.39926669117693</v>
      </c>
      <c r="V14" s="45">
        <f ca="1">INDIRECT("'DevSumOut-"&amp;$B$2&amp;"BSR'!U58")</f>
        <v>500.39926669117693</v>
      </c>
      <c r="W14" s="581" t="s">
        <v>336</v>
      </c>
      <c r="X14" s="133">
        <f t="shared" ca="1" si="0"/>
        <v>0.1929819583128132</v>
      </c>
      <c r="Y14" s="133">
        <f t="shared" ca="1" si="0"/>
        <v>0.1929819583128132</v>
      </c>
      <c r="Z14" s="133">
        <f t="shared" ca="1" si="0"/>
        <v>0.1929819583128132</v>
      </c>
      <c r="AA14" s="133"/>
      <c r="AB14" s="133">
        <f t="shared" ca="1" si="1"/>
        <v>0.1929819583128132</v>
      </c>
      <c r="AC14" s="133">
        <f t="shared" ca="1" si="1"/>
        <v>0.1929819583128132</v>
      </c>
    </row>
    <row r="15" spans="1:29" x14ac:dyDescent="0.25">
      <c r="A15" s="812">
        <v>2104008610</v>
      </c>
      <c r="B15" s="812" t="s">
        <v>146</v>
      </c>
      <c r="C15" s="133">
        <f ca="1">INDIRECT("'DevSumOut-"&amp;$B$2&amp;"BSR'!R59")</f>
        <v>0.239892738928837</v>
      </c>
      <c r="D15" s="133">
        <f ca="1">INDIRECT("'DevSumOut-"&amp;$B$2&amp;"BSR'!R59")</f>
        <v>0.239892738928837</v>
      </c>
      <c r="E15" s="133">
        <f ca="1">INDIRECT("'DevSumOut-"&amp;$B$2&amp;"BSR'!R59")</f>
        <v>0.239892738928837</v>
      </c>
      <c r="F15" s="551" t="s">
        <v>336</v>
      </c>
      <c r="G15" s="133">
        <f ca="1">INDIRECT("'DevSumOut-"&amp;$B$2&amp;"BSR'!R59")</f>
        <v>0.239892738928837</v>
      </c>
      <c r="H15" s="133">
        <f ca="1">INDIRECT("'DevSumOut-"&amp;$B$2&amp;"BSR'!R59")</f>
        <v>0.239892738928837</v>
      </c>
      <c r="I15" s="551" t="s">
        <v>336</v>
      </c>
      <c r="J15" s="133">
        <f ca="1">INDIRECT("'DevSumOut-"&amp;$B$2&amp;"BSR'!P59")</f>
        <v>9.7219470176879395E-3</v>
      </c>
      <c r="K15" s="133">
        <f ca="1">INDIRECT("'DevSumOut-"&amp;$B$2&amp;"BSR'!P59")</f>
        <v>9.7219470176879395E-3</v>
      </c>
      <c r="L15" s="133">
        <f ca="1">INDIRECT("'DevSumOut-"&amp;$B$2&amp;"BSR'!P59")</f>
        <v>9.7219470176879395E-3</v>
      </c>
      <c r="M15" s="551" t="s">
        <v>336</v>
      </c>
      <c r="N15" s="133">
        <f ca="1">INDIRECT("'DevSumOut-"&amp;$B$2&amp;"BSR'!P59")</f>
        <v>9.7219470176879395E-3</v>
      </c>
      <c r="O15" s="133">
        <f ca="1">INDIRECT("'DevSumOut-"&amp;$B$2&amp;"BSR'!P59")</f>
        <v>9.7219470176879395E-3</v>
      </c>
      <c r="P15" s="551" t="s">
        <v>336</v>
      </c>
      <c r="Q15" s="45">
        <f ca="1">INDIRECT("'DevSumOut-"&amp;$B$2&amp;"BSR'!U59")</f>
        <v>780.1678336742666</v>
      </c>
      <c r="R15" s="45">
        <f ca="1">INDIRECT("'DevSumOut-"&amp;$B$2&amp;"BSR'!U59")</f>
        <v>780.1678336742666</v>
      </c>
      <c r="S15" s="45">
        <f ca="1">INDIRECT("'DevSumOut-"&amp;$B$2&amp;"BSR'!U59")</f>
        <v>780.1678336742666</v>
      </c>
      <c r="T15" s="581" t="s">
        <v>336</v>
      </c>
      <c r="U15" s="45">
        <f ca="1">INDIRECT("'DevSumOut-"&amp;$B$2&amp;"BSR'!U59")</f>
        <v>780.1678336742666</v>
      </c>
      <c r="V15" s="45">
        <f ca="1">INDIRECT("'DevSumOut-"&amp;$B$2&amp;"BSR'!U59")</f>
        <v>780.1678336742666</v>
      </c>
      <c r="W15" s="581" t="s">
        <v>336</v>
      </c>
      <c r="X15" s="133">
        <f t="shared" ca="1" si="0"/>
        <v>0.61497726149267595</v>
      </c>
      <c r="Y15" s="133">
        <f t="shared" ca="1" si="0"/>
        <v>0.61497726149267595</v>
      </c>
      <c r="Z15" s="133">
        <f t="shared" ca="1" si="0"/>
        <v>0.61497726149267595</v>
      </c>
      <c r="AA15" s="133"/>
      <c r="AB15" s="133">
        <f t="shared" ca="1" si="1"/>
        <v>0.61497726149267595</v>
      </c>
      <c r="AC15" s="133">
        <f t="shared" ca="1" si="1"/>
        <v>0.61497726149267595</v>
      </c>
    </row>
    <row r="16" spans="1:29" x14ac:dyDescent="0.25">
      <c r="A16" s="812">
        <v>2104004000</v>
      </c>
      <c r="B16" s="812" t="s">
        <v>568</v>
      </c>
      <c r="C16" s="133">
        <f ca="1">INDIRECT("'DevSumOut-"&amp;$B$2&amp;"BSR'!R60")</f>
        <v>5.2619106860800471E-2</v>
      </c>
      <c r="D16" s="133">
        <f ca="1">INDIRECT("'DevSumOut-"&amp;$B$2&amp;"BSR'!R60")</f>
        <v>5.2619106860800471E-2</v>
      </c>
      <c r="E16" s="133">
        <f ca="1">INDIRECT("'DevSumOut-"&amp;$B$2&amp;"BSR'!R60")</f>
        <v>5.2619106860800471E-2</v>
      </c>
      <c r="F16" s="551" t="s">
        <v>336</v>
      </c>
      <c r="G16" s="133">
        <f ca="1">INDIRECT("'DevSumOut-"&amp;$B$2&amp;"BSR'!R60")</f>
        <v>5.2619106860800471E-2</v>
      </c>
      <c r="H16" s="133">
        <f ca="1">INDIRECT("'DevSumOut-"&amp;$B$2&amp;"BSR'!R60")</f>
        <v>5.2619106860800471E-2</v>
      </c>
      <c r="I16" s="551" t="s">
        <v>336</v>
      </c>
      <c r="J16" s="133">
        <f ca="1">INDIRECT("'DevSumOut-"&amp;$B$2&amp;"BSR'!P60")</f>
        <v>3.3307874389924792</v>
      </c>
      <c r="K16" s="133">
        <f ca="1">INDIRECT("'DevSumOut-"&amp;$B$2&amp;"BSR'!P60")</f>
        <v>3.3307874389924792</v>
      </c>
      <c r="L16" s="133">
        <f ca="1">INDIRECT("'DevSumOut-"&amp;$B$2&amp;"BSR'!P60")</f>
        <v>3.3307874389924792</v>
      </c>
      <c r="M16" s="551" t="s">
        <v>336</v>
      </c>
      <c r="N16" s="133">
        <f ca="1">INDIRECT("'DevSumOut-"&amp;$B$2&amp;"BSR'!P60")</f>
        <v>3.3307874389924792</v>
      </c>
      <c r="O16" s="133">
        <f ca="1">INDIRECT("'DevSumOut-"&amp;$B$2&amp;"BSR'!P60")</f>
        <v>3.3307874389924792</v>
      </c>
      <c r="P16" s="551" t="s">
        <v>336</v>
      </c>
      <c r="Q16" s="45">
        <f ca="1">INDIRECT("'DevSumOut-"&amp;$B$2&amp;"BSR'!U60")</f>
        <v>30933.37700695216</v>
      </c>
      <c r="R16" s="45">
        <f ca="1">INDIRECT("'DevSumOut-"&amp;$B$2&amp;"BSR'!U60")</f>
        <v>30933.37700695216</v>
      </c>
      <c r="S16" s="45">
        <f ca="1">INDIRECT("'DevSumOut-"&amp;$B$2&amp;"BSR'!U60")</f>
        <v>30933.37700695216</v>
      </c>
      <c r="T16" s="581" t="s">
        <v>336</v>
      </c>
      <c r="U16" s="45">
        <f ca="1">INDIRECT("'DevSumOut-"&amp;$B$2&amp;"BSR'!U60")</f>
        <v>30933.37700695216</v>
      </c>
      <c r="V16" s="45">
        <f ca="1">INDIRECT("'DevSumOut-"&amp;$B$2&amp;"BSR'!U60")</f>
        <v>30933.37700695216</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2">
        <v>2103004001</v>
      </c>
      <c r="B17" s="812" t="s">
        <v>148</v>
      </c>
      <c r="C17" s="133">
        <f ca="1">INDIRECT("'DevSumOut-"&amp;$B$2&amp;"BSR'!R61")</f>
        <v>1.731802816901612E-2</v>
      </c>
      <c r="D17" s="133">
        <f ca="1">INDIRECT("'DevSumOut-"&amp;$B$2&amp;"BSR'!R61")</f>
        <v>1.731802816901612E-2</v>
      </c>
      <c r="E17" s="133">
        <f ca="1">INDIRECT("'DevSumOut-"&amp;$B$2&amp;"BSR'!R61")</f>
        <v>1.731802816901612E-2</v>
      </c>
      <c r="F17" s="551" t="s">
        <v>336</v>
      </c>
      <c r="G17" s="133">
        <f ca="1">INDIRECT("'DevSumOut-"&amp;$B$2&amp;"BSR'!R61")</f>
        <v>1.731802816901612E-2</v>
      </c>
      <c r="H17" s="133">
        <f ca="1">INDIRECT("'DevSumOut-"&amp;$B$2&amp;"BSR'!R61")</f>
        <v>1.731802816901612E-2</v>
      </c>
      <c r="I17" s="551" t="s">
        <v>336</v>
      </c>
      <c r="J17" s="133">
        <f ca="1">INDIRECT("'DevSumOut-"&amp;$B$2&amp;"BSR'!P61")</f>
        <v>0.48257147534161138</v>
      </c>
      <c r="K17" s="133">
        <f ca="1">INDIRECT("'DevSumOut-"&amp;$B$2&amp;"BSR'!P61")</f>
        <v>0.48257147534161138</v>
      </c>
      <c r="L17" s="133">
        <f ca="1">INDIRECT("'DevSumOut-"&amp;$B$2&amp;"BSR'!P61")</f>
        <v>0.48257147534161138</v>
      </c>
      <c r="M17" s="551" t="s">
        <v>336</v>
      </c>
      <c r="N17" s="133">
        <f ca="1">INDIRECT("'DevSumOut-"&amp;$B$2&amp;"BSR'!P61")</f>
        <v>0.48257147534161138</v>
      </c>
      <c r="O17" s="133">
        <f ca="1">INDIRECT("'DevSumOut-"&amp;$B$2&amp;"BSR'!P61")</f>
        <v>0.48257147534161138</v>
      </c>
      <c r="P17" s="551" t="s">
        <v>336</v>
      </c>
      <c r="Q17" s="45">
        <f ca="1">INDIRECT("'DevSumOut-"&amp;$B$2&amp;"BSR'!U61")</f>
        <v>10506.185446242012</v>
      </c>
      <c r="R17" s="45">
        <f ca="1">INDIRECT("'DevSumOut-"&amp;$B$2&amp;"BSR'!U61")</f>
        <v>10506.185446242012</v>
      </c>
      <c r="S17" s="45">
        <f ca="1">INDIRECT("'DevSumOut-"&amp;$B$2&amp;"BSR'!U61")</f>
        <v>10506.185446242012</v>
      </c>
      <c r="T17" s="581" t="s">
        <v>336</v>
      </c>
      <c r="U17" s="45">
        <f ca="1">INDIRECT("'DevSumOut-"&amp;$B$2&amp;"BSR'!U61")</f>
        <v>10506.185446242012</v>
      </c>
      <c r="V17" s="45">
        <f ca="1">INDIRECT("'DevSumOut-"&amp;$B$2&amp;"BSR'!U61")</f>
        <v>10506.185446242012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2">
        <v>2104004000</v>
      </c>
      <c r="B18" s="812" t="s">
        <v>746</v>
      </c>
      <c r="C18" s="133">
        <f ca="1">INDIRECT("'DevSumOut-"&amp;$B$2&amp;"BSR'!R62")</f>
        <v>3.1431882557342143E-4</v>
      </c>
      <c r="D18" s="133">
        <f ca="1">INDIRECT("'DevSumOut-"&amp;$B$2&amp;"BSR'!R62")</f>
        <v>3.1431882557342143E-4</v>
      </c>
      <c r="E18" s="133">
        <f ca="1">INDIRECT("'DevSumOut-"&amp;$B$2&amp;"BSR'!R62")</f>
        <v>3.1431882557342143E-4</v>
      </c>
      <c r="F18" s="551" t="s">
        <v>336</v>
      </c>
      <c r="G18" s="133">
        <f ca="1">INDIRECT("'DevSumOut-"&amp;$B$2&amp;"BSR'!R62")</f>
        <v>3.1431882557342143E-4</v>
      </c>
      <c r="H18" s="133">
        <f ca="1">INDIRECT("'DevSumOut-"&amp;$B$2&amp;"BSR'!R62")</f>
        <v>3.1431882557342143E-4</v>
      </c>
      <c r="I18" s="551" t="s">
        <v>336</v>
      </c>
      <c r="J18" s="133">
        <f ca="1">INDIRECT("'DevSumOut-"&amp;$B$2&amp;"BSR'!P62")</f>
        <v>2.2711561585978843E-2</v>
      </c>
      <c r="K18" s="133">
        <f ca="1">INDIRECT("'DevSumOut-"&amp;$B$2&amp;"BSR'!P62")</f>
        <v>2.2711561585978843E-2</v>
      </c>
      <c r="L18" s="133">
        <f ca="1">INDIRECT("'DevSumOut-"&amp;$B$2&amp;"BSR'!P62")</f>
        <v>2.2711561585978843E-2</v>
      </c>
      <c r="M18" s="551" t="s">
        <v>336</v>
      </c>
      <c r="N18" s="133">
        <f ca="1">INDIRECT("'DevSumOut-"&amp;$B$2&amp;"BSR'!P62")</f>
        <v>2.2711561585978843E-2</v>
      </c>
      <c r="O18" s="133">
        <f ca="1">INDIRECT("'DevSumOut-"&amp;$B$2&amp;"BSR'!P62")</f>
        <v>2.2711561585978843E-2</v>
      </c>
      <c r="P18" s="551" t="s">
        <v>336</v>
      </c>
      <c r="Q18" s="45">
        <f ca="1">INDIRECT("'DevSumOut-"&amp;$B$2&amp;"BSR'!U62")</f>
        <v>215.30053754715436</v>
      </c>
      <c r="R18" s="45">
        <f ca="1">INDIRECT("'DevSumOut-"&amp;$B$2&amp;"BSR'!U62")</f>
        <v>215.30053754715436</v>
      </c>
      <c r="S18" s="45">
        <f ca="1">INDIRECT("'DevSumOut-"&amp;$B$2&amp;"BSR'!U62")</f>
        <v>215.30053754715436</v>
      </c>
      <c r="T18" s="581" t="s">
        <v>336</v>
      </c>
      <c r="U18" s="45">
        <f ca="1">INDIRECT("'DevSumOut-"&amp;$B$2&amp;"BSR'!U62")</f>
        <v>215.30053754715436</v>
      </c>
      <c r="V18" s="45">
        <f ca="1">INDIRECT("'DevSumOut-"&amp;$B$2&amp;"BSR'!U62")</f>
        <v>215.30053754715436</v>
      </c>
      <c r="W18" s="581" t="s">
        <v>336</v>
      </c>
      <c r="X18" s="133">
        <f t="shared" ca="1" si="0"/>
        <v>2.9198145917734221E-3</v>
      </c>
      <c r="Y18" s="133">
        <f t="shared" ca="1" si="0"/>
        <v>2.9198145917734221E-3</v>
      </c>
      <c r="Z18" s="133">
        <f t="shared" ca="1" si="0"/>
        <v>2.9198145917734221E-3</v>
      </c>
      <c r="AA18" s="133"/>
      <c r="AB18" s="133">
        <f t="shared" ca="1" si="1"/>
        <v>2.9198145917734221E-3</v>
      </c>
      <c r="AC18" s="133">
        <f t="shared" ca="1" si="1"/>
        <v>2.9198145917734221E-3</v>
      </c>
    </row>
    <row r="19" spans="1:29" x14ac:dyDescent="0.25">
      <c r="A19" s="812">
        <v>2104007000</v>
      </c>
      <c r="B19" s="812" t="s">
        <v>747</v>
      </c>
      <c r="C19" s="133">
        <f ca="1">INDIRECT("'DevSumOut-"&amp;$B$2&amp;"BSR'!R63")</f>
        <v>1.2168502671269714E-3</v>
      </c>
      <c r="D19" s="133">
        <f ca="1">INDIRECT("'DevSumOut-"&amp;$B$2&amp;"BSR'!R63")</f>
        <v>1.2168502671269714E-3</v>
      </c>
      <c r="E19" s="133">
        <f ca="1">INDIRECT("'DevSumOut-"&amp;$B$2&amp;"BSR'!R63")</f>
        <v>1.2168502671269714E-3</v>
      </c>
      <c r="F19" s="551" t="s">
        <v>336</v>
      </c>
      <c r="G19" s="133">
        <f ca="1">INDIRECT("'DevSumOut-"&amp;$B$2&amp;"BSR'!R63")</f>
        <v>1.2168502671269714E-3</v>
      </c>
      <c r="H19" s="133">
        <f ca="1">INDIRECT("'DevSumOut-"&amp;$B$2&amp;"BSR'!R63")</f>
        <v>1.2168502671269714E-3</v>
      </c>
      <c r="I19" s="551" t="s">
        <v>336</v>
      </c>
      <c r="J19" s="133">
        <f ca="1">INDIRECT("'DevSumOut-"&amp;$B$2&amp;"BSR'!P63")</f>
        <v>7.7026575072876538E-2</v>
      </c>
      <c r="K19" s="133">
        <f ca="1">INDIRECT("'DevSumOut-"&amp;$B$2&amp;"BSR'!P63")</f>
        <v>7.7026575072876538E-2</v>
      </c>
      <c r="L19" s="133">
        <f ca="1">INDIRECT("'DevSumOut-"&amp;$B$2&amp;"BSR'!P63")</f>
        <v>7.7026575072876538E-2</v>
      </c>
      <c r="M19" s="551" t="s">
        <v>336</v>
      </c>
      <c r="N19" s="133">
        <f ca="1">INDIRECT("'DevSumOut-"&amp;$B$2&amp;"BSR'!P63")</f>
        <v>7.7026575072876538E-2</v>
      </c>
      <c r="O19" s="133">
        <f ca="1">INDIRECT("'DevSumOut-"&amp;$B$2&amp;"BSR'!P63")</f>
        <v>7.7026575072876538E-2</v>
      </c>
      <c r="P19" s="551" t="s">
        <v>336</v>
      </c>
      <c r="Q19" s="45">
        <f ca="1">INDIRECT("'DevSumOut-"&amp;$B$2&amp;"BSR'!U63")</f>
        <v>666.26040120564414</v>
      </c>
      <c r="R19" s="45">
        <f ca="1">INDIRECT("'DevSumOut-"&amp;$B$2&amp;"BSR'!U63")</f>
        <v>666.26040120564414</v>
      </c>
      <c r="S19" s="45">
        <f ca="1">INDIRECT("'DevSumOut-"&amp;$B$2&amp;"BSR'!U63")</f>
        <v>666.26040120564414</v>
      </c>
      <c r="T19" s="581" t="s">
        <v>336</v>
      </c>
      <c r="U19" s="45">
        <f ca="1">INDIRECT("'DevSumOut-"&amp;$B$2&amp;"BSR'!U63")</f>
        <v>666.26040120564414</v>
      </c>
      <c r="V19" s="45">
        <f ca="1">INDIRECT("'DevSumOut-"&amp;$B$2&amp;"BSR'!U63")</f>
        <v>666.26040120564414</v>
      </c>
      <c r="W19" s="581" t="s">
        <v>336</v>
      </c>
      <c r="X19" s="133">
        <f t="shared" ca="1" si="0"/>
        <v>3.6527767969550553E-3</v>
      </c>
      <c r="Y19" s="133">
        <f t="shared" ca="1" si="0"/>
        <v>3.6527767969550553E-3</v>
      </c>
      <c r="Z19" s="133">
        <f t="shared" ca="1" si="0"/>
        <v>3.6527767969550553E-3</v>
      </c>
      <c r="AA19" s="133"/>
      <c r="AB19" s="133">
        <f t="shared" ca="1" si="1"/>
        <v>3.6527767969550553E-3</v>
      </c>
      <c r="AC19" s="133">
        <f t="shared" ca="1" si="1"/>
        <v>3.6527767969550553E-3</v>
      </c>
    </row>
    <row r="20" spans="1:29" x14ac:dyDescent="0.25">
      <c r="A20" s="812">
        <v>2104006010</v>
      </c>
      <c r="B20" s="812"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7.0898784775737624E-5</v>
      </c>
      <c r="K20" s="133">
        <f ca="1">INDIRECT("'DevSumOut-"&amp;$B$2&amp;"BSR'!P64")</f>
        <v>7.0898784775737624E-5</v>
      </c>
      <c r="L20" s="133">
        <f ca="1">INDIRECT("'DevSumOut-"&amp;$B$2&amp;"BSR'!P64")</f>
        <v>7.0898784775737624E-5</v>
      </c>
      <c r="M20" s="551" t="s">
        <v>336</v>
      </c>
      <c r="N20" s="133">
        <f ca="1">INDIRECT("'DevSumOut-"&amp;$B$2&amp;"BSR'!P64")</f>
        <v>7.0898784775737624E-5</v>
      </c>
      <c r="O20" s="133">
        <f ca="1">INDIRECT("'DevSumOut-"&amp;$B$2&amp;"BSR'!P64")</f>
        <v>7.0898784775737624E-5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2">
        <v>2103006000</v>
      </c>
      <c r="B21" s="812"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7.9575146604215379E-4</v>
      </c>
      <c r="K21" s="133">
        <f ca="1">INDIRECT("'DevSumOut-"&amp;$B$2&amp;"BSR'!P65")</f>
        <v>7.9575146604215379E-4</v>
      </c>
      <c r="L21" s="133">
        <f ca="1">INDIRECT("'DevSumOut-"&amp;$B$2&amp;"BSR'!P65")</f>
        <v>7.9575146604215379E-4</v>
      </c>
      <c r="M21" s="551" t="s">
        <v>336</v>
      </c>
      <c r="N21" s="133">
        <f ca="1">INDIRECT("'DevSumOut-"&amp;$B$2&amp;"BSR'!P65")</f>
        <v>7.9575146604215379E-4</v>
      </c>
      <c r="O21" s="133">
        <f ca="1">INDIRECT("'DevSumOut-"&amp;$B$2&amp;"BSR'!P65")</f>
        <v>7.9575146604215379E-4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7.487684729064038E-3</v>
      </c>
      <c r="Y21" s="133">
        <f t="shared" ca="1" si="0"/>
        <v>7.487684729064038E-3</v>
      </c>
      <c r="Z21" s="133">
        <f t="shared" ca="1" si="0"/>
        <v>7.487684729064038E-3</v>
      </c>
      <c r="AA21" s="133"/>
      <c r="AB21" s="133">
        <f t="shared" ca="1" si="1"/>
        <v>7.487684729064038E-3</v>
      </c>
      <c r="AC21" s="133">
        <f t="shared" ca="1" si="1"/>
        <v>7.487684729064038E-3</v>
      </c>
    </row>
    <row r="22" spans="1:29" x14ac:dyDescent="0.25">
      <c r="A22" s="812">
        <v>2104002000</v>
      </c>
      <c r="B22" s="812" t="s">
        <v>151</v>
      </c>
      <c r="C22" s="133">
        <f ca="1">INDIRECT("'DevSumOut-"&amp;$B$2&amp;"BSR'!R66")</f>
        <v>9.37943439755861E-2</v>
      </c>
      <c r="D22" s="133">
        <f ca="1">INDIRECT("'DevSumOut-"&amp;$B$2&amp;"BSR'!R66")</f>
        <v>9.37943439755861E-2</v>
      </c>
      <c r="E22" s="133">
        <f ca="1">INDIRECT("'DevSumOut-"&amp;$B$2&amp;"BSR'!R66")</f>
        <v>9.37943439755861E-2</v>
      </c>
      <c r="F22" s="551" t="s">
        <v>336</v>
      </c>
      <c r="G22" s="133">
        <f ca="1">INDIRECT("'DevSumOut-"&amp;$B$2&amp;"BSR'!R66")</f>
        <v>9.37943439755861E-2</v>
      </c>
      <c r="H22" s="133">
        <f ca="1">INDIRECT("'DevSumOut-"&amp;$B$2&amp;"BSR'!R66")</f>
        <v>9.37943439755861E-2</v>
      </c>
      <c r="I22" s="551" t="s">
        <v>336</v>
      </c>
      <c r="J22" s="133">
        <f ca="1">INDIRECT("'DevSumOut-"&amp;$B$2&amp;"BSR'!P66")</f>
        <v>0.10917239035956829</v>
      </c>
      <c r="K22" s="133">
        <f ca="1">INDIRECT("'DevSumOut-"&amp;$B$2&amp;"BSR'!P66")</f>
        <v>0.10917239035956829</v>
      </c>
      <c r="L22" s="133">
        <f ca="1">INDIRECT("'DevSumOut-"&amp;$B$2&amp;"BSR'!P66")</f>
        <v>0.10917239035956829</v>
      </c>
      <c r="M22" s="551" t="s">
        <v>336</v>
      </c>
      <c r="N22" s="133">
        <f ca="1">INDIRECT("'DevSumOut-"&amp;$B$2&amp;"BSR'!P66")</f>
        <v>0.10917239035956829</v>
      </c>
      <c r="O22" s="133">
        <f ca="1">INDIRECT("'DevSumOut-"&amp;$B$2&amp;"BSR'!P66")</f>
        <v>0.10917239035956829</v>
      </c>
      <c r="P22" s="551" t="s">
        <v>336</v>
      </c>
      <c r="Q22" s="45">
        <f ca="1">INDIRECT("'DevSumOut-"&amp;$B$2&amp;"BSR'!U66")</f>
        <v>356.86458784202961</v>
      </c>
      <c r="R22" s="45">
        <f ca="1">INDIRECT("'DevSumOut-"&amp;$B$2&amp;"BSR'!U66")</f>
        <v>356.86458784202961</v>
      </c>
      <c r="S22" s="45">
        <f ca="1">INDIRECT("'DevSumOut-"&amp;$B$2&amp;"BSR'!U66")</f>
        <v>356.86458784202961</v>
      </c>
      <c r="T22" s="581" t="s">
        <v>336</v>
      </c>
      <c r="U22" s="45">
        <f ca="1">INDIRECT("'DevSumOut-"&amp;$B$2&amp;"BSR'!U66")</f>
        <v>356.86458784202961</v>
      </c>
      <c r="V22" s="45">
        <f ca="1">INDIRECT("'DevSumOut-"&amp;$B$2&amp;"BSR'!U66")</f>
        <v>356.86458784202961</v>
      </c>
      <c r="W22" s="581" t="s">
        <v>336</v>
      </c>
      <c r="X22" s="133">
        <f t="shared" ca="1" si="0"/>
        <v>0.52565789473684232</v>
      </c>
      <c r="Y22" s="133">
        <f t="shared" ca="1" si="0"/>
        <v>0.52565789473684232</v>
      </c>
      <c r="Z22" s="133">
        <f t="shared" ca="1" si="0"/>
        <v>0.52565789473684232</v>
      </c>
      <c r="AA22" s="133"/>
      <c r="AB22" s="133">
        <f t="shared" ca="1" si="1"/>
        <v>0.52565789473684232</v>
      </c>
      <c r="AC22" s="133">
        <f t="shared" ca="1" si="1"/>
        <v>0.52565789473684232</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2.6684158267578719</v>
      </c>
      <c r="D26" s="137">
        <f ca="1">SUM(D6:D25)</f>
        <v>2.6684158267578719</v>
      </c>
      <c r="E26" s="137">
        <f ca="1">SUM(E6:E25)</f>
        <v>2.6684158267578719</v>
      </c>
      <c r="F26" s="566" t="s">
        <v>336</v>
      </c>
      <c r="G26" s="137">
        <f t="shared" ref="G26:H26" ca="1" si="2">SUM(G6:G25)</f>
        <v>2.6684158267578719</v>
      </c>
      <c r="H26" s="137">
        <f t="shared" ca="1" si="2"/>
        <v>2.6684158267578719</v>
      </c>
      <c r="I26" s="566" t="s">
        <v>336</v>
      </c>
      <c r="J26" s="137">
        <f ca="1">SUM(J6:J25)</f>
        <v>4.1283922370161692</v>
      </c>
      <c r="K26" s="137">
        <f ca="1">SUM(K6:K25)</f>
        <v>4.1283922370161692</v>
      </c>
      <c r="L26" s="137">
        <f ca="1">SUM(L6:L25)</f>
        <v>4.1283922370161692</v>
      </c>
      <c r="M26" s="566" t="s">
        <v>336</v>
      </c>
      <c r="N26" s="137">
        <f ca="1">SUM(N6:N25)</f>
        <v>4.1283922370161692</v>
      </c>
      <c r="O26" s="137">
        <f ca="1">SUM(O6:O25)</f>
        <v>4.1283922370161692</v>
      </c>
      <c r="P26" s="566" t="s">
        <v>336</v>
      </c>
      <c r="Q26" s="87">
        <f ca="1">SUM(Q6:Q25)</f>
        <v>52991.803244857532</v>
      </c>
      <c r="R26" s="87">
        <f ca="1">SUM(R6:R25)</f>
        <v>52991.803244857532</v>
      </c>
      <c r="S26" s="87">
        <f ca="1">SUM(S6:S25)</f>
        <v>52991.803244857532</v>
      </c>
      <c r="T26" s="566" t="s">
        <v>336</v>
      </c>
      <c r="U26" s="87">
        <f ca="1">SUM(U6:U25)</f>
        <v>52991.803244857532</v>
      </c>
      <c r="V26" s="87">
        <f ca="1">SUM(V6:V25)</f>
        <v>52991.803244857532</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2023 Baseline PM2.5 Emissions (tpd) by Curtailment Regime and AQCZ</v>
      </c>
      <c r="D30" s="840"/>
      <c r="E30" s="840"/>
      <c r="F30" s="840"/>
      <c r="G30" s="840"/>
      <c r="H30" s="840"/>
      <c r="I30" s="840"/>
      <c r="J30" s="840" t="str">
        <f>$B$2&amp;" Baseline SO2 Emissions (tpd) by Curtailment Regime and AQCZ"</f>
        <v>2023 Baseline SO2 Emissions (tpd) by Curtailment Regime and AQCZ</v>
      </c>
      <c r="K30" s="840"/>
      <c r="L30" s="840"/>
      <c r="M30" s="840"/>
      <c r="N30" s="840"/>
      <c r="O30" s="840"/>
      <c r="P30" s="840"/>
      <c r="Q30" s="840" t="str">
        <f>$B$2&amp;" Baseline Energy Use (mmBTU) by Curtailment Regime and AQCZ"</f>
        <v>2023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1.004328264678563</v>
      </c>
      <c r="D32" s="133">
        <f ca="1">(D26-D33)*AQCZSplits!$F$5</f>
        <v>1.004328264678563</v>
      </c>
      <c r="E32" s="133">
        <f ca="1">(E26-E33)*AQCZSplits!$F$5</f>
        <v>1.004328264678563</v>
      </c>
      <c r="F32" s="551" t="s">
        <v>336</v>
      </c>
      <c r="G32" s="133">
        <f ca="1">(G26-G33)*AQCZSplits!$F$5</f>
        <v>1.004328264678563</v>
      </c>
      <c r="H32" s="133">
        <f ca="1">(H26-H33)*AQCZSplits!$F$5</f>
        <v>1.004328264678563</v>
      </c>
      <c r="I32" s="551" t="s">
        <v>336</v>
      </c>
      <c r="J32" s="133">
        <f ca="1">(J26-J33)*AQCZSplits!$F$5</f>
        <v>1.8471176674877157</v>
      </c>
      <c r="K32" s="133">
        <f ca="1">(K26-K33)*AQCZSplits!$F$5</f>
        <v>1.8471176674877157</v>
      </c>
      <c r="L32" s="133">
        <f ca="1">(L26-L33)*AQCZSplits!$F$5</f>
        <v>1.8471176674877157</v>
      </c>
      <c r="M32" s="551" t="s">
        <v>336</v>
      </c>
      <c r="N32" s="133">
        <f ca="1">(N26-N33)*AQCZSplits!$F$5</f>
        <v>1.8471176674877157</v>
      </c>
      <c r="O32" s="133">
        <f ca="1">(O26-O33)*AQCZSplits!$F$5</f>
        <v>1.8471176674877157</v>
      </c>
      <c r="P32" s="551" t="s">
        <v>336</v>
      </c>
      <c r="Q32" s="45">
        <f ca="1">(Q26-Q33)*AQCZSplits!$F$5</f>
        <v>24224.757556213863</v>
      </c>
      <c r="R32" s="45">
        <f ca="1">(R26-R33)*AQCZSplits!$F$5</f>
        <v>24224.757556213863</v>
      </c>
      <c r="S32" s="45">
        <f ca="1">(S26-S33)*AQCZSplits!$F$5</f>
        <v>24224.757556213863</v>
      </c>
      <c r="T32" s="551" t="s">
        <v>336</v>
      </c>
      <c r="U32" s="45">
        <f ca="1">(U26-U33)*AQCZSplits!$F$5</f>
        <v>24224.757556213863</v>
      </c>
      <c r="V32" s="45">
        <f ca="1">(V26-V33)*AQCZSplits!$F$5</f>
        <v>24224.757556213863</v>
      </c>
      <c r="W32" s="551" t="s">
        <v>336</v>
      </c>
    </row>
    <row r="33" spans="1:23" ht="15.75" thickBot="1" x14ac:dyDescent="0.3">
      <c r="A33" s="6" t="s">
        <v>754</v>
      </c>
      <c r="B33" s="6" t="s">
        <v>755</v>
      </c>
      <c r="C33" s="544">
        <f ca="1">SUMIFS(INDIRECT("'ZipOutNA-"&amp;$B$2&amp;"BSR'!$J$5:$J$669"),INDIRECT("'ZipOutNA-"&amp;$B$2&amp;"BSR'!$D$5:$D$669"),99705)/35</f>
        <v>1.0963223960047876</v>
      </c>
      <c r="D33" s="544">
        <f ca="1">SUMIFS(INDIRECT("'ZipOutNA-"&amp;$B$2&amp;"BSR'!$J$5:$J$669"),INDIRECT("'ZipOutNA-"&amp;$B$2&amp;"BSR'!$D$5:$D$669"),99705)/35</f>
        <v>1.0963223960047876</v>
      </c>
      <c r="E33" s="544">
        <f ca="1">SUMIFS(INDIRECT("'ZipOutNA-"&amp;$B$2&amp;"BSR'!$J$5:$J$669"),INDIRECT("'ZipOutNA-"&amp;$B$2&amp;"BSR'!$D$5:$D$669"),99705)/35</f>
        <v>1.0963223960047876</v>
      </c>
      <c r="F33" s="542" t="s">
        <v>336</v>
      </c>
      <c r="G33" s="544">
        <f ca="1">SUMIFS(INDIRECT("'ZipOutNA-"&amp;$B$2&amp;"BSR'!$J$5:$J$669"),INDIRECT("'ZipOutNA-"&amp;$B$2&amp;"BSR'!$D$5:$D$669"),99705)/35</f>
        <v>1.0963223960047876</v>
      </c>
      <c r="H33" s="544">
        <f ca="1">SUMIFS(INDIRECT("'ZipOutNA-"&amp;$B$2&amp;"BSR'!$J$5:$J$669"),INDIRECT("'ZipOutNA-"&amp;$B$2&amp;"BSR'!$D$5:$D$669"),99705)/35</f>
        <v>1.0963223960047876</v>
      </c>
      <c r="I33" s="542" t="s">
        <v>336</v>
      </c>
      <c r="J33" s="544">
        <f ca="1">SUMIFS(INDIRECT("'ZipOutNA-"&amp;$B$2&amp;"BSR'!$H$5:$H$669"),INDIRECT("'ZipOutNA-"&amp;$B$2&amp;"BSR'!$D$5:$D$669"),99705)/35</f>
        <v>1.2370651151863585</v>
      </c>
      <c r="K33" s="544">
        <f ca="1">SUMIFS(INDIRECT("'ZipOutNA-"&amp;$B$2&amp;"BSR'!$H$5:$H$669"),INDIRECT("'ZipOutNA-"&amp;$B$2&amp;"BSR'!$D$5:$D$669"),99705)/35</f>
        <v>1.2370651151863585</v>
      </c>
      <c r="L33" s="544">
        <f ca="1">SUMIFS(INDIRECT("'ZipOutNA-"&amp;$B$2&amp;"BSR'!$H$5:$H$669"),INDIRECT("'ZipOutNA-"&amp;$B$2&amp;"BSR'!$D$5:$D$669"),99705)/35</f>
        <v>1.2370651151863585</v>
      </c>
      <c r="M33" s="542" t="s">
        <v>336</v>
      </c>
      <c r="N33" s="544">
        <f ca="1">SUMIFS(INDIRECT("'ZipOutNA-"&amp;$B$2&amp;"BSR'!$H$5:$H$669"),INDIRECT("'ZipOutNA-"&amp;$B$2&amp;"BSR'!$D$5:$D$669"),99705)/35</f>
        <v>1.2370651151863585</v>
      </c>
      <c r="O33" s="544">
        <f ca="1">SUMIFS(INDIRECT("'ZipOutNA-"&amp;$B$2&amp;"BSR'!$H$5:$H$669"),INDIRECT("'ZipOutNA-"&amp;$B$2&amp;"BSR'!$D$5:$D$669"),99705)/35</f>
        <v>1.2370651151863585</v>
      </c>
      <c r="P33" s="542" t="s">
        <v>336</v>
      </c>
      <c r="Q33" s="567">
        <f ca="1">SUMIFS(INDIRECT("'ZipOutNA-"&amp;$B$2&amp;"BSR'!$M$5:$M$669"),INDIRECT("'ZipOutNA-"&amp;$B$2&amp;"BSR'!$D$5:$D$669"),99705)/35</f>
        <v>15072.346474516937</v>
      </c>
      <c r="R33" s="567">
        <f ca="1">SUMIFS(INDIRECT("'ZipOutNA-"&amp;$B$2&amp;"BSR'!$M$5:$M$669"),INDIRECT("'ZipOutNA-"&amp;$B$2&amp;"BSR'!$D$5:$D$669"),99705)/35</f>
        <v>15072.346474516937</v>
      </c>
      <c r="S33" s="567">
        <f ca="1">SUMIFS(INDIRECT("'ZipOutNA-"&amp;$B$2&amp;"BSR'!$M$5:$M$669"),INDIRECT("'ZipOutNA-"&amp;$B$2&amp;"BSR'!$D$5:$D$669"),99705)/35</f>
        <v>15072.346474516937</v>
      </c>
      <c r="T33" s="542" t="s">
        <v>336</v>
      </c>
      <c r="U33" s="567">
        <f ca="1">SUMIFS(INDIRECT("'ZipOutNA-"&amp;$B$2&amp;"BSR'!$M$5:$M$669"),INDIRECT("'ZipOutNA-"&amp;$B$2&amp;"BSR'!$D$5:$D$669"),99705)/35</f>
        <v>15072.346474516937</v>
      </c>
      <c r="V33" s="567">
        <f ca="1">SUMIFS(INDIRECT("'ZipOutNA-"&amp;$B$2&amp;"BSR'!$M$5:$M$669"),INDIRECT("'ZipOutNA-"&amp;$B$2&amp;"BSR'!$D$5:$D$669"),99705)/35</f>
        <v>15072.346474516937</v>
      </c>
      <c r="W33" s="542" t="s">
        <v>336</v>
      </c>
    </row>
    <row r="34" spans="1:23" ht="15.75" thickTop="1" x14ac:dyDescent="0.25">
      <c r="C34" s="137">
        <f ca="1">SUM(C32:C33)</f>
        <v>2.1006506606833506</v>
      </c>
      <c r="D34" s="137">
        <f ca="1">SUM(D32:D33)</f>
        <v>2.1006506606833506</v>
      </c>
      <c r="E34" s="137">
        <f ca="1">SUM(E32:E33)</f>
        <v>2.1006506606833506</v>
      </c>
      <c r="F34" s="566" t="s">
        <v>336</v>
      </c>
      <c r="G34" s="137">
        <f ca="1">SUM(G32:G33)</f>
        <v>2.1006506606833506</v>
      </c>
      <c r="H34" s="137">
        <f ca="1">SUM(H32:H33)</f>
        <v>2.1006506606833506</v>
      </c>
      <c r="I34" s="566" t="s">
        <v>336</v>
      </c>
      <c r="J34" s="137">
        <f ca="1">SUM(J32:J33)</f>
        <v>3.0841827826740742</v>
      </c>
      <c r="K34" s="137">
        <f ca="1">SUM(K32:K33)</f>
        <v>3.0841827826740742</v>
      </c>
      <c r="L34" s="137">
        <f ca="1">SUM(L32:L33)</f>
        <v>3.0841827826740742</v>
      </c>
      <c r="M34" s="566" t="s">
        <v>336</v>
      </c>
      <c r="N34" s="137">
        <f ca="1">SUM(N32:N33)</f>
        <v>3.0841827826740742</v>
      </c>
      <c r="O34" s="137">
        <f ca="1">SUM(O32:O33)</f>
        <v>3.0841827826740742</v>
      </c>
      <c r="P34" s="566" t="s">
        <v>336</v>
      </c>
      <c r="Q34" s="87">
        <f ca="1">SUM(Q32:Q33)</f>
        <v>39297.104030730799</v>
      </c>
      <c r="R34" s="87">
        <f ca="1">SUM(R32:R33)</f>
        <v>39297.104030730799</v>
      </c>
      <c r="S34" s="87">
        <f ca="1">SUM(S32:S33)</f>
        <v>39297.104030730799</v>
      </c>
      <c r="T34" s="566" t="s">
        <v>336</v>
      </c>
      <c r="U34" s="87">
        <f ca="1">SUM(U32:U33)</f>
        <v>39297.104030730799</v>
      </c>
      <c r="V34" s="87">
        <f ca="1">SUM(V32:V33)</f>
        <v>39297.104030730799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2023 Baseline NA Area PM2.5 Emissions (tpd) by Curtailment Regime</v>
      </c>
      <c r="D38" s="840"/>
      <c r="E38" s="840"/>
      <c r="F38" s="840"/>
      <c r="G38" s="840"/>
      <c r="H38" s="840"/>
      <c r="I38" s="840"/>
      <c r="J38" s="840" t="str">
        <f>J4</f>
        <v>2023 Baseline NA Area SO2 Emissions (tpd) by Curtailment Regime</v>
      </c>
      <c r="K38" s="840"/>
      <c r="L38" s="840"/>
      <c r="M38" s="840"/>
      <c r="N38" s="840"/>
      <c r="O38" s="840"/>
      <c r="P38" s="840"/>
      <c r="Q38" s="840" t="str">
        <f>Q4</f>
        <v>2023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0.2530711057719931</v>
      </c>
      <c r="D40" s="133">
        <f t="shared" ca="1" si="3"/>
        <v>0.2530711057719931</v>
      </c>
      <c r="E40" s="133">
        <f t="shared" ca="1" si="3"/>
        <v>0.2530711057719931</v>
      </c>
      <c r="F40" s="551" t="s">
        <v>336</v>
      </c>
      <c r="G40" s="575">
        <f t="shared" ref="G40:H55" ca="1" si="4">G6*G$32/G$26</f>
        <v>0.2530711057719931</v>
      </c>
      <c r="H40" s="575">
        <f t="shared" ca="1" si="4"/>
        <v>0.2530711057719931</v>
      </c>
      <c r="I40" s="574" t="s">
        <v>336</v>
      </c>
      <c r="J40" s="133">
        <f t="shared" ref="J40:L55" ca="1" si="5">J6*J$32/J$26</f>
        <v>3.4779063818727008E-3</v>
      </c>
      <c r="K40" s="133">
        <f t="shared" ca="1" si="5"/>
        <v>3.4779063818727008E-3</v>
      </c>
      <c r="L40" s="133">
        <f t="shared" ca="1" si="5"/>
        <v>3.4779063818727008E-3</v>
      </c>
      <c r="M40" s="551" t="s">
        <v>336</v>
      </c>
      <c r="N40" s="575">
        <f t="shared" ref="N40:O55" ca="1" si="6">N6*N$32/N$26</f>
        <v>3.4779063818727008E-3</v>
      </c>
      <c r="O40" s="575">
        <f t="shared" ca="1" si="6"/>
        <v>3.4779063818727008E-3</v>
      </c>
      <c r="P40" s="574" t="s">
        <v>336</v>
      </c>
      <c r="Q40" s="45">
        <f t="shared" ref="Q40:S55" ca="1" si="7">Q6*Q$32/Q$26</f>
        <v>285.3095419403582</v>
      </c>
      <c r="R40" s="45">
        <f t="shared" ca="1" si="7"/>
        <v>285.3095419403582</v>
      </c>
      <c r="S40" s="45">
        <f t="shared" ca="1" si="7"/>
        <v>285.3095419403582</v>
      </c>
      <c r="T40" s="581" t="s">
        <v>336</v>
      </c>
      <c r="U40" s="573">
        <f t="shared" ref="U40:V55" ca="1" si="8">U6*U$32/U$26</f>
        <v>285.3095419403582</v>
      </c>
      <c r="V40" s="573">
        <f t="shared" ca="1" si="8"/>
        <v>285.3095419403582</v>
      </c>
      <c r="W40" s="574" t="s">
        <v>336</v>
      </c>
    </row>
    <row r="41" spans="1:23" x14ac:dyDescent="0.25">
      <c r="A41" s="812" t="str">
        <f t="shared" ref="A41:A58" si="9">A40</f>
        <v>FB</v>
      </c>
      <c r="B41" s="812" t="s">
        <v>138</v>
      </c>
      <c r="C41" s="133">
        <f t="shared" ca="1" si="3"/>
        <v>1.9750936119776807E-2</v>
      </c>
      <c r="D41" s="133">
        <f t="shared" ca="1" si="3"/>
        <v>1.9750936119776807E-2</v>
      </c>
      <c r="E41" s="133">
        <f t="shared" ca="1" si="3"/>
        <v>1.9750936119776807E-2</v>
      </c>
      <c r="F41" s="551" t="s">
        <v>336</v>
      </c>
      <c r="G41" s="575">
        <f t="shared" ca="1" si="4"/>
        <v>1.9750936119776807E-2</v>
      </c>
      <c r="H41" s="575">
        <f t="shared" ca="1" si="4"/>
        <v>1.9750936119776807E-2</v>
      </c>
      <c r="I41" s="574" t="s">
        <v>336</v>
      </c>
      <c r="J41" s="133">
        <f t="shared" ca="1" si="5"/>
        <v>3.0691469404009583E-4</v>
      </c>
      <c r="K41" s="133">
        <f t="shared" ca="1" si="5"/>
        <v>3.0691469404009583E-4</v>
      </c>
      <c r="L41" s="133">
        <f t="shared" ca="1" si="5"/>
        <v>3.0691469404009583E-4</v>
      </c>
      <c r="M41" s="551" t="s">
        <v>336</v>
      </c>
      <c r="N41" s="575">
        <f t="shared" ca="1" si="6"/>
        <v>3.0691469404009583E-4</v>
      </c>
      <c r="O41" s="575">
        <f t="shared" ca="1" si="6"/>
        <v>3.0691469404009583E-4</v>
      </c>
      <c r="P41" s="574" t="s">
        <v>336</v>
      </c>
      <c r="Q41" s="45">
        <f t="shared" ca="1" si="7"/>
        <v>25.173216381809965</v>
      </c>
      <c r="R41" s="45">
        <f t="shared" ca="1" si="7"/>
        <v>25.173216381809965</v>
      </c>
      <c r="S41" s="45">
        <f t="shared" ca="1" si="7"/>
        <v>25.173216381809965</v>
      </c>
      <c r="T41" s="581" t="s">
        <v>336</v>
      </c>
      <c r="U41" s="573">
        <f t="shared" ca="1" si="8"/>
        <v>25.173216381809965</v>
      </c>
      <c r="V41" s="573">
        <f t="shared" ca="1" si="8"/>
        <v>25.173216381809965</v>
      </c>
      <c r="W41" s="574" t="s">
        <v>336</v>
      </c>
    </row>
    <row r="42" spans="1:23" x14ac:dyDescent="0.25">
      <c r="A42" s="812" t="str">
        <f t="shared" si="9"/>
        <v>FB</v>
      </c>
      <c r="B42" s="812" t="s">
        <v>139</v>
      </c>
      <c r="C42" s="133">
        <f t="shared" ca="1" si="3"/>
        <v>1.6307428623531905E-2</v>
      </c>
      <c r="D42" s="133">
        <f t="shared" ca="1" si="3"/>
        <v>1.6307428623531905E-2</v>
      </c>
      <c r="E42" s="133">
        <f t="shared" ca="1" si="3"/>
        <v>1.6307428623531905E-2</v>
      </c>
      <c r="F42" s="551" t="s">
        <v>336</v>
      </c>
      <c r="G42" s="575">
        <f t="shared" ca="1" si="4"/>
        <v>1.6307428623531905E-2</v>
      </c>
      <c r="H42" s="575">
        <f t="shared" ca="1" si="4"/>
        <v>1.6307428623531905E-2</v>
      </c>
      <c r="I42" s="574" t="s">
        <v>336</v>
      </c>
      <c r="J42" s="133">
        <f t="shared" ca="1" si="5"/>
        <v>6.4618320176627734E-4</v>
      </c>
      <c r="K42" s="133">
        <f t="shared" ca="1" si="5"/>
        <v>6.4618320176627734E-4</v>
      </c>
      <c r="L42" s="133">
        <f t="shared" ca="1" si="5"/>
        <v>6.4618320176627734E-4</v>
      </c>
      <c r="M42" s="551" t="s">
        <v>336</v>
      </c>
      <c r="N42" s="575">
        <f t="shared" ca="1" si="6"/>
        <v>6.4618320176627734E-4</v>
      </c>
      <c r="O42" s="575">
        <f t="shared" ca="1" si="6"/>
        <v>6.4618320176627734E-4</v>
      </c>
      <c r="P42" s="574" t="s">
        <v>336</v>
      </c>
      <c r="Q42" s="45">
        <f t="shared" ca="1" si="7"/>
        <v>53.000100276163963</v>
      </c>
      <c r="R42" s="45">
        <f t="shared" ca="1" si="7"/>
        <v>53.000100276163963</v>
      </c>
      <c r="S42" s="45">
        <f t="shared" ca="1" si="7"/>
        <v>53.000100276163963</v>
      </c>
      <c r="T42" s="581" t="s">
        <v>336</v>
      </c>
      <c r="U42" s="573">
        <f t="shared" ca="1" si="8"/>
        <v>53.000100276163963</v>
      </c>
      <c r="V42" s="573">
        <f t="shared" ca="1" si="8"/>
        <v>53.000100276163963</v>
      </c>
      <c r="W42" s="574" t="s">
        <v>336</v>
      </c>
    </row>
    <row r="43" spans="1:23" x14ac:dyDescent="0.25">
      <c r="A43" s="812" t="str">
        <f t="shared" si="9"/>
        <v>FB</v>
      </c>
      <c r="B43" s="812" t="s">
        <v>140</v>
      </c>
      <c r="C43" s="133">
        <f t="shared" ca="1" si="3"/>
        <v>1.0636454864506052E-2</v>
      </c>
      <c r="D43" s="133">
        <f t="shared" ca="1" si="3"/>
        <v>1.0636454864506052E-2</v>
      </c>
      <c r="E43" s="133">
        <f t="shared" ca="1" si="3"/>
        <v>1.0636454864506052E-2</v>
      </c>
      <c r="F43" s="551" t="s">
        <v>336</v>
      </c>
      <c r="G43" s="575">
        <f t="shared" ca="1" si="4"/>
        <v>1.0636454864506052E-2</v>
      </c>
      <c r="H43" s="575">
        <f t="shared" ca="1" si="4"/>
        <v>1.0636454864506052E-2</v>
      </c>
      <c r="I43" s="574" t="s">
        <v>336</v>
      </c>
      <c r="J43" s="133">
        <f t="shared" ca="1" si="5"/>
        <v>3.8904959970891445E-4</v>
      </c>
      <c r="K43" s="133">
        <f t="shared" ca="1" si="5"/>
        <v>3.8904959970891445E-4</v>
      </c>
      <c r="L43" s="133">
        <f t="shared" ca="1" si="5"/>
        <v>3.8904959970891445E-4</v>
      </c>
      <c r="M43" s="551" t="s">
        <v>336</v>
      </c>
      <c r="N43" s="575">
        <f t="shared" ca="1" si="6"/>
        <v>3.8904959970891445E-4</v>
      </c>
      <c r="O43" s="575">
        <f t="shared" ca="1" si="6"/>
        <v>3.8904959970891445E-4</v>
      </c>
      <c r="P43" s="574" t="s">
        <v>336</v>
      </c>
      <c r="Q43" s="45">
        <f t="shared" ca="1" si="7"/>
        <v>31.909940927916608</v>
      </c>
      <c r="R43" s="45">
        <f t="shared" ca="1" si="7"/>
        <v>31.909940927916608</v>
      </c>
      <c r="S43" s="45">
        <f t="shared" ca="1" si="7"/>
        <v>31.909940927916608</v>
      </c>
      <c r="T43" s="581" t="s">
        <v>336</v>
      </c>
      <c r="U43" s="573">
        <f t="shared" ca="1" si="8"/>
        <v>31.909940927916608</v>
      </c>
      <c r="V43" s="573">
        <f t="shared" ca="1" si="8"/>
        <v>31.909940927916608</v>
      </c>
      <c r="W43" s="574" t="s">
        <v>336</v>
      </c>
    </row>
    <row r="44" spans="1:23" x14ac:dyDescent="0.25">
      <c r="A44" s="812" t="str">
        <f t="shared" si="9"/>
        <v>FB</v>
      </c>
      <c r="B44" s="812" t="s">
        <v>141</v>
      </c>
      <c r="C44" s="133">
        <f t="shared" ca="1" si="3"/>
        <v>0.1590486239078043</v>
      </c>
      <c r="D44" s="133">
        <f t="shared" ca="1" si="3"/>
        <v>0.1590486239078043</v>
      </c>
      <c r="E44" s="133">
        <f t="shared" ca="1" si="3"/>
        <v>0.1590486239078043</v>
      </c>
      <c r="F44" s="551" t="s">
        <v>336</v>
      </c>
      <c r="G44" s="575">
        <f t="shared" ca="1" si="4"/>
        <v>0.1590486239078043</v>
      </c>
      <c r="H44" s="575">
        <f t="shared" ca="1" si="4"/>
        <v>0.1590486239078043</v>
      </c>
      <c r="I44" s="574" t="s">
        <v>336</v>
      </c>
      <c r="J44" s="133">
        <f t="shared" ca="1" si="5"/>
        <v>6.2285945287883018E-3</v>
      </c>
      <c r="K44" s="133">
        <f t="shared" ca="1" si="5"/>
        <v>6.2285945287883018E-3</v>
      </c>
      <c r="L44" s="133">
        <f t="shared" ca="1" si="5"/>
        <v>6.2285945287883018E-3</v>
      </c>
      <c r="M44" s="551" t="s">
        <v>336</v>
      </c>
      <c r="N44" s="575">
        <f t="shared" ca="1" si="6"/>
        <v>6.2285945287883018E-3</v>
      </c>
      <c r="O44" s="575">
        <f t="shared" ca="1" si="6"/>
        <v>6.2285945287883018E-3</v>
      </c>
      <c r="P44" s="574" t="s">
        <v>336</v>
      </c>
      <c r="Q44" s="45">
        <f t="shared" ca="1" si="7"/>
        <v>510.87080831412328</v>
      </c>
      <c r="R44" s="45">
        <f t="shared" ca="1" si="7"/>
        <v>510.87080831412328</v>
      </c>
      <c r="S44" s="45">
        <f t="shared" ca="1" si="7"/>
        <v>510.87080831412328</v>
      </c>
      <c r="T44" s="581" t="s">
        <v>336</v>
      </c>
      <c r="U44" s="573">
        <f t="shared" ca="1" si="8"/>
        <v>510.87080831412328</v>
      </c>
      <c r="V44" s="573">
        <f t="shared" ca="1" si="8"/>
        <v>510.87080831412328</v>
      </c>
      <c r="W44" s="574" t="s">
        <v>336</v>
      </c>
    </row>
    <row r="45" spans="1:23" x14ac:dyDescent="0.25">
      <c r="A45" s="812" t="str">
        <f t="shared" si="9"/>
        <v>FB</v>
      </c>
      <c r="B45" s="812" t="s">
        <v>142</v>
      </c>
      <c r="C45" s="133">
        <f t="shared" ca="1" si="3"/>
        <v>0.21856607532037611</v>
      </c>
      <c r="D45" s="133">
        <f t="shared" ca="1" si="3"/>
        <v>0.21856607532037611</v>
      </c>
      <c r="E45" s="133">
        <f t="shared" ca="1" si="3"/>
        <v>0.21856607532037611</v>
      </c>
      <c r="F45" s="551" t="s">
        <v>336</v>
      </c>
      <c r="G45" s="575">
        <f t="shared" ca="1" si="4"/>
        <v>0.21856607532037611</v>
      </c>
      <c r="H45" s="575">
        <f t="shared" ca="1" si="4"/>
        <v>0.21856607532037611</v>
      </c>
      <c r="I45" s="574" t="s">
        <v>336</v>
      </c>
      <c r="J45" s="133">
        <f t="shared" ca="1" si="5"/>
        <v>1.3113784492151202E-2</v>
      </c>
      <c r="K45" s="133">
        <f t="shared" ca="1" si="5"/>
        <v>1.3113784492151202E-2</v>
      </c>
      <c r="L45" s="133">
        <f t="shared" ca="1" si="5"/>
        <v>1.3113784492151202E-2</v>
      </c>
      <c r="M45" s="551" t="s">
        <v>336</v>
      </c>
      <c r="N45" s="575">
        <f t="shared" ca="1" si="6"/>
        <v>1.3113784492151202E-2</v>
      </c>
      <c r="O45" s="575">
        <f t="shared" ca="1" si="6"/>
        <v>1.3113784492151202E-2</v>
      </c>
      <c r="P45" s="574" t="s">
        <v>336</v>
      </c>
      <c r="Q45" s="45">
        <f t="shared" ca="1" si="7"/>
        <v>1075.595730721903</v>
      </c>
      <c r="R45" s="45">
        <f t="shared" ca="1" si="7"/>
        <v>1075.595730721903</v>
      </c>
      <c r="S45" s="45">
        <f t="shared" ca="1" si="7"/>
        <v>1075.595730721903</v>
      </c>
      <c r="T45" s="581" t="s">
        <v>336</v>
      </c>
      <c r="U45" s="573">
        <f t="shared" ca="1" si="8"/>
        <v>1075.595730721903</v>
      </c>
      <c r="V45" s="573">
        <f t="shared" ca="1" si="8"/>
        <v>1075.595730721903</v>
      </c>
      <c r="W45" s="574" t="s">
        <v>336</v>
      </c>
    </row>
    <row r="46" spans="1:23" x14ac:dyDescent="0.25">
      <c r="A46" s="812" t="str">
        <f t="shared" si="9"/>
        <v>FB</v>
      </c>
      <c r="B46" s="812" t="s">
        <v>143</v>
      </c>
      <c r="C46" s="133">
        <f t="shared" ca="1" si="3"/>
        <v>0.14601390692497943</v>
      </c>
      <c r="D46" s="133">
        <f t="shared" ca="1" si="3"/>
        <v>0.14601390692497943</v>
      </c>
      <c r="E46" s="133">
        <f t="shared" ca="1" si="3"/>
        <v>0.14601390692497943</v>
      </c>
      <c r="F46" s="551" t="s">
        <v>336</v>
      </c>
      <c r="G46" s="575">
        <f t="shared" ca="1" si="4"/>
        <v>0.14601390692497943</v>
      </c>
      <c r="H46" s="575">
        <f t="shared" ca="1" si="4"/>
        <v>0.14601390692497943</v>
      </c>
      <c r="I46" s="574" t="s">
        <v>336</v>
      </c>
      <c r="J46" s="133">
        <f t="shared" ca="1" si="5"/>
        <v>7.8954584294281087E-3</v>
      </c>
      <c r="K46" s="133">
        <f t="shared" ca="1" si="5"/>
        <v>7.8954584294281087E-3</v>
      </c>
      <c r="L46" s="133">
        <f t="shared" ca="1" si="5"/>
        <v>7.8954584294281087E-3</v>
      </c>
      <c r="M46" s="551" t="s">
        <v>336</v>
      </c>
      <c r="N46" s="575">
        <f t="shared" ca="1" si="6"/>
        <v>7.8954584294281087E-3</v>
      </c>
      <c r="O46" s="575">
        <f t="shared" ca="1" si="6"/>
        <v>7.8954584294281087E-3</v>
      </c>
      <c r="P46" s="574" t="s">
        <v>336</v>
      </c>
      <c r="Q46" s="45">
        <f t="shared" ca="1" si="7"/>
        <v>647.5873828693708</v>
      </c>
      <c r="R46" s="45">
        <f t="shared" ca="1" si="7"/>
        <v>647.5873828693708</v>
      </c>
      <c r="S46" s="45">
        <f t="shared" ca="1" si="7"/>
        <v>647.5873828693708</v>
      </c>
      <c r="T46" s="581" t="s">
        <v>336</v>
      </c>
      <c r="U46" s="573">
        <f t="shared" ca="1" si="8"/>
        <v>647.5873828693708</v>
      </c>
      <c r="V46" s="573">
        <f t="shared" ca="1" si="8"/>
        <v>647.5873828693708</v>
      </c>
      <c r="W46" s="574" t="s">
        <v>336</v>
      </c>
    </row>
    <row r="47" spans="1:23" x14ac:dyDescent="0.25">
      <c r="A47" s="812" t="str">
        <f t="shared" si="9"/>
        <v>FB</v>
      </c>
      <c r="B47" s="812" t="s">
        <v>144</v>
      </c>
      <c r="C47" s="133">
        <f t="shared" ca="1" si="3"/>
        <v>5.3877224230164319E-3</v>
      </c>
      <c r="D47" s="133">
        <f t="shared" ca="1" si="3"/>
        <v>5.3877224230164319E-3</v>
      </c>
      <c r="E47" s="133">
        <f t="shared" ca="1" si="3"/>
        <v>5.3877224230164319E-3</v>
      </c>
      <c r="F47" s="551" t="s">
        <v>336</v>
      </c>
      <c r="G47" s="575">
        <f t="shared" ca="1" si="4"/>
        <v>5.3877224230164319E-3</v>
      </c>
      <c r="H47" s="575">
        <f t="shared" ca="1" si="4"/>
        <v>5.3877224230164319E-3</v>
      </c>
      <c r="I47" s="574" t="s">
        <v>336</v>
      </c>
      <c r="J47" s="133">
        <f t="shared" ca="1" si="5"/>
        <v>6.9239657699259201E-4</v>
      </c>
      <c r="K47" s="133">
        <f t="shared" ca="1" si="5"/>
        <v>6.9239657699259201E-4</v>
      </c>
      <c r="L47" s="133">
        <f t="shared" ca="1" si="5"/>
        <v>6.9239657699259201E-4</v>
      </c>
      <c r="M47" s="551" t="s">
        <v>336</v>
      </c>
      <c r="N47" s="575">
        <f t="shared" ca="1" si="6"/>
        <v>6.9239657699259201E-4</v>
      </c>
      <c r="O47" s="575">
        <f t="shared" ca="1" si="6"/>
        <v>6.9239657699259201E-4</v>
      </c>
      <c r="P47" s="574" t="s">
        <v>336</v>
      </c>
      <c r="Q47" s="45">
        <f t="shared" ca="1" si="7"/>
        <v>67.818325570080461</v>
      </c>
      <c r="R47" s="45">
        <f t="shared" ca="1" si="7"/>
        <v>67.818325570080461</v>
      </c>
      <c r="S47" s="45">
        <f t="shared" ca="1" si="7"/>
        <v>67.818325570080461</v>
      </c>
      <c r="T47" s="581" t="s">
        <v>336</v>
      </c>
      <c r="U47" s="573">
        <f t="shared" ca="1" si="8"/>
        <v>67.818325570080461</v>
      </c>
      <c r="V47" s="573">
        <f t="shared" ca="1" si="8"/>
        <v>67.818325570080461</v>
      </c>
      <c r="W47" s="574" t="s">
        <v>336</v>
      </c>
    </row>
    <row r="48" spans="1:23" x14ac:dyDescent="0.25">
      <c r="A48" s="812" t="str">
        <f t="shared" si="9"/>
        <v>FB</v>
      </c>
      <c r="B48" s="812" t="s">
        <v>145</v>
      </c>
      <c r="C48" s="133">
        <f t="shared" ca="1" si="3"/>
        <v>1.8172955175685877E-2</v>
      </c>
      <c r="D48" s="133">
        <f t="shared" ca="1" si="3"/>
        <v>1.8172955175685877E-2</v>
      </c>
      <c r="E48" s="133">
        <f t="shared" ca="1" si="3"/>
        <v>1.8172955175685877E-2</v>
      </c>
      <c r="F48" s="551" t="s">
        <v>336</v>
      </c>
      <c r="G48" s="575">
        <f t="shared" ca="1" si="4"/>
        <v>1.8172955175685877E-2</v>
      </c>
      <c r="H48" s="575">
        <f t="shared" ca="1" si="4"/>
        <v>1.8172955175685877E-2</v>
      </c>
      <c r="I48" s="574" t="s">
        <v>336</v>
      </c>
      <c r="J48" s="133">
        <f t="shared" ca="1" si="5"/>
        <v>2.3354751729098753E-3</v>
      </c>
      <c r="K48" s="133">
        <f t="shared" ca="1" si="5"/>
        <v>2.3354751729098753E-3</v>
      </c>
      <c r="L48" s="133">
        <f t="shared" ca="1" si="5"/>
        <v>2.3354751729098753E-3</v>
      </c>
      <c r="M48" s="551" t="s">
        <v>336</v>
      </c>
      <c r="N48" s="575">
        <f t="shared" ca="1" si="6"/>
        <v>2.3354751729098753E-3</v>
      </c>
      <c r="O48" s="575">
        <f t="shared" ca="1" si="6"/>
        <v>2.3354751729098753E-3</v>
      </c>
      <c r="P48" s="574" t="s">
        <v>336</v>
      </c>
      <c r="Q48" s="45">
        <f t="shared" ca="1" si="7"/>
        <v>228.75331984625981</v>
      </c>
      <c r="R48" s="45">
        <f t="shared" ca="1" si="7"/>
        <v>228.75331984625981</v>
      </c>
      <c r="S48" s="45">
        <f t="shared" ca="1" si="7"/>
        <v>228.75331984625981</v>
      </c>
      <c r="T48" s="581" t="s">
        <v>336</v>
      </c>
      <c r="U48" s="573">
        <f t="shared" ca="1" si="8"/>
        <v>228.75331984625981</v>
      </c>
      <c r="V48" s="573">
        <f t="shared" ca="1" si="8"/>
        <v>228.75331984625981</v>
      </c>
      <c r="W48" s="574" t="s">
        <v>336</v>
      </c>
    </row>
    <row r="49" spans="1:23" x14ac:dyDescent="0.25">
      <c r="A49" s="812" t="str">
        <f t="shared" si="9"/>
        <v>FB</v>
      </c>
      <c r="B49" s="812" t="s">
        <v>146</v>
      </c>
      <c r="C49" s="133">
        <f t="shared" ca="1" si="3"/>
        <v>9.0289922500616376E-2</v>
      </c>
      <c r="D49" s="133">
        <f t="shared" ca="1" si="3"/>
        <v>9.0289922500616376E-2</v>
      </c>
      <c r="E49" s="133">
        <f t="shared" ca="1" si="3"/>
        <v>9.0289922500616376E-2</v>
      </c>
      <c r="F49" s="551" t="s">
        <v>336</v>
      </c>
      <c r="G49" s="575">
        <f t="shared" ca="1" si="4"/>
        <v>9.0289922500616376E-2</v>
      </c>
      <c r="H49" s="575">
        <f t="shared" ca="1" si="4"/>
        <v>9.0289922500616376E-2</v>
      </c>
      <c r="I49" s="574" t="s">
        <v>336</v>
      </c>
      <c r="J49" s="133">
        <f t="shared" ca="1" si="5"/>
        <v>4.3497756675683254E-3</v>
      </c>
      <c r="K49" s="133">
        <f t="shared" ca="1" si="5"/>
        <v>4.3497756675683254E-3</v>
      </c>
      <c r="L49" s="133">
        <f t="shared" ca="1" si="5"/>
        <v>4.3497756675683254E-3</v>
      </c>
      <c r="M49" s="551" t="s">
        <v>336</v>
      </c>
      <c r="N49" s="575">
        <f t="shared" ca="1" si="6"/>
        <v>4.3497756675683254E-3</v>
      </c>
      <c r="O49" s="575">
        <f t="shared" ca="1" si="6"/>
        <v>4.3497756675683254E-3</v>
      </c>
      <c r="P49" s="574" t="s">
        <v>336</v>
      </c>
      <c r="Q49" s="45">
        <f t="shared" ca="1" si="7"/>
        <v>356.64716931009019</v>
      </c>
      <c r="R49" s="45">
        <f t="shared" ca="1" si="7"/>
        <v>356.64716931009019</v>
      </c>
      <c r="S49" s="45">
        <f t="shared" ca="1" si="7"/>
        <v>356.64716931009019</v>
      </c>
      <c r="T49" s="581" t="s">
        <v>336</v>
      </c>
      <c r="U49" s="573">
        <f t="shared" ca="1" si="8"/>
        <v>356.64716931009019</v>
      </c>
      <c r="V49" s="573">
        <f t="shared" ca="1" si="8"/>
        <v>356.64716931009019</v>
      </c>
      <c r="W49" s="574" t="s">
        <v>336</v>
      </c>
    </row>
    <row r="50" spans="1:23" x14ac:dyDescent="0.25">
      <c r="A50" s="812" t="str">
        <f t="shared" si="9"/>
        <v>FB</v>
      </c>
      <c r="B50" s="812" t="s">
        <v>568</v>
      </c>
      <c r="C50" s="133">
        <f t="shared" ca="1" si="3"/>
        <v>1.9804580587671219E-2</v>
      </c>
      <c r="D50" s="133">
        <f t="shared" ca="1" si="3"/>
        <v>1.9804580587671219E-2</v>
      </c>
      <c r="E50" s="133">
        <f t="shared" ca="1" si="3"/>
        <v>1.9804580587671219E-2</v>
      </c>
      <c r="F50" s="551" t="s">
        <v>336</v>
      </c>
      <c r="G50" s="575">
        <f t="shared" ca="1" si="4"/>
        <v>1.9804580587671219E-2</v>
      </c>
      <c r="H50" s="575">
        <f t="shared" ca="1" si="4"/>
        <v>1.9804580587671219E-2</v>
      </c>
      <c r="I50" s="574" t="s">
        <v>336</v>
      </c>
      <c r="J50" s="133">
        <f t="shared" ca="1" si="5"/>
        <v>1.4902547946015512</v>
      </c>
      <c r="K50" s="133">
        <f t="shared" ca="1" si="5"/>
        <v>1.4902547946015512</v>
      </c>
      <c r="L50" s="133">
        <f t="shared" ca="1" si="5"/>
        <v>1.4902547946015512</v>
      </c>
      <c r="M50" s="551" t="s">
        <v>336</v>
      </c>
      <c r="N50" s="575">
        <f t="shared" ca="1" si="6"/>
        <v>1.4902547946015512</v>
      </c>
      <c r="O50" s="575">
        <f t="shared" ca="1" si="6"/>
        <v>1.4902547946015512</v>
      </c>
      <c r="P50" s="574" t="s">
        <v>336</v>
      </c>
      <c r="Q50" s="45">
        <f t="shared" ca="1" si="7"/>
        <v>14140.933361445777</v>
      </c>
      <c r="R50" s="45">
        <f t="shared" ca="1" si="7"/>
        <v>14140.933361445777</v>
      </c>
      <c r="S50" s="45">
        <f t="shared" ca="1" si="7"/>
        <v>14140.933361445777</v>
      </c>
      <c r="T50" s="581" t="s">
        <v>336</v>
      </c>
      <c r="U50" s="573">
        <f t="shared" ca="1" si="8"/>
        <v>14140.933361445777</v>
      </c>
      <c r="V50" s="573">
        <f t="shared" ca="1" si="8"/>
        <v>14140.933361445777</v>
      </c>
      <c r="W50" s="574" t="s">
        <v>336</v>
      </c>
    </row>
    <row r="51" spans="1:23" x14ac:dyDescent="0.25">
      <c r="A51" s="812" t="str">
        <f t="shared" si="9"/>
        <v>FB</v>
      </c>
      <c r="B51" s="812" t="s">
        <v>148</v>
      </c>
      <c r="C51" s="133">
        <f t="shared" ca="1" si="3"/>
        <v>6.5180939957828563E-3</v>
      </c>
      <c r="D51" s="133">
        <f t="shared" ca="1" si="3"/>
        <v>6.5180939957828563E-3</v>
      </c>
      <c r="E51" s="133">
        <f t="shared" ca="1" si="3"/>
        <v>6.5180939957828563E-3</v>
      </c>
      <c r="F51" s="551" t="s">
        <v>336</v>
      </c>
      <c r="G51" s="575">
        <f t="shared" ca="1" si="4"/>
        <v>6.5180939957828563E-3</v>
      </c>
      <c r="H51" s="575">
        <f t="shared" ca="1" si="4"/>
        <v>6.5180939957828563E-3</v>
      </c>
      <c r="I51" s="574" t="s">
        <v>336</v>
      </c>
      <c r="J51" s="133">
        <f t="shared" ca="1" si="5"/>
        <v>0.21591124262295036</v>
      </c>
      <c r="K51" s="133">
        <f t="shared" ca="1" si="5"/>
        <v>0.21591124262295036</v>
      </c>
      <c r="L51" s="133">
        <f t="shared" ca="1" si="5"/>
        <v>0.21591124262295036</v>
      </c>
      <c r="M51" s="551" t="s">
        <v>336</v>
      </c>
      <c r="N51" s="575">
        <f t="shared" ca="1" si="6"/>
        <v>0.21591124262295036</v>
      </c>
      <c r="O51" s="575">
        <f t="shared" ca="1" si="6"/>
        <v>0.21591124262295036</v>
      </c>
      <c r="P51" s="574" t="s">
        <v>336</v>
      </c>
      <c r="Q51" s="45">
        <f t="shared" ca="1" si="7"/>
        <v>4802.8143918754758</v>
      </c>
      <c r="R51" s="45">
        <f t="shared" ca="1" si="7"/>
        <v>4802.8143918754758</v>
      </c>
      <c r="S51" s="45">
        <f t="shared" ca="1" si="7"/>
        <v>4802.8143918754758</v>
      </c>
      <c r="T51" s="581" t="s">
        <v>336</v>
      </c>
      <c r="U51" s="573">
        <f t="shared" ca="1" si="8"/>
        <v>4802.8143918754758</v>
      </c>
      <c r="V51" s="573">
        <f t="shared" ca="1" si="8"/>
        <v>4802.8143918754758</v>
      </c>
      <c r="W51" s="574" t="s">
        <v>336</v>
      </c>
    </row>
    <row r="52" spans="1:23" x14ac:dyDescent="0.25">
      <c r="A52" s="812" t="str">
        <f t="shared" si="9"/>
        <v>FB</v>
      </c>
      <c r="B52" s="812" t="s">
        <v>746</v>
      </c>
      <c r="C52" s="133">
        <f t="shared" ca="1" si="3"/>
        <v>1.1830213172866273E-4</v>
      </c>
      <c r="D52" s="133">
        <f t="shared" ca="1" si="3"/>
        <v>1.1830213172866273E-4</v>
      </c>
      <c r="E52" s="133">
        <f t="shared" ca="1" si="3"/>
        <v>1.1830213172866273E-4</v>
      </c>
      <c r="F52" s="551" t="s">
        <v>336</v>
      </c>
      <c r="G52" s="575">
        <f t="shared" ca="1" si="4"/>
        <v>1.1830213172866273E-4</v>
      </c>
      <c r="H52" s="575">
        <f t="shared" ca="1" si="4"/>
        <v>1.1830213172866273E-4</v>
      </c>
      <c r="I52" s="574" t="s">
        <v>336</v>
      </c>
      <c r="J52" s="133">
        <f t="shared" ca="1" si="5"/>
        <v>1.0161565145277289E-2</v>
      </c>
      <c r="K52" s="133">
        <f t="shared" ca="1" si="5"/>
        <v>1.0161565145277289E-2</v>
      </c>
      <c r="L52" s="133">
        <f t="shared" ca="1" si="5"/>
        <v>1.0161565145277289E-2</v>
      </c>
      <c r="M52" s="551" t="s">
        <v>336</v>
      </c>
      <c r="N52" s="575">
        <f t="shared" ca="1" si="6"/>
        <v>1.0161565145277289E-2</v>
      </c>
      <c r="O52" s="575">
        <f t="shared" ca="1" si="6"/>
        <v>1.0161565145277289E-2</v>
      </c>
      <c r="P52" s="574" t="s">
        <v>336</v>
      </c>
      <c r="Q52" s="45">
        <f t="shared" ca="1" si="7"/>
        <v>98.422831540620777</v>
      </c>
      <c r="R52" s="45">
        <f t="shared" ca="1" si="7"/>
        <v>98.422831540620777</v>
      </c>
      <c r="S52" s="45">
        <f t="shared" ca="1" si="7"/>
        <v>98.422831540620777</v>
      </c>
      <c r="T52" s="581" t="s">
        <v>336</v>
      </c>
      <c r="U52" s="573">
        <f t="shared" ca="1" si="8"/>
        <v>98.422831540620777</v>
      </c>
      <c r="V52" s="573">
        <f t="shared" ca="1" si="8"/>
        <v>98.422831540620777</v>
      </c>
      <c r="W52" s="574" t="s">
        <v>336</v>
      </c>
    </row>
    <row r="53" spans="1:23" x14ac:dyDescent="0.25">
      <c r="A53" s="812" t="str">
        <f t="shared" si="9"/>
        <v>FB</v>
      </c>
      <c r="B53" s="812" t="s">
        <v>747</v>
      </c>
      <c r="C53" s="133">
        <f t="shared" ca="1" si="3"/>
        <v>4.5799350494864606E-4</v>
      </c>
      <c r="D53" s="133">
        <f t="shared" ca="1" si="3"/>
        <v>4.5799350494864606E-4</v>
      </c>
      <c r="E53" s="133">
        <f t="shared" ca="1" si="3"/>
        <v>4.5799350494864606E-4</v>
      </c>
      <c r="F53" s="551" t="s">
        <v>336</v>
      </c>
      <c r="G53" s="575">
        <f t="shared" ca="1" si="4"/>
        <v>4.5799350494864606E-4</v>
      </c>
      <c r="H53" s="575">
        <f t="shared" ca="1" si="4"/>
        <v>4.5799350494864606E-4</v>
      </c>
      <c r="I53" s="574" t="s">
        <v>336</v>
      </c>
      <c r="J53" s="133">
        <f t="shared" ca="1" si="5"/>
        <v>3.446308865894273E-2</v>
      </c>
      <c r="K53" s="133">
        <f t="shared" ca="1" si="5"/>
        <v>3.446308865894273E-2</v>
      </c>
      <c r="L53" s="133">
        <f t="shared" ca="1" si="5"/>
        <v>3.446308865894273E-2</v>
      </c>
      <c r="M53" s="551" t="s">
        <v>336</v>
      </c>
      <c r="N53" s="575">
        <f t="shared" ca="1" si="6"/>
        <v>3.446308865894273E-2</v>
      </c>
      <c r="O53" s="575">
        <f t="shared" ca="1" si="6"/>
        <v>3.446308865894273E-2</v>
      </c>
      <c r="P53" s="574" t="s">
        <v>336</v>
      </c>
      <c r="Q53" s="45">
        <f t="shared" ca="1" si="7"/>
        <v>304.57534373636884</v>
      </c>
      <c r="R53" s="45">
        <f t="shared" ca="1" si="7"/>
        <v>304.57534373636884</v>
      </c>
      <c r="S53" s="45">
        <f t="shared" ca="1" si="7"/>
        <v>304.57534373636884</v>
      </c>
      <c r="T53" s="581" t="s">
        <v>336</v>
      </c>
      <c r="U53" s="573">
        <f t="shared" ca="1" si="8"/>
        <v>304.57534373636884</v>
      </c>
      <c r="V53" s="573">
        <f t="shared" ca="1" si="8"/>
        <v>304.57534373636884</v>
      </c>
      <c r="W53" s="574" t="s">
        <v>336</v>
      </c>
    </row>
    <row r="54" spans="1:23" x14ac:dyDescent="0.25">
      <c r="A54" s="812" t="str">
        <f t="shared" si="9"/>
        <v>FB</v>
      </c>
      <c r="B54" s="812" t="s">
        <v>149</v>
      </c>
      <c r="C54" s="133">
        <f t="shared" ca="1" si="3"/>
        <v>2.2029040557106006E-6</v>
      </c>
      <c r="D54" s="133">
        <f t="shared" ca="1" si="3"/>
        <v>2.2029040557106006E-6</v>
      </c>
      <c r="E54" s="133">
        <f t="shared" ca="1" si="3"/>
        <v>2.2029040557106006E-6</v>
      </c>
      <c r="F54" s="551" t="s">
        <v>336</v>
      </c>
      <c r="G54" s="575">
        <f t="shared" ca="1" si="4"/>
        <v>2.2029040557106006E-6</v>
      </c>
      <c r="H54" s="575">
        <f t="shared" ca="1" si="4"/>
        <v>2.2029040557106006E-6</v>
      </c>
      <c r="I54" s="574" t="s">
        <v>336</v>
      </c>
      <c r="J54" s="133">
        <f t="shared" ca="1" si="5"/>
        <v>3.172140398590744E-5</v>
      </c>
      <c r="K54" s="133">
        <f t="shared" ca="1" si="5"/>
        <v>3.172140398590744E-5</v>
      </c>
      <c r="L54" s="133">
        <f t="shared" ca="1" si="5"/>
        <v>3.172140398590744E-5</v>
      </c>
      <c r="M54" s="551" t="s">
        <v>336</v>
      </c>
      <c r="N54" s="575">
        <f t="shared" ca="1" si="6"/>
        <v>3.172140398590744E-5</v>
      </c>
      <c r="O54" s="575">
        <f t="shared" ca="1" si="6"/>
        <v>3.172140398590744E-5</v>
      </c>
      <c r="P54" s="574" t="s">
        <v>336</v>
      </c>
      <c r="Q54" s="45">
        <f t="shared" ca="1" si="7"/>
        <v>133.36595339025794</v>
      </c>
      <c r="R54" s="45">
        <f t="shared" ca="1" si="7"/>
        <v>133.36595339025794</v>
      </c>
      <c r="S54" s="45">
        <f t="shared" ca="1" si="7"/>
        <v>133.36595339025794</v>
      </c>
      <c r="T54" s="581" t="s">
        <v>336</v>
      </c>
      <c r="U54" s="573">
        <f t="shared" ca="1" si="8"/>
        <v>133.36595339025794</v>
      </c>
      <c r="V54" s="573">
        <f t="shared" ca="1" si="8"/>
        <v>133.36595339025794</v>
      </c>
      <c r="W54" s="574" t="s">
        <v>336</v>
      </c>
    </row>
    <row r="55" spans="1:23" x14ac:dyDescent="0.25">
      <c r="A55" s="812" t="str">
        <f t="shared" si="9"/>
        <v>FB</v>
      </c>
      <c r="B55" s="812" t="s">
        <v>150</v>
      </c>
      <c r="C55" s="133">
        <f t="shared" ca="1" si="3"/>
        <v>3.7936911078697197E-3</v>
      </c>
      <c r="D55" s="133">
        <f t="shared" ca="1" si="3"/>
        <v>3.7936911078697197E-3</v>
      </c>
      <c r="E55" s="133">
        <f t="shared" ca="1" si="3"/>
        <v>3.7936911078697197E-3</v>
      </c>
      <c r="F55" s="551" t="s">
        <v>336</v>
      </c>
      <c r="G55" s="575">
        <f t="shared" ca="1" si="4"/>
        <v>3.7936911078697197E-3</v>
      </c>
      <c r="H55" s="575">
        <f t="shared" ca="1" si="4"/>
        <v>3.7936911078697197E-3</v>
      </c>
      <c r="I55" s="574" t="s">
        <v>336</v>
      </c>
      <c r="J55" s="133">
        <f t="shared" ca="1" si="5"/>
        <v>3.5603365849705632E-4</v>
      </c>
      <c r="K55" s="133">
        <f t="shared" ca="1" si="5"/>
        <v>3.5603365849705632E-4</v>
      </c>
      <c r="L55" s="133">
        <f t="shared" ca="1" si="5"/>
        <v>3.5603365849705632E-4</v>
      </c>
      <c r="M55" s="551" t="s">
        <v>336</v>
      </c>
      <c r="N55" s="575">
        <f t="shared" ca="1" si="6"/>
        <v>3.5603365849705632E-4</v>
      </c>
      <c r="O55" s="575">
        <f t="shared" ca="1" si="6"/>
        <v>3.5603365849705632E-4</v>
      </c>
      <c r="P55" s="574" t="s">
        <v>336</v>
      </c>
      <c r="Q55" s="45">
        <f t="shared" ca="1" si="7"/>
        <v>1230.7588744472337</v>
      </c>
      <c r="R55" s="45">
        <f t="shared" ca="1" si="7"/>
        <v>1230.7588744472337</v>
      </c>
      <c r="S55" s="45">
        <f t="shared" ca="1" si="7"/>
        <v>1230.7588744472337</v>
      </c>
      <c r="T55" s="581" t="s">
        <v>336</v>
      </c>
      <c r="U55" s="573">
        <f t="shared" ca="1" si="8"/>
        <v>1230.7588744472337</v>
      </c>
      <c r="V55" s="573">
        <f t="shared" ca="1" si="8"/>
        <v>1230.7588744472337</v>
      </c>
      <c r="W55" s="574" t="s">
        <v>336</v>
      </c>
    </row>
    <row r="56" spans="1:23" x14ac:dyDescent="0.25">
      <c r="A56" s="812" t="str">
        <f t="shared" si="9"/>
        <v>FB</v>
      </c>
      <c r="B56" s="812" t="s">
        <v>151</v>
      </c>
      <c r="C56" s="133">
        <f t="shared" ref="C56:E59" ca="1" si="10">C22*C$32/C$26</f>
        <v>3.5301960727806836E-2</v>
      </c>
      <c r="D56" s="133">
        <f t="shared" ca="1" si="10"/>
        <v>3.5301960727806836E-2</v>
      </c>
      <c r="E56" s="133">
        <f t="shared" ca="1" si="10"/>
        <v>3.5301960727806836E-2</v>
      </c>
      <c r="F56" s="551" t="s">
        <v>336</v>
      </c>
      <c r="G56" s="575">
        <f t="shared" ref="G56:H59" ca="1" si="11">G22*G$32/G$26</f>
        <v>3.5301960727806836E-2</v>
      </c>
      <c r="H56" s="575">
        <f t="shared" ca="1" si="11"/>
        <v>3.5301960727806836E-2</v>
      </c>
      <c r="I56" s="574" t="s">
        <v>336</v>
      </c>
      <c r="J56" s="133">
        <f t="shared" ref="J56:L59" ca="1" si="12">J22*J$32/J$26</f>
        <v>4.8845710256632854E-2</v>
      </c>
      <c r="K56" s="133">
        <f t="shared" ca="1" si="12"/>
        <v>4.8845710256632854E-2</v>
      </c>
      <c r="L56" s="133">
        <f t="shared" ca="1" si="12"/>
        <v>4.8845710256632854E-2</v>
      </c>
      <c r="M56" s="551" t="s">
        <v>336</v>
      </c>
      <c r="N56" s="575">
        <f t="shared" ref="N56:O59" ca="1" si="13">N22*N$32/N$26</f>
        <v>4.8845710256632854E-2</v>
      </c>
      <c r="O56" s="575">
        <f t="shared" ca="1" si="13"/>
        <v>4.8845710256632854E-2</v>
      </c>
      <c r="P56" s="574" t="s">
        <v>336</v>
      </c>
      <c r="Q56" s="45">
        <f t="shared" ref="Q56:S59" ca="1" si="14">Q22*Q$32/Q$26</f>
        <v>163.1376475513745</v>
      </c>
      <c r="R56" s="45">
        <f t="shared" ca="1" si="14"/>
        <v>163.1376475513745</v>
      </c>
      <c r="S56" s="45">
        <f t="shared" ca="1" si="14"/>
        <v>163.1376475513745</v>
      </c>
      <c r="T56" s="581" t="s">
        <v>336</v>
      </c>
      <c r="U56" s="573">
        <f t="shared" ref="U56:V59" ca="1" si="15">U22*U$32/U$26</f>
        <v>163.1376475513745</v>
      </c>
      <c r="V56" s="573">
        <f t="shared" ca="1" si="15"/>
        <v>163.1376475513745</v>
      </c>
      <c r="W56" s="574" t="s">
        <v>336</v>
      </c>
    </row>
    <row r="57" spans="1:23" x14ac:dyDescent="0.25">
      <c r="A57" s="812" t="str">
        <f t="shared" si="9"/>
        <v>FB</v>
      </c>
      <c r="B57" s="812" t="s">
        <v>152</v>
      </c>
      <c r="C57" s="133">
        <f t="shared" ca="1" si="10"/>
        <v>9.9005590178647033E-5</v>
      </c>
      <c r="D57" s="133">
        <f t="shared" ca="1" si="10"/>
        <v>9.9005590178647033E-5</v>
      </c>
      <c r="E57" s="133">
        <f t="shared" ca="1" si="10"/>
        <v>9.9005590178647033E-5</v>
      </c>
      <c r="F57" s="551" t="s">
        <v>336</v>
      </c>
      <c r="G57" s="575">
        <f t="shared" ca="1" si="11"/>
        <v>9.9005590178647033E-5</v>
      </c>
      <c r="H57" s="575">
        <f t="shared" ca="1" si="11"/>
        <v>9.9005590178647033E-5</v>
      </c>
      <c r="I57" s="574" t="s">
        <v>336</v>
      </c>
      <c r="J57" s="133">
        <f t="shared" ca="1" si="12"/>
        <v>1.3698951196905852E-4</v>
      </c>
      <c r="K57" s="133">
        <f t="shared" ca="1" si="12"/>
        <v>1.3698951196905852E-4</v>
      </c>
      <c r="L57" s="133">
        <f t="shared" ca="1" si="12"/>
        <v>1.3698951196905852E-4</v>
      </c>
      <c r="M57" s="551" t="s">
        <v>336</v>
      </c>
      <c r="N57" s="575">
        <f t="shared" ca="1" si="13"/>
        <v>1.3698951196905852E-4</v>
      </c>
      <c r="O57" s="575">
        <f t="shared" ca="1" si="13"/>
        <v>1.3698951196905852E-4</v>
      </c>
      <c r="P57" s="574" t="s">
        <v>336</v>
      </c>
      <c r="Q57" s="45">
        <f t="shared" ca="1" si="14"/>
        <v>6.9167893866833037</v>
      </c>
      <c r="R57" s="45">
        <f t="shared" ca="1" si="14"/>
        <v>6.9167893866833037</v>
      </c>
      <c r="S57" s="45">
        <f t="shared" ca="1" si="14"/>
        <v>6.9167893866833037</v>
      </c>
      <c r="T57" s="581" t="s">
        <v>336</v>
      </c>
      <c r="U57" s="573">
        <f t="shared" ca="1" si="15"/>
        <v>6.9167893866833037</v>
      </c>
      <c r="V57" s="573">
        <f t="shared" ca="1" si="15"/>
        <v>6.9167893866833037</v>
      </c>
      <c r="W57" s="574" t="s">
        <v>336</v>
      </c>
    </row>
    <row r="58" spans="1:23" x14ac:dyDescent="0.25">
      <c r="A58" s="812" t="str">
        <f t="shared" si="9"/>
        <v>FB</v>
      </c>
      <c r="B58" s="812" t="s">
        <v>153</v>
      </c>
      <c r="C58" s="133">
        <f t="shared" ca="1" si="10"/>
        <v>9.6979690711943567E-5</v>
      </c>
      <c r="D58" s="133">
        <f t="shared" ca="1" si="10"/>
        <v>9.6979690711943567E-5</v>
      </c>
      <c r="E58" s="133">
        <f t="shared" ca="1" si="10"/>
        <v>9.6979690711943567E-5</v>
      </c>
      <c r="F58" s="551" t="s">
        <v>336</v>
      </c>
      <c r="G58" s="575">
        <f t="shared" ca="1" si="11"/>
        <v>9.6979690711943567E-5</v>
      </c>
      <c r="H58" s="575">
        <f t="shared" ca="1" si="11"/>
        <v>9.6979690711943567E-5</v>
      </c>
      <c r="I58" s="574" t="s">
        <v>336</v>
      </c>
      <c r="J58" s="133">
        <f t="shared" ca="1" si="12"/>
        <v>3.372177450303601E-6</v>
      </c>
      <c r="K58" s="133">
        <f t="shared" ca="1" si="12"/>
        <v>3.372177450303601E-6</v>
      </c>
      <c r="L58" s="133">
        <f t="shared" ca="1" si="12"/>
        <v>3.372177450303601E-6</v>
      </c>
      <c r="M58" s="551" t="s">
        <v>336</v>
      </c>
      <c r="N58" s="575">
        <f t="shared" ca="1" si="13"/>
        <v>3.372177450303601E-6</v>
      </c>
      <c r="O58" s="575">
        <f t="shared" ca="1" si="13"/>
        <v>3.372177450303601E-6</v>
      </c>
      <c r="P58" s="574" t="s">
        <v>336</v>
      </c>
      <c r="Q58" s="45">
        <f t="shared" ca="1" si="14"/>
        <v>3.6091440373833032</v>
      </c>
      <c r="R58" s="45">
        <f t="shared" ca="1" si="14"/>
        <v>3.6091440373833032</v>
      </c>
      <c r="S58" s="45">
        <f t="shared" ca="1" si="14"/>
        <v>3.6091440373833032</v>
      </c>
      <c r="T58" s="581" t="s">
        <v>336</v>
      </c>
      <c r="U58" s="573">
        <f t="shared" ca="1" si="15"/>
        <v>3.6091440373833032</v>
      </c>
      <c r="V58" s="573">
        <f t="shared" ca="1" si="15"/>
        <v>3.6091440373833032</v>
      </c>
      <c r="W58" s="574" t="s">
        <v>336</v>
      </c>
    </row>
    <row r="59" spans="1:23" x14ac:dyDescent="0.25">
      <c r="A59" s="813" t="str">
        <f>A56</f>
        <v>FB</v>
      </c>
      <c r="B59" s="813" t="s">
        <v>154</v>
      </c>
      <c r="C59" s="135">
        <f t="shared" ca="1" si="10"/>
        <v>8.9032280552229105E-4</v>
      </c>
      <c r="D59" s="135">
        <f t="shared" ca="1" si="10"/>
        <v>8.9032280552229105E-4</v>
      </c>
      <c r="E59" s="135">
        <f t="shared" ca="1" si="10"/>
        <v>8.9032280552229105E-4</v>
      </c>
      <c r="F59" s="580" t="s">
        <v>336</v>
      </c>
      <c r="G59" s="579">
        <f t="shared" ca="1" si="11"/>
        <v>8.9032280552229105E-4</v>
      </c>
      <c r="H59" s="579">
        <f t="shared" ca="1" si="11"/>
        <v>8.9032280552229105E-4</v>
      </c>
      <c r="I59" s="576" t="s">
        <v>336</v>
      </c>
      <c r="J59" s="135">
        <f t="shared" ca="1" si="12"/>
        <v>7.5176107052318955E-3</v>
      </c>
      <c r="K59" s="135">
        <f t="shared" ca="1" si="12"/>
        <v>7.5176107052318955E-3</v>
      </c>
      <c r="L59" s="135">
        <f t="shared" ca="1" si="12"/>
        <v>7.5176107052318955E-3</v>
      </c>
      <c r="M59" s="580" t="s">
        <v>336</v>
      </c>
      <c r="N59" s="579">
        <f t="shared" ca="1" si="13"/>
        <v>7.5176107052318955E-3</v>
      </c>
      <c r="O59" s="579">
        <f t="shared" ca="1" si="13"/>
        <v>7.5176107052318955E-3</v>
      </c>
      <c r="P59" s="576" t="s">
        <v>336</v>
      </c>
      <c r="Q59" s="88">
        <f t="shared" ca="1" si="14"/>
        <v>57.557682644607794</v>
      </c>
      <c r="R59" s="88">
        <f t="shared" ca="1" si="14"/>
        <v>57.557682644607794</v>
      </c>
      <c r="S59" s="88">
        <f t="shared" ca="1" si="14"/>
        <v>57.557682644607794</v>
      </c>
      <c r="T59" s="578" t="s">
        <v>336</v>
      </c>
      <c r="U59" s="577">
        <f t="shared" ca="1" si="15"/>
        <v>57.557682644607794</v>
      </c>
      <c r="V59" s="577">
        <f t="shared" ca="1" si="15"/>
        <v>57.557682644607794</v>
      </c>
      <c r="W59" s="576" t="s">
        <v>336</v>
      </c>
    </row>
    <row r="60" spans="1:23" x14ac:dyDescent="0.25">
      <c r="A60" s="82" t="s">
        <v>754</v>
      </c>
      <c r="B60" s="812" t="s">
        <v>137</v>
      </c>
      <c r="C60" s="133">
        <f t="shared" ref="C60:E75" ca="1" si="16">C6*C$33/C$26</f>
        <v>0.27625183000134934</v>
      </c>
      <c r="D60" s="575">
        <f t="shared" ca="1" si="16"/>
        <v>0.27625183000134934</v>
      </c>
      <c r="E60" s="575">
        <f t="shared" ca="1" si="16"/>
        <v>0.27625183000134934</v>
      </c>
      <c r="F60" s="574" t="s">
        <v>336</v>
      </c>
      <c r="G60" s="133">
        <f t="shared" ref="G60:H75" ca="1" si="17">G6*G$33/G$26</f>
        <v>0.27625183000134934</v>
      </c>
      <c r="H60" s="133">
        <f t="shared" ca="1" si="17"/>
        <v>0.27625183000134934</v>
      </c>
      <c r="I60" s="551" t="s">
        <v>336</v>
      </c>
      <c r="J60" s="575">
        <f t="shared" ref="J60:L75" ca="1" si="18">J6*J$33/J$26</f>
        <v>2.3292488262268963E-3</v>
      </c>
      <c r="K60" s="575">
        <f t="shared" ca="1" si="18"/>
        <v>2.3292488262268963E-3</v>
      </c>
      <c r="L60" s="575">
        <f t="shared" ca="1" si="18"/>
        <v>2.3292488262268963E-3</v>
      </c>
      <c r="M60" s="574" t="s">
        <v>336</v>
      </c>
      <c r="N60" s="133">
        <f t="shared" ref="N60:O75" ca="1" si="19">N6*N$33/N$26</f>
        <v>2.3292488262268963E-3</v>
      </c>
      <c r="O60" s="133">
        <f t="shared" ca="1" si="19"/>
        <v>2.3292488262268963E-3</v>
      </c>
      <c r="P60" s="551" t="s">
        <v>336</v>
      </c>
      <c r="Q60" s="573">
        <f t="shared" ref="Q60:S75" ca="1" si="20">Q6*Q$33/Q$26</f>
        <v>177.51609107467576</v>
      </c>
      <c r="R60" s="573">
        <f t="shared" ca="1" si="20"/>
        <v>177.51609107467576</v>
      </c>
      <c r="S60" s="573">
        <f t="shared" ca="1" si="20"/>
        <v>177.51609107467576</v>
      </c>
      <c r="T60" s="572" t="s">
        <v>336</v>
      </c>
      <c r="U60" s="45">
        <f t="shared" ref="U60:V75" ca="1" si="21">U6*U$33/U$26</f>
        <v>177.51609107467576</v>
      </c>
      <c r="V60" s="45">
        <f t="shared" ca="1" si="21"/>
        <v>177.51609107467576</v>
      </c>
      <c r="W60" s="551" t="s">
        <v>336</v>
      </c>
    </row>
    <row r="61" spans="1:23" x14ac:dyDescent="0.25">
      <c r="A61" s="812" t="str">
        <f t="shared" ref="A61:A78" si="22">A60</f>
        <v>NP</v>
      </c>
      <c r="B61" s="812" t="s">
        <v>138</v>
      </c>
      <c r="C61" s="133">
        <f t="shared" ca="1" si="16"/>
        <v>2.1560075895206851E-2</v>
      </c>
      <c r="D61" s="575">
        <f t="shared" ca="1" si="16"/>
        <v>2.1560075895206851E-2</v>
      </c>
      <c r="E61" s="575">
        <f t="shared" ca="1" si="16"/>
        <v>2.1560075895206851E-2</v>
      </c>
      <c r="F61" s="574" t="s">
        <v>336</v>
      </c>
      <c r="G61" s="133">
        <f t="shared" ca="1" si="17"/>
        <v>2.1560075895206851E-2</v>
      </c>
      <c r="H61" s="133">
        <f t="shared" ca="1" si="17"/>
        <v>2.1560075895206851E-2</v>
      </c>
      <c r="I61" s="551" t="s">
        <v>336</v>
      </c>
      <c r="J61" s="575">
        <f t="shared" ca="1" si="18"/>
        <v>2.0554914720267666E-4</v>
      </c>
      <c r="K61" s="575">
        <f t="shared" ca="1" si="18"/>
        <v>2.0554914720267666E-4</v>
      </c>
      <c r="L61" s="575">
        <f t="shared" ca="1" si="18"/>
        <v>2.0554914720267666E-4</v>
      </c>
      <c r="M61" s="574" t="s">
        <v>336</v>
      </c>
      <c r="N61" s="133">
        <f t="shared" ca="1" si="19"/>
        <v>2.0554914720267666E-4</v>
      </c>
      <c r="O61" s="133">
        <f t="shared" ca="1" si="19"/>
        <v>2.0554914720267666E-4</v>
      </c>
      <c r="P61" s="551" t="s">
        <v>336</v>
      </c>
      <c r="Q61" s="573">
        <f t="shared" ca="1" si="20"/>
        <v>15.662465901017903</v>
      </c>
      <c r="R61" s="573">
        <f t="shared" ca="1" si="20"/>
        <v>15.662465901017903</v>
      </c>
      <c r="S61" s="573">
        <f t="shared" ca="1" si="20"/>
        <v>15.662465901017903</v>
      </c>
      <c r="T61" s="572" t="s">
        <v>336</v>
      </c>
      <c r="U61" s="45">
        <f t="shared" ca="1" si="21"/>
        <v>15.662465901017903</v>
      </c>
      <c r="V61" s="45">
        <f t="shared" ca="1" si="21"/>
        <v>15.662465901017903</v>
      </c>
      <c r="W61" s="551" t="s">
        <v>336</v>
      </c>
    </row>
    <row r="62" spans="1:23" x14ac:dyDescent="0.25">
      <c r="A62" s="812" t="str">
        <f t="shared" si="22"/>
        <v>NP</v>
      </c>
      <c r="B62" s="812" t="s">
        <v>139</v>
      </c>
      <c r="C62" s="133">
        <f t="shared" ca="1" si="16"/>
        <v>1.7801151127564356E-2</v>
      </c>
      <c r="D62" s="575">
        <f t="shared" ca="1" si="16"/>
        <v>1.7801151127564356E-2</v>
      </c>
      <c r="E62" s="575">
        <f t="shared" ca="1" si="16"/>
        <v>1.7801151127564356E-2</v>
      </c>
      <c r="F62" s="574" t="s">
        <v>336</v>
      </c>
      <c r="G62" s="133">
        <f t="shared" ca="1" si="17"/>
        <v>1.7801151127564356E-2</v>
      </c>
      <c r="H62" s="133">
        <f t="shared" ca="1" si="17"/>
        <v>1.7801151127564356E-2</v>
      </c>
      <c r="I62" s="551" t="s">
        <v>336</v>
      </c>
      <c r="J62" s="575">
        <f t="shared" ca="1" si="18"/>
        <v>4.3276652646158831E-4</v>
      </c>
      <c r="K62" s="575">
        <f t="shared" ca="1" si="18"/>
        <v>4.3276652646158831E-4</v>
      </c>
      <c r="L62" s="575">
        <f t="shared" ca="1" si="18"/>
        <v>4.3276652646158831E-4</v>
      </c>
      <c r="M62" s="574" t="s">
        <v>336</v>
      </c>
      <c r="N62" s="133">
        <f t="shared" ca="1" si="19"/>
        <v>4.3276652646158831E-4</v>
      </c>
      <c r="O62" s="133">
        <f t="shared" ca="1" si="19"/>
        <v>4.3276652646158831E-4</v>
      </c>
      <c r="P62" s="551" t="s">
        <v>336</v>
      </c>
      <c r="Q62" s="573">
        <f t="shared" ca="1" si="20"/>
        <v>32.976011119730508</v>
      </c>
      <c r="R62" s="573">
        <f t="shared" ca="1" si="20"/>
        <v>32.976011119730508</v>
      </c>
      <c r="S62" s="573">
        <f t="shared" ca="1" si="20"/>
        <v>32.976011119730508</v>
      </c>
      <c r="T62" s="572" t="s">
        <v>336</v>
      </c>
      <c r="U62" s="45">
        <f t="shared" ca="1" si="21"/>
        <v>32.976011119730508</v>
      </c>
      <c r="V62" s="45">
        <f t="shared" ca="1" si="21"/>
        <v>32.976011119730508</v>
      </c>
      <c r="W62" s="551" t="s">
        <v>336</v>
      </c>
    </row>
    <row r="63" spans="1:23" x14ac:dyDescent="0.25">
      <c r="A63" s="812" t="str">
        <f t="shared" si="22"/>
        <v>NP</v>
      </c>
      <c r="B63" s="812" t="s">
        <v>140</v>
      </c>
      <c r="C63" s="133">
        <f t="shared" ca="1" si="16"/>
        <v>1.161072937221793E-2</v>
      </c>
      <c r="D63" s="575">
        <f t="shared" ca="1" si="16"/>
        <v>1.161072937221793E-2</v>
      </c>
      <c r="E63" s="575">
        <f t="shared" ca="1" si="16"/>
        <v>1.161072937221793E-2</v>
      </c>
      <c r="F63" s="574" t="s">
        <v>336</v>
      </c>
      <c r="G63" s="133">
        <f t="shared" ca="1" si="17"/>
        <v>1.161072937221793E-2</v>
      </c>
      <c r="H63" s="133">
        <f t="shared" ca="1" si="17"/>
        <v>1.161072937221793E-2</v>
      </c>
      <c r="I63" s="551" t="s">
        <v>336</v>
      </c>
      <c r="J63" s="575">
        <f t="shared" ca="1" si="18"/>
        <v>2.6055713523205512E-4</v>
      </c>
      <c r="K63" s="575">
        <f t="shared" ca="1" si="18"/>
        <v>2.6055713523205512E-4</v>
      </c>
      <c r="L63" s="575">
        <f t="shared" ca="1" si="18"/>
        <v>2.6055713523205512E-4</v>
      </c>
      <c r="M63" s="574" t="s">
        <v>336</v>
      </c>
      <c r="N63" s="133">
        <f t="shared" ca="1" si="19"/>
        <v>2.6055713523205512E-4</v>
      </c>
      <c r="O63" s="133">
        <f t="shared" ca="1" si="19"/>
        <v>2.6055713523205512E-4</v>
      </c>
      <c r="P63" s="551" t="s">
        <v>336</v>
      </c>
      <c r="Q63" s="573">
        <f t="shared" ca="1" si="20"/>
        <v>19.853973131861444</v>
      </c>
      <c r="R63" s="573">
        <f t="shared" ca="1" si="20"/>
        <v>19.853973131861444</v>
      </c>
      <c r="S63" s="573">
        <f t="shared" ca="1" si="20"/>
        <v>19.853973131861444</v>
      </c>
      <c r="T63" s="572" t="s">
        <v>336</v>
      </c>
      <c r="U63" s="45">
        <f t="shared" ca="1" si="21"/>
        <v>19.853973131861444</v>
      </c>
      <c r="V63" s="45">
        <f t="shared" ca="1" si="21"/>
        <v>19.853973131861444</v>
      </c>
      <c r="W63" s="551" t="s">
        <v>336</v>
      </c>
    </row>
    <row r="64" spans="1:23" x14ac:dyDescent="0.25">
      <c r="A64" s="812" t="str">
        <f t="shared" si="22"/>
        <v>NP</v>
      </c>
      <c r="B64" s="812" t="s">
        <v>141</v>
      </c>
      <c r="C64" s="133">
        <f t="shared" ca="1" si="16"/>
        <v>0.17361710764923594</v>
      </c>
      <c r="D64" s="575">
        <f t="shared" ca="1" si="16"/>
        <v>0.17361710764923594</v>
      </c>
      <c r="E64" s="575">
        <f t="shared" ca="1" si="16"/>
        <v>0.17361710764923594</v>
      </c>
      <c r="F64" s="574" t="s">
        <v>336</v>
      </c>
      <c r="G64" s="133">
        <f t="shared" ca="1" si="17"/>
        <v>0.17361710764923594</v>
      </c>
      <c r="H64" s="133">
        <f t="shared" ca="1" si="17"/>
        <v>0.17361710764923594</v>
      </c>
      <c r="I64" s="551" t="s">
        <v>336</v>
      </c>
      <c r="J64" s="575">
        <f t="shared" ca="1" si="18"/>
        <v>4.1714597525800918E-3</v>
      </c>
      <c r="K64" s="575">
        <f t="shared" ca="1" si="18"/>
        <v>4.1714597525800918E-3</v>
      </c>
      <c r="L64" s="575">
        <f t="shared" ca="1" si="18"/>
        <v>4.1714597525800918E-3</v>
      </c>
      <c r="M64" s="574" t="s">
        <v>336</v>
      </c>
      <c r="N64" s="133">
        <f t="shared" ca="1" si="19"/>
        <v>4.1714597525800918E-3</v>
      </c>
      <c r="O64" s="133">
        <f t="shared" ca="1" si="19"/>
        <v>4.1714597525800918E-3</v>
      </c>
      <c r="P64" s="551" t="s">
        <v>336</v>
      </c>
      <c r="Q64" s="573">
        <f t="shared" ca="1" si="20"/>
        <v>317.85753928636819</v>
      </c>
      <c r="R64" s="573">
        <f t="shared" ca="1" si="20"/>
        <v>317.85753928636819</v>
      </c>
      <c r="S64" s="573">
        <f t="shared" ca="1" si="20"/>
        <v>317.85753928636819</v>
      </c>
      <c r="T64" s="572" t="s">
        <v>336</v>
      </c>
      <c r="U64" s="45">
        <f t="shared" ca="1" si="21"/>
        <v>317.85753928636819</v>
      </c>
      <c r="V64" s="45">
        <f t="shared" ca="1" si="21"/>
        <v>317.85753928636819</v>
      </c>
      <c r="W64" s="551" t="s">
        <v>336</v>
      </c>
    </row>
    <row r="65" spans="1:23" x14ac:dyDescent="0.25">
      <c r="A65" s="812" t="str">
        <f t="shared" si="22"/>
        <v>NP</v>
      </c>
      <c r="B65" s="812" t="s">
        <v>142</v>
      </c>
      <c r="C65" s="133">
        <f t="shared" ca="1" si="16"/>
        <v>0.23858621907578004</v>
      </c>
      <c r="D65" s="575">
        <f t="shared" ca="1" si="16"/>
        <v>0.23858621907578004</v>
      </c>
      <c r="E65" s="575">
        <f t="shared" ca="1" si="16"/>
        <v>0.23858621907578004</v>
      </c>
      <c r="F65" s="574" t="s">
        <v>336</v>
      </c>
      <c r="G65" s="133">
        <f t="shared" ca="1" si="17"/>
        <v>0.23858621907578004</v>
      </c>
      <c r="H65" s="133">
        <f t="shared" ca="1" si="17"/>
        <v>0.23858621907578004</v>
      </c>
      <c r="I65" s="551" t="s">
        <v>336</v>
      </c>
      <c r="J65" s="575">
        <f t="shared" ca="1" si="18"/>
        <v>8.7826593881139402E-3</v>
      </c>
      <c r="K65" s="575">
        <f t="shared" ca="1" si="18"/>
        <v>8.7826593881139402E-3</v>
      </c>
      <c r="L65" s="575">
        <f t="shared" ca="1" si="18"/>
        <v>8.7826593881139402E-3</v>
      </c>
      <c r="M65" s="574" t="s">
        <v>336</v>
      </c>
      <c r="N65" s="133">
        <f t="shared" ca="1" si="19"/>
        <v>8.7826593881139402E-3</v>
      </c>
      <c r="O65" s="133">
        <f t="shared" ca="1" si="19"/>
        <v>8.7826593881139402E-3</v>
      </c>
      <c r="P65" s="551" t="s">
        <v>336</v>
      </c>
      <c r="Q65" s="573">
        <f t="shared" ca="1" si="20"/>
        <v>669.22244659547846</v>
      </c>
      <c r="R65" s="573">
        <f t="shared" ca="1" si="20"/>
        <v>669.22244659547846</v>
      </c>
      <c r="S65" s="573">
        <f t="shared" ca="1" si="20"/>
        <v>669.22244659547846</v>
      </c>
      <c r="T65" s="572" t="s">
        <v>336</v>
      </c>
      <c r="U65" s="45">
        <f t="shared" ca="1" si="21"/>
        <v>669.22244659547846</v>
      </c>
      <c r="V65" s="45">
        <f t="shared" ca="1" si="21"/>
        <v>669.22244659547846</v>
      </c>
      <c r="W65" s="551" t="s">
        <v>336</v>
      </c>
    </row>
    <row r="66" spans="1:23" x14ac:dyDescent="0.25">
      <c r="A66" s="812" t="str">
        <f t="shared" si="22"/>
        <v>NP</v>
      </c>
      <c r="B66" s="812" t="s">
        <v>143</v>
      </c>
      <c r="C66" s="133">
        <f t="shared" ca="1" si="16"/>
        <v>0.15938844093096083</v>
      </c>
      <c r="D66" s="575">
        <f t="shared" ca="1" si="16"/>
        <v>0.15938844093096083</v>
      </c>
      <c r="E66" s="575">
        <f t="shared" ca="1" si="16"/>
        <v>0.15938844093096083</v>
      </c>
      <c r="F66" s="574" t="s">
        <v>336</v>
      </c>
      <c r="G66" s="133">
        <f t="shared" ca="1" si="17"/>
        <v>0.15938844093096083</v>
      </c>
      <c r="H66" s="133">
        <f t="shared" ca="1" si="17"/>
        <v>0.15938844093096083</v>
      </c>
      <c r="I66" s="551" t="s">
        <v>336</v>
      </c>
      <c r="J66" s="575">
        <f t="shared" ca="1" si="18"/>
        <v>5.2878040004533415E-3</v>
      </c>
      <c r="K66" s="575">
        <f t="shared" ca="1" si="18"/>
        <v>5.2878040004533415E-3</v>
      </c>
      <c r="L66" s="575">
        <f t="shared" ca="1" si="18"/>
        <v>5.2878040004533415E-3</v>
      </c>
      <c r="M66" s="574" t="s">
        <v>336</v>
      </c>
      <c r="N66" s="133">
        <f t="shared" ca="1" si="19"/>
        <v>5.2878040004533415E-3</v>
      </c>
      <c r="O66" s="133">
        <f t="shared" ca="1" si="19"/>
        <v>5.2878040004533415E-3</v>
      </c>
      <c r="P66" s="551" t="s">
        <v>336</v>
      </c>
      <c r="Q66" s="573">
        <f t="shared" ca="1" si="20"/>
        <v>402.92091198366251</v>
      </c>
      <c r="R66" s="573">
        <f t="shared" ca="1" si="20"/>
        <v>402.92091198366251</v>
      </c>
      <c r="S66" s="573">
        <f t="shared" ca="1" si="20"/>
        <v>402.92091198366251</v>
      </c>
      <c r="T66" s="572" t="s">
        <v>336</v>
      </c>
      <c r="U66" s="45">
        <f t="shared" ca="1" si="21"/>
        <v>402.92091198366251</v>
      </c>
      <c r="V66" s="45">
        <f t="shared" ca="1" si="21"/>
        <v>402.92091198366251</v>
      </c>
      <c r="W66" s="551" t="s">
        <v>336</v>
      </c>
    </row>
    <row r="67" spans="1:23" x14ac:dyDescent="0.25">
      <c r="A67" s="812" t="str">
        <f t="shared" si="22"/>
        <v>NP</v>
      </c>
      <c r="B67" s="812" t="s">
        <v>144</v>
      </c>
      <c r="C67" s="133">
        <f t="shared" ca="1" si="16"/>
        <v>5.8812252562667226E-3</v>
      </c>
      <c r="D67" s="575">
        <f t="shared" ca="1" si="16"/>
        <v>5.8812252562667226E-3</v>
      </c>
      <c r="E67" s="575">
        <f t="shared" ca="1" si="16"/>
        <v>5.8812252562667226E-3</v>
      </c>
      <c r="F67" s="574" t="s">
        <v>336</v>
      </c>
      <c r="G67" s="133">
        <f t="shared" ca="1" si="17"/>
        <v>5.8812252562667226E-3</v>
      </c>
      <c r="H67" s="133">
        <f t="shared" ca="1" si="17"/>
        <v>5.8812252562667226E-3</v>
      </c>
      <c r="I67" s="551" t="s">
        <v>336</v>
      </c>
      <c r="J67" s="575">
        <f t="shared" ca="1" si="18"/>
        <v>4.637168851494826E-4</v>
      </c>
      <c r="K67" s="575">
        <f t="shared" ca="1" si="18"/>
        <v>4.637168851494826E-4</v>
      </c>
      <c r="L67" s="575">
        <f t="shared" ca="1" si="18"/>
        <v>4.637168851494826E-4</v>
      </c>
      <c r="M67" s="574" t="s">
        <v>336</v>
      </c>
      <c r="N67" s="133">
        <f t="shared" ca="1" si="19"/>
        <v>4.637168851494826E-4</v>
      </c>
      <c r="O67" s="133">
        <f t="shared" ca="1" si="19"/>
        <v>4.637168851494826E-4</v>
      </c>
      <c r="P67" s="551" t="s">
        <v>336</v>
      </c>
      <c r="Q67" s="573">
        <f t="shared" ca="1" si="20"/>
        <v>42.195728809333147</v>
      </c>
      <c r="R67" s="573">
        <f t="shared" ca="1" si="20"/>
        <v>42.195728809333147</v>
      </c>
      <c r="S67" s="573">
        <f t="shared" ca="1" si="20"/>
        <v>42.195728809333147</v>
      </c>
      <c r="T67" s="572" t="s">
        <v>336</v>
      </c>
      <c r="U67" s="45">
        <f t="shared" ca="1" si="21"/>
        <v>42.195728809333147</v>
      </c>
      <c r="V67" s="45">
        <f t="shared" ca="1" si="21"/>
        <v>42.195728809333147</v>
      </c>
      <c r="W67" s="551" t="s">
        <v>336</v>
      </c>
    </row>
    <row r="68" spans="1:23" x14ac:dyDescent="0.25">
      <c r="A68" s="812" t="str">
        <f t="shared" si="22"/>
        <v>NP</v>
      </c>
      <c r="B68" s="812" t="s">
        <v>145</v>
      </c>
      <c r="C68" s="133">
        <f t="shared" ca="1" si="16"/>
        <v>1.9837555569614553E-2</v>
      </c>
      <c r="D68" s="575">
        <f t="shared" ca="1" si="16"/>
        <v>1.9837555569614553E-2</v>
      </c>
      <c r="E68" s="575">
        <f t="shared" ca="1" si="16"/>
        <v>1.9837555569614553E-2</v>
      </c>
      <c r="F68" s="574" t="s">
        <v>336</v>
      </c>
      <c r="G68" s="133">
        <f t="shared" ca="1" si="17"/>
        <v>1.9837555569614553E-2</v>
      </c>
      <c r="H68" s="133">
        <f t="shared" ca="1" si="17"/>
        <v>1.9837555569614553E-2</v>
      </c>
      <c r="I68" s="551" t="s">
        <v>336</v>
      </c>
      <c r="J68" s="575">
        <f t="shared" ca="1" si="18"/>
        <v>1.5641314652791872E-3</v>
      </c>
      <c r="K68" s="575">
        <f t="shared" ca="1" si="18"/>
        <v>1.5641314652791872E-3</v>
      </c>
      <c r="L68" s="575">
        <f t="shared" ca="1" si="18"/>
        <v>1.5641314652791872E-3</v>
      </c>
      <c r="M68" s="574" t="s">
        <v>336</v>
      </c>
      <c r="N68" s="133">
        <f t="shared" ca="1" si="19"/>
        <v>1.5641314652791872E-3</v>
      </c>
      <c r="O68" s="133">
        <f t="shared" ca="1" si="19"/>
        <v>1.5641314652791872E-3</v>
      </c>
      <c r="P68" s="551" t="s">
        <v>336</v>
      </c>
      <c r="Q68" s="573">
        <f t="shared" ca="1" si="20"/>
        <v>142.32750465791207</v>
      </c>
      <c r="R68" s="573">
        <f t="shared" ca="1" si="20"/>
        <v>142.32750465791207</v>
      </c>
      <c r="S68" s="573">
        <f t="shared" ca="1" si="20"/>
        <v>142.32750465791207</v>
      </c>
      <c r="T68" s="572" t="s">
        <v>336</v>
      </c>
      <c r="U68" s="45">
        <f t="shared" ca="1" si="21"/>
        <v>142.32750465791207</v>
      </c>
      <c r="V68" s="45">
        <f t="shared" ca="1" si="21"/>
        <v>142.32750465791207</v>
      </c>
      <c r="W68" s="551" t="s">
        <v>336</v>
      </c>
    </row>
    <row r="69" spans="1:23" x14ac:dyDescent="0.25">
      <c r="A69" s="812" t="str">
        <f t="shared" si="22"/>
        <v>NP</v>
      </c>
      <c r="B69" s="812" t="s">
        <v>146</v>
      </c>
      <c r="C69" s="133">
        <f t="shared" ca="1" si="16"/>
        <v>9.8560269238905915E-2</v>
      </c>
      <c r="D69" s="575">
        <f t="shared" ca="1" si="16"/>
        <v>9.8560269238905915E-2</v>
      </c>
      <c r="E69" s="575">
        <f t="shared" ca="1" si="16"/>
        <v>9.8560269238905915E-2</v>
      </c>
      <c r="F69" s="574" t="s">
        <v>336</v>
      </c>
      <c r="G69" s="133">
        <f t="shared" ca="1" si="17"/>
        <v>9.8560269238905915E-2</v>
      </c>
      <c r="H69" s="133">
        <f t="shared" ca="1" si="17"/>
        <v>9.8560269238905915E-2</v>
      </c>
      <c r="I69" s="551" t="s">
        <v>336</v>
      </c>
      <c r="J69" s="575">
        <f t="shared" ca="1" si="18"/>
        <v>2.9131634827324914E-3</v>
      </c>
      <c r="K69" s="575">
        <f t="shared" ca="1" si="18"/>
        <v>2.9131634827324914E-3</v>
      </c>
      <c r="L69" s="575">
        <f t="shared" ca="1" si="18"/>
        <v>2.9131634827324914E-3</v>
      </c>
      <c r="M69" s="574" t="s">
        <v>336</v>
      </c>
      <c r="N69" s="133">
        <f t="shared" ca="1" si="19"/>
        <v>2.9131634827324914E-3</v>
      </c>
      <c r="O69" s="133">
        <f t="shared" ca="1" si="19"/>
        <v>2.9131634827324914E-3</v>
      </c>
      <c r="P69" s="551" t="s">
        <v>336</v>
      </c>
      <c r="Q69" s="573">
        <f t="shared" ca="1" si="20"/>
        <v>221.90148621811559</v>
      </c>
      <c r="R69" s="573">
        <f t="shared" ca="1" si="20"/>
        <v>221.90148621811559</v>
      </c>
      <c r="S69" s="573">
        <f t="shared" ca="1" si="20"/>
        <v>221.90148621811559</v>
      </c>
      <c r="T69" s="572" t="s">
        <v>336</v>
      </c>
      <c r="U69" s="45">
        <f t="shared" ca="1" si="21"/>
        <v>221.90148621811559</v>
      </c>
      <c r="V69" s="45">
        <f t="shared" ca="1" si="21"/>
        <v>221.90148621811559</v>
      </c>
      <c r="W69" s="551" t="s">
        <v>336</v>
      </c>
    </row>
    <row r="70" spans="1:23" x14ac:dyDescent="0.25">
      <c r="A70" s="812" t="str">
        <f t="shared" si="22"/>
        <v>NP</v>
      </c>
      <c r="B70" s="812" t="s">
        <v>568</v>
      </c>
      <c r="C70" s="133">
        <f t="shared" ca="1" si="16"/>
        <v>2.1618634071495189E-2</v>
      </c>
      <c r="D70" s="575">
        <f t="shared" ca="1" si="16"/>
        <v>2.1618634071495189E-2</v>
      </c>
      <c r="E70" s="575">
        <f t="shared" ca="1" si="16"/>
        <v>2.1618634071495189E-2</v>
      </c>
      <c r="F70" s="574" t="s">
        <v>336</v>
      </c>
      <c r="G70" s="133">
        <f t="shared" ca="1" si="17"/>
        <v>2.1618634071495189E-2</v>
      </c>
      <c r="H70" s="133">
        <f t="shared" ca="1" si="17"/>
        <v>2.1618634071495189E-2</v>
      </c>
      <c r="I70" s="551" t="s">
        <v>336</v>
      </c>
      <c r="J70" s="575">
        <f t="shared" ca="1" si="18"/>
        <v>0.99806430937787105</v>
      </c>
      <c r="K70" s="575">
        <f t="shared" ca="1" si="18"/>
        <v>0.99806430937787105</v>
      </c>
      <c r="L70" s="575">
        <f t="shared" ca="1" si="18"/>
        <v>0.99806430937787105</v>
      </c>
      <c r="M70" s="574" t="s">
        <v>336</v>
      </c>
      <c r="N70" s="133">
        <f t="shared" ca="1" si="19"/>
        <v>0.99806430937787105</v>
      </c>
      <c r="O70" s="133">
        <f t="shared" ca="1" si="19"/>
        <v>0.99806430937787105</v>
      </c>
      <c r="P70" s="551" t="s">
        <v>336</v>
      </c>
      <c r="Q70" s="573">
        <f t="shared" ca="1" si="20"/>
        <v>8798.3149718703662</v>
      </c>
      <c r="R70" s="573">
        <f t="shared" ca="1" si="20"/>
        <v>8798.3149718703662</v>
      </c>
      <c r="S70" s="573">
        <f t="shared" ca="1" si="20"/>
        <v>8798.3149718703662</v>
      </c>
      <c r="T70" s="572" t="s">
        <v>336</v>
      </c>
      <c r="U70" s="45">
        <f t="shared" ca="1" si="21"/>
        <v>8798.3149718703662</v>
      </c>
      <c r="V70" s="45">
        <f t="shared" ca="1" si="21"/>
        <v>8798.3149718703662</v>
      </c>
      <c r="W70" s="551" t="s">
        <v>336</v>
      </c>
    </row>
    <row r="71" spans="1:23" x14ac:dyDescent="0.25">
      <c r="A71" s="812" t="str">
        <f t="shared" si="22"/>
        <v>NP</v>
      </c>
      <c r="B71" s="812" t="s">
        <v>148</v>
      </c>
      <c r="C71" s="133">
        <f t="shared" ca="1" si="16"/>
        <v>7.1151362339963104E-3</v>
      </c>
      <c r="D71" s="575">
        <f t="shared" ca="1" si="16"/>
        <v>7.1151362339963104E-3</v>
      </c>
      <c r="E71" s="575">
        <f t="shared" ca="1" si="16"/>
        <v>7.1151362339963104E-3</v>
      </c>
      <c r="F71" s="574" t="s">
        <v>336</v>
      </c>
      <c r="G71" s="133">
        <f t="shared" ca="1" si="17"/>
        <v>7.1151362339963104E-3</v>
      </c>
      <c r="H71" s="133">
        <f t="shared" ca="1" si="17"/>
        <v>7.1151362339963104E-3</v>
      </c>
      <c r="I71" s="551" t="s">
        <v>336</v>
      </c>
      <c r="J71" s="575">
        <f t="shared" ca="1" si="18"/>
        <v>0.14460165203696546</v>
      </c>
      <c r="K71" s="575">
        <f t="shared" ca="1" si="18"/>
        <v>0.14460165203696546</v>
      </c>
      <c r="L71" s="575">
        <f t="shared" ca="1" si="18"/>
        <v>0.14460165203696546</v>
      </c>
      <c r="M71" s="574" t="s">
        <v>336</v>
      </c>
      <c r="N71" s="133">
        <f t="shared" ca="1" si="19"/>
        <v>0.14460165203696546</v>
      </c>
      <c r="O71" s="133">
        <f t="shared" ca="1" si="19"/>
        <v>0.14460165203696546</v>
      </c>
      <c r="P71" s="551" t="s">
        <v>336</v>
      </c>
      <c r="Q71" s="573">
        <f t="shared" ca="1" si="20"/>
        <v>2988.2520970194373</v>
      </c>
      <c r="R71" s="573">
        <f t="shared" ca="1" si="20"/>
        <v>2988.2520970194373</v>
      </c>
      <c r="S71" s="573">
        <f t="shared" ca="1" si="20"/>
        <v>2988.2520970194373</v>
      </c>
      <c r="T71" s="572" t="s">
        <v>336</v>
      </c>
      <c r="U71" s="45">
        <f t="shared" ca="1" si="21"/>
        <v>2988.2520970194373</v>
      </c>
      <c r="V71" s="45">
        <f t="shared" ca="1" si="21"/>
        <v>2988.2520970194373</v>
      </c>
      <c r="W71" s="551" t="s">
        <v>336</v>
      </c>
    </row>
    <row r="72" spans="1:23" x14ac:dyDescent="0.25">
      <c r="A72" s="812" t="str">
        <f t="shared" si="22"/>
        <v>NP</v>
      </c>
      <c r="B72" s="812" t="s">
        <v>746</v>
      </c>
      <c r="C72" s="133">
        <f t="shared" ca="1" si="16"/>
        <v>1.2913833162979973E-4</v>
      </c>
      <c r="D72" s="575">
        <f t="shared" ca="1" si="16"/>
        <v>1.2913833162979973E-4</v>
      </c>
      <c r="E72" s="575">
        <f t="shared" ca="1" si="16"/>
        <v>1.2913833162979973E-4</v>
      </c>
      <c r="F72" s="574" t="s">
        <v>336</v>
      </c>
      <c r="G72" s="133">
        <f t="shared" ca="1" si="17"/>
        <v>1.2913833162979973E-4</v>
      </c>
      <c r="H72" s="133">
        <f t="shared" ca="1" si="17"/>
        <v>1.2913833162979973E-4</v>
      </c>
      <c r="I72" s="551" t="s">
        <v>336</v>
      </c>
      <c r="J72" s="575">
        <f t="shared" ca="1" si="18"/>
        <v>6.8054775167699149E-3</v>
      </c>
      <c r="K72" s="575">
        <f t="shared" ca="1" si="18"/>
        <v>6.8054775167699149E-3</v>
      </c>
      <c r="L72" s="575">
        <f t="shared" ca="1" si="18"/>
        <v>6.8054775167699149E-3</v>
      </c>
      <c r="M72" s="574" t="s">
        <v>336</v>
      </c>
      <c r="N72" s="133">
        <f t="shared" ca="1" si="19"/>
        <v>6.8054775167699149E-3</v>
      </c>
      <c r="O72" s="133">
        <f t="shared" ca="1" si="19"/>
        <v>6.8054775167699149E-3</v>
      </c>
      <c r="P72" s="551" t="s">
        <v>336</v>
      </c>
      <c r="Q72" s="573">
        <f t="shared" ca="1" si="20"/>
        <v>61.237476352068946</v>
      </c>
      <c r="R72" s="573">
        <f t="shared" ca="1" si="20"/>
        <v>61.237476352068946</v>
      </c>
      <c r="S72" s="573">
        <f t="shared" ca="1" si="20"/>
        <v>61.237476352068946</v>
      </c>
      <c r="T72" s="572" t="s">
        <v>336</v>
      </c>
      <c r="U72" s="45">
        <f t="shared" ca="1" si="21"/>
        <v>61.237476352068946</v>
      </c>
      <c r="V72" s="45">
        <f t="shared" ca="1" si="21"/>
        <v>61.237476352068946</v>
      </c>
      <c r="W72" s="551" t="s">
        <v>336</v>
      </c>
    </row>
    <row r="73" spans="1:23" x14ac:dyDescent="0.25">
      <c r="A73" s="812" t="str">
        <f t="shared" si="22"/>
        <v>NP</v>
      </c>
      <c r="B73" s="812" t="s">
        <v>747</v>
      </c>
      <c r="C73" s="133">
        <f t="shared" ca="1" si="16"/>
        <v>4.9994464395625756E-4</v>
      </c>
      <c r="D73" s="575">
        <f t="shared" ca="1" si="16"/>
        <v>4.9994464395625756E-4</v>
      </c>
      <c r="E73" s="575">
        <f t="shared" ca="1" si="16"/>
        <v>4.9994464395625756E-4</v>
      </c>
      <c r="F73" s="574" t="s">
        <v>336</v>
      </c>
      <c r="G73" s="133">
        <f t="shared" ca="1" si="17"/>
        <v>4.9994464395625756E-4</v>
      </c>
      <c r="H73" s="133">
        <f t="shared" ca="1" si="17"/>
        <v>4.9994464395625756E-4</v>
      </c>
      <c r="I73" s="551" t="s">
        <v>336</v>
      </c>
      <c r="J73" s="575">
        <f t="shared" ca="1" si="18"/>
        <v>2.3080871073870666E-2</v>
      </c>
      <c r="K73" s="575">
        <f t="shared" ca="1" si="18"/>
        <v>2.3080871073870666E-2</v>
      </c>
      <c r="L73" s="575">
        <f t="shared" ca="1" si="18"/>
        <v>2.3080871073870666E-2</v>
      </c>
      <c r="M73" s="574" t="s">
        <v>336</v>
      </c>
      <c r="N73" s="133">
        <f t="shared" ca="1" si="19"/>
        <v>2.3080871073870666E-2</v>
      </c>
      <c r="O73" s="133">
        <f t="shared" ca="1" si="19"/>
        <v>2.3080871073870666E-2</v>
      </c>
      <c r="P73" s="551" t="s">
        <v>336</v>
      </c>
      <c r="Q73" s="573">
        <f t="shared" ca="1" si="20"/>
        <v>189.5030362114851</v>
      </c>
      <c r="R73" s="573">
        <f t="shared" ca="1" si="20"/>
        <v>189.5030362114851</v>
      </c>
      <c r="S73" s="573">
        <f t="shared" ca="1" si="20"/>
        <v>189.5030362114851</v>
      </c>
      <c r="T73" s="572" t="s">
        <v>336</v>
      </c>
      <c r="U73" s="45">
        <f t="shared" ca="1" si="21"/>
        <v>189.5030362114851</v>
      </c>
      <c r="V73" s="45">
        <f t="shared" ca="1" si="21"/>
        <v>189.5030362114851</v>
      </c>
      <c r="W73" s="551" t="s">
        <v>336</v>
      </c>
    </row>
    <row r="74" spans="1:23" x14ac:dyDescent="0.25">
      <c r="A74" s="812" t="str">
        <f t="shared" si="22"/>
        <v>NP</v>
      </c>
      <c r="B74" s="812" t="s">
        <v>149</v>
      </c>
      <c r="C74" s="133">
        <f t="shared" ca="1" si="16"/>
        <v>2.4046849396380023E-6</v>
      </c>
      <c r="D74" s="575">
        <f t="shared" ca="1" si="16"/>
        <v>2.4046849396380023E-6</v>
      </c>
      <c r="E74" s="575">
        <f t="shared" ca="1" si="16"/>
        <v>2.4046849396380023E-6</v>
      </c>
      <c r="F74" s="574" t="s">
        <v>336</v>
      </c>
      <c r="G74" s="133">
        <f t="shared" ca="1" si="17"/>
        <v>2.4046849396380023E-6</v>
      </c>
      <c r="H74" s="133">
        <f t="shared" ca="1" si="17"/>
        <v>2.4046849396380023E-6</v>
      </c>
      <c r="I74" s="551" t="s">
        <v>336</v>
      </c>
      <c r="J74" s="575">
        <f t="shared" ca="1" si="18"/>
        <v>2.124469001970638E-5</v>
      </c>
      <c r="K74" s="575">
        <f t="shared" ca="1" si="18"/>
        <v>2.124469001970638E-5</v>
      </c>
      <c r="L74" s="575">
        <f t="shared" ca="1" si="18"/>
        <v>2.124469001970638E-5</v>
      </c>
      <c r="M74" s="574" t="s">
        <v>336</v>
      </c>
      <c r="N74" s="133">
        <f t="shared" ca="1" si="19"/>
        <v>2.124469001970638E-5</v>
      </c>
      <c r="O74" s="133">
        <f t="shared" ca="1" si="19"/>
        <v>2.124469001970638E-5</v>
      </c>
      <c r="P74" s="551" t="s">
        <v>336</v>
      </c>
      <c r="Q74" s="573">
        <f t="shared" ca="1" si="20"/>
        <v>82.978657381304785</v>
      </c>
      <c r="R74" s="573">
        <f t="shared" ca="1" si="20"/>
        <v>82.978657381304785</v>
      </c>
      <c r="S74" s="573">
        <f t="shared" ca="1" si="20"/>
        <v>82.978657381304785</v>
      </c>
      <c r="T74" s="572" t="s">
        <v>336</v>
      </c>
      <c r="U74" s="45">
        <f t="shared" ca="1" si="21"/>
        <v>82.978657381304785</v>
      </c>
      <c r="V74" s="45">
        <f t="shared" ca="1" si="21"/>
        <v>82.978657381304785</v>
      </c>
      <c r="W74" s="551" t="s">
        <v>336</v>
      </c>
    </row>
    <row r="75" spans="1:23" x14ac:dyDescent="0.25">
      <c r="A75" s="812" t="str">
        <f t="shared" si="22"/>
        <v>NP</v>
      </c>
      <c r="B75" s="812" t="s">
        <v>150</v>
      </c>
      <c r="C75" s="133">
        <f t="shared" ca="1" si="16"/>
        <v>4.1411843829894787E-3</v>
      </c>
      <c r="D75" s="575">
        <f t="shared" ca="1" si="16"/>
        <v>4.1411843829894787E-3</v>
      </c>
      <c r="E75" s="575">
        <f t="shared" ca="1" si="16"/>
        <v>4.1411843829894787E-3</v>
      </c>
      <c r="F75" s="574" t="s">
        <v>336</v>
      </c>
      <c r="G75" s="133">
        <f t="shared" ca="1" si="17"/>
        <v>4.1411843829894787E-3</v>
      </c>
      <c r="H75" s="133">
        <f t="shared" ca="1" si="17"/>
        <v>4.1411843829894787E-3</v>
      </c>
      <c r="I75" s="551" t="s">
        <v>336</v>
      </c>
      <c r="J75" s="575">
        <f t="shared" ca="1" si="18"/>
        <v>2.3844545830040403E-4</v>
      </c>
      <c r="K75" s="575">
        <f t="shared" ca="1" si="18"/>
        <v>2.3844545830040403E-4</v>
      </c>
      <c r="L75" s="575">
        <f t="shared" ca="1" si="18"/>
        <v>2.3844545830040403E-4</v>
      </c>
      <c r="M75" s="574" t="s">
        <v>336</v>
      </c>
      <c r="N75" s="133">
        <f t="shared" ca="1" si="19"/>
        <v>2.3844545830040403E-4</v>
      </c>
      <c r="O75" s="133">
        <f t="shared" ca="1" si="19"/>
        <v>2.3844545830040403E-4</v>
      </c>
      <c r="P75" s="551" t="s">
        <v>336</v>
      </c>
      <c r="Q75" s="573">
        <f t="shared" ca="1" si="20"/>
        <v>765.76304795656665</v>
      </c>
      <c r="R75" s="573">
        <f t="shared" ca="1" si="20"/>
        <v>765.76304795656665</v>
      </c>
      <c r="S75" s="573">
        <f t="shared" ca="1" si="20"/>
        <v>765.76304795656665</v>
      </c>
      <c r="T75" s="572" t="s">
        <v>336</v>
      </c>
      <c r="U75" s="45">
        <f t="shared" ca="1" si="21"/>
        <v>765.76304795656665</v>
      </c>
      <c r="V75" s="45">
        <f t="shared" ca="1" si="21"/>
        <v>765.76304795656665</v>
      </c>
      <c r="W75" s="551" t="s">
        <v>336</v>
      </c>
    </row>
    <row r="76" spans="1:23" x14ac:dyDescent="0.25">
      <c r="A76" s="812" t="str">
        <f t="shared" si="22"/>
        <v>NP</v>
      </c>
      <c r="B76" s="812" t="s">
        <v>151</v>
      </c>
      <c r="C76" s="133">
        <f t="shared" ref="C76:E79" ca="1" si="23">C22*C$33/C$26</f>
        <v>3.8535538160088388E-2</v>
      </c>
      <c r="D76" s="575">
        <f t="shared" ca="1" si="23"/>
        <v>3.8535538160088388E-2</v>
      </c>
      <c r="E76" s="575">
        <f t="shared" ca="1" si="23"/>
        <v>3.8535538160088388E-2</v>
      </c>
      <c r="F76" s="574" t="s">
        <v>336</v>
      </c>
      <c r="G76" s="133">
        <f t="shared" ref="G76:H79" ca="1" si="24">G22*G$33/G$26</f>
        <v>3.8535538160088388E-2</v>
      </c>
      <c r="H76" s="133">
        <f t="shared" ca="1" si="24"/>
        <v>3.8535538160088388E-2</v>
      </c>
      <c r="I76" s="551" t="s">
        <v>336</v>
      </c>
      <c r="J76" s="575">
        <f t="shared" ref="J76:L79" ca="1" si="25">J22*J$33/J$26</f>
        <v>3.2713305301857752E-2</v>
      </c>
      <c r="K76" s="575">
        <f t="shared" ca="1" si="25"/>
        <v>3.2713305301857752E-2</v>
      </c>
      <c r="L76" s="575">
        <f t="shared" ca="1" si="25"/>
        <v>3.2713305301857752E-2</v>
      </c>
      <c r="M76" s="574" t="s">
        <v>336</v>
      </c>
      <c r="N76" s="133">
        <f t="shared" ref="N76:O79" ca="1" si="26">N22*N$33/N$26</f>
        <v>3.2713305301857752E-2</v>
      </c>
      <c r="O76" s="133">
        <f t="shared" ca="1" si="26"/>
        <v>3.2713305301857752E-2</v>
      </c>
      <c r="P76" s="551" t="s">
        <v>336</v>
      </c>
      <c r="Q76" s="573">
        <f t="shared" ref="Q76:S79" ca="1" si="27">Q22*Q$33/Q$26</f>
        <v>101.50223964991655</v>
      </c>
      <c r="R76" s="573">
        <f t="shared" ca="1" si="27"/>
        <v>101.50223964991655</v>
      </c>
      <c r="S76" s="573">
        <f t="shared" ca="1" si="27"/>
        <v>101.50223964991655</v>
      </c>
      <c r="T76" s="572" t="s">
        <v>336</v>
      </c>
      <c r="U76" s="45">
        <f t="shared" ref="U76:V79" ca="1" si="28">U22*U$33/U$26</f>
        <v>101.50223964991655</v>
      </c>
      <c r="V76" s="45">
        <f t="shared" ca="1" si="28"/>
        <v>101.50223964991655</v>
      </c>
      <c r="W76" s="551" t="s">
        <v>336</v>
      </c>
    </row>
    <row r="77" spans="1:23" x14ac:dyDescent="0.25">
      <c r="A77" s="812" t="str">
        <f t="shared" si="22"/>
        <v>NP</v>
      </c>
      <c r="B77" s="812" t="s">
        <v>152</v>
      </c>
      <c r="C77" s="133">
        <f t="shared" ca="1" si="23"/>
        <v>1.0807427178927545E-4</v>
      </c>
      <c r="D77" s="575">
        <f t="shared" ca="1" si="23"/>
        <v>1.0807427178927545E-4</v>
      </c>
      <c r="E77" s="575">
        <f t="shared" ca="1" si="23"/>
        <v>1.0807427178927545E-4</v>
      </c>
      <c r="F77" s="574" t="s">
        <v>336</v>
      </c>
      <c r="G77" s="133">
        <f t="shared" ca="1" si="24"/>
        <v>1.0807427178927545E-4</v>
      </c>
      <c r="H77" s="133">
        <f t="shared" ca="1" si="24"/>
        <v>1.0807427178927545E-4</v>
      </c>
      <c r="I77" s="551" t="s">
        <v>336</v>
      </c>
      <c r="J77" s="575">
        <f t="shared" ca="1" si="25"/>
        <v>9.1745615012073098E-5</v>
      </c>
      <c r="K77" s="575">
        <f t="shared" ca="1" si="25"/>
        <v>9.1745615012073098E-5</v>
      </c>
      <c r="L77" s="575">
        <f t="shared" ca="1" si="25"/>
        <v>9.1745615012073098E-5</v>
      </c>
      <c r="M77" s="574" t="s">
        <v>336</v>
      </c>
      <c r="N77" s="133">
        <f t="shared" ca="1" si="26"/>
        <v>9.1745615012073098E-5</v>
      </c>
      <c r="O77" s="133">
        <f t="shared" ca="1" si="26"/>
        <v>9.1745615012073098E-5</v>
      </c>
      <c r="P77" s="551" t="s">
        <v>336</v>
      </c>
      <c r="Q77" s="573">
        <f t="shared" ca="1" si="27"/>
        <v>4.3035413619902521</v>
      </c>
      <c r="R77" s="573">
        <f t="shared" ca="1" si="27"/>
        <v>4.3035413619902521</v>
      </c>
      <c r="S77" s="573">
        <f t="shared" ca="1" si="27"/>
        <v>4.3035413619902521</v>
      </c>
      <c r="T77" s="572" t="s">
        <v>336</v>
      </c>
      <c r="U77" s="45">
        <f t="shared" ca="1" si="28"/>
        <v>4.3035413619902521</v>
      </c>
      <c r="V77" s="45">
        <f t="shared" ca="1" si="28"/>
        <v>4.3035413619902521</v>
      </c>
      <c r="W77" s="551" t="s">
        <v>336</v>
      </c>
    </row>
    <row r="78" spans="1:23" x14ac:dyDescent="0.25">
      <c r="A78" s="812" t="str">
        <f t="shared" si="22"/>
        <v>NP</v>
      </c>
      <c r="B78" s="812" t="s">
        <v>153</v>
      </c>
      <c r="C78" s="133">
        <f t="shared" ca="1" si="23"/>
        <v>1.0586280464699402E-4</v>
      </c>
      <c r="D78" s="575">
        <f t="shared" ca="1" si="23"/>
        <v>1.0586280464699402E-4</v>
      </c>
      <c r="E78" s="575">
        <f t="shared" ca="1" si="23"/>
        <v>1.0586280464699402E-4</v>
      </c>
      <c r="F78" s="574" t="s">
        <v>336</v>
      </c>
      <c r="G78" s="133">
        <f t="shared" ca="1" si="24"/>
        <v>1.0586280464699402E-4</v>
      </c>
      <c r="H78" s="133">
        <f t="shared" ca="1" si="24"/>
        <v>1.0586280464699402E-4</v>
      </c>
      <c r="I78" s="551" t="s">
        <v>336</v>
      </c>
      <c r="J78" s="575">
        <f t="shared" ca="1" si="25"/>
        <v>2.2584392751017893E-6</v>
      </c>
      <c r="K78" s="575">
        <f t="shared" ca="1" si="25"/>
        <v>2.2584392751017893E-6</v>
      </c>
      <c r="L78" s="575">
        <f t="shared" ca="1" si="25"/>
        <v>2.2584392751017893E-6</v>
      </c>
      <c r="M78" s="574" t="s">
        <v>336</v>
      </c>
      <c r="N78" s="133">
        <f t="shared" ca="1" si="26"/>
        <v>2.2584392751017893E-6</v>
      </c>
      <c r="O78" s="133">
        <f t="shared" ca="1" si="26"/>
        <v>2.2584392751017893E-6</v>
      </c>
      <c r="P78" s="551" t="s">
        <v>336</v>
      </c>
      <c r="Q78" s="573">
        <f t="shared" ca="1" si="27"/>
        <v>2.2455650704303713</v>
      </c>
      <c r="R78" s="573">
        <f t="shared" ca="1" si="27"/>
        <v>2.2455650704303713</v>
      </c>
      <c r="S78" s="573">
        <f t="shared" ca="1" si="27"/>
        <v>2.2455650704303713</v>
      </c>
      <c r="T78" s="572" t="s">
        <v>336</v>
      </c>
      <c r="U78" s="45">
        <f t="shared" ca="1" si="28"/>
        <v>2.2455650704303713</v>
      </c>
      <c r="V78" s="45">
        <f t="shared" ca="1" si="28"/>
        <v>2.2455650704303713</v>
      </c>
      <c r="W78" s="551" t="s">
        <v>336</v>
      </c>
    </row>
    <row r="79" spans="1:23" ht="15.75" thickBot="1" x14ac:dyDescent="0.3">
      <c r="A79" s="6" t="str">
        <f>A76</f>
        <v>NP</v>
      </c>
      <c r="B79" s="6" t="s">
        <v>154</v>
      </c>
      <c r="C79" s="544">
        <f t="shared" ca="1" si="23"/>
        <v>9.7187430215388705E-4</v>
      </c>
      <c r="D79" s="571">
        <f t="shared" ca="1" si="23"/>
        <v>9.7187430215388705E-4</v>
      </c>
      <c r="E79" s="571">
        <f t="shared" ca="1" si="23"/>
        <v>9.7187430215388705E-4</v>
      </c>
      <c r="F79" s="570" t="s">
        <v>336</v>
      </c>
      <c r="G79" s="544">
        <f t="shared" ca="1" si="24"/>
        <v>9.7187430215388705E-4</v>
      </c>
      <c r="H79" s="544">
        <f t="shared" ca="1" si="24"/>
        <v>9.7187430215388705E-4</v>
      </c>
      <c r="I79" s="542" t="s">
        <v>336</v>
      </c>
      <c r="J79" s="571">
        <f t="shared" ca="1" si="25"/>
        <v>5.0347490669842478E-3</v>
      </c>
      <c r="K79" s="571">
        <f t="shared" ca="1" si="25"/>
        <v>5.0347490669842478E-3</v>
      </c>
      <c r="L79" s="571">
        <f t="shared" ca="1" si="25"/>
        <v>5.0347490669842478E-3</v>
      </c>
      <c r="M79" s="570" t="s">
        <v>336</v>
      </c>
      <c r="N79" s="544">
        <f t="shared" ca="1" si="26"/>
        <v>5.0347490669842478E-3</v>
      </c>
      <c r="O79" s="544">
        <f t="shared" ca="1" si="26"/>
        <v>5.0347490669842478E-3</v>
      </c>
      <c r="P79" s="542" t="s">
        <v>336</v>
      </c>
      <c r="Q79" s="569">
        <f t="shared" ca="1" si="27"/>
        <v>35.811682865213655</v>
      </c>
      <c r="R79" s="569">
        <f t="shared" ca="1" si="27"/>
        <v>35.811682865213655</v>
      </c>
      <c r="S79" s="569">
        <f t="shared" ca="1" si="27"/>
        <v>35.811682865213655</v>
      </c>
      <c r="T79" s="568" t="s">
        <v>336</v>
      </c>
      <c r="U79" s="567">
        <f t="shared" ca="1" si="28"/>
        <v>35.811682865213655</v>
      </c>
      <c r="V79" s="567">
        <f t="shared" ca="1" si="28"/>
        <v>35.811682865213655</v>
      </c>
      <c r="W79" s="542" t="s">
        <v>336</v>
      </c>
    </row>
    <row r="80" spans="1:23" ht="15.75" thickTop="1" x14ac:dyDescent="0.25">
      <c r="C80" s="137">
        <f ca="1">SUM(C40:C79)</f>
        <v>2.100650660683351</v>
      </c>
      <c r="D80" s="137">
        <f ca="1">SUM(D40:D79)</f>
        <v>2.100650660683351</v>
      </c>
      <c r="E80" s="137">
        <f ca="1">SUM(E40:E79)</f>
        <v>2.100650660683351</v>
      </c>
      <c r="F80" s="566" t="s">
        <v>336</v>
      </c>
      <c r="G80" s="137">
        <f ca="1">SUM(G40:G79)</f>
        <v>2.100650660683351</v>
      </c>
      <c r="H80" s="137">
        <f ca="1">SUM(H40:H79)</f>
        <v>2.100650660683351</v>
      </c>
      <c r="I80" s="566" t="s">
        <v>336</v>
      </c>
      <c r="J80" s="137">
        <f ca="1">SUM(J40:J79)</f>
        <v>3.0841827826740742</v>
      </c>
      <c r="K80" s="137">
        <f ca="1">SUM(K40:K79)</f>
        <v>3.0841827826740742</v>
      </c>
      <c r="L80" s="137">
        <f ca="1">SUM(L40:L79)</f>
        <v>3.0841827826740742</v>
      </c>
      <c r="M80" s="566" t="s">
        <v>336</v>
      </c>
      <c r="N80" s="137">
        <f ca="1">SUM(N40:N79)</f>
        <v>3.0841827826740742</v>
      </c>
      <c r="O80" s="137">
        <f ca="1">SUM(O40:O79)</f>
        <v>3.0841827826740742</v>
      </c>
      <c r="P80" s="566" t="s">
        <v>336</v>
      </c>
      <c r="Q80" s="87">
        <f ca="1">SUM(Q40:Q79)</f>
        <v>39297.104030730785</v>
      </c>
      <c r="R80" s="87">
        <f ca="1">SUM(R40:R79)</f>
        <v>39297.104030730785</v>
      </c>
      <c r="S80" s="87">
        <f ca="1">SUM(S40:S79)</f>
        <v>39297.104030730785</v>
      </c>
      <c r="T80" s="566" t="s">
        <v>336</v>
      </c>
      <c r="U80" s="87">
        <f ca="1">SUM(U40:U79)</f>
        <v>39297.104030730785</v>
      </c>
      <c r="V80" s="87">
        <f ca="1">SUM(V40:V79)</f>
        <v>39297.104030730785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2"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0.109326717693501</v>
      </c>
      <c r="N91" s="557" t="s">
        <v>336</v>
      </c>
      <c r="O91" s="559">
        <f t="shared" ref="O91:P100" ca="1" si="35">(1-$N$84)*(1-G91)*G60</f>
        <v>0</v>
      </c>
      <c r="P91" s="559">
        <f t="shared" ca="1" si="35"/>
        <v>0.1193407905605829</v>
      </c>
      <c r="Q91" s="557" t="s">
        <v>336</v>
      </c>
      <c r="R91" s="558">
        <f t="shared" ref="R91:S100" ca="1" si="36">(1-$N$84)*(1-D91)*D40/$J91</f>
        <v>0</v>
      </c>
      <c r="S91" s="558">
        <f t="shared" ca="1" si="36"/>
        <v>1.6071465051709025E-5</v>
      </c>
      <c r="T91" s="557" t="s">
        <v>336</v>
      </c>
      <c r="U91" s="558">
        <f t="shared" ref="U91:V100" ca="1" si="37">(1-$N$84)*(1-G91)*G60/$J91</f>
        <v>0</v>
      </c>
      <c r="V91" s="558">
        <f t="shared" ca="1" si="37"/>
        <v>1.754357384180162E-5</v>
      </c>
      <c r="W91" s="557" t="s">
        <v>336</v>
      </c>
      <c r="X91" s="559">
        <f t="shared" ref="X91:Y100" ca="1" si="38">(1-$N$84)*(1-D91)*K40</f>
        <v>0</v>
      </c>
      <c r="Y91" s="559">
        <f t="shared" ca="1" si="38"/>
        <v>1.5024555569690065E-3</v>
      </c>
      <c r="Z91" s="557" t="s">
        <v>336</v>
      </c>
      <c r="AA91" s="559">
        <f t="shared" ref="AA91:AB100" ca="1" si="39">(1-$N$84)*(1-G91)*N60</f>
        <v>0</v>
      </c>
      <c r="AB91" s="559">
        <f t="shared" ca="1" si="39"/>
        <v>1.0062354929300191E-3</v>
      </c>
      <c r="AC91" s="557" t="s">
        <v>336</v>
      </c>
      <c r="AD91" s="558">
        <f t="shared" ref="AD91:AE110" ca="1" si="40">(1-$N$84)*(1-D91)*K40/$K91</f>
        <v>0</v>
      </c>
      <c r="AE91" s="558">
        <f t="shared" ca="1" si="40"/>
        <v>1.2093453705598997E-3</v>
      </c>
      <c r="AF91" s="557" t="s">
        <v>336</v>
      </c>
      <c r="AG91" s="558">
        <f t="shared" ref="AG91:AH100" ca="1" si="41">(1-$N$84)*(1-G91)*N60/$K91</f>
        <v>0</v>
      </c>
      <c r="AH91" s="558">
        <f t="shared" ca="1" si="41"/>
        <v>8.0993160125340075E-4</v>
      </c>
      <c r="AI91" s="557" t="s">
        <v>336</v>
      </c>
      <c r="AJ91" s="507">
        <f t="shared" ref="AJ91:AK110" ca="1" si="42">L91-R91</f>
        <v>0</v>
      </c>
      <c r="AK91" s="507">
        <f t="shared" ca="1" si="42"/>
        <v>0.10931064622844928</v>
      </c>
      <c r="AL91" s="507">
        <f t="shared" ref="AL91:AM110" ca="1" si="43">O91-U91</f>
        <v>0</v>
      </c>
      <c r="AM91" s="507">
        <f t="shared" ca="1" si="43"/>
        <v>0.1193232469867411</v>
      </c>
      <c r="AN91" s="507">
        <f t="shared" ref="AN91:AO110" ca="1" si="44">X91-AD91</f>
        <v>0</v>
      </c>
      <c r="AO91" s="507">
        <f t="shared" ca="1" si="44"/>
        <v>2.9311018640910676E-4</v>
      </c>
      <c r="AP91" s="507">
        <f t="shared" ref="AP91:AQ110" ca="1" si="45">AA91-AG91</f>
        <v>0</v>
      </c>
      <c r="AQ91" s="507">
        <f t="shared" ca="1" si="45"/>
        <v>1.9630389167661839E-4</v>
      </c>
      <c r="AR91" s="812" t="s">
        <v>137</v>
      </c>
      <c r="AS91" s="812">
        <v>2104008100</v>
      </c>
      <c r="AT91" s="507">
        <f t="shared" ref="AT91:AU100" ca="1" si="46">AJ91/$C40</f>
        <v>0</v>
      </c>
      <c r="AU91" s="507">
        <f t="shared" ca="1" si="46"/>
        <v>0.43193649427103614</v>
      </c>
      <c r="AV91" s="507">
        <f t="shared" ref="AV91:AW100" ca="1" si="47">AL91/$C60</f>
        <v>0</v>
      </c>
      <c r="AW91" s="507">
        <f t="shared" ca="1" si="47"/>
        <v>0.4319364942710362</v>
      </c>
      <c r="AX91" s="507">
        <f t="shared" ref="AX91:AY100" ca="1" si="48">AN91/$J40</f>
        <v>0</v>
      </c>
      <c r="AY91" s="507">
        <f t="shared" ca="1" si="48"/>
        <v>8.4277767779154453E-2</v>
      </c>
      <c r="AZ91" s="507">
        <f t="shared" ref="AZ91:BA100" ca="1" si="49">AP91/$J60</f>
        <v>0</v>
      </c>
      <c r="BA91" s="507">
        <f t="shared" ca="1" si="49"/>
        <v>8.4277767779154425E-2</v>
      </c>
      <c r="BB91" s="550">
        <f ca="1">1-((1-AT91))</f>
        <v>0</v>
      </c>
      <c r="BC91" s="550">
        <f ca="1">1-((1-AU91))</f>
        <v>0.4319364942710362</v>
      </c>
      <c r="BD91" s="550">
        <f ca="1">1-((1-AX91))</f>
        <v>0</v>
      </c>
      <c r="BE91" s="550">
        <f ca="1">1-((1-AY91))</f>
        <v>8.4277767779154411E-2</v>
      </c>
    </row>
    <row r="92" spans="1:57" x14ac:dyDescent="0.25">
      <c r="A92" s="60">
        <f t="shared" si="29"/>
        <v>0.4</v>
      </c>
      <c r="B92" s="812"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8.5324044037435789E-3</v>
      </c>
      <c r="M92" s="559">
        <f t="shared" ca="1" si="34"/>
        <v>8.5324044037435789E-3</v>
      </c>
      <c r="N92" s="557" t="s">
        <v>336</v>
      </c>
      <c r="O92" s="559">
        <f t="shared" ca="1" si="35"/>
        <v>9.3139527867293591E-3</v>
      </c>
      <c r="P92" s="559">
        <f t="shared" ca="1" si="35"/>
        <v>9.3139527867293591E-3</v>
      </c>
      <c r="Q92" s="557" t="s">
        <v>336</v>
      </c>
      <c r="R92" s="558">
        <f t="shared" ca="1" si="36"/>
        <v>8.104331806104562E-6</v>
      </c>
      <c r="S92" s="558">
        <f t="shared" ca="1" si="36"/>
        <v>8.104331806104562E-6</v>
      </c>
      <c r="T92" s="557" t="s">
        <v>336</v>
      </c>
      <c r="U92" s="558">
        <f t="shared" ca="1" si="37"/>
        <v>8.846669735547082E-6</v>
      </c>
      <c r="V92" s="558">
        <f t="shared" ca="1" si="37"/>
        <v>8.846669735547082E-6</v>
      </c>
      <c r="W92" s="557" t="s">
        <v>336</v>
      </c>
      <c r="X92" s="559">
        <f t="shared" ca="1" si="38"/>
        <v>1.3258714782532138E-4</v>
      </c>
      <c r="Y92" s="559">
        <f t="shared" ca="1" si="38"/>
        <v>1.3258714782532138E-4</v>
      </c>
      <c r="Z92" s="557" t="s">
        <v>336</v>
      </c>
      <c r="AA92" s="559">
        <f t="shared" ca="1" si="39"/>
        <v>8.87972315915563E-5</v>
      </c>
      <c r="AB92" s="559">
        <f t="shared" ca="1" si="39"/>
        <v>8.87972315915563E-5</v>
      </c>
      <c r="AC92" s="557" t="s">
        <v>336</v>
      </c>
      <c r="AD92" s="558">
        <f t="shared" ca="1" si="40"/>
        <v>6.0983464293142833E-4</v>
      </c>
      <c r="AE92" s="558">
        <f t="shared" ca="1" si="40"/>
        <v>6.0983464293142833E-4</v>
      </c>
      <c r="AF92" s="557" t="s">
        <v>336</v>
      </c>
      <c r="AG92" s="558">
        <f t="shared" ca="1" si="41"/>
        <v>4.0842290455089081E-4</v>
      </c>
      <c r="AH92" s="558">
        <f t="shared" ca="1" si="41"/>
        <v>4.0842290455089081E-4</v>
      </c>
      <c r="AI92" s="557" t="s">
        <v>336</v>
      </c>
      <c r="AJ92" s="507">
        <f t="shared" ca="1" si="42"/>
        <v>8.5243000719374736E-3</v>
      </c>
      <c r="AK92" s="507">
        <f t="shared" ca="1" si="42"/>
        <v>8.5243000719374736E-3</v>
      </c>
      <c r="AL92" s="507">
        <f t="shared" ca="1" si="43"/>
        <v>9.3051061169938127E-3</v>
      </c>
      <c r="AM92" s="507">
        <f t="shared" ca="1" si="43"/>
        <v>9.3051061169938127E-3</v>
      </c>
      <c r="AN92" s="507">
        <f t="shared" ca="1" si="44"/>
        <v>-4.7724749510610692E-4</v>
      </c>
      <c r="AO92" s="507">
        <f t="shared" ca="1" si="44"/>
        <v>-4.7724749510610692E-4</v>
      </c>
      <c r="AP92" s="507">
        <f t="shared" ca="1" si="45"/>
        <v>-3.196256729593345E-4</v>
      </c>
      <c r="AQ92" s="507">
        <f t="shared" ca="1" si="45"/>
        <v>-3.196256729593345E-4</v>
      </c>
      <c r="AR92" s="812" t="s">
        <v>138</v>
      </c>
      <c r="AS92" s="812">
        <v>2104008210</v>
      </c>
      <c r="AT92" s="507">
        <f t="shared" ca="1" si="46"/>
        <v>0.43158967353461331</v>
      </c>
      <c r="AU92" s="507">
        <f t="shared" ca="1" si="46"/>
        <v>0.43158967353461331</v>
      </c>
      <c r="AV92" s="507">
        <f t="shared" ca="1" si="47"/>
        <v>0.43158967353461342</v>
      </c>
      <c r="AW92" s="507">
        <f t="shared" ca="1" si="47"/>
        <v>0.43158967353461342</v>
      </c>
      <c r="AX92" s="507">
        <f t="shared" ca="1" si="48"/>
        <v>-1.5549841841191172</v>
      </c>
      <c r="AY92" s="507">
        <f t="shared" ca="1" si="48"/>
        <v>-1.5549841841191172</v>
      </c>
      <c r="AZ92" s="507">
        <f t="shared" ca="1" si="49"/>
        <v>-1.5549841841191172</v>
      </c>
      <c r="BA92" s="507">
        <f t="shared" ca="1" si="49"/>
        <v>-1.5549841841191172</v>
      </c>
      <c r="BB92" s="550">
        <f t="shared" ref="BB92:BC109" ca="1" si="50">1-((1-AT92))</f>
        <v>0.43158967353461331</v>
      </c>
      <c r="BC92" s="550">
        <f t="shared" ca="1" si="50"/>
        <v>0.43158967353461331</v>
      </c>
      <c r="BD92" s="550">
        <f t="shared" ref="BD92:BE109" ca="1" si="51">1-((1-AX92))</f>
        <v>-1.5549841841191174</v>
      </c>
      <c r="BE92" s="550">
        <f t="shared" ca="1" si="51"/>
        <v>-1.5549841841191174</v>
      </c>
    </row>
    <row r="93" spans="1:57" x14ac:dyDescent="0.25">
      <c r="A93" s="60">
        <f t="shared" si="29"/>
        <v>0.66</v>
      </c>
      <c r="B93" s="812"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4.8169635318740401E-3</v>
      </c>
      <c r="M93" s="559">
        <f t="shared" ca="1" si="34"/>
        <v>7.0448091653657818E-3</v>
      </c>
      <c r="N93" s="557" t="s">
        <v>336</v>
      </c>
      <c r="O93" s="559">
        <f t="shared" ca="1" si="35"/>
        <v>5.2581861792190101E-3</v>
      </c>
      <c r="P93" s="559">
        <f t="shared" ca="1" si="35"/>
        <v>7.690097287107801E-3</v>
      </c>
      <c r="Q93" s="557" t="s">
        <v>336</v>
      </c>
      <c r="R93" s="558">
        <f t="shared" ca="1" si="36"/>
        <v>1.9250555464943546E-5</v>
      </c>
      <c r="S93" s="558">
        <f t="shared" ca="1" si="36"/>
        <v>2.8153937367479928E-5</v>
      </c>
      <c r="T93" s="557" t="s">
        <v>336</v>
      </c>
      <c r="U93" s="558">
        <f t="shared" ca="1" si="37"/>
        <v>2.1013861537098729E-5</v>
      </c>
      <c r="V93" s="558">
        <f t="shared" ca="1" si="37"/>
        <v>3.0732772498006884E-5</v>
      </c>
      <c r="W93" s="557" t="s">
        <v>336</v>
      </c>
      <c r="X93" s="559">
        <f t="shared" ca="1" si="38"/>
        <v>1.9087257652173118E-4</v>
      </c>
      <c r="Y93" s="559">
        <f t="shared" ca="1" si="38"/>
        <v>2.7915114316303177E-4</v>
      </c>
      <c r="Z93" s="557" t="s">
        <v>336</v>
      </c>
      <c r="AA93" s="559">
        <f t="shared" ca="1" si="39"/>
        <v>1.2783257397019226E-4</v>
      </c>
      <c r="AB93" s="559">
        <f t="shared" ca="1" si="39"/>
        <v>1.8695513943140613E-4</v>
      </c>
      <c r="AC93" s="557" t="s">
        <v>336</v>
      </c>
      <c r="AD93" s="558">
        <f t="shared" ca="1" si="40"/>
        <v>1.4485655201521544E-3</v>
      </c>
      <c r="AE93" s="558">
        <f t="shared" ca="1" si="40"/>
        <v>2.1185270732225251E-3</v>
      </c>
      <c r="AF93" s="557" t="s">
        <v>336</v>
      </c>
      <c r="AG93" s="558">
        <f t="shared" ca="1" si="41"/>
        <v>9.7014386445628523E-4</v>
      </c>
      <c r="AH93" s="558">
        <f t="shared" ca="1" si="41"/>
        <v>1.4188354017673167E-3</v>
      </c>
      <c r="AI93" s="557" t="s">
        <v>336</v>
      </c>
      <c r="AJ93" s="507">
        <f t="shared" ca="1" si="42"/>
        <v>4.7977129764090968E-3</v>
      </c>
      <c r="AK93" s="507">
        <f t="shared" ca="1" si="42"/>
        <v>7.0166552279983018E-3</v>
      </c>
      <c r="AL93" s="507">
        <f t="shared" ca="1" si="43"/>
        <v>5.2371723176819112E-3</v>
      </c>
      <c r="AM93" s="507">
        <f t="shared" ca="1" si="43"/>
        <v>7.6593645146097941E-3</v>
      </c>
      <c r="AN93" s="507">
        <f t="shared" ca="1" si="44"/>
        <v>-1.2576929436304233E-3</v>
      </c>
      <c r="AO93" s="507">
        <f t="shared" ca="1" si="44"/>
        <v>-1.8393759300594933E-3</v>
      </c>
      <c r="AP93" s="507">
        <f t="shared" ca="1" si="45"/>
        <v>-8.4231129048609296E-4</v>
      </c>
      <c r="AQ93" s="507">
        <f t="shared" ca="1" si="45"/>
        <v>-1.2318802623359107E-3</v>
      </c>
      <c r="AR93" s="812" t="s">
        <v>139</v>
      </c>
      <c r="AS93" s="812">
        <v>2104008220</v>
      </c>
      <c r="AT93" s="507">
        <f t="shared" ca="1" si="46"/>
        <v>0.29420413770727244</v>
      </c>
      <c r="AU93" s="507">
        <f t="shared" ca="1" si="46"/>
        <v>0.43027355139688578</v>
      </c>
      <c r="AV93" s="507">
        <f t="shared" ca="1" si="47"/>
        <v>0.29420413770727238</v>
      </c>
      <c r="AW93" s="507">
        <f t="shared" ca="1" si="47"/>
        <v>0.43027355139688583</v>
      </c>
      <c r="AX93" s="507">
        <f t="shared" ca="1" si="48"/>
        <v>-1.9463411308010561</v>
      </c>
      <c r="AY93" s="507">
        <f t="shared" ca="1" si="48"/>
        <v>-2.8465239037965433</v>
      </c>
      <c r="AZ93" s="507">
        <f t="shared" ca="1" si="49"/>
        <v>-1.9463411308010561</v>
      </c>
      <c r="BA93" s="507">
        <f t="shared" ca="1" si="49"/>
        <v>-2.8465239037965437</v>
      </c>
      <c r="BB93" s="550">
        <f t="shared" ca="1" si="50"/>
        <v>0.29420413770727238</v>
      </c>
      <c r="BC93" s="550">
        <f t="shared" ca="1" si="50"/>
        <v>0.43027355139688583</v>
      </c>
      <c r="BD93" s="550">
        <f t="shared" ca="1" si="51"/>
        <v>-1.9463411308010561</v>
      </c>
      <c r="BE93" s="550">
        <f t="shared" ca="1" si="51"/>
        <v>-2.8465239037965433</v>
      </c>
    </row>
    <row r="94" spans="1:57" x14ac:dyDescent="0.25">
      <c r="A94" s="60">
        <f t="shared" si="29"/>
        <v>0.7</v>
      </c>
      <c r="B94" s="812"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3.141845129207942E-3</v>
      </c>
      <c r="M94" s="559">
        <f t="shared" ca="1" si="34"/>
        <v>4.5949485014666136E-3</v>
      </c>
      <c r="N94" s="557" t="s">
        <v>336</v>
      </c>
      <c r="O94" s="559">
        <f t="shared" ca="1" si="35"/>
        <v>3.4296308299474505E-3</v>
      </c>
      <c r="P94" s="559">
        <f t="shared" ca="1" si="35"/>
        <v>5.0158350887981448E-3</v>
      </c>
      <c r="Q94" s="557" t="s">
        <v>336</v>
      </c>
      <c r="R94" s="558">
        <f t="shared" ca="1" si="36"/>
        <v>1.2292682900043301E-5</v>
      </c>
      <c r="S94" s="558">
        <f t="shared" ca="1" si="36"/>
        <v>1.7978048741313319E-5</v>
      </c>
      <c r="T94" s="557" t="s">
        <v>336</v>
      </c>
      <c r="U94" s="558">
        <f t="shared" ca="1" si="37"/>
        <v>1.341866404070168E-5</v>
      </c>
      <c r="V94" s="558">
        <f t="shared" ca="1" si="37"/>
        <v>1.9624796159526202E-5</v>
      </c>
      <c r="W94" s="557" t="s">
        <v>336</v>
      </c>
      <c r="X94" s="559">
        <f t="shared" ca="1" si="38"/>
        <v>1.1491926637555629E-4</v>
      </c>
      <c r="Y94" s="559">
        <f t="shared" ca="1" si="38"/>
        <v>1.6806942707425101E-4</v>
      </c>
      <c r="Z94" s="557" t="s">
        <v>336</v>
      </c>
      <c r="AA94" s="559">
        <f t="shared" ca="1" si="39"/>
        <v>7.6964569176237829E-5</v>
      </c>
      <c r="AB94" s="559">
        <f t="shared" ca="1" si="39"/>
        <v>1.125606824202478E-4</v>
      </c>
      <c r="AC94" s="557" t="s">
        <v>336</v>
      </c>
      <c r="AD94" s="558">
        <f t="shared" ca="1" si="40"/>
        <v>9.2499962567801821E-4</v>
      </c>
      <c r="AE94" s="558">
        <f t="shared" ca="1" si="40"/>
        <v>1.3528119525541011E-3</v>
      </c>
      <c r="AF94" s="557" t="s">
        <v>336</v>
      </c>
      <c r="AG94" s="558">
        <f t="shared" ca="1" si="41"/>
        <v>6.1949749527493282E-4</v>
      </c>
      <c r="AH94" s="558">
        <f t="shared" ca="1" si="41"/>
        <v>9.0601508683958915E-4</v>
      </c>
      <c r="AI94" s="557" t="s">
        <v>336</v>
      </c>
      <c r="AJ94" s="507">
        <f t="shared" ca="1" si="42"/>
        <v>3.1295524463078985E-3</v>
      </c>
      <c r="AK94" s="507">
        <f t="shared" ca="1" si="42"/>
        <v>4.5769704527253005E-3</v>
      </c>
      <c r="AL94" s="507">
        <f t="shared" ca="1" si="43"/>
        <v>3.4162121659067489E-3</v>
      </c>
      <c r="AM94" s="507">
        <f t="shared" ca="1" si="43"/>
        <v>4.9962102926386183E-3</v>
      </c>
      <c r="AN94" s="507">
        <f t="shared" ca="1" si="44"/>
        <v>-8.1008035930246194E-4</v>
      </c>
      <c r="AO94" s="507">
        <f t="shared" ca="1" si="44"/>
        <v>-1.1847425254798501E-3</v>
      </c>
      <c r="AP94" s="507">
        <f t="shared" ca="1" si="45"/>
        <v>-5.4253292609869499E-4</v>
      </c>
      <c r="AQ94" s="507">
        <f t="shared" ca="1" si="45"/>
        <v>-7.9345440441934141E-4</v>
      </c>
      <c r="AR94" s="812" t="s">
        <v>140</v>
      </c>
      <c r="AS94" s="812">
        <v>2104008230</v>
      </c>
      <c r="AT94" s="507">
        <f t="shared" ca="1" si="46"/>
        <v>0.29422890297323068</v>
      </c>
      <c r="AU94" s="507">
        <f t="shared" ca="1" si="46"/>
        <v>0.43030977059834974</v>
      </c>
      <c r="AV94" s="507">
        <f t="shared" ca="1" si="47"/>
        <v>0.29422890297323068</v>
      </c>
      <c r="AW94" s="507">
        <f t="shared" ca="1" si="47"/>
        <v>0.43030977059834968</v>
      </c>
      <c r="AX94" s="507">
        <f t="shared" ca="1" si="48"/>
        <v>-2.0822032972365507</v>
      </c>
      <c r="AY94" s="507">
        <f t="shared" ca="1" si="48"/>
        <v>-3.0452223222084545</v>
      </c>
      <c r="AZ94" s="507">
        <f t="shared" ca="1" si="49"/>
        <v>-2.0822032972365507</v>
      </c>
      <c r="BA94" s="507">
        <f t="shared" ca="1" si="49"/>
        <v>-3.0452223222084553</v>
      </c>
      <c r="BB94" s="550">
        <f t="shared" ca="1" si="50"/>
        <v>0.29422890297323068</v>
      </c>
      <c r="BC94" s="550">
        <f t="shared" ca="1" si="50"/>
        <v>0.43030977059834974</v>
      </c>
      <c r="BD94" s="550">
        <f t="shared" ca="1" si="51"/>
        <v>-2.0822032972365507</v>
      </c>
      <c r="BE94" s="550">
        <f t="shared" ca="1" si="51"/>
        <v>-3.0452223222084545</v>
      </c>
    </row>
    <row r="95" spans="1:57" x14ac:dyDescent="0.25">
      <c r="A95" s="60">
        <f t="shared" si="29"/>
        <v>0.54</v>
      </c>
      <c r="B95" s="812"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6.8709005528171455E-2</v>
      </c>
      <c r="M95" s="559">
        <f t="shared" ca="1" si="34"/>
        <v>6.8709005528171455E-2</v>
      </c>
      <c r="N95" s="557" t="s">
        <v>336</v>
      </c>
      <c r="O95" s="559">
        <f t="shared" ca="1" si="35"/>
        <v>7.5002590504469918E-2</v>
      </c>
      <c r="P95" s="559">
        <f t="shared" ca="1" si="35"/>
        <v>7.5002590504469918E-2</v>
      </c>
      <c r="Q95" s="557" t="s">
        <v>336</v>
      </c>
      <c r="R95" s="558">
        <f t="shared" ca="1" si="36"/>
        <v>2.2203598241383302E-4</v>
      </c>
      <c r="S95" s="558">
        <f t="shared" ca="1" si="36"/>
        <v>2.2203598241383302E-4</v>
      </c>
      <c r="T95" s="557" t="s">
        <v>336</v>
      </c>
      <c r="U95" s="558">
        <f t="shared" ca="1" si="37"/>
        <v>2.4237396158229032E-4</v>
      </c>
      <c r="V95" s="558">
        <f t="shared" ca="1" si="37"/>
        <v>2.4237396158229032E-4</v>
      </c>
      <c r="W95" s="557" t="s">
        <v>336</v>
      </c>
      <c r="X95" s="559">
        <f t="shared" ca="1" si="38"/>
        <v>2.6907528364365461E-3</v>
      </c>
      <c r="Y95" s="559">
        <f t="shared" ca="1" si="38"/>
        <v>2.6907528364365461E-3</v>
      </c>
      <c r="Z95" s="557" t="s">
        <v>336</v>
      </c>
      <c r="AA95" s="559">
        <f t="shared" ca="1" si="39"/>
        <v>1.8020706131145995E-3</v>
      </c>
      <c r="AB95" s="559">
        <f t="shared" ca="1" si="39"/>
        <v>1.8020706131145995E-3</v>
      </c>
      <c r="AC95" s="557" t="s">
        <v>336</v>
      </c>
      <c r="AD95" s="558">
        <f t="shared" ca="1" si="40"/>
        <v>1.6707760404290849E-2</v>
      </c>
      <c r="AE95" s="558">
        <f t="shared" ca="1" si="40"/>
        <v>1.6707760404290849E-2</v>
      </c>
      <c r="AF95" s="557" t="s">
        <v>336</v>
      </c>
      <c r="AG95" s="558">
        <f t="shared" ca="1" si="41"/>
        <v>1.1189643146639221E-2</v>
      </c>
      <c r="AH95" s="558">
        <f t="shared" ca="1" si="41"/>
        <v>1.1189643146639221E-2</v>
      </c>
      <c r="AI95" s="557" t="s">
        <v>336</v>
      </c>
      <c r="AJ95" s="507">
        <f t="shared" ca="1" si="42"/>
        <v>6.8486969545757628E-2</v>
      </c>
      <c r="AK95" s="507">
        <f t="shared" ca="1" si="42"/>
        <v>6.8486969545757628E-2</v>
      </c>
      <c r="AL95" s="507">
        <f t="shared" ca="1" si="43"/>
        <v>7.4760216542887628E-2</v>
      </c>
      <c r="AM95" s="507">
        <f t="shared" ca="1" si="43"/>
        <v>7.4760216542887628E-2</v>
      </c>
      <c r="AN95" s="507">
        <f t="shared" ca="1" si="44"/>
        <v>-1.4017007567854303E-2</v>
      </c>
      <c r="AO95" s="507">
        <f t="shared" ca="1" si="44"/>
        <v>-1.4017007567854303E-2</v>
      </c>
      <c r="AP95" s="507">
        <f t="shared" ca="1" si="45"/>
        <v>-9.3875725335246206E-3</v>
      </c>
      <c r="AQ95" s="507">
        <f t="shared" ca="1" si="45"/>
        <v>-9.3875725335246206E-3</v>
      </c>
      <c r="AR95" s="812" t="s">
        <v>141</v>
      </c>
      <c r="AS95" s="812">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2"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6.4561056094634181E-2</v>
      </c>
      <c r="M96" s="559">
        <f t="shared" ca="1" si="34"/>
        <v>9.4420544538402471E-2</v>
      </c>
      <c r="N96" s="557" t="s">
        <v>336</v>
      </c>
      <c r="O96" s="559">
        <f t="shared" ca="1" si="35"/>
        <v>7.0474698557768875E-2</v>
      </c>
      <c r="P96" s="559">
        <f t="shared" ca="1" si="35"/>
        <v>0.10306924664073697</v>
      </c>
      <c r="Q96" s="557" t="s">
        <v>336</v>
      </c>
      <c r="R96" s="558">
        <f t="shared" ca="1" si="36"/>
        <v>4.0251365768363939E-4</v>
      </c>
      <c r="S96" s="558">
        <f t="shared" ca="1" si="36"/>
        <v>5.8867622436232245E-4</v>
      </c>
      <c r="T96" s="557" t="s">
        <v>336</v>
      </c>
      <c r="U96" s="558">
        <f t="shared" ca="1" si="37"/>
        <v>4.3938297181909182E-4</v>
      </c>
      <c r="V96" s="558">
        <f t="shared" ca="1" si="37"/>
        <v>6.4259759628542171E-4</v>
      </c>
      <c r="W96" s="557" t="s">
        <v>336</v>
      </c>
      <c r="X96" s="559">
        <f t="shared" ca="1" si="38"/>
        <v>3.873610188450817E-3</v>
      </c>
      <c r="Y96" s="559">
        <f t="shared" ca="1" si="38"/>
        <v>5.6651549006093184E-3</v>
      </c>
      <c r="Z96" s="557" t="s">
        <v>336</v>
      </c>
      <c r="AA96" s="559">
        <f t="shared" ca="1" si="39"/>
        <v>2.5942624654121181E-3</v>
      </c>
      <c r="AB96" s="559">
        <f t="shared" ca="1" si="39"/>
        <v>3.7941088556652219E-3</v>
      </c>
      <c r="AC96" s="557" t="s">
        <v>336</v>
      </c>
      <c r="AD96" s="558">
        <f t="shared" ca="1" si="40"/>
        <v>3.0288341911621674E-2</v>
      </c>
      <c r="AE96" s="558">
        <f t="shared" ca="1" si="40"/>
        <v>4.4296700045746686E-2</v>
      </c>
      <c r="AF96" s="557" t="s">
        <v>336</v>
      </c>
      <c r="AG96" s="558">
        <f t="shared" ca="1" si="41"/>
        <v>2.0284929236081418E-2</v>
      </c>
      <c r="AH96" s="558">
        <f t="shared" ca="1" si="41"/>
        <v>2.9666709007769066E-2</v>
      </c>
      <c r="AI96" s="557" t="s">
        <v>336</v>
      </c>
      <c r="AJ96" s="507">
        <f t="shared" ca="1" si="42"/>
        <v>6.4158542436950544E-2</v>
      </c>
      <c r="AK96" s="507">
        <f t="shared" ca="1" si="42"/>
        <v>9.3831868314040154E-2</v>
      </c>
      <c r="AL96" s="507">
        <f t="shared" ca="1" si="43"/>
        <v>7.0035315585949789E-2</v>
      </c>
      <c r="AM96" s="507">
        <f t="shared" ca="1" si="43"/>
        <v>0.10242664904445155</v>
      </c>
      <c r="AN96" s="507">
        <f t="shared" ca="1" si="44"/>
        <v>-2.6414731723170857E-2</v>
      </c>
      <c r="AO96" s="507">
        <f t="shared" ca="1" si="44"/>
        <v>-3.8631545145137364E-2</v>
      </c>
      <c r="AP96" s="507">
        <f t="shared" ca="1" si="45"/>
        <v>-1.76906667706693E-2</v>
      </c>
      <c r="AQ96" s="507">
        <f t="shared" ca="1" si="45"/>
        <v>-2.5872600152103846E-2</v>
      </c>
      <c r="AR96" s="812" t="s">
        <v>142</v>
      </c>
      <c r="AS96" s="812">
        <v>2104008320</v>
      </c>
      <c r="AT96" s="507">
        <f t="shared" ca="1" si="46"/>
        <v>0.29354300452577731</v>
      </c>
      <c r="AU96" s="507">
        <f t="shared" ca="1" si="46"/>
        <v>0.4293066441189492</v>
      </c>
      <c r="AV96" s="507">
        <f t="shared" ca="1" si="47"/>
        <v>0.29354300452577731</v>
      </c>
      <c r="AW96" s="507">
        <f t="shared" ca="1" si="47"/>
        <v>0.4293066441189492</v>
      </c>
      <c r="AX96" s="507">
        <f t="shared" ca="1" si="48"/>
        <v>-2.0142722140188041</v>
      </c>
      <c r="AY96" s="507">
        <f t="shared" ca="1" si="48"/>
        <v>-2.9458731130024995</v>
      </c>
      <c r="AZ96" s="507">
        <f t="shared" ca="1" si="49"/>
        <v>-2.0142722140188041</v>
      </c>
      <c r="BA96" s="507">
        <f t="shared" ca="1" si="49"/>
        <v>-2.9458731130025</v>
      </c>
      <c r="BB96" s="550">
        <f t="shared" ca="1" si="50"/>
        <v>0.29354300452577731</v>
      </c>
      <c r="BC96" s="550">
        <f t="shared" ca="1" si="50"/>
        <v>0.42930664411894925</v>
      </c>
      <c r="BD96" s="550">
        <f t="shared" ca="1" si="51"/>
        <v>-2.0142722140188041</v>
      </c>
      <c r="BE96" s="550">
        <f t="shared" ca="1" si="51"/>
        <v>-2.9458731130024995</v>
      </c>
    </row>
    <row r="97" spans="1:57" x14ac:dyDescent="0.25">
      <c r="A97" s="60">
        <f t="shared" si="29"/>
        <v>0.72</v>
      </c>
      <c r="B97" s="812"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4.3130261737840084E-2</v>
      </c>
      <c r="M97" s="559">
        <f t="shared" ca="1" si="34"/>
        <v>6.3078007791591104E-2</v>
      </c>
      <c r="N97" s="557" t="s">
        <v>336</v>
      </c>
      <c r="O97" s="559">
        <f t="shared" ca="1" si="35"/>
        <v>4.7080893321145359E-2</v>
      </c>
      <c r="P97" s="559">
        <f t="shared" ca="1" si="35"/>
        <v>6.8855806482175069E-2</v>
      </c>
      <c r="Q97" s="557" t="s">
        <v>336</v>
      </c>
      <c r="R97" s="558">
        <f t="shared" ca="1" si="36"/>
        <v>2.565981457125871E-4</v>
      </c>
      <c r="S97" s="558">
        <f t="shared" ca="1" si="36"/>
        <v>3.752747881046585E-4</v>
      </c>
      <c r="T97" s="557" t="s">
        <v>336</v>
      </c>
      <c r="U97" s="558">
        <f t="shared" ca="1" si="37"/>
        <v>2.8010193859080951E-4</v>
      </c>
      <c r="V97" s="558">
        <f t="shared" ca="1" si="37"/>
        <v>4.0964908518905882E-4</v>
      </c>
      <c r="W97" s="557" t="s">
        <v>336</v>
      </c>
      <c r="X97" s="559">
        <f t="shared" ca="1" si="38"/>
        <v>2.3321969514618415E-3</v>
      </c>
      <c r="Y97" s="559">
        <f t="shared" ca="1" si="38"/>
        <v>3.4108380415129426E-3</v>
      </c>
      <c r="Z97" s="557" t="s">
        <v>336</v>
      </c>
      <c r="AA97" s="559">
        <f t="shared" ca="1" si="39"/>
        <v>1.5619359509031409E-3</v>
      </c>
      <c r="AB97" s="559">
        <f t="shared" ca="1" si="39"/>
        <v>2.284331328195843E-3</v>
      </c>
      <c r="AC97" s="557" t="s">
        <v>336</v>
      </c>
      <c r="AD97" s="558">
        <f t="shared" ca="1" si="40"/>
        <v>1.9308493570022917E-2</v>
      </c>
      <c r="AE97" s="558">
        <f t="shared" ca="1" si="40"/>
        <v>2.8238671846158511E-2</v>
      </c>
      <c r="AF97" s="557" t="s">
        <v>336</v>
      </c>
      <c r="AG97" s="558">
        <f t="shared" ca="1" si="41"/>
        <v>1.2931425129381648E-2</v>
      </c>
      <c r="AH97" s="558">
        <f t="shared" ca="1" si="41"/>
        <v>1.8912209251720654E-2</v>
      </c>
      <c r="AI97" s="557" t="s">
        <v>336</v>
      </c>
      <c r="AJ97" s="507">
        <f t="shared" ca="1" si="42"/>
        <v>4.2873663592127499E-2</v>
      </c>
      <c r="AK97" s="507">
        <f t="shared" ca="1" si="42"/>
        <v>6.2702733003486444E-2</v>
      </c>
      <c r="AL97" s="507">
        <f t="shared" ca="1" si="43"/>
        <v>4.6800791382554552E-2</v>
      </c>
      <c r="AM97" s="507">
        <f t="shared" ca="1" si="43"/>
        <v>6.8446157396986007E-2</v>
      </c>
      <c r="AN97" s="507">
        <f t="shared" ca="1" si="44"/>
        <v>-1.6976296618561076E-2</v>
      </c>
      <c r="AO97" s="507">
        <f t="shared" ca="1" si="44"/>
        <v>-2.4827833804645569E-2</v>
      </c>
      <c r="AP97" s="507">
        <f t="shared" ca="1" si="45"/>
        <v>-1.1369489178478506E-2</v>
      </c>
      <c r="AQ97" s="507">
        <f t="shared" ca="1" si="45"/>
        <v>-1.6627877923524811E-2</v>
      </c>
      <c r="AR97" s="812" t="s">
        <v>143</v>
      </c>
      <c r="AS97" s="812">
        <v>2104008330</v>
      </c>
      <c r="AT97" s="507">
        <f t="shared" ca="1" si="46"/>
        <v>0.29362726123173721</v>
      </c>
      <c r="AU97" s="507">
        <f t="shared" ca="1" si="46"/>
        <v>0.42942986955141554</v>
      </c>
      <c r="AV97" s="507">
        <f t="shared" ca="1" si="47"/>
        <v>0.29362726123173721</v>
      </c>
      <c r="AW97" s="507">
        <f t="shared" ca="1" si="47"/>
        <v>0.42942986955141554</v>
      </c>
      <c r="AX97" s="507">
        <f t="shared" ca="1" si="48"/>
        <v>-2.1501343804542987</v>
      </c>
      <c r="AY97" s="507">
        <f t="shared" ca="1" si="48"/>
        <v>-3.1445715314144111</v>
      </c>
      <c r="AZ97" s="507">
        <f t="shared" ca="1" si="49"/>
        <v>-2.1501343804542983</v>
      </c>
      <c r="BA97" s="507">
        <f t="shared" ca="1" si="49"/>
        <v>-3.1445715314144107</v>
      </c>
      <c r="BB97" s="550">
        <f t="shared" ca="1" si="50"/>
        <v>0.29362726123173721</v>
      </c>
      <c r="BC97" s="550">
        <f t="shared" ca="1" si="50"/>
        <v>0.4294298695514156</v>
      </c>
      <c r="BD97" s="550">
        <f t="shared" ca="1" si="51"/>
        <v>-2.1501343804542987</v>
      </c>
      <c r="BE97" s="550">
        <f t="shared" ca="1" si="51"/>
        <v>-3.1445715314144111</v>
      </c>
    </row>
    <row r="98" spans="1:57" x14ac:dyDescent="0.25">
      <c r="A98" s="60">
        <f t="shared" si="29"/>
        <v>0.56000000000000005</v>
      </c>
      <c r="B98" s="812"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2.3274960867430985E-3</v>
      </c>
      <c r="M98" s="559">
        <f t="shared" ca="1" si="34"/>
        <v>2.3274960867430985E-3</v>
      </c>
      <c r="N98" s="557" t="s">
        <v>336</v>
      </c>
      <c r="O98" s="559">
        <f t="shared" ca="1" si="35"/>
        <v>2.5406893107072239E-3</v>
      </c>
      <c r="P98" s="559">
        <f t="shared" ca="1" si="35"/>
        <v>2.5406893107072239E-3</v>
      </c>
      <c r="Q98" s="557" t="s">
        <v>336</v>
      </c>
      <c r="R98" s="558">
        <f t="shared" ca="1" si="36"/>
        <v>3.0567055336326274E-5</v>
      </c>
      <c r="S98" s="558">
        <f t="shared" ca="1" si="36"/>
        <v>3.0567055336326274E-5</v>
      </c>
      <c r="T98" s="557" t="s">
        <v>336</v>
      </c>
      <c r="U98" s="558">
        <f t="shared" ca="1" si="37"/>
        <v>3.3366926455920775E-5</v>
      </c>
      <c r="V98" s="558">
        <f t="shared" ca="1" si="37"/>
        <v>3.3366926455920775E-5</v>
      </c>
      <c r="W98" s="557" t="s">
        <v>336</v>
      </c>
      <c r="X98" s="559">
        <f t="shared" ca="1" si="38"/>
        <v>2.9911532126079973E-4</v>
      </c>
      <c r="Y98" s="559">
        <f t="shared" ca="1" si="38"/>
        <v>2.9911532126079973E-4</v>
      </c>
      <c r="Z98" s="557" t="s">
        <v>336</v>
      </c>
      <c r="AA98" s="559">
        <f t="shared" ca="1" si="39"/>
        <v>2.0032569438457645E-4</v>
      </c>
      <c r="AB98" s="559">
        <f t="shared" ca="1" si="39"/>
        <v>2.0032569438457645E-4</v>
      </c>
      <c r="AC98" s="557" t="s">
        <v>336</v>
      </c>
      <c r="AD98" s="558">
        <f t="shared" ca="1" si="40"/>
        <v>2.3001093393600421E-3</v>
      </c>
      <c r="AE98" s="558">
        <f t="shared" ca="1" si="40"/>
        <v>2.3001093393600421E-3</v>
      </c>
      <c r="AF98" s="557" t="s">
        <v>336</v>
      </c>
      <c r="AG98" s="558">
        <f t="shared" ca="1" si="41"/>
        <v>1.540446001313326E-3</v>
      </c>
      <c r="AH98" s="558">
        <f t="shared" ca="1" si="41"/>
        <v>1.540446001313326E-3</v>
      </c>
      <c r="AI98" s="557" t="s">
        <v>336</v>
      </c>
      <c r="AJ98" s="507">
        <f t="shared" ca="1" si="42"/>
        <v>2.2969290314067722E-3</v>
      </c>
      <c r="AK98" s="507">
        <f t="shared" ca="1" si="42"/>
        <v>2.2969290314067722E-3</v>
      </c>
      <c r="AL98" s="507">
        <f t="shared" ca="1" si="43"/>
        <v>2.5073223842513033E-3</v>
      </c>
      <c r="AM98" s="507">
        <f t="shared" ca="1" si="43"/>
        <v>2.5073223842513033E-3</v>
      </c>
      <c r="AN98" s="507">
        <f t="shared" ca="1" si="44"/>
        <v>-2.0009940180992425E-3</v>
      </c>
      <c r="AO98" s="507">
        <f t="shared" ca="1" si="44"/>
        <v>-2.0009940180992425E-3</v>
      </c>
      <c r="AP98" s="507">
        <f t="shared" ca="1" si="45"/>
        <v>-1.3401203069287495E-3</v>
      </c>
      <c r="AQ98" s="507">
        <f t="shared" ca="1" si="45"/>
        <v>-1.3401203069287495E-3</v>
      </c>
      <c r="AR98" s="812" t="s">
        <v>144</v>
      </c>
      <c r="AS98" s="812">
        <v>2104008410</v>
      </c>
      <c r="AT98" s="507">
        <f t="shared" ca="1" si="46"/>
        <v>0.42632653486271982</v>
      </c>
      <c r="AU98" s="507">
        <f t="shared" ca="1" si="46"/>
        <v>0.42632653486271982</v>
      </c>
      <c r="AV98" s="507">
        <f t="shared" ca="1" si="47"/>
        <v>0.42632653486271982</v>
      </c>
      <c r="AW98" s="507">
        <f t="shared" ca="1" si="47"/>
        <v>0.42632653486271982</v>
      </c>
      <c r="AX98" s="507">
        <f t="shared" ca="1" si="48"/>
        <v>-2.8899536545811828</v>
      </c>
      <c r="AY98" s="507">
        <f t="shared" ca="1" si="48"/>
        <v>-2.8899536545811828</v>
      </c>
      <c r="AZ98" s="507">
        <f t="shared" ca="1" si="49"/>
        <v>-2.8899536545811819</v>
      </c>
      <c r="BA98" s="507">
        <f t="shared" ca="1" si="49"/>
        <v>-2.8899536545811819</v>
      </c>
      <c r="BB98" s="550">
        <f t="shared" ca="1" si="50"/>
        <v>0.42632653486271987</v>
      </c>
      <c r="BC98" s="550">
        <f t="shared" ca="1" si="50"/>
        <v>0.42632653486271987</v>
      </c>
      <c r="BD98" s="550">
        <f t="shared" ca="1" si="51"/>
        <v>-2.8899536545811828</v>
      </c>
      <c r="BE98" s="550">
        <f t="shared" ca="1" si="51"/>
        <v>-2.8899536545811828</v>
      </c>
    </row>
    <row r="99" spans="1:57" x14ac:dyDescent="0.25">
      <c r="A99" s="60">
        <f t="shared" si="29"/>
        <v>0.78</v>
      </c>
      <c r="B99" s="812"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7.8507166358962981E-3</v>
      </c>
      <c r="M99" s="559">
        <f t="shared" ca="1" si="34"/>
        <v>7.8507166358962981E-3</v>
      </c>
      <c r="N99" s="557" t="s">
        <v>336</v>
      </c>
      <c r="O99" s="559">
        <f t="shared" ca="1" si="35"/>
        <v>8.5698240060734857E-3</v>
      </c>
      <c r="P99" s="559">
        <f t="shared" ca="1" si="35"/>
        <v>8.5698240060734857E-3</v>
      </c>
      <c r="Q99" s="557" t="s">
        <v>336</v>
      </c>
      <c r="R99" s="558">
        <f t="shared" ca="1" si="36"/>
        <v>1.4360862419977641E-4</v>
      </c>
      <c r="S99" s="558">
        <f t="shared" ca="1" si="36"/>
        <v>1.4360862419977641E-4</v>
      </c>
      <c r="T99" s="557" t="s">
        <v>336</v>
      </c>
      <c r="U99" s="558">
        <f t="shared" ca="1" si="37"/>
        <v>1.5676283990677029E-4</v>
      </c>
      <c r="V99" s="558">
        <f t="shared" ca="1" si="37"/>
        <v>1.5676283990677029E-4</v>
      </c>
      <c r="W99" s="557" t="s">
        <v>336</v>
      </c>
      <c r="X99" s="559">
        <f t="shared" ca="1" si="38"/>
        <v>1.008925274697066E-3</v>
      </c>
      <c r="Y99" s="559">
        <f t="shared" ca="1" si="38"/>
        <v>1.008925274697066E-3</v>
      </c>
      <c r="Z99" s="557" t="s">
        <v>336</v>
      </c>
      <c r="AA99" s="559">
        <f t="shared" ca="1" si="39"/>
        <v>6.7570479300060882E-4</v>
      </c>
      <c r="AB99" s="559">
        <f t="shared" ca="1" si="39"/>
        <v>6.7570479300060882E-4</v>
      </c>
      <c r="AC99" s="557" t="s">
        <v>336</v>
      </c>
      <c r="AD99" s="558">
        <f t="shared" ca="1" si="40"/>
        <v>1.0806259683836842E-2</v>
      </c>
      <c r="AE99" s="558">
        <f t="shared" ca="1" si="40"/>
        <v>1.0806259683836842E-2</v>
      </c>
      <c r="AF99" s="557" t="s">
        <v>336</v>
      </c>
      <c r="AG99" s="558">
        <f t="shared" ca="1" si="41"/>
        <v>7.2372470448519655E-3</v>
      </c>
      <c r="AH99" s="558">
        <f t="shared" ca="1" si="41"/>
        <v>7.2372470448519655E-3</v>
      </c>
      <c r="AI99" s="557" t="s">
        <v>336</v>
      </c>
      <c r="AJ99" s="507">
        <f t="shared" ca="1" si="42"/>
        <v>7.7071080116965221E-3</v>
      </c>
      <c r="AK99" s="507">
        <f t="shared" ca="1" si="42"/>
        <v>7.7071080116965221E-3</v>
      </c>
      <c r="AL99" s="507">
        <f t="shared" ca="1" si="43"/>
        <v>8.4130611661667153E-3</v>
      </c>
      <c r="AM99" s="507">
        <f t="shared" ca="1" si="43"/>
        <v>8.4130611661667153E-3</v>
      </c>
      <c r="AN99" s="507">
        <f t="shared" ca="1" si="44"/>
        <v>-9.7973344091397754E-3</v>
      </c>
      <c r="AO99" s="507">
        <f t="shared" ca="1" si="44"/>
        <v>-9.7973344091397754E-3</v>
      </c>
      <c r="AP99" s="507">
        <f t="shared" ca="1" si="45"/>
        <v>-6.5615422518513567E-3</v>
      </c>
      <c r="AQ99" s="507">
        <f t="shared" ca="1" si="45"/>
        <v>-6.5615422518513567E-3</v>
      </c>
      <c r="AR99" s="812" t="s">
        <v>145</v>
      </c>
      <c r="AS99" s="812">
        <v>2104008420</v>
      </c>
      <c r="AT99" s="507">
        <f t="shared" ca="1" si="46"/>
        <v>0.42409767355878836</v>
      </c>
      <c r="AU99" s="507">
        <f t="shared" ca="1" si="46"/>
        <v>0.42409767355878836</v>
      </c>
      <c r="AV99" s="507">
        <f t="shared" ca="1" si="47"/>
        <v>0.4240976735587883</v>
      </c>
      <c r="AW99" s="507">
        <f t="shared" ca="1" si="47"/>
        <v>0.4240976735587883</v>
      </c>
      <c r="AX99" s="507">
        <f t="shared" ca="1" si="48"/>
        <v>-4.1950068760237897</v>
      </c>
      <c r="AY99" s="507">
        <f t="shared" ca="1" si="48"/>
        <v>-4.1950068760237897</v>
      </c>
      <c r="AZ99" s="507">
        <f t="shared" ca="1" si="49"/>
        <v>-4.1950068760237906</v>
      </c>
      <c r="BA99" s="507">
        <f t="shared" ca="1" si="49"/>
        <v>-4.1950068760237906</v>
      </c>
      <c r="BB99" s="550">
        <f t="shared" ca="1" si="50"/>
        <v>0.42409767355878836</v>
      </c>
      <c r="BC99" s="550">
        <f t="shared" ca="1" si="50"/>
        <v>0.42409767355878836</v>
      </c>
      <c r="BD99" s="550">
        <f t="shared" ca="1" si="51"/>
        <v>-4.1950068760237897</v>
      </c>
      <c r="BE99" s="550">
        <f t="shared" ca="1" si="51"/>
        <v>-4.1950068760237897</v>
      </c>
    </row>
    <row r="100" spans="1:57" x14ac:dyDescent="0.25">
      <c r="A100" s="60">
        <f t="shared" si="29"/>
        <v>0.43</v>
      </c>
      <c r="B100" s="812"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3.6017610616586301E-2</v>
      </c>
      <c r="M100" s="559">
        <f t="shared" ca="1" si="34"/>
        <v>3.9005246520266268E-2</v>
      </c>
      <c r="N100" s="557" t="s">
        <v>336</v>
      </c>
      <c r="O100" s="559">
        <f t="shared" ca="1" si="35"/>
        <v>3.9316739912902104E-2</v>
      </c>
      <c r="P100" s="559">
        <f t="shared" ca="1" si="35"/>
        <v>4.2578036311207351E-2</v>
      </c>
      <c r="Q100" s="557" t="s">
        <v>336</v>
      </c>
      <c r="R100" s="558">
        <f t="shared" ca="1" si="36"/>
        <v>1.1401624329207358E-4</v>
      </c>
      <c r="S100" s="558">
        <f t="shared" ca="1" si="36"/>
        <v>1.2347381186007968E-4</v>
      </c>
      <c r="T100" s="557" t="s">
        <v>336</v>
      </c>
      <c r="U100" s="558">
        <f t="shared" ca="1" si="37"/>
        <v>1.244598657884401E-4</v>
      </c>
      <c r="V100" s="558">
        <f t="shared" ca="1" si="37"/>
        <v>1.3478372562342593E-4</v>
      </c>
      <c r="W100" s="557" t="s">
        <v>336</v>
      </c>
      <c r="X100" s="559">
        <f t="shared" ca="1" si="38"/>
        <v>1.7351717880022342E-3</v>
      </c>
      <c r="Y100" s="559">
        <f t="shared" ca="1" si="38"/>
        <v>1.8791030883895164E-3</v>
      </c>
      <c r="Z100" s="557" t="s">
        <v>336</v>
      </c>
      <c r="AA100" s="559">
        <f t="shared" ca="1" si="39"/>
        <v>1.1620919043628707E-3</v>
      </c>
      <c r="AB100" s="559">
        <f t="shared" ca="1" si="39"/>
        <v>1.2584866245404361E-3</v>
      </c>
      <c r="AC100" s="557" t="s">
        <v>336</v>
      </c>
      <c r="AD100" s="558">
        <f t="shared" ca="1" si="40"/>
        <v>8.5794926318330748E-3</v>
      </c>
      <c r="AE100" s="558">
        <f t="shared" ca="1" si="40"/>
        <v>9.291155615118769E-3</v>
      </c>
      <c r="AF100" s="557" t="s">
        <v>336</v>
      </c>
      <c r="AG100" s="558">
        <f t="shared" ca="1" si="41"/>
        <v>5.7459203751077112E-3</v>
      </c>
      <c r="AH100" s="558">
        <f t="shared" ca="1" si="41"/>
        <v>6.2225404983885365E-3</v>
      </c>
      <c r="AI100" s="557" t="s">
        <v>336</v>
      </c>
      <c r="AJ100" s="507">
        <f t="shared" ca="1" si="42"/>
        <v>3.5903594373294226E-2</v>
      </c>
      <c r="AK100" s="507">
        <f t="shared" ca="1" si="42"/>
        <v>3.888177270840619E-2</v>
      </c>
      <c r="AL100" s="507">
        <f t="shared" ca="1" si="43"/>
        <v>3.9192280047113663E-2</v>
      </c>
      <c r="AM100" s="507">
        <f t="shared" ca="1" si="43"/>
        <v>4.2443252585583922E-2</v>
      </c>
      <c r="AN100" s="507">
        <f t="shared" ca="1" si="44"/>
        <v>-6.8443208438308404E-3</v>
      </c>
      <c r="AO100" s="507">
        <f t="shared" ca="1" si="44"/>
        <v>-7.4120525267292528E-3</v>
      </c>
      <c r="AP100" s="507">
        <f t="shared" ca="1" si="45"/>
        <v>-4.5838284707448405E-3</v>
      </c>
      <c r="AQ100" s="507">
        <f t="shared" ca="1" si="45"/>
        <v>-4.9640538738481002E-3</v>
      </c>
      <c r="AR100" s="812" t="s">
        <v>146</v>
      </c>
      <c r="AS100" s="812">
        <v>2104008610</v>
      </c>
      <c r="AT100" s="507">
        <f t="shared" ca="1" si="46"/>
        <v>0.3976478590182545</v>
      </c>
      <c r="AU100" s="507">
        <f t="shared" ca="1" si="46"/>
        <v>0.43063247405202676</v>
      </c>
      <c r="AV100" s="507">
        <f t="shared" ca="1" si="47"/>
        <v>0.3976478590182545</v>
      </c>
      <c r="AW100" s="507">
        <f t="shared" ca="1" si="47"/>
        <v>0.43063247405202676</v>
      </c>
      <c r="AX100" s="507">
        <f t="shared" ca="1" si="48"/>
        <v>-1.5734882363846252</v>
      </c>
      <c r="AY100" s="507">
        <f t="shared" ca="1" si="48"/>
        <v>-1.7040079979280507</v>
      </c>
      <c r="AZ100" s="507">
        <f t="shared" ca="1" si="49"/>
        <v>-1.5734882363846252</v>
      </c>
      <c r="BA100" s="507">
        <f t="shared" ca="1" si="49"/>
        <v>-1.7040079979280507</v>
      </c>
      <c r="BB100" s="550">
        <f t="shared" ca="1" si="50"/>
        <v>0.3976478590182545</v>
      </c>
      <c r="BC100" s="550">
        <f t="shared" ca="1" si="50"/>
        <v>0.43063247405202676</v>
      </c>
      <c r="BD100" s="550">
        <f t="shared" ca="1" si="51"/>
        <v>-1.573488236384625</v>
      </c>
      <c r="BE100" s="550">
        <f t="shared" ca="1" si="51"/>
        <v>-1.7040079979280507</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0.44845389532858415</v>
      </c>
      <c r="AU106" s="507">
        <f t="shared" ca="1" si="59"/>
        <v>0.44845389532858415</v>
      </c>
      <c r="AV106" s="507">
        <f t="shared" ca="1" si="60"/>
        <v>0.44845389532858421</v>
      </c>
      <c r="AW106" s="507">
        <f t="shared" ca="1" si="60"/>
        <v>0.44845389532858421</v>
      </c>
      <c r="AX106" s="507">
        <f t="shared" ca="1" si="61"/>
        <v>0.36928069720055595</v>
      </c>
      <c r="AY106" s="507">
        <f t="shared" ca="1" si="61"/>
        <v>0.36928069720055595</v>
      </c>
      <c r="AZ106" s="507">
        <f t="shared" ca="1" si="62"/>
        <v>0.36591739291724579</v>
      </c>
      <c r="BA106" s="507">
        <f t="shared" ca="1" si="62"/>
        <v>0.36591739291724579</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2"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1.5885882327513076E-2</v>
      </c>
      <c r="M107" s="133">
        <f t="shared" ca="1" si="52"/>
        <v>1.5885882327513076E-2</v>
      </c>
      <c r="N107" s="551" t="s">
        <v>336</v>
      </c>
      <c r="O107" s="133">
        <f t="shared" ca="1" si="53"/>
        <v>1.7340992172039774E-2</v>
      </c>
      <c r="P107" s="133">
        <f t="shared" ca="1" si="53"/>
        <v>1.7340992172039774E-2</v>
      </c>
      <c r="Q107" s="551" t="s">
        <v>336</v>
      </c>
      <c r="R107" s="58">
        <f t="shared" ca="1" si="54"/>
        <v>5.4580526391399764E-5</v>
      </c>
      <c r="S107" s="58">
        <f t="shared" ca="1" si="54"/>
        <v>5.4580526391399764E-5</v>
      </c>
      <c r="T107" s="551" t="s">
        <v>336</v>
      </c>
      <c r="U107" s="58">
        <f t="shared" ca="1" si="55"/>
        <v>5.9579975564835024E-5</v>
      </c>
      <c r="V107" s="58">
        <f t="shared" ca="1" si="55"/>
        <v>5.9579975564835024E-5</v>
      </c>
      <c r="W107" s="551" t="s">
        <v>336</v>
      </c>
      <c r="X107" s="133">
        <f t="shared" ca="1" si="56"/>
        <v>2.1980569615484783E-2</v>
      </c>
      <c r="Y107" s="133">
        <f t="shared" ca="1" si="56"/>
        <v>2.1980569615484783E-2</v>
      </c>
      <c r="Z107" s="551" t="s">
        <v>336</v>
      </c>
      <c r="AA107" s="133">
        <f t="shared" ca="1" si="57"/>
        <v>1.4720987385835988E-2</v>
      </c>
      <c r="AB107" s="133">
        <f t="shared" ca="1" si="57"/>
        <v>1.4720987385835988E-2</v>
      </c>
      <c r="AC107" s="551" t="s">
        <v>336</v>
      </c>
      <c r="AD107" s="58">
        <f t="shared" ca="1" si="40"/>
        <v>3.9427916766590562E-3</v>
      </c>
      <c r="AE107" s="58">
        <f t="shared" ca="1" si="40"/>
        <v>3.9427916766590562E-3</v>
      </c>
      <c r="AF107" s="551" t="s">
        <v>336</v>
      </c>
      <c r="AG107" s="58">
        <f t="shared" ca="1" si="58"/>
        <v>2.7506199960742853E-3</v>
      </c>
      <c r="AH107" s="58">
        <f t="shared" ca="1" si="58"/>
        <v>2.7506199960742853E-3</v>
      </c>
      <c r="AI107" s="551" t="s">
        <v>336</v>
      </c>
      <c r="AJ107" s="507">
        <f t="shared" ca="1" si="42"/>
        <v>1.5831301801121675E-2</v>
      </c>
      <c r="AK107" s="507">
        <f t="shared" ca="1" si="42"/>
        <v>1.5831301801121675E-2</v>
      </c>
      <c r="AL107" s="507">
        <f t="shared" ca="1" si="43"/>
        <v>1.728141219647494E-2</v>
      </c>
      <c r="AM107" s="507">
        <f t="shared" ca="1" si="43"/>
        <v>1.728141219647494E-2</v>
      </c>
      <c r="AN107" s="507">
        <f t="shared" ca="1" si="44"/>
        <v>1.8037777938825727E-2</v>
      </c>
      <c r="AO107" s="507">
        <f t="shared" ca="1" si="44"/>
        <v>1.8037777938825727E-2</v>
      </c>
      <c r="AP107" s="507">
        <f t="shared" ca="1" si="45"/>
        <v>1.1970367389761703E-2</v>
      </c>
      <c r="AQ107" s="507">
        <f t="shared" ca="1" si="45"/>
        <v>1.1970367389761703E-2</v>
      </c>
      <c r="AR107" s="812" t="s">
        <v>152</v>
      </c>
      <c r="AS107" s="812">
        <v>2103002000</v>
      </c>
      <c r="AT107" s="507">
        <f t="shared" ca="1" si="59"/>
        <v>0.44845389532858415</v>
      </c>
      <c r="AU107" s="507">
        <f t="shared" ca="1" si="59"/>
        <v>0.44845389532858415</v>
      </c>
      <c r="AV107" s="507">
        <f t="shared" ca="1" si="60"/>
        <v>0.4484538953285841</v>
      </c>
      <c r="AW107" s="507">
        <f t="shared" ca="1" si="60"/>
        <v>0.4484538953285841</v>
      </c>
      <c r="AX107" s="507">
        <f t="shared" ca="1" si="61"/>
        <v>0.36928069720055595</v>
      </c>
      <c r="AY107" s="507">
        <f t="shared" ca="1" si="61"/>
        <v>0.36928069720055595</v>
      </c>
      <c r="AZ107" s="507">
        <f t="shared" ca="1" si="62"/>
        <v>0.36591739291724579</v>
      </c>
      <c r="BA107" s="507">
        <f t="shared" ca="1" si="62"/>
        <v>0.36591739291724579</v>
      </c>
      <c r="BB107" s="550">
        <f t="shared" ca="1" si="50"/>
        <v>0.44845389532858415</v>
      </c>
      <c r="BC107" s="550">
        <f t="shared" ca="1" si="50"/>
        <v>0.44845389532858415</v>
      </c>
      <c r="BD107" s="550">
        <f t="shared" ca="1" si="51"/>
        <v>0.36928069720055601</v>
      </c>
      <c r="BE107" s="550">
        <f t="shared" ca="1" si="51"/>
        <v>0.36928069720055601</v>
      </c>
    </row>
    <row r="108" spans="1:57" x14ac:dyDescent="0.25">
      <c r="A108" s="60">
        <f>A107</f>
        <v>0.43</v>
      </c>
      <c r="B108" s="812"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4.4552515580391162E-5</v>
      </c>
      <c r="M108" s="133">
        <f t="shared" ca="1" si="52"/>
        <v>4.4552515580391162E-5</v>
      </c>
      <c r="N108" s="551" t="s">
        <v>336</v>
      </c>
      <c r="O108" s="133">
        <f t="shared" ca="1" si="53"/>
        <v>4.8633422305173944E-5</v>
      </c>
      <c r="P108" s="133">
        <f t="shared" ca="1" si="53"/>
        <v>4.8633422305173944E-5</v>
      </c>
      <c r="Q108" s="551" t="s">
        <v>336</v>
      </c>
      <c r="R108" s="58">
        <f t="shared" ca="1" si="54"/>
        <v>1.530730054714858E-7</v>
      </c>
      <c r="S108" s="58">
        <f t="shared" ca="1" si="54"/>
        <v>1.530730054714858E-7</v>
      </c>
      <c r="T108" s="551" t="s">
        <v>336</v>
      </c>
      <c r="U108" s="58">
        <f t="shared" ca="1" si="55"/>
        <v>1.6709413647326107E-7</v>
      </c>
      <c r="V108" s="58">
        <f t="shared" ca="1" si="55"/>
        <v>1.6709413647326107E-7</v>
      </c>
      <c r="W108" s="551" t="s">
        <v>336</v>
      </c>
      <c r="X108" s="133">
        <f t="shared" ca="1" si="56"/>
        <v>6.1645280386076333E-5</v>
      </c>
      <c r="Y108" s="133">
        <f t="shared" ca="1" si="56"/>
        <v>6.1645280386076333E-5</v>
      </c>
      <c r="Z108" s="551" t="s">
        <v>336</v>
      </c>
      <c r="AA108" s="133">
        <f t="shared" ca="1" si="57"/>
        <v>4.1285526755432887E-5</v>
      </c>
      <c r="AB108" s="133">
        <f t="shared" ca="1" si="57"/>
        <v>4.1285526755432887E-5</v>
      </c>
      <c r="AC108" s="551" t="s">
        <v>336</v>
      </c>
      <c r="AD108" s="58">
        <f t="shared" ca="1" si="40"/>
        <v>1.1057697896978497E-5</v>
      </c>
      <c r="AE108" s="58">
        <f t="shared" ca="1" si="40"/>
        <v>1.1057697896978497E-5</v>
      </c>
      <c r="AF108" s="551" t="s">
        <v>336</v>
      </c>
      <c r="AG108" s="58">
        <f t="shared" ca="1" si="58"/>
        <v>7.7142104986257773E-6</v>
      </c>
      <c r="AH108" s="58">
        <f t="shared" ca="1" si="58"/>
        <v>7.7142104986257773E-6</v>
      </c>
      <c r="AI108" s="551" t="s">
        <v>336</v>
      </c>
      <c r="AJ108" s="507">
        <f t="shared" ca="1" si="42"/>
        <v>4.4399442574919678E-5</v>
      </c>
      <c r="AK108" s="507">
        <f t="shared" ca="1" si="42"/>
        <v>4.4399442574919678E-5</v>
      </c>
      <c r="AL108" s="507">
        <f t="shared" ca="1" si="43"/>
        <v>4.8466328168700683E-5</v>
      </c>
      <c r="AM108" s="507">
        <f t="shared" ca="1" si="43"/>
        <v>4.8466328168700683E-5</v>
      </c>
      <c r="AN108" s="507">
        <f t="shared" ca="1" si="44"/>
        <v>5.0587582489097838E-5</v>
      </c>
      <c r="AO108" s="507">
        <f t="shared" ca="1" si="44"/>
        <v>5.0587582489097838E-5</v>
      </c>
      <c r="AP108" s="507">
        <f t="shared" ca="1" si="45"/>
        <v>3.3571316256807114E-5</v>
      </c>
      <c r="AQ108" s="507">
        <f t="shared" ca="1" si="45"/>
        <v>3.3571316256807114E-5</v>
      </c>
      <c r="AR108" s="812" t="s">
        <v>153</v>
      </c>
      <c r="AS108" s="812">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-3.0686178260442705</v>
      </c>
      <c r="BA108" s="507">
        <f t="shared" ca="1" si="62"/>
        <v>-3.0686178260442705</v>
      </c>
      <c r="BB108" s="550">
        <f t="shared" ca="1" si="50"/>
        <v>0.44719442095723871</v>
      </c>
      <c r="BC108" s="550">
        <f t="shared" ca="1" si="50"/>
        <v>0.44719442095723871</v>
      </c>
      <c r="BD108" s="550">
        <f t="shared" ca="1" si="51"/>
        <v>-2.9278731130024997</v>
      </c>
      <c r="BE108" s="550">
        <f t="shared" ca="1" si="51"/>
        <v>-2.9278731130024997</v>
      </c>
    </row>
    <row r="109" spans="1:57" x14ac:dyDescent="0.25">
      <c r="A109" s="112">
        <v>0.6</v>
      </c>
      <c r="B109" s="812"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4.3640860820374599E-5</v>
      </c>
      <c r="M109" s="133">
        <f t="shared" ca="1" si="52"/>
        <v>4.3640860820374599E-5</v>
      </c>
      <c r="N109" s="551" t="s">
        <v>336</v>
      </c>
      <c r="O109" s="133">
        <f t="shared" ca="1" si="53"/>
        <v>4.7638262091147308E-5</v>
      </c>
      <c r="P109" s="133">
        <f t="shared" ca="1" si="53"/>
        <v>4.7638262091147308E-5</v>
      </c>
      <c r="Q109" s="551" t="s">
        <v>336</v>
      </c>
      <c r="R109" s="58">
        <f t="shared" ca="1" si="54"/>
        <v>2.7208418783489457E-7</v>
      </c>
      <c r="S109" s="58">
        <f t="shared" ca="1" si="54"/>
        <v>2.7208418783489457E-7</v>
      </c>
      <c r="T109" s="551" t="s">
        <v>336</v>
      </c>
      <c r="U109" s="58">
        <f t="shared" ca="1" si="55"/>
        <v>2.9700646612553238E-7</v>
      </c>
      <c r="V109" s="58">
        <f t="shared" ca="1" si="55"/>
        <v>2.9700646612553238E-7</v>
      </c>
      <c r="W109" s="551" t="s">
        <v>336</v>
      </c>
      <c r="X109" s="133">
        <f t="shared" ca="1" si="56"/>
        <v>1.5174798526366203E-6</v>
      </c>
      <c r="Y109" s="133">
        <f t="shared" ca="1" si="56"/>
        <v>1.5174798526366203E-6</v>
      </c>
      <c r="Z109" s="551" t="s">
        <v>336</v>
      </c>
      <c r="AA109" s="133">
        <f t="shared" ca="1" si="57"/>
        <v>1.0162976737958051E-6</v>
      </c>
      <c r="AB109" s="133">
        <f t="shared" ca="1" si="57"/>
        <v>1.0162976737958051E-6</v>
      </c>
      <c r="AC109" s="551" t="s">
        <v>336</v>
      </c>
      <c r="AD109" s="58">
        <f t="shared" ca="1" si="40"/>
        <v>1.1390787541653857E-5</v>
      </c>
      <c r="AE109" s="58">
        <f t="shared" ca="1" si="40"/>
        <v>1.1390787541653857E-5</v>
      </c>
      <c r="AF109" s="551" t="s">
        <v>336</v>
      </c>
      <c r="AG109" s="58">
        <f t="shared" ca="1" si="58"/>
        <v>7.9465846924116557E-6</v>
      </c>
      <c r="AH109" s="58">
        <f t="shared" ca="1" si="58"/>
        <v>7.9465846924116557E-6</v>
      </c>
      <c r="AI109" s="551" t="s">
        <v>336</v>
      </c>
      <c r="AJ109" s="507">
        <f t="shared" ca="1" si="42"/>
        <v>4.3368776632539707E-5</v>
      </c>
      <c r="AK109" s="507">
        <f t="shared" ca="1" si="42"/>
        <v>4.3368776632539707E-5</v>
      </c>
      <c r="AL109" s="507">
        <f t="shared" ca="1" si="43"/>
        <v>4.7341255625021773E-5</v>
      </c>
      <c r="AM109" s="507">
        <f t="shared" ca="1" si="43"/>
        <v>4.7341255625021773E-5</v>
      </c>
      <c r="AN109" s="507">
        <f t="shared" ca="1" si="44"/>
        <v>-9.8733076890172365E-6</v>
      </c>
      <c r="AO109" s="507">
        <f t="shared" ca="1" si="44"/>
        <v>-9.8733076890172365E-6</v>
      </c>
      <c r="AP109" s="507">
        <f t="shared" ca="1" si="45"/>
        <v>-6.9302870186158511E-6</v>
      </c>
      <c r="AQ109" s="507">
        <f t="shared" ca="1" si="45"/>
        <v>-6.9302870186158511E-6</v>
      </c>
      <c r="AR109" s="6" t="s">
        <v>154</v>
      </c>
      <c r="AS109" s="6">
        <v>2102012000</v>
      </c>
      <c r="AT109" s="541">
        <f t="shared" ca="1" si="59"/>
        <v>0.40925672924399065</v>
      </c>
      <c r="AU109" s="541">
        <f t="shared" ca="1" si="59"/>
        <v>0.40925672924399065</v>
      </c>
      <c r="AV109" s="541">
        <f t="shared" ca="1" si="60"/>
        <v>0.40925672924399065</v>
      </c>
      <c r="AW109" s="541">
        <f t="shared" ca="1" si="60"/>
        <v>0.40925672924399065</v>
      </c>
      <c r="AX109" s="541">
        <f t="shared" ca="1" si="61"/>
        <v>0.10143027250962933</v>
      </c>
      <c r="AY109" s="541">
        <f t="shared" ca="1" si="61"/>
        <v>0.10143027250962933</v>
      </c>
      <c r="AZ109" s="541">
        <f t="shared" ca="1" si="62"/>
        <v>8.6906533864197139E-2</v>
      </c>
      <c r="BA109" s="541">
        <f t="shared" ca="1" si="62"/>
        <v>8.6906533864197139E-2</v>
      </c>
      <c r="BB109" s="550">
        <f t="shared" ca="1" si="50"/>
        <v>0.40925672924399059</v>
      </c>
      <c r="BC109" s="550">
        <f t="shared" ca="1" si="50"/>
        <v>0.40925672924399059</v>
      </c>
      <c r="BD109" s="550">
        <f t="shared" ca="1" si="51"/>
        <v>0.10143027250962933</v>
      </c>
      <c r="BE109" s="550">
        <f t="shared" ca="1" si="51"/>
        <v>0.10143027250962933</v>
      </c>
    </row>
    <row r="110" spans="1:57" x14ac:dyDescent="0.25">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4.0064526248503093E-4</v>
      </c>
      <c r="M110" s="544">
        <f t="shared" ca="1" si="52"/>
        <v>4.0064526248503093E-4</v>
      </c>
      <c r="N110" s="542" t="s">
        <v>336</v>
      </c>
      <c r="O110" s="544">
        <f t="shared" ca="1" si="53"/>
        <v>4.3734343596924912E-4</v>
      </c>
      <c r="P110" s="544">
        <f t="shared" ca="1" si="53"/>
        <v>4.3734343596924912E-4</v>
      </c>
      <c r="Q110" s="542" t="s">
        <v>336</v>
      </c>
      <c r="R110" s="543">
        <f t="shared" ca="1" si="54"/>
        <v>3.6274663125644502E-5</v>
      </c>
      <c r="S110" s="543">
        <f t="shared" ca="1" si="54"/>
        <v>3.6274663125644502E-5</v>
      </c>
      <c r="T110" s="542" t="s">
        <v>336</v>
      </c>
      <c r="U110" s="543">
        <f t="shared" ca="1" si="55"/>
        <v>3.9597337833463394E-5</v>
      </c>
      <c r="V110" s="543">
        <f t="shared" ca="1" si="55"/>
        <v>3.9597337833463394E-5</v>
      </c>
      <c r="W110" s="542" t="s">
        <v>336</v>
      </c>
      <c r="X110" s="544">
        <f t="shared" ca="1" si="56"/>
        <v>3.3829248173543529E-3</v>
      </c>
      <c r="Y110" s="544">
        <f t="shared" ca="1" si="56"/>
        <v>3.3829248173543529E-3</v>
      </c>
      <c r="Z110" s="542" t="s">
        <v>336</v>
      </c>
      <c r="AA110" s="544">
        <f t="shared" ca="1" si="57"/>
        <v>2.2656370801429114E-3</v>
      </c>
      <c r="AB110" s="544">
        <f t="shared" ca="1" si="57"/>
        <v>2.2656370801429114E-3</v>
      </c>
      <c r="AC110" s="542" t="s">
        <v>336</v>
      </c>
      <c r="AD110" s="543">
        <f t="shared" ca="1" si="40"/>
        <v>2.620411514901375E-3</v>
      </c>
      <c r="AE110" s="543">
        <f t="shared" ca="1" si="40"/>
        <v>2.620411514901375E-3</v>
      </c>
      <c r="AF110" s="542" t="s">
        <v>336</v>
      </c>
      <c r="AG110" s="543">
        <f t="shared" ca="1" si="58"/>
        <v>1.82808448985531E-3</v>
      </c>
      <c r="AH110" s="543">
        <f t="shared" ca="1" si="58"/>
        <v>1.82808448985531E-3</v>
      </c>
      <c r="AI110" s="542" t="s">
        <v>336</v>
      </c>
      <c r="AJ110" s="541">
        <f t="shared" ca="1" si="42"/>
        <v>3.6437059935938643E-4</v>
      </c>
      <c r="AK110" s="541">
        <f t="shared" ca="1" si="42"/>
        <v>3.6437059935938643E-4</v>
      </c>
      <c r="AL110" s="541">
        <f t="shared" ca="1" si="43"/>
        <v>3.9774609813578572E-4</v>
      </c>
      <c r="AM110" s="541">
        <f t="shared" ca="1" si="43"/>
        <v>3.9774609813578572E-4</v>
      </c>
      <c r="AN110" s="541">
        <f t="shared" ca="1" si="44"/>
        <v>7.6251330245297785E-4</v>
      </c>
      <c r="AO110" s="541">
        <f t="shared" ca="1" si="44"/>
        <v>7.6251330245297785E-4</v>
      </c>
      <c r="AP110" s="541">
        <f t="shared" ca="1" si="45"/>
        <v>4.3755259028760147E-4</v>
      </c>
      <c r="AQ110" s="541">
        <f t="shared" ca="1" si="45"/>
        <v>4.3755259028760147E-4</v>
      </c>
      <c r="AR110" s="810"/>
      <c r="AS110" s="810" t="s">
        <v>249</v>
      </c>
      <c r="AT110" s="506">
        <f ca="1">AJ111/SUM($C40:$C59)</f>
        <v>0.25306647442300262</v>
      </c>
      <c r="AU110" s="506">
        <f ca="1">AK111/SUM($C40:$C59)</f>
        <v>0.41781099663653543</v>
      </c>
      <c r="AV110" s="506">
        <f ca="1">AL111/SUM($C60:$C79)</f>
        <v>0.25306647442300262</v>
      </c>
      <c r="AW110" s="506">
        <f ca="1">AM111/SUM($C60:$C79)</f>
        <v>0.41781099663653531</v>
      </c>
      <c r="AX110" s="506">
        <f ca="1">AN111/SUM($J40:$J59)</f>
        <v>-3.2350240330866038E-2</v>
      </c>
      <c r="AY110" s="506">
        <f ca="1">AO111/SUM($J40:$J59)</f>
        <v>-4.388135046642995E-2</v>
      </c>
      <c r="AZ110" s="506">
        <f ca="1">AP111/SUM($J60:$J79)</f>
        <v>-3.2498797273414003E-2</v>
      </c>
      <c r="BA110" s="506">
        <f ca="1">AQ111/SUM($J60:$J79)</f>
        <v>-4.4029907408977921E-2</v>
      </c>
      <c r="BB110" s="506"/>
      <c r="BC110" s="506"/>
      <c r="BD110" s="506"/>
      <c r="BE110" s="506"/>
    </row>
    <row r="111" spans="1:57" x14ac:dyDescent="0.25">
      <c r="K111" s="244" t="s">
        <v>784</v>
      </c>
      <c r="L111" s="137">
        <f ca="1">SUM(L91:L110)</f>
        <v>0.25546208073109578</v>
      </c>
      <c r="M111" s="137">
        <f ca="1">SUM(M91:M110)</f>
        <v>0.42126461783154656</v>
      </c>
      <c r="N111" s="540" t="s">
        <v>336</v>
      </c>
      <c r="O111" s="137">
        <f ca="1">SUM(O91:O110)</f>
        <v>0.27886181270136812</v>
      </c>
      <c r="P111" s="137">
        <f ca="1">SUM(P91:P110)</f>
        <v>0.45985147627099354</v>
      </c>
      <c r="Q111" s="540" t="s">
        <v>336</v>
      </c>
      <c r="R111" s="137">
        <f ca="1">SUM(R91:R110)</f>
        <v>1.3002676255196776E-3</v>
      </c>
      <c r="S111" s="137">
        <f ca="1">SUM(S91:S110)</f>
        <v>1.6452246159539537E-3</v>
      </c>
      <c r="T111" s="540" t="s">
        <v>336</v>
      </c>
      <c r="U111" s="137">
        <f ca="1">SUM(U91:U110)</f>
        <v>1.4193691134575675E-3</v>
      </c>
      <c r="V111" s="137">
        <f ca="1">SUM(V91:V110)</f>
        <v>1.7959233612786672E-3</v>
      </c>
      <c r="W111" s="540" t="s">
        <v>336</v>
      </c>
      <c r="X111" s="137">
        <f ca="1">SUM(X91:X110)</f>
        <v>3.7804808544109759E-2</v>
      </c>
      <c r="Y111" s="137">
        <f ca="1">SUM(Y91:Y110)</f>
        <v>4.2462809931015651E-2</v>
      </c>
      <c r="Z111" s="540" t="s">
        <v>336</v>
      </c>
      <c r="AA111" s="137">
        <f ca="1">SUM(AA91:AA110)</f>
        <v>2.5318912086324027E-2</v>
      </c>
      <c r="AB111" s="137">
        <f ca="1">SUM(AB91:AB110)</f>
        <v>2.8438502745682642E-2</v>
      </c>
      <c r="AC111" s="540" t="s">
        <v>336</v>
      </c>
      <c r="AD111" s="137">
        <f ca="1">SUM(AD91:AD110)</f>
        <v>9.7559509006726094E-2</v>
      </c>
      <c r="AE111" s="137">
        <f ca="1">SUM(AE91:AE110)</f>
        <v>0.12351682765077875</v>
      </c>
      <c r="AF111" s="540" t="s">
        <v>336</v>
      </c>
      <c r="AG111" s="137">
        <f ca="1">SUM(AG91:AG110)</f>
        <v>6.5522040478778035E-2</v>
      </c>
      <c r="AH111" s="137">
        <f ca="1">SUM(AH91:AH110)</f>
        <v>8.2906365226214612E-2</v>
      </c>
      <c r="AI111" s="540" t="s">
        <v>336</v>
      </c>
      <c r="AJ111" s="506">
        <f t="shared" ref="AJ111:AQ111" ca="1" si="64">SUM(AJ91:AJ110)</f>
        <v>0.25416181310557617</v>
      </c>
      <c r="AK111" s="506">
        <f t="shared" ca="1" si="64"/>
        <v>0.41961939321559255</v>
      </c>
      <c r="AL111" s="506">
        <f t="shared" ca="1" si="64"/>
        <v>0.27744244358791059</v>
      </c>
      <c r="AM111" s="506">
        <f t="shared" ca="1" si="64"/>
        <v>0.45805555290971478</v>
      </c>
      <c r="AN111" s="506">
        <f t="shared" ca="1" si="64"/>
        <v>-5.97547004626163E-2</v>
      </c>
      <c r="AO111" s="506">
        <f t="shared" ca="1" si="64"/>
        <v>-8.1054017719763061E-2</v>
      </c>
      <c r="AP111" s="506">
        <f t="shared" ca="1" si="64"/>
        <v>-4.0203128392453984E-2</v>
      </c>
      <c r="AQ111" s="506">
        <f t="shared" ca="1" si="64"/>
        <v>-5.4467862480531946E-2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0.53160425669348677</v>
      </c>
      <c r="AK113" s="506">
        <f ca="1">AK111+AM111</f>
        <v>0.87767494612530728</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2" t="s">
        <v>101</v>
      </c>
      <c r="B119" s="812" t="s">
        <v>752</v>
      </c>
      <c r="C119" s="539">
        <f t="shared" ref="C119:E120" ca="1" si="65">C32</f>
        <v>1.004328264678563</v>
      </c>
      <c r="D119" s="539">
        <f t="shared" ca="1" si="65"/>
        <v>1.004328264678563</v>
      </c>
      <c r="E119" s="539">
        <f t="shared" ca="1" si="65"/>
        <v>1.004328264678563</v>
      </c>
      <c r="F119" s="539" t="s">
        <v>336</v>
      </c>
      <c r="G119" s="539">
        <f ca="1">G32</f>
        <v>1.004328264678563</v>
      </c>
      <c r="H119" s="539">
        <f ca="1">H32</f>
        <v>1.004328264678563</v>
      </c>
      <c r="I119" s="539" t="s">
        <v>336</v>
      </c>
      <c r="J119" s="539">
        <f t="shared" ref="J119:L120" ca="1" si="66">J32</f>
        <v>1.8471176674877157</v>
      </c>
      <c r="K119" s="539">
        <f t="shared" ca="1" si="66"/>
        <v>1.8471176674877157</v>
      </c>
      <c r="L119" s="539">
        <f t="shared" ca="1" si="66"/>
        <v>1.8471176674877157</v>
      </c>
      <c r="M119" s="539" t="s">
        <v>336</v>
      </c>
      <c r="N119" s="539">
        <f ca="1">N32</f>
        <v>1.8471176674877157</v>
      </c>
      <c r="O119" s="539">
        <f ca="1">O32</f>
        <v>1.8471176674877157</v>
      </c>
      <c r="P119" s="539" t="s">
        <v>336</v>
      </c>
    </row>
    <row r="120" spans="1:39" x14ac:dyDescent="0.25">
      <c r="A120" s="812" t="s">
        <v>101</v>
      </c>
      <c r="B120" s="812" t="s">
        <v>754</v>
      </c>
      <c r="C120" s="539">
        <f t="shared" ca="1" si="65"/>
        <v>1.0963223960047876</v>
      </c>
      <c r="D120" s="539">
        <f t="shared" ca="1" si="65"/>
        <v>1.0963223960047876</v>
      </c>
      <c r="E120" s="539">
        <f t="shared" ca="1" si="65"/>
        <v>1.0963223960047876</v>
      </c>
      <c r="F120" s="539" t="s">
        <v>336</v>
      </c>
      <c r="G120" s="539">
        <f ca="1">G33</f>
        <v>1.0963223960047876</v>
      </c>
      <c r="H120" s="539">
        <f ca="1">H33</f>
        <v>1.0963223960047876</v>
      </c>
      <c r="I120" s="539" t="s">
        <v>336</v>
      </c>
      <c r="J120" s="539">
        <f t="shared" ca="1" si="66"/>
        <v>1.2370651151863585</v>
      </c>
      <c r="K120" s="539">
        <f t="shared" ca="1" si="66"/>
        <v>1.2370651151863585</v>
      </c>
      <c r="L120" s="539">
        <f t="shared" ca="1" si="66"/>
        <v>1.2370651151863585</v>
      </c>
      <c r="M120" s="539" t="s">
        <v>336</v>
      </c>
      <c r="N120" s="539">
        <f ca="1">N33</f>
        <v>1.2370651151863585</v>
      </c>
      <c r="O120" s="539">
        <f ca="1">O33</f>
        <v>1.2370651151863585</v>
      </c>
      <c r="P120" s="539" t="s">
        <v>336</v>
      </c>
    </row>
    <row r="121" spans="1:39" x14ac:dyDescent="0.25">
      <c r="A121" s="813" t="s">
        <v>101</v>
      </c>
      <c r="B121" s="813" t="s">
        <v>792</v>
      </c>
      <c r="C121" s="535">
        <f ca="1">IFERROR(C122-SUM(C119:C120),"-")</f>
        <v>0.56776516607452132</v>
      </c>
      <c r="D121" s="535">
        <f ca="1">IFERROR(D122-SUM(D119:D120),"-")</f>
        <v>0.56776516607452132</v>
      </c>
      <c r="E121" s="535">
        <f ca="1">IFERROR(E122-SUM(E119:E120),"-")</f>
        <v>0.56776516607452132</v>
      </c>
      <c r="F121" s="535" t="s">
        <v>336</v>
      </c>
      <c r="G121" s="535">
        <f ca="1">IFERROR(G122-SUM(G119:G120),"-")</f>
        <v>0.56776516607452132</v>
      </c>
      <c r="H121" s="535">
        <f ca="1">IFERROR(H122-SUM(H119:H120),"-")</f>
        <v>0.56776516607452132</v>
      </c>
      <c r="I121" s="535" t="s">
        <v>336</v>
      </c>
      <c r="J121" s="535">
        <f ca="1">IFERROR(J122-SUM(J119:J120),"-")</f>
        <v>1.044209454342095</v>
      </c>
      <c r="K121" s="535">
        <f ca="1">IFERROR(K122-SUM(K119:K120),"-")</f>
        <v>1.044209454342095</v>
      </c>
      <c r="L121" s="535">
        <f ca="1">IFERROR(L122-SUM(L119:L120),"-")</f>
        <v>1.044209454342095</v>
      </c>
      <c r="M121" s="535" t="s">
        <v>336</v>
      </c>
      <c r="N121" s="535">
        <f ca="1">IFERROR(N122-SUM(N119:N120),"-")</f>
        <v>1.044209454342095</v>
      </c>
      <c r="O121" s="535">
        <f ca="1">IFERROR(O122-SUM(O119:O120),"-")</f>
        <v>1.044209454342095</v>
      </c>
      <c r="P121" s="535" t="s">
        <v>336</v>
      </c>
    </row>
    <row r="122" spans="1:39" x14ac:dyDescent="0.25">
      <c r="A122" s="348" t="s">
        <v>101</v>
      </c>
      <c r="B122" s="348" t="s">
        <v>793</v>
      </c>
      <c r="C122" s="534">
        <f ca="1">C26</f>
        <v>2.6684158267578719</v>
      </c>
      <c r="D122" s="534">
        <f ca="1">D26</f>
        <v>2.6684158267578719</v>
      </c>
      <c r="E122" s="534">
        <f ca="1">E26</f>
        <v>2.6684158267578719</v>
      </c>
      <c r="F122" s="534" t="s">
        <v>336</v>
      </c>
      <c r="G122" s="534">
        <f ca="1">G26</f>
        <v>2.6684158267578719</v>
      </c>
      <c r="H122" s="534">
        <f ca="1">H26</f>
        <v>2.6684158267578719</v>
      </c>
      <c r="I122" s="534" t="s">
        <v>336</v>
      </c>
      <c r="J122" s="534">
        <f ca="1">J26</f>
        <v>4.1283922370161692</v>
      </c>
      <c r="K122" s="534">
        <f ca="1">K26</f>
        <v>4.1283922370161692</v>
      </c>
      <c r="L122" s="534">
        <f ca="1">L26</f>
        <v>4.1283922370161692</v>
      </c>
      <c r="M122" s="534" t="s">
        <v>336</v>
      </c>
      <c r="N122" s="534">
        <f ca="1">N26</f>
        <v>4.1283922370161692</v>
      </c>
      <c r="O122" s="534">
        <f ca="1">O26</f>
        <v>4.1283922370161692</v>
      </c>
      <c r="P122" s="534" t="s">
        <v>336</v>
      </c>
    </row>
    <row r="123" spans="1:39" x14ac:dyDescent="0.25">
      <c r="A123" s="812" t="s">
        <v>722</v>
      </c>
      <c r="B123" s="812" t="s">
        <v>752</v>
      </c>
      <c r="C123" s="133">
        <f ca="1">C119</f>
        <v>1.004328264678563</v>
      </c>
      <c r="D123" s="537">
        <f ca="1">D119-L$111+R$111</f>
        <v>0.75016645157298689</v>
      </c>
      <c r="E123" s="537">
        <f ca="1">E119-M$111+S$111</f>
        <v>0.58470887146297035</v>
      </c>
      <c r="F123" s="538" t="s">
        <v>336</v>
      </c>
      <c r="G123" s="521">
        <f ca="1">G119</f>
        <v>1.004328264678563</v>
      </c>
      <c r="H123" s="521">
        <f ca="1">H119</f>
        <v>1.004328264678563</v>
      </c>
      <c r="I123" s="538" t="s">
        <v>336</v>
      </c>
      <c r="J123" s="133">
        <f ca="1">J119</f>
        <v>1.8471176674877157</v>
      </c>
      <c r="K123" s="537">
        <f ca="1">K119-X$111+AD$111</f>
        <v>1.9068723679503319</v>
      </c>
      <c r="L123" s="537">
        <f ca="1">L119-Y$111+AE$111</f>
        <v>1.9281716852074788</v>
      </c>
      <c r="M123" s="538" t="s">
        <v>336</v>
      </c>
      <c r="N123" s="521">
        <f ca="1">N119</f>
        <v>1.8471176674877157</v>
      </c>
      <c r="O123" s="521">
        <f ca="1">O119</f>
        <v>1.8471176674877157</v>
      </c>
      <c r="P123" s="538" t="s">
        <v>336</v>
      </c>
    </row>
    <row r="124" spans="1:39" x14ac:dyDescent="0.25">
      <c r="A124" s="812" t="s">
        <v>722</v>
      </c>
      <c r="B124" s="812" t="s">
        <v>754</v>
      </c>
      <c r="C124" s="133">
        <f ca="1">C120</f>
        <v>1.0963223960047876</v>
      </c>
      <c r="D124" s="521">
        <f ca="1">D120</f>
        <v>1.0963223960047876</v>
      </c>
      <c r="E124" s="521">
        <f ca="1">E120</f>
        <v>1.0963223960047876</v>
      </c>
      <c r="F124" s="536" t="s">
        <v>336</v>
      </c>
      <c r="G124" s="537">
        <f ca="1">G120-O$111+U$111</f>
        <v>0.81887995241687705</v>
      </c>
      <c r="H124" s="537">
        <f ca="1">H120-P$111+V$111</f>
        <v>0.63826684309507276</v>
      </c>
      <c r="I124" s="536" t="s">
        <v>336</v>
      </c>
      <c r="J124" s="133">
        <f ca="1">J120</f>
        <v>1.2370651151863585</v>
      </c>
      <c r="K124" s="521">
        <f ca="1">K120</f>
        <v>1.2370651151863585</v>
      </c>
      <c r="L124" s="521">
        <f ca="1">L120</f>
        <v>1.2370651151863585</v>
      </c>
      <c r="M124" s="536" t="s">
        <v>336</v>
      </c>
      <c r="N124" s="537">
        <f ca="1">N120-AA$111+AG$111</f>
        <v>1.2772682435788125</v>
      </c>
      <c r="O124" s="537">
        <f ca="1">O120-AB$111+AH$111</f>
        <v>1.2915329776668905</v>
      </c>
      <c r="P124" s="536" t="s">
        <v>336</v>
      </c>
    </row>
    <row r="125" spans="1:39" x14ac:dyDescent="0.25">
      <c r="A125" s="813" t="s">
        <v>722</v>
      </c>
      <c r="B125" s="813" t="s">
        <v>792</v>
      </c>
      <c r="C125" s="527">
        <f ca="1">C121</f>
        <v>0.56776516607452132</v>
      </c>
      <c r="D125" s="527">
        <f ca="1">D121</f>
        <v>0.56776516607452132</v>
      </c>
      <c r="E125" s="527">
        <f ca="1">E121</f>
        <v>0.56776516607452132</v>
      </c>
      <c r="F125" s="535" t="s">
        <v>336</v>
      </c>
      <c r="G125" s="527">
        <f ca="1">G121</f>
        <v>0.56776516607452132</v>
      </c>
      <c r="H125" s="527">
        <f ca="1">H121</f>
        <v>0.56776516607452132</v>
      </c>
      <c r="I125" s="535" t="s">
        <v>336</v>
      </c>
      <c r="J125" s="527">
        <f ca="1">J121</f>
        <v>1.044209454342095</v>
      </c>
      <c r="K125" s="527">
        <f ca="1">K121</f>
        <v>1.044209454342095</v>
      </c>
      <c r="L125" s="527">
        <f ca="1">L121</f>
        <v>1.044209454342095</v>
      </c>
      <c r="M125" s="535" t="s">
        <v>336</v>
      </c>
      <c r="N125" s="527">
        <f ca="1">N121</f>
        <v>1.044209454342095</v>
      </c>
      <c r="O125" s="527">
        <f ca="1">O121</f>
        <v>1.044209454342095</v>
      </c>
      <c r="P125" s="535" t="s">
        <v>336</v>
      </c>
    </row>
    <row r="126" spans="1:39" x14ac:dyDescent="0.25">
      <c r="A126" s="348" t="s">
        <v>722</v>
      </c>
      <c r="B126" s="348" t="s">
        <v>793</v>
      </c>
      <c r="C126" s="466">
        <f ca="1">SUM(C123:C125)</f>
        <v>2.6684158267578719</v>
      </c>
      <c r="D126" s="466">
        <f ca="1">SUM(D123:D125)</f>
        <v>2.4142540136522959</v>
      </c>
      <c r="E126" s="466">
        <f ca="1">SUM(E123:E125)</f>
        <v>2.2487964335422794</v>
      </c>
      <c r="F126" s="534" t="s">
        <v>336</v>
      </c>
      <c r="G126" s="466">
        <f ca="1">SUM(G123:G125)</f>
        <v>2.3909733831699613</v>
      </c>
      <c r="H126" s="466">
        <f ca="1">SUM(H123:H125)</f>
        <v>2.2103602738481571</v>
      </c>
      <c r="I126" s="534" t="s">
        <v>336</v>
      </c>
      <c r="J126" s="466">
        <f ca="1">SUM(J123:J125)</f>
        <v>4.1283922370161692</v>
      </c>
      <c r="K126" s="466">
        <f ca="1">SUM(K123:K125)</f>
        <v>4.1881469374787859</v>
      </c>
      <c r="L126" s="466">
        <f ca="1">SUM(L123:L125)</f>
        <v>4.2094462547359326</v>
      </c>
      <c r="M126" s="534" t="s">
        <v>336</v>
      </c>
      <c r="N126" s="466">
        <f ca="1">SUM(N123:N125)</f>
        <v>4.1685953654086232</v>
      </c>
      <c r="O126" s="466">
        <f ca="1">SUM(O123:O125)</f>
        <v>4.1828600994967013</v>
      </c>
      <c r="P126" s="534" t="s">
        <v>336</v>
      </c>
    </row>
    <row r="127" spans="1:39" x14ac:dyDescent="0.25">
      <c r="A127" s="363" t="s">
        <v>794</v>
      </c>
      <c r="B127" s="363" t="s">
        <v>793</v>
      </c>
      <c r="C127" s="532">
        <f ca="1">C122-C126</f>
        <v>0</v>
      </c>
      <c r="D127" s="532">
        <f ca="1">D122-D126</f>
        <v>0.25416181310557606</v>
      </c>
      <c r="E127" s="532">
        <f ca="1">E122-E126</f>
        <v>0.4196193932155925</v>
      </c>
      <c r="F127" s="533" t="s">
        <v>336</v>
      </c>
      <c r="G127" s="532">
        <f ca="1">G122-G126</f>
        <v>0.27744244358791059</v>
      </c>
      <c r="H127" s="532">
        <f ca="1">H122-H126</f>
        <v>0.45805555290971478</v>
      </c>
      <c r="I127" s="533" t="s">
        <v>336</v>
      </c>
      <c r="J127" s="532">
        <f ca="1">J122-J126</f>
        <v>0</v>
      </c>
      <c r="K127" s="532">
        <f ca="1">K122-K126</f>
        <v>-5.9754700462616661E-2</v>
      </c>
      <c r="L127" s="532">
        <f ca="1">L122-L126</f>
        <v>-8.1054017719763394E-2</v>
      </c>
      <c r="M127" s="533" t="s">
        <v>336</v>
      </c>
      <c r="N127" s="532">
        <f ca="1">N122-N126</f>
        <v>-4.0203128392453991E-2</v>
      </c>
      <c r="O127" s="532">
        <f ca="1">O122-O126</f>
        <v>-5.4467862480532148E-2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4FB6-05F8-45B3-9A40-580B54728D55}">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2025</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2025 Baseline NA Area PM2.5 Emissions (tpd) by Curtailment Regime</v>
      </c>
      <c r="D4" s="840"/>
      <c r="E4" s="840"/>
      <c r="F4" s="840"/>
      <c r="G4" s="840"/>
      <c r="H4" s="840"/>
      <c r="I4" s="840"/>
      <c r="J4" s="840" t="str">
        <f>$B$2&amp;" Baseline NA Area SO2 Emissions (tpd) by Curtailment Regime"</f>
        <v>2025 Baseline NA Area SO2 Emissions (tpd) by Curtailment Regime</v>
      </c>
      <c r="K4" s="840"/>
      <c r="L4" s="840"/>
      <c r="M4" s="840"/>
      <c r="N4" s="840"/>
      <c r="O4" s="840"/>
      <c r="P4" s="840"/>
      <c r="Q4" s="840" t="str">
        <f>$B$2&amp;" Baseline NA Area Energy Use (mmBTU) by Curtailment Regime"</f>
        <v>2025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0.68797890129022443</v>
      </c>
      <c r="D6" s="133">
        <f ca="1">INDIRECT("'DevSumOut-"&amp;$B$2&amp;"BSR'!R50")</f>
        <v>0.68797890129022443</v>
      </c>
      <c r="E6" s="133">
        <f ca="1">INDIRECT("'DevSumOut-"&amp;$B$2&amp;"BSR'!R50")</f>
        <v>0.68797890129022443</v>
      </c>
      <c r="F6" s="551" t="s">
        <v>336</v>
      </c>
      <c r="G6" s="133">
        <f ca="1">INDIRECT("'DevSumOut-"&amp;$B$2&amp;"BSR'!R50")</f>
        <v>0.68797890129022443</v>
      </c>
      <c r="H6" s="133">
        <f ca="1">INDIRECT("'DevSumOut-"&amp;$B$2&amp;"BSR'!R50")</f>
        <v>0.68797890129022443</v>
      </c>
      <c r="I6" s="551" t="s">
        <v>336</v>
      </c>
      <c r="J6" s="133">
        <f ca="1">INDIRECT("'DevSumOut-"&amp;$B$2&amp;"BSR'!P50")</f>
        <v>7.9535133097135731E-3</v>
      </c>
      <c r="K6" s="133">
        <f ca="1">INDIRECT("'DevSumOut-"&amp;$B$2&amp;"BSR'!P50")</f>
        <v>7.9535133097135731E-3</v>
      </c>
      <c r="L6" s="133">
        <f ca="1">INDIRECT("'DevSumOut-"&amp;$B$2&amp;"BSR'!P50")</f>
        <v>7.9535133097135731E-3</v>
      </c>
      <c r="M6" s="551" t="s">
        <v>336</v>
      </c>
      <c r="N6" s="133">
        <f ca="1">INDIRECT("'DevSumOut-"&amp;$B$2&amp;"BSR'!P50")</f>
        <v>7.9535133097135731E-3</v>
      </c>
      <c r="O6" s="133">
        <f ca="1">INDIRECT("'DevSumOut-"&amp;$B$2&amp;"BSR'!P50")</f>
        <v>7.9535133097135731E-3</v>
      </c>
      <c r="P6" s="551" t="s">
        <v>336</v>
      </c>
      <c r="Q6" s="45">
        <f ca="1">INDIRECT("'DevSumOut-"&amp;$B$2&amp;"BSR'!U50")</f>
        <v>638.58731876261345</v>
      </c>
      <c r="R6" s="45">
        <f ca="1">INDIRECT("'DevSumOut-"&amp;$B$2&amp;"BSR'!U50")</f>
        <v>638.58731876261345</v>
      </c>
      <c r="S6" s="45">
        <f ca="1">INDIRECT("'DevSumOut-"&amp;$B$2&amp;"BSR'!U50")</f>
        <v>638.58731876261345</v>
      </c>
      <c r="T6" s="581" t="s">
        <v>336</v>
      </c>
      <c r="U6" s="45">
        <f ca="1">INDIRECT("'DevSumOut-"&amp;$B$2&amp;"BSR'!U50")</f>
        <v>638.58731876261345</v>
      </c>
      <c r="V6" s="45">
        <f ca="1">INDIRECT("'DevSumOut-"&amp;$B$2&amp;"BSR'!U50")</f>
        <v>638.58731876261345</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2">
        <v>2104008210</v>
      </c>
      <c r="B7" s="812" t="s">
        <v>138</v>
      </c>
      <c r="C7" s="133">
        <f ca="1">INDIRECT("'DevSumOut-"&amp;$B$2&amp;"BSR'!R51")</f>
        <v>5.369267095242003E-2</v>
      </c>
      <c r="D7" s="133">
        <f ca="1">INDIRECT("'DevSumOut-"&amp;$B$2&amp;"BSR'!R51")</f>
        <v>5.369267095242003E-2</v>
      </c>
      <c r="E7" s="133">
        <f ca="1">INDIRECT("'DevSumOut-"&amp;$B$2&amp;"BSR'!R51")</f>
        <v>5.369267095242003E-2</v>
      </c>
      <c r="F7" s="551" t="s">
        <v>336</v>
      </c>
      <c r="G7" s="133">
        <f ca="1">INDIRECT("'DevSumOut-"&amp;$B$2&amp;"BSR'!R51")</f>
        <v>5.369267095242003E-2</v>
      </c>
      <c r="H7" s="133">
        <f ca="1">INDIRECT("'DevSumOut-"&amp;$B$2&amp;"BSR'!R51")</f>
        <v>5.369267095242003E-2</v>
      </c>
      <c r="I7" s="551" t="s">
        <v>336</v>
      </c>
      <c r="J7" s="133">
        <f ca="1">INDIRECT("'DevSumOut-"&amp;$B$2&amp;"BSR'!P51")</f>
        <v>7.0186497977019603E-4</v>
      </c>
      <c r="K7" s="133">
        <f ca="1">INDIRECT("'DevSumOut-"&amp;$B$2&amp;"BSR'!P51")</f>
        <v>7.0186497977019603E-4</v>
      </c>
      <c r="L7" s="133">
        <f ca="1">INDIRECT("'DevSumOut-"&amp;$B$2&amp;"BSR'!P51")</f>
        <v>7.0186497977019603E-4</v>
      </c>
      <c r="M7" s="551" t="s">
        <v>336</v>
      </c>
      <c r="N7" s="133">
        <f ca="1">INDIRECT("'DevSumOut-"&amp;$B$2&amp;"BSR'!P51")</f>
        <v>7.0186497977019603E-4</v>
      </c>
      <c r="O7" s="133">
        <f ca="1">INDIRECT("'DevSumOut-"&amp;$B$2&amp;"BSR'!P51")</f>
        <v>7.0186497977019603E-4</v>
      </c>
      <c r="P7" s="551" t="s">
        <v>336</v>
      </c>
      <c r="Q7" s="45">
        <f ca="1">INDIRECT("'DevSumOut-"&amp;$B$2&amp;"BSR'!U51")</f>
        <v>56.342675924527434</v>
      </c>
      <c r="R7" s="45">
        <f ca="1">INDIRECT("'DevSumOut-"&amp;$B$2&amp;"BSR'!U51")</f>
        <v>56.342675924527434</v>
      </c>
      <c r="S7" s="45">
        <f ca="1">INDIRECT("'DevSumOut-"&amp;$B$2&amp;"BSR'!U51")</f>
        <v>56.342675924527434</v>
      </c>
      <c r="T7" s="581" t="s">
        <v>336</v>
      </c>
      <c r="U7" s="45">
        <f ca="1">INDIRECT("'DevSumOut-"&amp;$B$2&amp;"BSR'!U51")</f>
        <v>56.342675924527434</v>
      </c>
      <c r="V7" s="45">
        <f ca="1">INDIRECT("'DevSumOut-"&amp;$B$2&amp;"BSR'!U51")</f>
        <v>56.342675924527434</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2">
        <v>2104008220</v>
      </c>
      <c r="B8" s="812" t="s">
        <v>139</v>
      </c>
      <c r="C8" s="133">
        <f ca="1">INDIRECT("'DevSumOut-"&amp;$B$2&amp;"BSR'!R52")</f>
        <v>4.4331539216849465E-2</v>
      </c>
      <c r="D8" s="133">
        <f ca="1">INDIRECT("'DevSumOut-"&amp;$B$2&amp;"BSR'!R52")</f>
        <v>4.4331539216849465E-2</v>
      </c>
      <c r="E8" s="133">
        <f ca="1">INDIRECT("'DevSumOut-"&amp;$B$2&amp;"BSR'!R52")</f>
        <v>4.4331539216849465E-2</v>
      </c>
      <c r="F8" s="551" t="s">
        <v>336</v>
      </c>
      <c r="G8" s="133">
        <f ca="1">INDIRECT("'DevSumOut-"&amp;$B$2&amp;"BSR'!R52")</f>
        <v>4.4331539216849465E-2</v>
      </c>
      <c r="H8" s="133">
        <f ca="1">INDIRECT("'DevSumOut-"&amp;$B$2&amp;"BSR'!R52")</f>
        <v>4.4331539216849465E-2</v>
      </c>
      <c r="I8" s="551" t="s">
        <v>336</v>
      </c>
      <c r="J8" s="133">
        <f ca="1">INDIRECT("'DevSumOut-"&amp;$B$2&amp;"BSR'!P52")</f>
        <v>1.4777179738949824E-3</v>
      </c>
      <c r="K8" s="133">
        <f ca="1">INDIRECT("'DevSumOut-"&amp;$B$2&amp;"BSR'!P52")</f>
        <v>1.4777179738949824E-3</v>
      </c>
      <c r="L8" s="133">
        <f ca="1">INDIRECT("'DevSumOut-"&amp;$B$2&amp;"BSR'!P52")</f>
        <v>1.4777179738949824E-3</v>
      </c>
      <c r="M8" s="551" t="s">
        <v>336</v>
      </c>
      <c r="N8" s="133">
        <f ca="1">INDIRECT("'DevSumOut-"&amp;$B$2&amp;"BSR'!P52")</f>
        <v>1.4777179738949824E-3</v>
      </c>
      <c r="O8" s="133">
        <f ca="1">INDIRECT("'DevSumOut-"&amp;$B$2&amp;"BSR'!P52")</f>
        <v>1.4777179738949824E-3</v>
      </c>
      <c r="P8" s="551" t="s">
        <v>336</v>
      </c>
      <c r="Q8" s="45">
        <f ca="1">INDIRECT("'DevSumOut-"&amp;$B$2&amp;"BSR'!U52")</f>
        <v>118.62478868553133</v>
      </c>
      <c r="R8" s="45">
        <f ca="1">INDIRECT("'DevSumOut-"&amp;$B$2&amp;"BSR'!U52")</f>
        <v>118.62478868553133</v>
      </c>
      <c r="S8" s="45">
        <f ca="1">INDIRECT("'DevSumOut-"&amp;$B$2&amp;"BSR'!U52")</f>
        <v>118.62478868553133</v>
      </c>
      <c r="T8" s="581" t="s">
        <v>336</v>
      </c>
      <c r="U8" s="45">
        <f ca="1">INDIRECT("'DevSumOut-"&amp;$B$2&amp;"BSR'!U52")</f>
        <v>118.62478868553133</v>
      </c>
      <c r="V8" s="45">
        <f ca="1">INDIRECT("'DevSumOut-"&amp;$B$2&amp;"BSR'!U52")</f>
        <v>118.62478868553133</v>
      </c>
      <c r="W8" s="581" t="s">
        <v>336</v>
      </c>
      <c r="X8" s="133">
        <f t="shared" ca="1" si="0"/>
        <v>0.74742454267919101</v>
      </c>
      <c r="Y8" s="133">
        <f t="shared" ca="1" si="0"/>
        <v>0.74742454267919101</v>
      </c>
      <c r="Z8" s="133">
        <f t="shared" ca="1" si="0"/>
        <v>0.74742454267919101</v>
      </c>
      <c r="AA8" s="133"/>
      <c r="AB8" s="133">
        <f t="shared" ca="1" si="1"/>
        <v>0.74742454267919101</v>
      </c>
      <c r="AC8" s="133">
        <f t="shared" ca="1" si="1"/>
        <v>0.74742454267919101</v>
      </c>
    </row>
    <row r="9" spans="1:29" x14ac:dyDescent="0.25">
      <c r="A9" s="812">
        <v>2104008230</v>
      </c>
      <c r="B9" s="812" t="s">
        <v>140</v>
      </c>
      <c r="C9" s="133">
        <f ca="1">INDIRECT("'DevSumOut-"&amp;$B$2&amp;"BSR'!R53")</f>
        <v>2.8915068515073722E-2</v>
      </c>
      <c r="D9" s="133">
        <f ca="1">INDIRECT("'DevSumOut-"&amp;$B$2&amp;"BSR'!R53")</f>
        <v>2.8915068515073722E-2</v>
      </c>
      <c r="E9" s="133">
        <f ca="1">INDIRECT("'DevSumOut-"&amp;$B$2&amp;"BSR'!R53")</f>
        <v>2.8915068515073722E-2</v>
      </c>
      <c r="F9" s="551" t="s">
        <v>336</v>
      </c>
      <c r="G9" s="133">
        <f ca="1">INDIRECT("'DevSumOut-"&amp;$B$2&amp;"BSR'!R53")</f>
        <v>2.8915068515073722E-2</v>
      </c>
      <c r="H9" s="133">
        <f ca="1">INDIRECT("'DevSumOut-"&amp;$B$2&amp;"BSR'!R53")</f>
        <v>2.8915068515073722E-2</v>
      </c>
      <c r="I9" s="551" t="s">
        <v>336</v>
      </c>
      <c r="J9" s="133">
        <f ca="1">INDIRECT("'DevSumOut-"&amp;$B$2&amp;"BSR'!P53")</f>
        <v>8.8969441584842211E-4</v>
      </c>
      <c r="K9" s="133">
        <f ca="1">INDIRECT("'DevSumOut-"&amp;$B$2&amp;"BSR'!P53")</f>
        <v>8.8969441584842211E-4</v>
      </c>
      <c r="L9" s="133">
        <f ca="1">INDIRECT("'DevSumOut-"&amp;$B$2&amp;"BSR'!P53")</f>
        <v>8.8969441584842211E-4</v>
      </c>
      <c r="M9" s="551" t="s">
        <v>336</v>
      </c>
      <c r="N9" s="133">
        <f ca="1">INDIRECT("'DevSumOut-"&amp;$B$2&amp;"BSR'!P53")</f>
        <v>8.8969441584842211E-4</v>
      </c>
      <c r="O9" s="133">
        <f ca="1">INDIRECT("'DevSumOut-"&amp;$B$2&amp;"BSR'!P53")</f>
        <v>8.8969441584842211E-4</v>
      </c>
      <c r="P9" s="551" t="s">
        <v>336</v>
      </c>
      <c r="Q9" s="45">
        <f ca="1">INDIRECT("'DevSumOut-"&amp;$B$2&amp;"BSR'!U53")</f>
        <v>71.420808259192725</v>
      </c>
      <c r="R9" s="45">
        <f ca="1">INDIRECT("'DevSumOut-"&amp;$B$2&amp;"BSR'!U53")</f>
        <v>71.420808259192725</v>
      </c>
      <c r="S9" s="45">
        <f ca="1">INDIRECT("'DevSumOut-"&amp;$B$2&amp;"BSR'!U53")</f>
        <v>71.420808259192725</v>
      </c>
      <c r="T9" s="581" t="s">
        <v>336</v>
      </c>
      <c r="U9" s="45">
        <f ca="1">INDIRECT("'DevSumOut-"&amp;$B$2&amp;"BSR'!U53")</f>
        <v>71.420808259192725</v>
      </c>
      <c r="V9" s="45">
        <f ca="1">INDIRECT("'DevSumOut-"&amp;$B$2&amp;"BSR'!U53")</f>
        <v>71.420808259192725</v>
      </c>
      <c r="W9" s="581" t="s">
        <v>336</v>
      </c>
      <c r="X9" s="133">
        <f t="shared" ca="1" si="0"/>
        <v>0.80970992123579055</v>
      </c>
      <c r="Y9" s="133">
        <f t="shared" ca="1" si="0"/>
        <v>0.80970992123579055</v>
      </c>
      <c r="Z9" s="133">
        <f t="shared" ca="1" si="0"/>
        <v>0.80970992123579055</v>
      </c>
      <c r="AA9" s="133"/>
      <c r="AB9" s="133">
        <f t="shared" ca="1" si="1"/>
        <v>0.80970992123579055</v>
      </c>
      <c r="AC9" s="133">
        <f t="shared" ca="1" si="1"/>
        <v>0.80970992123579055</v>
      </c>
    </row>
    <row r="10" spans="1:29" x14ac:dyDescent="0.25">
      <c r="A10" s="812">
        <v>2104008310</v>
      </c>
      <c r="B10" s="812" t="s">
        <v>141</v>
      </c>
      <c r="C10" s="133">
        <f ca="1">INDIRECT("'DevSumOut-"&amp;$B$2&amp;"BSR'!R54")</f>
        <v>0.43237167986007563</v>
      </c>
      <c r="D10" s="133">
        <f ca="1">INDIRECT("'DevSumOut-"&amp;$B$2&amp;"BSR'!R54")</f>
        <v>0.43237167986007563</v>
      </c>
      <c r="E10" s="133">
        <f ca="1">INDIRECT("'DevSumOut-"&amp;$B$2&amp;"BSR'!R54")</f>
        <v>0.43237167986007563</v>
      </c>
      <c r="F10" s="551" t="s">
        <v>336</v>
      </c>
      <c r="G10" s="133">
        <f ca="1">INDIRECT("'DevSumOut-"&amp;$B$2&amp;"BSR'!R54")</f>
        <v>0.43237167986007563</v>
      </c>
      <c r="H10" s="133">
        <f ca="1">INDIRECT("'DevSumOut-"&amp;$B$2&amp;"BSR'!R54")</f>
        <v>0.43237167986007563</v>
      </c>
      <c r="I10" s="551" t="s">
        <v>336</v>
      </c>
      <c r="J10" s="133">
        <f ca="1">INDIRECT("'DevSumOut-"&amp;$B$2&amp;"BSR'!P54")</f>
        <v>1.4243802782455371E-2</v>
      </c>
      <c r="K10" s="133">
        <f ca="1">INDIRECT("'DevSumOut-"&amp;$B$2&amp;"BSR'!P54")</f>
        <v>1.4243802782455371E-2</v>
      </c>
      <c r="L10" s="133">
        <f ca="1">INDIRECT("'DevSumOut-"&amp;$B$2&amp;"BSR'!P54")</f>
        <v>1.4243802782455371E-2</v>
      </c>
      <c r="M10" s="551" t="s">
        <v>336</v>
      </c>
      <c r="N10" s="133">
        <f ca="1">INDIRECT("'DevSumOut-"&amp;$B$2&amp;"BSR'!P54")</f>
        <v>1.4243802782455371E-2</v>
      </c>
      <c r="O10" s="133">
        <f ca="1">INDIRECT("'DevSumOut-"&amp;$B$2&amp;"BSR'!P54")</f>
        <v>1.4243802782455371E-2</v>
      </c>
      <c r="P10" s="551" t="s">
        <v>336</v>
      </c>
      <c r="Q10" s="45">
        <f ca="1">INDIRECT("'DevSumOut-"&amp;$B$2&amp;"BSR'!U54")</f>
        <v>1143.4306985476455</v>
      </c>
      <c r="R10" s="45">
        <f ca="1">INDIRECT("'DevSumOut-"&amp;$B$2&amp;"BSR'!U54")</f>
        <v>1143.4306985476455</v>
      </c>
      <c r="S10" s="45">
        <f ca="1">INDIRECT("'DevSumOut-"&amp;$B$2&amp;"BSR'!U54")</f>
        <v>1143.4306985476455</v>
      </c>
      <c r="T10" s="581" t="s">
        <v>336</v>
      </c>
      <c r="U10" s="45">
        <f ca="1">INDIRECT("'DevSumOut-"&amp;$B$2&amp;"BSR'!U54")</f>
        <v>1143.4306985476455</v>
      </c>
      <c r="V10" s="45">
        <f ca="1">INDIRECT("'DevSumOut-"&amp;$B$2&amp;"BSR'!U54")</f>
        <v>1143.4306985476455</v>
      </c>
      <c r="W10" s="581" t="s">
        <v>336</v>
      </c>
      <c r="X10" s="133">
        <f t="shared" ca="1" si="0"/>
        <v>0.75627089671330727</v>
      </c>
      <c r="Y10" s="133">
        <f t="shared" ca="1" si="0"/>
        <v>0.75627089671330727</v>
      </c>
      <c r="Z10" s="133">
        <f t="shared" ca="1" si="0"/>
        <v>0.75627089671330727</v>
      </c>
      <c r="AA10" s="133"/>
      <c r="AB10" s="133">
        <f t="shared" ca="1" si="1"/>
        <v>0.75627089671330727</v>
      </c>
      <c r="AC10" s="133">
        <f t="shared" ca="1" si="1"/>
        <v>0.75627089671330727</v>
      </c>
    </row>
    <row r="11" spans="1:29" x14ac:dyDescent="0.25">
      <c r="A11" s="812">
        <v>2104008320</v>
      </c>
      <c r="B11" s="812" t="s">
        <v>142</v>
      </c>
      <c r="C11" s="133">
        <f ca="1">INDIRECT("'DevSumOut-"&amp;$B$2&amp;"BSR'!R55")</f>
        <v>0.59416912152270285</v>
      </c>
      <c r="D11" s="133">
        <f ca="1">INDIRECT("'DevSumOut-"&amp;$B$2&amp;"BSR'!R55")</f>
        <v>0.59416912152270285</v>
      </c>
      <c r="E11" s="133">
        <f ca="1">INDIRECT("'DevSumOut-"&amp;$B$2&amp;"BSR'!R55")</f>
        <v>0.59416912152270285</v>
      </c>
      <c r="F11" s="551" t="s">
        <v>336</v>
      </c>
      <c r="G11" s="133">
        <f ca="1">INDIRECT("'DevSumOut-"&amp;$B$2&amp;"BSR'!R55")</f>
        <v>0.59416912152270285</v>
      </c>
      <c r="H11" s="133">
        <f ca="1">INDIRECT("'DevSumOut-"&amp;$B$2&amp;"BSR'!R55")</f>
        <v>0.59416912152270285</v>
      </c>
      <c r="I11" s="551" t="s">
        <v>336</v>
      </c>
      <c r="J11" s="133">
        <f ca="1">INDIRECT("'DevSumOut-"&amp;$B$2&amp;"BSR'!P55")</f>
        <v>2.9989134655416586E-2</v>
      </c>
      <c r="K11" s="133">
        <f ca="1">INDIRECT("'DevSumOut-"&amp;$B$2&amp;"BSR'!P55")</f>
        <v>2.9989134655416586E-2</v>
      </c>
      <c r="L11" s="133">
        <f ca="1">INDIRECT("'DevSumOut-"&amp;$B$2&amp;"BSR'!P55")</f>
        <v>2.9989134655416586E-2</v>
      </c>
      <c r="M11" s="551" t="s">
        <v>336</v>
      </c>
      <c r="N11" s="133">
        <f ca="1">INDIRECT("'DevSumOut-"&amp;$B$2&amp;"BSR'!P55")</f>
        <v>2.9989134655416586E-2</v>
      </c>
      <c r="O11" s="133">
        <f ca="1">INDIRECT("'DevSumOut-"&amp;$B$2&amp;"BSR'!P55")</f>
        <v>2.9989134655416586E-2</v>
      </c>
      <c r="P11" s="551" t="s">
        <v>336</v>
      </c>
      <c r="Q11" s="45">
        <f ca="1">INDIRECT("'DevSumOut-"&amp;$B$2&amp;"BSR'!U55")</f>
        <v>2407.3976389310387</v>
      </c>
      <c r="R11" s="45">
        <f ca="1">INDIRECT("'DevSumOut-"&amp;$B$2&amp;"BSR'!U55")</f>
        <v>2407.3976389310387</v>
      </c>
      <c r="S11" s="45">
        <f ca="1">INDIRECT("'DevSumOut-"&amp;$B$2&amp;"BSR'!U55")</f>
        <v>2407.3976389310387</v>
      </c>
      <c r="T11" s="581" t="s">
        <v>336</v>
      </c>
      <c r="U11" s="45">
        <f ca="1">INDIRECT("'DevSumOut-"&amp;$B$2&amp;"BSR'!U55")</f>
        <v>2407.3976389310387</v>
      </c>
      <c r="V11" s="45">
        <f ca="1">INDIRECT("'DevSumOut-"&amp;$B$2&amp;"BSR'!U55")</f>
        <v>2407.3976389310387</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2">
        <v>2104008330</v>
      </c>
      <c r="B12" s="812" t="s">
        <v>143</v>
      </c>
      <c r="C12" s="133">
        <f ca="1">INDIRECT("'DevSumOut-"&amp;$B$2&amp;"BSR'!R56")</f>
        <v>0.39693696599778167</v>
      </c>
      <c r="D12" s="133">
        <f ca="1">INDIRECT("'DevSumOut-"&amp;$B$2&amp;"BSR'!R56")</f>
        <v>0.39693696599778167</v>
      </c>
      <c r="E12" s="133">
        <f ca="1">INDIRECT("'DevSumOut-"&amp;$B$2&amp;"BSR'!R56")</f>
        <v>0.39693696599778167</v>
      </c>
      <c r="F12" s="551" t="s">
        <v>336</v>
      </c>
      <c r="G12" s="133">
        <f ca="1">INDIRECT("'DevSumOut-"&amp;$B$2&amp;"BSR'!R56")</f>
        <v>0.39693696599778167</v>
      </c>
      <c r="H12" s="133">
        <f ca="1">INDIRECT("'DevSumOut-"&amp;$B$2&amp;"BSR'!R56")</f>
        <v>0.39693696599778167</v>
      </c>
      <c r="I12" s="551" t="s">
        <v>336</v>
      </c>
      <c r="J12" s="133">
        <f ca="1">INDIRECT("'DevSumOut-"&amp;$B$2&amp;"BSR'!P56")</f>
        <v>1.8055654807205244E-2</v>
      </c>
      <c r="K12" s="133">
        <f ca="1">INDIRECT("'DevSumOut-"&amp;$B$2&amp;"BSR'!P56")</f>
        <v>1.8055654807205244E-2</v>
      </c>
      <c r="L12" s="133">
        <f ca="1">INDIRECT("'DevSumOut-"&amp;$B$2&amp;"BSR'!P56")</f>
        <v>1.8055654807205244E-2</v>
      </c>
      <c r="M12" s="551" t="s">
        <v>336</v>
      </c>
      <c r="N12" s="133">
        <f ca="1">INDIRECT("'DevSumOut-"&amp;$B$2&amp;"BSR'!P56")</f>
        <v>1.8055654807205244E-2</v>
      </c>
      <c r="O12" s="133">
        <f ca="1">INDIRECT("'DevSumOut-"&amp;$B$2&amp;"BSR'!P56")</f>
        <v>1.8055654807205244E-2</v>
      </c>
      <c r="P12" s="551" t="s">
        <v>336</v>
      </c>
      <c r="Q12" s="45">
        <f ca="1">INDIRECT("'DevSumOut-"&amp;$B$2&amp;"BSR'!U56")</f>
        <v>1449.4296434915236</v>
      </c>
      <c r="R12" s="45">
        <f ca="1">INDIRECT("'DevSumOut-"&amp;$B$2&amp;"BSR'!U56")</f>
        <v>1449.4296434915236</v>
      </c>
      <c r="S12" s="45">
        <f ca="1">INDIRECT("'DevSumOut-"&amp;$B$2&amp;"BSR'!U56")</f>
        <v>1449.4296434915236</v>
      </c>
      <c r="T12" s="581" t="s">
        <v>336</v>
      </c>
      <c r="U12" s="45">
        <f ca="1">INDIRECT("'DevSumOut-"&amp;$B$2&amp;"BSR'!U56")</f>
        <v>1449.4296434915236</v>
      </c>
      <c r="V12" s="45">
        <f ca="1">INDIRECT("'DevSumOut-"&amp;$B$2&amp;"BSR'!U56")</f>
        <v>1449.4296434915236</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2">
        <v>2104008410</v>
      </c>
      <c r="B13" s="812" t="s">
        <v>144</v>
      </c>
      <c r="C13" s="133">
        <f ca="1">INDIRECT("'DevSumOut-"&amp;$B$2&amp;"BSR'!R57")</f>
        <v>1.4646455514193895E-2</v>
      </c>
      <c r="D13" s="133">
        <f ca="1">INDIRECT("'DevSumOut-"&amp;$B$2&amp;"BSR'!R57")</f>
        <v>1.4646455514193895E-2</v>
      </c>
      <c r="E13" s="133">
        <f ca="1">INDIRECT("'DevSumOut-"&amp;$B$2&amp;"BSR'!R57")</f>
        <v>1.4646455514193895E-2</v>
      </c>
      <c r="F13" s="551" t="s">
        <v>336</v>
      </c>
      <c r="G13" s="133">
        <f ca="1">INDIRECT("'DevSumOut-"&amp;$B$2&amp;"BSR'!R57")</f>
        <v>1.4646455514193895E-2</v>
      </c>
      <c r="H13" s="133">
        <f ca="1">INDIRECT("'DevSumOut-"&amp;$B$2&amp;"BSR'!R57")</f>
        <v>1.4646455514193895E-2</v>
      </c>
      <c r="I13" s="551" t="s">
        <v>336</v>
      </c>
      <c r="J13" s="133">
        <f ca="1">INDIRECT("'DevSumOut-"&amp;$B$2&amp;"BSR'!P57")</f>
        <v>1.5834005961290702E-3</v>
      </c>
      <c r="K13" s="133">
        <f ca="1">INDIRECT("'DevSumOut-"&amp;$B$2&amp;"BSR'!P57")</f>
        <v>1.5834005961290702E-3</v>
      </c>
      <c r="L13" s="133">
        <f ca="1">INDIRECT("'DevSumOut-"&amp;$B$2&amp;"BSR'!P57")</f>
        <v>1.5834005961290702E-3</v>
      </c>
      <c r="M13" s="551" t="s">
        <v>336</v>
      </c>
      <c r="N13" s="133">
        <f ca="1">INDIRECT("'DevSumOut-"&amp;$B$2&amp;"BSR'!P57")</f>
        <v>1.5834005961290702E-3</v>
      </c>
      <c r="O13" s="133">
        <f ca="1">INDIRECT("'DevSumOut-"&amp;$B$2&amp;"BSR'!P57")</f>
        <v>1.5834005961290702E-3</v>
      </c>
      <c r="P13" s="551" t="s">
        <v>336</v>
      </c>
      <c r="Q13" s="45">
        <f ca="1">INDIRECT("'DevSumOut-"&amp;$B$2&amp;"BSR'!U57")</f>
        <v>151.79093054236077</v>
      </c>
      <c r="R13" s="45">
        <f ca="1">INDIRECT("'DevSumOut-"&amp;$B$2&amp;"BSR'!U57")</f>
        <v>151.79093054236077</v>
      </c>
      <c r="S13" s="45">
        <f ca="1">INDIRECT("'DevSumOut-"&amp;$B$2&amp;"BSR'!U57")</f>
        <v>151.79093054236077</v>
      </c>
      <c r="T13" s="581" t="s">
        <v>336</v>
      </c>
      <c r="U13" s="45">
        <f ca="1">INDIRECT("'DevSumOut-"&amp;$B$2&amp;"BSR'!U57")</f>
        <v>151.79093054236077</v>
      </c>
      <c r="V13" s="45">
        <f ca="1">INDIRECT("'DevSumOut-"&amp;$B$2&amp;"BSR'!U57")</f>
        <v>151.79093054236077</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2">
        <v>2104008420</v>
      </c>
      <c r="B14" s="812" t="s">
        <v>145</v>
      </c>
      <c r="C14" s="133">
        <f ca="1">INDIRECT("'DevSumOut-"&amp;$B$2&amp;"BSR'!R58")</f>
        <v>4.9402949640657681E-2</v>
      </c>
      <c r="D14" s="133">
        <f ca="1">INDIRECT("'DevSumOut-"&amp;$B$2&amp;"BSR'!R58")</f>
        <v>4.9402949640657681E-2</v>
      </c>
      <c r="E14" s="133">
        <f ca="1">INDIRECT("'DevSumOut-"&amp;$B$2&amp;"BSR'!R58")</f>
        <v>4.9402949640657681E-2</v>
      </c>
      <c r="F14" s="551" t="s">
        <v>336</v>
      </c>
      <c r="G14" s="133">
        <f ca="1">INDIRECT("'DevSumOut-"&amp;$B$2&amp;"BSR'!R58")</f>
        <v>4.9402949640657681E-2</v>
      </c>
      <c r="H14" s="133">
        <f ca="1">INDIRECT("'DevSumOut-"&amp;$B$2&amp;"BSR'!R58")</f>
        <v>4.9402949640657681E-2</v>
      </c>
      <c r="I14" s="551" t="s">
        <v>336</v>
      </c>
      <c r="J14" s="133">
        <f ca="1">INDIRECT("'DevSumOut-"&amp;$B$2&amp;"BSR'!P58")</f>
        <v>5.3408594206116426E-3</v>
      </c>
      <c r="K14" s="133">
        <f ca="1">INDIRECT("'DevSumOut-"&amp;$B$2&amp;"BSR'!P58")</f>
        <v>5.3408594206116426E-3</v>
      </c>
      <c r="L14" s="133">
        <f ca="1">INDIRECT("'DevSumOut-"&amp;$B$2&amp;"BSR'!P58")</f>
        <v>5.3408594206116426E-3</v>
      </c>
      <c r="M14" s="551" t="s">
        <v>336</v>
      </c>
      <c r="N14" s="133">
        <f ca="1">INDIRECT("'DevSumOut-"&amp;$B$2&amp;"BSR'!P58")</f>
        <v>5.3408594206116426E-3</v>
      </c>
      <c r="O14" s="133">
        <f ca="1">INDIRECT("'DevSumOut-"&amp;$B$2&amp;"BSR'!P58")</f>
        <v>5.3408594206116426E-3</v>
      </c>
      <c r="P14" s="551" t="s">
        <v>336</v>
      </c>
      <c r="Q14" s="45">
        <f ca="1">INDIRECT("'DevSumOut-"&amp;$B$2&amp;"BSR'!U58")</f>
        <v>511.99552616847171</v>
      </c>
      <c r="R14" s="45">
        <f ca="1">INDIRECT("'DevSumOut-"&amp;$B$2&amp;"BSR'!U58")</f>
        <v>511.99552616847171</v>
      </c>
      <c r="S14" s="45">
        <f ca="1">INDIRECT("'DevSumOut-"&amp;$B$2&amp;"BSR'!U58")</f>
        <v>511.99552616847171</v>
      </c>
      <c r="T14" s="581" t="s">
        <v>336</v>
      </c>
      <c r="U14" s="45">
        <f ca="1">INDIRECT("'DevSumOut-"&amp;$B$2&amp;"BSR'!U58")</f>
        <v>511.99552616847171</v>
      </c>
      <c r="V14" s="45">
        <f ca="1">INDIRECT("'DevSumOut-"&amp;$B$2&amp;"BSR'!U58")</f>
        <v>511.99552616847171</v>
      </c>
      <c r="W14" s="581" t="s">
        <v>336</v>
      </c>
      <c r="X14" s="133">
        <f t="shared" ca="1" si="0"/>
        <v>0.19298195830094689</v>
      </c>
      <c r="Y14" s="133">
        <f t="shared" ca="1" si="0"/>
        <v>0.19298195830094689</v>
      </c>
      <c r="Z14" s="133">
        <f t="shared" ca="1" si="0"/>
        <v>0.19298195830094689</v>
      </c>
      <c r="AA14" s="133"/>
      <c r="AB14" s="133">
        <f t="shared" ca="1" si="1"/>
        <v>0.19298195830094689</v>
      </c>
      <c r="AC14" s="133">
        <f t="shared" ca="1" si="1"/>
        <v>0.19298195830094689</v>
      </c>
    </row>
    <row r="15" spans="1:29" x14ac:dyDescent="0.25">
      <c r="A15" s="812">
        <v>2104008610</v>
      </c>
      <c r="B15" s="812" t="s">
        <v>146</v>
      </c>
      <c r="C15" s="133">
        <f ca="1">INDIRECT("'DevSumOut-"&amp;$B$2&amp;"BSR'!R59")</f>
        <v>0.24545272420989431</v>
      </c>
      <c r="D15" s="133">
        <f ca="1">INDIRECT("'DevSumOut-"&amp;$B$2&amp;"BSR'!R59")</f>
        <v>0.24545272420989431</v>
      </c>
      <c r="E15" s="133">
        <f ca="1">INDIRECT("'DevSumOut-"&amp;$B$2&amp;"BSR'!R59")</f>
        <v>0.24545272420989431</v>
      </c>
      <c r="F15" s="551" t="s">
        <v>336</v>
      </c>
      <c r="G15" s="133">
        <f ca="1">INDIRECT("'DevSumOut-"&amp;$B$2&amp;"BSR'!R59")</f>
        <v>0.24545272420989431</v>
      </c>
      <c r="H15" s="133">
        <f ca="1">INDIRECT("'DevSumOut-"&amp;$B$2&amp;"BSR'!R59")</f>
        <v>0.24545272420989431</v>
      </c>
      <c r="I15" s="551" t="s">
        <v>336</v>
      </c>
      <c r="J15" s="133">
        <f ca="1">INDIRECT("'DevSumOut-"&amp;$B$2&amp;"BSR'!P59")</f>
        <v>9.9472722299595792E-3</v>
      </c>
      <c r="K15" s="133">
        <f ca="1">INDIRECT("'DevSumOut-"&amp;$B$2&amp;"BSR'!P59")</f>
        <v>9.9472722299595792E-3</v>
      </c>
      <c r="L15" s="133">
        <f ca="1">INDIRECT("'DevSumOut-"&amp;$B$2&amp;"BSR'!P59")</f>
        <v>9.9472722299595792E-3</v>
      </c>
      <c r="M15" s="551" t="s">
        <v>336</v>
      </c>
      <c r="N15" s="133">
        <f ca="1">INDIRECT("'DevSumOut-"&amp;$B$2&amp;"BSR'!P59")</f>
        <v>9.9472722299595792E-3</v>
      </c>
      <c r="O15" s="133">
        <f ca="1">INDIRECT("'DevSumOut-"&amp;$B$2&amp;"BSR'!P59")</f>
        <v>9.9472722299595792E-3</v>
      </c>
      <c r="P15" s="551" t="s">
        <v>336</v>
      </c>
      <c r="Q15" s="45">
        <f ca="1">INDIRECT("'DevSumOut-"&amp;$B$2&amp;"BSR'!U59")</f>
        <v>798.2497551698757</v>
      </c>
      <c r="R15" s="45">
        <f ca="1">INDIRECT("'DevSumOut-"&amp;$B$2&amp;"BSR'!U59")</f>
        <v>798.2497551698757</v>
      </c>
      <c r="S15" s="45">
        <f ca="1">INDIRECT("'DevSumOut-"&amp;$B$2&amp;"BSR'!U59")</f>
        <v>798.2497551698757</v>
      </c>
      <c r="T15" s="581" t="s">
        <v>336</v>
      </c>
      <c r="U15" s="45">
        <f ca="1">INDIRECT("'DevSumOut-"&amp;$B$2&amp;"BSR'!U59")</f>
        <v>798.2497551698757</v>
      </c>
      <c r="V15" s="45">
        <f ca="1">INDIRECT("'DevSumOut-"&amp;$B$2&amp;"BSR'!U59")</f>
        <v>798.2497551698757</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2">
        <v>2104004000</v>
      </c>
      <c r="B16" s="812" t="s">
        <v>568</v>
      </c>
      <c r="C16" s="133">
        <f ca="1">INDIRECT("'DevSumOut-"&amp;$B$2&amp;"BSR'!R60")</f>
        <v>5.3306191800915316E-2</v>
      </c>
      <c r="D16" s="133">
        <f ca="1">INDIRECT("'DevSumOut-"&amp;$B$2&amp;"BSR'!R60")</f>
        <v>5.3306191800915316E-2</v>
      </c>
      <c r="E16" s="133">
        <f ca="1">INDIRECT("'DevSumOut-"&amp;$B$2&amp;"BSR'!R60")</f>
        <v>5.3306191800915316E-2</v>
      </c>
      <c r="F16" s="551" t="s">
        <v>336</v>
      </c>
      <c r="G16" s="133">
        <f ca="1">INDIRECT("'DevSumOut-"&amp;$B$2&amp;"BSR'!R60")</f>
        <v>5.3306191800915316E-2</v>
      </c>
      <c r="H16" s="133">
        <f ca="1">INDIRECT("'DevSumOut-"&amp;$B$2&amp;"BSR'!R60")</f>
        <v>5.3306191800915316E-2</v>
      </c>
      <c r="I16" s="551" t="s">
        <v>336</v>
      </c>
      <c r="J16" s="133">
        <f ca="1">INDIRECT("'DevSumOut-"&amp;$B$2&amp;"BSR'!P60")</f>
        <v>3.3742798892560217</v>
      </c>
      <c r="K16" s="133">
        <f ca="1">INDIRECT("'DevSumOut-"&amp;$B$2&amp;"BSR'!P60")</f>
        <v>3.3742798892560217</v>
      </c>
      <c r="L16" s="133">
        <f ca="1">INDIRECT("'DevSumOut-"&amp;$B$2&amp;"BSR'!P60")</f>
        <v>3.3742798892560217</v>
      </c>
      <c r="M16" s="551" t="s">
        <v>336</v>
      </c>
      <c r="N16" s="133">
        <f ca="1">INDIRECT("'DevSumOut-"&amp;$B$2&amp;"BSR'!P60")</f>
        <v>3.3742798892560217</v>
      </c>
      <c r="O16" s="133">
        <f ca="1">INDIRECT("'DevSumOut-"&amp;$B$2&amp;"BSR'!P60")</f>
        <v>3.3742798892560217</v>
      </c>
      <c r="P16" s="551" t="s">
        <v>336</v>
      </c>
      <c r="Q16" s="45">
        <f ca="1">INDIRECT("'DevSumOut-"&amp;$B$2&amp;"BSR'!U60")</f>
        <v>31337.296015775257</v>
      </c>
      <c r="R16" s="45">
        <f ca="1">INDIRECT("'DevSumOut-"&amp;$B$2&amp;"BSR'!U60")</f>
        <v>31337.296015775257</v>
      </c>
      <c r="S16" s="45">
        <f ca="1">INDIRECT("'DevSumOut-"&amp;$B$2&amp;"BSR'!U60")</f>
        <v>31337.296015775257</v>
      </c>
      <c r="T16" s="581" t="s">
        <v>336</v>
      </c>
      <c r="U16" s="45">
        <f ca="1">INDIRECT("'DevSumOut-"&amp;$B$2&amp;"BSR'!U60")</f>
        <v>31337.296015775257</v>
      </c>
      <c r="V16" s="45">
        <f ca="1">INDIRECT("'DevSumOut-"&amp;$B$2&amp;"BSR'!U60")</f>
        <v>31337.296015775257</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2">
        <v>2103004001</v>
      </c>
      <c r="B17" s="812" t="s">
        <v>148</v>
      </c>
      <c r="C17" s="133">
        <f ca="1">INDIRECT("'DevSumOut-"&amp;$B$2&amp;"BSR'!R61")</f>
        <v>1.7801232577771393E-2</v>
      </c>
      <c r="D17" s="133">
        <f ca="1">INDIRECT("'DevSumOut-"&amp;$B$2&amp;"BSR'!R61")</f>
        <v>1.7801232577771393E-2</v>
      </c>
      <c r="E17" s="133">
        <f ca="1">INDIRECT("'DevSumOut-"&amp;$B$2&amp;"BSR'!R61")</f>
        <v>1.7801232577771393E-2</v>
      </c>
      <c r="F17" s="551" t="s">
        <v>336</v>
      </c>
      <c r="G17" s="133">
        <f ca="1">INDIRECT("'DevSumOut-"&amp;$B$2&amp;"BSR'!R61")</f>
        <v>1.7801232577771393E-2</v>
      </c>
      <c r="H17" s="133">
        <f ca="1">INDIRECT("'DevSumOut-"&amp;$B$2&amp;"BSR'!R61")</f>
        <v>1.7801232577771393E-2</v>
      </c>
      <c r="I17" s="551" t="s">
        <v>336</v>
      </c>
      <c r="J17" s="133">
        <f ca="1">INDIRECT("'DevSumOut-"&amp;$B$2&amp;"BSR'!P61")</f>
        <v>0.49603609510945462</v>
      </c>
      <c r="K17" s="133">
        <f ca="1">INDIRECT("'DevSumOut-"&amp;$B$2&amp;"BSR'!P61")</f>
        <v>0.49603609510945462</v>
      </c>
      <c r="L17" s="133">
        <f ca="1">INDIRECT("'DevSumOut-"&amp;$B$2&amp;"BSR'!P61")</f>
        <v>0.49603609510945462</v>
      </c>
      <c r="M17" s="551" t="s">
        <v>336</v>
      </c>
      <c r="N17" s="133">
        <f ca="1">INDIRECT("'DevSumOut-"&amp;$B$2&amp;"BSR'!P61")</f>
        <v>0.49603609510945462</v>
      </c>
      <c r="O17" s="133">
        <f ca="1">INDIRECT("'DevSumOut-"&amp;$B$2&amp;"BSR'!P61")</f>
        <v>0.49603609510945462</v>
      </c>
      <c r="P17" s="551" t="s">
        <v>336</v>
      </c>
      <c r="Q17" s="45">
        <f ca="1">INDIRECT("'DevSumOut-"&amp;$B$2&amp;"BSR'!U61")</f>
        <v>10799.327083227412</v>
      </c>
      <c r="R17" s="45">
        <f ca="1">INDIRECT("'DevSumOut-"&amp;$B$2&amp;"BSR'!U61")</f>
        <v>10799.327083227412</v>
      </c>
      <c r="S17" s="45">
        <f ca="1">INDIRECT("'DevSumOut-"&amp;$B$2&amp;"BSR'!U61")</f>
        <v>10799.327083227412</v>
      </c>
      <c r="T17" s="581" t="s">
        <v>336</v>
      </c>
      <c r="U17" s="45">
        <f ca="1">INDIRECT("'DevSumOut-"&amp;$B$2&amp;"BSR'!U61")</f>
        <v>10799.327083227412</v>
      </c>
      <c r="V17" s="45">
        <f ca="1">INDIRECT("'DevSumOut-"&amp;$B$2&amp;"BSR'!U61")</f>
        <v>10799.327083227412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2">
        <v>2104004000</v>
      </c>
      <c r="B18" s="812" t="s">
        <v>746</v>
      </c>
      <c r="C18" s="133">
        <f ca="1">INDIRECT("'DevSumOut-"&amp;$B$2&amp;"BSR'!R62")</f>
        <v>3.1907700096208639E-4</v>
      </c>
      <c r="D18" s="133">
        <f ca="1">INDIRECT("'DevSumOut-"&amp;$B$2&amp;"BSR'!R62")</f>
        <v>3.1907700096208639E-4</v>
      </c>
      <c r="E18" s="133">
        <f ca="1">INDIRECT("'DevSumOut-"&amp;$B$2&amp;"BSR'!R62")</f>
        <v>3.1907700096208639E-4</v>
      </c>
      <c r="F18" s="551" t="s">
        <v>336</v>
      </c>
      <c r="G18" s="133">
        <f ca="1">INDIRECT("'DevSumOut-"&amp;$B$2&amp;"BSR'!R62")</f>
        <v>3.1907700096208639E-4</v>
      </c>
      <c r="H18" s="133">
        <f ca="1">INDIRECT("'DevSumOut-"&amp;$B$2&amp;"BSR'!R62")</f>
        <v>3.1907700096208639E-4</v>
      </c>
      <c r="I18" s="551" t="s">
        <v>336</v>
      </c>
      <c r="J18" s="133">
        <f ca="1">INDIRECT("'DevSumOut-"&amp;$B$2&amp;"BSR'!P62")</f>
        <v>2.3055370434142502E-2</v>
      </c>
      <c r="K18" s="133">
        <f ca="1">INDIRECT("'DevSumOut-"&amp;$B$2&amp;"BSR'!P62")</f>
        <v>2.3055370434142502E-2</v>
      </c>
      <c r="L18" s="133">
        <f ca="1">INDIRECT("'DevSumOut-"&amp;$B$2&amp;"BSR'!P62")</f>
        <v>2.3055370434142502E-2</v>
      </c>
      <c r="M18" s="551" t="s">
        <v>336</v>
      </c>
      <c r="N18" s="133">
        <f ca="1">INDIRECT("'DevSumOut-"&amp;$B$2&amp;"BSR'!P62")</f>
        <v>2.3055370434142502E-2</v>
      </c>
      <c r="O18" s="133">
        <f ca="1">INDIRECT("'DevSumOut-"&amp;$B$2&amp;"BSR'!P62")</f>
        <v>2.3055370434142502E-2</v>
      </c>
      <c r="P18" s="551" t="s">
        <v>336</v>
      </c>
      <c r="Q18" s="45">
        <f ca="1">INDIRECT("'DevSumOut-"&amp;$B$2&amp;"BSR'!U62")</f>
        <v>218.55976873400519</v>
      </c>
      <c r="R18" s="45">
        <f ca="1">INDIRECT("'DevSumOut-"&amp;$B$2&amp;"BSR'!U62")</f>
        <v>218.55976873400519</v>
      </c>
      <c r="S18" s="45">
        <f ca="1">INDIRECT("'DevSumOut-"&amp;$B$2&amp;"BSR'!U62")</f>
        <v>218.55976873400519</v>
      </c>
      <c r="T18" s="581" t="s">
        <v>336</v>
      </c>
      <c r="U18" s="45">
        <f ca="1">INDIRECT("'DevSumOut-"&amp;$B$2&amp;"BSR'!U62")</f>
        <v>218.55976873400519</v>
      </c>
      <c r="V18" s="45">
        <f ca="1">INDIRECT("'DevSumOut-"&amp;$B$2&amp;"BSR'!U62")</f>
        <v>218.55976873400519</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2">
        <v>2104007000</v>
      </c>
      <c r="B19" s="812" t="s">
        <v>747</v>
      </c>
      <c r="C19" s="133">
        <f ca="1">INDIRECT("'DevSumOut-"&amp;$B$2&amp;"BSR'!R63")</f>
        <v>1.232238757906629E-3</v>
      </c>
      <c r="D19" s="133">
        <f ca="1">INDIRECT("'DevSumOut-"&amp;$B$2&amp;"BSR'!R63")</f>
        <v>1.232238757906629E-3</v>
      </c>
      <c r="E19" s="133">
        <f ca="1">INDIRECT("'DevSumOut-"&amp;$B$2&amp;"BSR'!R63")</f>
        <v>1.232238757906629E-3</v>
      </c>
      <c r="F19" s="551" t="s">
        <v>336</v>
      </c>
      <c r="G19" s="133">
        <f ca="1">INDIRECT("'DevSumOut-"&amp;$B$2&amp;"BSR'!R63")</f>
        <v>1.232238757906629E-3</v>
      </c>
      <c r="H19" s="133">
        <f ca="1">INDIRECT("'DevSumOut-"&amp;$B$2&amp;"BSR'!R63")</f>
        <v>1.232238757906629E-3</v>
      </c>
      <c r="I19" s="551" t="s">
        <v>336</v>
      </c>
      <c r="J19" s="133">
        <f ca="1">INDIRECT("'DevSumOut-"&amp;$B$2&amp;"BSR'!P63")</f>
        <v>7.8000665946929712E-2</v>
      </c>
      <c r="K19" s="133">
        <f ca="1">INDIRECT("'DevSumOut-"&amp;$B$2&amp;"BSR'!P63")</f>
        <v>7.8000665946929712E-2</v>
      </c>
      <c r="L19" s="133">
        <f ca="1">INDIRECT("'DevSumOut-"&amp;$B$2&amp;"BSR'!P63")</f>
        <v>7.8000665946929712E-2</v>
      </c>
      <c r="M19" s="551" t="s">
        <v>336</v>
      </c>
      <c r="N19" s="133">
        <f ca="1">INDIRECT("'DevSumOut-"&amp;$B$2&amp;"BSR'!P63")</f>
        <v>7.8000665946929712E-2</v>
      </c>
      <c r="O19" s="133">
        <f ca="1">INDIRECT("'DevSumOut-"&amp;$B$2&amp;"BSR'!P63")</f>
        <v>7.8000665946929712E-2</v>
      </c>
      <c r="P19" s="551" t="s">
        <v>336</v>
      </c>
      <c r="Q19" s="45">
        <f ca="1">INDIRECT("'DevSumOut-"&amp;$B$2&amp;"BSR'!U63")</f>
        <v>674.68604100519894</v>
      </c>
      <c r="R19" s="45">
        <f ca="1">INDIRECT("'DevSumOut-"&amp;$B$2&amp;"BSR'!U63")</f>
        <v>674.68604100519894</v>
      </c>
      <c r="S19" s="45">
        <f ca="1">INDIRECT("'DevSumOut-"&amp;$B$2&amp;"BSR'!U63")</f>
        <v>674.68604100519894</v>
      </c>
      <c r="T19" s="581" t="s">
        <v>336</v>
      </c>
      <c r="U19" s="45">
        <f ca="1">INDIRECT("'DevSumOut-"&amp;$B$2&amp;"BSR'!U63")</f>
        <v>674.68604100519894</v>
      </c>
      <c r="V19" s="45">
        <f ca="1">INDIRECT("'DevSumOut-"&amp;$B$2&amp;"BSR'!U63")</f>
        <v>674.68604100519894</v>
      </c>
      <c r="W19" s="581" t="s">
        <v>336</v>
      </c>
      <c r="X19" s="133">
        <f t="shared" ca="1" si="0"/>
        <v>3.6527767969550557E-3</v>
      </c>
      <c r="Y19" s="133">
        <f t="shared" ca="1" si="0"/>
        <v>3.6527767969550557E-3</v>
      </c>
      <c r="Z19" s="133">
        <f t="shared" ca="1" si="0"/>
        <v>3.6527767969550557E-3</v>
      </c>
      <c r="AA19" s="133"/>
      <c r="AB19" s="133">
        <f t="shared" ca="1" si="1"/>
        <v>3.6527767969550557E-3</v>
      </c>
      <c r="AC19" s="133">
        <f t="shared" ca="1" si="1"/>
        <v>3.6527767969550557E-3</v>
      </c>
    </row>
    <row r="20" spans="1:29" x14ac:dyDescent="0.25">
      <c r="A20" s="812">
        <v>2104006010</v>
      </c>
      <c r="B20" s="812" t="s">
        <v>149</v>
      </c>
      <c r="C20" s="133">
        <f ca="1">INDIRECT("'DevSumOut-"&amp;$B$2&amp;"BSR'!R64")</f>
        <v>5.8529310125197222E-6</v>
      </c>
      <c r="D20" s="133">
        <f ca="1">INDIRECT("'DevSumOut-"&amp;$B$2&amp;"BSR'!R64")</f>
        <v>5.8529310125197222E-6</v>
      </c>
      <c r="E20" s="133">
        <f ca="1">INDIRECT("'DevSumOut-"&amp;$B$2&amp;"BSR'!R64")</f>
        <v>5.8529310125197222E-6</v>
      </c>
      <c r="F20" s="551" t="s">
        <v>336</v>
      </c>
      <c r="G20" s="133">
        <f ca="1">INDIRECT("'DevSumOut-"&amp;$B$2&amp;"BSR'!R64")</f>
        <v>5.8529310125197222E-6</v>
      </c>
      <c r="H20" s="133">
        <f ca="1">INDIRECT("'DevSumOut-"&amp;$B$2&amp;"BSR'!R64")</f>
        <v>5.8529310125197222E-6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2">
        <v>2103006000</v>
      </c>
      <c r="B21" s="812"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2">
        <v>2104002000</v>
      </c>
      <c r="B22" s="812" t="s">
        <v>151</v>
      </c>
      <c r="C22" s="133">
        <f ca="1">INDIRECT("'DevSumOut-"&amp;$B$2&amp;"BSR'!R66")</f>
        <v>9.5214781787673869E-2</v>
      </c>
      <c r="D22" s="133">
        <f ca="1">INDIRECT("'DevSumOut-"&amp;$B$2&amp;"BSR'!R66")</f>
        <v>9.5214781787673869E-2</v>
      </c>
      <c r="E22" s="133">
        <f ca="1">INDIRECT("'DevSumOut-"&amp;$B$2&amp;"BSR'!R66")</f>
        <v>9.5214781787673869E-2</v>
      </c>
      <c r="F22" s="551" t="s">
        <v>336</v>
      </c>
      <c r="G22" s="133">
        <f ca="1">INDIRECT("'DevSumOut-"&amp;$B$2&amp;"BSR'!R66")</f>
        <v>9.5214781787673869E-2</v>
      </c>
      <c r="H22" s="133">
        <f ca="1">INDIRECT("'DevSumOut-"&amp;$B$2&amp;"BSR'!R66")</f>
        <v>9.5214781787673869E-2</v>
      </c>
      <c r="I22" s="551" t="s">
        <v>336</v>
      </c>
      <c r="J22" s="133">
        <f ca="1">INDIRECT("'DevSumOut-"&amp;$B$2&amp;"BSR'!P66")</f>
        <v>0.11082571597313731</v>
      </c>
      <c r="K22" s="133">
        <f ca="1">INDIRECT("'DevSumOut-"&amp;$B$2&amp;"BSR'!P66")</f>
        <v>0.11082571597313731</v>
      </c>
      <c r="L22" s="133">
        <f ca="1">INDIRECT("'DevSumOut-"&amp;$B$2&amp;"BSR'!P66")</f>
        <v>0.11082571597313731</v>
      </c>
      <c r="M22" s="551" t="s">
        <v>336</v>
      </c>
      <c r="N22" s="133">
        <f ca="1">INDIRECT("'DevSumOut-"&amp;$B$2&amp;"BSR'!P66")</f>
        <v>0.11082571597313731</v>
      </c>
      <c r="O22" s="133">
        <f ca="1">INDIRECT("'DevSumOut-"&amp;$B$2&amp;"BSR'!P66")</f>
        <v>0.11082571597313731</v>
      </c>
      <c r="P22" s="551" t="s">
        <v>336</v>
      </c>
      <c r="Q22" s="45">
        <f ca="1">INDIRECT("'DevSumOut-"&amp;$B$2&amp;"BSR'!U66")</f>
        <v>362.26900705197573</v>
      </c>
      <c r="R22" s="45">
        <f ca="1">INDIRECT("'DevSumOut-"&amp;$B$2&amp;"BSR'!U66")</f>
        <v>362.26900705197573</v>
      </c>
      <c r="S22" s="45">
        <f ca="1">INDIRECT("'DevSumOut-"&amp;$B$2&amp;"BSR'!U66")</f>
        <v>362.26900705197573</v>
      </c>
      <c r="T22" s="581" t="s">
        <v>336</v>
      </c>
      <c r="U22" s="45">
        <f ca="1">INDIRECT("'DevSumOut-"&amp;$B$2&amp;"BSR'!U66")</f>
        <v>362.26900705197573</v>
      </c>
      <c r="V22" s="45">
        <f ca="1">INDIRECT("'DevSumOut-"&amp;$B$2&amp;"BSR'!U66")</f>
        <v>362.26900705197573</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3.0617780757568111E-4</v>
      </c>
      <c r="K23" s="133">
        <f ca="1">INDIRECT("'DevSumOut-"&amp;$B$2&amp;"BSR'!P67")</f>
        <v>3.0617780757568111E-4</v>
      </c>
      <c r="L23" s="133">
        <f ca="1">INDIRECT("'DevSumOut-"&amp;$B$2&amp;"BSR'!P67")</f>
        <v>3.0617780757568111E-4</v>
      </c>
      <c r="M23" s="551"/>
      <c r="N23" s="133">
        <f ca="1">INDIRECT("'DevSumOut-"&amp;$B$2&amp;"BSR'!P67")</f>
        <v>3.0617780757568111E-4</v>
      </c>
      <c r="O23" s="133">
        <f ca="1">INDIRECT("'DevSumOut-"&amp;$B$2&amp;"BSR'!P67")</f>
        <v>3.0617780757568111E-4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2.7287431994720563</v>
      </c>
      <c r="D26" s="137">
        <f ca="1">SUM(D6:D25)</f>
        <v>2.7287431994720563</v>
      </c>
      <c r="E26" s="137">
        <f ca="1">SUM(E6:E25)</f>
        <v>2.7287431994720563</v>
      </c>
      <c r="F26" s="566" t="s">
        <v>336</v>
      </c>
      <c r="G26" s="137">
        <f t="shared" ref="G26:H26" ca="1" si="2">SUM(G6:G25)</f>
        <v>2.7287431994720563</v>
      </c>
      <c r="H26" s="137">
        <f t="shared" ca="1" si="2"/>
        <v>2.7287431994720563</v>
      </c>
      <c r="I26" s="566" t="s">
        <v>336</v>
      </c>
      <c r="J26" s="137">
        <f ca="1">SUM(J6:J25)</f>
        <v>4.1903632197367111</v>
      </c>
      <c r="K26" s="137">
        <f ca="1">SUM(K6:K25)</f>
        <v>4.1903632197367111</v>
      </c>
      <c r="L26" s="137">
        <f ca="1">SUM(L6:L25)</f>
        <v>4.1903632197367111</v>
      </c>
      <c r="M26" s="566" t="s">
        <v>336</v>
      </c>
      <c r="N26" s="137">
        <f ca="1">SUM(N6:N25)</f>
        <v>4.1903632197367111</v>
      </c>
      <c r="O26" s="137">
        <f ca="1">SUM(O6:O25)</f>
        <v>4.1903632197367111</v>
      </c>
      <c r="P26" s="566" t="s">
        <v>336</v>
      </c>
      <c r="Q26" s="87">
        <f ca="1">SUM(Q6:Q25)</f>
        <v>53872.372308445898</v>
      </c>
      <c r="R26" s="87">
        <f ca="1">SUM(R6:R25)</f>
        <v>53872.372308445898</v>
      </c>
      <c r="S26" s="87">
        <f ca="1">SUM(S6:S25)</f>
        <v>53872.372308445898</v>
      </c>
      <c r="T26" s="566" t="s">
        <v>336</v>
      </c>
      <c r="U26" s="87">
        <f ca="1">SUM(U6:U25)</f>
        <v>53872.372308445898</v>
      </c>
      <c r="V26" s="87">
        <f ca="1">SUM(V6:V25)</f>
        <v>53872.372308445898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2025 Baseline PM2.5 Emissions (tpd) by Curtailment Regime and AQCZ</v>
      </c>
      <c r="D30" s="840"/>
      <c r="E30" s="840"/>
      <c r="F30" s="840"/>
      <c r="G30" s="840"/>
      <c r="H30" s="840"/>
      <c r="I30" s="840"/>
      <c r="J30" s="840" t="str">
        <f>$B$2&amp;" Baseline SO2 Emissions (tpd) by Curtailment Regime and AQCZ"</f>
        <v>2025 Baseline SO2 Emissions (tpd) by Curtailment Regime and AQCZ</v>
      </c>
      <c r="K30" s="840"/>
      <c r="L30" s="840"/>
      <c r="M30" s="840"/>
      <c r="N30" s="840"/>
      <c r="O30" s="840"/>
      <c r="P30" s="840"/>
      <c r="Q30" s="840" t="str">
        <f>$B$2&amp;" Baseline Energy Use (mmBTU) by Curtailment Regime and AQCZ"</f>
        <v>2025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1.0270069618497382</v>
      </c>
      <c r="D32" s="133">
        <f ca="1">(D26-D33)*AQCZSplits!$F$5</f>
        <v>1.0270069618497382</v>
      </c>
      <c r="E32" s="133">
        <f ca="1">(E26-E33)*AQCZSplits!$F$5</f>
        <v>1.0270069618497382</v>
      </c>
      <c r="F32" s="551" t="s">
        <v>336</v>
      </c>
      <c r="G32" s="133">
        <f ca="1">(G26-G33)*AQCZSplits!$F$5</f>
        <v>1.0270069618497382</v>
      </c>
      <c r="H32" s="133">
        <f ca="1">(H26-H33)*AQCZSplits!$F$5</f>
        <v>1.0270069618497382</v>
      </c>
      <c r="I32" s="551" t="s">
        <v>336</v>
      </c>
      <c r="J32" s="133">
        <f ca="1">(J26-J33)*AQCZSplits!$F$5</f>
        <v>1.8756706268383778</v>
      </c>
      <c r="K32" s="133">
        <f ca="1">(K26-K33)*AQCZSplits!$F$5</f>
        <v>1.8756706268383778</v>
      </c>
      <c r="L32" s="133">
        <f ca="1">(L26-L33)*AQCZSplits!$F$5</f>
        <v>1.8756706268383778</v>
      </c>
      <c r="M32" s="551" t="s">
        <v>336</v>
      </c>
      <c r="N32" s="133">
        <f ca="1">(N26-N33)*AQCZSplits!$F$5</f>
        <v>1.8756706268383778</v>
      </c>
      <c r="O32" s="133">
        <f ca="1">(O26-O33)*AQCZSplits!$F$5</f>
        <v>1.8756706268383778</v>
      </c>
      <c r="P32" s="551" t="s">
        <v>336</v>
      </c>
      <c r="Q32" s="45">
        <f ca="1">(Q26-Q33)*AQCZSplits!$F$5</f>
        <v>24626.308959479447</v>
      </c>
      <c r="R32" s="45">
        <f ca="1">(R26-R33)*AQCZSplits!$F$5</f>
        <v>24626.308959479447</v>
      </c>
      <c r="S32" s="45">
        <f ca="1">(S26-S33)*AQCZSplits!$F$5</f>
        <v>24626.308959479447</v>
      </c>
      <c r="T32" s="551" t="s">
        <v>336</v>
      </c>
      <c r="U32" s="45">
        <f ca="1">(U26-U33)*AQCZSplits!$F$5</f>
        <v>24626.308959479447</v>
      </c>
      <c r="V32" s="45">
        <f ca="1">(V26-V33)*AQCZSplits!$F$5</f>
        <v>24626.308959479447</v>
      </c>
      <c r="W32" s="551" t="s">
        <v>336</v>
      </c>
    </row>
    <row r="33" spans="1:23" ht="15.75" thickBot="1" x14ac:dyDescent="0.3">
      <c r="A33" s="6" t="s">
        <v>754</v>
      </c>
      <c r="B33" s="6" t="s">
        <v>755</v>
      </c>
      <c r="C33" s="544">
        <f ca="1">SUMIFS(INDIRECT("'ZipOutNA-"&amp;$B$2&amp;"BSR'!$J$5:$J$669"),INDIRECT("'ZipOutNA-"&amp;$B$2&amp;"BSR'!$D$5:$D$669"),99705)/35</f>
        <v>1.1211503885912466</v>
      </c>
      <c r="D33" s="544">
        <f ca="1">SUMIFS(INDIRECT("'ZipOutNA-"&amp;$B$2&amp;"BSR'!$J$5:$J$669"),INDIRECT("'ZipOutNA-"&amp;$B$2&amp;"BSR'!$D$5:$D$669"),99705)/35</f>
        <v>1.1211503885912466</v>
      </c>
      <c r="E33" s="544">
        <f ca="1">SUMIFS(INDIRECT("'ZipOutNA-"&amp;$B$2&amp;"BSR'!$J$5:$J$669"),INDIRECT("'ZipOutNA-"&amp;$B$2&amp;"BSR'!$D$5:$D$669"),99705)/35</f>
        <v>1.1211503885912466</v>
      </c>
      <c r="F33" s="542" t="s">
        <v>336</v>
      </c>
      <c r="G33" s="544">
        <f ca="1">SUMIFS(INDIRECT("'ZipOutNA-"&amp;$B$2&amp;"BSR'!$J$5:$J$669"),INDIRECT("'ZipOutNA-"&amp;$B$2&amp;"BSR'!$D$5:$D$669"),99705)/35</f>
        <v>1.1211503885912466</v>
      </c>
      <c r="H33" s="544">
        <f ca="1">SUMIFS(INDIRECT("'ZipOutNA-"&amp;$B$2&amp;"BSR'!$J$5:$J$669"),INDIRECT("'ZipOutNA-"&amp;$B$2&amp;"BSR'!$D$5:$D$669"),99705)/35</f>
        <v>1.1211503885912466</v>
      </c>
      <c r="I33" s="542" t="s">
        <v>336</v>
      </c>
      <c r="J33" s="544">
        <f ca="1">SUMIFS(INDIRECT("'ZipOutNA-"&amp;$B$2&amp;"BSR'!$H$5:$H$669"),INDIRECT("'ZipOutNA-"&amp;$B$2&amp;"BSR'!$D$5:$D$669"),99705)/35</f>
        <v>1.254341627580406</v>
      </c>
      <c r="K33" s="544">
        <f ca="1">SUMIFS(INDIRECT("'ZipOutNA-"&amp;$B$2&amp;"BSR'!$H$5:$H$669"),INDIRECT("'ZipOutNA-"&amp;$B$2&amp;"BSR'!$D$5:$D$669"),99705)/35</f>
        <v>1.254341627580406</v>
      </c>
      <c r="L33" s="544">
        <f ca="1">SUMIFS(INDIRECT("'ZipOutNA-"&amp;$B$2&amp;"BSR'!$H$5:$H$669"),INDIRECT("'ZipOutNA-"&amp;$B$2&amp;"BSR'!$D$5:$D$669"),99705)/35</f>
        <v>1.254341627580406</v>
      </c>
      <c r="M33" s="542" t="s">
        <v>336</v>
      </c>
      <c r="N33" s="544">
        <f ca="1">SUMIFS(INDIRECT("'ZipOutNA-"&amp;$B$2&amp;"BSR'!$H$5:$H$669"),INDIRECT("'ZipOutNA-"&amp;$B$2&amp;"BSR'!$D$5:$D$669"),99705)/35</f>
        <v>1.254341627580406</v>
      </c>
      <c r="O33" s="544">
        <f ca="1">SUMIFS(INDIRECT("'ZipOutNA-"&amp;$B$2&amp;"BSR'!$H$5:$H$669"),INDIRECT("'ZipOutNA-"&amp;$B$2&amp;"BSR'!$D$5:$D$669"),99705)/35</f>
        <v>1.254341627580406</v>
      </c>
      <c r="P33" s="542" t="s">
        <v>336</v>
      </c>
      <c r="Q33" s="567">
        <f ca="1">SUMIFS(INDIRECT("'ZipOutNA-"&amp;$B$2&amp;"BSR'!$M$5:$M$669"),INDIRECT("'ZipOutNA-"&amp;$B$2&amp;"BSR'!$D$5:$D$669"),99705)/35</f>
        <v>15324.359770648587</v>
      </c>
      <c r="R33" s="567">
        <f ca="1">SUMIFS(INDIRECT("'ZipOutNA-"&amp;$B$2&amp;"BSR'!$M$5:$M$669"),INDIRECT("'ZipOutNA-"&amp;$B$2&amp;"BSR'!$D$5:$D$669"),99705)/35</f>
        <v>15324.359770648587</v>
      </c>
      <c r="S33" s="567">
        <f ca="1">SUMIFS(INDIRECT("'ZipOutNA-"&amp;$B$2&amp;"BSR'!$M$5:$M$669"),INDIRECT("'ZipOutNA-"&amp;$B$2&amp;"BSR'!$D$5:$D$669"),99705)/35</f>
        <v>15324.359770648587</v>
      </c>
      <c r="T33" s="542" t="s">
        <v>336</v>
      </c>
      <c r="U33" s="567">
        <f ca="1">SUMIFS(INDIRECT("'ZipOutNA-"&amp;$B$2&amp;"BSR'!$M$5:$M$669"),INDIRECT("'ZipOutNA-"&amp;$B$2&amp;"BSR'!$D$5:$D$669"),99705)/35</f>
        <v>15324.359770648587</v>
      </c>
      <c r="V33" s="567">
        <f ca="1">SUMIFS(INDIRECT("'ZipOutNA-"&amp;$B$2&amp;"BSR'!$M$5:$M$669"),INDIRECT("'ZipOutNA-"&amp;$B$2&amp;"BSR'!$D$5:$D$669"),99705)/35</f>
        <v>15324.359770648587</v>
      </c>
      <c r="W33" s="542" t="s">
        <v>336</v>
      </c>
    </row>
    <row r="34" spans="1:23" ht="15.75" thickTop="1" x14ac:dyDescent="0.25">
      <c r="C34" s="137">
        <f ca="1">SUM(C32:C33)</f>
        <v>2.148157350440985</v>
      </c>
      <c r="D34" s="137">
        <f ca="1">SUM(D32:D33)</f>
        <v>2.148157350440985</v>
      </c>
      <c r="E34" s="137">
        <f ca="1">SUM(E32:E33)</f>
        <v>2.148157350440985</v>
      </c>
      <c r="F34" s="566" t="s">
        <v>336</v>
      </c>
      <c r="G34" s="137">
        <f ca="1">SUM(G32:G33)</f>
        <v>2.148157350440985</v>
      </c>
      <c r="H34" s="137">
        <f ca="1">SUM(H32:H33)</f>
        <v>2.148157350440985</v>
      </c>
      <c r="I34" s="566" t="s">
        <v>336</v>
      </c>
      <c r="J34" s="137">
        <f ca="1">SUM(J32:J33)</f>
        <v>3.1300122544187836</v>
      </c>
      <c r="K34" s="137">
        <f ca="1">SUM(K32:K33)</f>
        <v>3.1300122544187836</v>
      </c>
      <c r="L34" s="137">
        <f ca="1">SUM(L32:L33)</f>
        <v>3.1300122544187836</v>
      </c>
      <c r="M34" s="566" t="s">
        <v>336</v>
      </c>
      <c r="N34" s="137">
        <f ca="1">SUM(N32:N33)</f>
        <v>3.1300122544187836</v>
      </c>
      <c r="O34" s="137">
        <f ca="1">SUM(O32:O33)</f>
        <v>3.1300122544187836</v>
      </c>
      <c r="P34" s="566" t="s">
        <v>336</v>
      </c>
      <c r="Q34" s="87">
        <f ca="1">SUM(Q32:Q33)</f>
        <v>39950.668730128033</v>
      </c>
      <c r="R34" s="87">
        <f ca="1">SUM(R32:R33)</f>
        <v>39950.668730128033</v>
      </c>
      <c r="S34" s="87">
        <f ca="1">SUM(S32:S33)</f>
        <v>39950.668730128033</v>
      </c>
      <c r="T34" s="566" t="s">
        <v>336</v>
      </c>
      <c r="U34" s="87">
        <f ca="1">SUM(U32:U33)</f>
        <v>39950.668730128033</v>
      </c>
      <c r="V34" s="87">
        <f ca="1">SUM(V32:V33)</f>
        <v>39950.668730128033</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2025 Baseline NA Area PM2.5 Emissions (tpd) by Curtailment Regime</v>
      </c>
      <c r="D38" s="840"/>
      <c r="E38" s="840"/>
      <c r="F38" s="840"/>
      <c r="G38" s="840"/>
      <c r="H38" s="840"/>
      <c r="I38" s="840"/>
      <c r="J38" s="840" t="str">
        <f>J4</f>
        <v>2025 Baseline NA Area SO2 Emissions (tpd) by Curtailment Regime</v>
      </c>
      <c r="K38" s="840"/>
      <c r="L38" s="840"/>
      <c r="M38" s="840"/>
      <c r="N38" s="840"/>
      <c r="O38" s="840"/>
      <c r="P38" s="840"/>
      <c r="Q38" s="840" t="str">
        <f>Q4</f>
        <v>2025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0.25893206856823164</v>
      </c>
      <c r="D40" s="133">
        <f t="shared" ca="1" si="3"/>
        <v>0.25893206856823164</v>
      </c>
      <c r="E40" s="133">
        <f t="shared" ca="1" si="3"/>
        <v>0.25893206856823164</v>
      </c>
      <c r="F40" s="551" t="s">
        <v>336</v>
      </c>
      <c r="G40" s="575">
        <f t="shared" ref="G40:H55" ca="1" si="4">G6*G$32/G$26</f>
        <v>0.25893206856823164</v>
      </c>
      <c r="H40" s="575">
        <f t="shared" ca="1" si="4"/>
        <v>0.25893206856823164</v>
      </c>
      <c r="I40" s="574" t="s">
        <v>336</v>
      </c>
      <c r="J40" s="133">
        <f t="shared" ref="J40:L55" ca="1" si="5">J6*J$32/J$26</f>
        <v>3.560114126845352E-3</v>
      </c>
      <c r="K40" s="133">
        <f t="shared" ca="1" si="5"/>
        <v>3.560114126845352E-3</v>
      </c>
      <c r="L40" s="133">
        <f t="shared" ca="1" si="5"/>
        <v>3.560114126845352E-3</v>
      </c>
      <c r="M40" s="551" t="s">
        <v>336</v>
      </c>
      <c r="N40" s="575">
        <f t="shared" ref="N40:O55" ca="1" si="6">N6*N$32/N$26</f>
        <v>3.560114126845352E-3</v>
      </c>
      <c r="O40" s="575">
        <f t="shared" ca="1" si="6"/>
        <v>3.560114126845352E-3</v>
      </c>
      <c r="P40" s="574" t="s">
        <v>336</v>
      </c>
      <c r="Q40" s="45">
        <f t="shared" ref="Q40:S55" ca="1" si="7">Q6*Q$32/Q$26</f>
        <v>291.91305182207907</v>
      </c>
      <c r="R40" s="45">
        <f t="shared" ca="1" si="7"/>
        <v>291.91305182207907</v>
      </c>
      <c r="S40" s="45">
        <f t="shared" ca="1" si="7"/>
        <v>291.91305182207907</v>
      </c>
      <c r="T40" s="581" t="s">
        <v>336</v>
      </c>
      <c r="U40" s="573">
        <f t="shared" ref="U40:V55" ca="1" si="8">U6*U$32/U$26</f>
        <v>291.91305182207907</v>
      </c>
      <c r="V40" s="573">
        <f t="shared" ca="1" si="8"/>
        <v>291.91305182207907</v>
      </c>
      <c r="W40" s="574" t="s">
        <v>336</v>
      </c>
    </row>
    <row r="41" spans="1:23" x14ac:dyDescent="0.25">
      <c r="A41" s="812" t="str">
        <f t="shared" ref="A41:A58" si="9">A40</f>
        <v>FB</v>
      </c>
      <c r="B41" s="812" t="s">
        <v>138</v>
      </c>
      <c r="C41" s="133">
        <f t="shared" ca="1" si="3"/>
        <v>2.0208111514162023E-2</v>
      </c>
      <c r="D41" s="133">
        <f t="shared" ca="1" si="3"/>
        <v>2.0208111514162023E-2</v>
      </c>
      <c r="E41" s="133">
        <f t="shared" ca="1" si="3"/>
        <v>2.0208111514162023E-2</v>
      </c>
      <c r="F41" s="551" t="s">
        <v>336</v>
      </c>
      <c r="G41" s="575">
        <f t="shared" ca="1" si="4"/>
        <v>2.0208111514162023E-2</v>
      </c>
      <c r="H41" s="575">
        <f t="shared" ca="1" si="4"/>
        <v>2.0208111514162023E-2</v>
      </c>
      <c r="I41" s="574" t="s">
        <v>336</v>
      </c>
      <c r="J41" s="133">
        <f t="shared" ca="1" si="5"/>
        <v>3.1416549294840967E-4</v>
      </c>
      <c r="K41" s="133">
        <f t="shared" ca="1" si="5"/>
        <v>3.1416549294840967E-4</v>
      </c>
      <c r="L41" s="133">
        <f t="shared" ca="1" si="5"/>
        <v>3.1416549294840967E-4</v>
      </c>
      <c r="M41" s="551" t="s">
        <v>336</v>
      </c>
      <c r="N41" s="575">
        <f t="shared" ca="1" si="6"/>
        <v>3.1416549294840967E-4</v>
      </c>
      <c r="O41" s="575">
        <f t="shared" ca="1" si="6"/>
        <v>3.1416549294840967E-4</v>
      </c>
      <c r="P41" s="574" t="s">
        <v>336</v>
      </c>
      <c r="Q41" s="45">
        <f t="shared" ca="1" si="7"/>
        <v>25.755541949722311</v>
      </c>
      <c r="R41" s="45">
        <f t="shared" ca="1" si="7"/>
        <v>25.755541949722311</v>
      </c>
      <c r="S41" s="45">
        <f t="shared" ca="1" si="7"/>
        <v>25.755541949722311</v>
      </c>
      <c r="T41" s="581" t="s">
        <v>336</v>
      </c>
      <c r="U41" s="573">
        <f t="shared" ca="1" si="8"/>
        <v>25.755541949722311</v>
      </c>
      <c r="V41" s="573">
        <f t="shared" ca="1" si="8"/>
        <v>25.755541949722311</v>
      </c>
      <c r="W41" s="574" t="s">
        <v>336</v>
      </c>
    </row>
    <row r="42" spans="1:23" x14ac:dyDescent="0.25">
      <c r="A42" s="812" t="str">
        <f t="shared" si="9"/>
        <v>FB</v>
      </c>
      <c r="B42" s="812" t="s">
        <v>139</v>
      </c>
      <c r="C42" s="133">
        <f t="shared" ca="1" si="3"/>
        <v>1.6684897066908962E-2</v>
      </c>
      <c r="D42" s="133">
        <f t="shared" ca="1" si="3"/>
        <v>1.6684897066908962E-2</v>
      </c>
      <c r="E42" s="133">
        <f t="shared" ca="1" si="3"/>
        <v>1.6684897066908962E-2</v>
      </c>
      <c r="F42" s="551" t="s">
        <v>336</v>
      </c>
      <c r="G42" s="575">
        <f t="shared" ca="1" si="4"/>
        <v>1.6684897066908962E-2</v>
      </c>
      <c r="H42" s="575">
        <f t="shared" ca="1" si="4"/>
        <v>1.6684897066908962E-2</v>
      </c>
      <c r="I42" s="574" t="s">
        <v>336</v>
      </c>
      <c r="J42" s="133">
        <f t="shared" ca="1" si="5"/>
        <v>6.6144915202842277E-4</v>
      </c>
      <c r="K42" s="133">
        <f t="shared" ca="1" si="5"/>
        <v>6.6144915202842277E-4</v>
      </c>
      <c r="L42" s="133">
        <f t="shared" ca="1" si="5"/>
        <v>6.6144915202842277E-4</v>
      </c>
      <c r="M42" s="551" t="s">
        <v>336</v>
      </c>
      <c r="N42" s="575">
        <f t="shared" ca="1" si="6"/>
        <v>6.6144915202842277E-4</v>
      </c>
      <c r="O42" s="575">
        <f t="shared" ca="1" si="6"/>
        <v>6.6144915202842277E-4</v>
      </c>
      <c r="P42" s="574" t="s">
        <v>336</v>
      </c>
      <c r="Q42" s="45">
        <f t="shared" ca="1" si="7"/>
        <v>54.226138022974496</v>
      </c>
      <c r="R42" s="45">
        <f t="shared" ca="1" si="7"/>
        <v>54.226138022974496</v>
      </c>
      <c r="S42" s="45">
        <f t="shared" ca="1" si="7"/>
        <v>54.226138022974496</v>
      </c>
      <c r="T42" s="581" t="s">
        <v>336</v>
      </c>
      <c r="U42" s="573">
        <f t="shared" ca="1" si="8"/>
        <v>54.226138022974496</v>
      </c>
      <c r="V42" s="573">
        <f t="shared" ca="1" si="8"/>
        <v>54.226138022974496</v>
      </c>
      <c r="W42" s="574" t="s">
        <v>336</v>
      </c>
    </row>
    <row r="43" spans="1:23" x14ac:dyDescent="0.25">
      <c r="A43" s="812" t="str">
        <f t="shared" si="9"/>
        <v>FB</v>
      </c>
      <c r="B43" s="812" t="s">
        <v>140</v>
      </c>
      <c r="C43" s="133">
        <f t="shared" ca="1" si="3"/>
        <v>1.0882657141605818E-2</v>
      </c>
      <c r="D43" s="133">
        <f t="shared" ca="1" si="3"/>
        <v>1.0882657141605818E-2</v>
      </c>
      <c r="E43" s="133">
        <f t="shared" ca="1" si="3"/>
        <v>1.0882657141605818E-2</v>
      </c>
      <c r="F43" s="551" t="s">
        <v>336</v>
      </c>
      <c r="G43" s="575">
        <f t="shared" ca="1" si="4"/>
        <v>1.0882657141605818E-2</v>
      </c>
      <c r="H43" s="575">
        <f t="shared" ca="1" si="4"/>
        <v>1.0882657141605818E-2</v>
      </c>
      <c r="I43" s="574" t="s">
        <v>336</v>
      </c>
      <c r="J43" s="133">
        <f t="shared" ca="1" si="5"/>
        <v>3.9824081950916578E-4</v>
      </c>
      <c r="K43" s="133">
        <f t="shared" ca="1" si="5"/>
        <v>3.9824081950916578E-4</v>
      </c>
      <c r="L43" s="133">
        <f t="shared" ca="1" si="5"/>
        <v>3.9824081950916578E-4</v>
      </c>
      <c r="M43" s="551" t="s">
        <v>336</v>
      </c>
      <c r="N43" s="575">
        <f t="shared" ca="1" si="6"/>
        <v>3.9824081950916578E-4</v>
      </c>
      <c r="O43" s="575">
        <f t="shared" ca="1" si="6"/>
        <v>3.9824081950916578E-4</v>
      </c>
      <c r="P43" s="574" t="s">
        <v>336</v>
      </c>
      <c r="Q43" s="45">
        <f t="shared" ca="1" si="7"/>
        <v>32.648105419535774</v>
      </c>
      <c r="R43" s="45">
        <f t="shared" ca="1" si="7"/>
        <v>32.648105419535774</v>
      </c>
      <c r="S43" s="45">
        <f t="shared" ca="1" si="7"/>
        <v>32.648105419535774</v>
      </c>
      <c r="T43" s="581" t="s">
        <v>336</v>
      </c>
      <c r="U43" s="573">
        <f t="shared" ca="1" si="8"/>
        <v>32.648105419535774</v>
      </c>
      <c r="V43" s="573">
        <f t="shared" ca="1" si="8"/>
        <v>32.648105419535774</v>
      </c>
      <c r="W43" s="574" t="s">
        <v>336</v>
      </c>
    </row>
    <row r="44" spans="1:23" x14ac:dyDescent="0.25">
      <c r="A44" s="812" t="str">
        <f t="shared" si="9"/>
        <v>FB</v>
      </c>
      <c r="B44" s="812" t="s">
        <v>141</v>
      </c>
      <c r="C44" s="133">
        <f t="shared" ca="1" si="3"/>
        <v>0.16273012623865676</v>
      </c>
      <c r="D44" s="133">
        <f t="shared" ca="1" si="3"/>
        <v>0.16273012623865676</v>
      </c>
      <c r="E44" s="133">
        <f t="shared" ca="1" si="3"/>
        <v>0.16273012623865676</v>
      </c>
      <c r="F44" s="551" t="s">
        <v>336</v>
      </c>
      <c r="G44" s="575">
        <f t="shared" ca="1" si="4"/>
        <v>0.16273012623865676</v>
      </c>
      <c r="H44" s="575">
        <f t="shared" ca="1" si="4"/>
        <v>0.16273012623865676</v>
      </c>
      <c r="I44" s="574" t="s">
        <v>336</v>
      </c>
      <c r="J44" s="133">
        <f t="shared" ca="1" si="5"/>
        <v>6.3757438418927696E-3</v>
      </c>
      <c r="K44" s="133">
        <f t="shared" ca="1" si="5"/>
        <v>6.3757438418927696E-3</v>
      </c>
      <c r="L44" s="133">
        <f t="shared" ca="1" si="5"/>
        <v>6.3757438418927696E-3</v>
      </c>
      <c r="M44" s="551" t="s">
        <v>336</v>
      </c>
      <c r="N44" s="575">
        <f t="shared" ca="1" si="6"/>
        <v>6.3757438418927696E-3</v>
      </c>
      <c r="O44" s="575">
        <f t="shared" ca="1" si="6"/>
        <v>6.3757438418927696E-3</v>
      </c>
      <c r="P44" s="574" t="s">
        <v>336</v>
      </c>
      <c r="Q44" s="45">
        <f t="shared" ca="1" si="7"/>
        <v>522.68865189315511</v>
      </c>
      <c r="R44" s="45">
        <f t="shared" ca="1" si="7"/>
        <v>522.68865189315511</v>
      </c>
      <c r="S44" s="45">
        <f t="shared" ca="1" si="7"/>
        <v>522.68865189315511</v>
      </c>
      <c r="T44" s="581" t="s">
        <v>336</v>
      </c>
      <c r="U44" s="573">
        <f t="shared" ca="1" si="8"/>
        <v>522.68865189315511</v>
      </c>
      <c r="V44" s="573">
        <f t="shared" ca="1" si="8"/>
        <v>522.68865189315511</v>
      </c>
      <c r="W44" s="574" t="s">
        <v>336</v>
      </c>
    </row>
    <row r="45" spans="1:23" x14ac:dyDescent="0.25">
      <c r="A45" s="812" t="str">
        <f t="shared" si="9"/>
        <v>FB</v>
      </c>
      <c r="B45" s="812" t="s">
        <v>142</v>
      </c>
      <c r="C45" s="133">
        <f t="shared" ca="1" si="3"/>
        <v>0.2236252295335158</v>
      </c>
      <c r="D45" s="133">
        <f t="shared" ca="1" si="3"/>
        <v>0.2236252295335158</v>
      </c>
      <c r="E45" s="133">
        <f t="shared" ca="1" si="3"/>
        <v>0.2236252295335158</v>
      </c>
      <c r="F45" s="551" t="s">
        <v>336</v>
      </c>
      <c r="G45" s="575">
        <f t="shared" ca="1" si="4"/>
        <v>0.2236252295335158</v>
      </c>
      <c r="H45" s="575">
        <f t="shared" ca="1" si="4"/>
        <v>0.2236252295335158</v>
      </c>
      <c r="I45" s="574" t="s">
        <v>336</v>
      </c>
      <c r="J45" s="133">
        <f t="shared" ca="1" si="5"/>
        <v>1.3423595055561802E-2</v>
      </c>
      <c r="K45" s="133">
        <f t="shared" ca="1" si="5"/>
        <v>1.3423595055561802E-2</v>
      </c>
      <c r="L45" s="133">
        <f t="shared" ca="1" si="5"/>
        <v>1.3423595055561802E-2</v>
      </c>
      <c r="M45" s="551" t="s">
        <v>336</v>
      </c>
      <c r="N45" s="575">
        <f t="shared" ca="1" si="6"/>
        <v>1.3423595055561802E-2</v>
      </c>
      <c r="O45" s="575">
        <f t="shared" ca="1" si="6"/>
        <v>1.3423595055561802E-2</v>
      </c>
      <c r="P45" s="574" t="s">
        <v>336</v>
      </c>
      <c r="Q45" s="45">
        <f t="shared" ca="1" si="7"/>
        <v>1100.4772113097122</v>
      </c>
      <c r="R45" s="45">
        <f t="shared" ca="1" si="7"/>
        <v>1100.4772113097122</v>
      </c>
      <c r="S45" s="45">
        <f t="shared" ca="1" si="7"/>
        <v>1100.4772113097122</v>
      </c>
      <c r="T45" s="581" t="s">
        <v>336</v>
      </c>
      <c r="U45" s="573">
        <f t="shared" ca="1" si="8"/>
        <v>1100.4772113097122</v>
      </c>
      <c r="V45" s="573">
        <f t="shared" ca="1" si="8"/>
        <v>1100.4772113097122</v>
      </c>
      <c r="W45" s="574" t="s">
        <v>336</v>
      </c>
    </row>
    <row r="46" spans="1:23" x14ac:dyDescent="0.25">
      <c r="A46" s="812" t="str">
        <f t="shared" si="9"/>
        <v>FB</v>
      </c>
      <c r="B46" s="812" t="s">
        <v>143</v>
      </c>
      <c r="C46" s="133">
        <f t="shared" ca="1" si="3"/>
        <v>0.14939369434767846</v>
      </c>
      <c r="D46" s="133">
        <f t="shared" ca="1" si="3"/>
        <v>0.14939369434767846</v>
      </c>
      <c r="E46" s="133">
        <f t="shared" ca="1" si="3"/>
        <v>0.14939369434767846</v>
      </c>
      <c r="F46" s="551" t="s">
        <v>336</v>
      </c>
      <c r="G46" s="575">
        <f t="shared" ca="1" si="4"/>
        <v>0.14939369434767846</v>
      </c>
      <c r="H46" s="575">
        <f t="shared" ca="1" si="4"/>
        <v>0.14939369434767846</v>
      </c>
      <c r="I46" s="574" t="s">
        <v>336</v>
      </c>
      <c r="J46" s="133">
        <f t="shared" ca="1" si="5"/>
        <v>8.081987072313012E-3</v>
      </c>
      <c r="K46" s="133">
        <f t="shared" ca="1" si="5"/>
        <v>8.081987072313012E-3</v>
      </c>
      <c r="L46" s="133">
        <f t="shared" ca="1" si="5"/>
        <v>8.081987072313012E-3</v>
      </c>
      <c r="M46" s="551" t="s">
        <v>336</v>
      </c>
      <c r="N46" s="575">
        <f t="shared" ca="1" si="6"/>
        <v>8.081987072313012E-3</v>
      </c>
      <c r="O46" s="575">
        <f t="shared" ca="1" si="6"/>
        <v>8.081987072313012E-3</v>
      </c>
      <c r="P46" s="574" t="s">
        <v>336</v>
      </c>
      <c r="Q46" s="45">
        <f t="shared" ca="1" si="7"/>
        <v>662.56785595562917</v>
      </c>
      <c r="R46" s="45">
        <f t="shared" ca="1" si="7"/>
        <v>662.56785595562917</v>
      </c>
      <c r="S46" s="45">
        <f t="shared" ca="1" si="7"/>
        <v>662.56785595562917</v>
      </c>
      <c r="T46" s="581" t="s">
        <v>336</v>
      </c>
      <c r="U46" s="573">
        <f t="shared" ca="1" si="8"/>
        <v>662.56785595562917</v>
      </c>
      <c r="V46" s="573">
        <f t="shared" ca="1" si="8"/>
        <v>662.56785595562917</v>
      </c>
      <c r="W46" s="574" t="s">
        <v>336</v>
      </c>
    </row>
    <row r="47" spans="1:23" x14ac:dyDescent="0.25">
      <c r="A47" s="812" t="str">
        <f t="shared" si="9"/>
        <v>FB</v>
      </c>
      <c r="B47" s="812" t="s">
        <v>144</v>
      </c>
      <c r="C47" s="133">
        <f t="shared" ca="1" si="3"/>
        <v>5.5124321637924269E-3</v>
      </c>
      <c r="D47" s="133">
        <f t="shared" ca="1" si="3"/>
        <v>5.5124321637924269E-3</v>
      </c>
      <c r="E47" s="133">
        <f t="shared" ca="1" si="3"/>
        <v>5.5124321637924269E-3</v>
      </c>
      <c r="F47" s="551" t="s">
        <v>336</v>
      </c>
      <c r="G47" s="575">
        <f t="shared" ca="1" si="4"/>
        <v>5.5124321637924269E-3</v>
      </c>
      <c r="H47" s="575">
        <f t="shared" ca="1" si="4"/>
        <v>5.5124321637924269E-3</v>
      </c>
      <c r="I47" s="574" t="s">
        <v>336</v>
      </c>
      <c r="J47" s="133">
        <f t="shared" ca="1" si="5"/>
        <v>7.087543090988378E-4</v>
      </c>
      <c r="K47" s="133">
        <f t="shared" ca="1" si="5"/>
        <v>7.087543090988378E-4</v>
      </c>
      <c r="L47" s="133">
        <f t="shared" ca="1" si="5"/>
        <v>7.087543090988378E-4</v>
      </c>
      <c r="M47" s="551" t="s">
        <v>336</v>
      </c>
      <c r="N47" s="575">
        <f t="shared" ca="1" si="6"/>
        <v>7.087543090988378E-4</v>
      </c>
      <c r="O47" s="575">
        <f t="shared" ca="1" si="6"/>
        <v>7.087543090988378E-4</v>
      </c>
      <c r="P47" s="574" t="s">
        <v>336</v>
      </c>
      <c r="Q47" s="45">
        <f t="shared" ca="1" si="7"/>
        <v>69.387149527792829</v>
      </c>
      <c r="R47" s="45">
        <f t="shared" ca="1" si="7"/>
        <v>69.387149527792829</v>
      </c>
      <c r="S47" s="45">
        <f t="shared" ca="1" si="7"/>
        <v>69.387149527792829</v>
      </c>
      <c r="T47" s="581" t="s">
        <v>336</v>
      </c>
      <c r="U47" s="573">
        <f t="shared" ca="1" si="8"/>
        <v>69.387149527792829</v>
      </c>
      <c r="V47" s="573">
        <f t="shared" ca="1" si="8"/>
        <v>69.387149527792829</v>
      </c>
      <c r="W47" s="574" t="s">
        <v>336</v>
      </c>
    </row>
    <row r="48" spans="1:23" x14ac:dyDescent="0.25">
      <c r="A48" s="812" t="str">
        <f t="shared" si="9"/>
        <v>FB</v>
      </c>
      <c r="B48" s="812" t="s">
        <v>145</v>
      </c>
      <c r="C48" s="133">
        <f t="shared" ca="1" si="3"/>
        <v>1.8593605007127031E-2</v>
      </c>
      <c r="D48" s="133">
        <f t="shared" ca="1" si="3"/>
        <v>1.8593605007127031E-2</v>
      </c>
      <c r="E48" s="133">
        <f t="shared" ca="1" si="3"/>
        <v>1.8593605007127031E-2</v>
      </c>
      <c r="F48" s="551" t="s">
        <v>336</v>
      </c>
      <c r="G48" s="575">
        <f t="shared" ca="1" si="4"/>
        <v>1.8593605007127031E-2</v>
      </c>
      <c r="H48" s="575">
        <f t="shared" ca="1" si="4"/>
        <v>1.8593605007127031E-2</v>
      </c>
      <c r="I48" s="574" t="s">
        <v>336</v>
      </c>
      <c r="J48" s="133">
        <f t="shared" ca="1" si="5"/>
        <v>2.3906503116795986E-3</v>
      </c>
      <c r="K48" s="133">
        <f t="shared" ca="1" si="5"/>
        <v>2.3906503116795986E-3</v>
      </c>
      <c r="L48" s="133">
        <f t="shared" ca="1" si="5"/>
        <v>2.3906503116795986E-3</v>
      </c>
      <c r="M48" s="551" t="s">
        <v>336</v>
      </c>
      <c r="N48" s="575">
        <f t="shared" ca="1" si="6"/>
        <v>2.3906503116795986E-3</v>
      </c>
      <c r="O48" s="575">
        <f t="shared" ca="1" si="6"/>
        <v>2.3906503116795986E-3</v>
      </c>
      <c r="P48" s="574" t="s">
        <v>336</v>
      </c>
      <c r="Q48" s="45">
        <f t="shared" ca="1" si="7"/>
        <v>234.04501181247051</v>
      </c>
      <c r="R48" s="45">
        <f t="shared" ca="1" si="7"/>
        <v>234.04501181247051</v>
      </c>
      <c r="S48" s="45">
        <f t="shared" ca="1" si="7"/>
        <v>234.04501181247051</v>
      </c>
      <c r="T48" s="581" t="s">
        <v>336</v>
      </c>
      <c r="U48" s="573">
        <f t="shared" ca="1" si="8"/>
        <v>234.04501181247051</v>
      </c>
      <c r="V48" s="573">
        <f t="shared" ca="1" si="8"/>
        <v>234.04501181247051</v>
      </c>
      <c r="W48" s="574" t="s">
        <v>336</v>
      </c>
    </row>
    <row r="49" spans="1:23" x14ac:dyDescent="0.25">
      <c r="A49" s="812" t="str">
        <f t="shared" si="9"/>
        <v>FB</v>
      </c>
      <c r="B49" s="812" t="s">
        <v>146</v>
      </c>
      <c r="C49" s="133">
        <f t="shared" ca="1" si="3"/>
        <v>9.2380131856056202E-2</v>
      </c>
      <c r="D49" s="133">
        <f t="shared" ca="1" si="3"/>
        <v>9.2380131856056202E-2</v>
      </c>
      <c r="E49" s="133">
        <f t="shared" ca="1" si="3"/>
        <v>9.2380131856056202E-2</v>
      </c>
      <c r="F49" s="551" t="s">
        <v>336</v>
      </c>
      <c r="G49" s="575">
        <f t="shared" ca="1" si="4"/>
        <v>9.2380131856056202E-2</v>
      </c>
      <c r="H49" s="575">
        <f t="shared" ca="1" si="4"/>
        <v>9.2380131856056202E-2</v>
      </c>
      <c r="I49" s="574" t="s">
        <v>336</v>
      </c>
      <c r="J49" s="133">
        <f t="shared" ca="1" si="5"/>
        <v>4.4525510941441915E-3</v>
      </c>
      <c r="K49" s="133">
        <f t="shared" ca="1" si="5"/>
        <v>4.4525510941441915E-3</v>
      </c>
      <c r="L49" s="133">
        <f t="shared" ca="1" si="5"/>
        <v>4.4525510941441915E-3</v>
      </c>
      <c r="M49" s="551" t="s">
        <v>336</v>
      </c>
      <c r="N49" s="575">
        <f t="shared" ca="1" si="6"/>
        <v>4.4525510941441915E-3</v>
      </c>
      <c r="O49" s="575">
        <f t="shared" ca="1" si="6"/>
        <v>4.4525510941441915E-3</v>
      </c>
      <c r="P49" s="574" t="s">
        <v>336</v>
      </c>
      <c r="Q49" s="45">
        <f t="shared" ca="1" si="7"/>
        <v>364.8984489691814</v>
      </c>
      <c r="R49" s="45">
        <f t="shared" ca="1" si="7"/>
        <v>364.8984489691814</v>
      </c>
      <c r="S49" s="45">
        <f t="shared" ca="1" si="7"/>
        <v>364.8984489691814</v>
      </c>
      <c r="T49" s="581" t="s">
        <v>336</v>
      </c>
      <c r="U49" s="573">
        <f t="shared" ca="1" si="8"/>
        <v>364.8984489691814</v>
      </c>
      <c r="V49" s="573">
        <f t="shared" ca="1" si="8"/>
        <v>364.8984489691814</v>
      </c>
      <c r="W49" s="574" t="s">
        <v>336</v>
      </c>
    </row>
    <row r="50" spans="1:23" x14ac:dyDescent="0.25">
      <c r="A50" s="812" t="str">
        <f t="shared" si="9"/>
        <v>FB</v>
      </c>
      <c r="B50" s="812" t="s">
        <v>568</v>
      </c>
      <c r="C50" s="133">
        <f t="shared" ca="1" si="3"/>
        <v>2.006265378868536E-2</v>
      </c>
      <c r="D50" s="133">
        <f t="shared" ca="1" si="3"/>
        <v>2.006265378868536E-2</v>
      </c>
      <c r="E50" s="133">
        <f t="shared" ca="1" si="3"/>
        <v>2.006265378868536E-2</v>
      </c>
      <c r="F50" s="551" t="s">
        <v>336</v>
      </c>
      <c r="G50" s="575">
        <f t="shared" ca="1" si="4"/>
        <v>2.006265378868536E-2</v>
      </c>
      <c r="H50" s="575">
        <f t="shared" ca="1" si="4"/>
        <v>2.006265378868536E-2</v>
      </c>
      <c r="I50" s="574" t="s">
        <v>336</v>
      </c>
      <c r="J50" s="133">
        <f t="shared" ca="1" si="5"/>
        <v>1.5103792542849401</v>
      </c>
      <c r="K50" s="133">
        <f t="shared" ca="1" si="5"/>
        <v>1.5103792542849401</v>
      </c>
      <c r="L50" s="133">
        <f t="shared" ca="1" si="5"/>
        <v>1.5103792542849401</v>
      </c>
      <c r="M50" s="551" t="s">
        <v>336</v>
      </c>
      <c r="N50" s="575">
        <f t="shared" ca="1" si="6"/>
        <v>1.5103792542849401</v>
      </c>
      <c r="O50" s="575">
        <f t="shared" ca="1" si="6"/>
        <v>1.5103792542849401</v>
      </c>
      <c r="P50" s="574" t="s">
        <v>336</v>
      </c>
      <c r="Q50" s="45">
        <f t="shared" ca="1" si="7"/>
        <v>14325.003718430242</v>
      </c>
      <c r="R50" s="45">
        <f t="shared" ca="1" si="7"/>
        <v>14325.003718430242</v>
      </c>
      <c r="S50" s="45">
        <f t="shared" ca="1" si="7"/>
        <v>14325.003718430242</v>
      </c>
      <c r="T50" s="581" t="s">
        <v>336</v>
      </c>
      <c r="U50" s="573">
        <f t="shared" ca="1" si="8"/>
        <v>14325.003718430242</v>
      </c>
      <c r="V50" s="573">
        <f t="shared" ca="1" si="8"/>
        <v>14325.003718430242</v>
      </c>
      <c r="W50" s="574" t="s">
        <v>336</v>
      </c>
    </row>
    <row r="51" spans="1:23" x14ac:dyDescent="0.25">
      <c r="A51" s="812" t="str">
        <f t="shared" si="9"/>
        <v>FB</v>
      </c>
      <c r="B51" s="812" t="s">
        <v>148</v>
      </c>
      <c r="C51" s="133">
        <f t="shared" ca="1" si="3"/>
        <v>6.6997839116611233E-3</v>
      </c>
      <c r="D51" s="133">
        <f t="shared" ca="1" si="3"/>
        <v>6.6997839116611233E-3</v>
      </c>
      <c r="E51" s="133">
        <f t="shared" ca="1" si="3"/>
        <v>6.6997839116611233E-3</v>
      </c>
      <c r="F51" s="551" t="s">
        <v>336</v>
      </c>
      <c r="G51" s="575">
        <f t="shared" ca="1" si="4"/>
        <v>6.6997839116611233E-3</v>
      </c>
      <c r="H51" s="575">
        <f t="shared" ca="1" si="4"/>
        <v>6.6997839116611233E-3</v>
      </c>
      <c r="I51" s="574" t="s">
        <v>336</v>
      </c>
      <c r="J51" s="133">
        <f t="shared" ca="1" si="5"/>
        <v>0.2220333380806237</v>
      </c>
      <c r="K51" s="133">
        <f t="shared" ca="1" si="5"/>
        <v>0.2220333380806237</v>
      </c>
      <c r="L51" s="133">
        <f t="shared" ca="1" si="5"/>
        <v>0.2220333380806237</v>
      </c>
      <c r="M51" s="551" t="s">
        <v>336</v>
      </c>
      <c r="N51" s="575">
        <f t="shared" ca="1" si="6"/>
        <v>0.2220333380806237</v>
      </c>
      <c r="O51" s="575">
        <f t="shared" ca="1" si="6"/>
        <v>0.2220333380806237</v>
      </c>
      <c r="P51" s="574" t="s">
        <v>336</v>
      </c>
      <c r="Q51" s="45">
        <f t="shared" ca="1" si="7"/>
        <v>4936.6225007384364</v>
      </c>
      <c r="R51" s="45">
        <f t="shared" ca="1" si="7"/>
        <v>4936.6225007384364</v>
      </c>
      <c r="S51" s="45">
        <f t="shared" ca="1" si="7"/>
        <v>4936.6225007384364</v>
      </c>
      <c r="T51" s="581" t="s">
        <v>336</v>
      </c>
      <c r="U51" s="573">
        <f t="shared" ca="1" si="8"/>
        <v>4936.6225007384364</v>
      </c>
      <c r="V51" s="573">
        <f t="shared" ca="1" si="8"/>
        <v>4936.6225007384364</v>
      </c>
      <c r="W51" s="574" t="s">
        <v>336</v>
      </c>
    </row>
    <row r="52" spans="1:23" x14ac:dyDescent="0.25">
      <c r="A52" s="812" t="str">
        <f t="shared" si="9"/>
        <v>FB</v>
      </c>
      <c r="B52" s="812" t="s">
        <v>746</v>
      </c>
      <c r="C52" s="133">
        <f t="shared" ca="1" si="3"/>
        <v>1.2008982795361579E-4</v>
      </c>
      <c r="D52" s="133">
        <f t="shared" ca="1" si="3"/>
        <v>1.2008982795361579E-4</v>
      </c>
      <c r="E52" s="133">
        <f t="shared" ca="1" si="3"/>
        <v>1.2008982795361579E-4</v>
      </c>
      <c r="F52" s="551" t="s">
        <v>336</v>
      </c>
      <c r="G52" s="575">
        <f t="shared" ca="1" si="4"/>
        <v>1.2008982795361579E-4</v>
      </c>
      <c r="H52" s="575">
        <f t="shared" ca="1" si="4"/>
        <v>1.2008982795361579E-4</v>
      </c>
      <c r="I52" s="574" t="s">
        <v>336</v>
      </c>
      <c r="J52" s="133">
        <f t="shared" ca="1" si="5"/>
        <v>1.0319936207562502E-2</v>
      </c>
      <c r="K52" s="133">
        <f t="shared" ca="1" si="5"/>
        <v>1.0319936207562502E-2</v>
      </c>
      <c r="L52" s="133">
        <f t="shared" ca="1" si="5"/>
        <v>1.0319936207562502E-2</v>
      </c>
      <c r="M52" s="551" t="s">
        <v>336</v>
      </c>
      <c r="N52" s="575">
        <f t="shared" ca="1" si="6"/>
        <v>1.0319936207562502E-2</v>
      </c>
      <c r="O52" s="575">
        <f t="shared" ca="1" si="6"/>
        <v>1.0319936207562502E-2</v>
      </c>
      <c r="P52" s="574" t="s">
        <v>336</v>
      </c>
      <c r="Q52" s="45">
        <f t="shared" ca="1" si="7"/>
        <v>99.908731699052524</v>
      </c>
      <c r="R52" s="45">
        <f t="shared" ca="1" si="7"/>
        <v>99.908731699052524</v>
      </c>
      <c r="S52" s="45">
        <f t="shared" ca="1" si="7"/>
        <v>99.908731699052524</v>
      </c>
      <c r="T52" s="581" t="s">
        <v>336</v>
      </c>
      <c r="U52" s="573">
        <f t="shared" ca="1" si="8"/>
        <v>99.908731699052524</v>
      </c>
      <c r="V52" s="573">
        <f t="shared" ca="1" si="8"/>
        <v>99.908731699052524</v>
      </c>
      <c r="W52" s="574" t="s">
        <v>336</v>
      </c>
    </row>
    <row r="53" spans="1:23" x14ac:dyDescent="0.25">
      <c r="A53" s="812" t="str">
        <f t="shared" si="9"/>
        <v>FB</v>
      </c>
      <c r="B53" s="812" t="s">
        <v>747</v>
      </c>
      <c r="C53" s="133">
        <f t="shared" ca="1" si="3"/>
        <v>4.63773133095129E-4</v>
      </c>
      <c r="D53" s="133">
        <f t="shared" ca="1" si="3"/>
        <v>4.63773133095129E-4</v>
      </c>
      <c r="E53" s="133">
        <f t="shared" ca="1" si="3"/>
        <v>4.63773133095129E-4</v>
      </c>
      <c r="F53" s="551" t="s">
        <v>336</v>
      </c>
      <c r="G53" s="575">
        <f t="shared" ca="1" si="4"/>
        <v>4.63773133095129E-4</v>
      </c>
      <c r="H53" s="575">
        <f t="shared" ca="1" si="4"/>
        <v>4.63773133095129E-4</v>
      </c>
      <c r="I53" s="574" t="s">
        <v>336</v>
      </c>
      <c r="J53" s="133">
        <f t="shared" ca="1" si="5"/>
        <v>3.4914290317697355E-2</v>
      </c>
      <c r="K53" s="133">
        <f t="shared" ca="1" si="5"/>
        <v>3.4914290317697355E-2</v>
      </c>
      <c r="L53" s="133">
        <f t="shared" ca="1" si="5"/>
        <v>3.4914290317697355E-2</v>
      </c>
      <c r="M53" s="551" t="s">
        <v>336</v>
      </c>
      <c r="N53" s="575">
        <f t="shared" ca="1" si="6"/>
        <v>3.4914290317697355E-2</v>
      </c>
      <c r="O53" s="575">
        <f t="shared" ca="1" si="6"/>
        <v>3.4914290317697355E-2</v>
      </c>
      <c r="P53" s="574" t="s">
        <v>336</v>
      </c>
      <c r="Q53" s="45">
        <f t="shared" ca="1" si="7"/>
        <v>308.41461373397158</v>
      </c>
      <c r="R53" s="45">
        <f t="shared" ca="1" si="7"/>
        <v>308.41461373397158</v>
      </c>
      <c r="S53" s="45">
        <f t="shared" ca="1" si="7"/>
        <v>308.41461373397158</v>
      </c>
      <c r="T53" s="581" t="s">
        <v>336</v>
      </c>
      <c r="U53" s="573">
        <f t="shared" ca="1" si="8"/>
        <v>308.41461373397158</v>
      </c>
      <c r="V53" s="573">
        <f t="shared" ca="1" si="8"/>
        <v>308.41461373397158</v>
      </c>
      <c r="W53" s="574" t="s">
        <v>336</v>
      </c>
    </row>
    <row r="54" spans="1:23" x14ac:dyDescent="0.25">
      <c r="A54" s="812" t="str">
        <f t="shared" si="9"/>
        <v>FB</v>
      </c>
      <c r="B54" s="812" t="s">
        <v>149</v>
      </c>
      <c r="C54" s="133">
        <f t="shared" ca="1" si="3"/>
        <v>2.2028459468985464E-6</v>
      </c>
      <c r="D54" s="133">
        <f t="shared" ca="1" si="3"/>
        <v>2.2028459468985464E-6</v>
      </c>
      <c r="E54" s="133">
        <f t="shared" ca="1" si="3"/>
        <v>2.2028459468985464E-6</v>
      </c>
      <c r="F54" s="551" t="s">
        <v>336</v>
      </c>
      <c r="G54" s="575">
        <f t="shared" ca="1" si="4"/>
        <v>2.2028459468985464E-6</v>
      </c>
      <c r="H54" s="575">
        <f t="shared" ca="1" si="4"/>
        <v>2.2028459468985464E-6</v>
      </c>
      <c r="I54" s="574" t="s">
        <v>336</v>
      </c>
      <c r="J54" s="133">
        <f t="shared" ca="1" si="5"/>
        <v>3.1735379753247884E-5</v>
      </c>
      <c r="K54" s="133">
        <f t="shared" ca="1" si="5"/>
        <v>3.1735379753247884E-5</v>
      </c>
      <c r="L54" s="133">
        <f t="shared" ca="1" si="5"/>
        <v>3.1735379753247884E-5</v>
      </c>
      <c r="M54" s="551" t="s">
        <v>336</v>
      </c>
      <c r="N54" s="575">
        <f t="shared" ca="1" si="6"/>
        <v>3.1735379753247884E-5</v>
      </c>
      <c r="O54" s="575">
        <f t="shared" ca="1" si="6"/>
        <v>3.1735379753247884E-5</v>
      </c>
      <c r="P54" s="574" t="s">
        <v>336</v>
      </c>
      <c r="Q54" s="45">
        <f t="shared" ca="1" si="7"/>
        <v>133.36057406165881</v>
      </c>
      <c r="R54" s="45">
        <f t="shared" ca="1" si="7"/>
        <v>133.36057406165881</v>
      </c>
      <c r="S54" s="45">
        <f t="shared" ca="1" si="7"/>
        <v>133.36057406165881</v>
      </c>
      <c r="T54" s="581" t="s">
        <v>336</v>
      </c>
      <c r="U54" s="573">
        <f t="shared" ca="1" si="8"/>
        <v>133.36057406165881</v>
      </c>
      <c r="V54" s="573">
        <f t="shared" ca="1" si="8"/>
        <v>133.36057406165881</v>
      </c>
      <c r="W54" s="574" t="s">
        <v>336</v>
      </c>
    </row>
    <row r="55" spans="1:23" x14ac:dyDescent="0.25">
      <c r="A55" s="812" t="str">
        <f t="shared" si="9"/>
        <v>FB</v>
      </c>
      <c r="B55" s="812" t="s">
        <v>150</v>
      </c>
      <c r="C55" s="133">
        <f t="shared" ca="1" si="3"/>
        <v>3.7935910368371143E-3</v>
      </c>
      <c r="D55" s="133">
        <f t="shared" ca="1" si="3"/>
        <v>3.7935910368371143E-3</v>
      </c>
      <c r="E55" s="133">
        <f t="shared" ca="1" si="3"/>
        <v>3.7935910368371143E-3</v>
      </c>
      <c r="F55" s="551" t="s">
        <v>336</v>
      </c>
      <c r="G55" s="575">
        <f t="shared" ca="1" si="4"/>
        <v>3.7935910368371143E-3</v>
      </c>
      <c r="H55" s="575">
        <f t="shared" ca="1" si="4"/>
        <v>3.7935910368371143E-3</v>
      </c>
      <c r="I55" s="574" t="s">
        <v>336</v>
      </c>
      <c r="J55" s="133">
        <f t="shared" ca="1" si="5"/>
        <v>3.5619051925828669E-4</v>
      </c>
      <c r="K55" s="133">
        <f t="shared" ca="1" si="5"/>
        <v>3.5619051925828669E-4</v>
      </c>
      <c r="L55" s="133">
        <f t="shared" ca="1" si="5"/>
        <v>3.5619051925828669E-4</v>
      </c>
      <c r="M55" s="551" t="s">
        <v>336</v>
      </c>
      <c r="N55" s="575">
        <f t="shared" ca="1" si="6"/>
        <v>3.5619051925828669E-4</v>
      </c>
      <c r="O55" s="575">
        <f t="shared" ca="1" si="6"/>
        <v>3.5619051925828669E-4</v>
      </c>
      <c r="P55" s="574" t="s">
        <v>336</v>
      </c>
      <c r="Q55" s="45">
        <f t="shared" ca="1" si="7"/>
        <v>1230.7092316692713</v>
      </c>
      <c r="R55" s="45">
        <f t="shared" ca="1" si="7"/>
        <v>1230.7092316692713</v>
      </c>
      <c r="S55" s="45">
        <f t="shared" ca="1" si="7"/>
        <v>1230.7092316692713</v>
      </c>
      <c r="T55" s="581" t="s">
        <v>336</v>
      </c>
      <c r="U55" s="573">
        <f t="shared" ca="1" si="8"/>
        <v>1230.7092316692713</v>
      </c>
      <c r="V55" s="573">
        <f t="shared" ca="1" si="8"/>
        <v>1230.7092316692713</v>
      </c>
      <c r="W55" s="574" t="s">
        <v>336</v>
      </c>
    </row>
    <row r="56" spans="1:23" x14ac:dyDescent="0.25">
      <c r="A56" s="812" t="str">
        <f t="shared" si="9"/>
        <v>FB</v>
      </c>
      <c r="B56" s="812" t="s">
        <v>151</v>
      </c>
      <c r="C56" s="133">
        <f t="shared" ref="C56:E59" ca="1" si="10">C22*C$32/C$26</f>
        <v>3.5835634436345611E-2</v>
      </c>
      <c r="D56" s="133">
        <f t="shared" ca="1" si="10"/>
        <v>3.5835634436345611E-2</v>
      </c>
      <c r="E56" s="133">
        <f t="shared" ca="1" si="10"/>
        <v>3.5835634436345611E-2</v>
      </c>
      <c r="F56" s="551" t="s">
        <v>336</v>
      </c>
      <c r="G56" s="575">
        <f t="shared" ref="G56:H59" ca="1" si="11">G22*G$32/G$26</f>
        <v>3.5835634436345611E-2</v>
      </c>
      <c r="H56" s="575">
        <f t="shared" ca="1" si="11"/>
        <v>3.5835634436345611E-2</v>
      </c>
      <c r="I56" s="574" t="s">
        <v>336</v>
      </c>
      <c r="J56" s="133">
        <f t="shared" ref="J56:L59" ca="1" si="12">J22*J$32/J$26</f>
        <v>4.9607284440179755E-2</v>
      </c>
      <c r="K56" s="133">
        <f t="shared" ca="1" si="12"/>
        <v>4.9607284440179755E-2</v>
      </c>
      <c r="L56" s="133">
        <f t="shared" ca="1" si="12"/>
        <v>4.9607284440179755E-2</v>
      </c>
      <c r="M56" s="551" t="s">
        <v>336</v>
      </c>
      <c r="N56" s="575">
        <f t="shared" ref="N56:O59" ca="1" si="13">N22*N$32/N$26</f>
        <v>4.9607284440179755E-2</v>
      </c>
      <c r="O56" s="575">
        <f t="shared" ca="1" si="13"/>
        <v>4.9607284440179755E-2</v>
      </c>
      <c r="P56" s="574" t="s">
        <v>336</v>
      </c>
      <c r="Q56" s="45">
        <f t="shared" ref="Q56:S59" ca="1" si="14">Q22*Q$32/Q$26</f>
        <v>165.60155255511441</v>
      </c>
      <c r="R56" s="45">
        <f t="shared" ca="1" si="14"/>
        <v>165.60155255511441</v>
      </c>
      <c r="S56" s="45">
        <f t="shared" ca="1" si="14"/>
        <v>165.60155255511441</v>
      </c>
      <c r="T56" s="581" t="s">
        <v>336</v>
      </c>
      <c r="U56" s="573">
        <f t="shared" ref="U56:V59" ca="1" si="15">U22*U$32/U$26</f>
        <v>165.60155255511441</v>
      </c>
      <c r="V56" s="573">
        <f t="shared" ca="1" si="15"/>
        <v>165.60155255511441</v>
      </c>
      <c r="W56" s="574" t="s">
        <v>336</v>
      </c>
    </row>
    <row r="57" spans="1:23" x14ac:dyDescent="0.25">
      <c r="A57" s="812" t="str">
        <f t="shared" si="9"/>
        <v>FB</v>
      </c>
      <c r="B57" s="812" t="s">
        <v>152</v>
      </c>
      <c r="C57" s="133">
        <f t="shared" ca="1" si="10"/>
        <v>9.9002978581824526E-5</v>
      </c>
      <c r="D57" s="133">
        <f t="shared" ca="1" si="10"/>
        <v>9.9002978581824526E-5</v>
      </c>
      <c r="E57" s="133">
        <f t="shared" ca="1" si="10"/>
        <v>9.9002978581824526E-5</v>
      </c>
      <c r="F57" s="551" t="s">
        <v>336</v>
      </c>
      <c r="G57" s="575">
        <f t="shared" ca="1" si="11"/>
        <v>9.9002978581824526E-5</v>
      </c>
      <c r="H57" s="575">
        <f t="shared" ca="1" si="11"/>
        <v>9.9002978581824526E-5</v>
      </c>
      <c r="I57" s="574" t="s">
        <v>336</v>
      </c>
      <c r="J57" s="133">
        <f t="shared" ca="1" si="12"/>
        <v>1.3704986659737856E-4</v>
      </c>
      <c r="K57" s="133">
        <f t="shared" ca="1" si="12"/>
        <v>1.3704986659737856E-4</v>
      </c>
      <c r="L57" s="133">
        <f t="shared" ca="1" si="12"/>
        <v>1.3704986659737856E-4</v>
      </c>
      <c r="M57" s="551" t="s">
        <v>336</v>
      </c>
      <c r="N57" s="575">
        <f t="shared" ca="1" si="13"/>
        <v>1.3704986659737856E-4</v>
      </c>
      <c r="O57" s="575">
        <f t="shared" ca="1" si="13"/>
        <v>1.3704986659737856E-4</v>
      </c>
      <c r="P57" s="574" t="s">
        <v>336</v>
      </c>
      <c r="Q57" s="45">
        <f t="shared" ca="1" si="14"/>
        <v>6.9165103973159567</v>
      </c>
      <c r="R57" s="45">
        <f t="shared" ca="1" si="14"/>
        <v>6.9165103973159567</v>
      </c>
      <c r="S57" s="45">
        <f t="shared" ca="1" si="14"/>
        <v>6.9165103973159567</v>
      </c>
      <c r="T57" s="581" t="s">
        <v>336</v>
      </c>
      <c r="U57" s="573">
        <f t="shared" ca="1" si="15"/>
        <v>6.9165103973159567</v>
      </c>
      <c r="V57" s="573">
        <f t="shared" ca="1" si="15"/>
        <v>6.9165103973159567</v>
      </c>
      <c r="W57" s="574" t="s">
        <v>336</v>
      </c>
    </row>
    <row r="58" spans="1:23" x14ac:dyDescent="0.25">
      <c r="A58" s="812" t="str">
        <f t="shared" si="9"/>
        <v>FB</v>
      </c>
      <c r="B58" s="812" t="s">
        <v>153</v>
      </c>
      <c r="C58" s="133">
        <f t="shared" ca="1" si="10"/>
        <v>9.6977132554857149E-5</v>
      </c>
      <c r="D58" s="133">
        <f t="shared" ca="1" si="10"/>
        <v>9.6977132554857149E-5</v>
      </c>
      <c r="E58" s="133">
        <f t="shared" ca="1" si="10"/>
        <v>9.6977132554857149E-5</v>
      </c>
      <c r="F58" s="551" t="s">
        <v>336</v>
      </c>
      <c r="G58" s="575">
        <f t="shared" ca="1" si="11"/>
        <v>9.6977132554857149E-5</v>
      </c>
      <c r="H58" s="575">
        <f t="shared" ca="1" si="11"/>
        <v>9.6977132554857149E-5</v>
      </c>
      <c r="I58" s="574" t="s">
        <v>336</v>
      </c>
      <c r="J58" s="133">
        <f t="shared" ca="1" si="12"/>
        <v>3.3736631590539783E-6</v>
      </c>
      <c r="K58" s="133">
        <f t="shared" ca="1" si="12"/>
        <v>3.3736631590539783E-6</v>
      </c>
      <c r="L58" s="133">
        <f t="shared" ca="1" si="12"/>
        <v>3.3736631590539783E-6</v>
      </c>
      <c r="M58" s="551" t="s">
        <v>336</v>
      </c>
      <c r="N58" s="575">
        <f t="shared" ca="1" si="13"/>
        <v>3.3736631590539783E-6</v>
      </c>
      <c r="O58" s="575">
        <f t="shared" ca="1" si="13"/>
        <v>3.3736631590539783E-6</v>
      </c>
      <c r="P58" s="574" t="s">
        <v>336</v>
      </c>
      <c r="Q58" s="45">
        <f t="shared" ca="1" si="14"/>
        <v>3.608998462210292</v>
      </c>
      <c r="R58" s="45">
        <f t="shared" ca="1" si="14"/>
        <v>3.608998462210292</v>
      </c>
      <c r="S58" s="45">
        <f t="shared" ca="1" si="14"/>
        <v>3.608998462210292</v>
      </c>
      <c r="T58" s="581" t="s">
        <v>336</v>
      </c>
      <c r="U58" s="573">
        <f t="shared" ca="1" si="15"/>
        <v>3.608998462210292</v>
      </c>
      <c r="V58" s="573">
        <f t="shared" ca="1" si="15"/>
        <v>3.608998462210292</v>
      </c>
      <c r="W58" s="574" t="s">
        <v>336</v>
      </c>
    </row>
    <row r="59" spans="1:23" x14ac:dyDescent="0.25">
      <c r="A59" s="813" t="str">
        <f>A56</f>
        <v>FB</v>
      </c>
      <c r="B59" s="813" t="s">
        <v>154</v>
      </c>
      <c r="C59" s="135">
        <f t="shared" ca="1" si="10"/>
        <v>8.9029932034124517E-4</v>
      </c>
      <c r="D59" s="135">
        <f t="shared" ca="1" si="10"/>
        <v>8.9029932034124517E-4</v>
      </c>
      <c r="E59" s="135">
        <f t="shared" ca="1" si="10"/>
        <v>8.9029932034124517E-4</v>
      </c>
      <c r="F59" s="580" t="s">
        <v>336</v>
      </c>
      <c r="G59" s="579">
        <f t="shared" ca="1" si="11"/>
        <v>8.9029932034124517E-4</v>
      </c>
      <c r="H59" s="579">
        <f t="shared" ca="1" si="11"/>
        <v>8.9029932034124517E-4</v>
      </c>
      <c r="I59" s="576" t="s">
        <v>336</v>
      </c>
      <c r="J59" s="135">
        <f t="shared" ca="1" si="12"/>
        <v>7.5209228025848052E-3</v>
      </c>
      <c r="K59" s="135">
        <f t="shared" ca="1" si="12"/>
        <v>7.5209228025848052E-3</v>
      </c>
      <c r="L59" s="135">
        <f t="shared" ca="1" si="12"/>
        <v>7.5209228025848052E-3</v>
      </c>
      <c r="M59" s="580" t="s">
        <v>336</v>
      </c>
      <c r="N59" s="579">
        <f t="shared" ca="1" si="13"/>
        <v>7.5209228025848052E-3</v>
      </c>
      <c r="O59" s="579">
        <f t="shared" ca="1" si="13"/>
        <v>7.5209228025848052E-3</v>
      </c>
      <c r="P59" s="576" t="s">
        <v>336</v>
      </c>
      <c r="Q59" s="88">
        <f t="shared" ca="1" si="14"/>
        <v>57.555361049924308</v>
      </c>
      <c r="R59" s="88">
        <f t="shared" ca="1" si="14"/>
        <v>57.555361049924308</v>
      </c>
      <c r="S59" s="88">
        <f t="shared" ca="1" si="14"/>
        <v>57.555361049924308</v>
      </c>
      <c r="T59" s="578" t="s">
        <v>336</v>
      </c>
      <c r="U59" s="577">
        <f t="shared" ca="1" si="15"/>
        <v>57.555361049924308</v>
      </c>
      <c r="V59" s="577">
        <f t="shared" ca="1" si="15"/>
        <v>57.555361049924308</v>
      </c>
      <c r="W59" s="576" t="s">
        <v>336</v>
      </c>
    </row>
    <row r="60" spans="1:23" x14ac:dyDescent="0.25">
      <c r="A60" s="82" t="s">
        <v>754</v>
      </c>
      <c r="B60" s="812" t="s">
        <v>137</v>
      </c>
      <c r="C60" s="133">
        <f t="shared" ref="C60:E75" ca="1" si="16">C6*C$33/C$26</f>
        <v>0.28266779104510337</v>
      </c>
      <c r="D60" s="575">
        <f t="shared" ca="1" si="16"/>
        <v>0.28266779104510337</v>
      </c>
      <c r="E60" s="575">
        <f t="shared" ca="1" si="16"/>
        <v>0.28266779104510337</v>
      </c>
      <c r="F60" s="574" t="s">
        <v>336</v>
      </c>
      <c r="G60" s="133">
        <f t="shared" ref="G60:H75" ca="1" si="17">G6*G$33/G$26</f>
        <v>0.28266779104510337</v>
      </c>
      <c r="H60" s="133">
        <f t="shared" ca="1" si="17"/>
        <v>0.28266779104510337</v>
      </c>
      <c r="I60" s="551" t="s">
        <v>336</v>
      </c>
      <c r="J60" s="575">
        <f t="shared" ref="J60:L75" ca="1" si="18">J6*J$33/J$26</f>
        <v>2.3808014500746274E-3</v>
      </c>
      <c r="K60" s="575">
        <f t="shared" ca="1" si="18"/>
        <v>2.3808014500746274E-3</v>
      </c>
      <c r="L60" s="575">
        <f t="shared" ca="1" si="18"/>
        <v>2.3808014500746274E-3</v>
      </c>
      <c r="M60" s="574" t="s">
        <v>336</v>
      </c>
      <c r="N60" s="133">
        <f t="shared" ref="N60:O75" ca="1" si="19">N6*N$33/N$26</f>
        <v>2.3808014500746274E-3</v>
      </c>
      <c r="O60" s="133">
        <f t="shared" ca="1" si="19"/>
        <v>2.3808014500746274E-3</v>
      </c>
      <c r="P60" s="551" t="s">
        <v>336</v>
      </c>
      <c r="Q60" s="573">
        <f t="shared" ref="Q60:S75" ca="1" si="20">Q6*Q$33/Q$26</f>
        <v>181.65047125942027</v>
      </c>
      <c r="R60" s="573">
        <f t="shared" ca="1" si="20"/>
        <v>181.65047125942027</v>
      </c>
      <c r="S60" s="573">
        <f t="shared" ca="1" si="20"/>
        <v>181.65047125942027</v>
      </c>
      <c r="T60" s="572" t="s">
        <v>336</v>
      </c>
      <c r="U60" s="45">
        <f t="shared" ref="U60:V75" ca="1" si="21">U6*U$33/U$26</f>
        <v>181.65047125942027</v>
      </c>
      <c r="V60" s="45">
        <f t="shared" ca="1" si="21"/>
        <v>181.65047125942027</v>
      </c>
      <c r="W60" s="551" t="s">
        <v>336</v>
      </c>
    </row>
    <row r="61" spans="1:23" x14ac:dyDescent="0.25">
      <c r="A61" s="812" t="str">
        <f t="shared" ref="A61:A78" si="22">A60</f>
        <v>NP</v>
      </c>
      <c r="B61" s="812" t="s">
        <v>138</v>
      </c>
      <c r="C61" s="133">
        <f t="shared" ca="1" si="16"/>
        <v>2.2060543811691175E-2</v>
      </c>
      <c r="D61" s="575">
        <f t="shared" ca="1" si="16"/>
        <v>2.2060543811691175E-2</v>
      </c>
      <c r="E61" s="575">
        <f t="shared" ca="1" si="16"/>
        <v>2.2060543811691175E-2</v>
      </c>
      <c r="F61" s="574" t="s">
        <v>336</v>
      </c>
      <c r="G61" s="133">
        <f t="shared" ca="1" si="17"/>
        <v>2.2060543811691175E-2</v>
      </c>
      <c r="H61" s="133">
        <f t="shared" ca="1" si="17"/>
        <v>2.2060543811691175E-2</v>
      </c>
      <c r="I61" s="551" t="s">
        <v>336</v>
      </c>
      <c r="J61" s="575">
        <f t="shared" ca="1" si="18"/>
        <v>2.100959785347563E-4</v>
      </c>
      <c r="K61" s="575">
        <f t="shared" ca="1" si="18"/>
        <v>2.100959785347563E-4</v>
      </c>
      <c r="L61" s="575">
        <f t="shared" ca="1" si="18"/>
        <v>2.100959785347563E-4</v>
      </c>
      <c r="M61" s="574" t="s">
        <v>336</v>
      </c>
      <c r="N61" s="133">
        <f t="shared" ca="1" si="19"/>
        <v>2.100959785347563E-4</v>
      </c>
      <c r="O61" s="133">
        <f t="shared" ca="1" si="19"/>
        <v>2.100959785347563E-4</v>
      </c>
      <c r="P61" s="551" t="s">
        <v>336</v>
      </c>
      <c r="Q61" s="573">
        <f t="shared" ca="1" si="20"/>
        <v>16.027054300951139</v>
      </c>
      <c r="R61" s="573">
        <f t="shared" ca="1" si="20"/>
        <v>16.027054300951139</v>
      </c>
      <c r="S61" s="573">
        <f t="shared" ca="1" si="20"/>
        <v>16.027054300951139</v>
      </c>
      <c r="T61" s="572" t="s">
        <v>336</v>
      </c>
      <c r="U61" s="45">
        <f t="shared" ca="1" si="21"/>
        <v>16.027054300951139</v>
      </c>
      <c r="V61" s="45">
        <f t="shared" ca="1" si="21"/>
        <v>16.027054300951139</v>
      </c>
      <c r="W61" s="551" t="s">
        <v>336</v>
      </c>
    </row>
    <row r="62" spans="1:23" x14ac:dyDescent="0.25">
      <c r="A62" s="812" t="str">
        <f t="shared" si="22"/>
        <v>NP</v>
      </c>
      <c r="B62" s="812" t="s">
        <v>139</v>
      </c>
      <c r="C62" s="133">
        <f t="shared" ca="1" si="16"/>
        <v>1.8214364191337252E-2</v>
      </c>
      <c r="D62" s="575">
        <f t="shared" ca="1" si="16"/>
        <v>1.8214364191337252E-2</v>
      </c>
      <c r="E62" s="575">
        <f t="shared" ca="1" si="16"/>
        <v>1.8214364191337252E-2</v>
      </c>
      <c r="F62" s="574" t="s">
        <v>336</v>
      </c>
      <c r="G62" s="133">
        <f t="shared" ca="1" si="17"/>
        <v>1.8214364191337252E-2</v>
      </c>
      <c r="H62" s="133">
        <f t="shared" ca="1" si="17"/>
        <v>1.8214364191337252E-2</v>
      </c>
      <c r="I62" s="551" t="s">
        <v>336</v>
      </c>
      <c r="J62" s="575">
        <f t="shared" ca="1" si="18"/>
        <v>4.4233949929445857E-4</v>
      </c>
      <c r="K62" s="575">
        <f t="shared" ca="1" si="18"/>
        <v>4.4233949929445857E-4</v>
      </c>
      <c r="L62" s="575">
        <f t="shared" ca="1" si="18"/>
        <v>4.4233949929445857E-4</v>
      </c>
      <c r="M62" s="574" t="s">
        <v>336</v>
      </c>
      <c r="N62" s="133">
        <f t="shared" ca="1" si="19"/>
        <v>4.4233949929445857E-4</v>
      </c>
      <c r="O62" s="133">
        <f t="shared" ca="1" si="19"/>
        <v>4.4233949929445857E-4</v>
      </c>
      <c r="P62" s="551" t="s">
        <v>336</v>
      </c>
      <c r="Q62" s="573">
        <f t="shared" ca="1" si="20"/>
        <v>33.743621482383666</v>
      </c>
      <c r="R62" s="573">
        <f t="shared" ca="1" si="20"/>
        <v>33.743621482383666</v>
      </c>
      <c r="S62" s="573">
        <f t="shared" ca="1" si="20"/>
        <v>33.743621482383666</v>
      </c>
      <c r="T62" s="572" t="s">
        <v>336</v>
      </c>
      <c r="U62" s="45">
        <f t="shared" ca="1" si="21"/>
        <v>33.743621482383666</v>
      </c>
      <c r="V62" s="45">
        <f t="shared" ca="1" si="21"/>
        <v>33.743621482383666</v>
      </c>
      <c r="W62" s="551" t="s">
        <v>336</v>
      </c>
    </row>
    <row r="63" spans="1:23" x14ac:dyDescent="0.25">
      <c r="A63" s="812" t="str">
        <f t="shared" si="22"/>
        <v>NP</v>
      </c>
      <c r="B63" s="812" t="s">
        <v>140</v>
      </c>
      <c r="C63" s="133">
        <f t="shared" ca="1" si="16"/>
        <v>1.1880245934498169E-2</v>
      </c>
      <c r="D63" s="575">
        <f t="shared" ca="1" si="16"/>
        <v>1.1880245934498169E-2</v>
      </c>
      <c r="E63" s="575">
        <f t="shared" ca="1" si="16"/>
        <v>1.1880245934498169E-2</v>
      </c>
      <c r="F63" s="574" t="s">
        <v>336</v>
      </c>
      <c r="G63" s="133">
        <f t="shared" ca="1" si="17"/>
        <v>1.1880245934498169E-2</v>
      </c>
      <c r="H63" s="133">
        <f t="shared" ca="1" si="17"/>
        <v>1.1880245934498169E-2</v>
      </c>
      <c r="I63" s="551" t="s">
        <v>336</v>
      </c>
      <c r="J63" s="575">
        <f t="shared" ca="1" si="18"/>
        <v>2.6632076579142649E-4</v>
      </c>
      <c r="K63" s="575">
        <f t="shared" ca="1" si="18"/>
        <v>2.6632076579142649E-4</v>
      </c>
      <c r="L63" s="575">
        <f t="shared" ca="1" si="18"/>
        <v>2.6632076579142649E-4</v>
      </c>
      <c r="M63" s="574" t="s">
        <v>336</v>
      </c>
      <c r="N63" s="133">
        <f t="shared" ca="1" si="19"/>
        <v>2.6632076579142649E-4</v>
      </c>
      <c r="O63" s="133">
        <f t="shared" ca="1" si="19"/>
        <v>2.6632076579142649E-4</v>
      </c>
      <c r="P63" s="551" t="s">
        <v>336</v>
      </c>
      <c r="Q63" s="573">
        <f t="shared" ca="1" si="20"/>
        <v>20.316130773078864</v>
      </c>
      <c r="R63" s="573">
        <f t="shared" ca="1" si="20"/>
        <v>20.316130773078864</v>
      </c>
      <c r="S63" s="573">
        <f t="shared" ca="1" si="20"/>
        <v>20.316130773078864</v>
      </c>
      <c r="T63" s="572" t="s">
        <v>336</v>
      </c>
      <c r="U63" s="45">
        <f t="shared" ca="1" si="21"/>
        <v>20.316130773078864</v>
      </c>
      <c r="V63" s="45">
        <f t="shared" ca="1" si="21"/>
        <v>20.316130773078864</v>
      </c>
      <c r="W63" s="551" t="s">
        <v>336</v>
      </c>
    </row>
    <row r="64" spans="1:23" x14ac:dyDescent="0.25">
      <c r="A64" s="812" t="str">
        <f t="shared" si="22"/>
        <v>NP</v>
      </c>
      <c r="B64" s="812" t="s">
        <v>141</v>
      </c>
      <c r="C64" s="133">
        <f t="shared" ca="1" si="16"/>
        <v>0.17764723224404613</v>
      </c>
      <c r="D64" s="575">
        <f t="shared" ca="1" si="16"/>
        <v>0.17764723224404613</v>
      </c>
      <c r="E64" s="575">
        <f t="shared" ca="1" si="16"/>
        <v>0.17764723224404613</v>
      </c>
      <c r="F64" s="574" t="s">
        <v>336</v>
      </c>
      <c r="G64" s="133">
        <f t="shared" ca="1" si="17"/>
        <v>0.17764723224404613</v>
      </c>
      <c r="H64" s="133">
        <f t="shared" ca="1" si="17"/>
        <v>0.17764723224404613</v>
      </c>
      <c r="I64" s="551" t="s">
        <v>336</v>
      </c>
      <c r="J64" s="575">
        <f t="shared" ca="1" si="18"/>
        <v>4.2637341509984853E-3</v>
      </c>
      <c r="K64" s="575">
        <f t="shared" ca="1" si="18"/>
        <v>4.2637341509984853E-3</v>
      </c>
      <c r="L64" s="575">
        <f t="shared" ca="1" si="18"/>
        <v>4.2637341509984853E-3</v>
      </c>
      <c r="M64" s="574" t="s">
        <v>336</v>
      </c>
      <c r="N64" s="133">
        <f t="shared" ca="1" si="19"/>
        <v>4.2637341509984853E-3</v>
      </c>
      <c r="O64" s="133">
        <f t="shared" ca="1" si="19"/>
        <v>4.2637341509984853E-3</v>
      </c>
      <c r="P64" s="551" t="s">
        <v>336</v>
      </c>
      <c r="Q64" s="573">
        <f t="shared" ca="1" si="20"/>
        <v>325.25657672961</v>
      </c>
      <c r="R64" s="573">
        <f t="shared" ca="1" si="20"/>
        <v>325.25657672961</v>
      </c>
      <c r="S64" s="573">
        <f t="shared" ca="1" si="20"/>
        <v>325.25657672961</v>
      </c>
      <c r="T64" s="572" t="s">
        <v>336</v>
      </c>
      <c r="U64" s="45">
        <f t="shared" ca="1" si="21"/>
        <v>325.25657672961</v>
      </c>
      <c r="V64" s="45">
        <f t="shared" ca="1" si="21"/>
        <v>325.25657672961</v>
      </c>
      <c r="W64" s="551" t="s">
        <v>336</v>
      </c>
    </row>
    <row r="65" spans="1:23" x14ac:dyDescent="0.25">
      <c r="A65" s="812" t="str">
        <f t="shared" si="22"/>
        <v>NP</v>
      </c>
      <c r="B65" s="812" t="s">
        <v>142</v>
      </c>
      <c r="C65" s="133">
        <f t="shared" ca="1" si="16"/>
        <v>0.24412445319624868</v>
      </c>
      <c r="D65" s="575">
        <f t="shared" ca="1" si="16"/>
        <v>0.24412445319624868</v>
      </c>
      <c r="E65" s="575">
        <f t="shared" ca="1" si="16"/>
        <v>0.24412445319624868</v>
      </c>
      <c r="F65" s="574" t="s">
        <v>336</v>
      </c>
      <c r="G65" s="133">
        <f t="shared" ca="1" si="17"/>
        <v>0.24412445319624868</v>
      </c>
      <c r="H65" s="133">
        <f t="shared" ca="1" si="17"/>
        <v>0.24412445319624868</v>
      </c>
      <c r="I65" s="551" t="s">
        <v>336</v>
      </c>
      <c r="J65" s="575">
        <f t="shared" ca="1" si="18"/>
        <v>8.9769354112855942E-3</v>
      </c>
      <c r="K65" s="575">
        <f t="shared" ca="1" si="18"/>
        <v>8.9769354112855942E-3</v>
      </c>
      <c r="L65" s="575">
        <f t="shared" ca="1" si="18"/>
        <v>8.9769354112855942E-3</v>
      </c>
      <c r="M65" s="574" t="s">
        <v>336</v>
      </c>
      <c r="N65" s="133">
        <f t="shared" ca="1" si="19"/>
        <v>8.9769354112855942E-3</v>
      </c>
      <c r="O65" s="133">
        <f t="shared" ca="1" si="19"/>
        <v>8.9769354112855942E-3</v>
      </c>
      <c r="P65" s="551" t="s">
        <v>336</v>
      </c>
      <c r="Q65" s="573">
        <f t="shared" ca="1" si="20"/>
        <v>684.80050068642424</v>
      </c>
      <c r="R65" s="573">
        <f t="shared" ca="1" si="20"/>
        <v>684.80050068642424</v>
      </c>
      <c r="S65" s="573">
        <f t="shared" ca="1" si="20"/>
        <v>684.80050068642424</v>
      </c>
      <c r="T65" s="572" t="s">
        <v>336</v>
      </c>
      <c r="U65" s="45">
        <f t="shared" ca="1" si="21"/>
        <v>684.80050068642424</v>
      </c>
      <c r="V65" s="45">
        <f t="shared" ca="1" si="21"/>
        <v>684.80050068642424</v>
      </c>
      <c r="W65" s="551" t="s">
        <v>336</v>
      </c>
    </row>
    <row r="66" spans="1:23" x14ac:dyDescent="0.25">
      <c r="A66" s="812" t="str">
        <f t="shared" si="22"/>
        <v>NP</v>
      </c>
      <c r="B66" s="812" t="s">
        <v>143</v>
      </c>
      <c r="C66" s="133">
        <f t="shared" ca="1" si="16"/>
        <v>0.16308827952763921</v>
      </c>
      <c r="D66" s="575">
        <f t="shared" ca="1" si="16"/>
        <v>0.16308827952763921</v>
      </c>
      <c r="E66" s="575">
        <f t="shared" ca="1" si="16"/>
        <v>0.16308827952763921</v>
      </c>
      <c r="F66" s="574" t="s">
        <v>336</v>
      </c>
      <c r="G66" s="133">
        <f t="shared" ca="1" si="17"/>
        <v>0.16308827952763921</v>
      </c>
      <c r="H66" s="133">
        <f t="shared" ca="1" si="17"/>
        <v>0.16308827952763921</v>
      </c>
      <c r="I66" s="551" t="s">
        <v>336</v>
      </c>
      <c r="J66" s="575">
        <f t="shared" ca="1" si="18"/>
        <v>5.4047723909057283E-3</v>
      </c>
      <c r="K66" s="575">
        <f t="shared" ca="1" si="18"/>
        <v>5.4047723909057283E-3</v>
      </c>
      <c r="L66" s="575">
        <f t="shared" ca="1" si="18"/>
        <v>5.4047723909057283E-3</v>
      </c>
      <c r="M66" s="574" t="s">
        <v>336</v>
      </c>
      <c r="N66" s="133">
        <f t="shared" ca="1" si="19"/>
        <v>5.4047723909057283E-3</v>
      </c>
      <c r="O66" s="133">
        <f t="shared" ca="1" si="19"/>
        <v>5.4047723909057283E-3</v>
      </c>
      <c r="P66" s="551" t="s">
        <v>336</v>
      </c>
      <c r="Q66" s="573">
        <f t="shared" ca="1" si="20"/>
        <v>412.30004114047131</v>
      </c>
      <c r="R66" s="573">
        <f t="shared" ca="1" si="20"/>
        <v>412.30004114047131</v>
      </c>
      <c r="S66" s="573">
        <f t="shared" ca="1" si="20"/>
        <v>412.30004114047131</v>
      </c>
      <c r="T66" s="572" t="s">
        <v>336</v>
      </c>
      <c r="U66" s="45">
        <f t="shared" ca="1" si="21"/>
        <v>412.30004114047131</v>
      </c>
      <c r="V66" s="45">
        <f t="shared" ca="1" si="21"/>
        <v>412.30004114047131</v>
      </c>
      <c r="W66" s="551" t="s">
        <v>336</v>
      </c>
    </row>
    <row r="67" spans="1:23" x14ac:dyDescent="0.25">
      <c r="A67" s="812" t="str">
        <f t="shared" si="22"/>
        <v>NP</v>
      </c>
      <c r="B67" s="812" t="s">
        <v>144</v>
      </c>
      <c r="C67" s="133">
        <f t="shared" ca="1" si="16"/>
        <v>6.0177444672697387E-3</v>
      </c>
      <c r="D67" s="575">
        <f t="shared" ca="1" si="16"/>
        <v>6.0177444672697387E-3</v>
      </c>
      <c r="E67" s="575">
        <f t="shared" ca="1" si="16"/>
        <v>6.0177444672697387E-3</v>
      </c>
      <c r="F67" s="574" t="s">
        <v>336</v>
      </c>
      <c r="G67" s="133">
        <f t="shared" ca="1" si="17"/>
        <v>6.0177444672697387E-3</v>
      </c>
      <c r="H67" s="133">
        <f t="shared" ca="1" si="17"/>
        <v>6.0177444672697387E-3</v>
      </c>
      <c r="I67" s="551" t="s">
        <v>336</v>
      </c>
      <c r="J67" s="575">
        <f t="shared" ca="1" si="18"/>
        <v>4.7397449259425179E-4</v>
      </c>
      <c r="K67" s="575">
        <f t="shared" ca="1" si="18"/>
        <v>4.7397449259425179E-4</v>
      </c>
      <c r="L67" s="575">
        <f t="shared" ca="1" si="18"/>
        <v>4.7397449259425179E-4</v>
      </c>
      <c r="M67" s="574" t="s">
        <v>336</v>
      </c>
      <c r="N67" s="133">
        <f t="shared" ca="1" si="19"/>
        <v>4.7397449259425179E-4</v>
      </c>
      <c r="O67" s="133">
        <f t="shared" ca="1" si="19"/>
        <v>4.7397449259425179E-4</v>
      </c>
      <c r="P67" s="551" t="s">
        <v>336</v>
      </c>
      <c r="Q67" s="573">
        <f t="shared" ca="1" si="20"/>
        <v>43.177954299740215</v>
      </c>
      <c r="R67" s="573">
        <f t="shared" ca="1" si="20"/>
        <v>43.177954299740215</v>
      </c>
      <c r="S67" s="573">
        <f t="shared" ca="1" si="20"/>
        <v>43.177954299740215</v>
      </c>
      <c r="T67" s="572" t="s">
        <v>336</v>
      </c>
      <c r="U67" s="45">
        <f t="shared" ca="1" si="21"/>
        <v>43.177954299740215</v>
      </c>
      <c r="V67" s="45">
        <f t="shared" ca="1" si="21"/>
        <v>43.177954299740215</v>
      </c>
      <c r="W67" s="551" t="s">
        <v>336</v>
      </c>
    </row>
    <row r="68" spans="1:23" x14ac:dyDescent="0.25">
      <c r="A68" s="812" t="str">
        <f t="shared" si="22"/>
        <v>NP</v>
      </c>
      <c r="B68" s="812" t="s">
        <v>145</v>
      </c>
      <c r="C68" s="133">
        <f t="shared" ca="1" si="16"/>
        <v>2.0298039111153212E-2</v>
      </c>
      <c r="D68" s="575">
        <f t="shared" ca="1" si="16"/>
        <v>2.0298039111153212E-2</v>
      </c>
      <c r="E68" s="575">
        <f t="shared" ca="1" si="16"/>
        <v>2.0298039111153212E-2</v>
      </c>
      <c r="F68" s="574" t="s">
        <v>336</v>
      </c>
      <c r="G68" s="133">
        <f t="shared" ca="1" si="17"/>
        <v>2.0298039111153212E-2</v>
      </c>
      <c r="H68" s="133">
        <f t="shared" ca="1" si="17"/>
        <v>2.0298039111153212E-2</v>
      </c>
      <c r="I68" s="551" t="s">
        <v>336</v>
      </c>
      <c r="J68" s="575">
        <f t="shared" ca="1" si="18"/>
        <v>1.5987306939824373E-3</v>
      </c>
      <c r="K68" s="575">
        <f t="shared" ca="1" si="18"/>
        <v>1.5987306939824373E-3</v>
      </c>
      <c r="L68" s="575">
        <f t="shared" ca="1" si="18"/>
        <v>1.5987306939824373E-3</v>
      </c>
      <c r="M68" s="574" t="s">
        <v>336</v>
      </c>
      <c r="N68" s="133">
        <f t="shared" ca="1" si="19"/>
        <v>1.5987306939824373E-3</v>
      </c>
      <c r="O68" s="133">
        <f t="shared" ca="1" si="19"/>
        <v>1.5987306939824373E-3</v>
      </c>
      <c r="P68" s="551" t="s">
        <v>336</v>
      </c>
      <c r="Q68" s="573">
        <f t="shared" ca="1" si="20"/>
        <v>145.64058176324488</v>
      </c>
      <c r="R68" s="573">
        <f t="shared" ca="1" si="20"/>
        <v>145.64058176324488</v>
      </c>
      <c r="S68" s="573">
        <f t="shared" ca="1" si="20"/>
        <v>145.64058176324488</v>
      </c>
      <c r="T68" s="572" t="s">
        <v>336</v>
      </c>
      <c r="U68" s="45">
        <f t="shared" ca="1" si="21"/>
        <v>145.64058176324488</v>
      </c>
      <c r="V68" s="45">
        <f t="shared" ca="1" si="21"/>
        <v>145.64058176324488</v>
      </c>
      <c r="W68" s="551" t="s">
        <v>336</v>
      </c>
    </row>
    <row r="69" spans="1:23" x14ac:dyDescent="0.25">
      <c r="A69" s="812" t="str">
        <f t="shared" si="22"/>
        <v>NP</v>
      </c>
      <c r="B69" s="812" t="s">
        <v>146</v>
      </c>
      <c r="C69" s="133">
        <f t="shared" ca="1" si="16"/>
        <v>0.10084841152584288</v>
      </c>
      <c r="D69" s="575">
        <f t="shared" ca="1" si="16"/>
        <v>0.10084841152584288</v>
      </c>
      <c r="E69" s="575">
        <f t="shared" ca="1" si="16"/>
        <v>0.10084841152584288</v>
      </c>
      <c r="F69" s="574" t="s">
        <v>336</v>
      </c>
      <c r="G69" s="133">
        <f t="shared" ca="1" si="17"/>
        <v>0.10084841152584288</v>
      </c>
      <c r="H69" s="133">
        <f t="shared" ca="1" si="17"/>
        <v>0.10084841152584288</v>
      </c>
      <c r="I69" s="551" t="s">
        <v>336</v>
      </c>
      <c r="J69" s="575">
        <f t="shared" ca="1" si="18"/>
        <v>2.9776124370662184E-3</v>
      </c>
      <c r="K69" s="575">
        <f t="shared" ca="1" si="18"/>
        <v>2.9776124370662184E-3</v>
      </c>
      <c r="L69" s="575">
        <f t="shared" ca="1" si="18"/>
        <v>2.9776124370662184E-3</v>
      </c>
      <c r="M69" s="574" t="s">
        <v>336</v>
      </c>
      <c r="N69" s="133">
        <f t="shared" ca="1" si="19"/>
        <v>2.9776124370662184E-3</v>
      </c>
      <c r="O69" s="133">
        <f t="shared" ca="1" si="19"/>
        <v>2.9776124370662184E-3</v>
      </c>
      <c r="P69" s="551" t="s">
        <v>336</v>
      </c>
      <c r="Q69" s="573">
        <f t="shared" ca="1" si="20"/>
        <v>227.06752851011049</v>
      </c>
      <c r="R69" s="573">
        <f t="shared" ca="1" si="20"/>
        <v>227.06752851011049</v>
      </c>
      <c r="S69" s="573">
        <f t="shared" ca="1" si="20"/>
        <v>227.06752851011049</v>
      </c>
      <c r="T69" s="572" t="s">
        <v>336</v>
      </c>
      <c r="U69" s="45">
        <f t="shared" ca="1" si="21"/>
        <v>227.06752851011049</v>
      </c>
      <c r="V69" s="45">
        <f t="shared" ca="1" si="21"/>
        <v>227.06752851011049</v>
      </c>
      <c r="W69" s="551" t="s">
        <v>336</v>
      </c>
    </row>
    <row r="70" spans="1:23" x14ac:dyDescent="0.25">
      <c r="A70" s="812" t="str">
        <f t="shared" si="22"/>
        <v>NP</v>
      </c>
      <c r="B70" s="812" t="s">
        <v>568</v>
      </c>
      <c r="C70" s="133">
        <f t="shared" ca="1" si="16"/>
        <v>2.1901752302480725E-2</v>
      </c>
      <c r="D70" s="575">
        <f t="shared" ca="1" si="16"/>
        <v>2.1901752302480725E-2</v>
      </c>
      <c r="E70" s="575">
        <f t="shared" ca="1" si="16"/>
        <v>2.1901752302480725E-2</v>
      </c>
      <c r="F70" s="574" t="s">
        <v>336</v>
      </c>
      <c r="G70" s="133">
        <f t="shared" ca="1" si="17"/>
        <v>2.1901752302480725E-2</v>
      </c>
      <c r="H70" s="133">
        <f t="shared" ca="1" si="17"/>
        <v>2.1901752302480725E-2</v>
      </c>
      <c r="I70" s="551" t="s">
        <v>336</v>
      </c>
      <c r="J70" s="575">
        <f t="shared" ca="1" si="18"/>
        <v>1.0100555742437924</v>
      </c>
      <c r="K70" s="575">
        <f t="shared" ca="1" si="18"/>
        <v>1.0100555742437924</v>
      </c>
      <c r="L70" s="575">
        <f t="shared" ca="1" si="18"/>
        <v>1.0100555742437924</v>
      </c>
      <c r="M70" s="574" t="s">
        <v>336</v>
      </c>
      <c r="N70" s="133">
        <f t="shared" ca="1" si="19"/>
        <v>1.0100555742437924</v>
      </c>
      <c r="O70" s="133">
        <f t="shared" ca="1" si="19"/>
        <v>1.0100555742437924</v>
      </c>
      <c r="P70" s="551" t="s">
        <v>336</v>
      </c>
      <c r="Q70" s="573">
        <f t="shared" ca="1" si="20"/>
        <v>8914.1052789643909</v>
      </c>
      <c r="R70" s="573">
        <f t="shared" ca="1" si="20"/>
        <v>8914.1052789643909</v>
      </c>
      <c r="S70" s="573">
        <f t="shared" ca="1" si="20"/>
        <v>8914.1052789643909</v>
      </c>
      <c r="T70" s="572" t="s">
        <v>336</v>
      </c>
      <c r="U70" s="45">
        <f t="shared" ca="1" si="21"/>
        <v>8914.1052789643909</v>
      </c>
      <c r="V70" s="45">
        <f t="shared" ca="1" si="21"/>
        <v>8914.1052789643909</v>
      </c>
      <c r="W70" s="551" t="s">
        <v>336</v>
      </c>
    </row>
    <row r="71" spans="1:23" x14ac:dyDescent="0.25">
      <c r="A71" s="812" t="str">
        <f t="shared" si="22"/>
        <v>NP</v>
      </c>
      <c r="B71" s="812" t="s">
        <v>148</v>
      </c>
      <c r="C71" s="133">
        <f t="shared" ca="1" si="16"/>
        <v>7.3139380890927747E-3</v>
      </c>
      <c r="D71" s="575">
        <f t="shared" ca="1" si="16"/>
        <v>7.3139380890927747E-3</v>
      </c>
      <c r="E71" s="575">
        <f t="shared" ca="1" si="16"/>
        <v>7.3139380890927747E-3</v>
      </c>
      <c r="F71" s="574" t="s">
        <v>336</v>
      </c>
      <c r="G71" s="133">
        <f t="shared" ca="1" si="17"/>
        <v>7.3139380890927747E-3</v>
      </c>
      <c r="H71" s="133">
        <f t="shared" ca="1" si="17"/>
        <v>7.3139380890927747E-3</v>
      </c>
      <c r="I71" s="551" t="s">
        <v>336</v>
      </c>
      <c r="J71" s="575">
        <f t="shared" ca="1" si="18"/>
        <v>0.14848324363569523</v>
      </c>
      <c r="K71" s="575">
        <f t="shared" ca="1" si="18"/>
        <v>0.14848324363569523</v>
      </c>
      <c r="L71" s="575">
        <f t="shared" ca="1" si="18"/>
        <v>0.14848324363569523</v>
      </c>
      <c r="M71" s="574" t="s">
        <v>336</v>
      </c>
      <c r="N71" s="133">
        <f t="shared" ca="1" si="19"/>
        <v>0.14848324363569523</v>
      </c>
      <c r="O71" s="133">
        <f t="shared" ca="1" si="19"/>
        <v>0.14848324363569523</v>
      </c>
      <c r="P71" s="551" t="s">
        <v>336</v>
      </c>
      <c r="Q71" s="573">
        <f t="shared" ca="1" si="20"/>
        <v>3071.9414500025759</v>
      </c>
      <c r="R71" s="573">
        <f t="shared" ca="1" si="20"/>
        <v>3071.9414500025759</v>
      </c>
      <c r="S71" s="573">
        <f t="shared" ca="1" si="20"/>
        <v>3071.9414500025759</v>
      </c>
      <c r="T71" s="572" t="s">
        <v>336</v>
      </c>
      <c r="U71" s="45">
        <f t="shared" ca="1" si="21"/>
        <v>3071.9414500025759</v>
      </c>
      <c r="V71" s="45">
        <f t="shared" ca="1" si="21"/>
        <v>3071.9414500025759</v>
      </c>
      <c r="W71" s="551" t="s">
        <v>336</v>
      </c>
    </row>
    <row r="72" spans="1:23" x14ac:dyDescent="0.25">
      <c r="A72" s="812" t="str">
        <f t="shared" si="22"/>
        <v>NP</v>
      </c>
      <c r="B72" s="812" t="s">
        <v>746</v>
      </c>
      <c r="C72" s="133">
        <f t="shared" ca="1" si="16"/>
        <v>1.3109819336916173E-4</v>
      </c>
      <c r="D72" s="575">
        <f t="shared" ca="1" si="16"/>
        <v>1.3109819336916173E-4</v>
      </c>
      <c r="E72" s="575">
        <f t="shared" ca="1" si="16"/>
        <v>1.3109819336916173E-4</v>
      </c>
      <c r="F72" s="574" t="s">
        <v>336</v>
      </c>
      <c r="G72" s="133">
        <f t="shared" ca="1" si="17"/>
        <v>1.3109819336916173E-4</v>
      </c>
      <c r="H72" s="133">
        <f t="shared" ca="1" si="17"/>
        <v>1.3109819336916173E-4</v>
      </c>
      <c r="I72" s="551" t="s">
        <v>336</v>
      </c>
      <c r="J72" s="575">
        <f t="shared" ca="1" si="18"/>
        <v>6.9013852399765329E-3</v>
      </c>
      <c r="K72" s="575">
        <f t="shared" ca="1" si="18"/>
        <v>6.9013852399765329E-3</v>
      </c>
      <c r="L72" s="575">
        <f t="shared" ca="1" si="18"/>
        <v>6.9013852399765329E-3</v>
      </c>
      <c r="M72" s="574" t="s">
        <v>336</v>
      </c>
      <c r="N72" s="133">
        <f t="shared" ca="1" si="19"/>
        <v>6.9013852399765329E-3</v>
      </c>
      <c r="O72" s="133">
        <f t="shared" ca="1" si="19"/>
        <v>6.9013852399765329E-3</v>
      </c>
      <c r="P72" s="551" t="s">
        <v>336</v>
      </c>
      <c r="Q72" s="573">
        <f t="shared" ca="1" si="20"/>
        <v>62.170800801073312</v>
      </c>
      <c r="R72" s="573">
        <f t="shared" ca="1" si="20"/>
        <v>62.170800801073312</v>
      </c>
      <c r="S72" s="573">
        <f t="shared" ca="1" si="20"/>
        <v>62.170800801073312</v>
      </c>
      <c r="T72" s="572" t="s">
        <v>336</v>
      </c>
      <c r="U72" s="45">
        <f t="shared" ca="1" si="21"/>
        <v>62.170800801073312</v>
      </c>
      <c r="V72" s="45">
        <f t="shared" ca="1" si="21"/>
        <v>62.170800801073312</v>
      </c>
      <c r="W72" s="551" t="s">
        <v>336</v>
      </c>
    </row>
    <row r="73" spans="1:23" x14ac:dyDescent="0.25">
      <c r="A73" s="812" t="str">
        <f t="shared" si="22"/>
        <v>NP</v>
      </c>
      <c r="B73" s="812" t="s">
        <v>747</v>
      </c>
      <c r="C73" s="133">
        <f t="shared" ca="1" si="16"/>
        <v>5.0628617692258574E-4</v>
      </c>
      <c r="D73" s="575">
        <f t="shared" ca="1" si="16"/>
        <v>5.0628617692258574E-4</v>
      </c>
      <c r="E73" s="575">
        <f t="shared" ca="1" si="16"/>
        <v>5.0628617692258574E-4</v>
      </c>
      <c r="F73" s="574" t="s">
        <v>336</v>
      </c>
      <c r="G73" s="133">
        <f t="shared" ca="1" si="17"/>
        <v>5.0628617692258574E-4</v>
      </c>
      <c r="H73" s="133">
        <f t="shared" ca="1" si="17"/>
        <v>5.0628617692258574E-4</v>
      </c>
      <c r="I73" s="551" t="s">
        <v>336</v>
      </c>
      <c r="J73" s="575">
        <f t="shared" ca="1" si="18"/>
        <v>2.3348687726018849E-2</v>
      </c>
      <c r="K73" s="575">
        <f t="shared" ca="1" si="18"/>
        <v>2.3348687726018849E-2</v>
      </c>
      <c r="L73" s="575">
        <f t="shared" ca="1" si="18"/>
        <v>2.3348687726018849E-2</v>
      </c>
      <c r="M73" s="574" t="s">
        <v>336</v>
      </c>
      <c r="N73" s="133">
        <f t="shared" ca="1" si="19"/>
        <v>2.3348687726018849E-2</v>
      </c>
      <c r="O73" s="133">
        <f t="shared" ca="1" si="19"/>
        <v>2.3348687726018849E-2</v>
      </c>
      <c r="P73" s="551" t="s">
        <v>336</v>
      </c>
      <c r="Q73" s="573">
        <f t="shared" ca="1" si="20"/>
        <v>191.9189963531141</v>
      </c>
      <c r="R73" s="573">
        <f t="shared" ca="1" si="20"/>
        <v>191.9189963531141</v>
      </c>
      <c r="S73" s="573">
        <f t="shared" ca="1" si="20"/>
        <v>191.9189963531141</v>
      </c>
      <c r="T73" s="572" t="s">
        <v>336</v>
      </c>
      <c r="U73" s="45">
        <f t="shared" ca="1" si="21"/>
        <v>191.9189963531141</v>
      </c>
      <c r="V73" s="45">
        <f t="shared" ca="1" si="21"/>
        <v>191.9189963531141</v>
      </c>
      <c r="W73" s="551" t="s">
        <v>336</v>
      </c>
    </row>
    <row r="74" spans="1:23" x14ac:dyDescent="0.25">
      <c r="A74" s="812" t="str">
        <f t="shared" si="22"/>
        <v>NP</v>
      </c>
      <c r="B74" s="812" t="s">
        <v>149</v>
      </c>
      <c r="C74" s="133">
        <f t="shared" ca="1" si="16"/>
        <v>2.4047758984259973E-6</v>
      </c>
      <c r="D74" s="575">
        <f t="shared" ca="1" si="16"/>
        <v>2.4047758984259973E-6</v>
      </c>
      <c r="E74" s="575">
        <f t="shared" ca="1" si="16"/>
        <v>2.4047758984259973E-6</v>
      </c>
      <c r="F74" s="574" t="s">
        <v>336</v>
      </c>
      <c r="G74" s="133">
        <f t="shared" ca="1" si="17"/>
        <v>2.4047758984259973E-6</v>
      </c>
      <c r="H74" s="133">
        <f t="shared" ca="1" si="17"/>
        <v>2.4047758984259973E-6</v>
      </c>
      <c r="I74" s="551" t="s">
        <v>336</v>
      </c>
      <c r="J74" s="575">
        <f t="shared" ca="1" si="18"/>
        <v>2.1222813495069621E-5</v>
      </c>
      <c r="K74" s="575">
        <f t="shared" ca="1" si="18"/>
        <v>2.1222813495069621E-5</v>
      </c>
      <c r="L74" s="575">
        <f t="shared" ca="1" si="18"/>
        <v>2.1222813495069621E-5</v>
      </c>
      <c r="M74" s="574" t="s">
        <v>336</v>
      </c>
      <c r="N74" s="133">
        <f t="shared" ca="1" si="19"/>
        <v>2.1222813495069621E-5</v>
      </c>
      <c r="O74" s="133">
        <f t="shared" ca="1" si="19"/>
        <v>2.1222813495069621E-5</v>
      </c>
      <c r="P74" s="551" t="s">
        <v>336</v>
      </c>
      <c r="Q74" s="573">
        <f t="shared" ca="1" si="20"/>
        <v>82.987077742903651</v>
      </c>
      <c r="R74" s="573">
        <f t="shared" ca="1" si="20"/>
        <v>82.987077742903651</v>
      </c>
      <c r="S74" s="573">
        <f t="shared" ca="1" si="20"/>
        <v>82.987077742903651</v>
      </c>
      <c r="T74" s="572" t="s">
        <v>336</v>
      </c>
      <c r="U74" s="45">
        <f t="shared" ca="1" si="21"/>
        <v>82.987077742903651</v>
      </c>
      <c r="V74" s="45">
        <f t="shared" ca="1" si="21"/>
        <v>82.987077742903651</v>
      </c>
      <c r="W74" s="551" t="s">
        <v>336</v>
      </c>
    </row>
    <row r="75" spans="1:23" x14ac:dyDescent="0.25">
      <c r="A75" s="812" t="str">
        <f t="shared" si="22"/>
        <v>NP</v>
      </c>
      <c r="B75" s="812" t="s">
        <v>150</v>
      </c>
      <c r="C75" s="133">
        <f t="shared" ca="1" si="16"/>
        <v>4.1413410260099934E-3</v>
      </c>
      <c r="D75" s="575">
        <f t="shared" ca="1" si="16"/>
        <v>4.1413410260099934E-3</v>
      </c>
      <c r="E75" s="575">
        <f t="shared" ca="1" si="16"/>
        <v>4.1413410260099934E-3</v>
      </c>
      <c r="F75" s="574" t="s">
        <v>336</v>
      </c>
      <c r="G75" s="133">
        <f t="shared" ca="1" si="17"/>
        <v>4.1413410260099934E-3</v>
      </c>
      <c r="H75" s="133">
        <f t="shared" ca="1" si="17"/>
        <v>4.1413410260099934E-3</v>
      </c>
      <c r="I75" s="551" t="s">
        <v>336</v>
      </c>
      <c r="J75" s="575">
        <f t="shared" ca="1" si="18"/>
        <v>2.3819992127735529E-4</v>
      </c>
      <c r="K75" s="575">
        <f t="shared" ca="1" si="18"/>
        <v>2.3819992127735529E-4</v>
      </c>
      <c r="L75" s="575">
        <f t="shared" ca="1" si="18"/>
        <v>2.3819992127735529E-4</v>
      </c>
      <c r="M75" s="574" t="s">
        <v>336</v>
      </c>
      <c r="N75" s="133">
        <f t="shared" ca="1" si="19"/>
        <v>2.3819992127735529E-4</v>
      </c>
      <c r="O75" s="133">
        <f t="shared" ca="1" si="19"/>
        <v>2.3819992127735529E-4</v>
      </c>
      <c r="P75" s="551" t="s">
        <v>336</v>
      </c>
      <c r="Q75" s="573">
        <f t="shared" ca="1" si="20"/>
        <v>765.84075470630626</v>
      </c>
      <c r="R75" s="573">
        <f t="shared" ca="1" si="20"/>
        <v>765.84075470630626</v>
      </c>
      <c r="S75" s="573">
        <f t="shared" ca="1" si="20"/>
        <v>765.84075470630626</v>
      </c>
      <c r="T75" s="572" t="s">
        <v>336</v>
      </c>
      <c r="U75" s="45">
        <f t="shared" ca="1" si="21"/>
        <v>765.84075470630626</v>
      </c>
      <c r="V75" s="45">
        <f t="shared" ca="1" si="21"/>
        <v>765.84075470630626</v>
      </c>
      <c r="W75" s="551" t="s">
        <v>336</v>
      </c>
    </row>
    <row r="76" spans="1:23" x14ac:dyDescent="0.25">
      <c r="A76" s="812" t="str">
        <f t="shared" si="22"/>
        <v>NP</v>
      </c>
      <c r="B76" s="812" t="s">
        <v>151</v>
      </c>
      <c r="C76" s="133">
        <f t="shared" ref="C76:E79" ca="1" si="23">C22*C$33/C$26</f>
        <v>3.9120606739958083E-2</v>
      </c>
      <c r="D76" s="575">
        <f t="shared" ca="1" si="23"/>
        <v>3.9120606739958083E-2</v>
      </c>
      <c r="E76" s="575">
        <f t="shared" ca="1" si="23"/>
        <v>3.9120606739958083E-2</v>
      </c>
      <c r="F76" s="574" t="s">
        <v>336</v>
      </c>
      <c r="G76" s="133">
        <f t="shared" ref="G76:H79" ca="1" si="24">G22*G$33/G$26</f>
        <v>3.9120606739958083E-2</v>
      </c>
      <c r="H76" s="133">
        <f t="shared" ca="1" si="24"/>
        <v>3.9120606739958083E-2</v>
      </c>
      <c r="I76" s="551" t="s">
        <v>336</v>
      </c>
      <c r="J76" s="575">
        <f t="shared" ref="J76:L79" ca="1" si="25">J22*J$33/J$26</f>
        <v>3.3174524894823636E-2</v>
      </c>
      <c r="K76" s="575">
        <f t="shared" ca="1" si="25"/>
        <v>3.3174524894823636E-2</v>
      </c>
      <c r="L76" s="575">
        <f t="shared" ca="1" si="25"/>
        <v>3.3174524894823636E-2</v>
      </c>
      <c r="M76" s="574" t="s">
        <v>336</v>
      </c>
      <c r="N76" s="133">
        <f t="shared" ref="N76:O79" ca="1" si="26">N22*N$33/N$26</f>
        <v>3.3174524894823636E-2</v>
      </c>
      <c r="O76" s="133">
        <f t="shared" ca="1" si="26"/>
        <v>3.3174524894823636E-2</v>
      </c>
      <c r="P76" s="551" t="s">
        <v>336</v>
      </c>
      <c r="Q76" s="573">
        <f t="shared" ref="Q76:S79" ca="1" si="27">Q22*Q$33/Q$26</f>
        <v>103.04986322181615</v>
      </c>
      <c r="R76" s="573">
        <f t="shared" ca="1" si="27"/>
        <v>103.04986322181615</v>
      </c>
      <c r="S76" s="573">
        <f t="shared" ca="1" si="27"/>
        <v>103.04986322181615</v>
      </c>
      <c r="T76" s="572" t="s">
        <v>336</v>
      </c>
      <c r="U76" s="45">
        <f t="shared" ref="U76:V79" ca="1" si="28">U22*U$33/U$26</f>
        <v>103.04986322181615</v>
      </c>
      <c r="V76" s="45">
        <f t="shared" ca="1" si="28"/>
        <v>103.04986322181615</v>
      </c>
      <c r="W76" s="551" t="s">
        <v>336</v>
      </c>
    </row>
    <row r="77" spans="1:23" x14ac:dyDescent="0.25">
      <c r="A77" s="812" t="str">
        <f t="shared" si="22"/>
        <v>NP</v>
      </c>
      <c r="B77" s="812" t="s">
        <v>152</v>
      </c>
      <c r="C77" s="133">
        <f t="shared" ca="1" si="23"/>
        <v>1.0807835976962295E-4</v>
      </c>
      <c r="D77" s="575">
        <f t="shared" ca="1" si="23"/>
        <v>1.0807835976962295E-4</v>
      </c>
      <c r="E77" s="575">
        <f t="shared" ca="1" si="23"/>
        <v>1.0807835976962295E-4</v>
      </c>
      <c r="F77" s="574" t="s">
        <v>336</v>
      </c>
      <c r="G77" s="133">
        <f t="shared" ca="1" si="24"/>
        <v>1.0807835976962295E-4</v>
      </c>
      <c r="H77" s="133">
        <f t="shared" ca="1" si="24"/>
        <v>1.0807835976962295E-4</v>
      </c>
      <c r="I77" s="551" t="s">
        <v>336</v>
      </c>
      <c r="J77" s="575">
        <f t="shared" ca="1" si="25"/>
        <v>9.1651140806741559E-5</v>
      </c>
      <c r="K77" s="575">
        <f t="shared" ca="1" si="25"/>
        <v>9.1651140806741559E-5</v>
      </c>
      <c r="L77" s="575">
        <f t="shared" ca="1" si="25"/>
        <v>9.1651140806741559E-5</v>
      </c>
      <c r="M77" s="574" t="s">
        <v>336</v>
      </c>
      <c r="N77" s="133">
        <f t="shared" ca="1" si="26"/>
        <v>9.1651140806741559E-5</v>
      </c>
      <c r="O77" s="133">
        <f t="shared" ca="1" si="26"/>
        <v>9.1651140806741559E-5</v>
      </c>
      <c r="P77" s="551" t="s">
        <v>336</v>
      </c>
      <c r="Q77" s="573">
        <f t="shared" ca="1" si="27"/>
        <v>4.3039780691577008</v>
      </c>
      <c r="R77" s="573">
        <f t="shared" ca="1" si="27"/>
        <v>4.3039780691577008</v>
      </c>
      <c r="S77" s="573">
        <f t="shared" ca="1" si="27"/>
        <v>4.3039780691577008</v>
      </c>
      <c r="T77" s="572" t="s">
        <v>336</v>
      </c>
      <c r="U77" s="45">
        <f t="shared" ca="1" si="28"/>
        <v>4.3039780691577008</v>
      </c>
      <c r="V77" s="45">
        <f t="shared" ca="1" si="28"/>
        <v>4.3039780691577008</v>
      </c>
      <c r="W77" s="551" t="s">
        <v>336</v>
      </c>
    </row>
    <row r="78" spans="1:23" x14ac:dyDescent="0.25">
      <c r="A78" s="812" t="str">
        <f t="shared" si="22"/>
        <v>NP</v>
      </c>
      <c r="B78" s="812" t="s">
        <v>153</v>
      </c>
      <c r="C78" s="133">
        <f t="shared" ca="1" si="23"/>
        <v>1.0586680897714368E-4</v>
      </c>
      <c r="D78" s="575">
        <f t="shared" ca="1" si="23"/>
        <v>1.0586680897714368E-4</v>
      </c>
      <c r="E78" s="575">
        <f t="shared" ca="1" si="23"/>
        <v>1.0586680897714368E-4</v>
      </c>
      <c r="F78" s="574" t="s">
        <v>336</v>
      </c>
      <c r="G78" s="133">
        <f t="shared" ca="1" si="24"/>
        <v>1.0586680897714368E-4</v>
      </c>
      <c r="H78" s="133">
        <f t="shared" ca="1" si="24"/>
        <v>1.0586680897714368E-4</v>
      </c>
      <c r="I78" s="551" t="s">
        <v>336</v>
      </c>
      <c r="J78" s="575">
        <f t="shared" ca="1" si="25"/>
        <v>2.2561136679784768E-6</v>
      </c>
      <c r="K78" s="575">
        <f t="shared" ca="1" si="25"/>
        <v>2.2561136679784768E-6</v>
      </c>
      <c r="L78" s="575">
        <f t="shared" ca="1" si="25"/>
        <v>2.2561136679784768E-6</v>
      </c>
      <c r="M78" s="574" t="s">
        <v>336</v>
      </c>
      <c r="N78" s="133">
        <f t="shared" ca="1" si="26"/>
        <v>2.2561136679784768E-6</v>
      </c>
      <c r="O78" s="133">
        <f t="shared" ca="1" si="26"/>
        <v>2.2561136679784768E-6</v>
      </c>
      <c r="P78" s="551" t="s">
        <v>336</v>
      </c>
      <c r="Q78" s="573">
        <f t="shared" ca="1" si="27"/>
        <v>2.2457929419154441</v>
      </c>
      <c r="R78" s="573">
        <f t="shared" ca="1" si="27"/>
        <v>2.2457929419154441</v>
      </c>
      <c r="S78" s="573">
        <f t="shared" ca="1" si="27"/>
        <v>2.2457929419154441</v>
      </c>
      <c r="T78" s="572" t="s">
        <v>336</v>
      </c>
      <c r="U78" s="45">
        <f t="shared" ca="1" si="28"/>
        <v>2.2457929419154441</v>
      </c>
      <c r="V78" s="45">
        <f t="shared" ca="1" si="28"/>
        <v>2.2457929419154441</v>
      </c>
      <c r="W78" s="551" t="s">
        <v>336</v>
      </c>
    </row>
    <row r="79" spans="1:23" ht="15.75" thickBot="1" x14ac:dyDescent="0.3">
      <c r="A79" s="6" t="str">
        <f>A76</f>
        <v>NP</v>
      </c>
      <c r="B79" s="6" t="s">
        <v>154</v>
      </c>
      <c r="C79" s="544">
        <f t="shared" ca="1" si="23"/>
        <v>9.7191106393799791E-4</v>
      </c>
      <c r="D79" s="571">
        <f t="shared" ca="1" si="23"/>
        <v>9.7191106393799791E-4</v>
      </c>
      <c r="E79" s="571">
        <f t="shared" ca="1" si="23"/>
        <v>9.7191106393799791E-4</v>
      </c>
      <c r="F79" s="570" t="s">
        <v>336</v>
      </c>
      <c r="G79" s="544">
        <f t="shared" ca="1" si="24"/>
        <v>9.7191106393799791E-4</v>
      </c>
      <c r="H79" s="544">
        <f t="shared" ca="1" si="24"/>
        <v>9.7191106393799791E-4</v>
      </c>
      <c r="I79" s="542" t="s">
        <v>336</v>
      </c>
      <c r="J79" s="571">
        <f t="shared" ca="1" si="25"/>
        <v>5.02956458032421E-3</v>
      </c>
      <c r="K79" s="571">
        <f t="shared" ca="1" si="25"/>
        <v>5.02956458032421E-3</v>
      </c>
      <c r="L79" s="571">
        <f t="shared" ca="1" si="25"/>
        <v>5.02956458032421E-3</v>
      </c>
      <c r="M79" s="570" t="s">
        <v>336</v>
      </c>
      <c r="N79" s="544">
        <f t="shared" ca="1" si="26"/>
        <v>5.02956458032421E-3</v>
      </c>
      <c r="O79" s="544">
        <f t="shared" ca="1" si="26"/>
        <v>5.02956458032421E-3</v>
      </c>
      <c r="P79" s="542" t="s">
        <v>336</v>
      </c>
      <c r="Q79" s="569">
        <f t="shared" ca="1" si="27"/>
        <v>35.815316899900473</v>
      </c>
      <c r="R79" s="569">
        <f t="shared" ca="1" si="27"/>
        <v>35.815316899900473</v>
      </c>
      <c r="S79" s="569">
        <f t="shared" ca="1" si="27"/>
        <v>35.815316899900473</v>
      </c>
      <c r="T79" s="568" t="s">
        <v>336</v>
      </c>
      <c r="U79" s="567">
        <f t="shared" ca="1" si="28"/>
        <v>35.815316899900473</v>
      </c>
      <c r="V79" s="567">
        <f t="shared" ca="1" si="28"/>
        <v>35.815316899900473</v>
      </c>
      <c r="W79" s="542" t="s">
        <v>336</v>
      </c>
    </row>
    <row r="80" spans="1:23" ht="15.75" thickTop="1" x14ac:dyDescent="0.25">
      <c r="C80" s="137">
        <f ca="1">SUM(C40:C79)</f>
        <v>2.1481573504409845</v>
      </c>
      <c r="D80" s="137">
        <f ca="1">SUM(D40:D79)</f>
        <v>2.1481573504409845</v>
      </c>
      <c r="E80" s="137">
        <f ca="1">SUM(E40:E79)</f>
        <v>2.1481573504409845</v>
      </c>
      <c r="F80" s="566" t="s">
        <v>336</v>
      </c>
      <c r="G80" s="137">
        <f ca="1">SUM(G40:G79)</f>
        <v>2.1481573504409845</v>
      </c>
      <c r="H80" s="137">
        <f ca="1">SUM(H40:H79)</f>
        <v>2.1481573504409845</v>
      </c>
      <c r="I80" s="566" t="s">
        <v>336</v>
      </c>
      <c r="J80" s="137">
        <f ca="1">SUM(J40:J79)</f>
        <v>3.1300122544187832</v>
      </c>
      <c r="K80" s="137">
        <f ca="1">SUM(K40:K79)</f>
        <v>3.1300122544187832</v>
      </c>
      <c r="L80" s="137">
        <f ca="1">SUM(L40:L79)</f>
        <v>3.1300122544187832</v>
      </c>
      <c r="M80" s="566" t="s">
        <v>336</v>
      </c>
      <c r="N80" s="137">
        <f ca="1">SUM(N40:N79)</f>
        <v>3.1300122544187832</v>
      </c>
      <c r="O80" s="137">
        <f ca="1">SUM(O40:O79)</f>
        <v>3.1300122544187832</v>
      </c>
      <c r="P80" s="566" t="s">
        <v>336</v>
      </c>
      <c r="Q80" s="87">
        <f ca="1">SUM(Q40:Q79)</f>
        <v>39950.668730128033</v>
      </c>
      <c r="R80" s="87">
        <f ca="1">SUM(R40:R79)</f>
        <v>39950.668730128033</v>
      </c>
      <c r="S80" s="87">
        <f ca="1">SUM(S40:S79)</f>
        <v>39950.668730128033</v>
      </c>
      <c r="T80" s="566" t="s">
        <v>336</v>
      </c>
      <c r="U80" s="87">
        <f ca="1">SUM(U40:U79)</f>
        <v>39950.668730128033</v>
      </c>
      <c r="V80" s="87">
        <f ca="1">SUM(V40:V79)</f>
        <v>39950.668730128033</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0.11185865362147605</v>
      </c>
      <c r="N91" s="557" t="s">
        <v>336</v>
      </c>
      <c r="O91" s="559">
        <f t="shared" ref="O91:P100" ca="1" si="35">(1-$N$84)*(1-G91)*G60</f>
        <v>0</v>
      </c>
      <c r="P91" s="559">
        <f t="shared" ca="1" si="35"/>
        <v>0.12211248573148464</v>
      </c>
      <c r="Q91" s="557" t="s">
        <v>336</v>
      </c>
      <c r="R91" s="558">
        <f t="shared" ref="R91:S100" ca="1" si="36">(1-$N$84)*(1-D91)*D40/$J91</f>
        <v>0</v>
      </c>
      <c r="S91" s="558">
        <f t="shared" ca="1" si="36"/>
        <v>1.6443669766513489E-5</v>
      </c>
      <c r="T91" s="557" t="s">
        <v>336</v>
      </c>
      <c r="U91" s="558">
        <f t="shared" ref="U91:V100" ca="1" si="37">(1-$N$84)*(1-G91)*G60/$J91</f>
        <v>0</v>
      </c>
      <c r="V91" s="558">
        <f t="shared" ca="1" si="37"/>
        <v>1.7951024124888151E-5</v>
      </c>
      <c r="W91" s="557" t="s">
        <v>336</v>
      </c>
      <c r="X91" s="559">
        <f t="shared" ref="X91:Y100" ca="1" si="38">(1-$N$84)*(1-D91)*K40</f>
        <v>0</v>
      </c>
      <c r="Y91" s="559">
        <f t="shared" ca="1" si="38"/>
        <v>1.5379693027971918E-3</v>
      </c>
      <c r="Z91" s="557" t="s">
        <v>336</v>
      </c>
      <c r="AA91" s="559">
        <f t="shared" ref="AA91:AB100" ca="1" si="39">(1-$N$84)*(1-G91)*N60</f>
        <v>0</v>
      </c>
      <c r="AB91" s="559">
        <f t="shared" ca="1" si="39"/>
        <v>1.0285062264322388E-3</v>
      </c>
      <c r="AC91" s="557" t="s">
        <v>336</v>
      </c>
      <c r="AD91" s="558">
        <f t="shared" ref="AD91:AE110" ca="1" si="40">(1-$N$84)*(1-D91)*K40/$K91</f>
        <v>0</v>
      </c>
      <c r="AE91" s="558">
        <f t="shared" ca="1" si="40"/>
        <v>1.237930831147632E-3</v>
      </c>
      <c r="AF91" s="557" t="s">
        <v>336</v>
      </c>
      <c r="AG91" s="558">
        <f t="shared" ref="AG91:AH100" ca="1" si="41">(1-$N$84)*(1-G91)*N60/$K91</f>
        <v>0</v>
      </c>
      <c r="AH91" s="558">
        <f t="shared" ca="1" si="41"/>
        <v>8.2785759469457525E-4</v>
      </c>
      <c r="AI91" s="557" t="s">
        <v>336</v>
      </c>
      <c r="AJ91" s="507">
        <f t="shared" ref="AJ91:AK110" ca="1" si="42">L91-R91</f>
        <v>0</v>
      </c>
      <c r="AK91" s="507">
        <f t="shared" ca="1" si="42"/>
        <v>0.11184220995170954</v>
      </c>
      <c r="AL91" s="507">
        <f t="shared" ref="AL91:AM110" ca="1" si="43">O91-U91</f>
        <v>0</v>
      </c>
      <c r="AM91" s="507">
        <f t="shared" ca="1" si="43"/>
        <v>0.12209453470735976</v>
      </c>
      <c r="AN91" s="507">
        <f t="shared" ref="AN91:AO110" ca="1" si="44">X91-AD91</f>
        <v>0</v>
      </c>
      <c r="AO91" s="507">
        <f t="shared" ca="1" si="44"/>
        <v>3.0003847164955977E-4</v>
      </c>
      <c r="AP91" s="507">
        <f t="shared" ref="AP91:AQ110" ca="1" si="45">AA91-AG91</f>
        <v>0</v>
      </c>
      <c r="AQ91" s="507">
        <f t="shared" ca="1" si="45"/>
        <v>2.0064863173766359E-4</v>
      </c>
      <c r="AR91" s="812" t="s">
        <v>137</v>
      </c>
      <c r="AS91" s="812">
        <v>2104008100</v>
      </c>
      <c r="AT91" s="507">
        <f t="shared" ref="AT91:AU100" ca="1" si="46">AJ91/$C40</f>
        <v>0</v>
      </c>
      <c r="AU91" s="507">
        <f t="shared" ca="1" si="46"/>
        <v>0.4319364942710362</v>
      </c>
      <c r="AV91" s="507">
        <f t="shared" ref="AV91:AW100" ca="1" si="47">AL91/$C60</f>
        <v>0</v>
      </c>
      <c r="AW91" s="507">
        <f t="shared" ca="1" si="47"/>
        <v>0.43193649427103625</v>
      </c>
      <c r="AX91" s="507">
        <f t="shared" ref="AX91:AY100" ca="1" si="48">AN91/$J40</f>
        <v>0</v>
      </c>
      <c r="AY91" s="507">
        <f t="shared" ca="1" si="48"/>
        <v>8.4277767779154439E-2</v>
      </c>
      <c r="AZ91" s="507">
        <f t="shared" ref="AZ91:BA100" ca="1" si="49">AP91/$J60</f>
        <v>0</v>
      </c>
      <c r="BA91" s="507">
        <f t="shared" ca="1" si="49"/>
        <v>8.4277767779154439E-2</v>
      </c>
      <c r="BB91" s="550">
        <f ca="1">1-((1-AT91))</f>
        <v>0</v>
      </c>
      <c r="BC91" s="550">
        <f ca="1">1-((1-AU91))</f>
        <v>0.4319364942710362</v>
      </c>
      <c r="BD91" s="550">
        <f ca="1">1-((1-AX91))</f>
        <v>0</v>
      </c>
      <c r="BE91" s="550">
        <f ca="1">1-((1-AY91))</f>
        <v>8.4277767779154411E-2</v>
      </c>
    </row>
    <row r="92" spans="1:57" x14ac:dyDescent="0.25">
      <c r="A92" s="60">
        <f t="shared" si="29"/>
        <v>0.4</v>
      </c>
      <c r="B92" s="812"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8.7299041741179927E-3</v>
      </c>
      <c r="M92" s="559">
        <f t="shared" ca="1" si="34"/>
        <v>8.7299041741179927E-3</v>
      </c>
      <c r="N92" s="557" t="s">
        <v>336</v>
      </c>
      <c r="O92" s="559">
        <f t="shared" ca="1" si="35"/>
        <v>9.5301549266505869E-3</v>
      </c>
      <c r="P92" s="559">
        <f t="shared" ca="1" si="35"/>
        <v>9.5301549266505869E-3</v>
      </c>
      <c r="Q92" s="557" t="s">
        <v>336</v>
      </c>
      <c r="R92" s="558">
        <f t="shared" ca="1" si="36"/>
        <v>8.2919229697443734E-6</v>
      </c>
      <c r="S92" s="558">
        <f t="shared" ca="1" si="36"/>
        <v>8.2919229697443734E-6</v>
      </c>
      <c r="T92" s="557" t="s">
        <v>336</v>
      </c>
      <c r="U92" s="558">
        <f t="shared" ca="1" si="37"/>
        <v>9.0520249667574897E-6</v>
      </c>
      <c r="V92" s="558">
        <f t="shared" ca="1" si="37"/>
        <v>9.0520249667574897E-6</v>
      </c>
      <c r="W92" s="557" t="s">
        <v>336</v>
      </c>
      <c r="X92" s="559">
        <f t="shared" ca="1" si="38"/>
        <v>1.3571949295371297E-4</v>
      </c>
      <c r="Y92" s="559">
        <f t="shared" ca="1" si="38"/>
        <v>1.3571949295371297E-4</v>
      </c>
      <c r="Z92" s="557" t="s">
        <v>336</v>
      </c>
      <c r="AA92" s="559">
        <f t="shared" ca="1" si="39"/>
        <v>9.0761462727014712E-5</v>
      </c>
      <c r="AB92" s="559">
        <f t="shared" ca="1" si="39"/>
        <v>9.0761462727014712E-5</v>
      </c>
      <c r="AC92" s="557" t="s">
        <v>336</v>
      </c>
      <c r="AD92" s="558">
        <f t="shared" ca="1" si="40"/>
        <v>6.2424186568447613E-4</v>
      </c>
      <c r="AE92" s="558">
        <f t="shared" ca="1" si="40"/>
        <v>6.2424186568447613E-4</v>
      </c>
      <c r="AF92" s="557" t="s">
        <v>336</v>
      </c>
      <c r="AG92" s="558">
        <f t="shared" ca="1" si="41"/>
        <v>4.1745738649559034E-4</v>
      </c>
      <c r="AH92" s="558">
        <f t="shared" ca="1" si="41"/>
        <v>4.1745738649559034E-4</v>
      </c>
      <c r="AI92" s="557" t="s">
        <v>336</v>
      </c>
      <c r="AJ92" s="507">
        <f t="shared" ca="1" si="42"/>
        <v>8.7216122511482481E-3</v>
      </c>
      <c r="AK92" s="507">
        <f t="shared" ca="1" si="42"/>
        <v>8.7216122511482481E-3</v>
      </c>
      <c r="AL92" s="507">
        <f t="shared" ca="1" si="43"/>
        <v>9.5211029016838301E-3</v>
      </c>
      <c r="AM92" s="507">
        <f t="shared" ca="1" si="43"/>
        <v>9.5211029016838301E-3</v>
      </c>
      <c r="AN92" s="507">
        <f t="shared" ca="1" si="44"/>
        <v>-4.8852237273076316E-4</v>
      </c>
      <c r="AO92" s="507">
        <f t="shared" ca="1" si="44"/>
        <v>-4.8852237273076316E-4</v>
      </c>
      <c r="AP92" s="507">
        <f t="shared" ca="1" si="45"/>
        <v>-3.2669592376857563E-4</v>
      </c>
      <c r="AQ92" s="507">
        <f t="shared" ca="1" si="45"/>
        <v>-3.2669592376857563E-4</v>
      </c>
      <c r="AR92" s="812" t="s">
        <v>138</v>
      </c>
      <c r="AS92" s="812">
        <v>2104008210</v>
      </c>
      <c r="AT92" s="507">
        <f t="shared" ca="1" si="46"/>
        <v>0.43158967353461336</v>
      </c>
      <c r="AU92" s="507">
        <f t="shared" ca="1" si="46"/>
        <v>0.43158967353461336</v>
      </c>
      <c r="AV92" s="507">
        <f t="shared" ca="1" si="47"/>
        <v>0.43158967353461342</v>
      </c>
      <c r="AW92" s="507">
        <f t="shared" ca="1" si="47"/>
        <v>0.43158967353461342</v>
      </c>
      <c r="AX92" s="507">
        <f t="shared" ca="1" si="48"/>
        <v>-1.5549841841191174</v>
      </c>
      <c r="AY92" s="507">
        <f t="shared" ca="1" si="48"/>
        <v>-1.5549841841191174</v>
      </c>
      <c r="AZ92" s="507">
        <f t="shared" ca="1" si="49"/>
        <v>-1.5549841841191174</v>
      </c>
      <c r="BA92" s="507">
        <f t="shared" ca="1" si="49"/>
        <v>-1.5549841841191174</v>
      </c>
      <c r="BB92" s="550">
        <f t="shared" ref="BB92:BC109" ca="1" si="50">1-((1-AT92))</f>
        <v>0.43158967353461342</v>
      </c>
      <c r="BC92" s="550">
        <f t="shared" ca="1" si="50"/>
        <v>0.43158967353461342</v>
      </c>
      <c r="BD92" s="550">
        <f t="shared" ref="BD92:BE109" ca="1" si="51">1-((1-AX92))</f>
        <v>-1.5549841841191174</v>
      </c>
      <c r="BE92" s="550">
        <f t="shared" ca="1" si="51"/>
        <v>-1.5549841841191174</v>
      </c>
    </row>
    <row r="93" spans="1:57" x14ac:dyDescent="0.25">
      <c r="A93" s="60">
        <f t="shared" si="29"/>
        <v>0.66</v>
      </c>
      <c r="B93" s="812"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4.9284619028408016E-3</v>
      </c>
      <c r="M93" s="559">
        <f t="shared" ca="1" si="34"/>
        <v>7.2078755329046708E-3</v>
      </c>
      <c r="N93" s="557" t="s">
        <v>336</v>
      </c>
      <c r="O93" s="559">
        <f t="shared" ca="1" si="35"/>
        <v>5.3802429611334657E-3</v>
      </c>
      <c r="P93" s="559">
        <f t="shared" ca="1" si="35"/>
        <v>7.8686053306576912E-3</v>
      </c>
      <c r="Q93" s="557" t="s">
        <v>336</v>
      </c>
      <c r="R93" s="558">
        <f t="shared" ca="1" si="36"/>
        <v>1.9696148536251565E-5</v>
      </c>
      <c r="S93" s="558">
        <f t="shared" ca="1" si="36"/>
        <v>2.8805617234267911E-5</v>
      </c>
      <c r="T93" s="557" t="s">
        <v>336</v>
      </c>
      <c r="U93" s="558">
        <f t="shared" ca="1" si="37"/>
        <v>2.1501650334869137E-5</v>
      </c>
      <c r="V93" s="558">
        <f t="shared" ca="1" si="37"/>
        <v>3.1446163614746104E-5</v>
      </c>
      <c r="W93" s="557" t="s">
        <v>336</v>
      </c>
      <c r="X93" s="559">
        <f t="shared" ca="1" si="38"/>
        <v>1.9538190336839566E-4</v>
      </c>
      <c r="Y93" s="559">
        <f t="shared" ca="1" si="38"/>
        <v>2.8574603367627859E-4</v>
      </c>
      <c r="Z93" s="557" t="s">
        <v>336</v>
      </c>
      <c r="AA93" s="559">
        <f t="shared" ca="1" si="39"/>
        <v>1.3066028286851699E-4</v>
      </c>
      <c r="AB93" s="559">
        <f t="shared" ca="1" si="39"/>
        <v>1.9109066369520607E-4</v>
      </c>
      <c r="AC93" s="557" t="s">
        <v>336</v>
      </c>
      <c r="AD93" s="558">
        <f t="shared" ca="1" si="40"/>
        <v>1.4827875938947957E-3</v>
      </c>
      <c r="AE93" s="558">
        <f t="shared" ca="1" si="40"/>
        <v>2.1685768560711382E-3</v>
      </c>
      <c r="AF93" s="557" t="s">
        <v>336</v>
      </c>
      <c r="AG93" s="558">
        <f t="shared" ca="1" si="41"/>
        <v>9.9160384412326627E-4</v>
      </c>
      <c r="AH93" s="558">
        <f t="shared" ca="1" si="41"/>
        <v>1.4502206220302768E-3</v>
      </c>
      <c r="AI93" s="557" t="s">
        <v>336</v>
      </c>
      <c r="AJ93" s="507">
        <f t="shared" ca="1" si="42"/>
        <v>4.9087657543045501E-3</v>
      </c>
      <c r="AK93" s="507">
        <f t="shared" ca="1" si="42"/>
        <v>7.1790699156704029E-3</v>
      </c>
      <c r="AL93" s="507">
        <f t="shared" ca="1" si="43"/>
        <v>5.3587413107985963E-3</v>
      </c>
      <c r="AM93" s="507">
        <f t="shared" ca="1" si="43"/>
        <v>7.8371591670429452E-3</v>
      </c>
      <c r="AN93" s="507">
        <f t="shared" ca="1" si="44"/>
        <v>-1.2874056905264001E-3</v>
      </c>
      <c r="AO93" s="507">
        <f t="shared" ca="1" si="44"/>
        <v>-1.8828308223948595E-3</v>
      </c>
      <c r="AP93" s="507">
        <f t="shared" ca="1" si="45"/>
        <v>-8.6094356125474925E-4</v>
      </c>
      <c r="AQ93" s="507">
        <f t="shared" ca="1" si="45"/>
        <v>-1.2591299583350707E-3</v>
      </c>
      <c r="AR93" s="812" t="s">
        <v>139</v>
      </c>
      <c r="AS93" s="812">
        <v>2104008220</v>
      </c>
      <c r="AT93" s="507">
        <f t="shared" ca="1" si="46"/>
        <v>0.29420413770727244</v>
      </c>
      <c r="AU93" s="507">
        <f t="shared" ca="1" si="46"/>
        <v>0.43027355139688583</v>
      </c>
      <c r="AV93" s="507">
        <f t="shared" ca="1" si="47"/>
        <v>0.29420413770727238</v>
      </c>
      <c r="AW93" s="507">
        <f t="shared" ca="1" si="47"/>
        <v>0.43027355139688578</v>
      </c>
      <c r="AX93" s="507">
        <f t="shared" ca="1" si="48"/>
        <v>-1.9463411308010561</v>
      </c>
      <c r="AY93" s="507">
        <f t="shared" ca="1" si="48"/>
        <v>-2.8465239037965437</v>
      </c>
      <c r="AZ93" s="507">
        <f t="shared" ca="1" si="49"/>
        <v>-1.9463411308010556</v>
      </c>
      <c r="BA93" s="507">
        <f t="shared" ca="1" si="49"/>
        <v>-2.8465239037965437</v>
      </c>
      <c r="BB93" s="550">
        <f t="shared" ca="1" si="50"/>
        <v>0.29420413770727238</v>
      </c>
      <c r="BC93" s="550">
        <f t="shared" ca="1" si="50"/>
        <v>0.43027355139688583</v>
      </c>
      <c r="BD93" s="550">
        <f t="shared" ca="1" si="51"/>
        <v>-1.9463411308010561</v>
      </c>
      <c r="BE93" s="550">
        <f t="shared" ca="1" si="51"/>
        <v>-2.8465239037965437</v>
      </c>
    </row>
    <row r="94" spans="1:57" x14ac:dyDescent="0.25">
      <c r="A94" s="60">
        <f t="shared" si="29"/>
        <v>0.7</v>
      </c>
      <c r="B94" s="812"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3.2145694941358724E-3</v>
      </c>
      <c r="M94" s="559">
        <f t="shared" ca="1" si="34"/>
        <v>4.701307885173713E-3</v>
      </c>
      <c r="N94" s="557" t="s">
        <v>336</v>
      </c>
      <c r="O94" s="559">
        <f t="shared" ca="1" si="35"/>
        <v>3.5092418760363825E-3</v>
      </c>
      <c r="P94" s="559">
        <f t="shared" ca="1" si="35"/>
        <v>5.1322662437032086E-3</v>
      </c>
      <c r="Q94" s="557" t="s">
        <v>336</v>
      </c>
      <c r="R94" s="558">
        <f t="shared" ca="1" si="36"/>
        <v>1.2577221927398684E-5</v>
      </c>
      <c r="S94" s="558">
        <f t="shared" ca="1" si="36"/>
        <v>1.8394187068820575E-5</v>
      </c>
      <c r="T94" s="557" t="s">
        <v>336</v>
      </c>
      <c r="U94" s="558">
        <f t="shared" ca="1" si="37"/>
        <v>1.3730147676802702E-5</v>
      </c>
      <c r="V94" s="558">
        <f t="shared" ca="1" si="37"/>
        <v>2.0080340977323949E-5</v>
      </c>
      <c r="W94" s="557" t="s">
        <v>336</v>
      </c>
      <c r="X94" s="559">
        <f t="shared" ca="1" si="38"/>
        <v>1.1763421130116898E-4</v>
      </c>
      <c r="Y94" s="559">
        <f t="shared" ca="1" si="38"/>
        <v>1.7204003402795958E-4</v>
      </c>
      <c r="Z94" s="557" t="s">
        <v>336</v>
      </c>
      <c r="AA94" s="559">
        <f t="shared" ca="1" si="39"/>
        <v>7.8667056972236754E-5</v>
      </c>
      <c r="AB94" s="559">
        <f t="shared" ca="1" si="39"/>
        <v>1.1505057082189623E-4</v>
      </c>
      <c r="AC94" s="557" t="s">
        <v>336</v>
      </c>
      <c r="AD94" s="558">
        <f t="shared" ca="1" si="40"/>
        <v>9.4685255877734003E-4</v>
      </c>
      <c r="AE94" s="558">
        <f t="shared" ca="1" si="40"/>
        <v>1.3847718672118593E-3</v>
      </c>
      <c r="AF94" s="557" t="s">
        <v>336</v>
      </c>
      <c r="AG94" s="558">
        <f t="shared" ca="1" si="41"/>
        <v>6.3320103362570813E-4</v>
      </c>
      <c r="AH94" s="558">
        <f t="shared" ca="1" si="41"/>
        <v>9.2605651167759794E-4</v>
      </c>
      <c r="AI94" s="557" t="s">
        <v>336</v>
      </c>
      <c r="AJ94" s="507">
        <f t="shared" ca="1" si="42"/>
        <v>3.2019922722084739E-3</v>
      </c>
      <c r="AK94" s="507">
        <f t="shared" ca="1" si="42"/>
        <v>4.6829136981048928E-3</v>
      </c>
      <c r="AL94" s="507">
        <f t="shared" ca="1" si="43"/>
        <v>3.4955117283595799E-3</v>
      </c>
      <c r="AM94" s="507">
        <f t="shared" ca="1" si="43"/>
        <v>5.1121859027258845E-3</v>
      </c>
      <c r="AN94" s="507">
        <f t="shared" ca="1" si="44"/>
        <v>-8.2921834747617105E-4</v>
      </c>
      <c r="AO94" s="507">
        <f t="shared" ca="1" si="44"/>
        <v>-1.2127318331838998E-3</v>
      </c>
      <c r="AP94" s="507">
        <f t="shared" ca="1" si="45"/>
        <v>-5.5453397665347138E-4</v>
      </c>
      <c r="AQ94" s="507">
        <f t="shared" ca="1" si="45"/>
        <v>-8.1100594085570168E-4</v>
      </c>
      <c r="AR94" s="812" t="s">
        <v>140</v>
      </c>
      <c r="AS94" s="812">
        <v>2104008230</v>
      </c>
      <c r="AT94" s="507">
        <f t="shared" ca="1" si="46"/>
        <v>0.29422890297323068</v>
      </c>
      <c r="AU94" s="507">
        <f t="shared" ca="1" si="46"/>
        <v>0.43030977059834979</v>
      </c>
      <c r="AV94" s="507">
        <f t="shared" ca="1" si="47"/>
        <v>0.29422890297323068</v>
      </c>
      <c r="AW94" s="507">
        <f t="shared" ca="1" si="47"/>
        <v>0.43030977059834974</v>
      </c>
      <c r="AX94" s="507">
        <f t="shared" ca="1" si="48"/>
        <v>-2.0822032972365507</v>
      </c>
      <c r="AY94" s="507">
        <f t="shared" ca="1" si="48"/>
        <v>-3.0452223222084545</v>
      </c>
      <c r="AZ94" s="507">
        <f t="shared" ca="1" si="49"/>
        <v>-2.0822032972365507</v>
      </c>
      <c r="BA94" s="507">
        <f t="shared" ca="1" si="49"/>
        <v>-3.0452223222084545</v>
      </c>
      <c r="BB94" s="550">
        <f t="shared" ca="1" si="50"/>
        <v>0.29422890297323068</v>
      </c>
      <c r="BC94" s="550">
        <f t="shared" ca="1" si="50"/>
        <v>0.43030977059834985</v>
      </c>
      <c r="BD94" s="550">
        <f t="shared" ca="1" si="51"/>
        <v>-2.0822032972365507</v>
      </c>
      <c r="BE94" s="550">
        <f t="shared" ca="1" si="51"/>
        <v>-3.0452223222084545</v>
      </c>
    </row>
    <row r="95" spans="1:57" x14ac:dyDescent="0.25">
      <c r="A95" s="60">
        <f t="shared" si="29"/>
        <v>0.54</v>
      </c>
      <c r="B95" s="812"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7.0299414535099719E-2</v>
      </c>
      <c r="M95" s="559">
        <f t="shared" ca="1" si="34"/>
        <v>7.0299414535099719E-2</v>
      </c>
      <c r="N95" s="557" t="s">
        <v>336</v>
      </c>
      <c r="O95" s="559">
        <f t="shared" ca="1" si="35"/>
        <v>7.6743604329427922E-2</v>
      </c>
      <c r="P95" s="559">
        <f t="shared" ca="1" si="35"/>
        <v>7.6743604329427922E-2</v>
      </c>
      <c r="Q95" s="557" t="s">
        <v>336</v>
      </c>
      <c r="R95" s="558">
        <f t="shared" ca="1" si="36"/>
        <v>2.2717545465009381E-4</v>
      </c>
      <c r="S95" s="558">
        <f t="shared" ca="1" si="36"/>
        <v>2.2717545465009381E-4</v>
      </c>
      <c r="T95" s="557" t="s">
        <v>336</v>
      </c>
      <c r="U95" s="558">
        <f t="shared" ca="1" si="37"/>
        <v>2.4800011949345556E-4</v>
      </c>
      <c r="V95" s="558">
        <f t="shared" ca="1" si="37"/>
        <v>2.4800011949345556E-4</v>
      </c>
      <c r="W95" s="557" t="s">
        <v>336</v>
      </c>
      <c r="X95" s="559">
        <f t="shared" ca="1" si="38"/>
        <v>2.7543213396976759E-3</v>
      </c>
      <c r="Y95" s="559">
        <f t="shared" ca="1" si="38"/>
        <v>2.7543213396976759E-3</v>
      </c>
      <c r="Z95" s="557" t="s">
        <v>336</v>
      </c>
      <c r="AA95" s="559">
        <f t="shared" ca="1" si="39"/>
        <v>1.8419331532313454E-3</v>
      </c>
      <c r="AB95" s="559">
        <f t="shared" ca="1" si="39"/>
        <v>1.8419331532313454E-3</v>
      </c>
      <c r="AC95" s="557" t="s">
        <v>336</v>
      </c>
      <c r="AD95" s="558">
        <f t="shared" ca="1" si="40"/>
        <v>1.7102477937378319E-2</v>
      </c>
      <c r="AE95" s="558">
        <f t="shared" ca="1" si="40"/>
        <v>1.7102477937378319E-2</v>
      </c>
      <c r="AF95" s="557" t="s">
        <v>336</v>
      </c>
      <c r="AG95" s="558">
        <f t="shared" ca="1" si="41"/>
        <v>1.1437162636485433E-2</v>
      </c>
      <c r="AH95" s="558">
        <f t="shared" ca="1" si="41"/>
        <v>1.1437162636485433E-2</v>
      </c>
      <c r="AI95" s="557" t="s">
        <v>336</v>
      </c>
      <c r="AJ95" s="507">
        <f t="shared" ca="1" si="42"/>
        <v>7.0072239080449628E-2</v>
      </c>
      <c r="AK95" s="507">
        <f t="shared" ca="1" si="42"/>
        <v>7.0072239080449628E-2</v>
      </c>
      <c r="AL95" s="507">
        <f t="shared" ca="1" si="43"/>
        <v>7.6495604209934467E-2</v>
      </c>
      <c r="AM95" s="507">
        <f t="shared" ca="1" si="43"/>
        <v>7.6495604209934467E-2</v>
      </c>
      <c r="AN95" s="507">
        <f t="shared" ca="1" si="44"/>
        <v>-1.4348156597680642E-2</v>
      </c>
      <c r="AO95" s="507">
        <f t="shared" ca="1" si="44"/>
        <v>-1.4348156597680642E-2</v>
      </c>
      <c r="AP95" s="507">
        <f t="shared" ca="1" si="45"/>
        <v>-9.595229483254088E-3</v>
      </c>
      <c r="AQ95" s="507">
        <f t="shared" ca="1" si="45"/>
        <v>-9.595229483254088E-3</v>
      </c>
      <c r="AR95" s="812" t="s">
        <v>141</v>
      </c>
      <c r="AS95" s="812">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2"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6.60554524160539E-2</v>
      </c>
      <c r="M96" s="559">
        <f t="shared" ca="1" si="34"/>
        <v>9.6606099158478814E-2</v>
      </c>
      <c r="N96" s="557" t="s">
        <v>336</v>
      </c>
      <c r="O96" s="559">
        <f t="shared" ca="1" si="35"/>
        <v>7.2110607713353467E-2</v>
      </c>
      <c r="P96" s="559">
        <f t="shared" ca="1" si="35"/>
        <v>0.10546176378077941</v>
      </c>
      <c r="Q96" s="557" t="s">
        <v>336</v>
      </c>
      <c r="R96" s="558">
        <f t="shared" ca="1" si="36"/>
        <v>4.1183065101909412E-4</v>
      </c>
      <c r="S96" s="558">
        <f t="shared" ca="1" si="36"/>
        <v>6.0230232711542511E-4</v>
      </c>
      <c r="T96" s="557" t="s">
        <v>336</v>
      </c>
      <c r="U96" s="558">
        <f t="shared" ca="1" si="37"/>
        <v>4.4958224391413479E-4</v>
      </c>
      <c r="V96" s="558">
        <f t="shared" ca="1" si="37"/>
        <v>6.5751403172442191E-4</v>
      </c>
      <c r="W96" s="557" t="s">
        <v>336</v>
      </c>
      <c r="X96" s="559">
        <f t="shared" ca="1" si="38"/>
        <v>3.9651234625659483E-3</v>
      </c>
      <c r="Y96" s="559">
        <f t="shared" ca="1" si="38"/>
        <v>5.7989930640026978E-3</v>
      </c>
      <c r="Z96" s="557" t="s">
        <v>336</v>
      </c>
      <c r="AA96" s="559">
        <f t="shared" ca="1" si="39"/>
        <v>2.6516486137951297E-3</v>
      </c>
      <c r="AB96" s="559">
        <f t="shared" ca="1" si="39"/>
        <v>3.8780360976753761E-3</v>
      </c>
      <c r="AC96" s="557" t="s">
        <v>336</v>
      </c>
      <c r="AD96" s="558">
        <f t="shared" ca="1" si="40"/>
        <v>3.1003897995224287E-2</v>
      </c>
      <c r="AE96" s="558">
        <f t="shared" ca="1" si="40"/>
        <v>4.534320081801551E-2</v>
      </c>
      <c r="AF96" s="557" t="s">
        <v>336</v>
      </c>
      <c r="AG96" s="558">
        <f t="shared" ca="1" si="41"/>
        <v>2.0733640179789164E-2</v>
      </c>
      <c r="AH96" s="558">
        <f t="shared" ca="1" si="41"/>
        <v>3.0322948762941643E-2</v>
      </c>
      <c r="AI96" s="557" t="s">
        <v>336</v>
      </c>
      <c r="AJ96" s="507">
        <f t="shared" ca="1" si="42"/>
        <v>6.5643621765034812E-2</v>
      </c>
      <c r="AK96" s="507">
        <f t="shared" ca="1" si="42"/>
        <v>9.6003796831363383E-2</v>
      </c>
      <c r="AL96" s="507">
        <f t="shared" ca="1" si="43"/>
        <v>7.1661025469439338E-2</v>
      </c>
      <c r="AM96" s="507">
        <f t="shared" ca="1" si="43"/>
        <v>0.10480424974905499</v>
      </c>
      <c r="AN96" s="507">
        <f t="shared" ca="1" si="44"/>
        <v>-2.7038774532658339E-2</v>
      </c>
      <c r="AO96" s="507">
        <f t="shared" ca="1" si="44"/>
        <v>-3.9544207754012808E-2</v>
      </c>
      <c r="AP96" s="507">
        <f t="shared" ca="1" si="45"/>
        <v>-1.8081991565994035E-2</v>
      </c>
      <c r="AQ96" s="507">
        <f t="shared" ca="1" si="45"/>
        <v>-2.6444912665266267E-2</v>
      </c>
      <c r="AR96" s="812" t="s">
        <v>142</v>
      </c>
      <c r="AS96" s="812">
        <v>2104008320</v>
      </c>
      <c r="AT96" s="507">
        <f t="shared" ca="1" si="46"/>
        <v>0.29354300452577731</v>
      </c>
      <c r="AU96" s="507">
        <f t="shared" ca="1" si="46"/>
        <v>0.42930664411894914</v>
      </c>
      <c r="AV96" s="507">
        <f t="shared" ca="1" si="47"/>
        <v>0.29354300452577731</v>
      </c>
      <c r="AW96" s="507">
        <f t="shared" ca="1" si="47"/>
        <v>0.42930664411894914</v>
      </c>
      <c r="AX96" s="507">
        <f t="shared" ca="1" si="48"/>
        <v>-2.0142722140188041</v>
      </c>
      <c r="AY96" s="507">
        <f t="shared" ca="1" si="48"/>
        <v>-2.9458731130024995</v>
      </c>
      <c r="AZ96" s="507">
        <f t="shared" ca="1" si="49"/>
        <v>-2.0142722140188036</v>
      </c>
      <c r="BA96" s="507">
        <f t="shared" ca="1" si="49"/>
        <v>-2.9458731130024995</v>
      </c>
      <c r="BB96" s="550">
        <f t="shared" ca="1" si="50"/>
        <v>0.29354300452577731</v>
      </c>
      <c r="BC96" s="550">
        <f t="shared" ca="1" si="50"/>
        <v>0.42930664411894914</v>
      </c>
      <c r="BD96" s="550">
        <f t="shared" ca="1" si="51"/>
        <v>-2.0142722140188041</v>
      </c>
      <c r="BE96" s="550">
        <f t="shared" ca="1" si="51"/>
        <v>-2.9458731130024995</v>
      </c>
    </row>
    <row r="97" spans="1:57" x14ac:dyDescent="0.25">
      <c r="A97" s="60">
        <f t="shared" si="29"/>
        <v>0.72</v>
      </c>
      <c r="B97" s="812"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4.4128598945775796E-2</v>
      </c>
      <c r="M97" s="559">
        <f t="shared" ca="1" si="34"/>
        <v>6.4538075958197091E-2</v>
      </c>
      <c r="N97" s="557" t="s">
        <v>336</v>
      </c>
      <c r="O97" s="559">
        <f t="shared" ca="1" si="35"/>
        <v>4.817376872201036E-2</v>
      </c>
      <c r="P97" s="559">
        <f t="shared" ca="1" si="35"/>
        <v>7.045413675594013E-2</v>
      </c>
      <c r="Q97" s="557" t="s">
        <v>336</v>
      </c>
      <c r="R97" s="558">
        <f t="shared" ca="1" si="36"/>
        <v>2.625376291757128E-4</v>
      </c>
      <c r="S97" s="558">
        <f t="shared" ca="1" si="36"/>
        <v>3.8396128266947994E-4</v>
      </c>
      <c r="T97" s="557" t="s">
        <v>336</v>
      </c>
      <c r="U97" s="558">
        <f t="shared" ca="1" si="37"/>
        <v>2.8660386531366146E-4</v>
      </c>
      <c r="V97" s="558">
        <f t="shared" ca="1" si="37"/>
        <v>4.1915815302122973E-4</v>
      </c>
      <c r="W97" s="557" t="s">
        <v>336</v>
      </c>
      <c r="X97" s="559">
        <f t="shared" ca="1" si="38"/>
        <v>2.3872946428986131E-3</v>
      </c>
      <c r="Y97" s="559">
        <f t="shared" ca="1" si="38"/>
        <v>3.4914184152392207E-3</v>
      </c>
      <c r="Z97" s="557" t="s">
        <v>336</v>
      </c>
      <c r="AA97" s="559">
        <f t="shared" ca="1" si="39"/>
        <v>1.5964866139290769E-3</v>
      </c>
      <c r="AB97" s="559">
        <f t="shared" ca="1" si="39"/>
        <v>2.3348616728712745E-3</v>
      </c>
      <c r="AC97" s="557" t="s">
        <v>336</v>
      </c>
      <c r="AD97" s="558">
        <f t="shared" ca="1" si="40"/>
        <v>1.9764652909466003E-2</v>
      </c>
      <c r="AE97" s="558">
        <f t="shared" ca="1" si="40"/>
        <v>2.8905804880094019E-2</v>
      </c>
      <c r="AF97" s="557" t="s">
        <v>336</v>
      </c>
      <c r="AG97" s="558">
        <f t="shared" ca="1" si="41"/>
        <v>1.3217473550145664E-2</v>
      </c>
      <c r="AH97" s="558">
        <f t="shared" ca="1" si="41"/>
        <v>1.9330555067088029E-2</v>
      </c>
      <c r="AI97" s="557" t="s">
        <v>336</v>
      </c>
      <c r="AJ97" s="507">
        <f t="shared" ca="1" si="42"/>
        <v>4.3866061316600084E-2</v>
      </c>
      <c r="AK97" s="507">
        <f t="shared" ca="1" si="42"/>
        <v>6.4154114675527618E-2</v>
      </c>
      <c r="AL97" s="507">
        <f t="shared" ca="1" si="43"/>
        <v>4.7887164856696696E-2</v>
      </c>
      <c r="AM97" s="507">
        <f t="shared" ca="1" si="43"/>
        <v>7.0034978602918907E-2</v>
      </c>
      <c r="AN97" s="507">
        <f t="shared" ca="1" si="44"/>
        <v>-1.7377358266567389E-2</v>
      </c>
      <c r="AO97" s="507">
        <f t="shared" ca="1" si="44"/>
        <v>-2.5414386464854798E-2</v>
      </c>
      <c r="AP97" s="507">
        <f t="shared" ca="1" si="45"/>
        <v>-1.1620986936216587E-2</v>
      </c>
      <c r="AQ97" s="507">
        <f t="shared" ca="1" si="45"/>
        <v>-1.6995693394216756E-2</v>
      </c>
      <c r="AR97" s="812" t="s">
        <v>143</v>
      </c>
      <c r="AS97" s="812">
        <v>2104008330</v>
      </c>
      <c r="AT97" s="507">
        <f t="shared" ca="1" si="46"/>
        <v>0.29362726123173721</v>
      </c>
      <c r="AU97" s="507">
        <f t="shared" ca="1" si="46"/>
        <v>0.4294298695514156</v>
      </c>
      <c r="AV97" s="507">
        <f t="shared" ca="1" si="47"/>
        <v>0.29362726123173721</v>
      </c>
      <c r="AW97" s="507">
        <f t="shared" ca="1" si="47"/>
        <v>0.4294298695514156</v>
      </c>
      <c r="AX97" s="507">
        <f t="shared" ca="1" si="48"/>
        <v>-2.1501343804542987</v>
      </c>
      <c r="AY97" s="507">
        <f t="shared" ca="1" si="48"/>
        <v>-3.1445715314144107</v>
      </c>
      <c r="AZ97" s="507">
        <f t="shared" ca="1" si="49"/>
        <v>-2.1501343804542987</v>
      </c>
      <c r="BA97" s="507">
        <f t="shared" ca="1" si="49"/>
        <v>-3.1445715314144111</v>
      </c>
      <c r="BB97" s="550">
        <f t="shared" ca="1" si="50"/>
        <v>0.29362726123173721</v>
      </c>
      <c r="BC97" s="550">
        <f t="shared" ca="1" si="50"/>
        <v>0.4294298695514156</v>
      </c>
      <c r="BD97" s="550">
        <f t="shared" ca="1" si="51"/>
        <v>-2.1501343804542987</v>
      </c>
      <c r="BE97" s="550">
        <f t="shared" ca="1" si="51"/>
        <v>-3.1445715314144103</v>
      </c>
    </row>
    <row r="98" spans="1:57" x14ac:dyDescent="0.25">
      <c r="A98" s="60">
        <f t="shared" si="29"/>
        <v>0.56000000000000005</v>
      </c>
      <c r="B98" s="812"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2.381370694758328E-3</v>
      </c>
      <c r="M98" s="559">
        <f t="shared" ca="1" si="34"/>
        <v>2.381370694758328E-3</v>
      </c>
      <c r="N98" s="557" t="s">
        <v>336</v>
      </c>
      <c r="O98" s="559">
        <f t="shared" ca="1" si="35"/>
        <v>2.5996656098605268E-3</v>
      </c>
      <c r="P98" s="559">
        <f t="shared" ca="1" si="35"/>
        <v>2.5996656098605268E-3</v>
      </c>
      <c r="Q98" s="557" t="s">
        <v>336</v>
      </c>
      <c r="R98" s="558">
        <f t="shared" ca="1" si="36"/>
        <v>3.1274591702898124E-5</v>
      </c>
      <c r="S98" s="558">
        <f t="shared" ca="1" si="36"/>
        <v>3.1274591702898124E-5</v>
      </c>
      <c r="T98" s="557" t="s">
        <v>336</v>
      </c>
      <c r="U98" s="558">
        <f t="shared" ca="1" si="37"/>
        <v>3.4141463440115382E-5</v>
      </c>
      <c r="V98" s="558">
        <f t="shared" ca="1" si="37"/>
        <v>3.4141463440115382E-5</v>
      </c>
      <c r="W98" s="557" t="s">
        <v>336</v>
      </c>
      <c r="X98" s="559">
        <f t="shared" ca="1" si="38"/>
        <v>3.061818615306979E-4</v>
      </c>
      <c r="Y98" s="559">
        <f t="shared" ca="1" si="38"/>
        <v>3.061818615306979E-4</v>
      </c>
      <c r="Z98" s="557" t="s">
        <v>336</v>
      </c>
      <c r="AA98" s="559">
        <f t="shared" ca="1" si="39"/>
        <v>2.0475698080071674E-4</v>
      </c>
      <c r="AB98" s="559">
        <f t="shared" ca="1" si="39"/>
        <v>2.0475698080071674E-4</v>
      </c>
      <c r="AC98" s="557" t="s">
        <v>336</v>
      </c>
      <c r="AD98" s="558">
        <f t="shared" ca="1" si="40"/>
        <v>2.3544489673110449E-3</v>
      </c>
      <c r="AE98" s="558">
        <f t="shared" ca="1" si="40"/>
        <v>2.3544489673110449E-3</v>
      </c>
      <c r="AF98" s="557" t="s">
        <v>336</v>
      </c>
      <c r="AG98" s="558">
        <f t="shared" ca="1" si="41"/>
        <v>1.5745212978517361E-3</v>
      </c>
      <c r="AH98" s="558">
        <f t="shared" ca="1" si="41"/>
        <v>1.5745212978517361E-3</v>
      </c>
      <c r="AI98" s="557" t="s">
        <v>336</v>
      </c>
      <c r="AJ98" s="507">
        <f t="shared" ca="1" si="42"/>
        <v>2.3500961030554299E-3</v>
      </c>
      <c r="AK98" s="507">
        <f t="shared" ca="1" si="42"/>
        <v>2.3500961030554299E-3</v>
      </c>
      <c r="AL98" s="507">
        <f t="shared" ca="1" si="43"/>
        <v>2.5655241464204114E-3</v>
      </c>
      <c r="AM98" s="507">
        <f t="shared" ca="1" si="43"/>
        <v>2.5655241464204114E-3</v>
      </c>
      <c r="AN98" s="507">
        <f t="shared" ca="1" si="44"/>
        <v>-2.048267105780347E-3</v>
      </c>
      <c r="AO98" s="507">
        <f t="shared" ca="1" si="44"/>
        <v>-2.048267105780347E-3</v>
      </c>
      <c r="AP98" s="507">
        <f t="shared" ca="1" si="45"/>
        <v>-1.3697643170510194E-3</v>
      </c>
      <c r="AQ98" s="507">
        <f t="shared" ca="1" si="45"/>
        <v>-1.3697643170510194E-3</v>
      </c>
      <c r="AR98" s="812" t="s">
        <v>144</v>
      </c>
      <c r="AS98" s="812">
        <v>2104008410</v>
      </c>
      <c r="AT98" s="507">
        <f t="shared" ca="1" si="46"/>
        <v>0.42632653486271976</v>
      </c>
      <c r="AU98" s="507">
        <f t="shared" ca="1" si="46"/>
        <v>0.42632653486271976</v>
      </c>
      <c r="AV98" s="507">
        <f t="shared" ca="1" si="47"/>
        <v>0.42632653486271976</v>
      </c>
      <c r="AW98" s="507">
        <f t="shared" ca="1" si="47"/>
        <v>0.42632653486271976</v>
      </c>
      <c r="AX98" s="507">
        <f t="shared" ca="1" si="48"/>
        <v>-2.8899536545811819</v>
      </c>
      <c r="AY98" s="507">
        <f t="shared" ca="1" si="48"/>
        <v>-2.8899536545811819</v>
      </c>
      <c r="AZ98" s="507">
        <f t="shared" ca="1" si="49"/>
        <v>-2.8899536545811824</v>
      </c>
      <c r="BA98" s="507">
        <f t="shared" ca="1" si="49"/>
        <v>-2.8899536545811824</v>
      </c>
      <c r="BB98" s="550">
        <f t="shared" ca="1" si="50"/>
        <v>0.42632653486271976</v>
      </c>
      <c r="BC98" s="550">
        <f t="shared" ca="1" si="50"/>
        <v>0.42632653486271976</v>
      </c>
      <c r="BD98" s="550">
        <f t="shared" ca="1" si="51"/>
        <v>-2.8899536545811819</v>
      </c>
      <c r="BE98" s="550">
        <f t="shared" ca="1" si="51"/>
        <v>-2.8899536545811819</v>
      </c>
    </row>
    <row r="99" spans="1:57" x14ac:dyDescent="0.25">
      <c r="A99" s="60">
        <f t="shared" si="29"/>
        <v>0.78</v>
      </c>
      <c r="B99" s="812"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8.0324373630788759E-3</v>
      </c>
      <c r="M99" s="559">
        <f t="shared" ca="1" si="34"/>
        <v>8.0324373630788759E-3</v>
      </c>
      <c r="N99" s="557" t="s">
        <v>336</v>
      </c>
      <c r="O99" s="559">
        <f t="shared" ca="1" si="35"/>
        <v>8.7687528960181862E-3</v>
      </c>
      <c r="P99" s="559">
        <f t="shared" ca="1" si="35"/>
        <v>8.7687528960181862E-3</v>
      </c>
      <c r="Q99" s="557" t="s">
        <v>336</v>
      </c>
      <c r="R99" s="558">
        <f t="shared" ca="1" si="36"/>
        <v>1.4693273648526504E-4</v>
      </c>
      <c r="S99" s="558">
        <f t="shared" ca="1" si="36"/>
        <v>1.4693273648526504E-4</v>
      </c>
      <c r="T99" s="557" t="s">
        <v>336</v>
      </c>
      <c r="U99" s="558">
        <f t="shared" ca="1" si="37"/>
        <v>1.6040173117281401E-4</v>
      </c>
      <c r="V99" s="558">
        <f t="shared" ca="1" si="37"/>
        <v>1.6040173117281401E-4</v>
      </c>
      <c r="W99" s="557" t="s">
        <v>336</v>
      </c>
      <c r="X99" s="559">
        <f t="shared" ca="1" si="38"/>
        <v>1.0327609346455864E-3</v>
      </c>
      <c r="Y99" s="559">
        <f t="shared" ca="1" si="38"/>
        <v>1.0327609346455864E-3</v>
      </c>
      <c r="Z99" s="557" t="s">
        <v>336</v>
      </c>
      <c r="AA99" s="559">
        <f t="shared" ca="1" si="39"/>
        <v>6.9065165980041279E-4</v>
      </c>
      <c r="AB99" s="559">
        <f t="shared" ca="1" si="39"/>
        <v>6.9065165980041279E-4</v>
      </c>
      <c r="AC99" s="557" t="s">
        <v>336</v>
      </c>
      <c r="AD99" s="558">
        <f t="shared" ca="1" si="40"/>
        <v>1.1061555430309919E-2</v>
      </c>
      <c r="AE99" s="558">
        <f t="shared" ca="1" si="40"/>
        <v>1.1061555430309919E-2</v>
      </c>
      <c r="AF99" s="557" t="s">
        <v>336</v>
      </c>
      <c r="AG99" s="558">
        <f t="shared" ca="1" si="41"/>
        <v>7.3973379139670222E-3</v>
      </c>
      <c r="AH99" s="558">
        <f t="shared" ca="1" si="41"/>
        <v>7.3973379139670222E-3</v>
      </c>
      <c r="AI99" s="557" t="s">
        <v>336</v>
      </c>
      <c r="AJ99" s="507">
        <f t="shared" ca="1" si="42"/>
        <v>7.8855046265936101E-3</v>
      </c>
      <c r="AK99" s="507">
        <f t="shared" ca="1" si="42"/>
        <v>7.8855046265936101E-3</v>
      </c>
      <c r="AL99" s="507">
        <f t="shared" ca="1" si="43"/>
        <v>8.6083511648453719E-3</v>
      </c>
      <c r="AM99" s="507">
        <f t="shared" ca="1" si="43"/>
        <v>8.6083511648453719E-3</v>
      </c>
      <c r="AN99" s="507">
        <f t="shared" ca="1" si="44"/>
        <v>-1.0028794495664333E-2</v>
      </c>
      <c r="AO99" s="507">
        <f t="shared" ca="1" si="44"/>
        <v>-1.0028794495664333E-2</v>
      </c>
      <c r="AP99" s="507">
        <f t="shared" ca="1" si="45"/>
        <v>-6.7066862541666095E-3</v>
      </c>
      <c r="AQ99" s="507">
        <f t="shared" ca="1" si="45"/>
        <v>-6.7066862541666095E-3</v>
      </c>
      <c r="AR99" s="812" t="s">
        <v>145</v>
      </c>
      <c r="AS99" s="812">
        <v>2104008420</v>
      </c>
      <c r="AT99" s="507">
        <f t="shared" ca="1" si="46"/>
        <v>0.42409767355878825</v>
      </c>
      <c r="AU99" s="507">
        <f t="shared" ca="1" si="46"/>
        <v>0.42409767355878825</v>
      </c>
      <c r="AV99" s="507">
        <f t="shared" ca="1" si="47"/>
        <v>0.4240976735587883</v>
      </c>
      <c r="AW99" s="507">
        <f t="shared" ca="1" si="47"/>
        <v>0.4240976735587883</v>
      </c>
      <c r="AX99" s="507">
        <f t="shared" ca="1" si="48"/>
        <v>-4.1950068760237897</v>
      </c>
      <c r="AY99" s="507">
        <f t="shared" ca="1" si="48"/>
        <v>-4.1950068760237897</v>
      </c>
      <c r="AZ99" s="507">
        <f t="shared" ca="1" si="49"/>
        <v>-4.1950068760237897</v>
      </c>
      <c r="BA99" s="507">
        <f t="shared" ca="1" si="49"/>
        <v>-4.1950068760237897</v>
      </c>
      <c r="BB99" s="550">
        <f t="shared" ca="1" si="50"/>
        <v>0.42409767355878825</v>
      </c>
      <c r="BC99" s="550">
        <f t="shared" ca="1" si="50"/>
        <v>0.42409767355878825</v>
      </c>
      <c r="BD99" s="550">
        <f t="shared" ca="1" si="51"/>
        <v>-4.1950068760237897</v>
      </c>
      <c r="BE99" s="550">
        <f t="shared" ca="1" si="51"/>
        <v>-4.1950068760237897</v>
      </c>
    </row>
    <row r="100" spans="1:57" x14ac:dyDescent="0.25">
      <c r="A100" s="60">
        <f t="shared" si="29"/>
        <v>0.43</v>
      </c>
      <c r="B100" s="812"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3.6851417364740985E-2</v>
      </c>
      <c r="M100" s="559">
        <f t="shared" ca="1" si="34"/>
        <v>3.9908216961816276E-2</v>
      </c>
      <c r="N100" s="557" t="s">
        <v>336</v>
      </c>
      <c r="O100" s="559">
        <f t="shared" ca="1" si="35"/>
        <v>4.0229504213100481E-2</v>
      </c>
      <c r="P100" s="559">
        <f t="shared" ca="1" si="35"/>
        <v>4.3566513779164116E-2</v>
      </c>
      <c r="Q100" s="557" t="s">
        <v>336</v>
      </c>
      <c r="R100" s="558">
        <f t="shared" ca="1" si="36"/>
        <v>1.1665571635618623E-4</v>
      </c>
      <c r="S100" s="558">
        <f t="shared" ca="1" si="36"/>
        <v>1.2633222739033992E-4</v>
      </c>
      <c r="T100" s="557" t="s">
        <v>336</v>
      </c>
      <c r="U100" s="558">
        <f t="shared" ca="1" si="37"/>
        <v>1.2734928445720133E-4</v>
      </c>
      <c r="V100" s="558">
        <f t="shared" ca="1" si="37"/>
        <v>1.3791281957346689E-4</v>
      </c>
      <c r="W100" s="557" t="s">
        <v>336</v>
      </c>
      <c r="X100" s="559">
        <f t="shared" ca="1" si="38"/>
        <v>1.7761699990189489E-3</v>
      </c>
      <c r="Y100" s="559">
        <f t="shared" ca="1" si="38"/>
        <v>1.9235020726702905E-3</v>
      </c>
      <c r="Z100" s="557" t="s">
        <v>336</v>
      </c>
      <c r="AA100" s="559">
        <f t="shared" ca="1" si="39"/>
        <v>1.1878012778737683E-3</v>
      </c>
      <c r="AB100" s="559">
        <f t="shared" ca="1" si="39"/>
        <v>1.2863285728126062E-3</v>
      </c>
      <c r="AC100" s="557" t="s">
        <v>336</v>
      </c>
      <c r="AD100" s="558">
        <f t="shared" ca="1" si="40"/>
        <v>8.7822067675563265E-3</v>
      </c>
      <c r="AE100" s="558">
        <f t="shared" ca="1" si="40"/>
        <v>9.5106847482752856E-3</v>
      </c>
      <c r="AF100" s="557" t="s">
        <v>336</v>
      </c>
      <c r="AG100" s="558">
        <f t="shared" ca="1" si="41"/>
        <v>5.8730394201100189E-3</v>
      </c>
      <c r="AH100" s="558">
        <f t="shared" ca="1" si="41"/>
        <v>6.3602039803034765E-3</v>
      </c>
      <c r="AI100" s="557" t="s">
        <v>336</v>
      </c>
      <c r="AJ100" s="507">
        <f t="shared" ca="1" si="42"/>
        <v>3.6734761648384802E-2</v>
      </c>
      <c r="AK100" s="507">
        <f t="shared" ca="1" si="42"/>
        <v>3.9781884734425933E-2</v>
      </c>
      <c r="AL100" s="507">
        <f t="shared" ca="1" si="43"/>
        <v>4.0102154928643281E-2</v>
      </c>
      <c r="AM100" s="507">
        <f t="shared" ca="1" si="43"/>
        <v>4.3428600959590648E-2</v>
      </c>
      <c r="AN100" s="507">
        <f t="shared" ca="1" si="44"/>
        <v>-7.006036768537378E-3</v>
      </c>
      <c r="AO100" s="507">
        <f t="shared" ca="1" si="44"/>
        <v>-7.5871826756049952E-3</v>
      </c>
      <c r="AP100" s="507">
        <f t="shared" ca="1" si="45"/>
        <v>-4.6852381422362501E-3</v>
      </c>
      <c r="AQ100" s="507">
        <f t="shared" ca="1" si="45"/>
        <v>-5.0738754074908703E-3</v>
      </c>
      <c r="AR100" s="812" t="s">
        <v>146</v>
      </c>
      <c r="AS100" s="812">
        <v>2104008610</v>
      </c>
      <c r="AT100" s="507">
        <f t="shared" ca="1" si="46"/>
        <v>0.39764785901825456</v>
      </c>
      <c r="AU100" s="507">
        <f t="shared" ca="1" si="46"/>
        <v>0.43063247405202676</v>
      </c>
      <c r="AV100" s="507">
        <f t="shared" ca="1" si="47"/>
        <v>0.3976478590182545</v>
      </c>
      <c r="AW100" s="507">
        <f t="shared" ca="1" si="47"/>
        <v>0.4306324740520267</v>
      </c>
      <c r="AX100" s="507">
        <f t="shared" ca="1" si="48"/>
        <v>-1.5734882363846254</v>
      </c>
      <c r="AY100" s="507">
        <f t="shared" ca="1" si="48"/>
        <v>-1.7040079979280507</v>
      </c>
      <c r="AZ100" s="507">
        <f t="shared" ca="1" si="49"/>
        <v>-1.5734882363846252</v>
      </c>
      <c r="BA100" s="507">
        <f t="shared" ca="1" si="49"/>
        <v>-1.7040079979280505</v>
      </c>
      <c r="BB100" s="550">
        <f t="shared" ca="1" si="50"/>
        <v>0.39764785901825461</v>
      </c>
      <c r="BC100" s="550">
        <f t="shared" ca="1" si="50"/>
        <v>0.43063247405202676</v>
      </c>
      <c r="BD100" s="550">
        <f t="shared" ca="1" si="51"/>
        <v>-1.5734882363846254</v>
      </c>
      <c r="BE100" s="550">
        <f t="shared" ca="1" si="51"/>
        <v>-1.7040079979280507</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0.44845389532858415</v>
      </c>
      <c r="AU106" s="507">
        <f t="shared" ca="1" si="59"/>
        <v>0.44845389532858415</v>
      </c>
      <c r="AV106" s="507">
        <f t="shared" ca="1" si="60"/>
        <v>0.4484538953285841</v>
      </c>
      <c r="AW106" s="507">
        <f t="shared" ca="1" si="60"/>
        <v>0.4484538953285841</v>
      </c>
      <c r="AX106" s="507">
        <f t="shared" ca="1" si="61"/>
        <v>0.36928069720055595</v>
      </c>
      <c r="AY106" s="507">
        <f t="shared" ca="1" si="61"/>
        <v>0.36928069720055595</v>
      </c>
      <c r="AZ106" s="507">
        <f t="shared" ca="1" si="62"/>
        <v>0.36591739291724573</v>
      </c>
      <c r="BA106" s="507">
        <f t="shared" ca="1" si="62"/>
        <v>0.36591739291724573</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2"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1.6126035496355523E-2</v>
      </c>
      <c r="M107" s="133">
        <f t="shared" ca="1" si="52"/>
        <v>1.6126035496355523E-2</v>
      </c>
      <c r="N107" s="551" t="s">
        <v>336</v>
      </c>
      <c r="O107" s="133">
        <f t="shared" ca="1" si="53"/>
        <v>1.7604273032981135E-2</v>
      </c>
      <c r="P107" s="133">
        <f t="shared" ca="1" si="53"/>
        <v>1.7604273032981135E-2</v>
      </c>
      <c r="Q107" s="551" t="s">
        <v>336</v>
      </c>
      <c r="R107" s="58">
        <f t="shared" ca="1" si="54"/>
        <v>5.5405641805183356E-5</v>
      </c>
      <c r="S107" s="58">
        <f t="shared" ca="1" si="54"/>
        <v>5.5405641805183356E-5</v>
      </c>
      <c r="T107" s="551" t="s">
        <v>336</v>
      </c>
      <c r="U107" s="58">
        <f t="shared" ca="1" si="55"/>
        <v>6.0484552829270167E-5</v>
      </c>
      <c r="V107" s="58">
        <f t="shared" ca="1" si="55"/>
        <v>6.0484552829270167E-5</v>
      </c>
      <c r="W107" s="551" t="s">
        <v>336</v>
      </c>
      <c r="X107" s="133">
        <f t="shared" ca="1" si="56"/>
        <v>2.2323277998080888E-2</v>
      </c>
      <c r="Y107" s="133">
        <f t="shared" ca="1" si="56"/>
        <v>2.2323277998080888E-2</v>
      </c>
      <c r="Z107" s="551" t="s">
        <v>336</v>
      </c>
      <c r="AA107" s="133">
        <f t="shared" ca="1" si="57"/>
        <v>1.4928536202670635E-2</v>
      </c>
      <c r="AB107" s="133">
        <f t="shared" ca="1" si="57"/>
        <v>1.4928536202670635E-2</v>
      </c>
      <c r="AC107" s="551" t="s">
        <v>336</v>
      </c>
      <c r="AD107" s="58">
        <f t="shared" ca="1" si="40"/>
        <v>4.0042654137850174E-3</v>
      </c>
      <c r="AE107" s="58">
        <f t="shared" ca="1" si="40"/>
        <v>4.0042654137850174E-3</v>
      </c>
      <c r="AF107" s="551" t="s">
        <v>336</v>
      </c>
      <c r="AG107" s="58">
        <f t="shared" ca="1" si="58"/>
        <v>2.7894005418885033E-3</v>
      </c>
      <c r="AH107" s="58">
        <f t="shared" ca="1" si="58"/>
        <v>2.7894005418885033E-3</v>
      </c>
      <c r="AI107" s="551" t="s">
        <v>336</v>
      </c>
      <c r="AJ107" s="507">
        <f t="shared" ca="1" si="42"/>
        <v>1.607062985455034E-2</v>
      </c>
      <c r="AK107" s="507">
        <f t="shared" ca="1" si="42"/>
        <v>1.607062985455034E-2</v>
      </c>
      <c r="AL107" s="507">
        <f t="shared" ca="1" si="43"/>
        <v>1.7543788480151864E-2</v>
      </c>
      <c r="AM107" s="507">
        <f t="shared" ca="1" si="43"/>
        <v>1.7543788480151864E-2</v>
      </c>
      <c r="AN107" s="507">
        <f t="shared" ca="1" si="44"/>
        <v>1.8319012584295871E-2</v>
      </c>
      <c r="AO107" s="507">
        <f t="shared" ca="1" si="44"/>
        <v>1.8319012584295871E-2</v>
      </c>
      <c r="AP107" s="507">
        <f t="shared" ca="1" si="45"/>
        <v>1.2139135660782131E-2</v>
      </c>
      <c r="AQ107" s="507">
        <f t="shared" ca="1" si="45"/>
        <v>1.2139135660782131E-2</v>
      </c>
      <c r="AR107" s="812" t="s">
        <v>152</v>
      </c>
      <c r="AS107" s="812">
        <v>2103002000</v>
      </c>
      <c r="AT107" s="507">
        <f t="shared" ca="1" si="59"/>
        <v>0.44845389532858415</v>
      </c>
      <c r="AU107" s="507">
        <f t="shared" ca="1" si="59"/>
        <v>0.44845389532858415</v>
      </c>
      <c r="AV107" s="507">
        <f t="shared" ca="1" si="60"/>
        <v>0.44845389532858415</v>
      </c>
      <c r="AW107" s="507">
        <f t="shared" ca="1" si="60"/>
        <v>0.44845389532858415</v>
      </c>
      <c r="AX107" s="507">
        <f t="shared" ca="1" si="61"/>
        <v>0.3692806972005559</v>
      </c>
      <c r="AY107" s="507">
        <f t="shared" ca="1" si="61"/>
        <v>0.3692806972005559</v>
      </c>
      <c r="AZ107" s="507">
        <f t="shared" ca="1" si="62"/>
        <v>0.36591739291724579</v>
      </c>
      <c r="BA107" s="507">
        <f t="shared" ca="1" si="62"/>
        <v>0.36591739291724579</v>
      </c>
      <c r="BB107" s="550">
        <f t="shared" ca="1" si="50"/>
        <v>0.44845389532858415</v>
      </c>
      <c r="BC107" s="550">
        <f t="shared" ca="1" si="50"/>
        <v>0.44845389532858415</v>
      </c>
      <c r="BD107" s="550">
        <f t="shared" ca="1" si="51"/>
        <v>0.3692806972005559</v>
      </c>
      <c r="BE107" s="550">
        <f t="shared" ca="1" si="51"/>
        <v>0.3692806972005559</v>
      </c>
    </row>
    <row r="108" spans="1:57" x14ac:dyDescent="0.25">
      <c r="A108" s="60">
        <f>A107</f>
        <v>0.43</v>
      </c>
      <c r="B108" s="812"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4.4551340361821031E-5</v>
      </c>
      <c r="M108" s="133">
        <f t="shared" ca="1" si="52"/>
        <v>4.4551340361821031E-5</v>
      </c>
      <c r="N108" s="551" t="s">
        <v>336</v>
      </c>
      <c r="O108" s="133">
        <f t="shared" ca="1" si="53"/>
        <v>4.8635261896330324E-5</v>
      </c>
      <c r="P108" s="133">
        <f t="shared" ca="1" si="53"/>
        <v>4.8635261896330324E-5</v>
      </c>
      <c r="Q108" s="551" t="s">
        <v>336</v>
      </c>
      <c r="R108" s="58">
        <f t="shared" ca="1" si="54"/>
        <v>1.5306896766943866E-7</v>
      </c>
      <c r="S108" s="58">
        <f t="shared" ca="1" si="54"/>
        <v>1.5306896766943866E-7</v>
      </c>
      <c r="T108" s="551" t="s">
        <v>336</v>
      </c>
      <c r="U108" s="58">
        <f t="shared" ca="1" si="55"/>
        <v>1.6710045691877303E-7</v>
      </c>
      <c r="V108" s="58">
        <f t="shared" ca="1" si="55"/>
        <v>1.6710045691877303E-7</v>
      </c>
      <c r="W108" s="551" t="s">
        <v>336</v>
      </c>
      <c r="X108" s="133">
        <f t="shared" ca="1" si="56"/>
        <v>6.1672439968820343E-5</v>
      </c>
      <c r="Y108" s="133">
        <f t="shared" ca="1" si="56"/>
        <v>6.1672439968820343E-5</v>
      </c>
      <c r="Z108" s="551" t="s">
        <v>336</v>
      </c>
      <c r="AA108" s="133">
        <f t="shared" ca="1" si="57"/>
        <v>4.12430133630337E-5</v>
      </c>
      <c r="AB108" s="133">
        <f t="shared" ca="1" si="57"/>
        <v>4.12430133630337E-5</v>
      </c>
      <c r="AC108" s="551" t="s">
        <v>336</v>
      </c>
      <c r="AD108" s="58">
        <f t="shared" ca="1" si="40"/>
        <v>1.1062569680497208E-5</v>
      </c>
      <c r="AE108" s="58">
        <f t="shared" ca="1" si="40"/>
        <v>1.1062569680497208E-5</v>
      </c>
      <c r="AF108" s="551" t="s">
        <v>336</v>
      </c>
      <c r="AG108" s="58">
        <f t="shared" ca="1" si="58"/>
        <v>7.7062668611394303E-6</v>
      </c>
      <c r="AH108" s="58">
        <f t="shared" ca="1" si="58"/>
        <v>7.7062668611394303E-6</v>
      </c>
      <c r="AI108" s="551" t="s">
        <v>336</v>
      </c>
      <c r="AJ108" s="507">
        <f t="shared" ca="1" si="42"/>
        <v>4.4398271394151595E-5</v>
      </c>
      <c r="AK108" s="507">
        <f t="shared" ca="1" si="42"/>
        <v>4.4398271394151595E-5</v>
      </c>
      <c r="AL108" s="507">
        <f t="shared" ca="1" si="43"/>
        <v>4.8468161439411553E-5</v>
      </c>
      <c r="AM108" s="507">
        <f t="shared" ca="1" si="43"/>
        <v>4.8468161439411553E-5</v>
      </c>
      <c r="AN108" s="507">
        <f t="shared" ca="1" si="44"/>
        <v>5.0609870288323133E-5</v>
      </c>
      <c r="AO108" s="507">
        <f t="shared" ca="1" si="44"/>
        <v>5.0609870288323133E-5</v>
      </c>
      <c r="AP108" s="507">
        <f t="shared" ca="1" si="45"/>
        <v>3.3536746501894268E-5</v>
      </c>
      <c r="AQ108" s="507">
        <f t="shared" ca="1" si="45"/>
        <v>3.3536746501894268E-5</v>
      </c>
      <c r="AR108" s="812" t="s">
        <v>153</v>
      </c>
      <c r="AS108" s="812">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-3.0686178260442709</v>
      </c>
      <c r="BA108" s="507">
        <f t="shared" ca="1" si="62"/>
        <v>-3.0686178260442709</v>
      </c>
      <c r="BB108" s="550">
        <f t="shared" ca="1" si="50"/>
        <v>0.44719442095723871</v>
      </c>
      <c r="BC108" s="550">
        <f t="shared" ca="1" si="50"/>
        <v>0.44719442095723871</v>
      </c>
      <c r="BD108" s="550">
        <f t="shared" ca="1" si="51"/>
        <v>-2.9278731130024997</v>
      </c>
      <c r="BE108" s="550">
        <f t="shared" ca="1" si="51"/>
        <v>-2.9278731130024997</v>
      </c>
    </row>
    <row r="109" spans="1:57" ht="15.75" thickBot="1" x14ac:dyDescent="0.3">
      <c r="A109" s="112">
        <v>0.6</v>
      </c>
      <c r="B109" s="812"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4.3639709649685715E-5</v>
      </c>
      <c r="M109" s="133">
        <f t="shared" ca="1" si="52"/>
        <v>4.3639709649685715E-5</v>
      </c>
      <c r="N109" s="551" t="s">
        <v>336</v>
      </c>
      <c r="O109" s="133">
        <f t="shared" ca="1" si="53"/>
        <v>4.764006403971465E-5</v>
      </c>
      <c r="P109" s="133">
        <f t="shared" ca="1" si="53"/>
        <v>4.764006403971465E-5</v>
      </c>
      <c r="Q109" s="551" t="s">
        <v>336</v>
      </c>
      <c r="R109" s="58">
        <f t="shared" ca="1" si="54"/>
        <v>2.7207701072298486E-7</v>
      </c>
      <c r="S109" s="58">
        <f t="shared" ca="1" si="54"/>
        <v>2.7207701072298486E-7</v>
      </c>
      <c r="T109" s="551" t="s">
        <v>336</v>
      </c>
      <c r="U109" s="58">
        <f t="shared" ca="1" si="55"/>
        <v>2.9701770059028055E-7</v>
      </c>
      <c r="V109" s="58">
        <f t="shared" ca="1" si="55"/>
        <v>2.9701770059028055E-7</v>
      </c>
      <c r="W109" s="551" t="s">
        <v>336</v>
      </c>
      <c r="X109" s="133">
        <f t="shared" ca="1" si="56"/>
        <v>1.5181484215742902E-6</v>
      </c>
      <c r="Y109" s="133">
        <f t="shared" ca="1" si="56"/>
        <v>1.5181484215742902E-6</v>
      </c>
      <c r="Z109" s="551" t="s">
        <v>336</v>
      </c>
      <c r="AA109" s="133">
        <f t="shared" ca="1" si="57"/>
        <v>1.0152511505903145E-6</v>
      </c>
      <c r="AB109" s="133">
        <f t="shared" ca="1" si="57"/>
        <v>1.0152511505903145E-6</v>
      </c>
      <c r="AC109" s="551" t="s">
        <v>336</v>
      </c>
      <c r="AD109" s="58">
        <f t="shared" ca="1" si="40"/>
        <v>1.1395806077295509E-5</v>
      </c>
      <c r="AE109" s="58">
        <f t="shared" ca="1" si="40"/>
        <v>1.1395806077295509E-5</v>
      </c>
      <c r="AF109" s="551" t="s">
        <v>336</v>
      </c>
      <c r="AG109" s="58">
        <f t="shared" ca="1" si="58"/>
        <v>7.9384017697311936E-6</v>
      </c>
      <c r="AH109" s="58">
        <f t="shared" ca="1" si="58"/>
        <v>7.9384017697311936E-6</v>
      </c>
      <c r="AI109" s="551" t="s">
        <v>336</v>
      </c>
      <c r="AJ109" s="507">
        <f t="shared" ca="1" si="42"/>
        <v>4.3367632638962728E-5</v>
      </c>
      <c r="AK109" s="507">
        <f t="shared" ca="1" si="42"/>
        <v>4.3367632638962728E-5</v>
      </c>
      <c r="AL109" s="507">
        <f t="shared" ca="1" si="43"/>
        <v>4.7343046339124368E-5</v>
      </c>
      <c r="AM109" s="507">
        <f t="shared" ca="1" si="43"/>
        <v>4.7343046339124368E-5</v>
      </c>
      <c r="AN109" s="507">
        <f t="shared" ca="1" si="44"/>
        <v>-9.8776576557212195E-6</v>
      </c>
      <c r="AO109" s="507">
        <f t="shared" ca="1" si="44"/>
        <v>-9.8776576557212195E-6</v>
      </c>
      <c r="AP109" s="507">
        <f t="shared" ca="1" si="45"/>
        <v>-6.9231506191408791E-6</v>
      </c>
      <c r="AQ109" s="507">
        <f t="shared" ca="1" si="45"/>
        <v>-6.9231506191408791E-6</v>
      </c>
      <c r="AR109" s="6" t="s">
        <v>154</v>
      </c>
      <c r="AS109" s="6">
        <v>2102012000</v>
      </c>
      <c r="AT109" s="541">
        <f t="shared" ca="1" si="59"/>
        <v>0.4092567292439907</v>
      </c>
      <c r="AU109" s="541">
        <f t="shared" ca="1" si="59"/>
        <v>0.4092567292439907</v>
      </c>
      <c r="AV109" s="541">
        <f t="shared" ca="1" si="60"/>
        <v>0.4092567292439907</v>
      </c>
      <c r="AW109" s="541">
        <f t="shared" ca="1" si="60"/>
        <v>0.4092567292439907</v>
      </c>
      <c r="AX109" s="541">
        <f t="shared" ca="1" si="61"/>
        <v>0.1014302725096292</v>
      </c>
      <c r="AY109" s="541">
        <f t="shared" ca="1" si="61"/>
        <v>0.1014302725096292</v>
      </c>
      <c r="AZ109" s="541">
        <f t="shared" ca="1" si="62"/>
        <v>8.6906533864197139E-2</v>
      </c>
      <c r="BA109" s="541">
        <f t="shared" ca="1" si="62"/>
        <v>8.6906533864197139E-2</v>
      </c>
      <c r="BB109" s="550">
        <f t="shared" ca="1" si="50"/>
        <v>0.4092567292439907</v>
      </c>
      <c r="BC109" s="550">
        <f t="shared" ca="1" si="50"/>
        <v>0.4092567292439907</v>
      </c>
      <c r="BD109" s="550">
        <f t="shared" ca="1" si="51"/>
        <v>0.10143027250962922</v>
      </c>
      <c r="BE109" s="550">
        <f t="shared" ca="1" si="51"/>
        <v>0.10143027250962922</v>
      </c>
    </row>
    <row r="110" spans="1:57" ht="16.5" thickTop="1" thickBot="1" x14ac:dyDescent="0.3">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4.0063469415356029E-4</v>
      </c>
      <c r="M110" s="544">
        <f t="shared" ca="1" si="52"/>
        <v>4.0063469415356029E-4</v>
      </c>
      <c r="N110" s="542" t="s">
        <v>336</v>
      </c>
      <c r="O110" s="544">
        <f t="shared" ca="1" si="53"/>
        <v>4.3735997877209903E-4</v>
      </c>
      <c r="P110" s="544">
        <f t="shared" ca="1" si="53"/>
        <v>4.3735997877209903E-4</v>
      </c>
      <c r="Q110" s="542" t="s">
        <v>336</v>
      </c>
      <c r="R110" s="543">
        <f t="shared" ca="1" si="54"/>
        <v>3.6273706262554397E-5</v>
      </c>
      <c r="S110" s="543">
        <f t="shared" ca="1" si="54"/>
        <v>3.6273706262554397E-5</v>
      </c>
      <c r="T110" s="542" t="s">
        <v>336</v>
      </c>
      <c r="U110" s="543">
        <f t="shared" ca="1" si="55"/>
        <v>3.9598835628786899E-5</v>
      </c>
      <c r="V110" s="543">
        <f t="shared" ca="1" si="55"/>
        <v>3.9598835628786899E-5</v>
      </c>
      <c r="W110" s="542" t="s">
        <v>336</v>
      </c>
      <c r="X110" s="544">
        <f t="shared" ca="1" si="56"/>
        <v>3.3844152611631618E-3</v>
      </c>
      <c r="Y110" s="544">
        <f t="shared" ca="1" si="56"/>
        <v>3.3844152611631618E-3</v>
      </c>
      <c r="Z110" s="542" t="s">
        <v>336</v>
      </c>
      <c r="AA110" s="544">
        <f t="shared" ca="1" si="57"/>
        <v>2.2633040611458942E-3</v>
      </c>
      <c r="AB110" s="544">
        <f t="shared" ca="1" si="57"/>
        <v>2.2633040611458942E-3</v>
      </c>
      <c r="AC110" s="542" t="s">
        <v>336</v>
      </c>
      <c r="AD110" s="543">
        <f t="shared" ca="1" si="40"/>
        <v>2.6215660117731008E-3</v>
      </c>
      <c r="AE110" s="543">
        <f t="shared" ca="1" si="40"/>
        <v>2.6215660117731008E-3</v>
      </c>
      <c r="AF110" s="542" t="s">
        <v>336</v>
      </c>
      <c r="AG110" s="543">
        <f t="shared" ca="1" si="58"/>
        <v>1.8262020366237818E-3</v>
      </c>
      <c r="AH110" s="543">
        <f t="shared" ca="1" si="58"/>
        <v>1.8262020366237818E-3</v>
      </c>
      <c r="AI110" s="542" t="s">
        <v>336</v>
      </c>
      <c r="AJ110" s="541">
        <f t="shared" ca="1" si="42"/>
        <v>3.6436098789100591E-4</v>
      </c>
      <c r="AK110" s="541">
        <f t="shared" ca="1" si="42"/>
        <v>3.6436098789100591E-4</v>
      </c>
      <c r="AL110" s="541">
        <f t="shared" ca="1" si="43"/>
        <v>3.9776114314331215E-4</v>
      </c>
      <c r="AM110" s="541">
        <f t="shared" ca="1" si="43"/>
        <v>3.9776114314331215E-4</v>
      </c>
      <c r="AN110" s="541">
        <f t="shared" ca="1" si="44"/>
        <v>7.6284924939006103E-4</v>
      </c>
      <c r="AO110" s="541">
        <f t="shared" ca="1" si="44"/>
        <v>7.6284924939006103E-4</v>
      </c>
      <c r="AP110" s="541">
        <f t="shared" ca="1" si="45"/>
        <v>4.371020245221124E-4</v>
      </c>
      <c r="AQ110" s="541">
        <f t="shared" ca="1" si="45"/>
        <v>4.371020245221124E-4</v>
      </c>
      <c r="AR110" s="810"/>
      <c r="AS110" s="810" t="s">
        <v>249</v>
      </c>
      <c r="AT110" s="506">
        <f ca="1">AJ111/SUM($C40:$C59)</f>
        <v>0.25307268715699438</v>
      </c>
      <c r="AU110" s="506">
        <f ca="1">AK111/SUM($C40:$C59)</f>
        <v>0.4179097265723492</v>
      </c>
      <c r="AV110" s="506">
        <f ca="1">AL111/SUM($C60:$C79)</f>
        <v>0.2530726871569946</v>
      </c>
      <c r="AW110" s="506">
        <f ca="1">AM111/SUM($C60:$C79)</f>
        <v>0.41790972657234948</v>
      </c>
      <c r="AX110" s="506">
        <f ca="1">AN111/SUM($J40:$J59)</f>
        <v>-3.2697606527368139E-2</v>
      </c>
      <c r="AY110" s="506">
        <f ca="1">AO111/SUM($J40:$J59)</f>
        <v>-4.4321453038941631E-2</v>
      </c>
      <c r="AZ110" s="506">
        <f ca="1">AP111/SUM($J60:$J79)</f>
        <v>-3.284529347788661E-2</v>
      </c>
      <c r="BA110" s="506">
        <f ca="1">AQ111/SUM($J60:$J79)</f>
        <v>-4.4469139989460095E-2</v>
      </c>
      <c r="BB110" s="506"/>
      <c r="BC110" s="506"/>
      <c r="BD110" s="506"/>
      <c r="BE110" s="506"/>
    </row>
    <row r="111" spans="1:57" ht="15.75" thickTop="1" x14ac:dyDescent="0.25">
      <c r="K111" s="244" t="s">
        <v>784</v>
      </c>
      <c r="L111" s="137">
        <f ca="1">SUM(L91:L110)</f>
        <v>0.26123648813112288</v>
      </c>
      <c r="M111" s="137">
        <f ca="1">SUM(M91:M110)</f>
        <v>0.43087821712562224</v>
      </c>
      <c r="N111" s="540" t="s">
        <v>336</v>
      </c>
      <c r="O111" s="137">
        <f ca="1">SUM(O91:O110)</f>
        <v>0.28518345158528063</v>
      </c>
      <c r="P111" s="137">
        <f ca="1">SUM(P91:P110)</f>
        <v>0.47037585772137575</v>
      </c>
      <c r="Q111" s="540" t="s">
        <v>336</v>
      </c>
      <c r="R111" s="137">
        <f ca="1">SUM(R91:R110)</f>
        <v>1.3290765668687748E-3</v>
      </c>
      <c r="S111" s="137">
        <f ca="1">SUM(S91:S110)</f>
        <v>1.6820185110989784E-3</v>
      </c>
      <c r="T111" s="540" t="s">
        <v>336</v>
      </c>
      <c r="U111" s="137">
        <f ca="1">SUM(U91:U110)</f>
        <v>1.4509100373853781E-3</v>
      </c>
      <c r="V111" s="137">
        <f ca="1">SUM(V91:V110)</f>
        <v>1.8362053787247855E-3</v>
      </c>
      <c r="W111" s="540" t="s">
        <v>336</v>
      </c>
      <c r="X111" s="137">
        <f ca="1">SUM(X91:X110)</f>
        <v>3.8441471695615188E-2</v>
      </c>
      <c r="Y111" s="137">
        <f ca="1">SUM(Y91:Y110)</f>
        <v>4.3209536398875752E-2</v>
      </c>
      <c r="Z111" s="540" t="s">
        <v>336</v>
      </c>
      <c r="AA111" s="137">
        <f ca="1">SUM(AA91:AA110)</f>
        <v>2.5707465630328372E-2</v>
      </c>
      <c r="AB111" s="137">
        <f ca="1">SUM(AB91:AB110)</f>
        <v>2.8896075589198239E-2</v>
      </c>
      <c r="AC111" s="540" t="s">
        <v>336</v>
      </c>
      <c r="AD111" s="137">
        <f ca="1">SUM(AD91:AD110)</f>
        <v>9.9771411826918413E-2</v>
      </c>
      <c r="AE111" s="137">
        <f ca="1">SUM(AE91:AE110)</f>
        <v>0.1263419840028151</v>
      </c>
      <c r="AF111" s="540" t="s">
        <v>336</v>
      </c>
      <c r="AG111" s="137">
        <f ca="1">SUM(AG91:AG110)</f>
        <v>6.6906684509736761E-2</v>
      </c>
      <c r="AH111" s="137">
        <f ca="1">SUM(AH91:AH110)</f>
        <v>8.4675569020678534E-2</v>
      </c>
      <c r="AI111" s="540" t="s">
        <v>336</v>
      </c>
      <c r="AJ111" s="506">
        <f t="shared" ref="AJ111:AQ111" ca="1" si="64">SUM(AJ91:AJ110)</f>
        <v>0.25990741156425401</v>
      </c>
      <c r="AK111" s="506">
        <f t="shared" ca="1" si="64"/>
        <v>0.42919619861452307</v>
      </c>
      <c r="AL111" s="506">
        <f t="shared" ca="1" si="64"/>
        <v>0.28373254154789529</v>
      </c>
      <c r="AM111" s="506">
        <f t="shared" ca="1" si="64"/>
        <v>0.46853965234265099</v>
      </c>
      <c r="AN111" s="506">
        <f t="shared" ca="1" si="64"/>
        <v>-6.1329940131303239E-2</v>
      </c>
      <c r="AO111" s="506">
        <f t="shared" ca="1" si="64"/>
        <v>-8.3132447603939369E-2</v>
      </c>
      <c r="AP111" s="506">
        <f t="shared" ca="1" si="64"/>
        <v>-4.1199218879408382E-2</v>
      </c>
      <c r="AQ111" s="506">
        <f t="shared" ca="1" si="64"/>
        <v>-5.5779493431480295E-2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0.5436399531121493</v>
      </c>
      <c r="AK113" s="506">
        <f ca="1">AK111+AM111</f>
        <v>0.89773585095717401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1.0270069618497382</v>
      </c>
      <c r="D119" s="539">
        <f t="shared" ca="1" si="65"/>
        <v>1.0270069618497382</v>
      </c>
      <c r="E119" s="539">
        <f t="shared" ca="1" si="65"/>
        <v>1.0270069618497382</v>
      </c>
      <c r="F119" s="539" t="s">
        <v>336</v>
      </c>
      <c r="G119" s="539">
        <f ca="1">G32</f>
        <v>1.0270069618497382</v>
      </c>
      <c r="H119" s="539">
        <f ca="1">H32</f>
        <v>1.0270069618497382</v>
      </c>
      <c r="I119" s="539" t="s">
        <v>336</v>
      </c>
      <c r="J119" s="539">
        <f t="shared" ref="J119:L120" ca="1" si="66">J32</f>
        <v>1.8756706268383778</v>
      </c>
      <c r="K119" s="539">
        <f t="shared" ca="1" si="66"/>
        <v>1.8756706268383778</v>
      </c>
      <c r="L119" s="539">
        <f t="shared" ca="1" si="66"/>
        <v>1.8756706268383778</v>
      </c>
      <c r="M119" s="539" t="s">
        <v>336</v>
      </c>
      <c r="N119" s="539">
        <f ca="1">N32</f>
        <v>1.8756706268383778</v>
      </c>
      <c r="O119" s="539">
        <f ca="1">O32</f>
        <v>1.8756706268383778</v>
      </c>
      <c r="P119" s="539" t="s">
        <v>336</v>
      </c>
    </row>
    <row r="120" spans="1:39" x14ac:dyDescent="0.25">
      <c r="A120" s="812" t="s">
        <v>101</v>
      </c>
      <c r="B120" s="812" t="s">
        <v>754</v>
      </c>
      <c r="C120" s="539">
        <f t="shared" ca="1" si="65"/>
        <v>1.1211503885912466</v>
      </c>
      <c r="D120" s="539">
        <f t="shared" ca="1" si="65"/>
        <v>1.1211503885912466</v>
      </c>
      <c r="E120" s="539">
        <f t="shared" ca="1" si="65"/>
        <v>1.1211503885912466</v>
      </c>
      <c r="F120" s="539" t="s">
        <v>336</v>
      </c>
      <c r="G120" s="539">
        <f ca="1">G33</f>
        <v>1.1211503885912466</v>
      </c>
      <c r="H120" s="539">
        <f ca="1">H33</f>
        <v>1.1211503885912466</v>
      </c>
      <c r="I120" s="539" t="s">
        <v>336</v>
      </c>
      <c r="J120" s="539">
        <f t="shared" ca="1" si="66"/>
        <v>1.254341627580406</v>
      </c>
      <c r="K120" s="539">
        <f t="shared" ca="1" si="66"/>
        <v>1.254341627580406</v>
      </c>
      <c r="L120" s="539">
        <f t="shared" ca="1" si="66"/>
        <v>1.254341627580406</v>
      </c>
      <c r="M120" s="539" t="s">
        <v>336</v>
      </c>
      <c r="N120" s="539">
        <f ca="1">N33</f>
        <v>1.254341627580406</v>
      </c>
      <c r="O120" s="539">
        <f ca="1">O33</f>
        <v>1.254341627580406</v>
      </c>
      <c r="P120" s="539" t="s">
        <v>336</v>
      </c>
    </row>
    <row r="121" spans="1:39" x14ac:dyDescent="0.25">
      <c r="A121" s="813" t="s">
        <v>101</v>
      </c>
      <c r="B121" s="813" t="s">
        <v>792</v>
      </c>
      <c r="C121" s="535">
        <f ca="1">IFERROR(C122-SUM(C119:C120),"-")</f>
        <v>0.58058584903107135</v>
      </c>
      <c r="D121" s="535">
        <f ca="1">IFERROR(D122-SUM(D119:D120),"-")</f>
        <v>0.58058584903107135</v>
      </c>
      <c r="E121" s="535">
        <f ca="1">IFERROR(E122-SUM(E119:E120),"-")</f>
        <v>0.58058584903107135</v>
      </c>
      <c r="F121" s="535" t="s">
        <v>336</v>
      </c>
      <c r="G121" s="535">
        <f ca="1">IFERROR(G122-SUM(G119:G120),"-")</f>
        <v>0.58058584903107135</v>
      </c>
      <c r="H121" s="535">
        <f ca="1">IFERROR(H122-SUM(H119:H120),"-")</f>
        <v>0.58058584903107135</v>
      </c>
      <c r="I121" s="535" t="s">
        <v>336</v>
      </c>
      <c r="J121" s="535">
        <f ca="1">IFERROR(J122-SUM(J119:J120),"-")</f>
        <v>1.0603509653179275</v>
      </c>
      <c r="K121" s="535">
        <f ca="1">IFERROR(K122-SUM(K119:K120),"-")</f>
        <v>1.0603509653179275</v>
      </c>
      <c r="L121" s="535">
        <f ca="1">IFERROR(L122-SUM(L119:L120),"-")</f>
        <v>1.0603509653179275</v>
      </c>
      <c r="M121" s="535" t="s">
        <v>336</v>
      </c>
      <c r="N121" s="535">
        <f ca="1">IFERROR(N122-SUM(N119:N120),"-")</f>
        <v>1.0603509653179275</v>
      </c>
      <c r="O121" s="535">
        <f ca="1">IFERROR(O122-SUM(O119:O120),"-")</f>
        <v>1.0603509653179275</v>
      </c>
      <c r="P121" s="535" t="s">
        <v>336</v>
      </c>
    </row>
    <row r="122" spans="1:39" x14ac:dyDescent="0.25">
      <c r="A122" s="348" t="s">
        <v>101</v>
      </c>
      <c r="B122" s="348" t="s">
        <v>793</v>
      </c>
      <c r="C122" s="534">
        <f ca="1">C26</f>
        <v>2.7287431994720563</v>
      </c>
      <c r="D122" s="534">
        <f ca="1">D26</f>
        <v>2.7287431994720563</v>
      </c>
      <c r="E122" s="534">
        <f ca="1">E26</f>
        <v>2.7287431994720563</v>
      </c>
      <c r="F122" s="534" t="s">
        <v>336</v>
      </c>
      <c r="G122" s="534">
        <f ca="1">G26</f>
        <v>2.7287431994720563</v>
      </c>
      <c r="H122" s="534">
        <f ca="1">H26</f>
        <v>2.7287431994720563</v>
      </c>
      <c r="I122" s="534" t="s">
        <v>336</v>
      </c>
      <c r="J122" s="534">
        <f ca="1">J26</f>
        <v>4.1903632197367111</v>
      </c>
      <c r="K122" s="534">
        <f ca="1">K26</f>
        <v>4.1903632197367111</v>
      </c>
      <c r="L122" s="534">
        <f ca="1">L26</f>
        <v>4.1903632197367111</v>
      </c>
      <c r="M122" s="534" t="s">
        <v>336</v>
      </c>
      <c r="N122" s="534">
        <f ca="1">N26</f>
        <v>4.1903632197367111</v>
      </c>
      <c r="O122" s="534">
        <f ca="1">O26</f>
        <v>4.1903632197367111</v>
      </c>
      <c r="P122" s="534" t="s">
        <v>336</v>
      </c>
    </row>
    <row r="123" spans="1:39" x14ac:dyDescent="0.25">
      <c r="A123" s="812" t="s">
        <v>722</v>
      </c>
      <c r="B123" s="812" t="s">
        <v>752</v>
      </c>
      <c r="C123" s="133">
        <f ca="1">C119</f>
        <v>1.0270069618497382</v>
      </c>
      <c r="D123" s="537">
        <f ca="1">D119-L$111+R$111</f>
        <v>0.76709955028548404</v>
      </c>
      <c r="E123" s="537">
        <f ca="1">E119-M$111+S$111</f>
        <v>0.59781076323521487</v>
      </c>
      <c r="F123" s="538" t="s">
        <v>336</v>
      </c>
      <c r="G123" s="521">
        <f ca="1">G119</f>
        <v>1.0270069618497382</v>
      </c>
      <c r="H123" s="521">
        <f ca="1">H119</f>
        <v>1.0270069618497382</v>
      </c>
      <c r="I123" s="538" t="s">
        <v>336</v>
      </c>
      <c r="J123" s="133">
        <f ca="1">J119</f>
        <v>1.8756706268383778</v>
      </c>
      <c r="K123" s="537">
        <f ca="1">K119-X$111+AD$111</f>
        <v>1.937000566969681</v>
      </c>
      <c r="L123" s="537">
        <f ca="1">L119-Y$111+AE$111</f>
        <v>1.958803074442317</v>
      </c>
      <c r="M123" s="538" t="s">
        <v>336</v>
      </c>
      <c r="N123" s="521">
        <f ca="1">N119</f>
        <v>1.8756706268383778</v>
      </c>
      <c r="O123" s="521">
        <f ca="1">O119</f>
        <v>1.8756706268383778</v>
      </c>
      <c r="P123" s="538" t="s">
        <v>336</v>
      </c>
    </row>
    <row r="124" spans="1:39" x14ac:dyDescent="0.25">
      <c r="A124" s="812" t="s">
        <v>722</v>
      </c>
      <c r="B124" s="812" t="s">
        <v>754</v>
      </c>
      <c r="C124" s="133">
        <f ca="1">C120</f>
        <v>1.1211503885912466</v>
      </c>
      <c r="D124" s="521">
        <f ca="1">D120</f>
        <v>1.1211503885912466</v>
      </c>
      <c r="E124" s="521">
        <f ca="1">E120</f>
        <v>1.1211503885912466</v>
      </c>
      <c r="F124" s="536" t="s">
        <v>336</v>
      </c>
      <c r="G124" s="537">
        <f ca="1">G120-O$111+U$111</f>
        <v>0.83741784704335132</v>
      </c>
      <c r="H124" s="537">
        <f ca="1">H120-P$111+V$111</f>
        <v>0.65261073624859567</v>
      </c>
      <c r="I124" s="536" t="s">
        <v>336</v>
      </c>
      <c r="J124" s="133">
        <f ca="1">J120</f>
        <v>1.254341627580406</v>
      </c>
      <c r="K124" s="521">
        <f ca="1">K120</f>
        <v>1.254341627580406</v>
      </c>
      <c r="L124" s="521">
        <f ca="1">L120</f>
        <v>1.254341627580406</v>
      </c>
      <c r="M124" s="536" t="s">
        <v>336</v>
      </c>
      <c r="N124" s="537">
        <f ca="1">N120-AA$111+AG$111</f>
        <v>1.2955408464598144</v>
      </c>
      <c r="O124" s="537">
        <f ca="1">O120-AB$111+AH$111</f>
        <v>1.3101211210118864</v>
      </c>
      <c r="P124" s="536" t="s">
        <v>336</v>
      </c>
    </row>
    <row r="125" spans="1:39" x14ac:dyDescent="0.25">
      <c r="A125" s="813" t="s">
        <v>722</v>
      </c>
      <c r="B125" s="813" t="s">
        <v>792</v>
      </c>
      <c r="C125" s="527">
        <f ca="1">C121</f>
        <v>0.58058584903107135</v>
      </c>
      <c r="D125" s="527">
        <f ca="1">D121</f>
        <v>0.58058584903107135</v>
      </c>
      <c r="E125" s="527">
        <f ca="1">E121</f>
        <v>0.58058584903107135</v>
      </c>
      <c r="F125" s="535" t="s">
        <v>336</v>
      </c>
      <c r="G125" s="527">
        <f ca="1">G121</f>
        <v>0.58058584903107135</v>
      </c>
      <c r="H125" s="527">
        <f ca="1">H121</f>
        <v>0.58058584903107135</v>
      </c>
      <c r="I125" s="535" t="s">
        <v>336</v>
      </c>
      <c r="J125" s="527">
        <f ca="1">J121</f>
        <v>1.0603509653179275</v>
      </c>
      <c r="K125" s="527">
        <f ca="1">K121</f>
        <v>1.0603509653179275</v>
      </c>
      <c r="L125" s="527">
        <f ca="1">L121</f>
        <v>1.0603509653179275</v>
      </c>
      <c r="M125" s="535" t="s">
        <v>336</v>
      </c>
      <c r="N125" s="527">
        <f ca="1">N121</f>
        <v>1.0603509653179275</v>
      </c>
      <c r="O125" s="527">
        <f ca="1">O121</f>
        <v>1.0603509653179275</v>
      </c>
      <c r="P125" s="535" t="s">
        <v>336</v>
      </c>
    </row>
    <row r="126" spans="1:39" x14ac:dyDescent="0.25">
      <c r="A126" s="348" t="s">
        <v>722</v>
      </c>
      <c r="B126" s="348" t="s">
        <v>793</v>
      </c>
      <c r="C126" s="466">
        <f ca="1">SUM(C123:C125)</f>
        <v>2.7287431994720563</v>
      </c>
      <c r="D126" s="466">
        <f ca="1">SUM(D123:D125)</f>
        <v>2.468835787907802</v>
      </c>
      <c r="E126" s="466">
        <f ca="1">SUM(E123:E125)</f>
        <v>2.2995470008575327</v>
      </c>
      <c r="F126" s="534" t="s">
        <v>336</v>
      </c>
      <c r="G126" s="466">
        <f ca="1">SUM(G123:G125)</f>
        <v>2.4450106579241608</v>
      </c>
      <c r="H126" s="466">
        <f ca="1">SUM(H123:H125)</f>
        <v>2.2602035471294051</v>
      </c>
      <c r="I126" s="534" t="s">
        <v>336</v>
      </c>
      <c r="J126" s="466">
        <f ca="1">SUM(J123:J125)</f>
        <v>4.1903632197367111</v>
      </c>
      <c r="K126" s="466">
        <f ca="1">SUM(K123:K125)</f>
        <v>4.2516931598680143</v>
      </c>
      <c r="L126" s="466">
        <f ca="1">SUM(L123:L125)</f>
        <v>4.2734956673406508</v>
      </c>
      <c r="M126" s="534" t="s">
        <v>336</v>
      </c>
      <c r="N126" s="466">
        <f ca="1">SUM(N123:N125)</f>
        <v>4.2315624386161197</v>
      </c>
      <c r="O126" s="466">
        <f ca="1">SUM(O123:O125)</f>
        <v>4.2461427131681919</v>
      </c>
      <c r="P126" s="534" t="s">
        <v>336</v>
      </c>
    </row>
    <row r="127" spans="1:39" x14ac:dyDescent="0.25">
      <c r="A127" s="363" t="s">
        <v>794</v>
      </c>
      <c r="B127" s="363" t="s">
        <v>793</v>
      </c>
      <c r="C127" s="532">
        <f ca="1">C122-C126</f>
        <v>0</v>
      </c>
      <c r="D127" s="532">
        <f ca="1">D122-D126</f>
        <v>0.25990741156425434</v>
      </c>
      <c r="E127" s="532">
        <f ca="1">E122-E126</f>
        <v>0.42919619861452363</v>
      </c>
      <c r="F127" s="533" t="s">
        <v>336</v>
      </c>
      <c r="G127" s="532">
        <f ca="1">G122-G126</f>
        <v>0.28373254154789551</v>
      </c>
      <c r="H127" s="532">
        <f ca="1">H122-H126</f>
        <v>0.46853965234265127</v>
      </c>
      <c r="I127" s="533" t="s">
        <v>336</v>
      </c>
      <c r="J127" s="532">
        <f ca="1">J122-J126</f>
        <v>0</v>
      </c>
      <c r="K127" s="532">
        <f ca="1">K122-K126</f>
        <v>-6.1329940131303218E-2</v>
      </c>
      <c r="L127" s="532">
        <f ca="1">L122-L126</f>
        <v>-8.3132447603939674E-2</v>
      </c>
      <c r="M127" s="533" t="s">
        <v>336</v>
      </c>
      <c r="N127" s="532">
        <f ca="1">N122-N126</f>
        <v>-4.1199218879408583E-2</v>
      </c>
      <c r="O127" s="532">
        <f ca="1">O122-O126</f>
        <v>-5.5779493431480809E-2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4409-6B73-4264-AE10-165724E1E432}">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2025</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2025 Baseline NA Area PM2.5 Emissions (tpd) by Curtailment Regime</v>
      </c>
      <c r="D4" s="840"/>
      <c r="E4" s="840"/>
      <c r="F4" s="840"/>
      <c r="G4" s="840"/>
      <c r="H4" s="840"/>
      <c r="I4" s="840"/>
      <c r="J4" s="840" t="str">
        <f>$B$2&amp;" Baseline NA Area SO2 Emissions (tpd) by Curtailment Regime"</f>
        <v>2025 Baseline NA Area SO2 Emissions (tpd) by Curtailment Regime</v>
      </c>
      <c r="K4" s="840"/>
      <c r="L4" s="840"/>
      <c r="M4" s="840"/>
      <c r="N4" s="840"/>
      <c r="O4" s="840"/>
      <c r="P4" s="840"/>
      <c r="Q4" s="840" t="str">
        <f>$B$2&amp;" Baseline NA Area Energy Use (mmBTU) by Curtailment Regime"</f>
        <v>2025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0.68797890129022443</v>
      </c>
      <c r="D6" s="133">
        <f ca="1">INDIRECT("'DevSumOut-"&amp;$B$2&amp;"BSR'!R50")</f>
        <v>0.68797890129022443</v>
      </c>
      <c r="E6" s="133">
        <f ca="1">INDIRECT("'DevSumOut-"&amp;$B$2&amp;"BSR'!R50")</f>
        <v>0.68797890129022443</v>
      </c>
      <c r="F6" s="551" t="s">
        <v>336</v>
      </c>
      <c r="G6" s="133">
        <f ca="1">INDIRECT("'DevSumOut-"&amp;$B$2&amp;"BSR'!R50")</f>
        <v>0.68797890129022443</v>
      </c>
      <c r="H6" s="133">
        <f ca="1">INDIRECT("'DevSumOut-"&amp;$B$2&amp;"BSR'!R50")</f>
        <v>0.68797890129022443</v>
      </c>
      <c r="I6" s="551" t="s">
        <v>336</v>
      </c>
      <c r="J6" s="133">
        <f ca="1">INDIRECT("'DevSumOut-"&amp;$B$2&amp;"BSR'!P50")</f>
        <v>7.9535133097135731E-3</v>
      </c>
      <c r="K6" s="133">
        <f ca="1">INDIRECT("'DevSumOut-"&amp;$B$2&amp;"BSR'!P50")</f>
        <v>7.9535133097135731E-3</v>
      </c>
      <c r="L6" s="133">
        <f ca="1">INDIRECT("'DevSumOut-"&amp;$B$2&amp;"BSR'!P50")</f>
        <v>7.9535133097135731E-3</v>
      </c>
      <c r="M6" s="551" t="s">
        <v>336</v>
      </c>
      <c r="N6" s="133">
        <f ca="1">INDIRECT("'DevSumOut-"&amp;$B$2&amp;"BSR'!P50")</f>
        <v>7.9535133097135731E-3</v>
      </c>
      <c r="O6" s="133">
        <f ca="1">INDIRECT("'DevSumOut-"&amp;$B$2&amp;"BSR'!P50")</f>
        <v>7.9535133097135731E-3</v>
      </c>
      <c r="P6" s="551" t="s">
        <v>336</v>
      </c>
      <c r="Q6" s="45">
        <f ca="1">INDIRECT("'DevSumOut-"&amp;$B$2&amp;"BSR'!U50")</f>
        <v>638.58731876261345</v>
      </c>
      <c r="R6" s="45">
        <f ca="1">INDIRECT("'DevSumOut-"&amp;$B$2&amp;"BSR'!U50")</f>
        <v>638.58731876261345</v>
      </c>
      <c r="S6" s="45">
        <f ca="1">INDIRECT("'DevSumOut-"&amp;$B$2&amp;"BSR'!U50")</f>
        <v>638.58731876261345</v>
      </c>
      <c r="T6" s="581" t="s">
        <v>336</v>
      </c>
      <c r="U6" s="45">
        <f ca="1">INDIRECT("'DevSumOut-"&amp;$B$2&amp;"BSR'!U50")</f>
        <v>638.58731876261345</v>
      </c>
      <c r="V6" s="45">
        <f ca="1">INDIRECT("'DevSumOut-"&amp;$B$2&amp;"BSR'!U50")</f>
        <v>638.58731876261345</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2">
        <v>2104008210</v>
      </c>
      <c r="B7" s="812" t="s">
        <v>138</v>
      </c>
      <c r="C7" s="133">
        <f ca="1">INDIRECT("'DevSumOut-"&amp;$B$2&amp;"BSR'!R51")</f>
        <v>5.369267095242003E-2</v>
      </c>
      <c r="D7" s="133">
        <f ca="1">INDIRECT("'DevSumOut-"&amp;$B$2&amp;"BSR'!R51")</f>
        <v>5.369267095242003E-2</v>
      </c>
      <c r="E7" s="133">
        <f ca="1">INDIRECT("'DevSumOut-"&amp;$B$2&amp;"BSR'!R51")</f>
        <v>5.369267095242003E-2</v>
      </c>
      <c r="F7" s="551" t="s">
        <v>336</v>
      </c>
      <c r="G7" s="133">
        <f ca="1">INDIRECT("'DevSumOut-"&amp;$B$2&amp;"BSR'!R51")</f>
        <v>5.369267095242003E-2</v>
      </c>
      <c r="H7" s="133">
        <f ca="1">INDIRECT("'DevSumOut-"&amp;$B$2&amp;"BSR'!R51")</f>
        <v>5.369267095242003E-2</v>
      </c>
      <c r="I7" s="551" t="s">
        <v>336</v>
      </c>
      <c r="J7" s="133">
        <f ca="1">INDIRECT("'DevSumOut-"&amp;$B$2&amp;"BSR'!P51")</f>
        <v>7.0186497977019603E-4</v>
      </c>
      <c r="K7" s="133">
        <f ca="1">INDIRECT("'DevSumOut-"&amp;$B$2&amp;"BSR'!P51")</f>
        <v>7.0186497977019603E-4</v>
      </c>
      <c r="L7" s="133">
        <f ca="1">INDIRECT("'DevSumOut-"&amp;$B$2&amp;"BSR'!P51")</f>
        <v>7.0186497977019603E-4</v>
      </c>
      <c r="M7" s="551" t="s">
        <v>336</v>
      </c>
      <c r="N7" s="133">
        <f ca="1">INDIRECT("'DevSumOut-"&amp;$B$2&amp;"BSR'!P51")</f>
        <v>7.0186497977019603E-4</v>
      </c>
      <c r="O7" s="133">
        <f ca="1">INDIRECT("'DevSumOut-"&amp;$B$2&amp;"BSR'!P51")</f>
        <v>7.0186497977019603E-4</v>
      </c>
      <c r="P7" s="551" t="s">
        <v>336</v>
      </c>
      <c r="Q7" s="45">
        <f ca="1">INDIRECT("'DevSumOut-"&amp;$B$2&amp;"BSR'!U51")</f>
        <v>56.342675924527434</v>
      </c>
      <c r="R7" s="45">
        <f ca="1">INDIRECT("'DevSumOut-"&amp;$B$2&amp;"BSR'!U51")</f>
        <v>56.342675924527434</v>
      </c>
      <c r="S7" s="45">
        <f ca="1">INDIRECT("'DevSumOut-"&amp;$B$2&amp;"BSR'!U51")</f>
        <v>56.342675924527434</v>
      </c>
      <c r="T7" s="581" t="s">
        <v>336</v>
      </c>
      <c r="U7" s="45">
        <f ca="1">INDIRECT("'DevSumOut-"&amp;$B$2&amp;"BSR'!U51")</f>
        <v>56.342675924527434</v>
      </c>
      <c r="V7" s="45">
        <f ca="1">INDIRECT("'DevSumOut-"&amp;$B$2&amp;"BSR'!U51")</f>
        <v>56.342675924527434</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2">
        <v>2104008220</v>
      </c>
      <c r="B8" s="812" t="s">
        <v>139</v>
      </c>
      <c r="C8" s="133">
        <f ca="1">INDIRECT("'DevSumOut-"&amp;$B$2&amp;"BSR'!R52")</f>
        <v>4.4331539216849465E-2</v>
      </c>
      <c r="D8" s="133">
        <f ca="1">INDIRECT("'DevSumOut-"&amp;$B$2&amp;"BSR'!R52")</f>
        <v>4.4331539216849465E-2</v>
      </c>
      <c r="E8" s="133">
        <f ca="1">INDIRECT("'DevSumOut-"&amp;$B$2&amp;"BSR'!R52")</f>
        <v>4.4331539216849465E-2</v>
      </c>
      <c r="F8" s="551" t="s">
        <v>336</v>
      </c>
      <c r="G8" s="133">
        <f ca="1">INDIRECT("'DevSumOut-"&amp;$B$2&amp;"BSR'!R52")</f>
        <v>4.4331539216849465E-2</v>
      </c>
      <c r="H8" s="133">
        <f ca="1">INDIRECT("'DevSumOut-"&amp;$B$2&amp;"BSR'!R52")</f>
        <v>4.4331539216849465E-2</v>
      </c>
      <c r="I8" s="551" t="s">
        <v>336</v>
      </c>
      <c r="J8" s="133">
        <f ca="1">INDIRECT("'DevSumOut-"&amp;$B$2&amp;"BSR'!P52")</f>
        <v>1.4777179738949824E-3</v>
      </c>
      <c r="K8" s="133">
        <f ca="1">INDIRECT("'DevSumOut-"&amp;$B$2&amp;"BSR'!P52")</f>
        <v>1.4777179738949824E-3</v>
      </c>
      <c r="L8" s="133">
        <f ca="1">INDIRECT("'DevSumOut-"&amp;$B$2&amp;"BSR'!P52")</f>
        <v>1.4777179738949824E-3</v>
      </c>
      <c r="M8" s="551" t="s">
        <v>336</v>
      </c>
      <c r="N8" s="133">
        <f ca="1">INDIRECT("'DevSumOut-"&amp;$B$2&amp;"BSR'!P52")</f>
        <v>1.4777179738949824E-3</v>
      </c>
      <c r="O8" s="133">
        <f ca="1">INDIRECT("'DevSumOut-"&amp;$B$2&amp;"BSR'!P52")</f>
        <v>1.4777179738949824E-3</v>
      </c>
      <c r="P8" s="551" t="s">
        <v>336</v>
      </c>
      <c r="Q8" s="45">
        <f ca="1">INDIRECT("'DevSumOut-"&amp;$B$2&amp;"BSR'!U52")</f>
        <v>118.62478868553133</v>
      </c>
      <c r="R8" s="45">
        <f ca="1">INDIRECT("'DevSumOut-"&amp;$B$2&amp;"BSR'!U52")</f>
        <v>118.62478868553133</v>
      </c>
      <c r="S8" s="45">
        <f ca="1">INDIRECT("'DevSumOut-"&amp;$B$2&amp;"BSR'!U52")</f>
        <v>118.62478868553133</v>
      </c>
      <c r="T8" s="581" t="s">
        <v>336</v>
      </c>
      <c r="U8" s="45">
        <f ca="1">INDIRECT("'DevSumOut-"&amp;$B$2&amp;"BSR'!U52")</f>
        <v>118.62478868553133</v>
      </c>
      <c r="V8" s="45">
        <f ca="1">INDIRECT("'DevSumOut-"&amp;$B$2&amp;"BSR'!U52")</f>
        <v>118.62478868553133</v>
      </c>
      <c r="W8" s="581" t="s">
        <v>336</v>
      </c>
      <c r="X8" s="133">
        <f t="shared" ca="1" si="0"/>
        <v>0.74742454267919101</v>
      </c>
      <c r="Y8" s="133">
        <f t="shared" ca="1" si="0"/>
        <v>0.74742454267919101</v>
      </c>
      <c r="Z8" s="133">
        <f t="shared" ca="1" si="0"/>
        <v>0.74742454267919101</v>
      </c>
      <c r="AA8" s="133"/>
      <c r="AB8" s="133">
        <f t="shared" ca="1" si="1"/>
        <v>0.74742454267919101</v>
      </c>
      <c r="AC8" s="133">
        <f t="shared" ca="1" si="1"/>
        <v>0.74742454267919101</v>
      </c>
    </row>
    <row r="9" spans="1:29" x14ac:dyDescent="0.25">
      <c r="A9" s="812">
        <v>2104008230</v>
      </c>
      <c r="B9" s="812" t="s">
        <v>140</v>
      </c>
      <c r="C9" s="133">
        <f ca="1">INDIRECT("'DevSumOut-"&amp;$B$2&amp;"BSR'!R53")</f>
        <v>2.8915068515073722E-2</v>
      </c>
      <c r="D9" s="133">
        <f ca="1">INDIRECT("'DevSumOut-"&amp;$B$2&amp;"BSR'!R53")</f>
        <v>2.8915068515073722E-2</v>
      </c>
      <c r="E9" s="133">
        <f ca="1">INDIRECT("'DevSumOut-"&amp;$B$2&amp;"BSR'!R53")</f>
        <v>2.8915068515073722E-2</v>
      </c>
      <c r="F9" s="551" t="s">
        <v>336</v>
      </c>
      <c r="G9" s="133">
        <f ca="1">INDIRECT("'DevSumOut-"&amp;$B$2&amp;"BSR'!R53")</f>
        <v>2.8915068515073722E-2</v>
      </c>
      <c r="H9" s="133">
        <f ca="1">INDIRECT("'DevSumOut-"&amp;$B$2&amp;"BSR'!R53")</f>
        <v>2.8915068515073722E-2</v>
      </c>
      <c r="I9" s="551" t="s">
        <v>336</v>
      </c>
      <c r="J9" s="133">
        <f ca="1">INDIRECT("'DevSumOut-"&amp;$B$2&amp;"BSR'!P53")</f>
        <v>8.8969441584842211E-4</v>
      </c>
      <c r="K9" s="133">
        <f ca="1">INDIRECT("'DevSumOut-"&amp;$B$2&amp;"BSR'!P53")</f>
        <v>8.8969441584842211E-4</v>
      </c>
      <c r="L9" s="133">
        <f ca="1">INDIRECT("'DevSumOut-"&amp;$B$2&amp;"BSR'!P53")</f>
        <v>8.8969441584842211E-4</v>
      </c>
      <c r="M9" s="551" t="s">
        <v>336</v>
      </c>
      <c r="N9" s="133">
        <f ca="1">INDIRECT("'DevSumOut-"&amp;$B$2&amp;"BSR'!P53")</f>
        <v>8.8969441584842211E-4</v>
      </c>
      <c r="O9" s="133">
        <f ca="1">INDIRECT("'DevSumOut-"&amp;$B$2&amp;"BSR'!P53")</f>
        <v>8.8969441584842211E-4</v>
      </c>
      <c r="P9" s="551" t="s">
        <v>336</v>
      </c>
      <c r="Q9" s="45">
        <f ca="1">INDIRECT("'DevSumOut-"&amp;$B$2&amp;"BSR'!U53")</f>
        <v>71.420808259192725</v>
      </c>
      <c r="R9" s="45">
        <f ca="1">INDIRECT("'DevSumOut-"&amp;$B$2&amp;"BSR'!U53")</f>
        <v>71.420808259192725</v>
      </c>
      <c r="S9" s="45">
        <f ca="1">INDIRECT("'DevSumOut-"&amp;$B$2&amp;"BSR'!U53")</f>
        <v>71.420808259192725</v>
      </c>
      <c r="T9" s="581" t="s">
        <v>336</v>
      </c>
      <c r="U9" s="45">
        <f ca="1">INDIRECT("'DevSumOut-"&amp;$B$2&amp;"BSR'!U53")</f>
        <v>71.420808259192725</v>
      </c>
      <c r="V9" s="45">
        <f ca="1">INDIRECT("'DevSumOut-"&amp;$B$2&amp;"BSR'!U53")</f>
        <v>71.420808259192725</v>
      </c>
      <c r="W9" s="581" t="s">
        <v>336</v>
      </c>
      <c r="X9" s="133">
        <f t="shared" ca="1" si="0"/>
        <v>0.80970992123579055</v>
      </c>
      <c r="Y9" s="133">
        <f t="shared" ca="1" si="0"/>
        <v>0.80970992123579055</v>
      </c>
      <c r="Z9" s="133">
        <f t="shared" ca="1" si="0"/>
        <v>0.80970992123579055</v>
      </c>
      <c r="AA9" s="133"/>
      <c r="AB9" s="133">
        <f t="shared" ca="1" si="1"/>
        <v>0.80970992123579055</v>
      </c>
      <c r="AC9" s="133">
        <f t="shared" ca="1" si="1"/>
        <v>0.80970992123579055</v>
      </c>
    </row>
    <row r="10" spans="1:29" x14ac:dyDescent="0.25">
      <c r="A10" s="812">
        <v>2104008310</v>
      </c>
      <c r="B10" s="812" t="s">
        <v>141</v>
      </c>
      <c r="C10" s="133">
        <f ca="1">INDIRECT("'DevSumOut-"&amp;$B$2&amp;"BSR'!R54")</f>
        <v>0.43237167986007563</v>
      </c>
      <c r="D10" s="133">
        <f ca="1">INDIRECT("'DevSumOut-"&amp;$B$2&amp;"BSR'!R54")</f>
        <v>0.43237167986007563</v>
      </c>
      <c r="E10" s="133">
        <f ca="1">INDIRECT("'DevSumOut-"&amp;$B$2&amp;"BSR'!R54")</f>
        <v>0.43237167986007563</v>
      </c>
      <c r="F10" s="551" t="s">
        <v>336</v>
      </c>
      <c r="G10" s="133">
        <f ca="1">INDIRECT("'DevSumOut-"&amp;$B$2&amp;"BSR'!R54")</f>
        <v>0.43237167986007563</v>
      </c>
      <c r="H10" s="133">
        <f ca="1">INDIRECT("'DevSumOut-"&amp;$B$2&amp;"BSR'!R54")</f>
        <v>0.43237167986007563</v>
      </c>
      <c r="I10" s="551" t="s">
        <v>336</v>
      </c>
      <c r="J10" s="133">
        <f ca="1">INDIRECT("'DevSumOut-"&amp;$B$2&amp;"BSR'!P54")</f>
        <v>1.4243802782455371E-2</v>
      </c>
      <c r="K10" s="133">
        <f ca="1">INDIRECT("'DevSumOut-"&amp;$B$2&amp;"BSR'!P54")</f>
        <v>1.4243802782455371E-2</v>
      </c>
      <c r="L10" s="133">
        <f ca="1">INDIRECT("'DevSumOut-"&amp;$B$2&amp;"BSR'!P54")</f>
        <v>1.4243802782455371E-2</v>
      </c>
      <c r="M10" s="551" t="s">
        <v>336</v>
      </c>
      <c r="N10" s="133">
        <f ca="1">INDIRECT("'DevSumOut-"&amp;$B$2&amp;"BSR'!P54")</f>
        <v>1.4243802782455371E-2</v>
      </c>
      <c r="O10" s="133">
        <f ca="1">INDIRECT("'DevSumOut-"&amp;$B$2&amp;"BSR'!P54")</f>
        <v>1.4243802782455371E-2</v>
      </c>
      <c r="P10" s="551" t="s">
        <v>336</v>
      </c>
      <c r="Q10" s="45">
        <f ca="1">INDIRECT("'DevSumOut-"&amp;$B$2&amp;"BSR'!U54")</f>
        <v>1143.4306985476455</v>
      </c>
      <c r="R10" s="45">
        <f ca="1">INDIRECT("'DevSumOut-"&amp;$B$2&amp;"BSR'!U54")</f>
        <v>1143.4306985476455</v>
      </c>
      <c r="S10" s="45">
        <f ca="1">INDIRECT("'DevSumOut-"&amp;$B$2&amp;"BSR'!U54")</f>
        <v>1143.4306985476455</v>
      </c>
      <c r="T10" s="581" t="s">
        <v>336</v>
      </c>
      <c r="U10" s="45">
        <f ca="1">INDIRECT("'DevSumOut-"&amp;$B$2&amp;"BSR'!U54")</f>
        <v>1143.4306985476455</v>
      </c>
      <c r="V10" s="45">
        <f ca="1">INDIRECT("'DevSumOut-"&amp;$B$2&amp;"BSR'!U54")</f>
        <v>1143.4306985476455</v>
      </c>
      <c r="W10" s="581" t="s">
        <v>336</v>
      </c>
      <c r="X10" s="133">
        <f t="shared" ca="1" si="0"/>
        <v>0.75627089671330727</v>
      </c>
      <c r="Y10" s="133">
        <f t="shared" ca="1" si="0"/>
        <v>0.75627089671330727</v>
      </c>
      <c r="Z10" s="133">
        <f t="shared" ca="1" si="0"/>
        <v>0.75627089671330727</v>
      </c>
      <c r="AA10" s="133"/>
      <c r="AB10" s="133">
        <f t="shared" ca="1" si="1"/>
        <v>0.75627089671330727</v>
      </c>
      <c r="AC10" s="133">
        <f t="shared" ca="1" si="1"/>
        <v>0.75627089671330727</v>
      </c>
    </row>
    <row r="11" spans="1:29" x14ac:dyDescent="0.25">
      <c r="A11" s="812">
        <v>2104008320</v>
      </c>
      <c r="B11" s="812" t="s">
        <v>142</v>
      </c>
      <c r="C11" s="133">
        <f ca="1">INDIRECT("'DevSumOut-"&amp;$B$2&amp;"BSR'!R55")</f>
        <v>0.59416912152270285</v>
      </c>
      <c r="D11" s="133">
        <f ca="1">INDIRECT("'DevSumOut-"&amp;$B$2&amp;"BSR'!R55")</f>
        <v>0.59416912152270285</v>
      </c>
      <c r="E11" s="133">
        <f ca="1">INDIRECT("'DevSumOut-"&amp;$B$2&amp;"BSR'!R55")</f>
        <v>0.59416912152270285</v>
      </c>
      <c r="F11" s="551" t="s">
        <v>336</v>
      </c>
      <c r="G11" s="133">
        <f ca="1">INDIRECT("'DevSumOut-"&amp;$B$2&amp;"BSR'!R55")</f>
        <v>0.59416912152270285</v>
      </c>
      <c r="H11" s="133">
        <f ca="1">INDIRECT("'DevSumOut-"&amp;$B$2&amp;"BSR'!R55")</f>
        <v>0.59416912152270285</v>
      </c>
      <c r="I11" s="551" t="s">
        <v>336</v>
      </c>
      <c r="J11" s="133">
        <f ca="1">INDIRECT("'DevSumOut-"&amp;$B$2&amp;"BSR'!P55")</f>
        <v>2.9989134655416586E-2</v>
      </c>
      <c r="K11" s="133">
        <f ca="1">INDIRECT("'DevSumOut-"&amp;$B$2&amp;"BSR'!P55")</f>
        <v>2.9989134655416586E-2</v>
      </c>
      <c r="L11" s="133">
        <f ca="1">INDIRECT("'DevSumOut-"&amp;$B$2&amp;"BSR'!P55")</f>
        <v>2.9989134655416586E-2</v>
      </c>
      <c r="M11" s="551" t="s">
        <v>336</v>
      </c>
      <c r="N11" s="133">
        <f ca="1">INDIRECT("'DevSumOut-"&amp;$B$2&amp;"BSR'!P55")</f>
        <v>2.9989134655416586E-2</v>
      </c>
      <c r="O11" s="133">
        <f ca="1">INDIRECT("'DevSumOut-"&amp;$B$2&amp;"BSR'!P55")</f>
        <v>2.9989134655416586E-2</v>
      </c>
      <c r="P11" s="551" t="s">
        <v>336</v>
      </c>
      <c r="Q11" s="45">
        <f ca="1">INDIRECT("'DevSumOut-"&amp;$B$2&amp;"BSR'!U55")</f>
        <v>2407.3976389310387</v>
      </c>
      <c r="R11" s="45">
        <f ca="1">INDIRECT("'DevSumOut-"&amp;$B$2&amp;"BSR'!U55")</f>
        <v>2407.3976389310387</v>
      </c>
      <c r="S11" s="45">
        <f ca="1">INDIRECT("'DevSumOut-"&amp;$B$2&amp;"BSR'!U55")</f>
        <v>2407.3976389310387</v>
      </c>
      <c r="T11" s="581" t="s">
        <v>336</v>
      </c>
      <c r="U11" s="45">
        <f ca="1">INDIRECT("'DevSumOut-"&amp;$B$2&amp;"BSR'!U55")</f>
        <v>2407.3976389310387</v>
      </c>
      <c r="V11" s="45">
        <f ca="1">INDIRECT("'DevSumOut-"&amp;$B$2&amp;"BSR'!U55")</f>
        <v>2407.3976389310387</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2">
        <v>2104008330</v>
      </c>
      <c r="B12" s="812" t="s">
        <v>143</v>
      </c>
      <c r="C12" s="133">
        <f ca="1">INDIRECT("'DevSumOut-"&amp;$B$2&amp;"BSR'!R56")</f>
        <v>0.39693696599778167</v>
      </c>
      <c r="D12" s="133">
        <f ca="1">INDIRECT("'DevSumOut-"&amp;$B$2&amp;"BSR'!R56")</f>
        <v>0.39693696599778167</v>
      </c>
      <c r="E12" s="133">
        <f ca="1">INDIRECT("'DevSumOut-"&amp;$B$2&amp;"BSR'!R56")</f>
        <v>0.39693696599778167</v>
      </c>
      <c r="F12" s="551" t="s">
        <v>336</v>
      </c>
      <c r="G12" s="133">
        <f ca="1">INDIRECT("'DevSumOut-"&amp;$B$2&amp;"BSR'!R56")</f>
        <v>0.39693696599778167</v>
      </c>
      <c r="H12" s="133">
        <f ca="1">INDIRECT("'DevSumOut-"&amp;$B$2&amp;"BSR'!R56")</f>
        <v>0.39693696599778167</v>
      </c>
      <c r="I12" s="551" t="s">
        <v>336</v>
      </c>
      <c r="J12" s="133">
        <f ca="1">INDIRECT("'DevSumOut-"&amp;$B$2&amp;"BSR'!P56")</f>
        <v>1.8055654807205244E-2</v>
      </c>
      <c r="K12" s="133">
        <f ca="1">INDIRECT("'DevSumOut-"&amp;$B$2&amp;"BSR'!P56")</f>
        <v>1.8055654807205244E-2</v>
      </c>
      <c r="L12" s="133">
        <f ca="1">INDIRECT("'DevSumOut-"&amp;$B$2&amp;"BSR'!P56")</f>
        <v>1.8055654807205244E-2</v>
      </c>
      <c r="M12" s="551" t="s">
        <v>336</v>
      </c>
      <c r="N12" s="133">
        <f ca="1">INDIRECT("'DevSumOut-"&amp;$B$2&amp;"BSR'!P56")</f>
        <v>1.8055654807205244E-2</v>
      </c>
      <c r="O12" s="133">
        <f ca="1">INDIRECT("'DevSumOut-"&amp;$B$2&amp;"BSR'!P56")</f>
        <v>1.8055654807205244E-2</v>
      </c>
      <c r="P12" s="551" t="s">
        <v>336</v>
      </c>
      <c r="Q12" s="45">
        <f ca="1">INDIRECT("'DevSumOut-"&amp;$B$2&amp;"BSR'!U56")</f>
        <v>1449.4296434915236</v>
      </c>
      <c r="R12" s="45">
        <f ca="1">INDIRECT("'DevSumOut-"&amp;$B$2&amp;"BSR'!U56")</f>
        <v>1449.4296434915236</v>
      </c>
      <c r="S12" s="45">
        <f ca="1">INDIRECT("'DevSumOut-"&amp;$B$2&amp;"BSR'!U56")</f>
        <v>1449.4296434915236</v>
      </c>
      <c r="T12" s="581" t="s">
        <v>336</v>
      </c>
      <c r="U12" s="45">
        <f ca="1">INDIRECT("'DevSumOut-"&amp;$B$2&amp;"BSR'!U56")</f>
        <v>1449.4296434915236</v>
      </c>
      <c r="V12" s="45">
        <f ca="1">INDIRECT("'DevSumOut-"&amp;$B$2&amp;"BSR'!U56")</f>
        <v>1449.4296434915236</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2">
        <v>2104008410</v>
      </c>
      <c r="B13" s="812" t="s">
        <v>144</v>
      </c>
      <c r="C13" s="133">
        <f ca="1">INDIRECT("'DevSumOut-"&amp;$B$2&amp;"BSR'!R57")</f>
        <v>1.4646455514193895E-2</v>
      </c>
      <c r="D13" s="133">
        <f ca="1">INDIRECT("'DevSumOut-"&amp;$B$2&amp;"BSR'!R57")</f>
        <v>1.4646455514193895E-2</v>
      </c>
      <c r="E13" s="133">
        <f ca="1">INDIRECT("'DevSumOut-"&amp;$B$2&amp;"BSR'!R57")</f>
        <v>1.4646455514193895E-2</v>
      </c>
      <c r="F13" s="551" t="s">
        <v>336</v>
      </c>
      <c r="G13" s="133">
        <f ca="1">INDIRECT("'DevSumOut-"&amp;$B$2&amp;"BSR'!R57")</f>
        <v>1.4646455514193895E-2</v>
      </c>
      <c r="H13" s="133">
        <f ca="1">INDIRECT("'DevSumOut-"&amp;$B$2&amp;"BSR'!R57")</f>
        <v>1.4646455514193895E-2</v>
      </c>
      <c r="I13" s="551" t="s">
        <v>336</v>
      </c>
      <c r="J13" s="133">
        <f ca="1">INDIRECT("'DevSumOut-"&amp;$B$2&amp;"BSR'!P57")</f>
        <v>1.5834005961290702E-3</v>
      </c>
      <c r="K13" s="133">
        <f ca="1">INDIRECT("'DevSumOut-"&amp;$B$2&amp;"BSR'!P57")</f>
        <v>1.5834005961290702E-3</v>
      </c>
      <c r="L13" s="133">
        <f ca="1">INDIRECT("'DevSumOut-"&amp;$B$2&amp;"BSR'!P57")</f>
        <v>1.5834005961290702E-3</v>
      </c>
      <c r="M13" s="551" t="s">
        <v>336</v>
      </c>
      <c r="N13" s="133">
        <f ca="1">INDIRECT("'DevSumOut-"&amp;$B$2&amp;"BSR'!P57")</f>
        <v>1.5834005961290702E-3</v>
      </c>
      <c r="O13" s="133">
        <f ca="1">INDIRECT("'DevSumOut-"&amp;$B$2&amp;"BSR'!P57")</f>
        <v>1.5834005961290702E-3</v>
      </c>
      <c r="P13" s="551" t="s">
        <v>336</v>
      </c>
      <c r="Q13" s="45">
        <f ca="1">INDIRECT("'DevSumOut-"&amp;$B$2&amp;"BSR'!U57")</f>
        <v>151.79093054236077</v>
      </c>
      <c r="R13" s="45">
        <f ca="1">INDIRECT("'DevSumOut-"&amp;$B$2&amp;"BSR'!U57")</f>
        <v>151.79093054236077</v>
      </c>
      <c r="S13" s="45">
        <f ca="1">INDIRECT("'DevSumOut-"&amp;$B$2&amp;"BSR'!U57")</f>
        <v>151.79093054236077</v>
      </c>
      <c r="T13" s="581" t="s">
        <v>336</v>
      </c>
      <c r="U13" s="45">
        <f ca="1">INDIRECT("'DevSumOut-"&amp;$B$2&amp;"BSR'!U57")</f>
        <v>151.79093054236077</v>
      </c>
      <c r="V13" s="45">
        <f ca="1">INDIRECT("'DevSumOut-"&amp;$B$2&amp;"BSR'!U57")</f>
        <v>151.79093054236077</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2">
        <v>2104008420</v>
      </c>
      <c r="B14" s="812" t="s">
        <v>145</v>
      </c>
      <c r="C14" s="133">
        <f ca="1">INDIRECT("'DevSumOut-"&amp;$B$2&amp;"BSR'!R58")</f>
        <v>4.9402949640657681E-2</v>
      </c>
      <c r="D14" s="133">
        <f ca="1">INDIRECT("'DevSumOut-"&amp;$B$2&amp;"BSR'!R58")</f>
        <v>4.9402949640657681E-2</v>
      </c>
      <c r="E14" s="133">
        <f ca="1">INDIRECT("'DevSumOut-"&amp;$B$2&amp;"BSR'!R58")</f>
        <v>4.9402949640657681E-2</v>
      </c>
      <c r="F14" s="551" t="s">
        <v>336</v>
      </c>
      <c r="G14" s="133">
        <f ca="1">INDIRECT("'DevSumOut-"&amp;$B$2&amp;"BSR'!R58")</f>
        <v>4.9402949640657681E-2</v>
      </c>
      <c r="H14" s="133">
        <f ca="1">INDIRECT("'DevSumOut-"&amp;$B$2&amp;"BSR'!R58")</f>
        <v>4.9402949640657681E-2</v>
      </c>
      <c r="I14" s="551" t="s">
        <v>336</v>
      </c>
      <c r="J14" s="133">
        <f ca="1">INDIRECT("'DevSumOut-"&amp;$B$2&amp;"BSR'!P58")</f>
        <v>5.3408594206116426E-3</v>
      </c>
      <c r="K14" s="133">
        <f ca="1">INDIRECT("'DevSumOut-"&amp;$B$2&amp;"BSR'!P58")</f>
        <v>5.3408594206116426E-3</v>
      </c>
      <c r="L14" s="133">
        <f ca="1">INDIRECT("'DevSumOut-"&amp;$B$2&amp;"BSR'!P58")</f>
        <v>5.3408594206116426E-3</v>
      </c>
      <c r="M14" s="551" t="s">
        <v>336</v>
      </c>
      <c r="N14" s="133">
        <f ca="1">INDIRECT("'DevSumOut-"&amp;$B$2&amp;"BSR'!P58")</f>
        <v>5.3408594206116426E-3</v>
      </c>
      <c r="O14" s="133">
        <f ca="1">INDIRECT("'DevSumOut-"&amp;$B$2&amp;"BSR'!P58")</f>
        <v>5.3408594206116426E-3</v>
      </c>
      <c r="P14" s="551" t="s">
        <v>336</v>
      </c>
      <c r="Q14" s="45">
        <f ca="1">INDIRECT("'DevSumOut-"&amp;$B$2&amp;"BSR'!U58")</f>
        <v>511.99552616847171</v>
      </c>
      <c r="R14" s="45">
        <f ca="1">INDIRECT("'DevSumOut-"&amp;$B$2&amp;"BSR'!U58")</f>
        <v>511.99552616847171</v>
      </c>
      <c r="S14" s="45">
        <f ca="1">INDIRECT("'DevSumOut-"&amp;$B$2&amp;"BSR'!U58")</f>
        <v>511.99552616847171</v>
      </c>
      <c r="T14" s="581" t="s">
        <v>336</v>
      </c>
      <c r="U14" s="45">
        <f ca="1">INDIRECT("'DevSumOut-"&amp;$B$2&amp;"BSR'!U58")</f>
        <v>511.99552616847171</v>
      </c>
      <c r="V14" s="45">
        <f ca="1">INDIRECT("'DevSumOut-"&amp;$B$2&amp;"BSR'!U58")</f>
        <v>511.99552616847171</v>
      </c>
      <c r="W14" s="581" t="s">
        <v>336</v>
      </c>
      <c r="X14" s="133">
        <f t="shared" ca="1" si="0"/>
        <v>0.19298195830094689</v>
      </c>
      <c r="Y14" s="133">
        <f t="shared" ca="1" si="0"/>
        <v>0.19298195830094689</v>
      </c>
      <c r="Z14" s="133">
        <f t="shared" ca="1" si="0"/>
        <v>0.19298195830094689</v>
      </c>
      <c r="AA14" s="133"/>
      <c r="AB14" s="133">
        <f t="shared" ca="1" si="1"/>
        <v>0.19298195830094689</v>
      </c>
      <c r="AC14" s="133">
        <f t="shared" ca="1" si="1"/>
        <v>0.19298195830094689</v>
      </c>
    </row>
    <row r="15" spans="1:29" x14ac:dyDescent="0.25">
      <c r="A15" s="812">
        <v>2104008610</v>
      </c>
      <c r="B15" s="812" t="s">
        <v>146</v>
      </c>
      <c r="C15" s="133">
        <f ca="1">INDIRECT("'DevSumOut-"&amp;$B$2&amp;"BSR'!R59")</f>
        <v>0.24545272420989431</v>
      </c>
      <c r="D15" s="133">
        <f ca="1">INDIRECT("'DevSumOut-"&amp;$B$2&amp;"BSR'!R59")</f>
        <v>0.24545272420989431</v>
      </c>
      <c r="E15" s="133">
        <f ca="1">INDIRECT("'DevSumOut-"&amp;$B$2&amp;"BSR'!R59")</f>
        <v>0.24545272420989431</v>
      </c>
      <c r="F15" s="551" t="s">
        <v>336</v>
      </c>
      <c r="G15" s="133">
        <f ca="1">INDIRECT("'DevSumOut-"&amp;$B$2&amp;"BSR'!R59")</f>
        <v>0.24545272420989431</v>
      </c>
      <c r="H15" s="133">
        <f ca="1">INDIRECT("'DevSumOut-"&amp;$B$2&amp;"BSR'!R59")</f>
        <v>0.24545272420989431</v>
      </c>
      <c r="I15" s="551" t="s">
        <v>336</v>
      </c>
      <c r="J15" s="133">
        <f ca="1">INDIRECT("'DevSumOut-"&amp;$B$2&amp;"BSR'!P59")</f>
        <v>9.9472722299595792E-3</v>
      </c>
      <c r="K15" s="133">
        <f ca="1">INDIRECT("'DevSumOut-"&amp;$B$2&amp;"BSR'!P59")</f>
        <v>9.9472722299595792E-3</v>
      </c>
      <c r="L15" s="133">
        <f ca="1">INDIRECT("'DevSumOut-"&amp;$B$2&amp;"BSR'!P59")</f>
        <v>9.9472722299595792E-3</v>
      </c>
      <c r="M15" s="551" t="s">
        <v>336</v>
      </c>
      <c r="N15" s="133">
        <f ca="1">INDIRECT("'DevSumOut-"&amp;$B$2&amp;"BSR'!P59")</f>
        <v>9.9472722299595792E-3</v>
      </c>
      <c r="O15" s="133">
        <f ca="1">INDIRECT("'DevSumOut-"&amp;$B$2&amp;"BSR'!P59")</f>
        <v>9.9472722299595792E-3</v>
      </c>
      <c r="P15" s="551" t="s">
        <v>336</v>
      </c>
      <c r="Q15" s="45">
        <f ca="1">INDIRECT("'DevSumOut-"&amp;$B$2&amp;"BSR'!U59")</f>
        <v>798.2497551698757</v>
      </c>
      <c r="R15" s="45">
        <f ca="1">INDIRECT("'DevSumOut-"&amp;$B$2&amp;"BSR'!U59")</f>
        <v>798.2497551698757</v>
      </c>
      <c r="S15" s="45">
        <f ca="1">INDIRECT("'DevSumOut-"&amp;$B$2&amp;"BSR'!U59")</f>
        <v>798.2497551698757</v>
      </c>
      <c r="T15" s="581" t="s">
        <v>336</v>
      </c>
      <c r="U15" s="45">
        <f ca="1">INDIRECT("'DevSumOut-"&amp;$B$2&amp;"BSR'!U59")</f>
        <v>798.2497551698757</v>
      </c>
      <c r="V15" s="45">
        <f ca="1">INDIRECT("'DevSumOut-"&amp;$B$2&amp;"BSR'!U59")</f>
        <v>798.2497551698757</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2">
        <v>2104004000</v>
      </c>
      <c r="B16" s="812" t="s">
        <v>568</v>
      </c>
      <c r="C16" s="133">
        <f ca="1">INDIRECT("'DevSumOut-"&amp;$B$2&amp;"BSR'!R60")</f>
        <v>5.3306191800915316E-2</v>
      </c>
      <c r="D16" s="133">
        <f ca="1">INDIRECT("'DevSumOut-"&amp;$B$2&amp;"BSR'!R60")</f>
        <v>5.3306191800915316E-2</v>
      </c>
      <c r="E16" s="133">
        <f ca="1">INDIRECT("'DevSumOut-"&amp;$B$2&amp;"BSR'!R60")</f>
        <v>5.3306191800915316E-2</v>
      </c>
      <c r="F16" s="551" t="s">
        <v>336</v>
      </c>
      <c r="G16" s="133">
        <f ca="1">INDIRECT("'DevSumOut-"&amp;$B$2&amp;"BSR'!R60")</f>
        <v>5.3306191800915316E-2</v>
      </c>
      <c r="H16" s="133">
        <f ca="1">INDIRECT("'DevSumOut-"&amp;$B$2&amp;"BSR'!R60")</f>
        <v>5.3306191800915316E-2</v>
      </c>
      <c r="I16" s="551" t="s">
        <v>336</v>
      </c>
      <c r="J16" s="133">
        <f ca="1">INDIRECT("'DevSumOut-"&amp;$B$2&amp;"BSR'!P60")</f>
        <v>3.3742798892560217</v>
      </c>
      <c r="K16" s="133">
        <f ca="1">INDIRECT("'DevSumOut-"&amp;$B$2&amp;"BSR'!P60")</f>
        <v>3.3742798892560217</v>
      </c>
      <c r="L16" s="133">
        <f ca="1">INDIRECT("'DevSumOut-"&amp;$B$2&amp;"BSR'!P60")</f>
        <v>3.3742798892560217</v>
      </c>
      <c r="M16" s="551" t="s">
        <v>336</v>
      </c>
      <c r="N16" s="133">
        <f ca="1">INDIRECT("'DevSumOut-"&amp;$B$2&amp;"BSR'!P60")</f>
        <v>3.3742798892560217</v>
      </c>
      <c r="O16" s="133">
        <f ca="1">INDIRECT("'DevSumOut-"&amp;$B$2&amp;"BSR'!P60")</f>
        <v>3.3742798892560217</v>
      </c>
      <c r="P16" s="551" t="s">
        <v>336</v>
      </c>
      <c r="Q16" s="45">
        <f ca="1">INDIRECT("'DevSumOut-"&amp;$B$2&amp;"BSR'!U60")</f>
        <v>31337.296015775257</v>
      </c>
      <c r="R16" s="45">
        <f ca="1">INDIRECT("'DevSumOut-"&amp;$B$2&amp;"BSR'!U60")</f>
        <v>31337.296015775257</v>
      </c>
      <c r="S16" s="45">
        <f ca="1">INDIRECT("'DevSumOut-"&amp;$B$2&amp;"BSR'!U60")</f>
        <v>31337.296015775257</v>
      </c>
      <c r="T16" s="581" t="s">
        <v>336</v>
      </c>
      <c r="U16" s="45">
        <f ca="1">INDIRECT("'DevSumOut-"&amp;$B$2&amp;"BSR'!U60")</f>
        <v>31337.296015775257</v>
      </c>
      <c r="V16" s="45">
        <f ca="1">INDIRECT("'DevSumOut-"&amp;$B$2&amp;"BSR'!U60")</f>
        <v>31337.296015775257</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2">
        <v>2103004001</v>
      </c>
      <c r="B17" s="812" t="s">
        <v>148</v>
      </c>
      <c r="C17" s="133">
        <f ca="1">INDIRECT("'DevSumOut-"&amp;$B$2&amp;"BSR'!R61")</f>
        <v>1.7801232577771393E-2</v>
      </c>
      <c r="D17" s="133">
        <f ca="1">INDIRECT("'DevSumOut-"&amp;$B$2&amp;"BSR'!R61")</f>
        <v>1.7801232577771393E-2</v>
      </c>
      <c r="E17" s="133">
        <f ca="1">INDIRECT("'DevSumOut-"&amp;$B$2&amp;"BSR'!R61")</f>
        <v>1.7801232577771393E-2</v>
      </c>
      <c r="F17" s="551" t="s">
        <v>336</v>
      </c>
      <c r="G17" s="133">
        <f ca="1">INDIRECT("'DevSumOut-"&amp;$B$2&amp;"BSR'!R61")</f>
        <v>1.7801232577771393E-2</v>
      </c>
      <c r="H17" s="133">
        <f ca="1">INDIRECT("'DevSumOut-"&amp;$B$2&amp;"BSR'!R61")</f>
        <v>1.7801232577771393E-2</v>
      </c>
      <c r="I17" s="551" t="s">
        <v>336</v>
      </c>
      <c r="J17" s="133">
        <f ca="1">INDIRECT("'DevSumOut-"&amp;$B$2&amp;"BSR'!P61")</f>
        <v>0.49603609510945462</v>
      </c>
      <c r="K17" s="133">
        <f ca="1">INDIRECT("'DevSumOut-"&amp;$B$2&amp;"BSR'!P61")</f>
        <v>0.49603609510945462</v>
      </c>
      <c r="L17" s="133">
        <f ca="1">INDIRECT("'DevSumOut-"&amp;$B$2&amp;"BSR'!P61")</f>
        <v>0.49603609510945462</v>
      </c>
      <c r="M17" s="551" t="s">
        <v>336</v>
      </c>
      <c r="N17" s="133">
        <f ca="1">INDIRECT("'DevSumOut-"&amp;$B$2&amp;"BSR'!P61")</f>
        <v>0.49603609510945462</v>
      </c>
      <c r="O17" s="133">
        <f ca="1">INDIRECT("'DevSumOut-"&amp;$B$2&amp;"BSR'!P61")</f>
        <v>0.49603609510945462</v>
      </c>
      <c r="P17" s="551" t="s">
        <v>336</v>
      </c>
      <c r="Q17" s="45">
        <f ca="1">INDIRECT("'DevSumOut-"&amp;$B$2&amp;"BSR'!U61")</f>
        <v>10799.327083227412</v>
      </c>
      <c r="R17" s="45">
        <f ca="1">INDIRECT("'DevSumOut-"&amp;$B$2&amp;"BSR'!U61")</f>
        <v>10799.327083227412</v>
      </c>
      <c r="S17" s="45">
        <f ca="1">INDIRECT("'DevSumOut-"&amp;$B$2&amp;"BSR'!U61")</f>
        <v>10799.327083227412</v>
      </c>
      <c r="T17" s="581" t="s">
        <v>336</v>
      </c>
      <c r="U17" s="45">
        <f ca="1">INDIRECT("'DevSumOut-"&amp;$B$2&amp;"BSR'!U61")</f>
        <v>10799.327083227412</v>
      </c>
      <c r="V17" s="45">
        <f ca="1">INDIRECT("'DevSumOut-"&amp;$B$2&amp;"BSR'!U61")</f>
        <v>10799.327083227412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2">
        <v>2104004000</v>
      </c>
      <c r="B18" s="812" t="s">
        <v>746</v>
      </c>
      <c r="C18" s="133">
        <f ca="1">INDIRECT("'DevSumOut-"&amp;$B$2&amp;"BSR'!R62")</f>
        <v>3.1907700096208639E-4</v>
      </c>
      <c r="D18" s="133">
        <f ca="1">INDIRECT("'DevSumOut-"&amp;$B$2&amp;"BSR'!R62")</f>
        <v>3.1907700096208639E-4</v>
      </c>
      <c r="E18" s="133">
        <f ca="1">INDIRECT("'DevSumOut-"&amp;$B$2&amp;"BSR'!R62")</f>
        <v>3.1907700096208639E-4</v>
      </c>
      <c r="F18" s="551" t="s">
        <v>336</v>
      </c>
      <c r="G18" s="133">
        <f ca="1">INDIRECT("'DevSumOut-"&amp;$B$2&amp;"BSR'!R62")</f>
        <v>3.1907700096208639E-4</v>
      </c>
      <c r="H18" s="133">
        <f ca="1">INDIRECT("'DevSumOut-"&amp;$B$2&amp;"BSR'!R62")</f>
        <v>3.1907700096208639E-4</v>
      </c>
      <c r="I18" s="551" t="s">
        <v>336</v>
      </c>
      <c r="J18" s="133">
        <f ca="1">INDIRECT("'DevSumOut-"&amp;$B$2&amp;"BSR'!P62")</f>
        <v>2.3055370434142502E-2</v>
      </c>
      <c r="K18" s="133">
        <f ca="1">INDIRECT("'DevSumOut-"&amp;$B$2&amp;"BSR'!P62")</f>
        <v>2.3055370434142502E-2</v>
      </c>
      <c r="L18" s="133">
        <f ca="1">INDIRECT("'DevSumOut-"&amp;$B$2&amp;"BSR'!P62")</f>
        <v>2.3055370434142502E-2</v>
      </c>
      <c r="M18" s="551" t="s">
        <v>336</v>
      </c>
      <c r="N18" s="133">
        <f ca="1">INDIRECT("'DevSumOut-"&amp;$B$2&amp;"BSR'!P62")</f>
        <v>2.3055370434142502E-2</v>
      </c>
      <c r="O18" s="133">
        <f ca="1">INDIRECT("'DevSumOut-"&amp;$B$2&amp;"BSR'!P62")</f>
        <v>2.3055370434142502E-2</v>
      </c>
      <c r="P18" s="551" t="s">
        <v>336</v>
      </c>
      <c r="Q18" s="45">
        <f ca="1">INDIRECT("'DevSumOut-"&amp;$B$2&amp;"BSR'!U62")</f>
        <v>218.55976873400519</v>
      </c>
      <c r="R18" s="45">
        <f ca="1">INDIRECT("'DevSumOut-"&amp;$B$2&amp;"BSR'!U62")</f>
        <v>218.55976873400519</v>
      </c>
      <c r="S18" s="45">
        <f ca="1">INDIRECT("'DevSumOut-"&amp;$B$2&amp;"BSR'!U62")</f>
        <v>218.55976873400519</v>
      </c>
      <c r="T18" s="581" t="s">
        <v>336</v>
      </c>
      <c r="U18" s="45">
        <f ca="1">INDIRECT("'DevSumOut-"&amp;$B$2&amp;"BSR'!U62")</f>
        <v>218.55976873400519</v>
      </c>
      <c r="V18" s="45">
        <f ca="1">INDIRECT("'DevSumOut-"&amp;$B$2&amp;"BSR'!U62")</f>
        <v>218.55976873400519</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2">
        <v>2104007000</v>
      </c>
      <c r="B19" s="812" t="s">
        <v>747</v>
      </c>
      <c r="C19" s="133">
        <f ca="1">INDIRECT("'DevSumOut-"&amp;$B$2&amp;"BSR'!R63")</f>
        <v>1.232238757906629E-3</v>
      </c>
      <c r="D19" s="133">
        <f ca="1">INDIRECT("'DevSumOut-"&amp;$B$2&amp;"BSR'!R63")</f>
        <v>1.232238757906629E-3</v>
      </c>
      <c r="E19" s="133">
        <f ca="1">INDIRECT("'DevSumOut-"&amp;$B$2&amp;"BSR'!R63")</f>
        <v>1.232238757906629E-3</v>
      </c>
      <c r="F19" s="551" t="s">
        <v>336</v>
      </c>
      <c r="G19" s="133">
        <f ca="1">INDIRECT("'DevSumOut-"&amp;$B$2&amp;"BSR'!R63")</f>
        <v>1.232238757906629E-3</v>
      </c>
      <c r="H19" s="133">
        <f ca="1">INDIRECT("'DevSumOut-"&amp;$B$2&amp;"BSR'!R63")</f>
        <v>1.232238757906629E-3</v>
      </c>
      <c r="I19" s="551" t="s">
        <v>336</v>
      </c>
      <c r="J19" s="133">
        <f ca="1">INDIRECT("'DevSumOut-"&amp;$B$2&amp;"BSR'!P63")</f>
        <v>7.8000665946929712E-2</v>
      </c>
      <c r="K19" s="133">
        <f ca="1">INDIRECT("'DevSumOut-"&amp;$B$2&amp;"BSR'!P63")</f>
        <v>7.8000665946929712E-2</v>
      </c>
      <c r="L19" s="133">
        <f ca="1">INDIRECT("'DevSumOut-"&amp;$B$2&amp;"BSR'!P63")</f>
        <v>7.8000665946929712E-2</v>
      </c>
      <c r="M19" s="551" t="s">
        <v>336</v>
      </c>
      <c r="N19" s="133">
        <f ca="1">INDIRECT("'DevSumOut-"&amp;$B$2&amp;"BSR'!P63")</f>
        <v>7.8000665946929712E-2</v>
      </c>
      <c r="O19" s="133">
        <f ca="1">INDIRECT("'DevSumOut-"&amp;$B$2&amp;"BSR'!P63")</f>
        <v>7.8000665946929712E-2</v>
      </c>
      <c r="P19" s="551" t="s">
        <v>336</v>
      </c>
      <c r="Q19" s="45">
        <f ca="1">INDIRECT("'DevSumOut-"&amp;$B$2&amp;"BSR'!U63")</f>
        <v>674.68604100519894</v>
      </c>
      <c r="R19" s="45">
        <f ca="1">INDIRECT("'DevSumOut-"&amp;$B$2&amp;"BSR'!U63")</f>
        <v>674.68604100519894</v>
      </c>
      <c r="S19" s="45">
        <f ca="1">INDIRECT("'DevSumOut-"&amp;$B$2&amp;"BSR'!U63")</f>
        <v>674.68604100519894</v>
      </c>
      <c r="T19" s="581" t="s">
        <v>336</v>
      </c>
      <c r="U19" s="45">
        <f ca="1">INDIRECT("'DevSumOut-"&amp;$B$2&amp;"BSR'!U63")</f>
        <v>674.68604100519894</v>
      </c>
      <c r="V19" s="45">
        <f ca="1">INDIRECT("'DevSumOut-"&amp;$B$2&amp;"BSR'!U63")</f>
        <v>674.68604100519894</v>
      </c>
      <c r="W19" s="581" t="s">
        <v>336</v>
      </c>
      <c r="X19" s="133">
        <f t="shared" ca="1" si="0"/>
        <v>3.6527767969550557E-3</v>
      </c>
      <c r="Y19" s="133">
        <f t="shared" ca="1" si="0"/>
        <v>3.6527767969550557E-3</v>
      </c>
      <c r="Z19" s="133">
        <f t="shared" ca="1" si="0"/>
        <v>3.6527767969550557E-3</v>
      </c>
      <c r="AA19" s="133"/>
      <c r="AB19" s="133">
        <f t="shared" ca="1" si="1"/>
        <v>3.6527767969550557E-3</v>
      </c>
      <c r="AC19" s="133">
        <f t="shared" ca="1" si="1"/>
        <v>3.6527767969550557E-3</v>
      </c>
    </row>
    <row r="20" spans="1:29" x14ac:dyDescent="0.25">
      <c r="A20" s="812">
        <v>2104006010</v>
      </c>
      <c r="B20" s="812" t="s">
        <v>149</v>
      </c>
      <c r="C20" s="133">
        <f ca="1">INDIRECT("'DevSumOut-"&amp;$B$2&amp;"BSR'!R64")</f>
        <v>5.8529310125197222E-6</v>
      </c>
      <c r="D20" s="133">
        <f ca="1">INDIRECT("'DevSumOut-"&amp;$B$2&amp;"BSR'!R64")</f>
        <v>5.8529310125197222E-6</v>
      </c>
      <c r="E20" s="133">
        <f ca="1">INDIRECT("'DevSumOut-"&amp;$B$2&amp;"BSR'!R64")</f>
        <v>5.8529310125197222E-6</v>
      </c>
      <c r="F20" s="551" t="s">
        <v>336</v>
      </c>
      <c r="G20" s="133">
        <f ca="1">INDIRECT("'DevSumOut-"&amp;$B$2&amp;"BSR'!R64")</f>
        <v>5.8529310125197222E-6</v>
      </c>
      <c r="H20" s="133">
        <f ca="1">INDIRECT("'DevSumOut-"&amp;$B$2&amp;"BSR'!R64")</f>
        <v>5.8529310125197222E-6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2">
        <v>2103006000</v>
      </c>
      <c r="B21" s="812"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2">
        <v>2104002000</v>
      </c>
      <c r="B22" s="812" t="s">
        <v>151</v>
      </c>
      <c r="C22" s="133">
        <f ca="1">INDIRECT("'DevSumOut-"&amp;$B$2&amp;"BSR'!R66")</f>
        <v>9.5214781787673869E-2</v>
      </c>
      <c r="D22" s="133">
        <f ca="1">INDIRECT("'DevSumOut-"&amp;$B$2&amp;"BSR'!R66")</f>
        <v>9.5214781787673869E-2</v>
      </c>
      <c r="E22" s="133">
        <f ca="1">INDIRECT("'DevSumOut-"&amp;$B$2&amp;"BSR'!R66")</f>
        <v>9.5214781787673869E-2</v>
      </c>
      <c r="F22" s="551" t="s">
        <v>336</v>
      </c>
      <c r="G22" s="133">
        <f ca="1">INDIRECT("'DevSumOut-"&amp;$B$2&amp;"BSR'!R66")</f>
        <v>9.5214781787673869E-2</v>
      </c>
      <c r="H22" s="133">
        <f ca="1">INDIRECT("'DevSumOut-"&amp;$B$2&amp;"BSR'!R66")</f>
        <v>9.5214781787673869E-2</v>
      </c>
      <c r="I22" s="551" t="s">
        <v>336</v>
      </c>
      <c r="J22" s="133">
        <f ca="1">INDIRECT("'DevSumOut-"&amp;$B$2&amp;"BSR'!P66")</f>
        <v>0.11082571597313731</v>
      </c>
      <c r="K22" s="133">
        <f ca="1">INDIRECT("'DevSumOut-"&amp;$B$2&amp;"BSR'!P66")</f>
        <v>0.11082571597313731</v>
      </c>
      <c r="L22" s="133">
        <f ca="1">INDIRECT("'DevSumOut-"&amp;$B$2&amp;"BSR'!P66")</f>
        <v>0.11082571597313731</v>
      </c>
      <c r="M22" s="551" t="s">
        <v>336</v>
      </c>
      <c r="N22" s="133">
        <f ca="1">INDIRECT("'DevSumOut-"&amp;$B$2&amp;"BSR'!P66")</f>
        <v>0.11082571597313731</v>
      </c>
      <c r="O22" s="133">
        <f ca="1">INDIRECT("'DevSumOut-"&amp;$B$2&amp;"BSR'!P66")</f>
        <v>0.11082571597313731</v>
      </c>
      <c r="P22" s="551" t="s">
        <v>336</v>
      </c>
      <c r="Q22" s="45">
        <f ca="1">INDIRECT("'DevSumOut-"&amp;$B$2&amp;"BSR'!U66")</f>
        <v>362.26900705197573</v>
      </c>
      <c r="R22" s="45">
        <f ca="1">INDIRECT("'DevSumOut-"&amp;$B$2&amp;"BSR'!U66")</f>
        <v>362.26900705197573</v>
      </c>
      <c r="S22" s="45">
        <f ca="1">INDIRECT("'DevSumOut-"&amp;$B$2&amp;"BSR'!U66")</f>
        <v>362.26900705197573</v>
      </c>
      <c r="T22" s="581" t="s">
        <v>336</v>
      </c>
      <c r="U22" s="45">
        <f ca="1">INDIRECT("'DevSumOut-"&amp;$B$2&amp;"BSR'!U66")</f>
        <v>362.26900705197573</v>
      </c>
      <c r="V22" s="45">
        <f ca="1">INDIRECT("'DevSumOut-"&amp;$B$2&amp;"BSR'!U66")</f>
        <v>362.26900705197573</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3.0617780757568111E-4</v>
      </c>
      <c r="K23" s="133">
        <f ca="1">INDIRECT("'DevSumOut-"&amp;$B$2&amp;"BSR'!P67")</f>
        <v>3.0617780757568111E-4</v>
      </c>
      <c r="L23" s="133">
        <f ca="1">INDIRECT("'DevSumOut-"&amp;$B$2&amp;"BSR'!P67")</f>
        <v>3.0617780757568111E-4</v>
      </c>
      <c r="M23" s="551"/>
      <c r="N23" s="133">
        <f ca="1">INDIRECT("'DevSumOut-"&amp;$B$2&amp;"BSR'!P67")</f>
        <v>3.0617780757568111E-4</v>
      </c>
      <c r="O23" s="133">
        <f ca="1">INDIRECT("'DevSumOut-"&amp;$B$2&amp;"BSR'!P67")</f>
        <v>3.0617780757568111E-4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2.7287431994720563</v>
      </c>
      <c r="D26" s="137">
        <f ca="1">SUM(D6:D25)</f>
        <v>2.7287431994720563</v>
      </c>
      <c r="E26" s="137">
        <f ca="1">SUM(E6:E25)</f>
        <v>2.7287431994720563</v>
      </c>
      <c r="F26" s="566" t="s">
        <v>336</v>
      </c>
      <c r="G26" s="137">
        <f t="shared" ref="G26:H26" ca="1" si="2">SUM(G6:G25)</f>
        <v>2.7287431994720563</v>
      </c>
      <c r="H26" s="137">
        <f t="shared" ca="1" si="2"/>
        <v>2.7287431994720563</v>
      </c>
      <c r="I26" s="566" t="s">
        <v>336</v>
      </c>
      <c r="J26" s="137">
        <f ca="1">SUM(J6:J25)</f>
        <v>4.1903632197367111</v>
      </c>
      <c r="K26" s="137">
        <f ca="1">SUM(K6:K25)</f>
        <v>4.1903632197367111</v>
      </c>
      <c r="L26" s="137">
        <f ca="1">SUM(L6:L25)</f>
        <v>4.1903632197367111</v>
      </c>
      <c r="M26" s="566" t="s">
        <v>336</v>
      </c>
      <c r="N26" s="137">
        <f ca="1">SUM(N6:N25)</f>
        <v>4.1903632197367111</v>
      </c>
      <c r="O26" s="137">
        <f ca="1">SUM(O6:O25)</f>
        <v>4.1903632197367111</v>
      </c>
      <c r="P26" s="566" t="s">
        <v>336</v>
      </c>
      <c r="Q26" s="87">
        <f ca="1">SUM(Q6:Q25)</f>
        <v>53872.372308445898</v>
      </c>
      <c r="R26" s="87">
        <f ca="1">SUM(R6:R25)</f>
        <v>53872.372308445898</v>
      </c>
      <c r="S26" s="87">
        <f ca="1">SUM(S6:S25)</f>
        <v>53872.372308445898</v>
      </c>
      <c r="T26" s="566" t="s">
        <v>336</v>
      </c>
      <c r="U26" s="87">
        <f ca="1">SUM(U6:U25)</f>
        <v>53872.372308445898</v>
      </c>
      <c r="V26" s="87">
        <f ca="1">SUM(V6:V25)</f>
        <v>53872.372308445898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2025 Baseline PM2.5 Emissions (tpd) by Curtailment Regime and AQCZ</v>
      </c>
      <c r="D30" s="840"/>
      <c r="E30" s="840"/>
      <c r="F30" s="840"/>
      <c r="G30" s="840"/>
      <c r="H30" s="840"/>
      <c r="I30" s="840"/>
      <c r="J30" s="840" t="str">
        <f>$B$2&amp;" Baseline SO2 Emissions (tpd) by Curtailment Regime and AQCZ"</f>
        <v>2025 Baseline SO2 Emissions (tpd) by Curtailment Regime and AQCZ</v>
      </c>
      <c r="K30" s="840"/>
      <c r="L30" s="840"/>
      <c r="M30" s="840"/>
      <c r="N30" s="840"/>
      <c r="O30" s="840"/>
      <c r="P30" s="840"/>
      <c r="Q30" s="840" t="str">
        <f>$B$2&amp;" Baseline Energy Use (mmBTU) by Curtailment Regime and AQCZ"</f>
        <v>2025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1.0270069618497382</v>
      </c>
      <c r="D32" s="133">
        <f ca="1">(D26-D33)*AQCZSplits!$F$5</f>
        <v>1.0270069618497382</v>
      </c>
      <c r="E32" s="133">
        <f ca="1">(E26-E33)*AQCZSplits!$F$5</f>
        <v>1.0270069618497382</v>
      </c>
      <c r="F32" s="551" t="s">
        <v>336</v>
      </c>
      <c r="G32" s="133">
        <f ca="1">(G26-G33)*AQCZSplits!$F$5</f>
        <v>1.0270069618497382</v>
      </c>
      <c r="H32" s="133">
        <f ca="1">(H26-H33)*AQCZSplits!$F$5</f>
        <v>1.0270069618497382</v>
      </c>
      <c r="I32" s="551" t="s">
        <v>336</v>
      </c>
      <c r="J32" s="133">
        <f ca="1">(J26-J33)*AQCZSplits!$F$5</f>
        <v>1.8756706268383778</v>
      </c>
      <c r="K32" s="133">
        <f ca="1">(K26-K33)*AQCZSplits!$F$5</f>
        <v>1.8756706268383778</v>
      </c>
      <c r="L32" s="133">
        <f ca="1">(L26-L33)*AQCZSplits!$F$5</f>
        <v>1.8756706268383778</v>
      </c>
      <c r="M32" s="551" t="s">
        <v>336</v>
      </c>
      <c r="N32" s="133">
        <f ca="1">(N26-N33)*AQCZSplits!$F$5</f>
        <v>1.8756706268383778</v>
      </c>
      <c r="O32" s="133">
        <f ca="1">(O26-O33)*AQCZSplits!$F$5</f>
        <v>1.8756706268383778</v>
      </c>
      <c r="P32" s="551" t="s">
        <v>336</v>
      </c>
      <c r="Q32" s="45">
        <f ca="1">(Q26-Q33)*AQCZSplits!$F$5</f>
        <v>24626.308959479447</v>
      </c>
      <c r="R32" s="45">
        <f ca="1">(R26-R33)*AQCZSplits!$F$5</f>
        <v>24626.308959479447</v>
      </c>
      <c r="S32" s="45">
        <f ca="1">(S26-S33)*AQCZSplits!$F$5</f>
        <v>24626.308959479447</v>
      </c>
      <c r="T32" s="551" t="s">
        <v>336</v>
      </c>
      <c r="U32" s="45">
        <f ca="1">(U26-U33)*AQCZSplits!$F$5</f>
        <v>24626.308959479447</v>
      </c>
      <c r="V32" s="45">
        <f ca="1">(V26-V33)*AQCZSplits!$F$5</f>
        <v>24626.308959479447</v>
      </c>
      <c r="W32" s="551" t="s">
        <v>336</v>
      </c>
    </row>
    <row r="33" spans="1:23" ht="15.75" thickBot="1" x14ac:dyDescent="0.3">
      <c r="A33" s="6" t="s">
        <v>754</v>
      </c>
      <c r="B33" s="6" t="s">
        <v>755</v>
      </c>
      <c r="C33" s="544">
        <f ca="1">SUMIFS(INDIRECT("'ZipOutNA-"&amp;$B$2&amp;"BSR'!$J$5:$J$669"),INDIRECT("'ZipOutNA-"&amp;$B$2&amp;"BSR'!$D$5:$D$669"),99705)/35</f>
        <v>1.1211503885912466</v>
      </c>
      <c r="D33" s="544">
        <f ca="1">SUMIFS(INDIRECT("'ZipOutNA-"&amp;$B$2&amp;"BSR'!$J$5:$J$669"),INDIRECT("'ZipOutNA-"&amp;$B$2&amp;"BSR'!$D$5:$D$669"),99705)/35</f>
        <v>1.1211503885912466</v>
      </c>
      <c r="E33" s="544">
        <f ca="1">SUMIFS(INDIRECT("'ZipOutNA-"&amp;$B$2&amp;"BSR'!$J$5:$J$669"),INDIRECT("'ZipOutNA-"&amp;$B$2&amp;"BSR'!$D$5:$D$669"),99705)/35</f>
        <v>1.1211503885912466</v>
      </c>
      <c r="F33" s="542" t="s">
        <v>336</v>
      </c>
      <c r="G33" s="544">
        <f ca="1">SUMIFS(INDIRECT("'ZipOutNA-"&amp;$B$2&amp;"BSR'!$J$5:$J$669"),INDIRECT("'ZipOutNA-"&amp;$B$2&amp;"BSR'!$D$5:$D$669"),99705)/35</f>
        <v>1.1211503885912466</v>
      </c>
      <c r="H33" s="544">
        <f ca="1">SUMIFS(INDIRECT("'ZipOutNA-"&amp;$B$2&amp;"BSR'!$J$5:$J$669"),INDIRECT("'ZipOutNA-"&amp;$B$2&amp;"BSR'!$D$5:$D$669"),99705)/35</f>
        <v>1.1211503885912466</v>
      </c>
      <c r="I33" s="542" t="s">
        <v>336</v>
      </c>
      <c r="J33" s="544">
        <f ca="1">SUMIFS(INDIRECT("'ZipOutNA-"&amp;$B$2&amp;"BSR'!$H$5:$H$669"),INDIRECT("'ZipOutNA-"&amp;$B$2&amp;"BSR'!$D$5:$D$669"),99705)/35</f>
        <v>1.254341627580406</v>
      </c>
      <c r="K33" s="544">
        <f ca="1">SUMIFS(INDIRECT("'ZipOutNA-"&amp;$B$2&amp;"BSR'!$H$5:$H$669"),INDIRECT("'ZipOutNA-"&amp;$B$2&amp;"BSR'!$D$5:$D$669"),99705)/35</f>
        <v>1.254341627580406</v>
      </c>
      <c r="L33" s="544">
        <f ca="1">SUMIFS(INDIRECT("'ZipOutNA-"&amp;$B$2&amp;"BSR'!$H$5:$H$669"),INDIRECT("'ZipOutNA-"&amp;$B$2&amp;"BSR'!$D$5:$D$669"),99705)/35</f>
        <v>1.254341627580406</v>
      </c>
      <c r="M33" s="542" t="s">
        <v>336</v>
      </c>
      <c r="N33" s="544">
        <f ca="1">SUMIFS(INDIRECT("'ZipOutNA-"&amp;$B$2&amp;"BSR'!$H$5:$H$669"),INDIRECT("'ZipOutNA-"&amp;$B$2&amp;"BSR'!$D$5:$D$669"),99705)/35</f>
        <v>1.254341627580406</v>
      </c>
      <c r="O33" s="544">
        <f ca="1">SUMIFS(INDIRECT("'ZipOutNA-"&amp;$B$2&amp;"BSR'!$H$5:$H$669"),INDIRECT("'ZipOutNA-"&amp;$B$2&amp;"BSR'!$D$5:$D$669"),99705)/35</f>
        <v>1.254341627580406</v>
      </c>
      <c r="P33" s="542" t="s">
        <v>336</v>
      </c>
      <c r="Q33" s="567">
        <f ca="1">SUMIFS(INDIRECT("'ZipOutNA-"&amp;$B$2&amp;"BSR'!$M$5:$M$669"),INDIRECT("'ZipOutNA-"&amp;$B$2&amp;"BSR'!$D$5:$D$669"),99705)/35</f>
        <v>15324.359770648587</v>
      </c>
      <c r="R33" s="567">
        <f ca="1">SUMIFS(INDIRECT("'ZipOutNA-"&amp;$B$2&amp;"BSR'!$M$5:$M$669"),INDIRECT("'ZipOutNA-"&amp;$B$2&amp;"BSR'!$D$5:$D$669"),99705)/35</f>
        <v>15324.359770648587</v>
      </c>
      <c r="S33" s="567">
        <f ca="1">SUMIFS(INDIRECT("'ZipOutNA-"&amp;$B$2&amp;"BSR'!$M$5:$M$669"),INDIRECT("'ZipOutNA-"&amp;$B$2&amp;"BSR'!$D$5:$D$669"),99705)/35</f>
        <v>15324.359770648587</v>
      </c>
      <c r="T33" s="542" t="s">
        <v>336</v>
      </c>
      <c r="U33" s="567">
        <f ca="1">SUMIFS(INDIRECT("'ZipOutNA-"&amp;$B$2&amp;"BSR'!$M$5:$M$669"),INDIRECT("'ZipOutNA-"&amp;$B$2&amp;"BSR'!$D$5:$D$669"),99705)/35</f>
        <v>15324.359770648587</v>
      </c>
      <c r="V33" s="567">
        <f ca="1">SUMIFS(INDIRECT("'ZipOutNA-"&amp;$B$2&amp;"BSR'!$M$5:$M$669"),INDIRECT("'ZipOutNA-"&amp;$B$2&amp;"BSR'!$D$5:$D$669"),99705)/35</f>
        <v>15324.359770648587</v>
      </c>
      <c r="W33" s="542" t="s">
        <v>336</v>
      </c>
    </row>
    <row r="34" spans="1:23" ht="15.75" thickTop="1" x14ac:dyDescent="0.25">
      <c r="C34" s="137">
        <f ca="1">SUM(C32:C33)</f>
        <v>2.148157350440985</v>
      </c>
      <c r="D34" s="137">
        <f ca="1">SUM(D32:D33)</f>
        <v>2.148157350440985</v>
      </c>
      <c r="E34" s="137">
        <f ca="1">SUM(E32:E33)</f>
        <v>2.148157350440985</v>
      </c>
      <c r="F34" s="566" t="s">
        <v>336</v>
      </c>
      <c r="G34" s="137">
        <f ca="1">SUM(G32:G33)</f>
        <v>2.148157350440985</v>
      </c>
      <c r="H34" s="137">
        <f ca="1">SUM(H32:H33)</f>
        <v>2.148157350440985</v>
      </c>
      <c r="I34" s="566" t="s">
        <v>336</v>
      </c>
      <c r="J34" s="137">
        <f ca="1">SUM(J32:J33)</f>
        <v>3.1300122544187836</v>
      </c>
      <c r="K34" s="137">
        <f ca="1">SUM(K32:K33)</f>
        <v>3.1300122544187836</v>
      </c>
      <c r="L34" s="137">
        <f ca="1">SUM(L32:L33)</f>
        <v>3.1300122544187836</v>
      </c>
      <c r="M34" s="566" t="s">
        <v>336</v>
      </c>
      <c r="N34" s="137">
        <f ca="1">SUM(N32:N33)</f>
        <v>3.1300122544187836</v>
      </c>
      <c r="O34" s="137">
        <f ca="1">SUM(O32:O33)</f>
        <v>3.1300122544187836</v>
      </c>
      <c r="P34" s="566" t="s">
        <v>336</v>
      </c>
      <c r="Q34" s="87">
        <f ca="1">SUM(Q32:Q33)</f>
        <v>39950.668730128033</v>
      </c>
      <c r="R34" s="87">
        <f ca="1">SUM(R32:R33)</f>
        <v>39950.668730128033</v>
      </c>
      <c r="S34" s="87">
        <f ca="1">SUM(S32:S33)</f>
        <v>39950.668730128033</v>
      </c>
      <c r="T34" s="566" t="s">
        <v>336</v>
      </c>
      <c r="U34" s="87">
        <f ca="1">SUM(U32:U33)</f>
        <v>39950.668730128033</v>
      </c>
      <c r="V34" s="87">
        <f ca="1">SUM(V32:V33)</f>
        <v>39950.668730128033</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2025 Baseline NA Area PM2.5 Emissions (tpd) by Curtailment Regime</v>
      </c>
      <c r="D38" s="840"/>
      <c r="E38" s="840"/>
      <c r="F38" s="840"/>
      <c r="G38" s="840"/>
      <c r="H38" s="840"/>
      <c r="I38" s="840"/>
      <c r="J38" s="840" t="str">
        <f>J4</f>
        <v>2025 Baseline NA Area SO2 Emissions (tpd) by Curtailment Regime</v>
      </c>
      <c r="K38" s="840"/>
      <c r="L38" s="840"/>
      <c r="M38" s="840"/>
      <c r="N38" s="840"/>
      <c r="O38" s="840"/>
      <c r="P38" s="840"/>
      <c r="Q38" s="840" t="str">
        <f>Q4</f>
        <v>2025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0.25893206856823164</v>
      </c>
      <c r="D40" s="133">
        <f t="shared" ca="1" si="3"/>
        <v>0.25893206856823164</v>
      </c>
      <c r="E40" s="133">
        <f t="shared" ca="1" si="3"/>
        <v>0.25893206856823164</v>
      </c>
      <c r="F40" s="551" t="s">
        <v>336</v>
      </c>
      <c r="G40" s="575">
        <f t="shared" ref="G40:H55" ca="1" si="4">G6*G$32/G$26</f>
        <v>0.25893206856823164</v>
      </c>
      <c r="H40" s="575">
        <f t="shared" ca="1" si="4"/>
        <v>0.25893206856823164</v>
      </c>
      <c r="I40" s="574" t="s">
        <v>336</v>
      </c>
      <c r="J40" s="133">
        <f t="shared" ref="J40:L55" ca="1" si="5">J6*J$32/J$26</f>
        <v>3.560114126845352E-3</v>
      </c>
      <c r="K40" s="133">
        <f t="shared" ca="1" si="5"/>
        <v>3.560114126845352E-3</v>
      </c>
      <c r="L40" s="133">
        <f t="shared" ca="1" si="5"/>
        <v>3.560114126845352E-3</v>
      </c>
      <c r="M40" s="551" t="s">
        <v>336</v>
      </c>
      <c r="N40" s="575">
        <f t="shared" ref="N40:O55" ca="1" si="6">N6*N$32/N$26</f>
        <v>3.560114126845352E-3</v>
      </c>
      <c r="O40" s="575">
        <f t="shared" ca="1" si="6"/>
        <v>3.560114126845352E-3</v>
      </c>
      <c r="P40" s="574" t="s">
        <v>336</v>
      </c>
      <c r="Q40" s="45">
        <f t="shared" ref="Q40:S55" ca="1" si="7">Q6*Q$32/Q$26</f>
        <v>291.91305182207907</v>
      </c>
      <c r="R40" s="45">
        <f t="shared" ca="1" si="7"/>
        <v>291.91305182207907</v>
      </c>
      <c r="S40" s="45">
        <f t="shared" ca="1" si="7"/>
        <v>291.91305182207907</v>
      </c>
      <c r="T40" s="581" t="s">
        <v>336</v>
      </c>
      <c r="U40" s="573">
        <f t="shared" ref="U40:V55" ca="1" si="8">U6*U$32/U$26</f>
        <v>291.91305182207907</v>
      </c>
      <c r="V40" s="573">
        <f t="shared" ca="1" si="8"/>
        <v>291.91305182207907</v>
      </c>
      <c r="W40" s="574" t="s">
        <v>336</v>
      </c>
    </row>
    <row r="41" spans="1:23" x14ac:dyDescent="0.25">
      <c r="A41" s="812" t="str">
        <f t="shared" ref="A41:A58" si="9">A40</f>
        <v>FB</v>
      </c>
      <c r="B41" s="812" t="s">
        <v>138</v>
      </c>
      <c r="C41" s="133">
        <f t="shared" ca="1" si="3"/>
        <v>2.0208111514162023E-2</v>
      </c>
      <c r="D41" s="133">
        <f t="shared" ca="1" si="3"/>
        <v>2.0208111514162023E-2</v>
      </c>
      <c r="E41" s="133">
        <f t="shared" ca="1" si="3"/>
        <v>2.0208111514162023E-2</v>
      </c>
      <c r="F41" s="551" t="s">
        <v>336</v>
      </c>
      <c r="G41" s="575">
        <f t="shared" ca="1" si="4"/>
        <v>2.0208111514162023E-2</v>
      </c>
      <c r="H41" s="575">
        <f t="shared" ca="1" si="4"/>
        <v>2.0208111514162023E-2</v>
      </c>
      <c r="I41" s="574" t="s">
        <v>336</v>
      </c>
      <c r="J41" s="133">
        <f t="shared" ca="1" si="5"/>
        <v>3.1416549294840967E-4</v>
      </c>
      <c r="K41" s="133">
        <f t="shared" ca="1" si="5"/>
        <v>3.1416549294840967E-4</v>
      </c>
      <c r="L41" s="133">
        <f t="shared" ca="1" si="5"/>
        <v>3.1416549294840967E-4</v>
      </c>
      <c r="M41" s="551" t="s">
        <v>336</v>
      </c>
      <c r="N41" s="575">
        <f t="shared" ca="1" si="6"/>
        <v>3.1416549294840967E-4</v>
      </c>
      <c r="O41" s="575">
        <f t="shared" ca="1" si="6"/>
        <v>3.1416549294840967E-4</v>
      </c>
      <c r="P41" s="574" t="s">
        <v>336</v>
      </c>
      <c r="Q41" s="45">
        <f t="shared" ca="1" si="7"/>
        <v>25.755541949722311</v>
      </c>
      <c r="R41" s="45">
        <f t="shared" ca="1" si="7"/>
        <v>25.755541949722311</v>
      </c>
      <c r="S41" s="45">
        <f t="shared" ca="1" si="7"/>
        <v>25.755541949722311</v>
      </c>
      <c r="T41" s="581" t="s">
        <v>336</v>
      </c>
      <c r="U41" s="573">
        <f t="shared" ca="1" si="8"/>
        <v>25.755541949722311</v>
      </c>
      <c r="V41" s="573">
        <f t="shared" ca="1" si="8"/>
        <v>25.755541949722311</v>
      </c>
      <c r="W41" s="574" t="s">
        <v>336</v>
      </c>
    </row>
    <row r="42" spans="1:23" x14ac:dyDescent="0.25">
      <c r="A42" s="812" t="str">
        <f t="shared" si="9"/>
        <v>FB</v>
      </c>
      <c r="B42" s="812" t="s">
        <v>139</v>
      </c>
      <c r="C42" s="133">
        <f t="shared" ca="1" si="3"/>
        <v>1.6684897066908962E-2</v>
      </c>
      <c r="D42" s="133">
        <f t="shared" ca="1" si="3"/>
        <v>1.6684897066908962E-2</v>
      </c>
      <c r="E42" s="133">
        <f t="shared" ca="1" si="3"/>
        <v>1.6684897066908962E-2</v>
      </c>
      <c r="F42" s="551" t="s">
        <v>336</v>
      </c>
      <c r="G42" s="575">
        <f t="shared" ca="1" si="4"/>
        <v>1.6684897066908962E-2</v>
      </c>
      <c r="H42" s="575">
        <f t="shared" ca="1" si="4"/>
        <v>1.6684897066908962E-2</v>
      </c>
      <c r="I42" s="574" t="s">
        <v>336</v>
      </c>
      <c r="J42" s="133">
        <f t="shared" ca="1" si="5"/>
        <v>6.6144915202842277E-4</v>
      </c>
      <c r="K42" s="133">
        <f t="shared" ca="1" si="5"/>
        <v>6.6144915202842277E-4</v>
      </c>
      <c r="L42" s="133">
        <f t="shared" ca="1" si="5"/>
        <v>6.6144915202842277E-4</v>
      </c>
      <c r="M42" s="551" t="s">
        <v>336</v>
      </c>
      <c r="N42" s="575">
        <f t="shared" ca="1" si="6"/>
        <v>6.6144915202842277E-4</v>
      </c>
      <c r="O42" s="575">
        <f t="shared" ca="1" si="6"/>
        <v>6.6144915202842277E-4</v>
      </c>
      <c r="P42" s="574" t="s">
        <v>336</v>
      </c>
      <c r="Q42" s="45">
        <f t="shared" ca="1" si="7"/>
        <v>54.226138022974496</v>
      </c>
      <c r="R42" s="45">
        <f t="shared" ca="1" si="7"/>
        <v>54.226138022974496</v>
      </c>
      <c r="S42" s="45">
        <f t="shared" ca="1" si="7"/>
        <v>54.226138022974496</v>
      </c>
      <c r="T42" s="581" t="s">
        <v>336</v>
      </c>
      <c r="U42" s="573">
        <f t="shared" ca="1" si="8"/>
        <v>54.226138022974496</v>
      </c>
      <c r="V42" s="573">
        <f t="shared" ca="1" si="8"/>
        <v>54.226138022974496</v>
      </c>
      <c r="W42" s="574" t="s">
        <v>336</v>
      </c>
    </row>
    <row r="43" spans="1:23" x14ac:dyDescent="0.25">
      <c r="A43" s="812" t="str">
        <f t="shared" si="9"/>
        <v>FB</v>
      </c>
      <c r="B43" s="812" t="s">
        <v>140</v>
      </c>
      <c r="C43" s="133">
        <f t="shared" ca="1" si="3"/>
        <v>1.0882657141605818E-2</v>
      </c>
      <c r="D43" s="133">
        <f t="shared" ca="1" si="3"/>
        <v>1.0882657141605818E-2</v>
      </c>
      <c r="E43" s="133">
        <f t="shared" ca="1" si="3"/>
        <v>1.0882657141605818E-2</v>
      </c>
      <c r="F43" s="551" t="s">
        <v>336</v>
      </c>
      <c r="G43" s="575">
        <f t="shared" ca="1" si="4"/>
        <v>1.0882657141605818E-2</v>
      </c>
      <c r="H43" s="575">
        <f t="shared" ca="1" si="4"/>
        <v>1.0882657141605818E-2</v>
      </c>
      <c r="I43" s="574" t="s">
        <v>336</v>
      </c>
      <c r="J43" s="133">
        <f t="shared" ca="1" si="5"/>
        <v>3.9824081950916578E-4</v>
      </c>
      <c r="K43" s="133">
        <f t="shared" ca="1" si="5"/>
        <v>3.9824081950916578E-4</v>
      </c>
      <c r="L43" s="133">
        <f t="shared" ca="1" si="5"/>
        <v>3.9824081950916578E-4</v>
      </c>
      <c r="M43" s="551" t="s">
        <v>336</v>
      </c>
      <c r="N43" s="575">
        <f t="shared" ca="1" si="6"/>
        <v>3.9824081950916578E-4</v>
      </c>
      <c r="O43" s="575">
        <f t="shared" ca="1" si="6"/>
        <v>3.9824081950916578E-4</v>
      </c>
      <c r="P43" s="574" t="s">
        <v>336</v>
      </c>
      <c r="Q43" s="45">
        <f t="shared" ca="1" si="7"/>
        <v>32.648105419535774</v>
      </c>
      <c r="R43" s="45">
        <f t="shared" ca="1" si="7"/>
        <v>32.648105419535774</v>
      </c>
      <c r="S43" s="45">
        <f t="shared" ca="1" si="7"/>
        <v>32.648105419535774</v>
      </c>
      <c r="T43" s="581" t="s">
        <v>336</v>
      </c>
      <c r="U43" s="573">
        <f t="shared" ca="1" si="8"/>
        <v>32.648105419535774</v>
      </c>
      <c r="V43" s="573">
        <f t="shared" ca="1" si="8"/>
        <v>32.648105419535774</v>
      </c>
      <c r="W43" s="574" t="s">
        <v>336</v>
      </c>
    </row>
    <row r="44" spans="1:23" x14ac:dyDescent="0.25">
      <c r="A44" s="812" t="str">
        <f t="shared" si="9"/>
        <v>FB</v>
      </c>
      <c r="B44" s="812" t="s">
        <v>141</v>
      </c>
      <c r="C44" s="133">
        <f t="shared" ca="1" si="3"/>
        <v>0.16273012623865676</v>
      </c>
      <c r="D44" s="133">
        <f t="shared" ca="1" si="3"/>
        <v>0.16273012623865676</v>
      </c>
      <c r="E44" s="133">
        <f t="shared" ca="1" si="3"/>
        <v>0.16273012623865676</v>
      </c>
      <c r="F44" s="551" t="s">
        <v>336</v>
      </c>
      <c r="G44" s="575">
        <f t="shared" ca="1" si="4"/>
        <v>0.16273012623865676</v>
      </c>
      <c r="H44" s="575">
        <f t="shared" ca="1" si="4"/>
        <v>0.16273012623865676</v>
      </c>
      <c r="I44" s="574" t="s">
        <v>336</v>
      </c>
      <c r="J44" s="133">
        <f t="shared" ca="1" si="5"/>
        <v>6.3757438418927696E-3</v>
      </c>
      <c r="K44" s="133">
        <f t="shared" ca="1" si="5"/>
        <v>6.3757438418927696E-3</v>
      </c>
      <c r="L44" s="133">
        <f t="shared" ca="1" si="5"/>
        <v>6.3757438418927696E-3</v>
      </c>
      <c r="M44" s="551" t="s">
        <v>336</v>
      </c>
      <c r="N44" s="575">
        <f t="shared" ca="1" si="6"/>
        <v>6.3757438418927696E-3</v>
      </c>
      <c r="O44" s="575">
        <f t="shared" ca="1" si="6"/>
        <v>6.3757438418927696E-3</v>
      </c>
      <c r="P44" s="574" t="s">
        <v>336</v>
      </c>
      <c r="Q44" s="45">
        <f t="shared" ca="1" si="7"/>
        <v>522.68865189315511</v>
      </c>
      <c r="R44" s="45">
        <f t="shared" ca="1" si="7"/>
        <v>522.68865189315511</v>
      </c>
      <c r="S44" s="45">
        <f t="shared" ca="1" si="7"/>
        <v>522.68865189315511</v>
      </c>
      <c r="T44" s="581" t="s">
        <v>336</v>
      </c>
      <c r="U44" s="573">
        <f t="shared" ca="1" si="8"/>
        <v>522.68865189315511</v>
      </c>
      <c r="V44" s="573">
        <f t="shared" ca="1" si="8"/>
        <v>522.68865189315511</v>
      </c>
      <c r="W44" s="574" t="s">
        <v>336</v>
      </c>
    </row>
    <row r="45" spans="1:23" x14ac:dyDescent="0.25">
      <c r="A45" s="812" t="str">
        <f t="shared" si="9"/>
        <v>FB</v>
      </c>
      <c r="B45" s="812" t="s">
        <v>142</v>
      </c>
      <c r="C45" s="133">
        <f t="shared" ca="1" si="3"/>
        <v>0.2236252295335158</v>
      </c>
      <c r="D45" s="133">
        <f t="shared" ca="1" si="3"/>
        <v>0.2236252295335158</v>
      </c>
      <c r="E45" s="133">
        <f t="shared" ca="1" si="3"/>
        <v>0.2236252295335158</v>
      </c>
      <c r="F45" s="551" t="s">
        <v>336</v>
      </c>
      <c r="G45" s="575">
        <f t="shared" ca="1" si="4"/>
        <v>0.2236252295335158</v>
      </c>
      <c r="H45" s="575">
        <f t="shared" ca="1" si="4"/>
        <v>0.2236252295335158</v>
      </c>
      <c r="I45" s="574" t="s">
        <v>336</v>
      </c>
      <c r="J45" s="133">
        <f t="shared" ca="1" si="5"/>
        <v>1.3423595055561802E-2</v>
      </c>
      <c r="K45" s="133">
        <f t="shared" ca="1" si="5"/>
        <v>1.3423595055561802E-2</v>
      </c>
      <c r="L45" s="133">
        <f t="shared" ca="1" si="5"/>
        <v>1.3423595055561802E-2</v>
      </c>
      <c r="M45" s="551" t="s">
        <v>336</v>
      </c>
      <c r="N45" s="575">
        <f t="shared" ca="1" si="6"/>
        <v>1.3423595055561802E-2</v>
      </c>
      <c r="O45" s="575">
        <f t="shared" ca="1" si="6"/>
        <v>1.3423595055561802E-2</v>
      </c>
      <c r="P45" s="574" t="s">
        <v>336</v>
      </c>
      <c r="Q45" s="45">
        <f t="shared" ca="1" si="7"/>
        <v>1100.4772113097122</v>
      </c>
      <c r="R45" s="45">
        <f t="shared" ca="1" si="7"/>
        <v>1100.4772113097122</v>
      </c>
      <c r="S45" s="45">
        <f t="shared" ca="1" si="7"/>
        <v>1100.4772113097122</v>
      </c>
      <c r="T45" s="581" t="s">
        <v>336</v>
      </c>
      <c r="U45" s="573">
        <f t="shared" ca="1" si="8"/>
        <v>1100.4772113097122</v>
      </c>
      <c r="V45" s="573">
        <f t="shared" ca="1" si="8"/>
        <v>1100.4772113097122</v>
      </c>
      <c r="W45" s="574" t="s">
        <v>336</v>
      </c>
    </row>
    <row r="46" spans="1:23" x14ac:dyDescent="0.25">
      <c r="A46" s="812" t="str">
        <f t="shared" si="9"/>
        <v>FB</v>
      </c>
      <c r="B46" s="812" t="s">
        <v>143</v>
      </c>
      <c r="C46" s="133">
        <f t="shared" ca="1" si="3"/>
        <v>0.14939369434767846</v>
      </c>
      <c r="D46" s="133">
        <f t="shared" ca="1" si="3"/>
        <v>0.14939369434767846</v>
      </c>
      <c r="E46" s="133">
        <f t="shared" ca="1" si="3"/>
        <v>0.14939369434767846</v>
      </c>
      <c r="F46" s="551" t="s">
        <v>336</v>
      </c>
      <c r="G46" s="575">
        <f t="shared" ca="1" si="4"/>
        <v>0.14939369434767846</v>
      </c>
      <c r="H46" s="575">
        <f t="shared" ca="1" si="4"/>
        <v>0.14939369434767846</v>
      </c>
      <c r="I46" s="574" t="s">
        <v>336</v>
      </c>
      <c r="J46" s="133">
        <f t="shared" ca="1" si="5"/>
        <v>8.081987072313012E-3</v>
      </c>
      <c r="K46" s="133">
        <f t="shared" ca="1" si="5"/>
        <v>8.081987072313012E-3</v>
      </c>
      <c r="L46" s="133">
        <f t="shared" ca="1" si="5"/>
        <v>8.081987072313012E-3</v>
      </c>
      <c r="M46" s="551" t="s">
        <v>336</v>
      </c>
      <c r="N46" s="575">
        <f t="shared" ca="1" si="6"/>
        <v>8.081987072313012E-3</v>
      </c>
      <c r="O46" s="575">
        <f t="shared" ca="1" si="6"/>
        <v>8.081987072313012E-3</v>
      </c>
      <c r="P46" s="574" t="s">
        <v>336</v>
      </c>
      <c r="Q46" s="45">
        <f t="shared" ca="1" si="7"/>
        <v>662.56785595562917</v>
      </c>
      <c r="R46" s="45">
        <f t="shared" ca="1" si="7"/>
        <v>662.56785595562917</v>
      </c>
      <c r="S46" s="45">
        <f t="shared" ca="1" si="7"/>
        <v>662.56785595562917</v>
      </c>
      <c r="T46" s="581" t="s">
        <v>336</v>
      </c>
      <c r="U46" s="573">
        <f t="shared" ca="1" si="8"/>
        <v>662.56785595562917</v>
      </c>
      <c r="V46" s="573">
        <f t="shared" ca="1" si="8"/>
        <v>662.56785595562917</v>
      </c>
      <c r="W46" s="574" t="s">
        <v>336</v>
      </c>
    </row>
    <row r="47" spans="1:23" x14ac:dyDescent="0.25">
      <c r="A47" s="812" t="str">
        <f t="shared" si="9"/>
        <v>FB</v>
      </c>
      <c r="B47" s="812" t="s">
        <v>144</v>
      </c>
      <c r="C47" s="133">
        <f t="shared" ca="1" si="3"/>
        <v>5.5124321637924269E-3</v>
      </c>
      <c r="D47" s="133">
        <f t="shared" ca="1" si="3"/>
        <v>5.5124321637924269E-3</v>
      </c>
      <c r="E47" s="133">
        <f t="shared" ca="1" si="3"/>
        <v>5.5124321637924269E-3</v>
      </c>
      <c r="F47" s="551" t="s">
        <v>336</v>
      </c>
      <c r="G47" s="575">
        <f t="shared" ca="1" si="4"/>
        <v>5.5124321637924269E-3</v>
      </c>
      <c r="H47" s="575">
        <f t="shared" ca="1" si="4"/>
        <v>5.5124321637924269E-3</v>
      </c>
      <c r="I47" s="574" t="s">
        <v>336</v>
      </c>
      <c r="J47" s="133">
        <f t="shared" ca="1" si="5"/>
        <v>7.087543090988378E-4</v>
      </c>
      <c r="K47" s="133">
        <f t="shared" ca="1" si="5"/>
        <v>7.087543090988378E-4</v>
      </c>
      <c r="L47" s="133">
        <f t="shared" ca="1" si="5"/>
        <v>7.087543090988378E-4</v>
      </c>
      <c r="M47" s="551" t="s">
        <v>336</v>
      </c>
      <c r="N47" s="575">
        <f t="shared" ca="1" si="6"/>
        <v>7.087543090988378E-4</v>
      </c>
      <c r="O47" s="575">
        <f t="shared" ca="1" si="6"/>
        <v>7.087543090988378E-4</v>
      </c>
      <c r="P47" s="574" t="s">
        <v>336</v>
      </c>
      <c r="Q47" s="45">
        <f t="shared" ca="1" si="7"/>
        <v>69.387149527792829</v>
      </c>
      <c r="R47" s="45">
        <f t="shared" ca="1" si="7"/>
        <v>69.387149527792829</v>
      </c>
      <c r="S47" s="45">
        <f t="shared" ca="1" si="7"/>
        <v>69.387149527792829</v>
      </c>
      <c r="T47" s="581" t="s">
        <v>336</v>
      </c>
      <c r="U47" s="573">
        <f t="shared" ca="1" si="8"/>
        <v>69.387149527792829</v>
      </c>
      <c r="V47" s="573">
        <f t="shared" ca="1" si="8"/>
        <v>69.387149527792829</v>
      </c>
      <c r="W47" s="574" t="s">
        <v>336</v>
      </c>
    </row>
    <row r="48" spans="1:23" x14ac:dyDescent="0.25">
      <c r="A48" s="812" t="str">
        <f t="shared" si="9"/>
        <v>FB</v>
      </c>
      <c r="B48" s="812" t="s">
        <v>145</v>
      </c>
      <c r="C48" s="133">
        <f t="shared" ca="1" si="3"/>
        <v>1.8593605007127031E-2</v>
      </c>
      <c r="D48" s="133">
        <f t="shared" ca="1" si="3"/>
        <v>1.8593605007127031E-2</v>
      </c>
      <c r="E48" s="133">
        <f t="shared" ca="1" si="3"/>
        <v>1.8593605007127031E-2</v>
      </c>
      <c r="F48" s="551" t="s">
        <v>336</v>
      </c>
      <c r="G48" s="575">
        <f t="shared" ca="1" si="4"/>
        <v>1.8593605007127031E-2</v>
      </c>
      <c r="H48" s="575">
        <f t="shared" ca="1" si="4"/>
        <v>1.8593605007127031E-2</v>
      </c>
      <c r="I48" s="574" t="s">
        <v>336</v>
      </c>
      <c r="J48" s="133">
        <f t="shared" ca="1" si="5"/>
        <v>2.3906503116795986E-3</v>
      </c>
      <c r="K48" s="133">
        <f t="shared" ca="1" si="5"/>
        <v>2.3906503116795986E-3</v>
      </c>
      <c r="L48" s="133">
        <f t="shared" ca="1" si="5"/>
        <v>2.3906503116795986E-3</v>
      </c>
      <c r="M48" s="551" t="s">
        <v>336</v>
      </c>
      <c r="N48" s="575">
        <f t="shared" ca="1" si="6"/>
        <v>2.3906503116795986E-3</v>
      </c>
      <c r="O48" s="575">
        <f t="shared" ca="1" si="6"/>
        <v>2.3906503116795986E-3</v>
      </c>
      <c r="P48" s="574" t="s">
        <v>336</v>
      </c>
      <c r="Q48" s="45">
        <f t="shared" ca="1" si="7"/>
        <v>234.04501181247051</v>
      </c>
      <c r="R48" s="45">
        <f t="shared" ca="1" si="7"/>
        <v>234.04501181247051</v>
      </c>
      <c r="S48" s="45">
        <f t="shared" ca="1" si="7"/>
        <v>234.04501181247051</v>
      </c>
      <c r="T48" s="581" t="s">
        <v>336</v>
      </c>
      <c r="U48" s="573">
        <f t="shared" ca="1" si="8"/>
        <v>234.04501181247051</v>
      </c>
      <c r="V48" s="573">
        <f t="shared" ca="1" si="8"/>
        <v>234.04501181247051</v>
      </c>
      <c r="W48" s="574" t="s">
        <v>336</v>
      </c>
    </row>
    <row r="49" spans="1:23" x14ac:dyDescent="0.25">
      <c r="A49" s="812" t="str">
        <f t="shared" si="9"/>
        <v>FB</v>
      </c>
      <c r="B49" s="812" t="s">
        <v>146</v>
      </c>
      <c r="C49" s="133">
        <f t="shared" ca="1" si="3"/>
        <v>9.2380131856056202E-2</v>
      </c>
      <c r="D49" s="133">
        <f t="shared" ca="1" si="3"/>
        <v>9.2380131856056202E-2</v>
      </c>
      <c r="E49" s="133">
        <f t="shared" ca="1" si="3"/>
        <v>9.2380131856056202E-2</v>
      </c>
      <c r="F49" s="551" t="s">
        <v>336</v>
      </c>
      <c r="G49" s="575">
        <f t="shared" ca="1" si="4"/>
        <v>9.2380131856056202E-2</v>
      </c>
      <c r="H49" s="575">
        <f t="shared" ca="1" si="4"/>
        <v>9.2380131856056202E-2</v>
      </c>
      <c r="I49" s="574" t="s">
        <v>336</v>
      </c>
      <c r="J49" s="133">
        <f t="shared" ca="1" si="5"/>
        <v>4.4525510941441915E-3</v>
      </c>
      <c r="K49" s="133">
        <f t="shared" ca="1" si="5"/>
        <v>4.4525510941441915E-3</v>
      </c>
      <c r="L49" s="133">
        <f t="shared" ca="1" si="5"/>
        <v>4.4525510941441915E-3</v>
      </c>
      <c r="M49" s="551" t="s">
        <v>336</v>
      </c>
      <c r="N49" s="575">
        <f t="shared" ca="1" si="6"/>
        <v>4.4525510941441915E-3</v>
      </c>
      <c r="O49" s="575">
        <f t="shared" ca="1" si="6"/>
        <v>4.4525510941441915E-3</v>
      </c>
      <c r="P49" s="574" t="s">
        <v>336</v>
      </c>
      <c r="Q49" s="45">
        <f t="shared" ca="1" si="7"/>
        <v>364.8984489691814</v>
      </c>
      <c r="R49" s="45">
        <f t="shared" ca="1" si="7"/>
        <v>364.8984489691814</v>
      </c>
      <c r="S49" s="45">
        <f t="shared" ca="1" si="7"/>
        <v>364.8984489691814</v>
      </c>
      <c r="T49" s="581" t="s">
        <v>336</v>
      </c>
      <c r="U49" s="573">
        <f t="shared" ca="1" si="8"/>
        <v>364.8984489691814</v>
      </c>
      <c r="V49" s="573">
        <f t="shared" ca="1" si="8"/>
        <v>364.8984489691814</v>
      </c>
      <c r="W49" s="574" t="s">
        <v>336</v>
      </c>
    </row>
    <row r="50" spans="1:23" x14ac:dyDescent="0.25">
      <c r="A50" s="812" t="str">
        <f t="shared" si="9"/>
        <v>FB</v>
      </c>
      <c r="B50" s="812" t="s">
        <v>568</v>
      </c>
      <c r="C50" s="133">
        <f t="shared" ca="1" si="3"/>
        <v>2.006265378868536E-2</v>
      </c>
      <c r="D50" s="133">
        <f t="shared" ca="1" si="3"/>
        <v>2.006265378868536E-2</v>
      </c>
      <c r="E50" s="133">
        <f t="shared" ca="1" si="3"/>
        <v>2.006265378868536E-2</v>
      </c>
      <c r="F50" s="551" t="s">
        <v>336</v>
      </c>
      <c r="G50" s="575">
        <f t="shared" ca="1" si="4"/>
        <v>2.006265378868536E-2</v>
      </c>
      <c r="H50" s="575">
        <f t="shared" ca="1" si="4"/>
        <v>2.006265378868536E-2</v>
      </c>
      <c r="I50" s="574" t="s">
        <v>336</v>
      </c>
      <c r="J50" s="133">
        <f t="shared" ca="1" si="5"/>
        <v>1.5103792542849401</v>
      </c>
      <c r="K50" s="133">
        <f t="shared" ca="1" si="5"/>
        <v>1.5103792542849401</v>
      </c>
      <c r="L50" s="133">
        <f t="shared" ca="1" si="5"/>
        <v>1.5103792542849401</v>
      </c>
      <c r="M50" s="551" t="s">
        <v>336</v>
      </c>
      <c r="N50" s="575">
        <f t="shared" ca="1" si="6"/>
        <v>1.5103792542849401</v>
      </c>
      <c r="O50" s="575">
        <f t="shared" ca="1" si="6"/>
        <v>1.5103792542849401</v>
      </c>
      <c r="P50" s="574" t="s">
        <v>336</v>
      </c>
      <c r="Q50" s="45">
        <f t="shared" ca="1" si="7"/>
        <v>14325.003718430242</v>
      </c>
      <c r="R50" s="45">
        <f t="shared" ca="1" si="7"/>
        <v>14325.003718430242</v>
      </c>
      <c r="S50" s="45">
        <f t="shared" ca="1" si="7"/>
        <v>14325.003718430242</v>
      </c>
      <c r="T50" s="581" t="s">
        <v>336</v>
      </c>
      <c r="U50" s="573">
        <f t="shared" ca="1" si="8"/>
        <v>14325.003718430242</v>
      </c>
      <c r="V50" s="573">
        <f t="shared" ca="1" si="8"/>
        <v>14325.003718430242</v>
      </c>
      <c r="W50" s="574" t="s">
        <v>336</v>
      </c>
    </row>
    <row r="51" spans="1:23" x14ac:dyDescent="0.25">
      <c r="A51" s="812" t="str">
        <f t="shared" si="9"/>
        <v>FB</v>
      </c>
      <c r="B51" s="812" t="s">
        <v>148</v>
      </c>
      <c r="C51" s="133">
        <f t="shared" ca="1" si="3"/>
        <v>6.6997839116611233E-3</v>
      </c>
      <c r="D51" s="133">
        <f t="shared" ca="1" si="3"/>
        <v>6.6997839116611233E-3</v>
      </c>
      <c r="E51" s="133">
        <f t="shared" ca="1" si="3"/>
        <v>6.6997839116611233E-3</v>
      </c>
      <c r="F51" s="551" t="s">
        <v>336</v>
      </c>
      <c r="G51" s="575">
        <f t="shared" ca="1" si="4"/>
        <v>6.6997839116611233E-3</v>
      </c>
      <c r="H51" s="575">
        <f t="shared" ca="1" si="4"/>
        <v>6.6997839116611233E-3</v>
      </c>
      <c r="I51" s="574" t="s">
        <v>336</v>
      </c>
      <c r="J51" s="133">
        <f t="shared" ca="1" si="5"/>
        <v>0.2220333380806237</v>
      </c>
      <c r="K51" s="133">
        <f t="shared" ca="1" si="5"/>
        <v>0.2220333380806237</v>
      </c>
      <c r="L51" s="133">
        <f t="shared" ca="1" si="5"/>
        <v>0.2220333380806237</v>
      </c>
      <c r="M51" s="551" t="s">
        <v>336</v>
      </c>
      <c r="N51" s="575">
        <f t="shared" ca="1" si="6"/>
        <v>0.2220333380806237</v>
      </c>
      <c r="O51" s="575">
        <f t="shared" ca="1" si="6"/>
        <v>0.2220333380806237</v>
      </c>
      <c r="P51" s="574" t="s">
        <v>336</v>
      </c>
      <c r="Q51" s="45">
        <f t="shared" ca="1" si="7"/>
        <v>4936.6225007384364</v>
      </c>
      <c r="R51" s="45">
        <f t="shared" ca="1" si="7"/>
        <v>4936.6225007384364</v>
      </c>
      <c r="S51" s="45">
        <f t="shared" ca="1" si="7"/>
        <v>4936.6225007384364</v>
      </c>
      <c r="T51" s="581" t="s">
        <v>336</v>
      </c>
      <c r="U51" s="573">
        <f t="shared" ca="1" si="8"/>
        <v>4936.6225007384364</v>
      </c>
      <c r="V51" s="573">
        <f t="shared" ca="1" si="8"/>
        <v>4936.6225007384364</v>
      </c>
      <c r="W51" s="574" t="s">
        <v>336</v>
      </c>
    </row>
    <row r="52" spans="1:23" x14ac:dyDescent="0.25">
      <c r="A52" s="812" t="str">
        <f t="shared" si="9"/>
        <v>FB</v>
      </c>
      <c r="B52" s="812" t="s">
        <v>746</v>
      </c>
      <c r="C52" s="133">
        <f t="shared" ca="1" si="3"/>
        <v>1.2008982795361579E-4</v>
      </c>
      <c r="D52" s="133">
        <f t="shared" ca="1" si="3"/>
        <v>1.2008982795361579E-4</v>
      </c>
      <c r="E52" s="133">
        <f t="shared" ca="1" si="3"/>
        <v>1.2008982795361579E-4</v>
      </c>
      <c r="F52" s="551" t="s">
        <v>336</v>
      </c>
      <c r="G52" s="575">
        <f t="shared" ca="1" si="4"/>
        <v>1.2008982795361579E-4</v>
      </c>
      <c r="H52" s="575">
        <f t="shared" ca="1" si="4"/>
        <v>1.2008982795361579E-4</v>
      </c>
      <c r="I52" s="574" t="s">
        <v>336</v>
      </c>
      <c r="J52" s="133">
        <f t="shared" ca="1" si="5"/>
        <v>1.0319936207562502E-2</v>
      </c>
      <c r="K52" s="133">
        <f t="shared" ca="1" si="5"/>
        <v>1.0319936207562502E-2</v>
      </c>
      <c r="L52" s="133">
        <f t="shared" ca="1" si="5"/>
        <v>1.0319936207562502E-2</v>
      </c>
      <c r="M52" s="551" t="s">
        <v>336</v>
      </c>
      <c r="N52" s="575">
        <f t="shared" ca="1" si="6"/>
        <v>1.0319936207562502E-2</v>
      </c>
      <c r="O52" s="575">
        <f t="shared" ca="1" si="6"/>
        <v>1.0319936207562502E-2</v>
      </c>
      <c r="P52" s="574" t="s">
        <v>336</v>
      </c>
      <c r="Q52" s="45">
        <f t="shared" ca="1" si="7"/>
        <v>99.908731699052524</v>
      </c>
      <c r="R52" s="45">
        <f t="shared" ca="1" si="7"/>
        <v>99.908731699052524</v>
      </c>
      <c r="S52" s="45">
        <f t="shared" ca="1" si="7"/>
        <v>99.908731699052524</v>
      </c>
      <c r="T52" s="581" t="s">
        <v>336</v>
      </c>
      <c r="U52" s="573">
        <f t="shared" ca="1" si="8"/>
        <v>99.908731699052524</v>
      </c>
      <c r="V52" s="573">
        <f t="shared" ca="1" si="8"/>
        <v>99.908731699052524</v>
      </c>
      <c r="W52" s="574" t="s">
        <v>336</v>
      </c>
    </row>
    <row r="53" spans="1:23" x14ac:dyDescent="0.25">
      <c r="A53" s="812" t="str">
        <f t="shared" si="9"/>
        <v>FB</v>
      </c>
      <c r="B53" s="812" t="s">
        <v>747</v>
      </c>
      <c r="C53" s="133">
        <f t="shared" ca="1" si="3"/>
        <v>4.63773133095129E-4</v>
      </c>
      <c r="D53" s="133">
        <f t="shared" ca="1" si="3"/>
        <v>4.63773133095129E-4</v>
      </c>
      <c r="E53" s="133">
        <f t="shared" ca="1" si="3"/>
        <v>4.63773133095129E-4</v>
      </c>
      <c r="F53" s="551" t="s">
        <v>336</v>
      </c>
      <c r="G53" s="575">
        <f t="shared" ca="1" si="4"/>
        <v>4.63773133095129E-4</v>
      </c>
      <c r="H53" s="575">
        <f t="shared" ca="1" si="4"/>
        <v>4.63773133095129E-4</v>
      </c>
      <c r="I53" s="574" t="s">
        <v>336</v>
      </c>
      <c r="J53" s="133">
        <f t="shared" ca="1" si="5"/>
        <v>3.4914290317697355E-2</v>
      </c>
      <c r="K53" s="133">
        <f t="shared" ca="1" si="5"/>
        <v>3.4914290317697355E-2</v>
      </c>
      <c r="L53" s="133">
        <f t="shared" ca="1" si="5"/>
        <v>3.4914290317697355E-2</v>
      </c>
      <c r="M53" s="551" t="s">
        <v>336</v>
      </c>
      <c r="N53" s="575">
        <f t="shared" ca="1" si="6"/>
        <v>3.4914290317697355E-2</v>
      </c>
      <c r="O53" s="575">
        <f t="shared" ca="1" si="6"/>
        <v>3.4914290317697355E-2</v>
      </c>
      <c r="P53" s="574" t="s">
        <v>336</v>
      </c>
      <c r="Q53" s="45">
        <f t="shared" ca="1" si="7"/>
        <v>308.41461373397158</v>
      </c>
      <c r="R53" s="45">
        <f t="shared" ca="1" si="7"/>
        <v>308.41461373397158</v>
      </c>
      <c r="S53" s="45">
        <f t="shared" ca="1" si="7"/>
        <v>308.41461373397158</v>
      </c>
      <c r="T53" s="581" t="s">
        <v>336</v>
      </c>
      <c r="U53" s="573">
        <f t="shared" ca="1" si="8"/>
        <v>308.41461373397158</v>
      </c>
      <c r="V53" s="573">
        <f t="shared" ca="1" si="8"/>
        <v>308.41461373397158</v>
      </c>
      <c r="W53" s="574" t="s">
        <v>336</v>
      </c>
    </row>
    <row r="54" spans="1:23" x14ac:dyDescent="0.25">
      <c r="A54" s="812" t="str">
        <f t="shared" si="9"/>
        <v>FB</v>
      </c>
      <c r="B54" s="812" t="s">
        <v>149</v>
      </c>
      <c r="C54" s="133">
        <f t="shared" ca="1" si="3"/>
        <v>2.2028459468985464E-6</v>
      </c>
      <c r="D54" s="133">
        <f t="shared" ca="1" si="3"/>
        <v>2.2028459468985464E-6</v>
      </c>
      <c r="E54" s="133">
        <f t="shared" ca="1" si="3"/>
        <v>2.2028459468985464E-6</v>
      </c>
      <c r="F54" s="551" t="s">
        <v>336</v>
      </c>
      <c r="G54" s="575">
        <f t="shared" ca="1" si="4"/>
        <v>2.2028459468985464E-6</v>
      </c>
      <c r="H54" s="575">
        <f t="shared" ca="1" si="4"/>
        <v>2.2028459468985464E-6</v>
      </c>
      <c r="I54" s="574" t="s">
        <v>336</v>
      </c>
      <c r="J54" s="133">
        <f t="shared" ca="1" si="5"/>
        <v>3.1735379753247884E-5</v>
      </c>
      <c r="K54" s="133">
        <f t="shared" ca="1" si="5"/>
        <v>3.1735379753247884E-5</v>
      </c>
      <c r="L54" s="133">
        <f t="shared" ca="1" si="5"/>
        <v>3.1735379753247884E-5</v>
      </c>
      <c r="M54" s="551" t="s">
        <v>336</v>
      </c>
      <c r="N54" s="575">
        <f t="shared" ca="1" si="6"/>
        <v>3.1735379753247884E-5</v>
      </c>
      <c r="O54" s="575">
        <f t="shared" ca="1" si="6"/>
        <v>3.1735379753247884E-5</v>
      </c>
      <c r="P54" s="574" t="s">
        <v>336</v>
      </c>
      <c r="Q54" s="45">
        <f t="shared" ca="1" si="7"/>
        <v>133.36057406165881</v>
      </c>
      <c r="R54" s="45">
        <f t="shared" ca="1" si="7"/>
        <v>133.36057406165881</v>
      </c>
      <c r="S54" s="45">
        <f t="shared" ca="1" si="7"/>
        <v>133.36057406165881</v>
      </c>
      <c r="T54" s="581" t="s">
        <v>336</v>
      </c>
      <c r="U54" s="573">
        <f t="shared" ca="1" si="8"/>
        <v>133.36057406165881</v>
      </c>
      <c r="V54" s="573">
        <f t="shared" ca="1" si="8"/>
        <v>133.36057406165881</v>
      </c>
      <c r="W54" s="574" t="s">
        <v>336</v>
      </c>
    </row>
    <row r="55" spans="1:23" x14ac:dyDescent="0.25">
      <c r="A55" s="812" t="str">
        <f t="shared" si="9"/>
        <v>FB</v>
      </c>
      <c r="B55" s="812" t="s">
        <v>150</v>
      </c>
      <c r="C55" s="133">
        <f t="shared" ca="1" si="3"/>
        <v>3.7935910368371143E-3</v>
      </c>
      <c r="D55" s="133">
        <f t="shared" ca="1" si="3"/>
        <v>3.7935910368371143E-3</v>
      </c>
      <c r="E55" s="133">
        <f t="shared" ca="1" si="3"/>
        <v>3.7935910368371143E-3</v>
      </c>
      <c r="F55" s="551" t="s">
        <v>336</v>
      </c>
      <c r="G55" s="575">
        <f t="shared" ca="1" si="4"/>
        <v>3.7935910368371143E-3</v>
      </c>
      <c r="H55" s="575">
        <f t="shared" ca="1" si="4"/>
        <v>3.7935910368371143E-3</v>
      </c>
      <c r="I55" s="574" t="s">
        <v>336</v>
      </c>
      <c r="J55" s="133">
        <f t="shared" ca="1" si="5"/>
        <v>3.5619051925828669E-4</v>
      </c>
      <c r="K55" s="133">
        <f t="shared" ca="1" si="5"/>
        <v>3.5619051925828669E-4</v>
      </c>
      <c r="L55" s="133">
        <f t="shared" ca="1" si="5"/>
        <v>3.5619051925828669E-4</v>
      </c>
      <c r="M55" s="551" t="s">
        <v>336</v>
      </c>
      <c r="N55" s="575">
        <f t="shared" ca="1" si="6"/>
        <v>3.5619051925828669E-4</v>
      </c>
      <c r="O55" s="575">
        <f t="shared" ca="1" si="6"/>
        <v>3.5619051925828669E-4</v>
      </c>
      <c r="P55" s="574" t="s">
        <v>336</v>
      </c>
      <c r="Q55" s="45">
        <f t="shared" ca="1" si="7"/>
        <v>1230.7092316692713</v>
      </c>
      <c r="R55" s="45">
        <f t="shared" ca="1" si="7"/>
        <v>1230.7092316692713</v>
      </c>
      <c r="S55" s="45">
        <f t="shared" ca="1" si="7"/>
        <v>1230.7092316692713</v>
      </c>
      <c r="T55" s="581" t="s">
        <v>336</v>
      </c>
      <c r="U55" s="573">
        <f t="shared" ca="1" si="8"/>
        <v>1230.7092316692713</v>
      </c>
      <c r="V55" s="573">
        <f t="shared" ca="1" si="8"/>
        <v>1230.7092316692713</v>
      </c>
      <c r="W55" s="574" t="s">
        <v>336</v>
      </c>
    </row>
    <row r="56" spans="1:23" x14ac:dyDescent="0.25">
      <c r="A56" s="812" t="str">
        <f t="shared" si="9"/>
        <v>FB</v>
      </c>
      <c r="B56" s="812" t="s">
        <v>151</v>
      </c>
      <c r="C56" s="133">
        <f t="shared" ref="C56:E59" ca="1" si="10">C22*C$32/C$26</f>
        <v>3.5835634436345611E-2</v>
      </c>
      <c r="D56" s="133">
        <f t="shared" ca="1" si="10"/>
        <v>3.5835634436345611E-2</v>
      </c>
      <c r="E56" s="133">
        <f t="shared" ca="1" si="10"/>
        <v>3.5835634436345611E-2</v>
      </c>
      <c r="F56" s="551" t="s">
        <v>336</v>
      </c>
      <c r="G56" s="575">
        <f t="shared" ref="G56:H59" ca="1" si="11">G22*G$32/G$26</f>
        <v>3.5835634436345611E-2</v>
      </c>
      <c r="H56" s="575">
        <f t="shared" ca="1" si="11"/>
        <v>3.5835634436345611E-2</v>
      </c>
      <c r="I56" s="574" t="s">
        <v>336</v>
      </c>
      <c r="J56" s="133">
        <f t="shared" ref="J56:L59" ca="1" si="12">J22*J$32/J$26</f>
        <v>4.9607284440179755E-2</v>
      </c>
      <c r="K56" s="133">
        <f t="shared" ca="1" si="12"/>
        <v>4.9607284440179755E-2</v>
      </c>
      <c r="L56" s="133">
        <f t="shared" ca="1" si="12"/>
        <v>4.9607284440179755E-2</v>
      </c>
      <c r="M56" s="551" t="s">
        <v>336</v>
      </c>
      <c r="N56" s="575">
        <f t="shared" ref="N56:O59" ca="1" si="13">N22*N$32/N$26</f>
        <v>4.9607284440179755E-2</v>
      </c>
      <c r="O56" s="575">
        <f t="shared" ca="1" si="13"/>
        <v>4.9607284440179755E-2</v>
      </c>
      <c r="P56" s="574" t="s">
        <v>336</v>
      </c>
      <c r="Q56" s="45">
        <f t="shared" ref="Q56:S59" ca="1" si="14">Q22*Q$32/Q$26</f>
        <v>165.60155255511441</v>
      </c>
      <c r="R56" s="45">
        <f t="shared" ca="1" si="14"/>
        <v>165.60155255511441</v>
      </c>
      <c r="S56" s="45">
        <f t="shared" ca="1" si="14"/>
        <v>165.60155255511441</v>
      </c>
      <c r="T56" s="581" t="s">
        <v>336</v>
      </c>
      <c r="U56" s="573">
        <f t="shared" ref="U56:V59" ca="1" si="15">U22*U$32/U$26</f>
        <v>165.60155255511441</v>
      </c>
      <c r="V56" s="573">
        <f t="shared" ca="1" si="15"/>
        <v>165.60155255511441</v>
      </c>
      <c r="W56" s="574" t="s">
        <v>336</v>
      </c>
    </row>
    <row r="57" spans="1:23" x14ac:dyDescent="0.25">
      <c r="A57" s="812" t="str">
        <f t="shared" si="9"/>
        <v>FB</v>
      </c>
      <c r="B57" s="812" t="s">
        <v>152</v>
      </c>
      <c r="C57" s="133">
        <f t="shared" ca="1" si="10"/>
        <v>9.9002978581824526E-5</v>
      </c>
      <c r="D57" s="133">
        <f t="shared" ca="1" si="10"/>
        <v>9.9002978581824526E-5</v>
      </c>
      <c r="E57" s="133">
        <f t="shared" ca="1" si="10"/>
        <v>9.9002978581824526E-5</v>
      </c>
      <c r="F57" s="551" t="s">
        <v>336</v>
      </c>
      <c r="G57" s="575">
        <f t="shared" ca="1" si="11"/>
        <v>9.9002978581824526E-5</v>
      </c>
      <c r="H57" s="575">
        <f t="shared" ca="1" si="11"/>
        <v>9.9002978581824526E-5</v>
      </c>
      <c r="I57" s="574" t="s">
        <v>336</v>
      </c>
      <c r="J57" s="133">
        <f t="shared" ca="1" si="12"/>
        <v>1.3704986659737856E-4</v>
      </c>
      <c r="K57" s="133">
        <f t="shared" ca="1" si="12"/>
        <v>1.3704986659737856E-4</v>
      </c>
      <c r="L57" s="133">
        <f t="shared" ca="1" si="12"/>
        <v>1.3704986659737856E-4</v>
      </c>
      <c r="M57" s="551" t="s">
        <v>336</v>
      </c>
      <c r="N57" s="575">
        <f t="shared" ca="1" si="13"/>
        <v>1.3704986659737856E-4</v>
      </c>
      <c r="O57" s="575">
        <f t="shared" ca="1" si="13"/>
        <v>1.3704986659737856E-4</v>
      </c>
      <c r="P57" s="574" t="s">
        <v>336</v>
      </c>
      <c r="Q57" s="45">
        <f t="shared" ca="1" si="14"/>
        <v>6.9165103973159567</v>
      </c>
      <c r="R57" s="45">
        <f t="shared" ca="1" si="14"/>
        <v>6.9165103973159567</v>
      </c>
      <c r="S57" s="45">
        <f t="shared" ca="1" si="14"/>
        <v>6.9165103973159567</v>
      </c>
      <c r="T57" s="581" t="s">
        <v>336</v>
      </c>
      <c r="U57" s="573">
        <f t="shared" ca="1" si="15"/>
        <v>6.9165103973159567</v>
      </c>
      <c r="V57" s="573">
        <f t="shared" ca="1" si="15"/>
        <v>6.9165103973159567</v>
      </c>
      <c r="W57" s="574" t="s">
        <v>336</v>
      </c>
    </row>
    <row r="58" spans="1:23" x14ac:dyDescent="0.25">
      <c r="A58" s="812" t="str">
        <f t="shared" si="9"/>
        <v>FB</v>
      </c>
      <c r="B58" s="812" t="s">
        <v>153</v>
      </c>
      <c r="C58" s="133">
        <f t="shared" ca="1" si="10"/>
        <v>9.6977132554857149E-5</v>
      </c>
      <c r="D58" s="133">
        <f t="shared" ca="1" si="10"/>
        <v>9.6977132554857149E-5</v>
      </c>
      <c r="E58" s="133">
        <f t="shared" ca="1" si="10"/>
        <v>9.6977132554857149E-5</v>
      </c>
      <c r="F58" s="551" t="s">
        <v>336</v>
      </c>
      <c r="G58" s="575">
        <f t="shared" ca="1" si="11"/>
        <v>9.6977132554857149E-5</v>
      </c>
      <c r="H58" s="575">
        <f t="shared" ca="1" si="11"/>
        <v>9.6977132554857149E-5</v>
      </c>
      <c r="I58" s="574" t="s">
        <v>336</v>
      </c>
      <c r="J58" s="133">
        <f t="shared" ca="1" si="12"/>
        <v>3.3736631590539783E-6</v>
      </c>
      <c r="K58" s="133">
        <f t="shared" ca="1" si="12"/>
        <v>3.3736631590539783E-6</v>
      </c>
      <c r="L58" s="133">
        <f t="shared" ca="1" si="12"/>
        <v>3.3736631590539783E-6</v>
      </c>
      <c r="M58" s="551" t="s">
        <v>336</v>
      </c>
      <c r="N58" s="575">
        <f t="shared" ca="1" si="13"/>
        <v>3.3736631590539783E-6</v>
      </c>
      <c r="O58" s="575">
        <f t="shared" ca="1" si="13"/>
        <v>3.3736631590539783E-6</v>
      </c>
      <c r="P58" s="574" t="s">
        <v>336</v>
      </c>
      <c r="Q58" s="45">
        <f t="shared" ca="1" si="14"/>
        <v>3.608998462210292</v>
      </c>
      <c r="R58" s="45">
        <f t="shared" ca="1" si="14"/>
        <v>3.608998462210292</v>
      </c>
      <c r="S58" s="45">
        <f t="shared" ca="1" si="14"/>
        <v>3.608998462210292</v>
      </c>
      <c r="T58" s="581" t="s">
        <v>336</v>
      </c>
      <c r="U58" s="573">
        <f t="shared" ca="1" si="15"/>
        <v>3.608998462210292</v>
      </c>
      <c r="V58" s="573">
        <f t="shared" ca="1" si="15"/>
        <v>3.608998462210292</v>
      </c>
      <c r="W58" s="574" t="s">
        <v>336</v>
      </c>
    </row>
    <row r="59" spans="1:23" x14ac:dyDescent="0.25">
      <c r="A59" s="813" t="str">
        <f>A56</f>
        <v>FB</v>
      </c>
      <c r="B59" s="813" t="s">
        <v>154</v>
      </c>
      <c r="C59" s="135">
        <f t="shared" ca="1" si="10"/>
        <v>8.9029932034124517E-4</v>
      </c>
      <c r="D59" s="135">
        <f t="shared" ca="1" si="10"/>
        <v>8.9029932034124517E-4</v>
      </c>
      <c r="E59" s="135">
        <f t="shared" ca="1" si="10"/>
        <v>8.9029932034124517E-4</v>
      </c>
      <c r="F59" s="580" t="s">
        <v>336</v>
      </c>
      <c r="G59" s="579">
        <f t="shared" ca="1" si="11"/>
        <v>8.9029932034124517E-4</v>
      </c>
      <c r="H59" s="579">
        <f t="shared" ca="1" si="11"/>
        <v>8.9029932034124517E-4</v>
      </c>
      <c r="I59" s="576" t="s">
        <v>336</v>
      </c>
      <c r="J59" s="135">
        <f t="shared" ca="1" si="12"/>
        <v>7.5209228025848052E-3</v>
      </c>
      <c r="K59" s="135">
        <f t="shared" ca="1" si="12"/>
        <v>7.5209228025848052E-3</v>
      </c>
      <c r="L59" s="135">
        <f t="shared" ca="1" si="12"/>
        <v>7.5209228025848052E-3</v>
      </c>
      <c r="M59" s="580" t="s">
        <v>336</v>
      </c>
      <c r="N59" s="579">
        <f t="shared" ca="1" si="13"/>
        <v>7.5209228025848052E-3</v>
      </c>
      <c r="O59" s="579">
        <f t="shared" ca="1" si="13"/>
        <v>7.5209228025848052E-3</v>
      </c>
      <c r="P59" s="576" t="s">
        <v>336</v>
      </c>
      <c r="Q59" s="88">
        <f t="shared" ca="1" si="14"/>
        <v>57.555361049924308</v>
      </c>
      <c r="R59" s="88">
        <f t="shared" ca="1" si="14"/>
        <v>57.555361049924308</v>
      </c>
      <c r="S59" s="88">
        <f t="shared" ca="1" si="14"/>
        <v>57.555361049924308</v>
      </c>
      <c r="T59" s="578" t="s">
        <v>336</v>
      </c>
      <c r="U59" s="577">
        <f t="shared" ca="1" si="15"/>
        <v>57.555361049924308</v>
      </c>
      <c r="V59" s="577">
        <f t="shared" ca="1" si="15"/>
        <v>57.555361049924308</v>
      </c>
      <c r="W59" s="576" t="s">
        <v>336</v>
      </c>
    </row>
    <row r="60" spans="1:23" x14ac:dyDescent="0.25">
      <c r="A60" s="82" t="s">
        <v>754</v>
      </c>
      <c r="B60" s="812" t="s">
        <v>137</v>
      </c>
      <c r="C60" s="133">
        <f t="shared" ref="C60:E75" ca="1" si="16">C6*C$33/C$26</f>
        <v>0.28266779104510337</v>
      </c>
      <c r="D60" s="575">
        <f t="shared" ca="1" si="16"/>
        <v>0.28266779104510337</v>
      </c>
      <c r="E60" s="575">
        <f t="shared" ca="1" si="16"/>
        <v>0.28266779104510337</v>
      </c>
      <c r="F60" s="574" t="s">
        <v>336</v>
      </c>
      <c r="G60" s="133">
        <f t="shared" ref="G60:H75" ca="1" si="17">G6*G$33/G$26</f>
        <v>0.28266779104510337</v>
      </c>
      <c r="H60" s="133">
        <f t="shared" ca="1" si="17"/>
        <v>0.28266779104510337</v>
      </c>
      <c r="I60" s="551" t="s">
        <v>336</v>
      </c>
      <c r="J60" s="575">
        <f t="shared" ref="J60:L75" ca="1" si="18">J6*J$33/J$26</f>
        <v>2.3808014500746274E-3</v>
      </c>
      <c r="K60" s="575">
        <f t="shared" ca="1" si="18"/>
        <v>2.3808014500746274E-3</v>
      </c>
      <c r="L60" s="575">
        <f t="shared" ca="1" si="18"/>
        <v>2.3808014500746274E-3</v>
      </c>
      <c r="M60" s="574" t="s">
        <v>336</v>
      </c>
      <c r="N60" s="133">
        <f t="shared" ref="N60:O75" ca="1" si="19">N6*N$33/N$26</f>
        <v>2.3808014500746274E-3</v>
      </c>
      <c r="O60" s="133">
        <f t="shared" ca="1" si="19"/>
        <v>2.3808014500746274E-3</v>
      </c>
      <c r="P60" s="551" t="s">
        <v>336</v>
      </c>
      <c r="Q60" s="573">
        <f t="shared" ref="Q60:S75" ca="1" si="20">Q6*Q$33/Q$26</f>
        <v>181.65047125942027</v>
      </c>
      <c r="R60" s="573">
        <f t="shared" ca="1" si="20"/>
        <v>181.65047125942027</v>
      </c>
      <c r="S60" s="573">
        <f t="shared" ca="1" si="20"/>
        <v>181.65047125942027</v>
      </c>
      <c r="T60" s="572" t="s">
        <v>336</v>
      </c>
      <c r="U60" s="45">
        <f t="shared" ref="U60:V75" ca="1" si="21">U6*U$33/U$26</f>
        <v>181.65047125942027</v>
      </c>
      <c r="V60" s="45">
        <f t="shared" ca="1" si="21"/>
        <v>181.65047125942027</v>
      </c>
      <c r="W60" s="551" t="s">
        <v>336</v>
      </c>
    </row>
    <row r="61" spans="1:23" x14ac:dyDescent="0.25">
      <c r="A61" s="812" t="str">
        <f t="shared" ref="A61:A78" si="22">A60</f>
        <v>NP</v>
      </c>
      <c r="B61" s="812" t="s">
        <v>138</v>
      </c>
      <c r="C61" s="133">
        <f t="shared" ca="1" si="16"/>
        <v>2.2060543811691175E-2</v>
      </c>
      <c r="D61" s="575">
        <f t="shared" ca="1" si="16"/>
        <v>2.2060543811691175E-2</v>
      </c>
      <c r="E61" s="575">
        <f t="shared" ca="1" si="16"/>
        <v>2.2060543811691175E-2</v>
      </c>
      <c r="F61" s="574" t="s">
        <v>336</v>
      </c>
      <c r="G61" s="133">
        <f t="shared" ca="1" si="17"/>
        <v>2.2060543811691175E-2</v>
      </c>
      <c r="H61" s="133">
        <f t="shared" ca="1" si="17"/>
        <v>2.2060543811691175E-2</v>
      </c>
      <c r="I61" s="551" t="s">
        <v>336</v>
      </c>
      <c r="J61" s="575">
        <f t="shared" ca="1" si="18"/>
        <v>2.100959785347563E-4</v>
      </c>
      <c r="K61" s="575">
        <f t="shared" ca="1" si="18"/>
        <v>2.100959785347563E-4</v>
      </c>
      <c r="L61" s="575">
        <f t="shared" ca="1" si="18"/>
        <v>2.100959785347563E-4</v>
      </c>
      <c r="M61" s="574" t="s">
        <v>336</v>
      </c>
      <c r="N61" s="133">
        <f t="shared" ca="1" si="19"/>
        <v>2.100959785347563E-4</v>
      </c>
      <c r="O61" s="133">
        <f t="shared" ca="1" si="19"/>
        <v>2.100959785347563E-4</v>
      </c>
      <c r="P61" s="551" t="s">
        <v>336</v>
      </c>
      <c r="Q61" s="573">
        <f t="shared" ca="1" si="20"/>
        <v>16.027054300951139</v>
      </c>
      <c r="R61" s="573">
        <f t="shared" ca="1" si="20"/>
        <v>16.027054300951139</v>
      </c>
      <c r="S61" s="573">
        <f t="shared" ca="1" si="20"/>
        <v>16.027054300951139</v>
      </c>
      <c r="T61" s="572" t="s">
        <v>336</v>
      </c>
      <c r="U61" s="45">
        <f t="shared" ca="1" si="21"/>
        <v>16.027054300951139</v>
      </c>
      <c r="V61" s="45">
        <f t="shared" ca="1" si="21"/>
        <v>16.027054300951139</v>
      </c>
      <c r="W61" s="551" t="s">
        <v>336</v>
      </c>
    </row>
    <row r="62" spans="1:23" x14ac:dyDescent="0.25">
      <c r="A62" s="812" t="str">
        <f t="shared" si="22"/>
        <v>NP</v>
      </c>
      <c r="B62" s="812" t="s">
        <v>139</v>
      </c>
      <c r="C62" s="133">
        <f t="shared" ca="1" si="16"/>
        <v>1.8214364191337252E-2</v>
      </c>
      <c r="D62" s="575">
        <f t="shared" ca="1" si="16"/>
        <v>1.8214364191337252E-2</v>
      </c>
      <c r="E62" s="575">
        <f t="shared" ca="1" si="16"/>
        <v>1.8214364191337252E-2</v>
      </c>
      <c r="F62" s="574" t="s">
        <v>336</v>
      </c>
      <c r="G62" s="133">
        <f t="shared" ca="1" si="17"/>
        <v>1.8214364191337252E-2</v>
      </c>
      <c r="H62" s="133">
        <f t="shared" ca="1" si="17"/>
        <v>1.8214364191337252E-2</v>
      </c>
      <c r="I62" s="551" t="s">
        <v>336</v>
      </c>
      <c r="J62" s="575">
        <f t="shared" ca="1" si="18"/>
        <v>4.4233949929445857E-4</v>
      </c>
      <c r="K62" s="575">
        <f t="shared" ca="1" si="18"/>
        <v>4.4233949929445857E-4</v>
      </c>
      <c r="L62" s="575">
        <f t="shared" ca="1" si="18"/>
        <v>4.4233949929445857E-4</v>
      </c>
      <c r="M62" s="574" t="s">
        <v>336</v>
      </c>
      <c r="N62" s="133">
        <f t="shared" ca="1" si="19"/>
        <v>4.4233949929445857E-4</v>
      </c>
      <c r="O62" s="133">
        <f t="shared" ca="1" si="19"/>
        <v>4.4233949929445857E-4</v>
      </c>
      <c r="P62" s="551" t="s">
        <v>336</v>
      </c>
      <c r="Q62" s="573">
        <f t="shared" ca="1" si="20"/>
        <v>33.743621482383666</v>
      </c>
      <c r="R62" s="573">
        <f t="shared" ca="1" si="20"/>
        <v>33.743621482383666</v>
      </c>
      <c r="S62" s="573">
        <f t="shared" ca="1" si="20"/>
        <v>33.743621482383666</v>
      </c>
      <c r="T62" s="572" t="s">
        <v>336</v>
      </c>
      <c r="U62" s="45">
        <f t="shared" ca="1" si="21"/>
        <v>33.743621482383666</v>
      </c>
      <c r="V62" s="45">
        <f t="shared" ca="1" si="21"/>
        <v>33.743621482383666</v>
      </c>
      <c r="W62" s="551" t="s">
        <v>336</v>
      </c>
    </row>
    <row r="63" spans="1:23" x14ac:dyDescent="0.25">
      <c r="A63" s="812" t="str">
        <f t="shared" si="22"/>
        <v>NP</v>
      </c>
      <c r="B63" s="812" t="s">
        <v>140</v>
      </c>
      <c r="C63" s="133">
        <f t="shared" ca="1" si="16"/>
        <v>1.1880245934498169E-2</v>
      </c>
      <c r="D63" s="575">
        <f t="shared" ca="1" si="16"/>
        <v>1.1880245934498169E-2</v>
      </c>
      <c r="E63" s="575">
        <f t="shared" ca="1" si="16"/>
        <v>1.1880245934498169E-2</v>
      </c>
      <c r="F63" s="574" t="s">
        <v>336</v>
      </c>
      <c r="G63" s="133">
        <f t="shared" ca="1" si="17"/>
        <v>1.1880245934498169E-2</v>
      </c>
      <c r="H63" s="133">
        <f t="shared" ca="1" si="17"/>
        <v>1.1880245934498169E-2</v>
      </c>
      <c r="I63" s="551" t="s">
        <v>336</v>
      </c>
      <c r="J63" s="575">
        <f t="shared" ca="1" si="18"/>
        <v>2.6632076579142649E-4</v>
      </c>
      <c r="K63" s="575">
        <f t="shared" ca="1" si="18"/>
        <v>2.6632076579142649E-4</v>
      </c>
      <c r="L63" s="575">
        <f t="shared" ca="1" si="18"/>
        <v>2.6632076579142649E-4</v>
      </c>
      <c r="M63" s="574" t="s">
        <v>336</v>
      </c>
      <c r="N63" s="133">
        <f t="shared" ca="1" si="19"/>
        <v>2.6632076579142649E-4</v>
      </c>
      <c r="O63" s="133">
        <f t="shared" ca="1" si="19"/>
        <v>2.6632076579142649E-4</v>
      </c>
      <c r="P63" s="551" t="s">
        <v>336</v>
      </c>
      <c r="Q63" s="573">
        <f t="shared" ca="1" si="20"/>
        <v>20.316130773078864</v>
      </c>
      <c r="R63" s="573">
        <f t="shared" ca="1" si="20"/>
        <v>20.316130773078864</v>
      </c>
      <c r="S63" s="573">
        <f t="shared" ca="1" si="20"/>
        <v>20.316130773078864</v>
      </c>
      <c r="T63" s="572" t="s">
        <v>336</v>
      </c>
      <c r="U63" s="45">
        <f t="shared" ca="1" si="21"/>
        <v>20.316130773078864</v>
      </c>
      <c r="V63" s="45">
        <f t="shared" ca="1" si="21"/>
        <v>20.316130773078864</v>
      </c>
      <c r="W63" s="551" t="s">
        <v>336</v>
      </c>
    </row>
    <row r="64" spans="1:23" x14ac:dyDescent="0.25">
      <c r="A64" s="812" t="str">
        <f t="shared" si="22"/>
        <v>NP</v>
      </c>
      <c r="B64" s="812" t="s">
        <v>141</v>
      </c>
      <c r="C64" s="133">
        <f t="shared" ca="1" si="16"/>
        <v>0.17764723224404613</v>
      </c>
      <c r="D64" s="575">
        <f t="shared" ca="1" si="16"/>
        <v>0.17764723224404613</v>
      </c>
      <c r="E64" s="575">
        <f t="shared" ca="1" si="16"/>
        <v>0.17764723224404613</v>
      </c>
      <c r="F64" s="574" t="s">
        <v>336</v>
      </c>
      <c r="G64" s="133">
        <f t="shared" ca="1" si="17"/>
        <v>0.17764723224404613</v>
      </c>
      <c r="H64" s="133">
        <f t="shared" ca="1" si="17"/>
        <v>0.17764723224404613</v>
      </c>
      <c r="I64" s="551" t="s">
        <v>336</v>
      </c>
      <c r="J64" s="575">
        <f t="shared" ca="1" si="18"/>
        <v>4.2637341509984853E-3</v>
      </c>
      <c r="K64" s="575">
        <f t="shared" ca="1" si="18"/>
        <v>4.2637341509984853E-3</v>
      </c>
      <c r="L64" s="575">
        <f t="shared" ca="1" si="18"/>
        <v>4.2637341509984853E-3</v>
      </c>
      <c r="M64" s="574" t="s">
        <v>336</v>
      </c>
      <c r="N64" s="133">
        <f t="shared" ca="1" si="19"/>
        <v>4.2637341509984853E-3</v>
      </c>
      <c r="O64" s="133">
        <f t="shared" ca="1" si="19"/>
        <v>4.2637341509984853E-3</v>
      </c>
      <c r="P64" s="551" t="s">
        <v>336</v>
      </c>
      <c r="Q64" s="573">
        <f t="shared" ca="1" si="20"/>
        <v>325.25657672961</v>
      </c>
      <c r="R64" s="573">
        <f t="shared" ca="1" si="20"/>
        <v>325.25657672961</v>
      </c>
      <c r="S64" s="573">
        <f t="shared" ca="1" si="20"/>
        <v>325.25657672961</v>
      </c>
      <c r="T64" s="572" t="s">
        <v>336</v>
      </c>
      <c r="U64" s="45">
        <f t="shared" ca="1" si="21"/>
        <v>325.25657672961</v>
      </c>
      <c r="V64" s="45">
        <f t="shared" ca="1" si="21"/>
        <v>325.25657672961</v>
      </c>
      <c r="W64" s="551" t="s">
        <v>336</v>
      </c>
    </row>
    <row r="65" spans="1:23" x14ac:dyDescent="0.25">
      <c r="A65" s="812" t="str">
        <f t="shared" si="22"/>
        <v>NP</v>
      </c>
      <c r="B65" s="812" t="s">
        <v>142</v>
      </c>
      <c r="C65" s="133">
        <f t="shared" ca="1" si="16"/>
        <v>0.24412445319624868</v>
      </c>
      <c r="D65" s="575">
        <f t="shared" ca="1" si="16"/>
        <v>0.24412445319624868</v>
      </c>
      <c r="E65" s="575">
        <f t="shared" ca="1" si="16"/>
        <v>0.24412445319624868</v>
      </c>
      <c r="F65" s="574" t="s">
        <v>336</v>
      </c>
      <c r="G65" s="133">
        <f t="shared" ca="1" si="17"/>
        <v>0.24412445319624868</v>
      </c>
      <c r="H65" s="133">
        <f t="shared" ca="1" si="17"/>
        <v>0.24412445319624868</v>
      </c>
      <c r="I65" s="551" t="s">
        <v>336</v>
      </c>
      <c r="J65" s="575">
        <f t="shared" ca="1" si="18"/>
        <v>8.9769354112855942E-3</v>
      </c>
      <c r="K65" s="575">
        <f t="shared" ca="1" si="18"/>
        <v>8.9769354112855942E-3</v>
      </c>
      <c r="L65" s="575">
        <f t="shared" ca="1" si="18"/>
        <v>8.9769354112855942E-3</v>
      </c>
      <c r="M65" s="574" t="s">
        <v>336</v>
      </c>
      <c r="N65" s="133">
        <f t="shared" ca="1" si="19"/>
        <v>8.9769354112855942E-3</v>
      </c>
      <c r="O65" s="133">
        <f t="shared" ca="1" si="19"/>
        <v>8.9769354112855942E-3</v>
      </c>
      <c r="P65" s="551" t="s">
        <v>336</v>
      </c>
      <c r="Q65" s="573">
        <f t="shared" ca="1" si="20"/>
        <v>684.80050068642424</v>
      </c>
      <c r="R65" s="573">
        <f t="shared" ca="1" si="20"/>
        <v>684.80050068642424</v>
      </c>
      <c r="S65" s="573">
        <f t="shared" ca="1" si="20"/>
        <v>684.80050068642424</v>
      </c>
      <c r="T65" s="572" t="s">
        <v>336</v>
      </c>
      <c r="U65" s="45">
        <f t="shared" ca="1" si="21"/>
        <v>684.80050068642424</v>
      </c>
      <c r="V65" s="45">
        <f t="shared" ca="1" si="21"/>
        <v>684.80050068642424</v>
      </c>
      <c r="W65" s="551" t="s">
        <v>336</v>
      </c>
    </row>
    <row r="66" spans="1:23" x14ac:dyDescent="0.25">
      <c r="A66" s="812" t="str">
        <f t="shared" si="22"/>
        <v>NP</v>
      </c>
      <c r="B66" s="812" t="s">
        <v>143</v>
      </c>
      <c r="C66" s="133">
        <f t="shared" ca="1" si="16"/>
        <v>0.16308827952763921</v>
      </c>
      <c r="D66" s="575">
        <f t="shared" ca="1" si="16"/>
        <v>0.16308827952763921</v>
      </c>
      <c r="E66" s="575">
        <f t="shared" ca="1" si="16"/>
        <v>0.16308827952763921</v>
      </c>
      <c r="F66" s="574" t="s">
        <v>336</v>
      </c>
      <c r="G66" s="133">
        <f t="shared" ca="1" si="17"/>
        <v>0.16308827952763921</v>
      </c>
      <c r="H66" s="133">
        <f t="shared" ca="1" si="17"/>
        <v>0.16308827952763921</v>
      </c>
      <c r="I66" s="551" t="s">
        <v>336</v>
      </c>
      <c r="J66" s="575">
        <f t="shared" ca="1" si="18"/>
        <v>5.4047723909057283E-3</v>
      </c>
      <c r="K66" s="575">
        <f t="shared" ca="1" si="18"/>
        <v>5.4047723909057283E-3</v>
      </c>
      <c r="L66" s="575">
        <f t="shared" ca="1" si="18"/>
        <v>5.4047723909057283E-3</v>
      </c>
      <c r="M66" s="574" t="s">
        <v>336</v>
      </c>
      <c r="N66" s="133">
        <f t="shared" ca="1" si="19"/>
        <v>5.4047723909057283E-3</v>
      </c>
      <c r="O66" s="133">
        <f t="shared" ca="1" si="19"/>
        <v>5.4047723909057283E-3</v>
      </c>
      <c r="P66" s="551" t="s">
        <v>336</v>
      </c>
      <c r="Q66" s="573">
        <f t="shared" ca="1" si="20"/>
        <v>412.30004114047131</v>
      </c>
      <c r="R66" s="573">
        <f t="shared" ca="1" si="20"/>
        <v>412.30004114047131</v>
      </c>
      <c r="S66" s="573">
        <f t="shared" ca="1" si="20"/>
        <v>412.30004114047131</v>
      </c>
      <c r="T66" s="572" t="s">
        <v>336</v>
      </c>
      <c r="U66" s="45">
        <f t="shared" ca="1" si="21"/>
        <v>412.30004114047131</v>
      </c>
      <c r="V66" s="45">
        <f t="shared" ca="1" si="21"/>
        <v>412.30004114047131</v>
      </c>
      <c r="W66" s="551" t="s">
        <v>336</v>
      </c>
    </row>
    <row r="67" spans="1:23" x14ac:dyDescent="0.25">
      <c r="A67" s="812" t="str">
        <f t="shared" si="22"/>
        <v>NP</v>
      </c>
      <c r="B67" s="812" t="s">
        <v>144</v>
      </c>
      <c r="C67" s="133">
        <f t="shared" ca="1" si="16"/>
        <v>6.0177444672697387E-3</v>
      </c>
      <c r="D67" s="575">
        <f t="shared" ca="1" si="16"/>
        <v>6.0177444672697387E-3</v>
      </c>
      <c r="E67" s="575">
        <f t="shared" ca="1" si="16"/>
        <v>6.0177444672697387E-3</v>
      </c>
      <c r="F67" s="574" t="s">
        <v>336</v>
      </c>
      <c r="G67" s="133">
        <f t="shared" ca="1" si="17"/>
        <v>6.0177444672697387E-3</v>
      </c>
      <c r="H67" s="133">
        <f t="shared" ca="1" si="17"/>
        <v>6.0177444672697387E-3</v>
      </c>
      <c r="I67" s="551" t="s">
        <v>336</v>
      </c>
      <c r="J67" s="575">
        <f t="shared" ca="1" si="18"/>
        <v>4.7397449259425179E-4</v>
      </c>
      <c r="K67" s="575">
        <f t="shared" ca="1" si="18"/>
        <v>4.7397449259425179E-4</v>
      </c>
      <c r="L67" s="575">
        <f t="shared" ca="1" si="18"/>
        <v>4.7397449259425179E-4</v>
      </c>
      <c r="M67" s="574" t="s">
        <v>336</v>
      </c>
      <c r="N67" s="133">
        <f t="shared" ca="1" si="19"/>
        <v>4.7397449259425179E-4</v>
      </c>
      <c r="O67" s="133">
        <f t="shared" ca="1" si="19"/>
        <v>4.7397449259425179E-4</v>
      </c>
      <c r="P67" s="551" t="s">
        <v>336</v>
      </c>
      <c r="Q67" s="573">
        <f t="shared" ca="1" si="20"/>
        <v>43.177954299740215</v>
      </c>
      <c r="R67" s="573">
        <f t="shared" ca="1" si="20"/>
        <v>43.177954299740215</v>
      </c>
      <c r="S67" s="573">
        <f t="shared" ca="1" si="20"/>
        <v>43.177954299740215</v>
      </c>
      <c r="T67" s="572" t="s">
        <v>336</v>
      </c>
      <c r="U67" s="45">
        <f t="shared" ca="1" si="21"/>
        <v>43.177954299740215</v>
      </c>
      <c r="V67" s="45">
        <f t="shared" ca="1" si="21"/>
        <v>43.177954299740215</v>
      </c>
      <c r="W67" s="551" t="s">
        <v>336</v>
      </c>
    </row>
    <row r="68" spans="1:23" x14ac:dyDescent="0.25">
      <c r="A68" s="812" t="str">
        <f t="shared" si="22"/>
        <v>NP</v>
      </c>
      <c r="B68" s="812" t="s">
        <v>145</v>
      </c>
      <c r="C68" s="133">
        <f t="shared" ca="1" si="16"/>
        <v>2.0298039111153212E-2</v>
      </c>
      <c r="D68" s="575">
        <f t="shared" ca="1" si="16"/>
        <v>2.0298039111153212E-2</v>
      </c>
      <c r="E68" s="575">
        <f t="shared" ca="1" si="16"/>
        <v>2.0298039111153212E-2</v>
      </c>
      <c r="F68" s="574" t="s">
        <v>336</v>
      </c>
      <c r="G68" s="133">
        <f t="shared" ca="1" si="17"/>
        <v>2.0298039111153212E-2</v>
      </c>
      <c r="H68" s="133">
        <f t="shared" ca="1" si="17"/>
        <v>2.0298039111153212E-2</v>
      </c>
      <c r="I68" s="551" t="s">
        <v>336</v>
      </c>
      <c r="J68" s="575">
        <f t="shared" ca="1" si="18"/>
        <v>1.5987306939824373E-3</v>
      </c>
      <c r="K68" s="575">
        <f t="shared" ca="1" si="18"/>
        <v>1.5987306939824373E-3</v>
      </c>
      <c r="L68" s="575">
        <f t="shared" ca="1" si="18"/>
        <v>1.5987306939824373E-3</v>
      </c>
      <c r="M68" s="574" t="s">
        <v>336</v>
      </c>
      <c r="N68" s="133">
        <f t="shared" ca="1" si="19"/>
        <v>1.5987306939824373E-3</v>
      </c>
      <c r="O68" s="133">
        <f t="shared" ca="1" si="19"/>
        <v>1.5987306939824373E-3</v>
      </c>
      <c r="P68" s="551" t="s">
        <v>336</v>
      </c>
      <c r="Q68" s="573">
        <f t="shared" ca="1" si="20"/>
        <v>145.64058176324488</v>
      </c>
      <c r="R68" s="573">
        <f t="shared" ca="1" si="20"/>
        <v>145.64058176324488</v>
      </c>
      <c r="S68" s="573">
        <f t="shared" ca="1" si="20"/>
        <v>145.64058176324488</v>
      </c>
      <c r="T68" s="572" t="s">
        <v>336</v>
      </c>
      <c r="U68" s="45">
        <f t="shared" ca="1" si="21"/>
        <v>145.64058176324488</v>
      </c>
      <c r="V68" s="45">
        <f t="shared" ca="1" si="21"/>
        <v>145.64058176324488</v>
      </c>
      <c r="W68" s="551" t="s">
        <v>336</v>
      </c>
    </row>
    <row r="69" spans="1:23" x14ac:dyDescent="0.25">
      <c r="A69" s="812" t="str">
        <f t="shared" si="22"/>
        <v>NP</v>
      </c>
      <c r="B69" s="812" t="s">
        <v>146</v>
      </c>
      <c r="C69" s="133">
        <f t="shared" ca="1" si="16"/>
        <v>0.10084841152584288</v>
      </c>
      <c r="D69" s="575">
        <f t="shared" ca="1" si="16"/>
        <v>0.10084841152584288</v>
      </c>
      <c r="E69" s="575">
        <f t="shared" ca="1" si="16"/>
        <v>0.10084841152584288</v>
      </c>
      <c r="F69" s="574" t="s">
        <v>336</v>
      </c>
      <c r="G69" s="133">
        <f t="shared" ca="1" si="17"/>
        <v>0.10084841152584288</v>
      </c>
      <c r="H69" s="133">
        <f t="shared" ca="1" si="17"/>
        <v>0.10084841152584288</v>
      </c>
      <c r="I69" s="551" t="s">
        <v>336</v>
      </c>
      <c r="J69" s="575">
        <f t="shared" ca="1" si="18"/>
        <v>2.9776124370662184E-3</v>
      </c>
      <c r="K69" s="575">
        <f t="shared" ca="1" si="18"/>
        <v>2.9776124370662184E-3</v>
      </c>
      <c r="L69" s="575">
        <f t="shared" ca="1" si="18"/>
        <v>2.9776124370662184E-3</v>
      </c>
      <c r="M69" s="574" t="s">
        <v>336</v>
      </c>
      <c r="N69" s="133">
        <f t="shared" ca="1" si="19"/>
        <v>2.9776124370662184E-3</v>
      </c>
      <c r="O69" s="133">
        <f t="shared" ca="1" si="19"/>
        <v>2.9776124370662184E-3</v>
      </c>
      <c r="P69" s="551" t="s">
        <v>336</v>
      </c>
      <c r="Q69" s="573">
        <f t="shared" ca="1" si="20"/>
        <v>227.06752851011049</v>
      </c>
      <c r="R69" s="573">
        <f t="shared" ca="1" si="20"/>
        <v>227.06752851011049</v>
      </c>
      <c r="S69" s="573">
        <f t="shared" ca="1" si="20"/>
        <v>227.06752851011049</v>
      </c>
      <c r="T69" s="572" t="s">
        <v>336</v>
      </c>
      <c r="U69" s="45">
        <f t="shared" ca="1" si="21"/>
        <v>227.06752851011049</v>
      </c>
      <c r="V69" s="45">
        <f t="shared" ca="1" si="21"/>
        <v>227.06752851011049</v>
      </c>
      <c r="W69" s="551" t="s">
        <v>336</v>
      </c>
    </row>
    <row r="70" spans="1:23" x14ac:dyDescent="0.25">
      <c r="A70" s="812" t="str">
        <f t="shared" si="22"/>
        <v>NP</v>
      </c>
      <c r="B70" s="812" t="s">
        <v>568</v>
      </c>
      <c r="C70" s="133">
        <f t="shared" ca="1" si="16"/>
        <v>2.1901752302480725E-2</v>
      </c>
      <c r="D70" s="575">
        <f t="shared" ca="1" si="16"/>
        <v>2.1901752302480725E-2</v>
      </c>
      <c r="E70" s="575">
        <f t="shared" ca="1" si="16"/>
        <v>2.1901752302480725E-2</v>
      </c>
      <c r="F70" s="574" t="s">
        <v>336</v>
      </c>
      <c r="G70" s="133">
        <f t="shared" ca="1" si="17"/>
        <v>2.1901752302480725E-2</v>
      </c>
      <c r="H70" s="133">
        <f t="shared" ca="1" si="17"/>
        <v>2.1901752302480725E-2</v>
      </c>
      <c r="I70" s="551" t="s">
        <v>336</v>
      </c>
      <c r="J70" s="575">
        <f t="shared" ca="1" si="18"/>
        <v>1.0100555742437924</v>
      </c>
      <c r="K70" s="575">
        <f t="shared" ca="1" si="18"/>
        <v>1.0100555742437924</v>
      </c>
      <c r="L70" s="575">
        <f t="shared" ca="1" si="18"/>
        <v>1.0100555742437924</v>
      </c>
      <c r="M70" s="574" t="s">
        <v>336</v>
      </c>
      <c r="N70" s="133">
        <f t="shared" ca="1" si="19"/>
        <v>1.0100555742437924</v>
      </c>
      <c r="O70" s="133">
        <f t="shared" ca="1" si="19"/>
        <v>1.0100555742437924</v>
      </c>
      <c r="P70" s="551" t="s">
        <v>336</v>
      </c>
      <c r="Q70" s="573">
        <f t="shared" ca="1" si="20"/>
        <v>8914.1052789643909</v>
      </c>
      <c r="R70" s="573">
        <f t="shared" ca="1" si="20"/>
        <v>8914.1052789643909</v>
      </c>
      <c r="S70" s="573">
        <f t="shared" ca="1" si="20"/>
        <v>8914.1052789643909</v>
      </c>
      <c r="T70" s="572" t="s">
        <v>336</v>
      </c>
      <c r="U70" s="45">
        <f t="shared" ca="1" si="21"/>
        <v>8914.1052789643909</v>
      </c>
      <c r="V70" s="45">
        <f t="shared" ca="1" si="21"/>
        <v>8914.1052789643909</v>
      </c>
      <c r="W70" s="551" t="s">
        <v>336</v>
      </c>
    </row>
    <row r="71" spans="1:23" x14ac:dyDescent="0.25">
      <c r="A71" s="812" t="str">
        <f t="shared" si="22"/>
        <v>NP</v>
      </c>
      <c r="B71" s="812" t="s">
        <v>148</v>
      </c>
      <c r="C71" s="133">
        <f t="shared" ca="1" si="16"/>
        <v>7.3139380890927747E-3</v>
      </c>
      <c r="D71" s="575">
        <f t="shared" ca="1" si="16"/>
        <v>7.3139380890927747E-3</v>
      </c>
      <c r="E71" s="575">
        <f t="shared" ca="1" si="16"/>
        <v>7.3139380890927747E-3</v>
      </c>
      <c r="F71" s="574" t="s">
        <v>336</v>
      </c>
      <c r="G71" s="133">
        <f t="shared" ca="1" si="17"/>
        <v>7.3139380890927747E-3</v>
      </c>
      <c r="H71" s="133">
        <f t="shared" ca="1" si="17"/>
        <v>7.3139380890927747E-3</v>
      </c>
      <c r="I71" s="551" t="s">
        <v>336</v>
      </c>
      <c r="J71" s="575">
        <f t="shared" ca="1" si="18"/>
        <v>0.14848324363569523</v>
      </c>
      <c r="K71" s="575">
        <f t="shared" ca="1" si="18"/>
        <v>0.14848324363569523</v>
      </c>
      <c r="L71" s="575">
        <f t="shared" ca="1" si="18"/>
        <v>0.14848324363569523</v>
      </c>
      <c r="M71" s="574" t="s">
        <v>336</v>
      </c>
      <c r="N71" s="133">
        <f t="shared" ca="1" si="19"/>
        <v>0.14848324363569523</v>
      </c>
      <c r="O71" s="133">
        <f t="shared" ca="1" si="19"/>
        <v>0.14848324363569523</v>
      </c>
      <c r="P71" s="551" t="s">
        <v>336</v>
      </c>
      <c r="Q71" s="573">
        <f t="shared" ca="1" si="20"/>
        <v>3071.9414500025759</v>
      </c>
      <c r="R71" s="573">
        <f t="shared" ca="1" si="20"/>
        <v>3071.9414500025759</v>
      </c>
      <c r="S71" s="573">
        <f t="shared" ca="1" si="20"/>
        <v>3071.9414500025759</v>
      </c>
      <c r="T71" s="572" t="s">
        <v>336</v>
      </c>
      <c r="U71" s="45">
        <f t="shared" ca="1" si="21"/>
        <v>3071.9414500025759</v>
      </c>
      <c r="V71" s="45">
        <f t="shared" ca="1" si="21"/>
        <v>3071.9414500025759</v>
      </c>
      <c r="W71" s="551" t="s">
        <v>336</v>
      </c>
    </row>
    <row r="72" spans="1:23" x14ac:dyDescent="0.25">
      <c r="A72" s="812" t="str">
        <f t="shared" si="22"/>
        <v>NP</v>
      </c>
      <c r="B72" s="812" t="s">
        <v>746</v>
      </c>
      <c r="C72" s="133">
        <f t="shared" ca="1" si="16"/>
        <v>1.3109819336916173E-4</v>
      </c>
      <c r="D72" s="575">
        <f t="shared" ca="1" si="16"/>
        <v>1.3109819336916173E-4</v>
      </c>
      <c r="E72" s="575">
        <f t="shared" ca="1" si="16"/>
        <v>1.3109819336916173E-4</v>
      </c>
      <c r="F72" s="574" t="s">
        <v>336</v>
      </c>
      <c r="G72" s="133">
        <f t="shared" ca="1" si="17"/>
        <v>1.3109819336916173E-4</v>
      </c>
      <c r="H72" s="133">
        <f t="shared" ca="1" si="17"/>
        <v>1.3109819336916173E-4</v>
      </c>
      <c r="I72" s="551" t="s">
        <v>336</v>
      </c>
      <c r="J72" s="575">
        <f t="shared" ca="1" si="18"/>
        <v>6.9013852399765329E-3</v>
      </c>
      <c r="K72" s="575">
        <f t="shared" ca="1" si="18"/>
        <v>6.9013852399765329E-3</v>
      </c>
      <c r="L72" s="575">
        <f t="shared" ca="1" si="18"/>
        <v>6.9013852399765329E-3</v>
      </c>
      <c r="M72" s="574" t="s">
        <v>336</v>
      </c>
      <c r="N72" s="133">
        <f t="shared" ca="1" si="19"/>
        <v>6.9013852399765329E-3</v>
      </c>
      <c r="O72" s="133">
        <f t="shared" ca="1" si="19"/>
        <v>6.9013852399765329E-3</v>
      </c>
      <c r="P72" s="551" t="s">
        <v>336</v>
      </c>
      <c r="Q72" s="573">
        <f t="shared" ca="1" si="20"/>
        <v>62.170800801073312</v>
      </c>
      <c r="R72" s="573">
        <f t="shared" ca="1" si="20"/>
        <v>62.170800801073312</v>
      </c>
      <c r="S72" s="573">
        <f t="shared" ca="1" si="20"/>
        <v>62.170800801073312</v>
      </c>
      <c r="T72" s="572" t="s">
        <v>336</v>
      </c>
      <c r="U72" s="45">
        <f t="shared" ca="1" si="21"/>
        <v>62.170800801073312</v>
      </c>
      <c r="V72" s="45">
        <f t="shared" ca="1" si="21"/>
        <v>62.170800801073312</v>
      </c>
      <c r="W72" s="551" t="s">
        <v>336</v>
      </c>
    </row>
    <row r="73" spans="1:23" x14ac:dyDescent="0.25">
      <c r="A73" s="812" t="str">
        <f t="shared" si="22"/>
        <v>NP</v>
      </c>
      <c r="B73" s="812" t="s">
        <v>747</v>
      </c>
      <c r="C73" s="133">
        <f t="shared" ca="1" si="16"/>
        <v>5.0628617692258574E-4</v>
      </c>
      <c r="D73" s="575">
        <f t="shared" ca="1" si="16"/>
        <v>5.0628617692258574E-4</v>
      </c>
      <c r="E73" s="575">
        <f t="shared" ca="1" si="16"/>
        <v>5.0628617692258574E-4</v>
      </c>
      <c r="F73" s="574" t="s">
        <v>336</v>
      </c>
      <c r="G73" s="133">
        <f t="shared" ca="1" si="17"/>
        <v>5.0628617692258574E-4</v>
      </c>
      <c r="H73" s="133">
        <f t="shared" ca="1" si="17"/>
        <v>5.0628617692258574E-4</v>
      </c>
      <c r="I73" s="551" t="s">
        <v>336</v>
      </c>
      <c r="J73" s="575">
        <f t="shared" ca="1" si="18"/>
        <v>2.3348687726018849E-2</v>
      </c>
      <c r="K73" s="575">
        <f t="shared" ca="1" si="18"/>
        <v>2.3348687726018849E-2</v>
      </c>
      <c r="L73" s="575">
        <f t="shared" ca="1" si="18"/>
        <v>2.3348687726018849E-2</v>
      </c>
      <c r="M73" s="574" t="s">
        <v>336</v>
      </c>
      <c r="N73" s="133">
        <f t="shared" ca="1" si="19"/>
        <v>2.3348687726018849E-2</v>
      </c>
      <c r="O73" s="133">
        <f t="shared" ca="1" si="19"/>
        <v>2.3348687726018849E-2</v>
      </c>
      <c r="P73" s="551" t="s">
        <v>336</v>
      </c>
      <c r="Q73" s="573">
        <f t="shared" ca="1" si="20"/>
        <v>191.9189963531141</v>
      </c>
      <c r="R73" s="573">
        <f t="shared" ca="1" si="20"/>
        <v>191.9189963531141</v>
      </c>
      <c r="S73" s="573">
        <f t="shared" ca="1" si="20"/>
        <v>191.9189963531141</v>
      </c>
      <c r="T73" s="572" t="s">
        <v>336</v>
      </c>
      <c r="U73" s="45">
        <f t="shared" ca="1" si="21"/>
        <v>191.9189963531141</v>
      </c>
      <c r="V73" s="45">
        <f t="shared" ca="1" si="21"/>
        <v>191.9189963531141</v>
      </c>
      <c r="W73" s="551" t="s">
        <v>336</v>
      </c>
    </row>
    <row r="74" spans="1:23" x14ac:dyDescent="0.25">
      <c r="A74" s="812" t="str">
        <f t="shared" si="22"/>
        <v>NP</v>
      </c>
      <c r="B74" s="812" t="s">
        <v>149</v>
      </c>
      <c r="C74" s="133">
        <f t="shared" ca="1" si="16"/>
        <v>2.4047758984259973E-6</v>
      </c>
      <c r="D74" s="575">
        <f t="shared" ca="1" si="16"/>
        <v>2.4047758984259973E-6</v>
      </c>
      <c r="E74" s="575">
        <f t="shared" ca="1" si="16"/>
        <v>2.4047758984259973E-6</v>
      </c>
      <c r="F74" s="574" t="s">
        <v>336</v>
      </c>
      <c r="G74" s="133">
        <f t="shared" ca="1" si="17"/>
        <v>2.4047758984259973E-6</v>
      </c>
      <c r="H74" s="133">
        <f t="shared" ca="1" si="17"/>
        <v>2.4047758984259973E-6</v>
      </c>
      <c r="I74" s="551" t="s">
        <v>336</v>
      </c>
      <c r="J74" s="575">
        <f t="shared" ca="1" si="18"/>
        <v>2.1222813495069621E-5</v>
      </c>
      <c r="K74" s="575">
        <f t="shared" ca="1" si="18"/>
        <v>2.1222813495069621E-5</v>
      </c>
      <c r="L74" s="575">
        <f t="shared" ca="1" si="18"/>
        <v>2.1222813495069621E-5</v>
      </c>
      <c r="M74" s="574" t="s">
        <v>336</v>
      </c>
      <c r="N74" s="133">
        <f t="shared" ca="1" si="19"/>
        <v>2.1222813495069621E-5</v>
      </c>
      <c r="O74" s="133">
        <f t="shared" ca="1" si="19"/>
        <v>2.1222813495069621E-5</v>
      </c>
      <c r="P74" s="551" t="s">
        <v>336</v>
      </c>
      <c r="Q74" s="573">
        <f t="shared" ca="1" si="20"/>
        <v>82.987077742903651</v>
      </c>
      <c r="R74" s="573">
        <f t="shared" ca="1" si="20"/>
        <v>82.987077742903651</v>
      </c>
      <c r="S74" s="573">
        <f t="shared" ca="1" si="20"/>
        <v>82.987077742903651</v>
      </c>
      <c r="T74" s="572" t="s">
        <v>336</v>
      </c>
      <c r="U74" s="45">
        <f t="shared" ca="1" si="21"/>
        <v>82.987077742903651</v>
      </c>
      <c r="V74" s="45">
        <f t="shared" ca="1" si="21"/>
        <v>82.987077742903651</v>
      </c>
      <c r="W74" s="551" t="s">
        <v>336</v>
      </c>
    </row>
    <row r="75" spans="1:23" x14ac:dyDescent="0.25">
      <c r="A75" s="812" t="str">
        <f t="shared" si="22"/>
        <v>NP</v>
      </c>
      <c r="B75" s="812" t="s">
        <v>150</v>
      </c>
      <c r="C75" s="133">
        <f t="shared" ca="1" si="16"/>
        <v>4.1413410260099934E-3</v>
      </c>
      <c r="D75" s="575">
        <f t="shared" ca="1" si="16"/>
        <v>4.1413410260099934E-3</v>
      </c>
      <c r="E75" s="575">
        <f t="shared" ca="1" si="16"/>
        <v>4.1413410260099934E-3</v>
      </c>
      <c r="F75" s="574" t="s">
        <v>336</v>
      </c>
      <c r="G75" s="133">
        <f t="shared" ca="1" si="17"/>
        <v>4.1413410260099934E-3</v>
      </c>
      <c r="H75" s="133">
        <f t="shared" ca="1" si="17"/>
        <v>4.1413410260099934E-3</v>
      </c>
      <c r="I75" s="551" t="s">
        <v>336</v>
      </c>
      <c r="J75" s="575">
        <f t="shared" ca="1" si="18"/>
        <v>2.3819992127735529E-4</v>
      </c>
      <c r="K75" s="575">
        <f t="shared" ca="1" si="18"/>
        <v>2.3819992127735529E-4</v>
      </c>
      <c r="L75" s="575">
        <f t="shared" ca="1" si="18"/>
        <v>2.3819992127735529E-4</v>
      </c>
      <c r="M75" s="574" t="s">
        <v>336</v>
      </c>
      <c r="N75" s="133">
        <f t="shared" ca="1" si="19"/>
        <v>2.3819992127735529E-4</v>
      </c>
      <c r="O75" s="133">
        <f t="shared" ca="1" si="19"/>
        <v>2.3819992127735529E-4</v>
      </c>
      <c r="P75" s="551" t="s">
        <v>336</v>
      </c>
      <c r="Q75" s="573">
        <f t="shared" ca="1" si="20"/>
        <v>765.84075470630626</v>
      </c>
      <c r="R75" s="573">
        <f t="shared" ca="1" si="20"/>
        <v>765.84075470630626</v>
      </c>
      <c r="S75" s="573">
        <f t="shared" ca="1" si="20"/>
        <v>765.84075470630626</v>
      </c>
      <c r="T75" s="572" t="s">
        <v>336</v>
      </c>
      <c r="U75" s="45">
        <f t="shared" ca="1" si="21"/>
        <v>765.84075470630626</v>
      </c>
      <c r="V75" s="45">
        <f t="shared" ca="1" si="21"/>
        <v>765.84075470630626</v>
      </c>
      <c r="W75" s="551" t="s">
        <v>336</v>
      </c>
    </row>
    <row r="76" spans="1:23" x14ac:dyDescent="0.25">
      <c r="A76" s="812" t="str">
        <f t="shared" si="22"/>
        <v>NP</v>
      </c>
      <c r="B76" s="812" t="s">
        <v>151</v>
      </c>
      <c r="C76" s="133">
        <f t="shared" ref="C76:E79" ca="1" si="23">C22*C$33/C$26</f>
        <v>3.9120606739958083E-2</v>
      </c>
      <c r="D76" s="575">
        <f t="shared" ca="1" si="23"/>
        <v>3.9120606739958083E-2</v>
      </c>
      <c r="E76" s="575">
        <f t="shared" ca="1" si="23"/>
        <v>3.9120606739958083E-2</v>
      </c>
      <c r="F76" s="574" t="s">
        <v>336</v>
      </c>
      <c r="G76" s="133">
        <f t="shared" ref="G76:H79" ca="1" si="24">G22*G$33/G$26</f>
        <v>3.9120606739958083E-2</v>
      </c>
      <c r="H76" s="133">
        <f t="shared" ca="1" si="24"/>
        <v>3.9120606739958083E-2</v>
      </c>
      <c r="I76" s="551" t="s">
        <v>336</v>
      </c>
      <c r="J76" s="575">
        <f t="shared" ref="J76:L79" ca="1" si="25">J22*J$33/J$26</f>
        <v>3.3174524894823636E-2</v>
      </c>
      <c r="K76" s="575">
        <f t="shared" ca="1" si="25"/>
        <v>3.3174524894823636E-2</v>
      </c>
      <c r="L76" s="575">
        <f t="shared" ca="1" si="25"/>
        <v>3.3174524894823636E-2</v>
      </c>
      <c r="M76" s="574" t="s">
        <v>336</v>
      </c>
      <c r="N76" s="133">
        <f t="shared" ref="N76:O79" ca="1" si="26">N22*N$33/N$26</f>
        <v>3.3174524894823636E-2</v>
      </c>
      <c r="O76" s="133">
        <f t="shared" ca="1" si="26"/>
        <v>3.3174524894823636E-2</v>
      </c>
      <c r="P76" s="551" t="s">
        <v>336</v>
      </c>
      <c r="Q76" s="573">
        <f t="shared" ref="Q76:S79" ca="1" si="27">Q22*Q$33/Q$26</f>
        <v>103.04986322181615</v>
      </c>
      <c r="R76" s="573">
        <f t="shared" ca="1" si="27"/>
        <v>103.04986322181615</v>
      </c>
      <c r="S76" s="573">
        <f t="shared" ca="1" si="27"/>
        <v>103.04986322181615</v>
      </c>
      <c r="T76" s="572" t="s">
        <v>336</v>
      </c>
      <c r="U76" s="45">
        <f t="shared" ref="U76:V79" ca="1" si="28">U22*U$33/U$26</f>
        <v>103.04986322181615</v>
      </c>
      <c r="V76" s="45">
        <f t="shared" ca="1" si="28"/>
        <v>103.04986322181615</v>
      </c>
      <c r="W76" s="551" t="s">
        <v>336</v>
      </c>
    </row>
    <row r="77" spans="1:23" x14ac:dyDescent="0.25">
      <c r="A77" s="812" t="str">
        <f t="shared" si="22"/>
        <v>NP</v>
      </c>
      <c r="B77" s="812" t="s">
        <v>152</v>
      </c>
      <c r="C77" s="133">
        <f t="shared" ca="1" si="23"/>
        <v>1.0807835976962295E-4</v>
      </c>
      <c r="D77" s="575">
        <f t="shared" ca="1" si="23"/>
        <v>1.0807835976962295E-4</v>
      </c>
      <c r="E77" s="575">
        <f t="shared" ca="1" si="23"/>
        <v>1.0807835976962295E-4</v>
      </c>
      <c r="F77" s="574" t="s">
        <v>336</v>
      </c>
      <c r="G77" s="133">
        <f t="shared" ca="1" si="24"/>
        <v>1.0807835976962295E-4</v>
      </c>
      <c r="H77" s="133">
        <f t="shared" ca="1" si="24"/>
        <v>1.0807835976962295E-4</v>
      </c>
      <c r="I77" s="551" t="s">
        <v>336</v>
      </c>
      <c r="J77" s="575">
        <f t="shared" ca="1" si="25"/>
        <v>9.1651140806741559E-5</v>
      </c>
      <c r="K77" s="575">
        <f t="shared" ca="1" si="25"/>
        <v>9.1651140806741559E-5</v>
      </c>
      <c r="L77" s="575">
        <f t="shared" ca="1" si="25"/>
        <v>9.1651140806741559E-5</v>
      </c>
      <c r="M77" s="574" t="s">
        <v>336</v>
      </c>
      <c r="N77" s="133">
        <f t="shared" ca="1" si="26"/>
        <v>9.1651140806741559E-5</v>
      </c>
      <c r="O77" s="133">
        <f t="shared" ca="1" si="26"/>
        <v>9.1651140806741559E-5</v>
      </c>
      <c r="P77" s="551" t="s">
        <v>336</v>
      </c>
      <c r="Q77" s="573">
        <f t="shared" ca="1" si="27"/>
        <v>4.3039780691577008</v>
      </c>
      <c r="R77" s="573">
        <f t="shared" ca="1" si="27"/>
        <v>4.3039780691577008</v>
      </c>
      <c r="S77" s="573">
        <f t="shared" ca="1" si="27"/>
        <v>4.3039780691577008</v>
      </c>
      <c r="T77" s="572" t="s">
        <v>336</v>
      </c>
      <c r="U77" s="45">
        <f t="shared" ca="1" si="28"/>
        <v>4.3039780691577008</v>
      </c>
      <c r="V77" s="45">
        <f t="shared" ca="1" si="28"/>
        <v>4.3039780691577008</v>
      </c>
      <c r="W77" s="551" t="s">
        <v>336</v>
      </c>
    </row>
    <row r="78" spans="1:23" x14ac:dyDescent="0.25">
      <c r="A78" s="812" t="str">
        <f t="shared" si="22"/>
        <v>NP</v>
      </c>
      <c r="B78" s="812" t="s">
        <v>153</v>
      </c>
      <c r="C78" s="133">
        <f t="shared" ca="1" si="23"/>
        <v>1.0586680897714368E-4</v>
      </c>
      <c r="D78" s="575">
        <f t="shared" ca="1" si="23"/>
        <v>1.0586680897714368E-4</v>
      </c>
      <c r="E78" s="575">
        <f t="shared" ca="1" si="23"/>
        <v>1.0586680897714368E-4</v>
      </c>
      <c r="F78" s="574" t="s">
        <v>336</v>
      </c>
      <c r="G78" s="133">
        <f t="shared" ca="1" si="24"/>
        <v>1.0586680897714368E-4</v>
      </c>
      <c r="H78" s="133">
        <f t="shared" ca="1" si="24"/>
        <v>1.0586680897714368E-4</v>
      </c>
      <c r="I78" s="551" t="s">
        <v>336</v>
      </c>
      <c r="J78" s="575">
        <f t="shared" ca="1" si="25"/>
        <v>2.2561136679784768E-6</v>
      </c>
      <c r="K78" s="575">
        <f t="shared" ca="1" si="25"/>
        <v>2.2561136679784768E-6</v>
      </c>
      <c r="L78" s="575">
        <f t="shared" ca="1" si="25"/>
        <v>2.2561136679784768E-6</v>
      </c>
      <c r="M78" s="574" t="s">
        <v>336</v>
      </c>
      <c r="N78" s="133">
        <f t="shared" ca="1" si="26"/>
        <v>2.2561136679784768E-6</v>
      </c>
      <c r="O78" s="133">
        <f t="shared" ca="1" si="26"/>
        <v>2.2561136679784768E-6</v>
      </c>
      <c r="P78" s="551" t="s">
        <v>336</v>
      </c>
      <c r="Q78" s="573">
        <f t="shared" ca="1" si="27"/>
        <v>2.2457929419154441</v>
      </c>
      <c r="R78" s="573">
        <f t="shared" ca="1" si="27"/>
        <v>2.2457929419154441</v>
      </c>
      <c r="S78" s="573">
        <f t="shared" ca="1" si="27"/>
        <v>2.2457929419154441</v>
      </c>
      <c r="T78" s="572" t="s">
        <v>336</v>
      </c>
      <c r="U78" s="45">
        <f t="shared" ca="1" si="28"/>
        <v>2.2457929419154441</v>
      </c>
      <c r="V78" s="45">
        <f t="shared" ca="1" si="28"/>
        <v>2.2457929419154441</v>
      </c>
      <c r="W78" s="551" t="s">
        <v>336</v>
      </c>
    </row>
    <row r="79" spans="1:23" ht="15.75" thickBot="1" x14ac:dyDescent="0.3">
      <c r="A79" s="6" t="str">
        <f>A76</f>
        <v>NP</v>
      </c>
      <c r="B79" s="6" t="s">
        <v>154</v>
      </c>
      <c r="C79" s="544">
        <f t="shared" ca="1" si="23"/>
        <v>9.7191106393799791E-4</v>
      </c>
      <c r="D79" s="571">
        <f t="shared" ca="1" si="23"/>
        <v>9.7191106393799791E-4</v>
      </c>
      <c r="E79" s="571">
        <f t="shared" ca="1" si="23"/>
        <v>9.7191106393799791E-4</v>
      </c>
      <c r="F79" s="570" t="s">
        <v>336</v>
      </c>
      <c r="G79" s="544">
        <f t="shared" ca="1" si="24"/>
        <v>9.7191106393799791E-4</v>
      </c>
      <c r="H79" s="544">
        <f t="shared" ca="1" si="24"/>
        <v>9.7191106393799791E-4</v>
      </c>
      <c r="I79" s="542" t="s">
        <v>336</v>
      </c>
      <c r="J79" s="571">
        <f t="shared" ca="1" si="25"/>
        <v>5.02956458032421E-3</v>
      </c>
      <c r="K79" s="571">
        <f t="shared" ca="1" si="25"/>
        <v>5.02956458032421E-3</v>
      </c>
      <c r="L79" s="571">
        <f t="shared" ca="1" si="25"/>
        <v>5.02956458032421E-3</v>
      </c>
      <c r="M79" s="570" t="s">
        <v>336</v>
      </c>
      <c r="N79" s="544">
        <f t="shared" ca="1" si="26"/>
        <v>5.02956458032421E-3</v>
      </c>
      <c r="O79" s="544">
        <f t="shared" ca="1" si="26"/>
        <v>5.02956458032421E-3</v>
      </c>
      <c r="P79" s="542" t="s">
        <v>336</v>
      </c>
      <c r="Q79" s="569">
        <f t="shared" ca="1" si="27"/>
        <v>35.815316899900473</v>
      </c>
      <c r="R79" s="569">
        <f t="shared" ca="1" si="27"/>
        <v>35.815316899900473</v>
      </c>
      <c r="S79" s="569">
        <f t="shared" ca="1" si="27"/>
        <v>35.815316899900473</v>
      </c>
      <c r="T79" s="568" t="s">
        <v>336</v>
      </c>
      <c r="U79" s="567">
        <f t="shared" ca="1" si="28"/>
        <v>35.815316899900473</v>
      </c>
      <c r="V79" s="567">
        <f t="shared" ca="1" si="28"/>
        <v>35.815316899900473</v>
      </c>
      <c r="W79" s="542" t="s">
        <v>336</v>
      </c>
    </row>
    <row r="80" spans="1:23" ht="15.75" thickTop="1" x14ac:dyDescent="0.25">
      <c r="C80" s="137">
        <f ca="1">SUM(C40:C79)</f>
        <v>2.1481573504409845</v>
      </c>
      <c r="D80" s="137">
        <f ca="1">SUM(D40:D79)</f>
        <v>2.1481573504409845</v>
      </c>
      <c r="E80" s="137">
        <f ca="1">SUM(E40:E79)</f>
        <v>2.1481573504409845</v>
      </c>
      <c r="F80" s="566" t="s">
        <v>336</v>
      </c>
      <c r="G80" s="137">
        <f ca="1">SUM(G40:G79)</f>
        <v>2.1481573504409845</v>
      </c>
      <c r="H80" s="137">
        <f ca="1">SUM(H40:H79)</f>
        <v>2.1481573504409845</v>
      </c>
      <c r="I80" s="566" t="s">
        <v>336</v>
      </c>
      <c r="J80" s="137">
        <f ca="1">SUM(J40:J79)</f>
        <v>3.1300122544187832</v>
      </c>
      <c r="K80" s="137">
        <f ca="1">SUM(K40:K79)</f>
        <v>3.1300122544187832</v>
      </c>
      <c r="L80" s="137">
        <f ca="1">SUM(L40:L79)</f>
        <v>3.1300122544187832</v>
      </c>
      <c r="M80" s="566" t="s">
        <v>336</v>
      </c>
      <c r="N80" s="137">
        <f ca="1">SUM(N40:N79)</f>
        <v>3.1300122544187832</v>
      </c>
      <c r="O80" s="137">
        <f ca="1">SUM(O40:O79)</f>
        <v>3.1300122544187832</v>
      </c>
      <c r="P80" s="566" t="s">
        <v>336</v>
      </c>
      <c r="Q80" s="87">
        <f ca="1">SUM(Q40:Q79)</f>
        <v>39950.668730128033</v>
      </c>
      <c r="R80" s="87">
        <f ca="1">SUM(R40:R79)</f>
        <v>39950.668730128033</v>
      </c>
      <c r="S80" s="87">
        <f ca="1">SUM(S40:S79)</f>
        <v>39950.668730128033</v>
      </c>
      <c r="T80" s="566" t="s">
        <v>336</v>
      </c>
      <c r="U80" s="87">
        <f ca="1">SUM(U40:U79)</f>
        <v>39950.668730128033</v>
      </c>
      <c r="V80" s="87">
        <f ca="1">SUM(V40:V79)</f>
        <v>39950.668730128033</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0.11185865362147605</v>
      </c>
      <c r="N91" s="557" t="s">
        <v>336</v>
      </c>
      <c r="O91" s="559">
        <f t="shared" ref="O91:P100" ca="1" si="35">(1-$N$84)*(1-G91)*G60</f>
        <v>0</v>
      </c>
      <c r="P91" s="559">
        <f t="shared" ca="1" si="35"/>
        <v>0.12211248573148464</v>
      </c>
      <c r="Q91" s="557" t="s">
        <v>336</v>
      </c>
      <c r="R91" s="558">
        <f t="shared" ref="R91:S100" ca="1" si="36">(1-$N$84)*(1-D91)*D40/$J91</f>
        <v>0</v>
      </c>
      <c r="S91" s="558">
        <f t="shared" ca="1" si="36"/>
        <v>1.6443669766513489E-5</v>
      </c>
      <c r="T91" s="557" t="s">
        <v>336</v>
      </c>
      <c r="U91" s="558">
        <f t="shared" ref="U91:V100" ca="1" si="37">(1-$N$84)*(1-G91)*G60/$J91</f>
        <v>0</v>
      </c>
      <c r="V91" s="558">
        <f t="shared" ca="1" si="37"/>
        <v>1.7951024124888151E-5</v>
      </c>
      <c r="W91" s="557" t="s">
        <v>336</v>
      </c>
      <c r="X91" s="559">
        <f t="shared" ref="X91:Y100" ca="1" si="38">(1-$N$84)*(1-D91)*K40</f>
        <v>0</v>
      </c>
      <c r="Y91" s="559">
        <f t="shared" ca="1" si="38"/>
        <v>1.5379693027971918E-3</v>
      </c>
      <c r="Z91" s="557" t="s">
        <v>336</v>
      </c>
      <c r="AA91" s="559">
        <f t="shared" ref="AA91:AB100" ca="1" si="39">(1-$N$84)*(1-G91)*N60</f>
        <v>0</v>
      </c>
      <c r="AB91" s="559">
        <f t="shared" ca="1" si="39"/>
        <v>1.0285062264322388E-3</v>
      </c>
      <c r="AC91" s="557" t="s">
        <v>336</v>
      </c>
      <c r="AD91" s="558">
        <f t="shared" ref="AD91:AE110" ca="1" si="40">(1-$N$84)*(1-D91)*K40/$K91</f>
        <v>0</v>
      </c>
      <c r="AE91" s="558">
        <f t="shared" ca="1" si="40"/>
        <v>1.237930831147632E-3</v>
      </c>
      <c r="AF91" s="557" t="s">
        <v>336</v>
      </c>
      <c r="AG91" s="558">
        <f t="shared" ref="AG91:AH100" ca="1" si="41">(1-$N$84)*(1-G91)*N60/$K91</f>
        <v>0</v>
      </c>
      <c r="AH91" s="558">
        <f t="shared" ca="1" si="41"/>
        <v>8.2785759469457525E-4</v>
      </c>
      <c r="AI91" s="557" t="s">
        <v>336</v>
      </c>
      <c r="AJ91" s="507">
        <f t="shared" ref="AJ91:AK110" ca="1" si="42">L91-R91</f>
        <v>0</v>
      </c>
      <c r="AK91" s="507">
        <f t="shared" ca="1" si="42"/>
        <v>0.11184220995170954</v>
      </c>
      <c r="AL91" s="507">
        <f t="shared" ref="AL91:AM110" ca="1" si="43">O91-U91</f>
        <v>0</v>
      </c>
      <c r="AM91" s="507">
        <f t="shared" ca="1" si="43"/>
        <v>0.12209453470735976</v>
      </c>
      <c r="AN91" s="507">
        <f t="shared" ref="AN91:AO110" ca="1" si="44">X91-AD91</f>
        <v>0</v>
      </c>
      <c r="AO91" s="507">
        <f t="shared" ca="1" si="44"/>
        <v>3.0003847164955977E-4</v>
      </c>
      <c r="AP91" s="507">
        <f t="shared" ref="AP91:AQ110" ca="1" si="45">AA91-AG91</f>
        <v>0</v>
      </c>
      <c r="AQ91" s="507">
        <f t="shared" ca="1" si="45"/>
        <v>2.0064863173766359E-4</v>
      </c>
      <c r="AR91" s="812" t="s">
        <v>137</v>
      </c>
      <c r="AS91" s="812">
        <v>2104008100</v>
      </c>
      <c r="AT91" s="507">
        <f t="shared" ref="AT91:AU100" ca="1" si="46">AJ91/$C40</f>
        <v>0</v>
      </c>
      <c r="AU91" s="507">
        <f t="shared" ca="1" si="46"/>
        <v>0.4319364942710362</v>
      </c>
      <c r="AV91" s="507">
        <f t="shared" ref="AV91:AW100" ca="1" si="47">AL91/$C60</f>
        <v>0</v>
      </c>
      <c r="AW91" s="507">
        <f t="shared" ca="1" si="47"/>
        <v>0.43193649427103625</v>
      </c>
      <c r="AX91" s="507">
        <f t="shared" ref="AX91:AY100" ca="1" si="48">AN91/$J40</f>
        <v>0</v>
      </c>
      <c r="AY91" s="507">
        <f t="shared" ca="1" si="48"/>
        <v>8.4277767779154439E-2</v>
      </c>
      <c r="AZ91" s="507">
        <f t="shared" ref="AZ91:BA100" ca="1" si="49">AP91/$J60</f>
        <v>0</v>
      </c>
      <c r="BA91" s="507">
        <f t="shared" ca="1" si="49"/>
        <v>8.4277767779154439E-2</v>
      </c>
      <c r="BB91" s="550">
        <f ca="1">1-((1-AT91))</f>
        <v>0</v>
      </c>
      <c r="BC91" s="550">
        <f ca="1">1-((1-AU91))</f>
        <v>0.4319364942710362</v>
      </c>
      <c r="BD91" s="550">
        <f ca="1">1-((1-AX91))</f>
        <v>0</v>
      </c>
      <c r="BE91" s="550">
        <f ca="1">1-((1-AY91))</f>
        <v>8.4277767779154411E-2</v>
      </c>
    </row>
    <row r="92" spans="1:57" x14ac:dyDescent="0.25">
      <c r="A92" s="60">
        <f t="shared" si="29"/>
        <v>0.4</v>
      </c>
      <c r="B92" s="812"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8.7299041741179927E-3</v>
      </c>
      <c r="M92" s="559">
        <f t="shared" ca="1" si="34"/>
        <v>8.7299041741179927E-3</v>
      </c>
      <c r="N92" s="557" t="s">
        <v>336</v>
      </c>
      <c r="O92" s="559">
        <f t="shared" ca="1" si="35"/>
        <v>9.5301549266505869E-3</v>
      </c>
      <c r="P92" s="559">
        <f t="shared" ca="1" si="35"/>
        <v>9.5301549266505869E-3</v>
      </c>
      <c r="Q92" s="557" t="s">
        <v>336</v>
      </c>
      <c r="R92" s="558">
        <f t="shared" ca="1" si="36"/>
        <v>8.2919229697443734E-6</v>
      </c>
      <c r="S92" s="558">
        <f t="shared" ca="1" si="36"/>
        <v>8.2919229697443734E-6</v>
      </c>
      <c r="T92" s="557" t="s">
        <v>336</v>
      </c>
      <c r="U92" s="558">
        <f t="shared" ca="1" si="37"/>
        <v>9.0520249667574897E-6</v>
      </c>
      <c r="V92" s="558">
        <f t="shared" ca="1" si="37"/>
        <v>9.0520249667574897E-6</v>
      </c>
      <c r="W92" s="557" t="s">
        <v>336</v>
      </c>
      <c r="X92" s="559">
        <f t="shared" ca="1" si="38"/>
        <v>1.3571949295371297E-4</v>
      </c>
      <c r="Y92" s="559">
        <f t="shared" ca="1" si="38"/>
        <v>1.3571949295371297E-4</v>
      </c>
      <c r="Z92" s="557" t="s">
        <v>336</v>
      </c>
      <c r="AA92" s="559">
        <f t="shared" ca="1" si="39"/>
        <v>9.0761462727014712E-5</v>
      </c>
      <c r="AB92" s="559">
        <f t="shared" ca="1" si="39"/>
        <v>9.0761462727014712E-5</v>
      </c>
      <c r="AC92" s="557" t="s">
        <v>336</v>
      </c>
      <c r="AD92" s="558">
        <f t="shared" ca="1" si="40"/>
        <v>6.2424186568447613E-4</v>
      </c>
      <c r="AE92" s="558">
        <f t="shared" ca="1" si="40"/>
        <v>6.2424186568447613E-4</v>
      </c>
      <c r="AF92" s="557" t="s">
        <v>336</v>
      </c>
      <c r="AG92" s="558">
        <f t="shared" ca="1" si="41"/>
        <v>4.1745738649559034E-4</v>
      </c>
      <c r="AH92" s="558">
        <f t="shared" ca="1" si="41"/>
        <v>4.1745738649559034E-4</v>
      </c>
      <c r="AI92" s="557" t="s">
        <v>336</v>
      </c>
      <c r="AJ92" s="507">
        <f t="shared" ca="1" si="42"/>
        <v>8.7216122511482481E-3</v>
      </c>
      <c r="AK92" s="507">
        <f t="shared" ca="1" si="42"/>
        <v>8.7216122511482481E-3</v>
      </c>
      <c r="AL92" s="507">
        <f t="shared" ca="1" si="43"/>
        <v>9.5211029016838301E-3</v>
      </c>
      <c r="AM92" s="507">
        <f t="shared" ca="1" si="43"/>
        <v>9.5211029016838301E-3</v>
      </c>
      <c r="AN92" s="507">
        <f t="shared" ca="1" si="44"/>
        <v>-4.8852237273076316E-4</v>
      </c>
      <c r="AO92" s="507">
        <f t="shared" ca="1" si="44"/>
        <v>-4.8852237273076316E-4</v>
      </c>
      <c r="AP92" s="507">
        <f t="shared" ca="1" si="45"/>
        <v>-3.2669592376857563E-4</v>
      </c>
      <c r="AQ92" s="507">
        <f t="shared" ca="1" si="45"/>
        <v>-3.2669592376857563E-4</v>
      </c>
      <c r="AR92" s="812" t="s">
        <v>138</v>
      </c>
      <c r="AS92" s="812">
        <v>2104008210</v>
      </c>
      <c r="AT92" s="507">
        <f t="shared" ca="1" si="46"/>
        <v>0.43158967353461336</v>
      </c>
      <c r="AU92" s="507">
        <f t="shared" ca="1" si="46"/>
        <v>0.43158967353461336</v>
      </c>
      <c r="AV92" s="507">
        <f t="shared" ca="1" si="47"/>
        <v>0.43158967353461342</v>
      </c>
      <c r="AW92" s="507">
        <f t="shared" ca="1" si="47"/>
        <v>0.43158967353461342</v>
      </c>
      <c r="AX92" s="507">
        <f t="shared" ca="1" si="48"/>
        <v>-1.5549841841191174</v>
      </c>
      <c r="AY92" s="507">
        <f t="shared" ca="1" si="48"/>
        <v>-1.5549841841191174</v>
      </c>
      <c r="AZ92" s="507">
        <f t="shared" ca="1" si="49"/>
        <v>-1.5549841841191174</v>
      </c>
      <c r="BA92" s="507">
        <f t="shared" ca="1" si="49"/>
        <v>-1.5549841841191174</v>
      </c>
      <c r="BB92" s="550">
        <f t="shared" ref="BB92:BC109" ca="1" si="50">1-((1-AT92))</f>
        <v>0.43158967353461342</v>
      </c>
      <c r="BC92" s="550">
        <f t="shared" ca="1" si="50"/>
        <v>0.43158967353461342</v>
      </c>
      <c r="BD92" s="550">
        <f t="shared" ref="BD92:BE109" ca="1" si="51">1-((1-AX92))</f>
        <v>-1.5549841841191174</v>
      </c>
      <c r="BE92" s="550">
        <f t="shared" ca="1" si="51"/>
        <v>-1.5549841841191174</v>
      </c>
    </row>
    <row r="93" spans="1:57" x14ac:dyDescent="0.25">
      <c r="A93" s="60">
        <f t="shared" si="29"/>
        <v>0.66</v>
      </c>
      <c r="B93" s="812"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4.9284619028408016E-3</v>
      </c>
      <c r="M93" s="559">
        <f t="shared" ca="1" si="34"/>
        <v>7.2078755329046708E-3</v>
      </c>
      <c r="N93" s="557" t="s">
        <v>336</v>
      </c>
      <c r="O93" s="559">
        <f t="shared" ca="1" si="35"/>
        <v>5.3802429611334657E-3</v>
      </c>
      <c r="P93" s="559">
        <f t="shared" ca="1" si="35"/>
        <v>7.8686053306576912E-3</v>
      </c>
      <c r="Q93" s="557" t="s">
        <v>336</v>
      </c>
      <c r="R93" s="558">
        <f t="shared" ca="1" si="36"/>
        <v>1.9696148536251565E-5</v>
      </c>
      <c r="S93" s="558">
        <f t="shared" ca="1" si="36"/>
        <v>2.8805617234267911E-5</v>
      </c>
      <c r="T93" s="557" t="s">
        <v>336</v>
      </c>
      <c r="U93" s="558">
        <f t="shared" ca="1" si="37"/>
        <v>2.1501650334869137E-5</v>
      </c>
      <c r="V93" s="558">
        <f t="shared" ca="1" si="37"/>
        <v>3.1446163614746104E-5</v>
      </c>
      <c r="W93" s="557" t="s">
        <v>336</v>
      </c>
      <c r="X93" s="559">
        <f t="shared" ca="1" si="38"/>
        <v>1.9538190336839566E-4</v>
      </c>
      <c r="Y93" s="559">
        <f t="shared" ca="1" si="38"/>
        <v>2.8574603367627859E-4</v>
      </c>
      <c r="Z93" s="557" t="s">
        <v>336</v>
      </c>
      <c r="AA93" s="559">
        <f t="shared" ca="1" si="39"/>
        <v>1.3066028286851699E-4</v>
      </c>
      <c r="AB93" s="559">
        <f t="shared" ca="1" si="39"/>
        <v>1.9109066369520607E-4</v>
      </c>
      <c r="AC93" s="557" t="s">
        <v>336</v>
      </c>
      <c r="AD93" s="558">
        <f t="shared" ca="1" si="40"/>
        <v>1.4827875938947957E-3</v>
      </c>
      <c r="AE93" s="558">
        <f t="shared" ca="1" si="40"/>
        <v>2.1685768560711382E-3</v>
      </c>
      <c r="AF93" s="557" t="s">
        <v>336</v>
      </c>
      <c r="AG93" s="558">
        <f t="shared" ca="1" si="41"/>
        <v>9.9160384412326627E-4</v>
      </c>
      <c r="AH93" s="558">
        <f t="shared" ca="1" si="41"/>
        <v>1.4502206220302768E-3</v>
      </c>
      <c r="AI93" s="557" t="s">
        <v>336</v>
      </c>
      <c r="AJ93" s="507">
        <f t="shared" ca="1" si="42"/>
        <v>4.9087657543045501E-3</v>
      </c>
      <c r="AK93" s="507">
        <f t="shared" ca="1" si="42"/>
        <v>7.1790699156704029E-3</v>
      </c>
      <c r="AL93" s="507">
        <f t="shared" ca="1" si="43"/>
        <v>5.3587413107985963E-3</v>
      </c>
      <c r="AM93" s="507">
        <f t="shared" ca="1" si="43"/>
        <v>7.8371591670429452E-3</v>
      </c>
      <c r="AN93" s="507">
        <f t="shared" ca="1" si="44"/>
        <v>-1.2874056905264001E-3</v>
      </c>
      <c r="AO93" s="507">
        <f t="shared" ca="1" si="44"/>
        <v>-1.8828308223948595E-3</v>
      </c>
      <c r="AP93" s="507">
        <f t="shared" ca="1" si="45"/>
        <v>-8.6094356125474925E-4</v>
      </c>
      <c r="AQ93" s="507">
        <f t="shared" ca="1" si="45"/>
        <v>-1.2591299583350707E-3</v>
      </c>
      <c r="AR93" s="812" t="s">
        <v>139</v>
      </c>
      <c r="AS93" s="812">
        <v>2104008220</v>
      </c>
      <c r="AT93" s="507">
        <f t="shared" ca="1" si="46"/>
        <v>0.29420413770727244</v>
      </c>
      <c r="AU93" s="507">
        <f t="shared" ca="1" si="46"/>
        <v>0.43027355139688583</v>
      </c>
      <c r="AV93" s="507">
        <f t="shared" ca="1" si="47"/>
        <v>0.29420413770727238</v>
      </c>
      <c r="AW93" s="507">
        <f t="shared" ca="1" si="47"/>
        <v>0.43027355139688578</v>
      </c>
      <c r="AX93" s="507">
        <f t="shared" ca="1" si="48"/>
        <v>-1.9463411308010561</v>
      </c>
      <c r="AY93" s="507">
        <f t="shared" ca="1" si="48"/>
        <v>-2.8465239037965437</v>
      </c>
      <c r="AZ93" s="507">
        <f t="shared" ca="1" si="49"/>
        <v>-1.9463411308010556</v>
      </c>
      <c r="BA93" s="507">
        <f t="shared" ca="1" si="49"/>
        <v>-2.8465239037965437</v>
      </c>
      <c r="BB93" s="550">
        <f t="shared" ca="1" si="50"/>
        <v>0.29420413770727238</v>
      </c>
      <c r="BC93" s="550">
        <f t="shared" ca="1" si="50"/>
        <v>0.43027355139688583</v>
      </c>
      <c r="BD93" s="550">
        <f t="shared" ca="1" si="51"/>
        <v>-1.9463411308010561</v>
      </c>
      <c r="BE93" s="550">
        <f t="shared" ca="1" si="51"/>
        <v>-2.8465239037965437</v>
      </c>
    </row>
    <row r="94" spans="1:57" x14ac:dyDescent="0.25">
      <c r="A94" s="60">
        <f t="shared" si="29"/>
        <v>0.7</v>
      </c>
      <c r="B94" s="812"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3.2145694941358724E-3</v>
      </c>
      <c r="M94" s="559">
        <f t="shared" ca="1" si="34"/>
        <v>4.701307885173713E-3</v>
      </c>
      <c r="N94" s="557" t="s">
        <v>336</v>
      </c>
      <c r="O94" s="559">
        <f t="shared" ca="1" si="35"/>
        <v>3.5092418760363825E-3</v>
      </c>
      <c r="P94" s="559">
        <f t="shared" ca="1" si="35"/>
        <v>5.1322662437032086E-3</v>
      </c>
      <c r="Q94" s="557" t="s">
        <v>336</v>
      </c>
      <c r="R94" s="558">
        <f t="shared" ca="1" si="36"/>
        <v>1.2577221927398684E-5</v>
      </c>
      <c r="S94" s="558">
        <f t="shared" ca="1" si="36"/>
        <v>1.8394187068820575E-5</v>
      </c>
      <c r="T94" s="557" t="s">
        <v>336</v>
      </c>
      <c r="U94" s="558">
        <f t="shared" ca="1" si="37"/>
        <v>1.3730147676802702E-5</v>
      </c>
      <c r="V94" s="558">
        <f t="shared" ca="1" si="37"/>
        <v>2.0080340977323949E-5</v>
      </c>
      <c r="W94" s="557" t="s">
        <v>336</v>
      </c>
      <c r="X94" s="559">
        <f t="shared" ca="1" si="38"/>
        <v>1.1763421130116898E-4</v>
      </c>
      <c r="Y94" s="559">
        <f t="shared" ca="1" si="38"/>
        <v>1.7204003402795958E-4</v>
      </c>
      <c r="Z94" s="557" t="s">
        <v>336</v>
      </c>
      <c r="AA94" s="559">
        <f t="shared" ca="1" si="39"/>
        <v>7.8667056972236754E-5</v>
      </c>
      <c r="AB94" s="559">
        <f t="shared" ca="1" si="39"/>
        <v>1.1505057082189623E-4</v>
      </c>
      <c r="AC94" s="557" t="s">
        <v>336</v>
      </c>
      <c r="AD94" s="558">
        <f t="shared" ca="1" si="40"/>
        <v>9.4685255877734003E-4</v>
      </c>
      <c r="AE94" s="558">
        <f t="shared" ca="1" si="40"/>
        <v>1.3847718672118593E-3</v>
      </c>
      <c r="AF94" s="557" t="s">
        <v>336</v>
      </c>
      <c r="AG94" s="558">
        <f t="shared" ca="1" si="41"/>
        <v>6.3320103362570813E-4</v>
      </c>
      <c r="AH94" s="558">
        <f t="shared" ca="1" si="41"/>
        <v>9.2605651167759794E-4</v>
      </c>
      <c r="AI94" s="557" t="s">
        <v>336</v>
      </c>
      <c r="AJ94" s="507">
        <f t="shared" ca="1" si="42"/>
        <v>3.2019922722084739E-3</v>
      </c>
      <c r="AK94" s="507">
        <f t="shared" ca="1" si="42"/>
        <v>4.6829136981048928E-3</v>
      </c>
      <c r="AL94" s="507">
        <f t="shared" ca="1" si="43"/>
        <v>3.4955117283595799E-3</v>
      </c>
      <c r="AM94" s="507">
        <f t="shared" ca="1" si="43"/>
        <v>5.1121859027258845E-3</v>
      </c>
      <c r="AN94" s="507">
        <f t="shared" ca="1" si="44"/>
        <v>-8.2921834747617105E-4</v>
      </c>
      <c r="AO94" s="507">
        <f t="shared" ca="1" si="44"/>
        <v>-1.2127318331838998E-3</v>
      </c>
      <c r="AP94" s="507">
        <f t="shared" ca="1" si="45"/>
        <v>-5.5453397665347138E-4</v>
      </c>
      <c r="AQ94" s="507">
        <f t="shared" ca="1" si="45"/>
        <v>-8.1100594085570168E-4</v>
      </c>
      <c r="AR94" s="812" t="s">
        <v>140</v>
      </c>
      <c r="AS94" s="812">
        <v>2104008230</v>
      </c>
      <c r="AT94" s="507">
        <f t="shared" ca="1" si="46"/>
        <v>0.29422890297323068</v>
      </c>
      <c r="AU94" s="507">
        <f t="shared" ca="1" si="46"/>
        <v>0.43030977059834979</v>
      </c>
      <c r="AV94" s="507">
        <f t="shared" ca="1" si="47"/>
        <v>0.29422890297323068</v>
      </c>
      <c r="AW94" s="507">
        <f t="shared" ca="1" si="47"/>
        <v>0.43030977059834974</v>
      </c>
      <c r="AX94" s="507">
        <f t="shared" ca="1" si="48"/>
        <v>-2.0822032972365507</v>
      </c>
      <c r="AY94" s="507">
        <f t="shared" ca="1" si="48"/>
        <v>-3.0452223222084545</v>
      </c>
      <c r="AZ94" s="507">
        <f t="shared" ca="1" si="49"/>
        <v>-2.0822032972365507</v>
      </c>
      <c r="BA94" s="507">
        <f t="shared" ca="1" si="49"/>
        <v>-3.0452223222084545</v>
      </c>
      <c r="BB94" s="550">
        <f t="shared" ca="1" si="50"/>
        <v>0.29422890297323068</v>
      </c>
      <c r="BC94" s="550">
        <f t="shared" ca="1" si="50"/>
        <v>0.43030977059834985</v>
      </c>
      <c r="BD94" s="550">
        <f t="shared" ca="1" si="51"/>
        <v>-2.0822032972365507</v>
      </c>
      <c r="BE94" s="550">
        <f t="shared" ca="1" si="51"/>
        <v>-3.0452223222084545</v>
      </c>
    </row>
    <row r="95" spans="1:57" x14ac:dyDescent="0.25">
      <c r="A95" s="60">
        <f t="shared" si="29"/>
        <v>0.54</v>
      </c>
      <c r="B95" s="812"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7.0299414535099719E-2</v>
      </c>
      <c r="M95" s="559">
        <f t="shared" ca="1" si="34"/>
        <v>7.0299414535099719E-2</v>
      </c>
      <c r="N95" s="557" t="s">
        <v>336</v>
      </c>
      <c r="O95" s="559">
        <f t="shared" ca="1" si="35"/>
        <v>7.6743604329427922E-2</v>
      </c>
      <c r="P95" s="559">
        <f t="shared" ca="1" si="35"/>
        <v>7.6743604329427922E-2</v>
      </c>
      <c r="Q95" s="557" t="s">
        <v>336</v>
      </c>
      <c r="R95" s="558">
        <f t="shared" ca="1" si="36"/>
        <v>2.2717545465009381E-4</v>
      </c>
      <c r="S95" s="558">
        <f t="shared" ca="1" si="36"/>
        <v>2.2717545465009381E-4</v>
      </c>
      <c r="T95" s="557" t="s">
        <v>336</v>
      </c>
      <c r="U95" s="558">
        <f t="shared" ca="1" si="37"/>
        <v>2.4800011949345556E-4</v>
      </c>
      <c r="V95" s="558">
        <f t="shared" ca="1" si="37"/>
        <v>2.4800011949345556E-4</v>
      </c>
      <c r="W95" s="557" t="s">
        <v>336</v>
      </c>
      <c r="X95" s="559">
        <f t="shared" ca="1" si="38"/>
        <v>2.7543213396976759E-3</v>
      </c>
      <c r="Y95" s="559">
        <f t="shared" ca="1" si="38"/>
        <v>2.7543213396976759E-3</v>
      </c>
      <c r="Z95" s="557" t="s">
        <v>336</v>
      </c>
      <c r="AA95" s="559">
        <f t="shared" ca="1" si="39"/>
        <v>1.8419331532313454E-3</v>
      </c>
      <c r="AB95" s="559">
        <f t="shared" ca="1" si="39"/>
        <v>1.8419331532313454E-3</v>
      </c>
      <c r="AC95" s="557" t="s">
        <v>336</v>
      </c>
      <c r="AD95" s="558">
        <f t="shared" ca="1" si="40"/>
        <v>1.7102477937378319E-2</v>
      </c>
      <c r="AE95" s="558">
        <f t="shared" ca="1" si="40"/>
        <v>1.7102477937378319E-2</v>
      </c>
      <c r="AF95" s="557" t="s">
        <v>336</v>
      </c>
      <c r="AG95" s="558">
        <f t="shared" ca="1" si="41"/>
        <v>1.1437162636485433E-2</v>
      </c>
      <c r="AH95" s="558">
        <f t="shared" ca="1" si="41"/>
        <v>1.1437162636485433E-2</v>
      </c>
      <c r="AI95" s="557" t="s">
        <v>336</v>
      </c>
      <c r="AJ95" s="507">
        <f t="shared" ca="1" si="42"/>
        <v>7.0072239080449628E-2</v>
      </c>
      <c r="AK95" s="507">
        <f t="shared" ca="1" si="42"/>
        <v>7.0072239080449628E-2</v>
      </c>
      <c r="AL95" s="507">
        <f t="shared" ca="1" si="43"/>
        <v>7.6495604209934467E-2</v>
      </c>
      <c r="AM95" s="507">
        <f t="shared" ca="1" si="43"/>
        <v>7.6495604209934467E-2</v>
      </c>
      <c r="AN95" s="507">
        <f t="shared" ca="1" si="44"/>
        <v>-1.4348156597680642E-2</v>
      </c>
      <c r="AO95" s="507">
        <f t="shared" ca="1" si="44"/>
        <v>-1.4348156597680642E-2</v>
      </c>
      <c r="AP95" s="507">
        <f t="shared" ca="1" si="45"/>
        <v>-9.595229483254088E-3</v>
      </c>
      <c r="AQ95" s="507">
        <f t="shared" ca="1" si="45"/>
        <v>-9.595229483254088E-3</v>
      </c>
      <c r="AR95" s="812" t="s">
        <v>141</v>
      </c>
      <c r="AS95" s="812">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2"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6.60554524160539E-2</v>
      </c>
      <c r="M96" s="559">
        <f t="shared" ca="1" si="34"/>
        <v>9.6606099158478814E-2</v>
      </c>
      <c r="N96" s="557" t="s">
        <v>336</v>
      </c>
      <c r="O96" s="559">
        <f t="shared" ca="1" si="35"/>
        <v>7.2110607713353467E-2</v>
      </c>
      <c r="P96" s="559">
        <f t="shared" ca="1" si="35"/>
        <v>0.10546176378077941</v>
      </c>
      <c r="Q96" s="557" t="s">
        <v>336</v>
      </c>
      <c r="R96" s="558">
        <f t="shared" ca="1" si="36"/>
        <v>4.1183065101909412E-4</v>
      </c>
      <c r="S96" s="558">
        <f t="shared" ca="1" si="36"/>
        <v>6.0230232711542511E-4</v>
      </c>
      <c r="T96" s="557" t="s">
        <v>336</v>
      </c>
      <c r="U96" s="558">
        <f t="shared" ca="1" si="37"/>
        <v>4.4958224391413479E-4</v>
      </c>
      <c r="V96" s="558">
        <f t="shared" ca="1" si="37"/>
        <v>6.5751403172442191E-4</v>
      </c>
      <c r="W96" s="557" t="s">
        <v>336</v>
      </c>
      <c r="X96" s="559">
        <f t="shared" ca="1" si="38"/>
        <v>3.9651234625659483E-3</v>
      </c>
      <c r="Y96" s="559">
        <f t="shared" ca="1" si="38"/>
        <v>5.7989930640026978E-3</v>
      </c>
      <c r="Z96" s="557" t="s">
        <v>336</v>
      </c>
      <c r="AA96" s="559">
        <f t="shared" ca="1" si="39"/>
        <v>2.6516486137951297E-3</v>
      </c>
      <c r="AB96" s="559">
        <f t="shared" ca="1" si="39"/>
        <v>3.8780360976753761E-3</v>
      </c>
      <c r="AC96" s="557" t="s">
        <v>336</v>
      </c>
      <c r="AD96" s="558">
        <f t="shared" ca="1" si="40"/>
        <v>3.1003897995224287E-2</v>
      </c>
      <c r="AE96" s="558">
        <f t="shared" ca="1" si="40"/>
        <v>4.534320081801551E-2</v>
      </c>
      <c r="AF96" s="557" t="s">
        <v>336</v>
      </c>
      <c r="AG96" s="558">
        <f t="shared" ca="1" si="41"/>
        <v>2.0733640179789164E-2</v>
      </c>
      <c r="AH96" s="558">
        <f t="shared" ca="1" si="41"/>
        <v>3.0322948762941643E-2</v>
      </c>
      <c r="AI96" s="557" t="s">
        <v>336</v>
      </c>
      <c r="AJ96" s="507">
        <f t="shared" ca="1" si="42"/>
        <v>6.5643621765034812E-2</v>
      </c>
      <c r="AK96" s="507">
        <f t="shared" ca="1" si="42"/>
        <v>9.6003796831363383E-2</v>
      </c>
      <c r="AL96" s="507">
        <f t="shared" ca="1" si="43"/>
        <v>7.1661025469439338E-2</v>
      </c>
      <c r="AM96" s="507">
        <f t="shared" ca="1" si="43"/>
        <v>0.10480424974905499</v>
      </c>
      <c r="AN96" s="507">
        <f t="shared" ca="1" si="44"/>
        <v>-2.7038774532658339E-2</v>
      </c>
      <c r="AO96" s="507">
        <f t="shared" ca="1" si="44"/>
        <v>-3.9544207754012808E-2</v>
      </c>
      <c r="AP96" s="507">
        <f t="shared" ca="1" si="45"/>
        <v>-1.8081991565994035E-2</v>
      </c>
      <c r="AQ96" s="507">
        <f t="shared" ca="1" si="45"/>
        <v>-2.6444912665266267E-2</v>
      </c>
      <c r="AR96" s="812" t="s">
        <v>142</v>
      </c>
      <c r="AS96" s="812">
        <v>2104008320</v>
      </c>
      <c r="AT96" s="507">
        <f t="shared" ca="1" si="46"/>
        <v>0.29354300452577731</v>
      </c>
      <c r="AU96" s="507">
        <f t="shared" ca="1" si="46"/>
        <v>0.42930664411894914</v>
      </c>
      <c r="AV96" s="507">
        <f t="shared" ca="1" si="47"/>
        <v>0.29354300452577731</v>
      </c>
      <c r="AW96" s="507">
        <f t="shared" ca="1" si="47"/>
        <v>0.42930664411894914</v>
      </c>
      <c r="AX96" s="507">
        <f t="shared" ca="1" si="48"/>
        <v>-2.0142722140188041</v>
      </c>
      <c r="AY96" s="507">
        <f t="shared" ca="1" si="48"/>
        <v>-2.9458731130024995</v>
      </c>
      <c r="AZ96" s="507">
        <f t="shared" ca="1" si="49"/>
        <v>-2.0142722140188036</v>
      </c>
      <c r="BA96" s="507">
        <f t="shared" ca="1" si="49"/>
        <v>-2.9458731130024995</v>
      </c>
      <c r="BB96" s="550">
        <f t="shared" ca="1" si="50"/>
        <v>0.29354300452577731</v>
      </c>
      <c r="BC96" s="550">
        <f t="shared" ca="1" si="50"/>
        <v>0.42930664411894914</v>
      </c>
      <c r="BD96" s="550">
        <f t="shared" ca="1" si="51"/>
        <v>-2.0142722140188041</v>
      </c>
      <c r="BE96" s="550">
        <f t="shared" ca="1" si="51"/>
        <v>-2.9458731130024995</v>
      </c>
    </row>
    <row r="97" spans="1:57" x14ac:dyDescent="0.25">
      <c r="A97" s="60">
        <f t="shared" si="29"/>
        <v>0.72</v>
      </c>
      <c r="B97" s="812"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4.4128598945775796E-2</v>
      </c>
      <c r="M97" s="559">
        <f t="shared" ca="1" si="34"/>
        <v>6.4538075958197091E-2</v>
      </c>
      <c r="N97" s="557" t="s">
        <v>336</v>
      </c>
      <c r="O97" s="559">
        <f t="shared" ca="1" si="35"/>
        <v>4.817376872201036E-2</v>
      </c>
      <c r="P97" s="559">
        <f t="shared" ca="1" si="35"/>
        <v>7.045413675594013E-2</v>
      </c>
      <c r="Q97" s="557" t="s">
        <v>336</v>
      </c>
      <c r="R97" s="558">
        <f t="shared" ca="1" si="36"/>
        <v>2.625376291757128E-4</v>
      </c>
      <c r="S97" s="558">
        <f t="shared" ca="1" si="36"/>
        <v>3.8396128266947994E-4</v>
      </c>
      <c r="T97" s="557" t="s">
        <v>336</v>
      </c>
      <c r="U97" s="558">
        <f t="shared" ca="1" si="37"/>
        <v>2.8660386531366146E-4</v>
      </c>
      <c r="V97" s="558">
        <f t="shared" ca="1" si="37"/>
        <v>4.1915815302122973E-4</v>
      </c>
      <c r="W97" s="557" t="s">
        <v>336</v>
      </c>
      <c r="X97" s="559">
        <f t="shared" ca="1" si="38"/>
        <v>2.3872946428986131E-3</v>
      </c>
      <c r="Y97" s="559">
        <f t="shared" ca="1" si="38"/>
        <v>3.4914184152392207E-3</v>
      </c>
      <c r="Z97" s="557" t="s">
        <v>336</v>
      </c>
      <c r="AA97" s="559">
        <f t="shared" ca="1" si="39"/>
        <v>1.5964866139290769E-3</v>
      </c>
      <c r="AB97" s="559">
        <f t="shared" ca="1" si="39"/>
        <v>2.3348616728712745E-3</v>
      </c>
      <c r="AC97" s="557" t="s">
        <v>336</v>
      </c>
      <c r="AD97" s="558">
        <f t="shared" ca="1" si="40"/>
        <v>1.9764652909466003E-2</v>
      </c>
      <c r="AE97" s="558">
        <f t="shared" ca="1" si="40"/>
        <v>2.8905804880094019E-2</v>
      </c>
      <c r="AF97" s="557" t="s">
        <v>336</v>
      </c>
      <c r="AG97" s="558">
        <f t="shared" ca="1" si="41"/>
        <v>1.3217473550145664E-2</v>
      </c>
      <c r="AH97" s="558">
        <f t="shared" ca="1" si="41"/>
        <v>1.9330555067088029E-2</v>
      </c>
      <c r="AI97" s="557" t="s">
        <v>336</v>
      </c>
      <c r="AJ97" s="507">
        <f t="shared" ca="1" si="42"/>
        <v>4.3866061316600084E-2</v>
      </c>
      <c r="AK97" s="507">
        <f t="shared" ca="1" si="42"/>
        <v>6.4154114675527618E-2</v>
      </c>
      <c r="AL97" s="507">
        <f t="shared" ca="1" si="43"/>
        <v>4.7887164856696696E-2</v>
      </c>
      <c r="AM97" s="507">
        <f t="shared" ca="1" si="43"/>
        <v>7.0034978602918907E-2</v>
      </c>
      <c r="AN97" s="507">
        <f t="shared" ca="1" si="44"/>
        <v>-1.7377358266567389E-2</v>
      </c>
      <c r="AO97" s="507">
        <f t="shared" ca="1" si="44"/>
        <v>-2.5414386464854798E-2</v>
      </c>
      <c r="AP97" s="507">
        <f t="shared" ca="1" si="45"/>
        <v>-1.1620986936216587E-2</v>
      </c>
      <c r="AQ97" s="507">
        <f t="shared" ca="1" si="45"/>
        <v>-1.6995693394216756E-2</v>
      </c>
      <c r="AR97" s="812" t="s">
        <v>143</v>
      </c>
      <c r="AS97" s="812">
        <v>2104008330</v>
      </c>
      <c r="AT97" s="507">
        <f t="shared" ca="1" si="46"/>
        <v>0.29362726123173721</v>
      </c>
      <c r="AU97" s="507">
        <f t="shared" ca="1" si="46"/>
        <v>0.4294298695514156</v>
      </c>
      <c r="AV97" s="507">
        <f t="shared" ca="1" si="47"/>
        <v>0.29362726123173721</v>
      </c>
      <c r="AW97" s="507">
        <f t="shared" ca="1" si="47"/>
        <v>0.4294298695514156</v>
      </c>
      <c r="AX97" s="507">
        <f t="shared" ca="1" si="48"/>
        <v>-2.1501343804542987</v>
      </c>
      <c r="AY97" s="507">
        <f t="shared" ca="1" si="48"/>
        <v>-3.1445715314144107</v>
      </c>
      <c r="AZ97" s="507">
        <f t="shared" ca="1" si="49"/>
        <v>-2.1501343804542987</v>
      </c>
      <c r="BA97" s="507">
        <f t="shared" ca="1" si="49"/>
        <v>-3.1445715314144111</v>
      </c>
      <c r="BB97" s="550">
        <f t="shared" ca="1" si="50"/>
        <v>0.29362726123173721</v>
      </c>
      <c r="BC97" s="550">
        <f t="shared" ca="1" si="50"/>
        <v>0.4294298695514156</v>
      </c>
      <c r="BD97" s="550">
        <f t="shared" ca="1" si="51"/>
        <v>-2.1501343804542987</v>
      </c>
      <c r="BE97" s="550">
        <f t="shared" ca="1" si="51"/>
        <v>-3.1445715314144103</v>
      </c>
    </row>
    <row r="98" spans="1:57" x14ac:dyDescent="0.25">
      <c r="A98" s="60">
        <f t="shared" si="29"/>
        <v>0.56000000000000005</v>
      </c>
      <c r="B98" s="812"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2.381370694758328E-3</v>
      </c>
      <c r="M98" s="559">
        <f t="shared" ca="1" si="34"/>
        <v>2.381370694758328E-3</v>
      </c>
      <c r="N98" s="557" t="s">
        <v>336</v>
      </c>
      <c r="O98" s="559">
        <f t="shared" ca="1" si="35"/>
        <v>2.5996656098605268E-3</v>
      </c>
      <c r="P98" s="559">
        <f t="shared" ca="1" si="35"/>
        <v>2.5996656098605268E-3</v>
      </c>
      <c r="Q98" s="557" t="s">
        <v>336</v>
      </c>
      <c r="R98" s="558">
        <f t="shared" ca="1" si="36"/>
        <v>3.1274591702898124E-5</v>
      </c>
      <c r="S98" s="558">
        <f t="shared" ca="1" si="36"/>
        <v>3.1274591702898124E-5</v>
      </c>
      <c r="T98" s="557" t="s">
        <v>336</v>
      </c>
      <c r="U98" s="558">
        <f t="shared" ca="1" si="37"/>
        <v>3.4141463440115382E-5</v>
      </c>
      <c r="V98" s="558">
        <f t="shared" ca="1" si="37"/>
        <v>3.4141463440115382E-5</v>
      </c>
      <c r="W98" s="557" t="s">
        <v>336</v>
      </c>
      <c r="X98" s="559">
        <f t="shared" ca="1" si="38"/>
        <v>3.061818615306979E-4</v>
      </c>
      <c r="Y98" s="559">
        <f t="shared" ca="1" si="38"/>
        <v>3.061818615306979E-4</v>
      </c>
      <c r="Z98" s="557" t="s">
        <v>336</v>
      </c>
      <c r="AA98" s="559">
        <f t="shared" ca="1" si="39"/>
        <v>2.0475698080071674E-4</v>
      </c>
      <c r="AB98" s="559">
        <f t="shared" ca="1" si="39"/>
        <v>2.0475698080071674E-4</v>
      </c>
      <c r="AC98" s="557" t="s">
        <v>336</v>
      </c>
      <c r="AD98" s="558">
        <f t="shared" ca="1" si="40"/>
        <v>2.3544489673110449E-3</v>
      </c>
      <c r="AE98" s="558">
        <f t="shared" ca="1" si="40"/>
        <v>2.3544489673110449E-3</v>
      </c>
      <c r="AF98" s="557" t="s">
        <v>336</v>
      </c>
      <c r="AG98" s="558">
        <f t="shared" ca="1" si="41"/>
        <v>1.5745212978517361E-3</v>
      </c>
      <c r="AH98" s="558">
        <f t="shared" ca="1" si="41"/>
        <v>1.5745212978517361E-3</v>
      </c>
      <c r="AI98" s="557" t="s">
        <v>336</v>
      </c>
      <c r="AJ98" s="507">
        <f t="shared" ca="1" si="42"/>
        <v>2.3500961030554299E-3</v>
      </c>
      <c r="AK98" s="507">
        <f t="shared" ca="1" si="42"/>
        <v>2.3500961030554299E-3</v>
      </c>
      <c r="AL98" s="507">
        <f t="shared" ca="1" si="43"/>
        <v>2.5655241464204114E-3</v>
      </c>
      <c r="AM98" s="507">
        <f t="shared" ca="1" si="43"/>
        <v>2.5655241464204114E-3</v>
      </c>
      <c r="AN98" s="507">
        <f t="shared" ca="1" si="44"/>
        <v>-2.048267105780347E-3</v>
      </c>
      <c r="AO98" s="507">
        <f t="shared" ca="1" si="44"/>
        <v>-2.048267105780347E-3</v>
      </c>
      <c r="AP98" s="507">
        <f t="shared" ca="1" si="45"/>
        <v>-1.3697643170510194E-3</v>
      </c>
      <c r="AQ98" s="507">
        <f t="shared" ca="1" si="45"/>
        <v>-1.3697643170510194E-3</v>
      </c>
      <c r="AR98" s="812" t="s">
        <v>144</v>
      </c>
      <c r="AS98" s="812">
        <v>2104008410</v>
      </c>
      <c r="AT98" s="507">
        <f t="shared" ca="1" si="46"/>
        <v>0.42632653486271976</v>
      </c>
      <c r="AU98" s="507">
        <f t="shared" ca="1" si="46"/>
        <v>0.42632653486271976</v>
      </c>
      <c r="AV98" s="507">
        <f t="shared" ca="1" si="47"/>
        <v>0.42632653486271976</v>
      </c>
      <c r="AW98" s="507">
        <f t="shared" ca="1" si="47"/>
        <v>0.42632653486271976</v>
      </c>
      <c r="AX98" s="507">
        <f t="shared" ca="1" si="48"/>
        <v>-2.8899536545811819</v>
      </c>
      <c r="AY98" s="507">
        <f t="shared" ca="1" si="48"/>
        <v>-2.8899536545811819</v>
      </c>
      <c r="AZ98" s="507">
        <f t="shared" ca="1" si="49"/>
        <v>-2.8899536545811824</v>
      </c>
      <c r="BA98" s="507">
        <f t="shared" ca="1" si="49"/>
        <v>-2.8899536545811824</v>
      </c>
      <c r="BB98" s="550">
        <f t="shared" ca="1" si="50"/>
        <v>0.42632653486271976</v>
      </c>
      <c r="BC98" s="550">
        <f t="shared" ca="1" si="50"/>
        <v>0.42632653486271976</v>
      </c>
      <c r="BD98" s="550">
        <f t="shared" ca="1" si="51"/>
        <v>-2.8899536545811819</v>
      </c>
      <c r="BE98" s="550">
        <f t="shared" ca="1" si="51"/>
        <v>-2.8899536545811819</v>
      </c>
    </row>
    <row r="99" spans="1:57" x14ac:dyDescent="0.25">
      <c r="A99" s="60">
        <f t="shared" si="29"/>
        <v>0.78</v>
      </c>
      <c r="B99" s="812"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8.0324373630788759E-3</v>
      </c>
      <c r="M99" s="559">
        <f t="shared" ca="1" si="34"/>
        <v>8.0324373630788759E-3</v>
      </c>
      <c r="N99" s="557" t="s">
        <v>336</v>
      </c>
      <c r="O99" s="559">
        <f t="shared" ca="1" si="35"/>
        <v>8.7687528960181862E-3</v>
      </c>
      <c r="P99" s="559">
        <f t="shared" ca="1" si="35"/>
        <v>8.7687528960181862E-3</v>
      </c>
      <c r="Q99" s="557" t="s">
        <v>336</v>
      </c>
      <c r="R99" s="558">
        <f t="shared" ca="1" si="36"/>
        <v>1.4693273648526504E-4</v>
      </c>
      <c r="S99" s="558">
        <f t="shared" ca="1" si="36"/>
        <v>1.4693273648526504E-4</v>
      </c>
      <c r="T99" s="557" t="s">
        <v>336</v>
      </c>
      <c r="U99" s="558">
        <f t="shared" ca="1" si="37"/>
        <v>1.6040173117281401E-4</v>
      </c>
      <c r="V99" s="558">
        <f t="shared" ca="1" si="37"/>
        <v>1.6040173117281401E-4</v>
      </c>
      <c r="W99" s="557" t="s">
        <v>336</v>
      </c>
      <c r="X99" s="559">
        <f t="shared" ca="1" si="38"/>
        <v>1.0327609346455864E-3</v>
      </c>
      <c r="Y99" s="559">
        <f t="shared" ca="1" si="38"/>
        <v>1.0327609346455864E-3</v>
      </c>
      <c r="Z99" s="557" t="s">
        <v>336</v>
      </c>
      <c r="AA99" s="559">
        <f t="shared" ca="1" si="39"/>
        <v>6.9065165980041279E-4</v>
      </c>
      <c r="AB99" s="559">
        <f t="shared" ca="1" si="39"/>
        <v>6.9065165980041279E-4</v>
      </c>
      <c r="AC99" s="557" t="s">
        <v>336</v>
      </c>
      <c r="AD99" s="558">
        <f t="shared" ca="1" si="40"/>
        <v>1.1061555430309919E-2</v>
      </c>
      <c r="AE99" s="558">
        <f t="shared" ca="1" si="40"/>
        <v>1.1061555430309919E-2</v>
      </c>
      <c r="AF99" s="557" t="s">
        <v>336</v>
      </c>
      <c r="AG99" s="558">
        <f t="shared" ca="1" si="41"/>
        <v>7.3973379139670222E-3</v>
      </c>
      <c r="AH99" s="558">
        <f t="shared" ca="1" si="41"/>
        <v>7.3973379139670222E-3</v>
      </c>
      <c r="AI99" s="557" t="s">
        <v>336</v>
      </c>
      <c r="AJ99" s="507">
        <f t="shared" ca="1" si="42"/>
        <v>7.8855046265936101E-3</v>
      </c>
      <c r="AK99" s="507">
        <f t="shared" ca="1" si="42"/>
        <v>7.8855046265936101E-3</v>
      </c>
      <c r="AL99" s="507">
        <f t="shared" ca="1" si="43"/>
        <v>8.6083511648453719E-3</v>
      </c>
      <c r="AM99" s="507">
        <f t="shared" ca="1" si="43"/>
        <v>8.6083511648453719E-3</v>
      </c>
      <c r="AN99" s="507">
        <f t="shared" ca="1" si="44"/>
        <v>-1.0028794495664333E-2</v>
      </c>
      <c r="AO99" s="507">
        <f t="shared" ca="1" si="44"/>
        <v>-1.0028794495664333E-2</v>
      </c>
      <c r="AP99" s="507">
        <f t="shared" ca="1" si="45"/>
        <v>-6.7066862541666095E-3</v>
      </c>
      <c r="AQ99" s="507">
        <f t="shared" ca="1" si="45"/>
        <v>-6.7066862541666095E-3</v>
      </c>
      <c r="AR99" s="812" t="s">
        <v>145</v>
      </c>
      <c r="AS99" s="812">
        <v>2104008420</v>
      </c>
      <c r="AT99" s="507">
        <f t="shared" ca="1" si="46"/>
        <v>0.42409767355878825</v>
      </c>
      <c r="AU99" s="507">
        <f t="shared" ca="1" si="46"/>
        <v>0.42409767355878825</v>
      </c>
      <c r="AV99" s="507">
        <f t="shared" ca="1" si="47"/>
        <v>0.4240976735587883</v>
      </c>
      <c r="AW99" s="507">
        <f t="shared" ca="1" si="47"/>
        <v>0.4240976735587883</v>
      </c>
      <c r="AX99" s="507">
        <f t="shared" ca="1" si="48"/>
        <v>-4.1950068760237897</v>
      </c>
      <c r="AY99" s="507">
        <f t="shared" ca="1" si="48"/>
        <v>-4.1950068760237897</v>
      </c>
      <c r="AZ99" s="507">
        <f t="shared" ca="1" si="49"/>
        <v>-4.1950068760237897</v>
      </c>
      <c r="BA99" s="507">
        <f t="shared" ca="1" si="49"/>
        <v>-4.1950068760237897</v>
      </c>
      <c r="BB99" s="550">
        <f t="shared" ca="1" si="50"/>
        <v>0.42409767355878825</v>
      </c>
      <c r="BC99" s="550">
        <f t="shared" ca="1" si="50"/>
        <v>0.42409767355878825</v>
      </c>
      <c r="BD99" s="550">
        <f t="shared" ca="1" si="51"/>
        <v>-4.1950068760237897</v>
      </c>
      <c r="BE99" s="550">
        <f t="shared" ca="1" si="51"/>
        <v>-4.1950068760237897</v>
      </c>
    </row>
    <row r="100" spans="1:57" x14ac:dyDescent="0.25">
      <c r="A100" s="60">
        <f t="shared" si="29"/>
        <v>0.43</v>
      </c>
      <c r="B100" s="812"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3.6851417364740985E-2</v>
      </c>
      <c r="M100" s="559">
        <f t="shared" ca="1" si="34"/>
        <v>3.9908216961816276E-2</v>
      </c>
      <c r="N100" s="557" t="s">
        <v>336</v>
      </c>
      <c r="O100" s="559">
        <f t="shared" ca="1" si="35"/>
        <v>4.0229504213100481E-2</v>
      </c>
      <c r="P100" s="559">
        <f t="shared" ca="1" si="35"/>
        <v>4.3566513779164116E-2</v>
      </c>
      <c r="Q100" s="557" t="s">
        <v>336</v>
      </c>
      <c r="R100" s="558">
        <f t="shared" ca="1" si="36"/>
        <v>1.1665571635618623E-4</v>
      </c>
      <c r="S100" s="558">
        <f t="shared" ca="1" si="36"/>
        <v>1.2633222739033992E-4</v>
      </c>
      <c r="T100" s="557" t="s">
        <v>336</v>
      </c>
      <c r="U100" s="558">
        <f t="shared" ca="1" si="37"/>
        <v>1.2734928445720133E-4</v>
      </c>
      <c r="V100" s="558">
        <f t="shared" ca="1" si="37"/>
        <v>1.3791281957346689E-4</v>
      </c>
      <c r="W100" s="557" t="s">
        <v>336</v>
      </c>
      <c r="X100" s="559">
        <f t="shared" ca="1" si="38"/>
        <v>1.7761699990189489E-3</v>
      </c>
      <c r="Y100" s="559">
        <f t="shared" ca="1" si="38"/>
        <v>1.9235020726702905E-3</v>
      </c>
      <c r="Z100" s="557" t="s">
        <v>336</v>
      </c>
      <c r="AA100" s="559">
        <f t="shared" ca="1" si="39"/>
        <v>1.1878012778737683E-3</v>
      </c>
      <c r="AB100" s="559">
        <f t="shared" ca="1" si="39"/>
        <v>1.2863285728126062E-3</v>
      </c>
      <c r="AC100" s="557" t="s">
        <v>336</v>
      </c>
      <c r="AD100" s="558">
        <f t="shared" ca="1" si="40"/>
        <v>8.7822067675563265E-3</v>
      </c>
      <c r="AE100" s="558">
        <f t="shared" ca="1" si="40"/>
        <v>9.5106847482752856E-3</v>
      </c>
      <c r="AF100" s="557" t="s">
        <v>336</v>
      </c>
      <c r="AG100" s="558">
        <f t="shared" ca="1" si="41"/>
        <v>5.8730394201100189E-3</v>
      </c>
      <c r="AH100" s="558">
        <f t="shared" ca="1" si="41"/>
        <v>6.3602039803034765E-3</v>
      </c>
      <c r="AI100" s="557" t="s">
        <v>336</v>
      </c>
      <c r="AJ100" s="507">
        <f t="shared" ca="1" si="42"/>
        <v>3.6734761648384802E-2</v>
      </c>
      <c r="AK100" s="507">
        <f t="shared" ca="1" si="42"/>
        <v>3.9781884734425933E-2</v>
      </c>
      <c r="AL100" s="507">
        <f t="shared" ca="1" si="43"/>
        <v>4.0102154928643281E-2</v>
      </c>
      <c r="AM100" s="507">
        <f t="shared" ca="1" si="43"/>
        <v>4.3428600959590648E-2</v>
      </c>
      <c r="AN100" s="507">
        <f t="shared" ca="1" si="44"/>
        <v>-7.006036768537378E-3</v>
      </c>
      <c r="AO100" s="507">
        <f t="shared" ca="1" si="44"/>
        <v>-7.5871826756049952E-3</v>
      </c>
      <c r="AP100" s="507">
        <f t="shared" ca="1" si="45"/>
        <v>-4.6852381422362501E-3</v>
      </c>
      <c r="AQ100" s="507">
        <f t="shared" ca="1" si="45"/>
        <v>-5.0738754074908703E-3</v>
      </c>
      <c r="AR100" s="812" t="s">
        <v>146</v>
      </c>
      <c r="AS100" s="812">
        <v>2104008610</v>
      </c>
      <c r="AT100" s="507">
        <f t="shared" ca="1" si="46"/>
        <v>0.39764785901825456</v>
      </c>
      <c r="AU100" s="507">
        <f t="shared" ca="1" si="46"/>
        <v>0.43063247405202676</v>
      </c>
      <c r="AV100" s="507">
        <f t="shared" ca="1" si="47"/>
        <v>0.3976478590182545</v>
      </c>
      <c r="AW100" s="507">
        <f t="shared" ca="1" si="47"/>
        <v>0.4306324740520267</v>
      </c>
      <c r="AX100" s="507">
        <f t="shared" ca="1" si="48"/>
        <v>-1.5734882363846254</v>
      </c>
      <c r="AY100" s="507">
        <f t="shared" ca="1" si="48"/>
        <v>-1.7040079979280507</v>
      </c>
      <c r="AZ100" s="507">
        <f t="shared" ca="1" si="49"/>
        <v>-1.5734882363846252</v>
      </c>
      <c r="BA100" s="507">
        <f t="shared" ca="1" si="49"/>
        <v>-1.7040079979280505</v>
      </c>
      <c r="BB100" s="550">
        <f t="shared" ca="1" si="50"/>
        <v>0.39764785901825461</v>
      </c>
      <c r="BC100" s="550">
        <f t="shared" ca="1" si="50"/>
        <v>0.43063247405202676</v>
      </c>
      <c r="BD100" s="550">
        <f t="shared" ca="1" si="51"/>
        <v>-1.5734882363846254</v>
      </c>
      <c r="BE100" s="550">
        <f t="shared" ca="1" si="51"/>
        <v>-1.7040079979280507</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0.44845389532858415</v>
      </c>
      <c r="AU106" s="507">
        <f t="shared" ca="1" si="59"/>
        <v>0.44845389532858415</v>
      </c>
      <c r="AV106" s="507">
        <f t="shared" ca="1" si="60"/>
        <v>0.4484538953285841</v>
      </c>
      <c r="AW106" s="507">
        <f t="shared" ca="1" si="60"/>
        <v>0.4484538953285841</v>
      </c>
      <c r="AX106" s="507">
        <f t="shared" ca="1" si="61"/>
        <v>0.36928069720055595</v>
      </c>
      <c r="AY106" s="507">
        <f t="shared" ca="1" si="61"/>
        <v>0.36928069720055595</v>
      </c>
      <c r="AZ106" s="507">
        <f t="shared" ca="1" si="62"/>
        <v>0.36591739291724573</v>
      </c>
      <c r="BA106" s="507">
        <f t="shared" ca="1" si="62"/>
        <v>0.36591739291724573</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2"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1.6126035496355523E-2</v>
      </c>
      <c r="M107" s="133">
        <f t="shared" ca="1" si="52"/>
        <v>1.6126035496355523E-2</v>
      </c>
      <c r="N107" s="551" t="s">
        <v>336</v>
      </c>
      <c r="O107" s="133">
        <f t="shared" ca="1" si="53"/>
        <v>1.7604273032981135E-2</v>
      </c>
      <c r="P107" s="133">
        <f t="shared" ca="1" si="53"/>
        <v>1.7604273032981135E-2</v>
      </c>
      <c r="Q107" s="551" t="s">
        <v>336</v>
      </c>
      <c r="R107" s="58">
        <f t="shared" ca="1" si="54"/>
        <v>5.5405641805183356E-5</v>
      </c>
      <c r="S107" s="58">
        <f t="shared" ca="1" si="54"/>
        <v>5.5405641805183356E-5</v>
      </c>
      <c r="T107" s="551" t="s">
        <v>336</v>
      </c>
      <c r="U107" s="58">
        <f t="shared" ca="1" si="55"/>
        <v>6.0484552829270167E-5</v>
      </c>
      <c r="V107" s="58">
        <f t="shared" ca="1" si="55"/>
        <v>6.0484552829270167E-5</v>
      </c>
      <c r="W107" s="551" t="s">
        <v>336</v>
      </c>
      <c r="X107" s="133">
        <f t="shared" ca="1" si="56"/>
        <v>2.2323277998080888E-2</v>
      </c>
      <c r="Y107" s="133">
        <f t="shared" ca="1" si="56"/>
        <v>2.2323277998080888E-2</v>
      </c>
      <c r="Z107" s="551" t="s">
        <v>336</v>
      </c>
      <c r="AA107" s="133">
        <f t="shared" ca="1" si="57"/>
        <v>1.4928536202670635E-2</v>
      </c>
      <c r="AB107" s="133">
        <f t="shared" ca="1" si="57"/>
        <v>1.4928536202670635E-2</v>
      </c>
      <c r="AC107" s="551" t="s">
        <v>336</v>
      </c>
      <c r="AD107" s="58">
        <f t="shared" ca="1" si="40"/>
        <v>4.0042654137850174E-3</v>
      </c>
      <c r="AE107" s="58">
        <f t="shared" ca="1" si="40"/>
        <v>4.0042654137850174E-3</v>
      </c>
      <c r="AF107" s="551" t="s">
        <v>336</v>
      </c>
      <c r="AG107" s="58">
        <f t="shared" ca="1" si="58"/>
        <v>2.7894005418885033E-3</v>
      </c>
      <c r="AH107" s="58">
        <f t="shared" ca="1" si="58"/>
        <v>2.7894005418885033E-3</v>
      </c>
      <c r="AI107" s="551" t="s">
        <v>336</v>
      </c>
      <c r="AJ107" s="507">
        <f t="shared" ca="1" si="42"/>
        <v>1.607062985455034E-2</v>
      </c>
      <c r="AK107" s="507">
        <f t="shared" ca="1" si="42"/>
        <v>1.607062985455034E-2</v>
      </c>
      <c r="AL107" s="507">
        <f t="shared" ca="1" si="43"/>
        <v>1.7543788480151864E-2</v>
      </c>
      <c r="AM107" s="507">
        <f t="shared" ca="1" si="43"/>
        <v>1.7543788480151864E-2</v>
      </c>
      <c r="AN107" s="507">
        <f t="shared" ca="1" si="44"/>
        <v>1.8319012584295871E-2</v>
      </c>
      <c r="AO107" s="507">
        <f t="shared" ca="1" si="44"/>
        <v>1.8319012584295871E-2</v>
      </c>
      <c r="AP107" s="507">
        <f t="shared" ca="1" si="45"/>
        <v>1.2139135660782131E-2</v>
      </c>
      <c r="AQ107" s="507">
        <f t="shared" ca="1" si="45"/>
        <v>1.2139135660782131E-2</v>
      </c>
      <c r="AR107" s="812" t="s">
        <v>152</v>
      </c>
      <c r="AS107" s="812">
        <v>2103002000</v>
      </c>
      <c r="AT107" s="507">
        <f t="shared" ca="1" si="59"/>
        <v>0.44845389532858415</v>
      </c>
      <c r="AU107" s="507">
        <f t="shared" ca="1" si="59"/>
        <v>0.44845389532858415</v>
      </c>
      <c r="AV107" s="507">
        <f t="shared" ca="1" si="60"/>
        <v>0.44845389532858415</v>
      </c>
      <c r="AW107" s="507">
        <f t="shared" ca="1" si="60"/>
        <v>0.44845389532858415</v>
      </c>
      <c r="AX107" s="507">
        <f t="shared" ca="1" si="61"/>
        <v>0.3692806972005559</v>
      </c>
      <c r="AY107" s="507">
        <f t="shared" ca="1" si="61"/>
        <v>0.3692806972005559</v>
      </c>
      <c r="AZ107" s="507">
        <f t="shared" ca="1" si="62"/>
        <v>0.36591739291724579</v>
      </c>
      <c r="BA107" s="507">
        <f t="shared" ca="1" si="62"/>
        <v>0.36591739291724579</v>
      </c>
      <c r="BB107" s="550">
        <f t="shared" ca="1" si="50"/>
        <v>0.44845389532858415</v>
      </c>
      <c r="BC107" s="550">
        <f t="shared" ca="1" si="50"/>
        <v>0.44845389532858415</v>
      </c>
      <c r="BD107" s="550">
        <f t="shared" ca="1" si="51"/>
        <v>0.3692806972005559</v>
      </c>
      <c r="BE107" s="550">
        <f t="shared" ca="1" si="51"/>
        <v>0.3692806972005559</v>
      </c>
    </row>
    <row r="108" spans="1:57" x14ac:dyDescent="0.25">
      <c r="A108" s="60">
        <f>A107</f>
        <v>0.43</v>
      </c>
      <c r="B108" s="812"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4.4551340361821031E-5</v>
      </c>
      <c r="M108" s="133">
        <f t="shared" ca="1" si="52"/>
        <v>4.4551340361821031E-5</v>
      </c>
      <c r="N108" s="551" t="s">
        <v>336</v>
      </c>
      <c r="O108" s="133">
        <f t="shared" ca="1" si="53"/>
        <v>4.8635261896330324E-5</v>
      </c>
      <c r="P108" s="133">
        <f t="shared" ca="1" si="53"/>
        <v>4.8635261896330324E-5</v>
      </c>
      <c r="Q108" s="551" t="s">
        <v>336</v>
      </c>
      <c r="R108" s="58">
        <f t="shared" ca="1" si="54"/>
        <v>1.5306896766943866E-7</v>
      </c>
      <c r="S108" s="58">
        <f t="shared" ca="1" si="54"/>
        <v>1.5306896766943866E-7</v>
      </c>
      <c r="T108" s="551" t="s">
        <v>336</v>
      </c>
      <c r="U108" s="58">
        <f t="shared" ca="1" si="55"/>
        <v>1.6710045691877303E-7</v>
      </c>
      <c r="V108" s="58">
        <f t="shared" ca="1" si="55"/>
        <v>1.6710045691877303E-7</v>
      </c>
      <c r="W108" s="551" t="s">
        <v>336</v>
      </c>
      <c r="X108" s="133">
        <f t="shared" ca="1" si="56"/>
        <v>6.1672439968820343E-5</v>
      </c>
      <c r="Y108" s="133">
        <f t="shared" ca="1" si="56"/>
        <v>6.1672439968820343E-5</v>
      </c>
      <c r="Z108" s="551" t="s">
        <v>336</v>
      </c>
      <c r="AA108" s="133">
        <f t="shared" ca="1" si="57"/>
        <v>4.12430133630337E-5</v>
      </c>
      <c r="AB108" s="133">
        <f t="shared" ca="1" si="57"/>
        <v>4.12430133630337E-5</v>
      </c>
      <c r="AC108" s="551" t="s">
        <v>336</v>
      </c>
      <c r="AD108" s="58">
        <f t="shared" ca="1" si="40"/>
        <v>1.1062569680497208E-5</v>
      </c>
      <c r="AE108" s="58">
        <f t="shared" ca="1" si="40"/>
        <v>1.1062569680497208E-5</v>
      </c>
      <c r="AF108" s="551" t="s">
        <v>336</v>
      </c>
      <c r="AG108" s="58">
        <f t="shared" ca="1" si="58"/>
        <v>7.7062668611394303E-6</v>
      </c>
      <c r="AH108" s="58">
        <f t="shared" ca="1" si="58"/>
        <v>7.7062668611394303E-6</v>
      </c>
      <c r="AI108" s="551" t="s">
        <v>336</v>
      </c>
      <c r="AJ108" s="507">
        <f t="shared" ca="1" si="42"/>
        <v>4.4398271394151595E-5</v>
      </c>
      <c r="AK108" s="507">
        <f t="shared" ca="1" si="42"/>
        <v>4.4398271394151595E-5</v>
      </c>
      <c r="AL108" s="507">
        <f t="shared" ca="1" si="43"/>
        <v>4.8468161439411553E-5</v>
      </c>
      <c r="AM108" s="507">
        <f t="shared" ca="1" si="43"/>
        <v>4.8468161439411553E-5</v>
      </c>
      <c r="AN108" s="507">
        <f t="shared" ca="1" si="44"/>
        <v>5.0609870288323133E-5</v>
      </c>
      <c r="AO108" s="507">
        <f t="shared" ca="1" si="44"/>
        <v>5.0609870288323133E-5</v>
      </c>
      <c r="AP108" s="507">
        <f t="shared" ca="1" si="45"/>
        <v>3.3536746501894268E-5</v>
      </c>
      <c r="AQ108" s="507">
        <f t="shared" ca="1" si="45"/>
        <v>3.3536746501894268E-5</v>
      </c>
      <c r="AR108" s="812" t="s">
        <v>153</v>
      </c>
      <c r="AS108" s="812">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-3.0686178260442709</v>
      </c>
      <c r="BA108" s="507">
        <f t="shared" ca="1" si="62"/>
        <v>-3.0686178260442709</v>
      </c>
      <c r="BB108" s="550">
        <f t="shared" ca="1" si="50"/>
        <v>0.44719442095723871</v>
      </c>
      <c r="BC108" s="550">
        <f t="shared" ca="1" si="50"/>
        <v>0.44719442095723871</v>
      </c>
      <c r="BD108" s="550">
        <f t="shared" ca="1" si="51"/>
        <v>-2.9278731130024997</v>
      </c>
      <c r="BE108" s="550">
        <f t="shared" ca="1" si="51"/>
        <v>-2.9278731130024997</v>
      </c>
    </row>
    <row r="109" spans="1:57" ht="15.75" thickBot="1" x14ac:dyDescent="0.3">
      <c r="A109" s="112">
        <v>0.6</v>
      </c>
      <c r="B109" s="812"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4.3639709649685715E-5</v>
      </c>
      <c r="M109" s="133">
        <f t="shared" ca="1" si="52"/>
        <v>4.3639709649685715E-5</v>
      </c>
      <c r="N109" s="551" t="s">
        <v>336</v>
      </c>
      <c r="O109" s="133">
        <f t="shared" ca="1" si="53"/>
        <v>4.764006403971465E-5</v>
      </c>
      <c r="P109" s="133">
        <f t="shared" ca="1" si="53"/>
        <v>4.764006403971465E-5</v>
      </c>
      <c r="Q109" s="551" t="s">
        <v>336</v>
      </c>
      <c r="R109" s="58">
        <f t="shared" ca="1" si="54"/>
        <v>2.7207701072298486E-7</v>
      </c>
      <c r="S109" s="58">
        <f t="shared" ca="1" si="54"/>
        <v>2.7207701072298486E-7</v>
      </c>
      <c r="T109" s="551" t="s">
        <v>336</v>
      </c>
      <c r="U109" s="58">
        <f t="shared" ca="1" si="55"/>
        <v>2.9701770059028055E-7</v>
      </c>
      <c r="V109" s="58">
        <f t="shared" ca="1" si="55"/>
        <v>2.9701770059028055E-7</v>
      </c>
      <c r="W109" s="551" t="s">
        <v>336</v>
      </c>
      <c r="X109" s="133">
        <f t="shared" ca="1" si="56"/>
        <v>1.5181484215742902E-6</v>
      </c>
      <c r="Y109" s="133">
        <f t="shared" ca="1" si="56"/>
        <v>1.5181484215742902E-6</v>
      </c>
      <c r="Z109" s="551" t="s">
        <v>336</v>
      </c>
      <c r="AA109" s="133">
        <f t="shared" ca="1" si="57"/>
        <v>1.0152511505903145E-6</v>
      </c>
      <c r="AB109" s="133">
        <f t="shared" ca="1" si="57"/>
        <v>1.0152511505903145E-6</v>
      </c>
      <c r="AC109" s="551" t="s">
        <v>336</v>
      </c>
      <c r="AD109" s="58">
        <f t="shared" ca="1" si="40"/>
        <v>1.1395806077295509E-5</v>
      </c>
      <c r="AE109" s="58">
        <f t="shared" ca="1" si="40"/>
        <v>1.1395806077295509E-5</v>
      </c>
      <c r="AF109" s="551" t="s">
        <v>336</v>
      </c>
      <c r="AG109" s="58">
        <f t="shared" ca="1" si="58"/>
        <v>7.9384017697311936E-6</v>
      </c>
      <c r="AH109" s="58">
        <f t="shared" ca="1" si="58"/>
        <v>7.9384017697311936E-6</v>
      </c>
      <c r="AI109" s="551" t="s">
        <v>336</v>
      </c>
      <c r="AJ109" s="507">
        <f t="shared" ca="1" si="42"/>
        <v>4.3367632638962728E-5</v>
      </c>
      <c r="AK109" s="507">
        <f t="shared" ca="1" si="42"/>
        <v>4.3367632638962728E-5</v>
      </c>
      <c r="AL109" s="507">
        <f t="shared" ca="1" si="43"/>
        <v>4.7343046339124368E-5</v>
      </c>
      <c r="AM109" s="507">
        <f t="shared" ca="1" si="43"/>
        <v>4.7343046339124368E-5</v>
      </c>
      <c r="AN109" s="507">
        <f t="shared" ca="1" si="44"/>
        <v>-9.8776576557212195E-6</v>
      </c>
      <c r="AO109" s="507">
        <f t="shared" ca="1" si="44"/>
        <v>-9.8776576557212195E-6</v>
      </c>
      <c r="AP109" s="507">
        <f t="shared" ca="1" si="45"/>
        <v>-6.9231506191408791E-6</v>
      </c>
      <c r="AQ109" s="507">
        <f t="shared" ca="1" si="45"/>
        <v>-6.9231506191408791E-6</v>
      </c>
      <c r="AR109" s="6" t="s">
        <v>154</v>
      </c>
      <c r="AS109" s="6">
        <v>2102012000</v>
      </c>
      <c r="AT109" s="541">
        <f t="shared" ca="1" si="59"/>
        <v>0.4092567292439907</v>
      </c>
      <c r="AU109" s="541">
        <f t="shared" ca="1" si="59"/>
        <v>0.4092567292439907</v>
      </c>
      <c r="AV109" s="541">
        <f t="shared" ca="1" si="60"/>
        <v>0.4092567292439907</v>
      </c>
      <c r="AW109" s="541">
        <f t="shared" ca="1" si="60"/>
        <v>0.4092567292439907</v>
      </c>
      <c r="AX109" s="541">
        <f t="shared" ca="1" si="61"/>
        <v>0.1014302725096292</v>
      </c>
      <c r="AY109" s="541">
        <f t="shared" ca="1" si="61"/>
        <v>0.1014302725096292</v>
      </c>
      <c r="AZ109" s="541">
        <f t="shared" ca="1" si="62"/>
        <v>8.6906533864197139E-2</v>
      </c>
      <c r="BA109" s="541">
        <f t="shared" ca="1" si="62"/>
        <v>8.6906533864197139E-2</v>
      </c>
      <c r="BB109" s="550">
        <f t="shared" ca="1" si="50"/>
        <v>0.4092567292439907</v>
      </c>
      <c r="BC109" s="550">
        <f t="shared" ca="1" si="50"/>
        <v>0.4092567292439907</v>
      </c>
      <c r="BD109" s="550">
        <f t="shared" ca="1" si="51"/>
        <v>0.10143027250962922</v>
      </c>
      <c r="BE109" s="550">
        <f t="shared" ca="1" si="51"/>
        <v>0.10143027250962922</v>
      </c>
    </row>
    <row r="110" spans="1:57" ht="16.5" thickTop="1" thickBot="1" x14ac:dyDescent="0.3">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4.0063469415356029E-4</v>
      </c>
      <c r="M110" s="544">
        <f t="shared" ca="1" si="52"/>
        <v>4.0063469415356029E-4</v>
      </c>
      <c r="N110" s="542" t="s">
        <v>336</v>
      </c>
      <c r="O110" s="544">
        <f t="shared" ca="1" si="53"/>
        <v>4.3735997877209903E-4</v>
      </c>
      <c r="P110" s="544">
        <f t="shared" ca="1" si="53"/>
        <v>4.3735997877209903E-4</v>
      </c>
      <c r="Q110" s="542" t="s">
        <v>336</v>
      </c>
      <c r="R110" s="543">
        <f t="shared" ca="1" si="54"/>
        <v>3.6273706262554397E-5</v>
      </c>
      <c r="S110" s="543">
        <f t="shared" ca="1" si="54"/>
        <v>3.6273706262554397E-5</v>
      </c>
      <c r="T110" s="542" t="s">
        <v>336</v>
      </c>
      <c r="U110" s="543">
        <f t="shared" ca="1" si="55"/>
        <v>3.9598835628786899E-5</v>
      </c>
      <c r="V110" s="543">
        <f t="shared" ca="1" si="55"/>
        <v>3.9598835628786899E-5</v>
      </c>
      <c r="W110" s="542" t="s">
        <v>336</v>
      </c>
      <c r="X110" s="544">
        <f t="shared" ca="1" si="56"/>
        <v>3.3844152611631618E-3</v>
      </c>
      <c r="Y110" s="544">
        <f t="shared" ca="1" si="56"/>
        <v>3.3844152611631618E-3</v>
      </c>
      <c r="Z110" s="542" t="s">
        <v>336</v>
      </c>
      <c r="AA110" s="544">
        <f t="shared" ca="1" si="57"/>
        <v>2.2633040611458942E-3</v>
      </c>
      <c r="AB110" s="544">
        <f t="shared" ca="1" si="57"/>
        <v>2.2633040611458942E-3</v>
      </c>
      <c r="AC110" s="542" t="s">
        <v>336</v>
      </c>
      <c r="AD110" s="543">
        <f t="shared" ca="1" si="40"/>
        <v>2.6215660117731008E-3</v>
      </c>
      <c r="AE110" s="543">
        <f t="shared" ca="1" si="40"/>
        <v>2.6215660117731008E-3</v>
      </c>
      <c r="AF110" s="542" t="s">
        <v>336</v>
      </c>
      <c r="AG110" s="543">
        <f t="shared" ca="1" si="58"/>
        <v>1.8262020366237818E-3</v>
      </c>
      <c r="AH110" s="543">
        <f t="shared" ca="1" si="58"/>
        <v>1.8262020366237818E-3</v>
      </c>
      <c r="AI110" s="542" t="s">
        <v>336</v>
      </c>
      <c r="AJ110" s="541">
        <f t="shared" ca="1" si="42"/>
        <v>3.6436098789100591E-4</v>
      </c>
      <c r="AK110" s="541">
        <f t="shared" ca="1" si="42"/>
        <v>3.6436098789100591E-4</v>
      </c>
      <c r="AL110" s="541">
        <f t="shared" ca="1" si="43"/>
        <v>3.9776114314331215E-4</v>
      </c>
      <c r="AM110" s="541">
        <f t="shared" ca="1" si="43"/>
        <v>3.9776114314331215E-4</v>
      </c>
      <c r="AN110" s="541">
        <f t="shared" ca="1" si="44"/>
        <v>7.6284924939006103E-4</v>
      </c>
      <c r="AO110" s="541">
        <f t="shared" ca="1" si="44"/>
        <v>7.6284924939006103E-4</v>
      </c>
      <c r="AP110" s="541">
        <f t="shared" ca="1" si="45"/>
        <v>4.371020245221124E-4</v>
      </c>
      <c r="AQ110" s="541">
        <f t="shared" ca="1" si="45"/>
        <v>4.371020245221124E-4</v>
      </c>
      <c r="AR110" s="810"/>
      <c r="AS110" s="810" t="s">
        <v>249</v>
      </c>
      <c r="AT110" s="506">
        <f ca="1">AJ111/SUM($C40:$C59)</f>
        <v>0.25307268715699438</v>
      </c>
      <c r="AU110" s="506">
        <f ca="1">AK111/SUM($C40:$C59)</f>
        <v>0.4179097265723492</v>
      </c>
      <c r="AV110" s="506">
        <f ca="1">AL111/SUM($C60:$C79)</f>
        <v>0.2530726871569946</v>
      </c>
      <c r="AW110" s="506">
        <f ca="1">AM111/SUM($C60:$C79)</f>
        <v>0.41790972657234948</v>
      </c>
      <c r="AX110" s="506">
        <f ca="1">AN111/SUM($J40:$J59)</f>
        <v>-3.2697606527368139E-2</v>
      </c>
      <c r="AY110" s="506">
        <f ca="1">AO111/SUM($J40:$J59)</f>
        <v>-4.4321453038941631E-2</v>
      </c>
      <c r="AZ110" s="506">
        <f ca="1">AP111/SUM($J60:$J79)</f>
        <v>-3.284529347788661E-2</v>
      </c>
      <c r="BA110" s="506">
        <f ca="1">AQ111/SUM($J60:$J79)</f>
        <v>-4.4469139989460095E-2</v>
      </c>
      <c r="BB110" s="506"/>
      <c r="BC110" s="506"/>
      <c r="BD110" s="506"/>
      <c r="BE110" s="506"/>
    </row>
    <row r="111" spans="1:57" ht="15.75" thickTop="1" x14ac:dyDescent="0.25">
      <c r="K111" s="244" t="s">
        <v>784</v>
      </c>
      <c r="L111" s="137">
        <f ca="1">SUM(L91:L110)</f>
        <v>0.26123648813112288</v>
      </c>
      <c r="M111" s="137">
        <f ca="1">SUM(M91:M110)</f>
        <v>0.43087821712562224</v>
      </c>
      <c r="N111" s="540" t="s">
        <v>336</v>
      </c>
      <c r="O111" s="137">
        <f ca="1">SUM(O91:O110)</f>
        <v>0.28518345158528063</v>
      </c>
      <c r="P111" s="137">
        <f ca="1">SUM(P91:P110)</f>
        <v>0.47037585772137575</v>
      </c>
      <c r="Q111" s="540" t="s">
        <v>336</v>
      </c>
      <c r="R111" s="137">
        <f ca="1">SUM(R91:R110)</f>
        <v>1.3290765668687748E-3</v>
      </c>
      <c r="S111" s="137">
        <f ca="1">SUM(S91:S110)</f>
        <v>1.6820185110989784E-3</v>
      </c>
      <c r="T111" s="540" t="s">
        <v>336</v>
      </c>
      <c r="U111" s="137">
        <f ca="1">SUM(U91:U110)</f>
        <v>1.4509100373853781E-3</v>
      </c>
      <c r="V111" s="137">
        <f ca="1">SUM(V91:V110)</f>
        <v>1.8362053787247855E-3</v>
      </c>
      <c r="W111" s="540" t="s">
        <v>336</v>
      </c>
      <c r="X111" s="137">
        <f ca="1">SUM(X91:X110)</f>
        <v>3.8441471695615188E-2</v>
      </c>
      <c r="Y111" s="137">
        <f ca="1">SUM(Y91:Y110)</f>
        <v>4.3209536398875752E-2</v>
      </c>
      <c r="Z111" s="540" t="s">
        <v>336</v>
      </c>
      <c r="AA111" s="137">
        <f ca="1">SUM(AA91:AA110)</f>
        <v>2.5707465630328372E-2</v>
      </c>
      <c r="AB111" s="137">
        <f ca="1">SUM(AB91:AB110)</f>
        <v>2.8896075589198239E-2</v>
      </c>
      <c r="AC111" s="540" t="s">
        <v>336</v>
      </c>
      <c r="AD111" s="137">
        <f ca="1">SUM(AD91:AD110)</f>
        <v>9.9771411826918413E-2</v>
      </c>
      <c r="AE111" s="137">
        <f ca="1">SUM(AE91:AE110)</f>
        <v>0.1263419840028151</v>
      </c>
      <c r="AF111" s="540" t="s">
        <v>336</v>
      </c>
      <c r="AG111" s="137">
        <f ca="1">SUM(AG91:AG110)</f>
        <v>6.6906684509736761E-2</v>
      </c>
      <c r="AH111" s="137">
        <f ca="1">SUM(AH91:AH110)</f>
        <v>8.4675569020678534E-2</v>
      </c>
      <c r="AI111" s="540" t="s">
        <v>336</v>
      </c>
      <c r="AJ111" s="506">
        <f t="shared" ref="AJ111:AQ111" ca="1" si="64">SUM(AJ91:AJ110)</f>
        <v>0.25990741156425401</v>
      </c>
      <c r="AK111" s="506">
        <f t="shared" ca="1" si="64"/>
        <v>0.42919619861452307</v>
      </c>
      <c r="AL111" s="506">
        <f t="shared" ca="1" si="64"/>
        <v>0.28373254154789529</v>
      </c>
      <c r="AM111" s="506">
        <f t="shared" ca="1" si="64"/>
        <v>0.46853965234265099</v>
      </c>
      <c r="AN111" s="506">
        <f t="shared" ca="1" si="64"/>
        <v>-6.1329940131303239E-2</v>
      </c>
      <c r="AO111" s="506">
        <f t="shared" ca="1" si="64"/>
        <v>-8.3132447603939369E-2</v>
      </c>
      <c r="AP111" s="506">
        <f t="shared" ca="1" si="64"/>
        <v>-4.1199218879408382E-2</v>
      </c>
      <c r="AQ111" s="506">
        <f t="shared" ca="1" si="64"/>
        <v>-5.5779493431480295E-2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0.5436399531121493</v>
      </c>
      <c r="AK113" s="506">
        <f ca="1">AK111+AM111</f>
        <v>0.89773585095717401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1.0270069618497382</v>
      </c>
      <c r="D119" s="539">
        <f t="shared" ca="1" si="65"/>
        <v>1.0270069618497382</v>
      </c>
      <c r="E119" s="539">
        <f t="shared" ca="1" si="65"/>
        <v>1.0270069618497382</v>
      </c>
      <c r="F119" s="539" t="s">
        <v>336</v>
      </c>
      <c r="G119" s="539">
        <f ca="1">G32</f>
        <v>1.0270069618497382</v>
      </c>
      <c r="H119" s="539">
        <f ca="1">H32</f>
        <v>1.0270069618497382</v>
      </c>
      <c r="I119" s="539" t="s">
        <v>336</v>
      </c>
      <c r="J119" s="539">
        <f t="shared" ref="J119:L120" ca="1" si="66">J32</f>
        <v>1.8756706268383778</v>
      </c>
      <c r="K119" s="539">
        <f t="shared" ca="1" si="66"/>
        <v>1.8756706268383778</v>
      </c>
      <c r="L119" s="539">
        <f t="shared" ca="1" si="66"/>
        <v>1.8756706268383778</v>
      </c>
      <c r="M119" s="539" t="s">
        <v>336</v>
      </c>
      <c r="N119" s="539">
        <f ca="1">N32</f>
        <v>1.8756706268383778</v>
      </c>
      <c r="O119" s="539">
        <f ca="1">O32</f>
        <v>1.8756706268383778</v>
      </c>
      <c r="P119" s="539" t="s">
        <v>336</v>
      </c>
    </row>
    <row r="120" spans="1:39" x14ac:dyDescent="0.25">
      <c r="A120" s="812" t="s">
        <v>101</v>
      </c>
      <c r="B120" s="812" t="s">
        <v>754</v>
      </c>
      <c r="C120" s="539">
        <f t="shared" ca="1" si="65"/>
        <v>1.1211503885912466</v>
      </c>
      <c r="D120" s="539">
        <f t="shared" ca="1" si="65"/>
        <v>1.1211503885912466</v>
      </c>
      <c r="E120" s="539">
        <f t="shared" ca="1" si="65"/>
        <v>1.1211503885912466</v>
      </c>
      <c r="F120" s="539" t="s">
        <v>336</v>
      </c>
      <c r="G120" s="539">
        <f ca="1">G33</f>
        <v>1.1211503885912466</v>
      </c>
      <c r="H120" s="539">
        <f ca="1">H33</f>
        <v>1.1211503885912466</v>
      </c>
      <c r="I120" s="539" t="s">
        <v>336</v>
      </c>
      <c r="J120" s="539">
        <f t="shared" ca="1" si="66"/>
        <v>1.254341627580406</v>
      </c>
      <c r="K120" s="539">
        <f t="shared" ca="1" si="66"/>
        <v>1.254341627580406</v>
      </c>
      <c r="L120" s="539">
        <f t="shared" ca="1" si="66"/>
        <v>1.254341627580406</v>
      </c>
      <c r="M120" s="539" t="s">
        <v>336</v>
      </c>
      <c r="N120" s="539">
        <f ca="1">N33</f>
        <v>1.254341627580406</v>
      </c>
      <c r="O120" s="539">
        <f ca="1">O33</f>
        <v>1.254341627580406</v>
      </c>
      <c r="P120" s="539" t="s">
        <v>336</v>
      </c>
    </row>
    <row r="121" spans="1:39" x14ac:dyDescent="0.25">
      <c r="A121" s="813" t="s">
        <v>101</v>
      </c>
      <c r="B121" s="813" t="s">
        <v>792</v>
      </c>
      <c r="C121" s="535">
        <f ca="1">IFERROR(C122-SUM(C119:C120),"-")</f>
        <v>0.58058584903107135</v>
      </c>
      <c r="D121" s="535">
        <f ca="1">IFERROR(D122-SUM(D119:D120),"-")</f>
        <v>0.58058584903107135</v>
      </c>
      <c r="E121" s="535">
        <f ca="1">IFERROR(E122-SUM(E119:E120),"-")</f>
        <v>0.58058584903107135</v>
      </c>
      <c r="F121" s="535" t="s">
        <v>336</v>
      </c>
      <c r="G121" s="535">
        <f ca="1">IFERROR(G122-SUM(G119:G120),"-")</f>
        <v>0.58058584903107135</v>
      </c>
      <c r="H121" s="535">
        <f ca="1">IFERROR(H122-SUM(H119:H120),"-")</f>
        <v>0.58058584903107135</v>
      </c>
      <c r="I121" s="535" t="s">
        <v>336</v>
      </c>
      <c r="J121" s="535">
        <f ca="1">IFERROR(J122-SUM(J119:J120),"-")</f>
        <v>1.0603509653179275</v>
      </c>
      <c r="K121" s="535">
        <f ca="1">IFERROR(K122-SUM(K119:K120),"-")</f>
        <v>1.0603509653179275</v>
      </c>
      <c r="L121" s="535">
        <f ca="1">IFERROR(L122-SUM(L119:L120),"-")</f>
        <v>1.0603509653179275</v>
      </c>
      <c r="M121" s="535" t="s">
        <v>336</v>
      </c>
      <c r="N121" s="535">
        <f ca="1">IFERROR(N122-SUM(N119:N120),"-")</f>
        <v>1.0603509653179275</v>
      </c>
      <c r="O121" s="535">
        <f ca="1">IFERROR(O122-SUM(O119:O120),"-")</f>
        <v>1.0603509653179275</v>
      </c>
      <c r="P121" s="535" t="s">
        <v>336</v>
      </c>
    </row>
    <row r="122" spans="1:39" x14ac:dyDescent="0.25">
      <c r="A122" s="348" t="s">
        <v>101</v>
      </c>
      <c r="B122" s="348" t="s">
        <v>793</v>
      </c>
      <c r="C122" s="534">
        <f ca="1">C26</f>
        <v>2.7287431994720563</v>
      </c>
      <c r="D122" s="534">
        <f ca="1">D26</f>
        <v>2.7287431994720563</v>
      </c>
      <c r="E122" s="534">
        <f ca="1">E26</f>
        <v>2.7287431994720563</v>
      </c>
      <c r="F122" s="534" t="s">
        <v>336</v>
      </c>
      <c r="G122" s="534">
        <f ca="1">G26</f>
        <v>2.7287431994720563</v>
      </c>
      <c r="H122" s="534">
        <f ca="1">H26</f>
        <v>2.7287431994720563</v>
      </c>
      <c r="I122" s="534" t="s">
        <v>336</v>
      </c>
      <c r="J122" s="534">
        <f ca="1">J26</f>
        <v>4.1903632197367111</v>
      </c>
      <c r="K122" s="534">
        <f ca="1">K26</f>
        <v>4.1903632197367111</v>
      </c>
      <c r="L122" s="534">
        <f ca="1">L26</f>
        <v>4.1903632197367111</v>
      </c>
      <c r="M122" s="534" t="s">
        <v>336</v>
      </c>
      <c r="N122" s="534">
        <f ca="1">N26</f>
        <v>4.1903632197367111</v>
      </c>
      <c r="O122" s="534">
        <f ca="1">O26</f>
        <v>4.1903632197367111</v>
      </c>
      <c r="P122" s="534" t="s">
        <v>336</v>
      </c>
    </row>
    <row r="123" spans="1:39" x14ac:dyDescent="0.25">
      <c r="A123" s="812" t="s">
        <v>722</v>
      </c>
      <c r="B123" s="812" t="s">
        <v>752</v>
      </c>
      <c r="C123" s="133">
        <f ca="1">C119</f>
        <v>1.0270069618497382</v>
      </c>
      <c r="D123" s="537">
        <f ca="1">D119-L$111+R$111</f>
        <v>0.76709955028548404</v>
      </c>
      <c r="E123" s="537">
        <f ca="1">E119-M$111+S$111</f>
        <v>0.59781076323521487</v>
      </c>
      <c r="F123" s="538" t="s">
        <v>336</v>
      </c>
      <c r="G123" s="521">
        <f ca="1">G119</f>
        <v>1.0270069618497382</v>
      </c>
      <c r="H123" s="521">
        <f ca="1">H119</f>
        <v>1.0270069618497382</v>
      </c>
      <c r="I123" s="538" t="s">
        <v>336</v>
      </c>
      <c r="J123" s="133">
        <f ca="1">J119</f>
        <v>1.8756706268383778</v>
      </c>
      <c r="K123" s="537">
        <f ca="1">K119-X$111+AD$111</f>
        <v>1.937000566969681</v>
      </c>
      <c r="L123" s="537">
        <f ca="1">L119-Y$111+AE$111</f>
        <v>1.958803074442317</v>
      </c>
      <c r="M123" s="538" t="s">
        <v>336</v>
      </c>
      <c r="N123" s="521">
        <f ca="1">N119</f>
        <v>1.8756706268383778</v>
      </c>
      <c r="O123" s="521">
        <f ca="1">O119</f>
        <v>1.8756706268383778</v>
      </c>
      <c r="P123" s="538" t="s">
        <v>336</v>
      </c>
    </row>
    <row r="124" spans="1:39" x14ac:dyDescent="0.25">
      <c r="A124" s="812" t="s">
        <v>722</v>
      </c>
      <c r="B124" s="812" t="s">
        <v>754</v>
      </c>
      <c r="C124" s="133">
        <f ca="1">C120</f>
        <v>1.1211503885912466</v>
      </c>
      <c r="D124" s="521">
        <f ca="1">D120</f>
        <v>1.1211503885912466</v>
      </c>
      <c r="E124" s="521">
        <f ca="1">E120</f>
        <v>1.1211503885912466</v>
      </c>
      <c r="F124" s="536" t="s">
        <v>336</v>
      </c>
      <c r="G124" s="537">
        <f ca="1">G120-O$111+U$111</f>
        <v>0.83741784704335132</v>
      </c>
      <c r="H124" s="537">
        <f ca="1">H120-P$111+V$111</f>
        <v>0.65261073624859567</v>
      </c>
      <c r="I124" s="536" t="s">
        <v>336</v>
      </c>
      <c r="J124" s="133">
        <f ca="1">J120</f>
        <v>1.254341627580406</v>
      </c>
      <c r="K124" s="521">
        <f ca="1">K120</f>
        <v>1.254341627580406</v>
      </c>
      <c r="L124" s="521">
        <f ca="1">L120</f>
        <v>1.254341627580406</v>
      </c>
      <c r="M124" s="536" t="s">
        <v>336</v>
      </c>
      <c r="N124" s="537">
        <f ca="1">N120-AA$111+AG$111</f>
        <v>1.2955408464598144</v>
      </c>
      <c r="O124" s="537">
        <f ca="1">O120-AB$111+AH$111</f>
        <v>1.3101211210118864</v>
      </c>
      <c r="P124" s="536" t="s">
        <v>336</v>
      </c>
    </row>
    <row r="125" spans="1:39" x14ac:dyDescent="0.25">
      <c r="A125" s="813" t="s">
        <v>722</v>
      </c>
      <c r="B125" s="813" t="s">
        <v>792</v>
      </c>
      <c r="C125" s="527">
        <f ca="1">C121</f>
        <v>0.58058584903107135</v>
      </c>
      <c r="D125" s="527">
        <f ca="1">D121</f>
        <v>0.58058584903107135</v>
      </c>
      <c r="E125" s="527">
        <f ca="1">E121</f>
        <v>0.58058584903107135</v>
      </c>
      <c r="F125" s="535" t="s">
        <v>336</v>
      </c>
      <c r="G125" s="527">
        <f ca="1">G121</f>
        <v>0.58058584903107135</v>
      </c>
      <c r="H125" s="527">
        <f ca="1">H121</f>
        <v>0.58058584903107135</v>
      </c>
      <c r="I125" s="535" t="s">
        <v>336</v>
      </c>
      <c r="J125" s="527">
        <f ca="1">J121</f>
        <v>1.0603509653179275</v>
      </c>
      <c r="K125" s="527">
        <f ca="1">K121</f>
        <v>1.0603509653179275</v>
      </c>
      <c r="L125" s="527">
        <f ca="1">L121</f>
        <v>1.0603509653179275</v>
      </c>
      <c r="M125" s="535" t="s">
        <v>336</v>
      </c>
      <c r="N125" s="527">
        <f ca="1">N121</f>
        <v>1.0603509653179275</v>
      </c>
      <c r="O125" s="527">
        <f ca="1">O121</f>
        <v>1.0603509653179275</v>
      </c>
      <c r="P125" s="535" t="s">
        <v>336</v>
      </c>
    </row>
    <row r="126" spans="1:39" x14ac:dyDescent="0.25">
      <c r="A126" s="348" t="s">
        <v>722</v>
      </c>
      <c r="B126" s="348" t="s">
        <v>793</v>
      </c>
      <c r="C126" s="466">
        <f ca="1">SUM(C123:C125)</f>
        <v>2.7287431994720563</v>
      </c>
      <c r="D126" s="466">
        <f ca="1">SUM(D123:D125)</f>
        <v>2.468835787907802</v>
      </c>
      <c r="E126" s="466">
        <f ca="1">SUM(E123:E125)</f>
        <v>2.2995470008575327</v>
      </c>
      <c r="F126" s="534" t="s">
        <v>336</v>
      </c>
      <c r="G126" s="466">
        <f ca="1">SUM(G123:G125)</f>
        <v>2.4450106579241608</v>
      </c>
      <c r="H126" s="466">
        <f ca="1">SUM(H123:H125)</f>
        <v>2.2602035471294051</v>
      </c>
      <c r="I126" s="534" t="s">
        <v>336</v>
      </c>
      <c r="J126" s="466">
        <f ca="1">SUM(J123:J125)</f>
        <v>4.1903632197367111</v>
      </c>
      <c r="K126" s="466">
        <f ca="1">SUM(K123:K125)</f>
        <v>4.2516931598680143</v>
      </c>
      <c r="L126" s="466">
        <f ca="1">SUM(L123:L125)</f>
        <v>4.2734956673406508</v>
      </c>
      <c r="M126" s="534" t="s">
        <v>336</v>
      </c>
      <c r="N126" s="466">
        <f ca="1">SUM(N123:N125)</f>
        <v>4.2315624386161197</v>
      </c>
      <c r="O126" s="466">
        <f ca="1">SUM(O123:O125)</f>
        <v>4.2461427131681919</v>
      </c>
      <c r="P126" s="534" t="s">
        <v>336</v>
      </c>
    </row>
    <row r="127" spans="1:39" x14ac:dyDescent="0.25">
      <c r="A127" s="363" t="s">
        <v>794</v>
      </c>
      <c r="B127" s="363" t="s">
        <v>793</v>
      </c>
      <c r="C127" s="532">
        <f ca="1">C122-C126</f>
        <v>0</v>
      </c>
      <c r="D127" s="532">
        <f ca="1">D122-D126</f>
        <v>0.25990741156425434</v>
      </c>
      <c r="E127" s="532">
        <f ca="1">E122-E126</f>
        <v>0.42919619861452363</v>
      </c>
      <c r="F127" s="533" t="s">
        <v>336</v>
      </c>
      <c r="G127" s="532">
        <f ca="1">G122-G126</f>
        <v>0.28373254154789551</v>
      </c>
      <c r="H127" s="532">
        <f ca="1">H122-H126</f>
        <v>0.46853965234265127</v>
      </c>
      <c r="I127" s="533" t="s">
        <v>336</v>
      </c>
      <c r="J127" s="532">
        <f ca="1">J122-J126</f>
        <v>0</v>
      </c>
      <c r="K127" s="532">
        <f ca="1">K122-K126</f>
        <v>-6.1329940131303218E-2</v>
      </c>
      <c r="L127" s="532">
        <f ca="1">L122-L126</f>
        <v>-8.3132447603939674E-2</v>
      </c>
      <c r="M127" s="533" t="s">
        <v>336</v>
      </c>
      <c r="N127" s="532">
        <f ca="1">N122-N126</f>
        <v>-4.1199218879408583E-2</v>
      </c>
      <c r="O127" s="532">
        <f ca="1">O122-O126</f>
        <v>-5.5779493431480809E-2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71583-4C49-4DA3-B3B3-514359C5665F}">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2026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2026</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2026 Baseline NA Area PM2.5 Emissions (tpd) by Curtailment Regime</v>
      </c>
      <c r="D4" s="840"/>
      <c r="E4" s="840"/>
      <c r="F4" s="840"/>
      <c r="G4" s="840"/>
      <c r="H4" s="840"/>
      <c r="I4" s="840"/>
      <c r="J4" s="840" t="str">
        <f>$B$2&amp;" Baseline NA Area SO2 Emissions (tpd) by Curtailment Regime"</f>
        <v>2026 Baseline NA Area SO2 Emissions (tpd) by Curtailment Regime</v>
      </c>
      <c r="K4" s="840"/>
      <c r="L4" s="840"/>
      <c r="M4" s="840"/>
      <c r="N4" s="840"/>
      <c r="O4" s="840"/>
      <c r="P4" s="840"/>
      <c r="Q4" s="840" t="str">
        <f>$B$2&amp;" Baseline NA Area Energy Use (mmBTU) by Curtailment Regime"</f>
        <v>2026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0.69288635852664349</v>
      </c>
      <c r="D6" s="133">
        <f ca="1">INDIRECT("'DevSumOut-"&amp;$B$2&amp;"BSR'!R50")</f>
        <v>0.69288635852664349</v>
      </c>
      <c r="E6" s="133">
        <f ca="1">INDIRECT("'DevSumOut-"&amp;$B$2&amp;"BSR'!R50")</f>
        <v>0.69288635852664349</v>
      </c>
      <c r="F6" s="551" t="s">
        <v>336</v>
      </c>
      <c r="G6" s="133">
        <f ca="1">INDIRECT("'DevSumOut-"&amp;$B$2&amp;"BSR'!R50")</f>
        <v>0.69288635852664349</v>
      </c>
      <c r="H6" s="133">
        <f ca="1">INDIRECT("'DevSumOut-"&amp;$B$2&amp;"BSR'!R50")</f>
        <v>0.69288635852664349</v>
      </c>
      <c r="I6" s="551" t="s">
        <v>336</v>
      </c>
      <c r="J6" s="133">
        <f ca="1">INDIRECT("'DevSumOut-"&amp;$B$2&amp;"BSR'!P50")</f>
        <v>8.010246919383162E-3</v>
      </c>
      <c r="K6" s="133">
        <f ca="1">INDIRECT("'DevSumOut-"&amp;$B$2&amp;"BSR'!P50")</f>
        <v>8.010246919383162E-3</v>
      </c>
      <c r="L6" s="133">
        <f ca="1">INDIRECT("'DevSumOut-"&amp;$B$2&amp;"BSR'!P50")</f>
        <v>8.010246919383162E-3</v>
      </c>
      <c r="M6" s="551" t="s">
        <v>336</v>
      </c>
      <c r="N6" s="133">
        <f ca="1">INDIRECT("'DevSumOut-"&amp;$B$2&amp;"BSR'!P50")</f>
        <v>8.010246919383162E-3</v>
      </c>
      <c r="O6" s="133">
        <f ca="1">INDIRECT("'DevSumOut-"&amp;$B$2&amp;"BSR'!P50")</f>
        <v>8.010246919383162E-3</v>
      </c>
      <c r="P6" s="551" t="s">
        <v>336</v>
      </c>
      <c r="Q6" s="45">
        <f ca="1">INDIRECT("'DevSumOut-"&amp;$B$2&amp;"BSR'!U50")</f>
        <v>643.1424583935966</v>
      </c>
      <c r="R6" s="45">
        <f ca="1">INDIRECT("'DevSumOut-"&amp;$B$2&amp;"BSR'!U50")</f>
        <v>643.1424583935966</v>
      </c>
      <c r="S6" s="45">
        <f ca="1">INDIRECT("'DevSumOut-"&amp;$B$2&amp;"BSR'!U50")</f>
        <v>643.1424583935966</v>
      </c>
      <c r="T6" s="581" t="s">
        <v>336</v>
      </c>
      <c r="U6" s="45">
        <f ca="1">INDIRECT("'DevSumOut-"&amp;$B$2&amp;"BSR'!U50")</f>
        <v>643.1424583935966</v>
      </c>
      <c r="V6" s="45">
        <f ca="1">INDIRECT("'DevSumOut-"&amp;$B$2&amp;"BSR'!U50")</f>
        <v>643.1424583935966</v>
      </c>
      <c r="W6" s="581" t="s">
        <v>336</v>
      </c>
      <c r="X6" s="133">
        <f t="shared" ref="X6:Z22" ca="1" si="0">C6*2000/Q6</f>
        <v>2.1546901451889657</v>
      </c>
      <c r="Y6" s="133">
        <f t="shared" ca="1" si="0"/>
        <v>2.1546901451889657</v>
      </c>
      <c r="Z6" s="133">
        <f t="shared" ca="1" si="0"/>
        <v>2.1546901451889657</v>
      </c>
      <c r="AA6" s="133"/>
      <c r="AB6" s="133">
        <f t="shared" ref="AB6:AC22" ca="1" si="1">G6*2000/U6</f>
        <v>2.1546901451889657</v>
      </c>
      <c r="AC6" s="133">
        <f t="shared" ca="1" si="1"/>
        <v>2.1546901451889657</v>
      </c>
    </row>
    <row r="7" spans="1:29" x14ac:dyDescent="0.25">
      <c r="A7" s="812">
        <v>2104008210</v>
      </c>
      <c r="B7" s="812" t="s">
        <v>138</v>
      </c>
      <c r="C7" s="133">
        <f ca="1">INDIRECT("'DevSumOut-"&amp;$B$2&amp;"BSR'!R51")</f>
        <v>5.4075668870109034E-2</v>
      </c>
      <c r="D7" s="133">
        <f ca="1">INDIRECT("'DevSumOut-"&amp;$B$2&amp;"BSR'!R51")</f>
        <v>5.4075668870109034E-2</v>
      </c>
      <c r="E7" s="133">
        <f ca="1">INDIRECT("'DevSumOut-"&amp;$B$2&amp;"BSR'!R51")</f>
        <v>5.4075668870109034E-2</v>
      </c>
      <c r="F7" s="551" t="s">
        <v>336</v>
      </c>
      <c r="G7" s="133">
        <f ca="1">INDIRECT("'DevSumOut-"&amp;$B$2&amp;"BSR'!R51")</f>
        <v>5.4075668870109034E-2</v>
      </c>
      <c r="H7" s="133">
        <f ca="1">INDIRECT("'DevSumOut-"&amp;$B$2&amp;"BSR'!R51")</f>
        <v>5.4075668870109034E-2</v>
      </c>
      <c r="I7" s="551" t="s">
        <v>336</v>
      </c>
      <c r="J7" s="133">
        <f ca="1">INDIRECT("'DevSumOut-"&amp;$B$2&amp;"BSR'!P51")</f>
        <v>7.0687148849815737E-4</v>
      </c>
      <c r="K7" s="133">
        <f ca="1">INDIRECT("'DevSumOut-"&amp;$B$2&amp;"BSR'!P51")</f>
        <v>7.0687148849815737E-4</v>
      </c>
      <c r="L7" s="133">
        <f ca="1">INDIRECT("'DevSumOut-"&amp;$B$2&amp;"BSR'!P51")</f>
        <v>7.0687148849815737E-4</v>
      </c>
      <c r="M7" s="551" t="s">
        <v>336</v>
      </c>
      <c r="N7" s="133">
        <f ca="1">INDIRECT("'DevSumOut-"&amp;$B$2&amp;"BSR'!P51")</f>
        <v>7.0687148849815737E-4</v>
      </c>
      <c r="O7" s="133">
        <f ca="1">INDIRECT("'DevSumOut-"&amp;$B$2&amp;"BSR'!P51")</f>
        <v>7.0687148849815737E-4</v>
      </c>
      <c r="P7" s="551" t="s">
        <v>336</v>
      </c>
      <c r="Q7" s="45">
        <f ca="1">INDIRECT("'DevSumOut-"&amp;$B$2&amp;"BSR'!U51")</f>
        <v>56.744576727250433</v>
      </c>
      <c r="R7" s="45">
        <f ca="1">INDIRECT("'DevSumOut-"&amp;$B$2&amp;"BSR'!U51")</f>
        <v>56.744576727250433</v>
      </c>
      <c r="S7" s="45">
        <f ca="1">INDIRECT("'DevSumOut-"&amp;$B$2&amp;"BSR'!U51")</f>
        <v>56.744576727250433</v>
      </c>
      <c r="T7" s="581" t="s">
        <v>336</v>
      </c>
      <c r="U7" s="45">
        <f ca="1">INDIRECT("'DevSumOut-"&amp;$B$2&amp;"BSR'!U51")</f>
        <v>56.744576727250433</v>
      </c>
      <c r="V7" s="45">
        <f ca="1">INDIRECT("'DevSumOut-"&amp;$B$2&amp;"BSR'!U51")</f>
        <v>56.744576727250433</v>
      </c>
      <c r="W7" s="581" t="s">
        <v>336</v>
      </c>
      <c r="X7" s="133">
        <f t="shared" ca="1" si="0"/>
        <v>1.9059325838319379</v>
      </c>
      <c r="Y7" s="133">
        <f t="shared" ca="1" si="0"/>
        <v>1.9059325838319379</v>
      </c>
      <c r="Z7" s="133">
        <f t="shared" ca="1" si="0"/>
        <v>1.9059325838319379</v>
      </c>
      <c r="AA7" s="133"/>
      <c r="AB7" s="133">
        <f t="shared" ca="1" si="1"/>
        <v>1.9059325838319379</v>
      </c>
      <c r="AC7" s="133">
        <f t="shared" ca="1" si="1"/>
        <v>1.9059325838319379</v>
      </c>
    </row>
    <row r="8" spans="1:29" x14ac:dyDescent="0.25">
      <c r="A8" s="812">
        <v>2104008220</v>
      </c>
      <c r="B8" s="812" t="s">
        <v>139</v>
      </c>
      <c r="C8" s="133">
        <f ca="1">INDIRECT("'DevSumOut-"&amp;$B$2&amp;"BSR'!R52")</f>
        <v>4.4647762770396462E-2</v>
      </c>
      <c r="D8" s="133">
        <f ca="1">INDIRECT("'DevSumOut-"&amp;$B$2&amp;"BSR'!R52")</f>
        <v>4.4647762770396462E-2</v>
      </c>
      <c r="E8" s="133">
        <f ca="1">INDIRECT("'DevSumOut-"&amp;$B$2&amp;"BSR'!R52")</f>
        <v>4.4647762770396462E-2</v>
      </c>
      <c r="F8" s="551" t="s">
        <v>336</v>
      </c>
      <c r="G8" s="133">
        <f ca="1">INDIRECT("'DevSumOut-"&amp;$B$2&amp;"BSR'!R52")</f>
        <v>4.4647762770396462E-2</v>
      </c>
      <c r="H8" s="133">
        <f ca="1">INDIRECT("'DevSumOut-"&amp;$B$2&amp;"BSR'!R52")</f>
        <v>4.4647762770396462E-2</v>
      </c>
      <c r="I8" s="551" t="s">
        <v>336</v>
      </c>
      <c r="J8" s="133">
        <f ca="1">INDIRECT("'DevSumOut-"&amp;$B$2&amp;"BSR'!P52")</f>
        <v>1.4882587590132144E-3</v>
      </c>
      <c r="K8" s="133">
        <f ca="1">INDIRECT("'DevSumOut-"&amp;$B$2&amp;"BSR'!P52")</f>
        <v>1.4882587590132144E-3</v>
      </c>
      <c r="L8" s="133">
        <f ca="1">INDIRECT("'DevSumOut-"&amp;$B$2&amp;"BSR'!P52")</f>
        <v>1.4882587590132144E-3</v>
      </c>
      <c r="M8" s="551" t="s">
        <v>336</v>
      </c>
      <c r="N8" s="133">
        <f ca="1">INDIRECT("'DevSumOut-"&amp;$B$2&amp;"BSR'!P52")</f>
        <v>1.4882587590132144E-3</v>
      </c>
      <c r="O8" s="133">
        <f ca="1">INDIRECT("'DevSumOut-"&amp;$B$2&amp;"BSR'!P52")</f>
        <v>1.4882587590132144E-3</v>
      </c>
      <c r="P8" s="551" t="s">
        <v>336</v>
      </c>
      <c r="Q8" s="45">
        <f ca="1">INDIRECT("'DevSumOut-"&amp;$B$2&amp;"BSR'!U52")</f>
        <v>119.47095718948076</v>
      </c>
      <c r="R8" s="45">
        <f ca="1">INDIRECT("'DevSumOut-"&amp;$B$2&amp;"BSR'!U52")</f>
        <v>119.47095718948076</v>
      </c>
      <c r="S8" s="45">
        <f ca="1">INDIRECT("'DevSumOut-"&amp;$B$2&amp;"BSR'!U52")</f>
        <v>119.47095718948076</v>
      </c>
      <c r="T8" s="581" t="s">
        <v>336</v>
      </c>
      <c r="U8" s="45">
        <f ca="1">INDIRECT("'DevSumOut-"&amp;$B$2&amp;"BSR'!U52")</f>
        <v>119.47095718948076</v>
      </c>
      <c r="V8" s="45">
        <f ca="1">INDIRECT("'DevSumOut-"&amp;$B$2&amp;"BSR'!U52")</f>
        <v>119.47095718948076</v>
      </c>
      <c r="W8" s="581" t="s">
        <v>336</v>
      </c>
      <c r="X8" s="133">
        <f t="shared" ca="1" si="0"/>
        <v>0.74742454267919156</v>
      </c>
      <c r="Y8" s="133">
        <f t="shared" ca="1" si="0"/>
        <v>0.74742454267919156</v>
      </c>
      <c r="Z8" s="133">
        <f t="shared" ca="1" si="0"/>
        <v>0.74742454267919156</v>
      </c>
      <c r="AA8" s="133"/>
      <c r="AB8" s="133">
        <f t="shared" ca="1" si="1"/>
        <v>0.74742454267919156</v>
      </c>
      <c r="AC8" s="133">
        <f t="shared" ca="1" si="1"/>
        <v>0.74742454267919156</v>
      </c>
    </row>
    <row r="9" spans="1:29" x14ac:dyDescent="0.25">
      <c r="A9" s="812">
        <v>2104008230</v>
      </c>
      <c r="B9" s="812" t="s">
        <v>140</v>
      </c>
      <c r="C9" s="133">
        <f ca="1">INDIRECT("'DevSumOut-"&amp;$B$2&amp;"BSR'!R53")</f>
        <v>2.9121324058608178E-2</v>
      </c>
      <c r="D9" s="133">
        <f ca="1">INDIRECT("'DevSumOut-"&amp;$B$2&amp;"BSR'!R53")</f>
        <v>2.9121324058608178E-2</v>
      </c>
      <c r="E9" s="133">
        <f ca="1">INDIRECT("'DevSumOut-"&amp;$B$2&amp;"BSR'!R53")</f>
        <v>2.9121324058608178E-2</v>
      </c>
      <c r="F9" s="551" t="s">
        <v>336</v>
      </c>
      <c r="G9" s="133">
        <f ca="1">INDIRECT("'DevSumOut-"&amp;$B$2&amp;"BSR'!R53")</f>
        <v>2.9121324058608178E-2</v>
      </c>
      <c r="H9" s="133">
        <f ca="1">INDIRECT("'DevSumOut-"&amp;$B$2&amp;"BSR'!R53")</f>
        <v>2.9121324058608178E-2</v>
      </c>
      <c r="I9" s="551" t="s">
        <v>336</v>
      </c>
      <c r="J9" s="133">
        <f ca="1">INDIRECT("'DevSumOut-"&amp;$B$2&amp;"BSR'!P53")</f>
        <v>8.960407402648676E-4</v>
      </c>
      <c r="K9" s="133">
        <f ca="1">INDIRECT("'DevSumOut-"&amp;$B$2&amp;"BSR'!P53")</f>
        <v>8.960407402648676E-4</v>
      </c>
      <c r="L9" s="133">
        <f ca="1">INDIRECT("'DevSumOut-"&amp;$B$2&amp;"BSR'!P53")</f>
        <v>8.960407402648676E-4</v>
      </c>
      <c r="M9" s="551" t="s">
        <v>336</v>
      </c>
      <c r="N9" s="133">
        <f ca="1">INDIRECT("'DevSumOut-"&amp;$B$2&amp;"BSR'!P53")</f>
        <v>8.960407402648676E-4</v>
      </c>
      <c r="O9" s="133">
        <f ca="1">INDIRECT("'DevSumOut-"&amp;$B$2&amp;"BSR'!P53")</f>
        <v>8.960407402648676E-4</v>
      </c>
      <c r="P9" s="551" t="s">
        <v>336</v>
      </c>
      <c r="Q9" s="45">
        <f ca="1">INDIRECT("'DevSumOut-"&amp;$B$2&amp;"BSR'!U53")</f>
        <v>71.930263653340987</v>
      </c>
      <c r="R9" s="45">
        <f ca="1">INDIRECT("'DevSumOut-"&amp;$B$2&amp;"BSR'!U53")</f>
        <v>71.930263653340987</v>
      </c>
      <c r="S9" s="45">
        <f ca="1">INDIRECT("'DevSumOut-"&amp;$B$2&amp;"BSR'!U53")</f>
        <v>71.930263653340987</v>
      </c>
      <c r="T9" s="581" t="s">
        <v>336</v>
      </c>
      <c r="U9" s="45">
        <f ca="1">INDIRECT("'DevSumOut-"&amp;$B$2&amp;"BSR'!U53")</f>
        <v>71.930263653340987</v>
      </c>
      <c r="V9" s="45">
        <f ca="1">INDIRECT("'DevSumOut-"&amp;$B$2&amp;"BSR'!U53")</f>
        <v>71.930263653340987</v>
      </c>
      <c r="W9" s="581" t="s">
        <v>336</v>
      </c>
      <c r="X9" s="133">
        <f t="shared" ca="1" si="0"/>
        <v>0.80970992123579022</v>
      </c>
      <c r="Y9" s="133">
        <f t="shared" ca="1" si="0"/>
        <v>0.80970992123579022</v>
      </c>
      <c r="Z9" s="133">
        <f t="shared" ca="1" si="0"/>
        <v>0.80970992123579022</v>
      </c>
      <c r="AA9" s="133"/>
      <c r="AB9" s="133">
        <f t="shared" ca="1" si="1"/>
        <v>0.80970992123579022</v>
      </c>
      <c r="AC9" s="133">
        <f t="shared" ca="1" si="1"/>
        <v>0.80970992123579022</v>
      </c>
    </row>
    <row r="10" spans="1:29" x14ac:dyDescent="0.25">
      <c r="A10" s="812">
        <v>2104008310</v>
      </c>
      <c r="B10" s="812" t="s">
        <v>141</v>
      </c>
      <c r="C10" s="133">
        <f ca="1">INDIRECT("'DevSumOut-"&amp;$B$2&amp;"BSR'!R54")</f>
        <v>0.43545585224555539</v>
      </c>
      <c r="D10" s="133">
        <f ca="1">INDIRECT("'DevSumOut-"&amp;$B$2&amp;"BSR'!R54")</f>
        <v>0.43545585224555539</v>
      </c>
      <c r="E10" s="133">
        <f ca="1">INDIRECT("'DevSumOut-"&amp;$B$2&amp;"BSR'!R54")</f>
        <v>0.43545585224555539</v>
      </c>
      <c r="F10" s="551" t="s">
        <v>336</v>
      </c>
      <c r="G10" s="133">
        <f ca="1">INDIRECT("'DevSumOut-"&amp;$B$2&amp;"BSR'!R54")</f>
        <v>0.43545585224555539</v>
      </c>
      <c r="H10" s="133">
        <f ca="1">INDIRECT("'DevSumOut-"&amp;$B$2&amp;"BSR'!R54")</f>
        <v>0.43545585224555539</v>
      </c>
      <c r="I10" s="551" t="s">
        <v>336</v>
      </c>
      <c r="J10" s="133">
        <f ca="1">INDIRECT("'DevSumOut-"&amp;$B$2&amp;"BSR'!P54")</f>
        <v>1.4345405975384397E-2</v>
      </c>
      <c r="K10" s="133">
        <f ca="1">INDIRECT("'DevSumOut-"&amp;$B$2&amp;"BSR'!P54")</f>
        <v>1.4345405975384397E-2</v>
      </c>
      <c r="L10" s="133">
        <f ca="1">INDIRECT("'DevSumOut-"&amp;$B$2&amp;"BSR'!P54")</f>
        <v>1.4345405975384397E-2</v>
      </c>
      <c r="M10" s="551" t="s">
        <v>336</v>
      </c>
      <c r="N10" s="133">
        <f ca="1">INDIRECT("'DevSumOut-"&amp;$B$2&amp;"BSR'!P54")</f>
        <v>1.4345405975384397E-2</v>
      </c>
      <c r="O10" s="133">
        <f ca="1">INDIRECT("'DevSumOut-"&amp;$B$2&amp;"BSR'!P54")</f>
        <v>1.4345405975384397E-2</v>
      </c>
      <c r="P10" s="551" t="s">
        <v>336</v>
      </c>
      <c r="Q10" s="45">
        <f ca="1">INDIRECT("'DevSumOut-"&amp;$B$2&amp;"BSR'!U54")</f>
        <v>1151.5869621269619</v>
      </c>
      <c r="R10" s="45">
        <f ca="1">INDIRECT("'DevSumOut-"&amp;$B$2&amp;"BSR'!U54")</f>
        <v>1151.5869621269619</v>
      </c>
      <c r="S10" s="45">
        <f ca="1">INDIRECT("'DevSumOut-"&amp;$B$2&amp;"BSR'!U54")</f>
        <v>1151.5869621269619</v>
      </c>
      <c r="T10" s="581" t="s">
        <v>336</v>
      </c>
      <c r="U10" s="45">
        <f ca="1">INDIRECT("'DevSumOut-"&amp;$B$2&amp;"BSR'!U54")</f>
        <v>1151.5869621269619</v>
      </c>
      <c r="V10" s="45">
        <f ca="1">INDIRECT("'DevSumOut-"&amp;$B$2&amp;"BSR'!U54")</f>
        <v>1151.5869621269619</v>
      </c>
      <c r="W10" s="581" t="s">
        <v>336</v>
      </c>
      <c r="X10" s="133">
        <f t="shared" ca="1" si="0"/>
        <v>0.75627089671330716</v>
      </c>
      <c r="Y10" s="133">
        <f t="shared" ca="1" si="0"/>
        <v>0.75627089671330716</v>
      </c>
      <c r="Z10" s="133">
        <f t="shared" ca="1" si="0"/>
        <v>0.75627089671330716</v>
      </c>
      <c r="AA10" s="133"/>
      <c r="AB10" s="133">
        <f t="shared" ca="1" si="1"/>
        <v>0.75627089671330716</v>
      </c>
      <c r="AC10" s="133">
        <f t="shared" ca="1" si="1"/>
        <v>0.75627089671330716</v>
      </c>
    </row>
    <row r="11" spans="1:29" x14ac:dyDescent="0.25">
      <c r="A11" s="812">
        <v>2104008320</v>
      </c>
      <c r="B11" s="812" t="s">
        <v>142</v>
      </c>
      <c r="C11" s="133">
        <f ca="1">INDIRECT("'DevSumOut-"&amp;$B$2&amp;"BSR'!R55")</f>
        <v>0.59840741945539389</v>
      </c>
      <c r="D11" s="133">
        <f ca="1">INDIRECT("'DevSumOut-"&amp;$B$2&amp;"BSR'!R55")</f>
        <v>0.59840741945539389</v>
      </c>
      <c r="E11" s="133">
        <f ca="1">INDIRECT("'DevSumOut-"&amp;$B$2&amp;"BSR'!R55")</f>
        <v>0.59840741945539389</v>
      </c>
      <c r="F11" s="551" t="s">
        <v>336</v>
      </c>
      <c r="G11" s="133">
        <f ca="1">INDIRECT("'DevSumOut-"&amp;$B$2&amp;"BSR'!R55")</f>
        <v>0.59840741945539389</v>
      </c>
      <c r="H11" s="133">
        <f ca="1">INDIRECT("'DevSumOut-"&amp;$B$2&amp;"BSR'!R55")</f>
        <v>0.59840741945539389</v>
      </c>
      <c r="I11" s="551" t="s">
        <v>336</v>
      </c>
      <c r="J11" s="133">
        <f ca="1">INDIRECT("'DevSumOut-"&amp;$B$2&amp;"BSR'!P55")</f>
        <v>3.0203051674677905E-2</v>
      </c>
      <c r="K11" s="133">
        <f ca="1">INDIRECT("'DevSumOut-"&amp;$B$2&amp;"BSR'!P55")</f>
        <v>3.0203051674677905E-2</v>
      </c>
      <c r="L11" s="133">
        <f ca="1">INDIRECT("'DevSumOut-"&amp;$B$2&amp;"BSR'!P55")</f>
        <v>3.0203051674677905E-2</v>
      </c>
      <c r="M11" s="551" t="s">
        <v>336</v>
      </c>
      <c r="N11" s="133">
        <f ca="1">INDIRECT("'DevSumOut-"&amp;$B$2&amp;"BSR'!P55")</f>
        <v>3.0203051674677905E-2</v>
      </c>
      <c r="O11" s="133">
        <f ca="1">INDIRECT("'DevSumOut-"&amp;$B$2&amp;"BSR'!P55")</f>
        <v>3.0203051674677905E-2</v>
      </c>
      <c r="P11" s="551" t="s">
        <v>336</v>
      </c>
      <c r="Q11" s="45">
        <f ca="1">INDIRECT("'DevSumOut-"&amp;$B$2&amp;"BSR'!U55")</f>
        <v>2424.5699692771504</v>
      </c>
      <c r="R11" s="45">
        <f ca="1">INDIRECT("'DevSumOut-"&amp;$B$2&amp;"BSR'!U55")</f>
        <v>2424.5699692771504</v>
      </c>
      <c r="S11" s="45">
        <f ca="1">INDIRECT("'DevSumOut-"&amp;$B$2&amp;"BSR'!U55")</f>
        <v>2424.5699692771504</v>
      </c>
      <c r="T11" s="581" t="s">
        <v>336</v>
      </c>
      <c r="U11" s="45">
        <f ca="1">INDIRECT("'DevSumOut-"&amp;$B$2&amp;"BSR'!U55")</f>
        <v>2424.5699692771504</v>
      </c>
      <c r="V11" s="45">
        <f ca="1">INDIRECT("'DevSumOut-"&amp;$B$2&amp;"BSR'!U55")</f>
        <v>2424.5699692771504</v>
      </c>
      <c r="W11" s="581" t="s">
        <v>336</v>
      </c>
      <c r="X11" s="133">
        <f t="shared" ca="1" si="0"/>
        <v>0.49361942698135469</v>
      </c>
      <c r="Y11" s="133">
        <f t="shared" ca="1" si="0"/>
        <v>0.49361942698135469</v>
      </c>
      <c r="Z11" s="133">
        <f t="shared" ca="1" si="0"/>
        <v>0.49361942698135469</v>
      </c>
      <c r="AA11" s="133"/>
      <c r="AB11" s="133">
        <f t="shared" ca="1" si="1"/>
        <v>0.49361942698135469</v>
      </c>
      <c r="AC11" s="133">
        <f t="shared" ca="1" si="1"/>
        <v>0.49361942698135469</v>
      </c>
    </row>
    <row r="12" spans="1:29" x14ac:dyDescent="0.25">
      <c r="A12" s="812">
        <v>2104008330</v>
      </c>
      <c r="B12" s="812" t="s">
        <v>143</v>
      </c>
      <c r="C12" s="133">
        <f ca="1">INDIRECT("'DevSumOut-"&amp;$B$2&amp;"BSR'!R56")</f>
        <v>0.39976837722643277</v>
      </c>
      <c r="D12" s="133">
        <f ca="1">INDIRECT("'DevSumOut-"&amp;$B$2&amp;"BSR'!R56")</f>
        <v>0.39976837722643277</v>
      </c>
      <c r="E12" s="133">
        <f ca="1">INDIRECT("'DevSumOut-"&amp;$B$2&amp;"BSR'!R56")</f>
        <v>0.39976837722643277</v>
      </c>
      <c r="F12" s="551" t="s">
        <v>336</v>
      </c>
      <c r="G12" s="133">
        <f ca="1">INDIRECT("'DevSumOut-"&amp;$B$2&amp;"BSR'!R56")</f>
        <v>0.39976837722643277</v>
      </c>
      <c r="H12" s="133">
        <f ca="1">INDIRECT("'DevSumOut-"&amp;$B$2&amp;"BSR'!R56")</f>
        <v>0.39976837722643277</v>
      </c>
      <c r="I12" s="551" t="s">
        <v>336</v>
      </c>
      <c r="J12" s="133">
        <f ca="1">INDIRECT("'DevSumOut-"&amp;$B$2&amp;"BSR'!P56")</f>
        <v>1.818444851537818E-2</v>
      </c>
      <c r="K12" s="133">
        <f ca="1">INDIRECT("'DevSumOut-"&amp;$B$2&amp;"BSR'!P56")</f>
        <v>1.818444851537818E-2</v>
      </c>
      <c r="L12" s="133">
        <f ca="1">INDIRECT("'DevSumOut-"&amp;$B$2&amp;"BSR'!P56")</f>
        <v>1.818444851537818E-2</v>
      </c>
      <c r="M12" s="551" t="s">
        <v>336</v>
      </c>
      <c r="N12" s="133">
        <f ca="1">INDIRECT("'DevSumOut-"&amp;$B$2&amp;"BSR'!P56")</f>
        <v>1.818444851537818E-2</v>
      </c>
      <c r="O12" s="133">
        <f ca="1">INDIRECT("'DevSumOut-"&amp;$B$2&amp;"BSR'!P56")</f>
        <v>1.818444851537818E-2</v>
      </c>
      <c r="P12" s="551" t="s">
        <v>336</v>
      </c>
      <c r="Q12" s="45">
        <f ca="1">INDIRECT("'DevSumOut-"&amp;$B$2&amp;"BSR'!U56")</f>
        <v>1459.7686436836714</v>
      </c>
      <c r="R12" s="45">
        <f ca="1">INDIRECT("'DevSumOut-"&amp;$B$2&amp;"BSR'!U56")</f>
        <v>1459.7686436836714</v>
      </c>
      <c r="S12" s="45">
        <f ca="1">INDIRECT("'DevSumOut-"&amp;$B$2&amp;"BSR'!U56")</f>
        <v>1459.7686436836714</v>
      </c>
      <c r="T12" s="581" t="s">
        <v>336</v>
      </c>
      <c r="U12" s="45">
        <f ca="1">INDIRECT("'DevSumOut-"&amp;$B$2&amp;"BSR'!U56")</f>
        <v>1459.7686436836714</v>
      </c>
      <c r="V12" s="45">
        <f ca="1">INDIRECT("'DevSumOut-"&amp;$B$2&amp;"BSR'!U56")</f>
        <v>1459.7686436836714</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2">
        <v>2104008410</v>
      </c>
      <c r="B13" s="812" t="s">
        <v>144</v>
      </c>
      <c r="C13" s="133">
        <f ca="1">INDIRECT("'DevSumOut-"&amp;$B$2&amp;"BSR'!R57")</f>
        <v>1.4750930889770423E-2</v>
      </c>
      <c r="D13" s="133">
        <f ca="1">INDIRECT("'DevSumOut-"&amp;$B$2&amp;"BSR'!R57")</f>
        <v>1.4750930889770423E-2</v>
      </c>
      <c r="E13" s="133">
        <f ca="1">INDIRECT("'DevSumOut-"&amp;$B$2&amp;"BSR'!R57")</f>
        <v>1.4750930889770423E-2</v>
      </c>
      <c r="F13" s="551" t="s">
        <v>336</v>
      </c>
      <c r="G13" s="133">
        <f ca="1">INDIRECT("'DevSumOut-"&amp;$B$2&amp;"BSR'!R57")</f>
        <v>1.4750930889770423E-2</v>
      </c>
      <c r="H13" s="133">
        <f ca="1">INDIRECT("'DevSumOut-"&amp;$B$2&amp;"BSR'!R57")</f>
        <v>1.4750930889770423E-2</v>
      </c>
      <c r="I13" s="551" t="s">
        <v>336</v>
      </c>
      <c r="J13" s="133">
        <f ca="1">INDIRECT("'DevSumOut-"&amp;$B$2&amp;"BSR'!P57")</f>
        <v>1.5946952313265327E-3</v>
      </c>
      <c r="K13" s="133">
        <f ca="1">INDIRECT("'DevSumOut-"&amp;$B$2&amp;"BSR'!P57")</f>
        <v>1.5946952313265327E-3</v>
      </c>
      <c r="L13" s="133">
        <f ca="1">INDIRECT("'DevSumOut-"&amp;$B$2&amp;"BSR'!P57")</f>
        <v>1.5946952313265327E-3</v>
      </c>
      <c r="M13" s="551" t="s">
        <v>336</v>
      </c>
      <c r="N13" s="133">
        <f ca="1">INDIRECT("'DevSumOut-"&amp;$B$2&amp;"BSR'!P57")</f>
        <v>1.5946952313265327E-3</v>
      </c>
      <c r="O13" s="133">
        <f ca="1">INDIRECT("'DevSumOut-"&amp;$B$2&amp;"BSR'!P57")</f>
        <v>1.5946952313265327E-3</v>
      </c>
      <c r="P13" s="551" t="s">
        <v>336</v>
      </c>
      <c r="Q13" s="45">
        <f ca="1">INDIRECT("'DevSumOut-"&amp;$B$2&amp;"BSR'!U57")</f>
        <v>152.87367813696858</v>
      </c>
      <c r="R13" s="45">
        <f ca="1">INDIRECT("'DevSumOut-"&amp;$B$2&amp;"BSR'!U57")</f>
        <v>152.87367813696858</v>
      </c>
      <c r="S13" s="45">
        <f ca="1">INDIRECT("'DevSumOut-"&amp;$B$2&amp;"BSR'!U57")</f>
        <v>152.87367813696858</v>
      </c>
      <c r="T13" s="581" t="s">
        <v>336</v>
      </c>
      <c r="U13" s="45">
        <f ca="1">INDIRECT("'DevSumOut-"&amp;$B$2&amp;"BSR'!U57")</f>
        <v>152.87367813696858</v>
      </c>
      <c r="V13" s="45">
        <f ca="1">INDIRECT("'DevSumOut-"&amp;$B$2&amp;"BSR'!U57")</f>
        <v>152.87367813696858</v>
      </c>
      <c r="W13" s="581" t="s">
        <v>336</v>
      </c>
      <c r="X13" s="133">
        <f t="shared" ca="1" si="0"/>
        <v>0.19298195830094689</v>
      </c>
      <c r="Y13" s="133">
        <f t="shared" ca="1" si="0"/>
        <v>0.19298195830094689</v>
      </c>
      <c r="Z13" s="133">
        <f t="shared" ca="1" si="0"/>
        <v>0.19298195830094689</v>
      </c>
      <c r="AA13" s="133"/>
      <c r="AB13" s="133">
        <f t="shared" ca="1" si="1"/>
        <v>0.19298195830094689</v>
      </c>
      <c r="AC13" s="133">
        <f t="shared" ca="1" si="1"/>
        <v>0.19298195830094689</v>
      </c>
    </row>
    <row r="14" spans="1:29" x14ac:dyDescent="0.25">
      <c r="A14" s="812">
        <v>2104008420</v>
      </c>
      <c r="B14" s="812" t="s">
        <v>145</v>
      </c>
      <c r="C14" s="133">
        <f ca="1">INDIRECT("'DevSumOut-"&amp;$B$2&amp;"BSR'!R58")</f>
        <v>4.9755348329425367E-2</v>
      </c>
      <c r="D14" s="133">
        <f ca="1">INDIRECT("'DevSumOut-"&amp;$B$2&amp;"BSR'!R58")</f>
        <v>4.9755348329425367E-2</v>
      </c>
      <c r="E14" s="133">
        <f ca="1">INDIRECT("'DevSumOut-"&amp;$B$2&amp;"BSR'!R58")</f>
        <v>4.9755348329425367E-2</v>
      </c>
      <c r="F14" s="551" t="s">
        <v>336</v>
      </c>
      <c r="G14" s="133">
        <f ca="1">INDIRECT("'DevSumOut-"&amp;$B$2&amp;"BSR'!R58")</f>
        <v>4.9755348329425367E-2</v>
      </c>
      <c r="H14" s="133">
        <f ca="1">INDIRECT("'DevSumOut-"&amp;$B$2&amp;"BSR'!R58")</f>
        <v>4.9755348329425367E-2</v>
      </c>
      <c r="I14" s="551" t="s">
        <v>336</v>
      </c>
      <c r="J14" s="133">
        <f ca="1">INDIRECT("'DevSumOut-"&amp;$B$2&amp;"BSR'!P58")</f>
        <v>5.3789565761540913E-3</v>
      </c>
      <c r="K14" s="133">
        <f ca="1">INDIRECT("'DevSumOut-"&amp;$B$2&amp;"BSR'!P58")</f>
        <v>5.3789565761540913E-3</v>
      </c>
      <c r="L14" s="133">
        <f ca="1">INDIRECT("'DevSumOut-"&amp;$B$2&amp;"BSR'!P58")</f>
        <v>5.3789565761540913E-3</v>
      </c>
      <c r="M14" s="551" t="s">
        <v>336</v>
      </c>
      <c r="N14" s="133">
        <f ca="1">INDIRECT("'DevSumOut-"&amp;$B$2&amp;"BSR'!P58")</f>
        <v>5.3789565761540913E-3</v>
      </c>
      <c r="O14" s="133">
        <f ca="1">INDIRECT("'DevSumOut-"&amp;$B$2&amp;"BSR'!P58")</f>
        <v>5.3789565761540913E-3</v>
      </c>
      <c r="P14" s="551" t="s">
        <v>336</v>
      </c>
      <c r="Q14" s="45">
        <f ca="1">INDIRECT("'DevSumOut-"&amp;$B$2&amp;"BSR'!U58")</f>
        <v>515.64766745535928</v>
      </c>
      <c r="R14" s="45">
        <f ca="1">INDIRECT("'DevSumOut-"&amp;$B$2&amp;"BSR'!U58")</f>
        <v>515.64766745535928</v>
      </c>
      <c r="S14" s="45">
        <f ca="1">INDIRECT("'DevSumOut-"&amp;$B$2&amp;"BSR'!U58")</f>
        <v>515.64766745535928</v>
      </c>
      <c r="T14" s="581" t="s">
        <v>336</v>
      </c>
      <c r="U14" s="45">
        <f ca="1">INDIRECT("'DevSumOut-"&amp;$B$2&amp;"BSR'!U58")</f>
        <v>515.64766745535928</v>
      </c>
      <c r="V14" s="45">
        <f ca="1">INDIRECT("'DevSumOut-"&amp;$B$2&amp;"BSR'!U58")</f>
        <v>515.64766745535928</v>
      </c>
      <c r="W14" s="581" t="s">
        <v>336</v>
      </c>
      <c r="X14" s="133">
        <f t="shared" ca="1" si="0"/>
        <v>0.192981958300947</v>
      </c>
      <c r="Y14" s="133">
        <f t="shared" ca="1" si="0"/>
        <v>0.192981958300947</v>
      </c>
      <c r="Z14" s="133">
        <f t="shared" ca="1" si="0"/>
        <v>0.192981958300947</v>
      </c>
      <c r="AA14" s="133"/>
      <c r="AB14" s="133">
        <f t="shared" ca="1" si="1"/>
        <v>0.192981958300947</v>
      </c>
      <c r="AC14" s="133">
        <f t="shared" ca="1" si="1"/>
        <v>0.192981958300947</v>
      </c>
    </row>
    <row r="15" spans="1:29" x14ac:dyDescent="0.25">
      <c r="A15" s="812">
        <v>2104008610</v>
      </c>
      <c r="B15" s="812" t="s">
        <v>146</v>
      </c>
      <c r="C15" s="133">
        <f ca="1">INDIRECT("'DevSumOut-"&amp;$B$2&amp;"BSR'!R59")</f>
        <v>0.24720357550106578</v>
      </c>
      <c r="D15" s="133">
        <f ca="1">INDIRECT("'DevSumOut-"&amp;$B$2&amp;"BSR'!R59")</f>
        <v>0.24720357550106578</v>
      </c>
      <c r="E15" s="133">
        <f ca="1">INDIRECT("'DevSumOut-"&amp;$B$2&amp;"BSR'!R59")</f>
        <v>0.24720357550106578</v>
      </c>
      <c r="F15" s="551" t="s">
        <v>336</v>
      </c>
      <c r="G15" s="133">
        <f ca="1">INDIRECT("'DevSumOut-"&amp;$B$2&amp;"BSR'!R59")</f>
        <v>0.24720357550106578</v>
      </c>
      <c r="H15" s="133">
        <f ca="1">INDIRECT("'DevSumOut-"&amp;$B$2&amp;"BSR'!R59")</f>
        <v>0.24720357550106578</v>
      </c>
      <c r="I15" s="551" t="s">
        <v>336</v>
      </c>
      <c r="J15" s="133">
        <f ca="1">INDIRECT("'DevSumOut-"&amp;$B$2&amp;"BSR'!P59")</f>
        <v>1.0018227622626413E-2</v>
      </c>
      <c r="K15" s="133">
        <f ca="1">INDIRECT("'DevSumOut-"&amp;$B$2&amp;"BSR'!P59")</f>
        <v>1.0018227622626413E-2</v>
      </c>
      <c r="L15" s="133">
        <f ca="1">INDIRECT("'DevSumOut-"&amp;$B$2&amp;"BSR'!P59")</f>
        <v>1.0018227622626413E-2</v>
      </c>
      <c r="M15" s="551" t="s">
        <v>336</v>
      </c>
      <c r="N15" s="133">
        <f ca="1">INDIRECT("'DevSumOut-"&amp;$B$2&amp;"BSR'!P59")</f>
        <v>1.0018227622626413E-2</v>
      </c>
      <c r="O15" s="133">
        <f ca="1">INDIRECT("'DevSumOut-"&amp;$B$2&amp;"BSR'!P59")</f>
        <v>1.0018227622626413E-2</v>
      </c>
      <c r="P15" s="551" t="s">
        <v>336</v>
      </c>
      <c r="Q15" s="45">
        <f ca="1">INDIRECT("'DevSumOut-"&amp;$B$2&amp;"BSR'!U59")</f>
        <v>803.94379103366714</v>
      </c>
      <c r="R15" s="45">
        <f ca="1">INDIRECT("'DevSumOut-"&amp;$B$2&amp;"BSR'!U59")</f>
        <v>803.94379103366714</v>
      </c>
      <c r="S15" s="45">
        <f ca="1">INDIRECT("'DevSumOut-"&amp;$B$2&amp;"BSR'!U59")</f>
        <v>803.94379103366714</v>
      </c>
      <c r="T15" s="581" t="s">
        <v>336</v>
      </c>
      <c r="U15" s="45">
        <f ca="1">INDIRECT("'DevSumOut-"&amp;$B$2&amp;"BSR'!U59")</f>
        <v>803.94379103366714</v>
      </c>
      <c r="V15" s="45">
        <f ca="1">INDIRECT("'DevSumOut-"&amp;$B$2&amp;"BSR'!U59")</f>
        <v>803.94379103366714</v>
      </c>
      <c r="W15" s="581" t="s">
        <v>336</v>
      </c>
      <c r="X15" s="133">
        <f t="shared" ca="1" si="0"/>
        <v>0.61497726149044551</v>
      </c>
      <c r="Y15" s="133">
        <f t="shared" ca="1" si="0"/>
        <v>0.61497726149044551</v>
      </c>
      <c r="Z15" s="133">
        <f t="shared" ca="1" si="0"/>
        <v>0.61497726149044551</v>
      </c>
      <c r="AA15" s="133"/>
      <c r="AB15" s="133">
        <f t="shared" ca="1" si="1"/>
        <v>0.61497726149044551</v>
      </c>
      <c r="AC15" s="133">
        <f t="shared" ca="1" si="1"/>
        <v>0.61497726149044551</v>
      </c>
    </row>
    <row r="16" spans="1:29" x14ac:dyDescent="0.25">
      <c r="A16" s="812">
        <v>2104004000</v>
      </c>
      <c r="B16" s="812" t="s">
        <v>568</v>
      </c>
      <c r="C16" s="133">
        <f ca="1">INDIRECT("'DevSumOut-"&amp;$B$2&amp;"BSR'!R60")</f>
        <v>5.3683098675859957E-2</v>
      </c>
      <c r="D16" s="133">
        <f ca="1">INDIRECT("'DevSumOut-"&amp;$B$2&amp;"BSR'!R60")</f>
        <v>5.3683098675859957E-2</v>
      </c>
      <c r="E16" s="133">
        <f ca="1">INDIRECT("'DevSumOut-"&amp;$B$2&amp;"BSR'!R60")</f>
        <v>5.3683098675859957E-2</v>
      </c>
      <c r="F16" s="551" t="s">
        <v>336</v>
      </c>
      <c r="G16" s="133">
        <f ca="1">INDIRECT("'DevSumOut-"&amp;$B$2&amp;"BSR'!R60")</f>
        <v>5.3683098675859957E-2</v>
      </c>
      <c r="H16" s="133">
        <f ca="1">INDIRECT("'DevSumOut-"&amp;$B$2&amp;"BSR'!R60")</f>
        <v>5.3683098675859957E-2</v>
      </c>
      <c r="I16" s="551" t="s">
        <v>336</v>
      </c>
      <c r="J16" s="133">
        <f ca="1">INDIRECT("'DevSumOut-"&amp;$B$2&amp;"BSR'!P60")</f>
        <v>3.3981380799329663</v>
      </c>
      <c r="K16" s="133">
        <f ca="1">INDIRECT("'DevSumOut-"&amp;$B$2&amp;"BSR'!P60")</f>
        <v>3.3981380799329663</v>
      </c>
      <c r="L16" s="133">
        <f ca="1">INDIRECT("'DevSumOut-"&amp;$B$2&amp;"BSR'!P60")</f>
        <v>3.3981380799329663</v>
      </c>
      <c r="M16" s="551" t="s">
        <v>336</v>
      </c>
      <c r="N16" s="133">
        <f ca="1">INDIRECT("'DevSumOut-"&amp;$B$2&amp;"BSR'!P60")</f>
        <v>3.3981380799329663</v>
      </c>
      <c r="O16" s="133">
        <f ca="1">INDIRECT("'DevSumOut-"&amp;$B$2&amp;"BSR'!P60")</f>
        <v>3.3981380799329663</v>
      </c>
      <c r="P16" s="551" t="s">
        <v>336</v>
      </c>
      <c r="Q16" s="45">
        <f ca="1">INDIRECT("'DevSumOut-"&amp;$B$2&amp;"BSR'!U60")</f>
        <v>31558.869568705712</v>
      </c>
      <c r="R16" s="45">
        <f ca="1">INDIRECT("'DevSumOut-"&amp;$B$2&amp;"BSR'!U60")</f>
        <v>31558.869568705712</v>
      </c>
      <c r="S16" s="45">
        <f ca="1">INDIRECT("'DevSumOut-"&amp;$B$2&amp;"BSR'!U60")</f>
        <v>31558.869568705712</v>
      </c>
      <c r="T16" s="581" t="s">
        <v>336</v>
      </c>
      <c r="U16" s="45">
        <f ca="1">INDIRECT("'DevSumOut-"&amp;$B$2&amp;"BSR'!U60")</f>
        <v>31558.869568705712</v>
      </c>
      <c r="V16" s="45">
        <f ca="1">INDIRECT("'DevSumOut-"&amp;$B$2&amp;"BSR'!U60")</f>
        <v>31558.869568705712</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2">
        <v>2103004001</v>
      </c>
      <c r="B17" s="812" t="s">
        <v>148</v>
      </c>
      <c r="C17" s="133">
        <f ca="1">INDIRECT("'DevSumOut-"&amp;$B$2&amp;"BSR'!R61")</f>
        <v>1.8035766491007917E-2</v>
      </c>
      <c r="D17" s="133">
        <f ca="1">INDIRECT("'DevSumOut-"&amp;$B$2&amp;"BSR'!R61")</f>
        <v>1.8035766491007917E-2</v>
      </c>
      <c r="E17" s="133">
        <f ca="1">INDIRECT("'DevSumOut-"&amp;$B$2&amp;"BSR'!R61")</f>
        <v>1.8035766491007917E-2</v>
      </c>
      <c r="F17" s="551" t="s">
        <v>336</v>
      </c>
      <c r="G17" s="133">
        <f ca="1">INDIRECT("'DevSumOut-"&amp;$B$2&amp;"BSR'!R61")</f>
        <v>1.8035766491007917E-2</v>
      </c>
      <c r="H17" s="133">
        <f ca="1">INDIRECT("'DevSumOut-"&amp;$B$2&amp;"BSR'!R61")</f>
        <v>1.8035766491007917E-2</v>
      </c>
      <c r="I17" s="551" t="s">
        <v>336</v>
      </c>
      <c r="J17" s="133">
        <f ca="1">INDIRECT("'DevSumOut-"&amp;$B$2&amp;"BSR'!P61")</f>
        <v>0.50257144517492502</v>
      </c>
      <c r="K17" s="133">
        <f ca="1">INDIRECT("'DevSumOut-"&amp;$B$2&amp;"BSR'!P61")</f>
        <v>0.50257144517492502</v>
      </c>
      <c r="L17" s="133">
        <f ca="1">INDIRECT("'DevSumOut-"&amp;$B$2&amp;"BSR'!P61")</f>
        <v>0.50257144517492502</v>
      </c>
      <c r="M17" s="551" t="s">
        <v>336</v>
      </c>
      <c r="N17" s="133">
        <f ca="1">INDIRECT("'DevSumOut-"&amp;$B$2&amp;"BSR'!P61")</f>
        <v>0.50257144517492502</v>
      </c>
      <c r="O17" s="133">
        <f ca="1">INDIRECT("'DevSumOut-"&amp;$B$2&amp;"BSR'!P61")</f>
        <v>0.50257144517492502</v>
      </c>
      <c r="P17" s="551" t="s">
        <v>336</v>
      </c>
      <c r="Q17" s="45">
        <f ca="1">INDIRECT("'DevSumOut-"&amp;$B$2&amp;"BSR'!U61")</f>
        <v>10941.609839777277</v>
      </c>
      <c r="R17" s="45">
        <f ca="1">INDIRECT("'DevSumOut-"&amp;$B$2&amp;"BSR'!U61")</f>
        <v>10941.609839777277</v>
      </c>
      <c r="S17" s="45">
        <f ca="1">INDIRECT("'DevSumOut-"&amp;$B$2&amp;"BSR'!U61")</f>
        <v>10941.609839777277</v>
      </c>
      <c r="T17" s="581" t="s">
        <v>336</v>
      </c>
      <c r="U17" s="45">
        <f ca="1">INDIRECT("'DevSumOut-"&amp;$B$2&amp;"BSR'!U61")</f>
        <v>10941.609839777277</v>
      </c>
      <c r="V17" s="45">
        <f ca="1">INDIRECT("'DevSumOut-"&amp;$B$2&amp;"BSR'!U61")</f>
        <v>10941.609839777277</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2">
        <v>2104004000</v>
      </c>
      <c r="B18" s="812" t="s">
        <v>746</v>
      </c>
      <c r="C18" s="133">
        <f ca="1">INDIRECT("'DevSumOut-"&amp;$B$2&amp;"BSR'!R62")</f>
        <v>3.2133306749462884E-4</v>
      </c>
      <c r="D18" s="133">
        <f ca="1">INDIRECT("'DevSumOut-"&amp;$B$2&amp;"BSR'!R62")</f>
        <v>3.2133306749462884E-4</v>
      </c>
      <c r="E18" s="133">
        <f ca="1">INDIRECT("'DevSumOut-"&amp;$B$2&amp;"BSR'!R62")</f>
        <v>3.2133306749462884E-4</v>
      </c>
      <c r="F18" s="551" t="s">
        <v>336</v>
      </c>
      <c r="G18" s="133">
        <f ca="1">INDIRECT("'DevSumOut-"&amp;$B$2&amp;"BSR'!R62")</f>
        <v>3.2133306749462884E-4</v>
      </c>
      <c r="H18" s="133">
        <f ca="1">INDIRECT("'DevSumOut-"&amp;$B$2&amp;"BSR'!R62")</f>
        <v>3.2133306749462884E-4</v>
      </c>
      <c r="I18" s="551" t="s">
        <v>336</v>
      </c>
      <c r="J18" s="133">
        <f ca="1">INDIRECT("'DevSumOut-"&amp;$B$2&amp;"BSR'!P62")</f>
        <v>2.3218385786157855E-2</v>
      </c>
      <c r="K18" s="133">
        <f ca="1">INDIRECT("'DevSumOut-"&amp;$B$2&amp;"BSR'!P62")</f>
        <v>2.3218385786157855E-2</v>
      </c>
      <c r="L18" s="133">
        <f ca="1">INDIRECT("'DevSumOut-"&amp;$B$2&amp;"BSR'!P62")</f>
        <v>2.3218385786157855E-2</v>
      </c>
      <c r="M18" s="551" t="s">
        <v>336</v>
      </c>
      <c r="N18" s="133">
        <f ca="1">INDIRECT("'DevSumOut-"&amp;$B$2&amp;"BSR'!P62")</f>
        <v>2.3218385786157855E-2</v>
      </c>
      <c r="O18" s="133">
        <f ca="1">INDIRECT("'DevSumOut-"&amp;$B$2&amp;"BSR'!P62")</f>
        <v>2.3218385786157855E-2</v>
      </c>
      <c r="P18" s="551" t="s">
        <v>336</v>
      </c>
      <c r="Q18" s="45">
        <f ca="1">INDIRECT("'DevSumOut-"&amp;$B$2&amp;"BSR'!U62")</f>
        <v>220.10511790713346</v>
      </c>
      <c r="R18" s="45">
        <f ca="1">INDIRECT("'DevSumOut-"&amp;$B$2&amp;"BSR'!U62")</f>
        <v>220.10511790713346</v>
      </c>
      <c r="S18" s="45">
        <f ca="1">INDIRECT("'DevSumOut-"&amp;$B$2&amp;"BSR'!U62")</f>
        <v>220.10511790713346</v>
      </c>
      <c r="T18" s="581" t="s">
        <v>336</v>
      </c>
      <c r="U18" s="45">
        <f ca="1">INDIRECT("'DevSumOut-"&amp;$B$2&amp;"BSR'!U62")</f>
        <v>220.10511790713346</v>
      </c>
      <c r="V18" s="45">
        <f ca="1">INDIRECT("'DevSumOut-"&amp;$B$2&amp;"BSR'!U62")</f>
        <v>220.10511790713346</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2">
        <v>2104007000</v>
      </c>
      <c r="B19" s="812" t="s">
        <v>747</v>
      </c>
      <c r="C19" s="133">
        <f ca="1">INDIRECT("'DevSumOut-"&amp;$B$2&amp;"BSR'!R63")</f>
        <v>1.2409514279312073E-3</v>
      </c>
      <c r="D19" s="133">
        <f ca="1">INDIRECT("'DevSumOut-"&amp;$B$2&amp;"BSR'!R63")</f>
        <v>1.2409514279312073E-3</v>
      </c>
      <c r="E19" s="133">
        <f ca="1">INDIRECT("'DevSumOut-"&amp;$B$2&amp;"BSR'!R63")</f>
        <v>1.2409514279312073E-3</v>
      </c>
      <c r="F19" s="551" t="s">
        <v>336</v>
      </c>
      <c r="G19" s="133">
        <f ca="1">INDIRECT("'DevSumOut-"&amp;$B$2&amp;"BSR'!R63")</f>
        <v>1.2409514279312073E-3</v>
      </c>
      <c r="H19" s="133">
        <f ca="1">INDIRECT("'DevSumOut-"&amp;$B$2&amp;"BSR'!R63")</f>
        <v>1.2409514279312073E-3</v>
      </c>
      <c r="I19" s="551" t="s">
        <v>336</v>
      </c>
      <c r="J19" s="133">
        <f ca="1">INDIRECT("'DevSumOut-"&amp;$B$2&amp;"BSR'!P63")</f>
        <v>7.8552177624137048E-2</v>
      </c>
      <c r="K19" s="133">
        <f ca="1">INDIRECT("'DevSumOut-"&amp;$B$2&amp;"BSR'!P63")</f>
        <v>7.8552177624137048E-2</v>
      </c>
      <c r="L19" s="133">
        <f ca="1">INDIRECT("'DevSumOut-"&amp;$B$2&amp;"BSR'!P63")</f>
        <v>7.8552177624137048E-2</v>
      </c>
      <c r="M19" s="551" t="s">
        <v>336</v>
      </c>
      <c r="N19" s="133">
        <f ca="1">INDIRECT("'DevSumOut-"&amp;$B$2&amp;"BSR'!P63")</f>
        <v>7.8552177624137048E-2</v>
      </c>
      <c r="O19" s="133">
        <f ca="1">INDIRECT("'DevSumOut-"&amp;$B$2&amp;"BSR'!P63")</f>
        <v>7.8552177624137048E-2</v>
      </c>
      <c r="P19" s="551" t="s">
        <v>336</v>
      </c>
      <c r="Q19" s="45">
        <f ca="1">INDIRECT("'DevSumOut-"&amp;$B$2&amp;"BSR'!U63")</f>
        <v>679.45647758475752</v>
      </c>
      <c r="R19" s="45">
        <f ca="1">INDIRECT("'DevSumOut-"&amp;$B$2&amp;"BSR'!U63")</f>
        <v>679.45647758475752</v>
      </c>
      <c r="S19" s="45">
        <f ca="1">INDIRECT("'DevSumOut-"&amp;$B$2&amp;"BSR'!U63")</f>
        <v>679.45647758475752</v>
      </c>
      <c r="T19" s="581" t="s">
        <v>336</v>
      </c>
      <c r="U19" s="45">
        <f ca="1">INDIRECT("'DevSumOut-"&amp;$B$2&amp;"BSR'!U63")</f>
        <v>679.45647758475752</v>
      </c>
      <c r="V19" s="45">
        <f ca="1">INDIRECT("'DevSumOut-"&amp;$B$2&amp;"BSR'!U63")</f>
        <v>679.45647758475752</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2">
        <v>2104006010</v>
      </c>
      <c r="B20" s="812" t="s">
        <v>149</v>
      </c>
      <c r="C20" s="133">
        <f ca="1">INDIRECT("'DevSumOut-"&amp;$B$2&amp;"BSR'!R64")</f>
        <v>5.8529310125197171E-6</v>
      </c>
      <c r="D20" s="133">
        <f ca="1">INDIRECT("'DevSumOut-"&amp;$B$2&amp;"BSR'!R64")</f>
        <v>5.8529310125197171E-6</v>
      </c>
      <c r="E20" s="133">
        <f ca="1">INDIRECT("'DevSumOut-"&amp;$B$2&amp;"BSR'!R64")</f>
        <v>5.8529310125197171E-6</v>
      </c>
      <c r="F20" s="551" t="s">
        <v>336</v>
      </c>
      <c r="G20" s="133">
        <f ca="1">INDIRECT("'DevSumOut-"&amp;$B$2&amp;"BSR'!R64")</f>
        <v>5.8529310125197171E-6</v>
      </c>
      <c r="H20" s="133">
        <f ca="1">INDIRECT("'DevSumOut-"&amp;$B$2&amp;"BSR'!R64")</f>
        <v>5.8529310125197171E-6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4.0124456975701526E-5</v>
      </c>
      <c r="Y20" s="133">
        <f t="shared" ca="1" si="0"/>
        <v>4.0124456975701526E-5</v>
      </c>
      <c r="Z20" s="133">
        <f t="shared" ca="1" si="0"/>
        <v>4.0124456975701526E-5</v>
      </c>
      <c r="AA20" s="133"/>
      <c r="AB20" s="133">
        <f t="shared" ca="1" si="1"/>
        <v>4.0124456975701526E-5</v>
      </c>
      <c r="AC20" s="133">
        <f t="shared" ca="1" si="1"/>
        <v>4.0124456975701526E-5</v>
      </c>
    </row>
    <row r="21" spans="1:29" x14ac:dyDescent="0.25">
      <c r="A21" s="812">
        <v>2103006000</v>
      </c>
      <c r="B21" s="812" t="s">
        <v>150</v>
      </c>
      <c r="C21" s="133">
        <f ca="1">INDIRECT("'DevSumOut-"&amp;$B$2&amp;"BSR'!R65")</f>
        <v>1.0079518569867288E-2</v>
      </c>
      <c r="D21" s="133">
        <f ca="1">INDIRECT("'DevSumOut-"&amp;$B$2&amp;"BSR'!R65")</f>
        <v>1.0079518569867288E-2</v>
      </c>
      <c r="E21" s="133">
        <f ca="1">INDIRECT("'DevSumOut-"&amp;$B$2&amp;"BSR'!R65")</f>
        <v>1.0079518569867288E-2</v>
      </c>
      <c r="F21" s="551" t="s">
        <v>336</v>
      </c>
      <c r="G21" s="133">
        <f ca="1">INDIRECT("'DevSumOut-"&amp;$B$2&amp;"BSR'!R65")</f>
        <v>1.0079518569867288E-2</v>
      </c>
      <c r="H21" s="133">
        <f ca="1">INDIRECT("'DevSumOut-"&amp;$B$2&amp;"BSR'!R65")</f>
        <v>1.0079518569867288E-2</v>
      </c>
      <c r="I21" s="551" t="s">
        <v>336</v>
      </c>
      <c r="J21" s="133">
        <f ca="1">INDIRECT("'DevSumOut-"&amp;$B$2&amp;"BSR'!P65")</f>
        <v>7.9575146604215477E-4</v>
      </c>
      <c r="K21" s="133">
        <f ca="1">INDIRECT("'DevSumOut-"&amp;$B$2&amp;"BSR'!P65")</f>
        <v>7.9575146604215477E-4</v>
      </c>
      <c r="L21" s="133">
        <f ca="1">INDIRECT("'DevSumOut-"&amp;$B$2&amp;"BSR'!P65")</f>
        <v>7.9575146604215477E-4</v>
      </c>
      <c r="M21" s="551" t="s">
        <v>336</v>
      </c>
      <c r="N21" s="133">
        <f ca="1">INDIRECT("'DevSumOut-"&amp;$B$2&amp;"BSR'!P65")</f>
        <v>7.9575146604215477E-4</v>
      </c>
      <c r="O21" s="133">
        <f ca="1">INDIRECT("'DevSumOut-"&amp;$B$2&amp;"BSR'!P65")</f>
        <v>7.9575146604215477E-4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7.4876847290640362E-3</v>
      </c>
      <c r="Y21" s="133">
        <f t="shared" ca="1" si="0"/>
        <v>7.4876847290640362E-3</v>
      </c>
      <c r="Z21" s="133">
        <f t="shared" ca="1" si="0"/>
        <v>7.4876847290640362E-3</v>
      </c>
      <c r="AA21" s="133"/>
      <c r="AB21" s="133">
        <f t="shared" ca="1" si="1"/>
        <v>7.4876847290640362E-3</v>
      </c>
      <c r="AC21" s="133">
        <f t="shared" ca="1" si="1"/>
        <v>7.4876847290640362E-3</v>
      </c>
    </row>
    <row r="22" spans="1:29" x14ac:dyDescent="0.25">
      <c r="A22" s="812">
        <v>2104002000</v>
      </c>
      <c r="B22" s="812" t="s">
        <v>151</v>
      </c>
      <c r="C22" s="133">
        <f ca="1">INDIRECT("'DevSumOut-"&amp;$B$2&amp;"BSR'!R66")</f>
        <v>9.5888007629545274E-2</v>
      </c>
      <c r="D22" s="133">
        <f ca="1">INDIRECT("'DevSumOut-"&amp;$B$2&amp;"BSR'!R66")</f>
        <v>9.5888007629545274E-2</v>
      </c>
      <c r="E22" s="133">
        <f ca="1">INDIRECT("'DevSumOut-"&amp;$B$2&amp;"BSR'!R66")</f>
        <v>9.5888007629545274E-2</v>
      </c>
      <c r="F22" s="551" t="s">
        <v>336</v>
      </c>
      <c r="G22" s="133">
        <f ca="1">INDIRECT("'DevSumOut-"&amp;$B$2&amp;"BSR'!R66")</f>
        <v>9.5888007629545274E-2</v>
      </c>
      <c r="H22" s="133">
        <f ca="1">INDIRECT("'DevSumOut-"&amp;$B$2&amp;"BSR'!R66")</f>
        <v>9.5888007629545274E-2</v>
      </c>
      <c r="I22" s="551" t="s">
        <v>336</v>
      </c>
      <c r="J22" s="133">
        <f ca="1">INDIRECT("'DevSumOut-"&amp;$B$2&amp;"BSR'!P66")</f>
        <v>0.11160932051999635</v>
      </c>
      <c r="K22" s="133">
        <f ca="1">INDIRECT("'DevSumOut-"&amp;$B$2&amp;"BSR'!P66")</f>
        <v>0.11160932051999635</v>
      </c>
      <c r="L22" s="133">
        <f ca="1">INDIRECT("'DevSumOut-"&amp;$B$2&amp;"BSR'!P66")</f>
        <v>0.11160932051999635</v>
      </c>
      <c r="M22" s="551" t="s">
        <v>336</v>
      </c>
      <c r="N22" s="133">
        <f ca="1">INDIRECT("'DevSumOut-"&amp;$B$2&amp;"BSR'!P66")</f>
        <v>0.11160932051999635</v>
      </c>
      <c r="O22" s="133">
        <f ca="1">INDIRECT("'DevSumOut-"&amp;$B$2&amp;"BSR'!P66")</f>
        <v>0.11160932051999635</v>
      </c>
      <c r="P22" s="551" t="s">
        <v>336</v>
      </c>
      <c r="Q22" s="45">
        <f ca="1">INDIRECT("'DevSumOut-"&amp;$B$2&amp;"BSR'!U66")</f>
        <v>364.83046707611709</v>
      </c>
      <c r="R22" s="45">
        <f ca="1">INDIRECT("'DevSumOut-"&amp;$B$2&amp;"BSR'!U66")</f>
        <v>364.83046707611709</v>
      </c>
      <c r="S22" s="45">
        <f ca="1">INDIRECT("'DevSumOut-"&amp;$B$2&amp;"BSR'!U66")</f>
        <v>364.83046707611709</v>
      </c>
      <c r="T22" s="581" t="s">
        <v>336</v>
      </c>
      <c r="U22" s="45">
        <f ca="1">INDIRECT("'DevSumOut-"&amp;$B$2&amp;"BSR'!U66")</f>
        <v>364.83046707611709</v>
      </c>
      <c r="V22" s="45">
        <f ca="1">INDIRECT("'DevSumOut-"&amp;$B$2&amp;"BSR'!U66")</f>
        <v>364.83046707611709</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2.7482133759921927</v>
      </c>
      <c r="D26" s="137">
        <f ca="1">SUM(D6:D25)</f>
        <v>2.7482133759921927</v>
      </c>
      <c r="E26" s="137">
        <f ca="1">SUM(E6:E25)</f>
        <v>2.7482133759921927</v>
      </c>
      <c r="F26" s="566" t="s">
        <v>336</v>
      </c>
      <c r="G26" s="137">
        <f t="shared" ref="G26:H26" ca="1" si="2">SUM(G6:G25)</f>
        <v>2.7482133759921927</v>
      </c>
      <c r="H26" s="137">
        <f t="shared" ca="1" si="2"/>
        <v>2.7482133759921927</v>
      </c>
      <c r="I26" s="566" t="s">
        <v>336</v>
      </c>
      <c r="J26" s="137">
        <f ca="1">SUM(J6:J25)</f>
        <v>4.2228981803869097</v>
      </c>
      <c r="K26" s="137">
        <f ca="1">SUM(K6:K25)</f>
        <v>4.2228981803869097</v>
      </c>
      <c r="L26" s="137">
        <f ca="1">SUM(L6:L25)</f>
        <v>4.2228981803869097</v>
      </c>
      <c r="M26" s="566" t="s">
        <v>336</v>
      </c>
      <c r="N26" s="137">
        <f ca="1">SUM(N6:N25)</f>
        <v>4.2228981803869097</v>
      </c>
      <c r="O26" s="137">
        <f ca="1">SUM(O6:O25)</f>
        <v>4.2228981803869097</v>
      </c>
      <c r="P26" s="566" t="s">
        <v>336</v>
      </c>
      <c r="Q26" s="87">
        <f ca="1">SUM(Q6:Q25)</f>
        <v>54297.515046897715</v>
      </c>
      <c r="R26" s="87">
        <f ca="1">SUM(R6:R25)</f>
        <v>54297.515046897715</v>
      </c>
      <c r="S26" s="87">
        <f ca="1">SUM(S6:S25)</f>
        <v>54297.515046897715</v>
      </c>
      <c r="T26" s="566" t="s">
        <v>336</v>
      </c>
      <c r="U26" s="87">
        <f ca="1">SUM(U6:U25)</f>
        <v>54297.515046897715</v>
      </c>
      <c r="V26" s="87">
        <f ca="1">SUM(V6:V25)</f>
        <v>54297.515046897715</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2026 Baseline PM2.5 Emissions (tpd) by Curtailment Regime and AQCZ</v>
      </c>
      <c r="D30" s="840"/>
      <c r="E30" s="840"/>
      <c r="F30" s="840"/>
      <c r="G30" s="840"/>
      <c r="H30" s="840"/>
      <c r="I30" s="840"/>
      <c r="J30" s="840" t="str">
        <f>$B$2&amp;" Baseline SO2 Emissions (tpd) by Curtailment Regime and AQCZ"</f>
        <v>2026 Baseline SO2 Emissions (tpd) by Curtailment Regime and AQCZ</v>
      </c>
      <c r="K30" s="840"/>
      <c r="L30" s="840"/>
      <c r="M30" s="840"/>
      <c r="N30" s="840"/>
      <c r="O30" s="840"/>
      <c r="P30" s="840"/>
      <c r="Q30" s="840" t="str">
        <f>$B$2&amp;" Baseline Energy Use (mmBTU) by Curtailment Regime and AQCZ"</f>
        <v>2026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1.0343262503080608</v>
      </c>
      <c r="D32" s="133">
        <f ca="1">(D26-D33)*AQCZSplits!$F$5</f>
        <v>1.0343262503080608</v>
      </c>
      <c r="E32" s="133">
        <f ca="1">(E26-E33)*AQCZSplits!$F$5</f>
        <v>1.0343262503080608</v>
      </c>
      <c r="F32" s="551" t="s">
        <v>336</v>
      </c>
      <c r="G32" s="133">
        <f ca="1">(G26-G33)*AQCZSplits!$F$5</f>
        <v>1.0343262503080608</v>
      </c>
      <c r="H32" s="133">
        <f ca="1">(H26-H33)*AQCZSplits!$F$5</f>
        <v>1.0343262503080608</v>
      </c>
      <c r="I32" s="551" t="s">
        <v>336</v>
      </c>
      <c r="J32" s="133">
        <f ca="1">(J26-J33)*AQCZSplits!$F$5</f>
        <v>1.8903506401373393</v>
      </c>
      <c r="K32" s="133">
        <f ca="1">(K26-K33)*AQCZSplits!$F$5</f>
        <v>1.8903506401373393</v>
      </c>
      <c r="L32" s="133">
        <f ca="1">(L26-L33)*AQCZSplits!$F$5</f>
        <v>1.8903506401373393</v>
      </c>
      <c r="M32" s="551" t="s">
        <v>336</v>
      </c>
      <c r="N32" s="133">
        <f ca="1">(N26-N33)*AQCZSplits!$F$5</f>
        <v>1.8903506401373393</v>
      </c>
      <c r="O32" s="133">
        <f ca="1">(O26-O33)*AQCZSplits!$F$5</f>
        <v>1.8903506401373393</v>
      </c>
      <c r="P32" s="551" t="s">
        <v>336</v>
      </c>
      <c r="Q32" s="45">
        <f ca="1">(Q26-Q33)*AQCZSplits!$F$5</f>
        <v>24819.852890999497</v>
      </c>
      <c r="R32" s="45">
        <f ca="1">(R26-R33)*AQCZSplits!$F$5</f>
        <v>24819.852890999497</v>
      </c>
      <c r="S32" s="45">
        <f ca="1">(S26-S33)*AQCZSplits!$F$5</f>
        <v>24819.852890999497</v>
      </c>
      <c r="T32" s="551" t="s">
        <v>336</v>
      </c>
      <c r="U32" s="45">
        <f ca="1">(U26-U33)*AQCZSplits!$F$5</f>
        <v>24819.852890999497</v>
      </c>
      <c r="V32" s="45">
        <f ca="1">(V26-V33)*AQCZSplits!$F$5</f>
        <v>24819.852890999497</v>
      </c>
      <c r="W32" s="551" t="s">
        <v>336</v>
      </c>
    </row>
    <row r="33" spans="1:23" ht="15.75" thickBot="1" x14ac:dyDescent="0.3">
      <c r="A33" s="6" t="s">
        <v>754</v>
      </c>
      <c r="B33" s="6" t="s">
        <v>755</v>
      </c>
      <c r="C33" s="544">
        <f ca="1">SUMIFS(INDIRECT("'ZipOutNA-"&amp;$B$2&amp;"BSR'!$J$5:$J$669"),INDIRECT("'ZipOutNA-"&amp;$B$2&amp;"BSR'!$D$5:$D$669"),99705)/35</f>
        <v>1.129163548807258</v>
      </c>
      <c r="D33" s="544">
        <f ca="1">SUMIFS(INDIRECT("'ZipOutNA-"&amp;$B$2&amp;"BSR'!$J$5:$J$669"),INDIRECT("'ZipOutNA-"&amp;$B$2&amp;"BSR'!$D$5:$D$669"),99705)/35</f>
        <v>1.129163548807258</v>
      </c>
      <c r="E33" s="544">
        <f ca="1">SUMIFS(INDIRECT("'ZipOutNA-"&amp;$B$2&amp;"BSR'!$J$5:$J$669"),INDIRECT("'ZipOutNA-"&amp;$B$2&amp;"BSR'!$D$5:$D$669"),99705)/35</f>
        <v>1.129163548807258</v>
      </c>
      <c r="F33" s="542" t="s">
        <v>336</v>
      </c>
      <c r="G33" s="544">
        <f ca="1">SUMIFS(INDIRECT("'ZipOutNA-"&amp;$B$2&amp;"BSR'!$J$5:$J$669"),INDIRECT("'ZipOutNA-"&amp;$B$2&amp;"BSR'!$D$5:$D$669"),99705)/35</f>
        <v>1.129163548807258</v>
      </c>
      <c r="H33" s="544">
        <f ca="1">SUMIFS(INDIRECT("'ZipOutNA-"&amp;$B$2&amp;"BSR'!$J$5:$J$669"),INDIRECT("'ZipOutNA-"&amp;$B$2&amp;"BSR'!$D$5:$D$669"),99705)/35</f>
        <v>1.129163548807258</v>
      </c>
      <c r="I33" s="542" t="s">
        <v>336</v>
      </c>
      <c r="J33" s="544">
        <f ca="1">SUMIFS(INDIRECT("'ZipOutNA-"&amp;$B$2&amp;"BSR'!$H$5:$H$669"),INDIRECT("'ZipOutNA-"&amp;$B$2&amp;"BSR'!$D$5:$D$669"),99705)/35</f>
        <v>1.2638976944940516</v>
      </c>
      <c r="K33" s="544">
        <f ca="1">SUMIFS(INDIRECT("'ZipOutNA-"&amp;$B$2&amp;"BSR'!$H$5:$H$669"),INDIRECT("'ZipOutNA-"&amp;$B$2&amp;"BSR'!$D$5:$D$669"),99705)/35</f>
        <v>1.2638976944940516</v>
      </c>
      <c r="L33" s="544">
        <f ca="1">SUMIFS(INDIRECT("'ZipOutNA-"&amp;$B$2&amp;"BSR'!$H$5:$H$669"),INDIRECT("'ZipOutNA-"&amp;$B$2&amp;"BSR'!$D$5:$D$669"),99705)/35</f>
        <v>1.2638976944940516</v>
      </c>
      <c r="M33" s="542" t="s">
        <v>336</v>
      </c>
      <c r="N33" s="544">
        <f ca="1">SUMIFS(INDIRECT("'ZipOutNA-"&amp;$B$2&amp;"BSR'!$H$5:$H$669"),INDIRECT("'ZipOutNA-"&amp;$B$2&amp;"BSR'!$D$5:$D$669"),99705)/35</f>
        <v>1.2638976944940516</v>
      </c>
      <c r="O33" s="544">
        <f ca="1">SUMIFS(INDIRECT("'ZipOutNA-"&amp;$B$2&amp;"BSR'!$H$5:$H$669"),INDIRECT("'ZipOutNA-"&amp;$B$2&amp;"BSR'!$D$5:$D$669"),99705)/35</f>
        <v>1.2638976944940516</v>
      </c>
      <c r="P33" s="542" t="s">
        <v>336</v>
      </c>
      <c r="Q33" s="567">
        <f ca="1">SUMIFS(INDIRECT("'ZipOutNA-"&amp;$B$2&amp;"BSR'!$M$5:$M$669"),INDIRECT("'ZipOutNA-"&amp;$B$2&amp;"BSR'!$D$5:$D$669"),99705)/35</f>
        <v>15446.544647606604</v>
      </c>
      <c r="R33" s="567">
        <f ca="1">SUMIFS(INDIRECT("'ZipOutNA-"&amp;$B$2&amp;"BSR'!$M$5:$M$669"),INDIRECT("'ZipOutNA-"&amp;$B$2&amp;"BSR'!$D$5:$D$669"),99705)/35</f>
        <v>15446.544647606604</v>
      </c>
      <c r="S33" s="567">
        <f ca="1">SUMIFS(INDIRECT("'ZipOutNA-"&amp;$B$2&amp;"BSR'!$M$5:$M$669"),INDIRECT("'ZipOutNA-"&amp;$B$2&amp;"BSR'!$D$5:$D$669"),99705)/35</f>
        <v>15446.544647606604</v>
      </c>
      <c r="T33" s="542" t="s">
        <v>336</v>
      </c>
      <c r="U33" s="567">
        <f ca="1">SUMIFS(INDIRECT("'ZipOutNA-"&amp;$B$2&amp;"BSR'!$M$5:$M$669"),INDIRECT("'ZipOutNA-"&amp;$B$2&amp;"BSR'!$D$5:$D$669"),99705)/35</f>
        <v>15446.544647606604</v>
      </c>
      <c r="V33" s="567">
        <f ca="1">SUMIFS(INDIRECT("'ZipOutNA-"&amp;$B$2&amp;"BSR'!$M$5:$M$669"),INDIRECT("'ZipOutNA-"&amp;$B$2&amp;"BSR'!$D$5:$D$669"),99705)/35</f>
        <v>15446.544647606604</v>
      </c>
      <c r="W33" s="542" t="s">
        <v>336</v>
      </c>
    </row>
    <row r="34" spans="1:23" ht="15.75" thickTop="1" x14ac:dyDescent="0.25">
      <c r="C34" s="137">
        <f ca="1">SUM(C32:C33)</f>
        <v>2.163489799115319</v>
      </c>
      <c r="D34" s="137">
        <f ca="1">SUM(D32:D33)</f>
        <v>2.163489799115319</v>
      </c>
      <c r="E34" s="137">
        <f ca="1">SUM(E32:E33)</f>
        <v>2.163489799115319</v>
      </c>
      <c r="F34" s="566" t="s">
        <v>336</v>
      </c>
      <c r="G34" s="137">
        <f ca="1">SUM(G32:G33)</f>
        <v>2.163489799115319</v>
      </c>
      <c r="H34" s="137">
        <f ca="1">SUM(H32:H33)</f>
        <v>2.163489799115319</v>
      </c>
      <c r="I34" s="566" t="s">
        <v>336</v>
      </c>
      <c r="J34" s="137">
        <f ca="1">SUM(J32:J33)</f>
        <v>3.154248334631391</v>
      </c>
      <c r="K34" s="137">
        <f ca="1">SUM(K32:K33)</f>
        <v>3.154248334631391</v>
      </c>
      <c r="L34" s="137">
        <f ca="1">SUM(L32:L33)</f>
        <v>3.154248334631391</v>
      </c>
      <c r="M34" s="566" t="s">
        <v>336</v>
      </c>
      <c r="N34" s="137">
        <f ca="1">SUM(N32:N33)</f>
        <v>3.154248334631391</v>
      </c>
      <c r="O34" s="137">
        <f ca="1">SUM(O32:O33)</f>
        <v>3.154248334631391</v>
      </c>
      <c r="P34" s="566" t="s">
        <v>336</v>
      </c>
      <c r="Q34" s="87">
        <f ca="1">SUM(Q32:Q33)</f>
        <v>40266.397538606099</v>
      </c>
      <c r="R34" s="87">
        <f ca="1">SUM(R32:R33)</f>
        <v>40266.397538606099</v>
      </c>
      <c r="S34" s="87">
        <f ca="1">SUM(S32:S33)</f>
        <v>40266.397538606099</v>
      </c>
      <c r="T34" s="566" t="s">
        <v>336</v>
      </c>
      <c r="U34" s="87">
        <f ca="1">SUM(U32:U33)</f>
        <v>40266.397538606099</v>
      </c>
      <c r="V34" s="87">
        <f ca="1">SUM(V32:V33)</f>
        <v>40266.397538606099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2026 Baseline NA Area PM2.5 Emissions (tpd) by Curtailment Regime</v>
      </c>
      <c r="D38" s="840"/>
      <c r="E38" s="840"/>
      <c r="F38" s="840"/>
      <c r="G38" s="840"/>
      <c r="H38" s="840"/>
      <c r="I38" s="840"/>
      <c r="J38" s="840" t="str">
        <f>J4</f>
        <v>2026 Baseline NA Area SO2 Emissions (tpd) by Curtailment Regime</v>
      </c>
      <c r="K38" s="840"/>
      <c r="L38" s="840"/>
      <c r="M38" s="840"/>
      <c r="N38" s="840"/>
      <c r="O38" s="840"/>
      <c r="P38" s="840"/>
      <c r="Q38" s="840" t="str">
        <f>Q4</f>
        <v>2026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0.26077689431437573</v>
      </c>
      <c r="D40" s="133">
        <f t="shared" ca="1" si="3"/>
        <v>0.26077689431437573</v>
      </c>
      <c r="E40" s="133">
        <f t="shared" ca="1" si="3"/>
        <v>0.26077689431437573</v>
      </c>
      <c r="F40" s="551" t="s">
        <v>336</v>
      </c>
      <c r="G40" s="575">
        <f t="shared" ref="G40:H55" ca="1" si="4">G6*G$32/G$26</f>
        <v>0.26077689431437573</v>
      </c>
      <c r="H40" s="575">
        <f t="shared" ca="1" si="4"/>
        <v>0.26077689431437573</v>
      </c>
      <c r="I40" s="574" t="s">
        <v>336</v>
      </c>
      <c r="J40" s="133">
        <f t="shared" ref="J40:L55" ca="1" si="5">J6*J$32/J$26</f>
        <v>3.5857306392186694E-3</v>
      </c>
      <c r="K40" s="133">
        <f t="shared" ca="1" si="5"/>
        <v>3.5857306392186694E-3</v>
      </c>
      <c r="L40" s="133">
        <f t="shared" ca="1" si="5"/>
        <v>3.5857306392186694E-3</v>
      </c>
      <c r="M40" s="551" t="s">
        <v>336</v>
      </c>
      <c r="N40" s="575">
        <f t="shared" ref="N40:O55" ca="1" si="6">N6*N$32/N$26</f>
        <v>3.5857306392186694E-3</v>
      </c>
      <c r="O40" s="575">
        <f t="shared" ca="1" si="6"/>
        <v>3.5857306392186694E-3</v>
      </c>
      <c r="P40" s="574" t="s">
        <v>336</v>
      </c>
      <c r="Q40" s="45">
        <f t="shared" ref="Q40:S55" ca="1" si="7">Q6*Q$32/Q$26</f>
        <v>293.98585168211781</v>
      </c>
      <c r="R40" s="45">
        <f t="shared" ca="1" si="7"/>
        <v>293.98585168211781</v>
      </c>
      <c r="S40" s="45">
        <f t="shared" ca="1" si="7"/>
        <v>293.98585168211781</v>
      </c>
      <c r="T40" s="581" t="s">
        <v>336</v>
      </c>
      <c r="U40" s="573">
        <f t="shared" ref="U40:V55" ca="1" si="8">U6*U$32/U$26</f>
        <v>293.98585168211781</v>
      </c>
      <c r="V40" s="573">
        <f t="shared" ca="1" si="8"/>
        <v>293.98585168211781</v>
      </c>
      <c r="W40" s="574" t="s">
        <v>336</v>
      </c>
    </row>
    <row r="41" spans="1:23" x14ac:dyDescent="0.25">
      <c r="A41" s="812" t="str">
        <f t="shared" ref="A41:A58" si="9">A40</f>
        <v>FB</v>
      </c>
      <c r="B41" s="812" t="s">
        <v>138</v>
      </c>
      <c r="C41" s="133">
        <f t="shared" ca="1" si="3"/>
        <v>2.0352089216917887E-2</v>
      </c>
      <c r="D41" s="133">
        <f t="shared" ca="1" si="3"/>
        <v>2.0352089216917887E-2</v>
      </c>
      <c r="E41" s="133">
        <f t="shared" ca="1" si="3"/>
        <v>2.0352089216917887E-2</v>
      </c>
      <c r="F41" s="551" t="s">
        <v>336</v>
      </c>
      <c r="G41" s="575">
        <f t="shared" ca="1" si="4"/>
        <v>2.0352089216917887E-2</v>
      </c>
      <c r="H41" s="575">
        <f t="shared" ca="1" si="4"/>
        <v>2.0352089216917887E-2</v>
      </c>
      <c r="I41" s="574" t="s">
        <v>336</v>
      </c>
      <c r="J41" s="133">
        <f t="shared" ca="1" si="5"/>
        <v>3.1642604526517314E-4</v>
      </c>
      <c r="K41" s="133">
        <f t="shared" ca="1" si="5"/>
        <v>3.1642604526517314E-4</v>
      </c>
      <c r="L41" s="133">
        <f t="shared" ca="1" si="5"/>
        <v>3.1642604526517314E-4</v>
      </c>
      <c r="M41" s="551" t="s">
        <v>336</v>
      </c>
      <c r="N41" s="575">
        <f t="shared" ca="1" si="6"/>
        <v>3.1642604526517314E-4</v>
      </c>
      <c r="O41" s="575">
        <f t="shared" ca="1" si="6"/>
        <v>3.1642604526517314E-4</v>
      </c>
      <c r="P41" s="574" t="s">
        <v>336</v>
      </c>
      <c r="Q41" s="45">
        <f t="shared" ca="1" si="7"/>
        <v>25.938425460464195</v>
      </c>
      <c r="R41" s="45">
        <f t="shared" ca="1" si="7"/>
        <v>25.938425460464195</v>
      </c>
      <c r="S41" s="45">
        <f t="shared" ca="1" si="7"/>
        <v>25.938425460464195</v>
      </c>
      <c r="T41" s="581" t="s">
        <v>336</v>
      </c>
      <c r="U41" s="573">
        <f t="shared" ca="1" si="8"/>
        <v>25.938425460464195</v>
      </c>
      <c r="V41" s="573">
        <f t="shared" ca="1" si="8"/>
        <v>25.938425460464195</v>
      </c>
      <c r="W41" s="574" t="s">
        <v>336</v>
      </c>
    </row>
    <row r="42" spans="1:23" x14ac:dyDescent="0.25">
      <c r="A42" s="812" t="str">
        <f t="shared" si="9"/>
        <v>FB</v>
      </c>
      <c r="B42" s="812" t="s">
        <v>139</v>
      </c>
      <c r="C42" s="133">
        <f t="shared" ca="1" si="3"/>
        <v>1.6803772754462862E-2</v>
      </c>
      <c r="D42" s="133">
        <f t="shared" ca="1" si="3"/>
        <v>1.6803772754462862E-2</v>
      </c>
      <c r="E42" s="133">
        <f t="shared" ca="1" si="3"/>
        <v>1.6803772754462862E-2</v>
      </c>
      <c r="F42" s="551" t="s">
        <v>336</v>
      </c>
      <c r="G42" s="575">
        <f t="shared" ca="1" si="4"/>
        <v>1.6803772754462862E-2</v>
      </c>
      <c r="H42" s="575">
        <f t="shared" ca="1" si="4"/>
        <v>1.6803772754462862E-2</v>
      </c>
      <c r="I42" s="574" t="s">
        <v>336</v>
      </c>
      <c r="J42" s="133">
        <f t="shared" ca="1" si="5"/>
        <v>6.662085557395252E-4</v>
      </c>
      <c r="K42" s="133">
        <f t="shared" ca="1" si="5"/>
        <v>6.662085557395252E-4</v>
      </c>
      <c r="L42" s="133">
        <f t="shared" ca="1" si="5"/>
        <v>6.662085557395252E-4</v>
      </c>
      <c r="M42" s="551" t="s">
        <v>336</v>
      </c>
      <c r="N42" s="575">
        <f t="shared" ca="1" si="6"/>
        <v>6.662085557395252E-4</v>
      </c>
      <c r="O42" s="575">
        <f t="shared" ca="1" si="6"/>
        <v>6.662085557395252E-4</v>
      </c>
      <c r="P42" s="574" t="s">
        <v>336</v>
      </c>
      <c r="Q42" s="45">
        <f t="shared" ca="1" si="7"/>
        <v>54.611183948817384</v>
      </c>
      <c r="R42" s="45">
        <f t="shared" ca="1" si="7"/>
        <v>54.611183948817384</v>
      </c>
      <c r="S42" s="45">
        <f t="shared" ca="1" si="7"/>
        <v>54.611183948817384</v>
      </c>
      <c r="T42" s="581" t="s">
        <v>336</v>
      </c>
      <c r="U42" s="573">
        <f t="shared" ca="1" si="8"/>
        <v>54.611183948817384</v>
      </c>
      <c r="V42" s="573">
        <f t="shared" ca="1" si="8"/>
        <v>54.611183948817384</v>
      </c>
      <c r="W42" s="574" t="s">
        <v>336</v>
      </c>
    </row>
    <row r="43" spans="1:23" x14ac:dyDescent="0.25">
      <c r="A43" s="812" t="str">
        <f t="shared" si="9"/>
        <v>FB</v>
      </c>
      <c r="B43" s="812" t="s">
        <v>140</v>
      </c>
      <c r="C43" s="133">
        <f t="shared" ca="1" si="3"/>
        <v>1.0960193331666429E-2</v>
      </c>
      <c r="D43" s="133">
        <f t="shared" ca="1" si="3"/>
        <v>1.0960193331666429E-2</v>
      </c>
      <c r="E43" s="133">
        <f t="shared" ca="1" si="3"/>
        <v>1.0960193331666429E-2</v>
      </c>
      <c r="F43" s="551" t="s">
        <v>336</v>
      </c>
      <c r="G43" s="575">
        <f t="shared" ca="1" si="4"/>
        <v>1.0960193331666429E-2</v>
      </c>
      <c r="H43" s="575">
        <f t="shared" ca="1" si="4"/>
        <v>1.0960193331666429E-2</v>
      </c>
      <c r="I43" s="574" t="s">
        <v>336</v>
      </c>
      <c r="J43" s="133">
        <f t="shared" ca="1" si="5"/>
        <v>4.0110632901729971E-4</v>
      </c>
      <c r="K43" s="133">
        <f t="shared" ca="1" si="5"/>
        <v>4.0110632901729971E-4</v>
      </c>
      <c r="L43" s="133">
        <f t="shared" ca="1" si="5"/>
        <v>4.0110632901729971E-4</v>
      </c>
      <c r="M43" s="551" t="s">
        <v>336</v>
      </c>
      <c r="N43" s="575">
        <f t="shared" ca="1" si="6"/>
        <v>4.0110632901729971E-4</v>
      </c>
      <c r="O43" s="575">
        <f t="shared" ca="1" si="6"/>
        <v>4.0110632901729971E-4</v>
      </c>
      <c r="P43" s="574" t="s">
        <v>336</v>
      </c>
      <c r="Q43" s="45">
        <f t="shared" ca="1" si="7"/>
        <v>32.879931259188155</v>
      </c>
      <c r="R43" s="45">
        <f t="shared" ca="1" si="7"/>
        <v>32.879931259188155</v>
      </c>
      <c r="S43" s="45">
        <f t="shared" ca="1" si="7"/>
        <v>32.879931259188155</v>
      </c>
      <c r="T43" s="581" t="s">
        <v>336</v>
      </c>
      <c r="U43" s="573">
        <f t="shared" ca="1" si="8"/>
        <v>32.879931259188155</v>
      </c>
      <c r="V43" s="573">
        <f t="shared" ca="1" si="8"/>
        <v>32.879931259188155</v>
      </c>
      <c r="W43" s="574" t="s">
        <v>336</v>
      </c>
    </row>
    <row r="44" spans="1:23" x14ac:dyDescent="0.25">
      <c r="A44" s="812" t="str">
        <f t="shared" si="9"/>
        <v>FB</v>
      </c>
      <c r="B44" s="812" t="s">
        <v>141</v>
      </c>
      <c r="C44" s="133">
        <f t="shared" ca="1" si="3"/>
        <v>0.16388953738544274</v>
      </c>
      <c r="D44" s="133">
        <f t="shared" ca="1" si="3"/>
        <v>0.16388953738544274</v>
      </c>
      <c r="E44" s="133">
        <f t="shared" ca="1" si="3"/>
        <v>0.16388953738544274</v>
      </c>
      <c r="F44" s="551" t="s">
        <v>336</v>
      </c>
      <c r="G44" s="575">
        <f t="shared" ca="1" si="4"/>
        <v>0.16388953738544274</v>
      </c>
      <c r="H44" s="575">
        <f t="shared" ca="1" si="4"/>
        <v>0.16388953738544274</v>
      </c>
      <c r="I44" s="574" t="s">
        <v>336</v>
      </c>
      <c r="J44" s="133">
        <f t="shared" ca="1" si="5"/>
        <v>6.4216199894531487E-3</v>
      </c>
      <c r="K44" s="133">
        <f t="shared" ca="1" si="5"/>
        <v>6.4216199894531487E-3</v>
      </c>
      <c r="L44" s="133">
        <f t="shared" ca="1" si="5"/>
        <v>6.4216199894531487E-3</v>
      </c>
      <c r="M44" s="551" t="s">
        <v>336</v>
      </c>
      <c r="N44" s="575">
        <f t="shared" ca="1" si="6"/>
        <v>6.4216199894531487E-3</v>
      </c>
      <c r="O44" s="575">
        <f t="shared" ca="1" si="6"/>
        <v>6.4216199894531487E-3</v>
      </c>
      <c r="P44" s="574" t="s">
        <v>336</v>
      </c>
      <c r="Q44" s="45">
        <f t="shared" ca="1" si="7"/>
        <v>526.40013021769494</v>
      </c>
      <c r="R44" s="45">
        <f t="shared" ca="1" si="7"/>
        <v>526.40013021769494</v>
      </c>
      <c r="S44" s="45">
        <f t="shared" ca="1" si="7"/>
        <v>526.40013021769494</v>
      </c>
      <c r="T44" s="581" t="s">
        <v>336</v>
      </c>
      <c r="U44" s="573">
        <f t="shared" ca="1" si="8"/>
        <v>526.40013021769494</v>
      </c>
      <c r="V44" s="573">
        <f t="shared" ca="1" si="8"/>
        <v>526.40013021769494</v>
      </c>
      <c r="W44" s="574" t="s">
        <v>336</v>
      </c>
    </row>
    <row r="45" spans="1:23" x14ac:dyDescent="0.25">
      <c r="A45" s="812" t="str">
        <f t="shared" si="9"/>
        <v>FB</v>
      </c>
      <c r="B45" s="812" t="s">
        <v>142</v>
      </c>
      <c r="C45" s="133">
        <f t="shared" ca="1" si="3"/>
        <v>0.22521850294770515</v>
      </c>
      <c r="D45" s="133">
        <f t="shared" ca="1" si="3"/>
        <v>0.22521850294770515</v>
      </c>
      <c r="E45" s="133">
        <f t="shared" ca="1" si="3"/>
        <v>0.22521850294770515</v>
      </c>
      <c r="F45" s="551" t="s">
        <v>336</v>
      </c>
      <c r="G45" s="575">
        <f t="shared" ca="1" si="4"/>
        <v>0.22521850294770515</v>
      </c>
      <c r="H45" s="575">
        <f t="shared" ca="1" si="4"/>
        <v>0.22521850294770515</v>
      </c>
      <c r="I45" s="574" t="s">
        <v>336</v>
      </c>
      <c r="J45" s="133">
        <f t="shared" ca="1" si="5"/>
        <v>1.3520183444749177E-2</v>
      </c>
      <c r="K45" s="133">
        <f t="shared" ca="1" si="5"/>
        <v>1.3520183444749177E-2</v>
      </c>
      <c r="L45" s="133">
        <f t="shared" ca="1" si="5"/>
        <v>1.3520183444749177E-2</v>
      </c>
      <c r="M45" s="551" t="s">
        <v>336</v>
      </c>
      <c r="N45" s="575">
        <f t="shared" ca="1" si="6"/>
        <v>1.3520183444749177E-2</v>
      </c>
      <c r="O45" s="575">
        <f t="shared" ca="1" si="6"/>
        <v>1.3520183444749177E-2</v>
      </c>
      <c r="P45" s="574" t="s">
        <v>336</v>
      </c>
      <c r="Q45" s="45">
        <f t="shared" ca="1" si="7"/>
        <v>1108.2914182981986</v>
      </c>
      <c r="R45" s="45">
        <f t="shared" ca="1" si="7"/>
        <v>1108.2914182981986</v>
      </c>
      <c r="S45" s="45">
        <f t="shared" ca="1" si="7"/>
        <v>1108.2914182981986</v>
      </c>
      <c r="T45" s="581" t="s">
        <v>336</v>
      </c>
      <c r="U45" s="573">
        <f t="shared" ca="1" si="8"/>
        <v>1108.2914182981986</v>
      </c>
      <c r="V45" s="573">
        <f t="shared" ca="1" si="8"/>
        <v>1108.2914182981986</v>
      </c>
      <c r="W45" s="574" t="s">
        <v>336</v>
      </c>
    </row>
    <row r="46" spans="1:23" x14ac:dyDescent="0.25">
      <c r="A46" s="812" t="str">
        <f t="shared" si="9"/>
        <v>FB</v>
      </c>
      <c r="B46" s="812" t="s">
        <v>143</v>
      </c>
      <c r="C46" s="133">
        <f t="shared" ca="1" si="3"/>
        <v>0.15045808677758551</v>
      </c>
      <c r="D46" s="133">
        <f t="shared" ca="1" si="3"/>
        <v>0.15045808677758551</v>
      </c>
      <c r="E46" s="133">
        <f t="shared" ca="1" si="3"/>
        <v>0.15045808677758551</v>
      </c>
      <c r="F46" s="551" t="s">
        <v>336</v>
      </c>
      <c r="G46" s="575">
        <f t="shared" ca="1" si="4"/>
        <v>0.15045808677758551</v>
      </c>
      <c r="H46" s="575">
        <f t="shared" ca="1" si="4"/>
        <v>0.15045808677758551</v>
      </c>
      <c r="I46" s="574" t="s">
        <v>336</v>
      </c>
      <c r="J46" s="133">
        <f t="shared" ca="1" si="5"/>
        <v>8.1401403546130808E-3</v>
      </c>
      <c r="K46" s="133">
        <f t="shared" ca="1" si="5"/>
        <v>8.1401403546130808E-3</v>
      </c>
      <c r="L46" s="133">
        <f t="shared" ca="1" si="5"/>
        <v>8.1401403546130808E-3</v>
      </c>
      <c r="M46" s="551" t="s">
        <v>336</v>
      </c>
      <c r="N46" s="575">
        <f t="shared" ca="1" si="6"/>
        <v>8.1401403546130808E-3</v>
      </c>
      <c r="O46" s="575">
        <f t="shared" ca="1" si="6"/>
        <v>8.1401403546130808E-3</v>
      </c>
      <c r="P46" s="574" t="s">
        <v>336</v>
      </c>
      <c r="Q46" s="45">
        <f t="shared" ca="1" si="7"/>
        <v>667.27258070335313</v>
      </c>
      <c r="R46" s="45">
        <f t="shared" ca="1" si="7"/>
        <v>667.27258070335313</v>
      </c>
      <c r="S46" s="45">
        <f t="shared" ca="1" si="7"/>
        <v>667.27258070335313</v>
      </c>
      <c r="T46" s="581" t="s">
        <v>336</v>
      </c>
      <c r="U46" s="573">
        <f t="shared" ca="1" si="8"/>
        <v>667.27258070335313</v>
      </c>
      <c r="V46" s="573">
        <f t="shared" ca="1" si="8"/>
        <v>667.27258070335313</v>
      </c>
      <c r="W46" s="574" t="s">
        <v>336</v>
      </c>
    </row>
    <row r="47" spans="1:23" x14ac:dyDescent="0.25">
      <c r="A47" s="812" t="str">
        <f t="shared" si="9"/>
        <v>FB</v>
      </c>
      <c r="B47" s="812" t="s">
        <v>144</v>
      </c>
      <c r="C47" s="133">
        <f t="shared" ca="1" si="3"/>
        <v>5.5517068540070057E-3</v>
      </c>
      <c r="D47" s="133">
        <f t="shared" ca="1" si="3"/>
        <v>5.5517068540070057E-3</v>
      </c>
      <c r="E47" s="133">
        <f t="shared" ca="1" si="3"/>
        <v>5.5517068540070057E-3</v>
      </c>
      <c r="F47" s="551" t="s">
        <v>336</v>
      </c>
      <c r="G47" s="575">
        <f t="shared" ca="1" si="4"/>
        <v>5.5517068540070057E-3</v>
      </c>
      <c r="H47" s="575">
        <f t="shared" ca="1" si="4"/>
        <v>5.5517068540070057E-3</v>
      </c>
      <c r="I47" s="574" t="s">
        <v>336</v>
      </c>
      <c r="J47" s="133">
        <f t="shared" ca="1" si="5"/>
        <v>7.1385409322984831E-4</v>
      </c>
      <c r="K47" s="133">
        <f t="shared" ca="1" si="5"/>
        <v>7.1385409322984831E-4</v>
      </c>
      <c r="L47" s="133">
        <f t="shared" ca="1" si="5"/>
        <v>7.1385409322984831E-4</v>
      </c>
      <c r="M47" s="551" t="s">
        <v>336</v>
      </c>
      <c r="N47" s="575">
        <f t="shared" ca="1" si="6"/>
        <v>7.1385409322984831E-4</v>
      </c>
      <c r="O47" s="575">
        <f t="shared" ca="1" si="6"/>
        <v>7.1385409322984831E-4</v>
      </c>
      <c r="P47" s="574" t="s">
        <v>336</v>
      </c>
      <c r="Q47" s="45">
        <f t="shared" ca="1" si="7"/>
        <v>69.879849915569082</v>
      </c>
      <c r="R47" s="45">
        <f t="shared" ca="1" si="7"/>
        <v>69.879849915569082</v>
      </c>
      <c r="S47" s="45">
        <f t="shared" ca="1" si="7"/>
        <v>69.879849915569082</v>
      </c>
      <c r="T47" s="581" t="s">
        <v>336</v>
      </c>
      <c r="U47" s="573">
        <f t="shared" ca="1" si="8"/>
        <v>69.879849915569082</v>
      </c>
      <c r="V47" s="573">
        <f t="shared" ca="1" si="8"/>
        <v>69.879849915569082</v>
      </c>
      <c r="W47" s="574" t="s">
        <v>336</v>
      </c>
    </row>
    <row r="48" spans="1:23" x14ac:dyDescent="0.25">
      <c r="A48" s="812" t="str">
        <f t="shared" si="9"/>
        <v>FB</v>
      </c>
      <c r="B48" s="812" t="s">
        <v>145</v>
      </c>
      <c r="C48" s="133">
        <f t="shared" ca="1" si="3"/>
        <v>1.8726079757823061E-2</v>
      </c>
      <c r="D48" s="133">
        <f t="shared" ca="1" si="3"/>
        <v>1.8726079757823061E-2</v>
      </c>
      <c r="E48" s="133">
        <f t="shared" ca="1" si="3"/>
        <v>1.8726079757823061E-2</v>
      </c>
      <c r="F48" s="551" t="s">
        <v>336</v>
      </c>
      <c r="G48" s="575">
        <f t="shared" ca="1" si="4"/>
        <v>1.8726079757823061E-2</v>
      </c>
      <c r="H48" s="575">
        <f t="shared" ca="1" si="4"/>
        <v>1.8726079757823061E-2</v>
      </c>
      <c r="I48" s="574" t="s">
        <v>336</v>
      </c>
      <c r="J48" s="133">
        <f t="shared" ca="1" si="5"/>
        <v>2.4078520420476291E-3</v>
      </c>
      <c r="K48" s="133">
        <f t="shared" ca="1" si="5"/>
        <v>2.4078520420476291E-3</v>
      </c>
      <c r="L48" s="133">
        <f t="shared" ca="1" si="5"/>
        <v>2.4078520420476291E-3</v>
      </c>
      <c r="M48" s="551" t="s">
        <v>336</v>
      </c>
      <c r="N48" s="575">
        <f t="shared" ca="1" si="6"/>
        <v>2.4078520420476291E-3</v>
      </c>
      <c r="O48" s="575">
        <f t="shared" ca="1" si="6"/>
        <v>2.4078520420476291E-3</v>
      </c>
      <c r="P48" s="574" t="s">
        <v>336</v>
      </c>
      <c r="Q48" s="45">
        <f t="shared" ca="1" si="7"/>
        <v>235.70690553287625</v>
      </c>
      <c r="R48" s="45">
        <f t="shared" ca="1" si="7"/>
        <v>235.70690553287625</v>
      </c>
      <c r="S48" s="45">
        <f t="shared" ca="1" si="7"/>
        <v>235.70690553287625</v>
      </c>
      <c r="T48" s="581" t="s">
        <v>336</v>
      </c>
      <c r="U48" s="573">
        <f t="shared" ca="1" si="8"/>
        <v>235.70690553287625</v>
      </c>
      <c r="V48" s="573">
        <f t="shared" ca="1" si="8"/>
        <v>235.70690553287625</v>
      </c>
      <c r="W48" s="574" t="s">
        <v>336</v>
      </c>
    </row>
    <row r="49" spans="1:23" x14ac:dyDescent="0.25">
      <c r="A49" s="812" t="str">
        <f t="shared" si="9"/>
        <v>FB</v>
      </c>
      <c r="B49" s="812" t="s">
        <v>146</v>
      </c>
      <c r="C49" s="133">
        <f t="shared" ca="1" si="3"/>
        <v>9.3038317018761696E-2</v>
      </c>
      <c r="D49" s="133">
        <f t="shared" ca="1" si="3"/>
        <v>9.3038317018761696E-2</v>
      </c>
      <c r="E49" s="133">
        <f t="shared" ca="1" si="3"/>
        <v>9.3038317018761696E-2</v>
      </c>
      <c r="F49" s="551" t="s">
        <v>336</v>
      </c>
      <c r="G49" s="575">
        <f t="shared" ca="1" si="4"/>
        <v>9.3038317018761696E-2</v>
      </c>
      <c r="H49" s="575">
        <f t="shared" ca="1" si="4"/>
        <v>9.3038317018761696E-2</v>
      </c>
      <c r="I49" s="574" t="s">
        <v>336</v>
      </c>
      <c r="J49" s="133">
        <f t="shared" ca="1" si="5"/>
        <v>4.4845890643137138E-3</v>
      </c>
      <c r="K49" s="133">
        <f t="shared" ca="1" si="5"/>
        <v>4.4845890643137138E-3</v>
      </c>
      <c r="L49" s="133">
        <f t="shared" ca="1" si="5"/>
        <v>4.4845890643137138E-3</v>
      </c>
      <c r="M49" s="551" t="s">
        <v>336</v>
      </c>
      <c r="N49" s="575">
        <f t="shared" ca="1" si="6"/>
        <v>4.4845890643137138E-3</v>
      </c>
      <c r="O49" s="575">
        <f t="shared" ca="1" si="6"/>
        <v>4.4845890643137138E-3</v>
      </c>
      <c r="P49" s="574" t="s">
        <v>336</v>
      </c>
      <c r="Q49" s="45">
        <f t="shared" ca="1" si="7"/>
        <v>367.48949945229793</v>
      </c>
      <c r="R49" s="45">
        <f t="shared" ca="1" si="7"/>
        <v>367.48949945229793</v>
      </c>
      <c r="S49" s="45">
        <f t="shared" ca="1" si="7"/>
        <v>367.48949945229793</v>
      </c>
      <c r="T49" s="581" t="s">
        <v>336</v>
      </c>
      <c r="U49" s="573">
        <f t="shared" ca="1" si="8"/>
        <v>367.48949945229793</v>
      </c>
      <c r="V49" s="573">
        <f t="shared" ca="1" si="8"/>
        <v>367.48949945229793</v>
      </c>
      <c r="W49" s="574" t="s">
        <v>336</v>
      </c>
    </row>
    <row r="50" spans="1:23" x14ac:dyDescent="0.25">
      <c r="A50" s="812" t="str">
        <f t="shared" si="9"/>
        <v>FB</v>
      </c>
      <c r="B50" s="812" t="s">
        <v>568</v>
      </c>
      <c r="C50" s="133">
        <f t="shared" ca="1" si="3"/>
        <v>2.0204340260978917E-2</v>
      </c>
      <c r="D50" s="133">
        <f t="shared" ca="1" si="3"/>
        <v>2.0204340260978917E-2</v>
      </c>
      <c r="E50" s="133">
        <f t="shared" ca="1" si="3"/>
        <v>2.0204340260978917E-2</v>
      </c>
      <c r="F50" s="551" t="s">
        <v>336</v>
      </c>
      <c r="G50" s="575">
        <f t="shared" ca="1" si="4"/>
        <v>2.0204340260978917E-2</v>
      </c>
      <c r="H50" s="575">
        <f t="shared" ca="1" si="4"/>
        <v>2.0204340260978917E-2</v>
      </c>
      <c r="I50" s="574" t="s">
        <v>336</v>
      </c>
      <c r="J50" s="133">
        <f t="shared" ca="1" si="5"/>
        <v>1.5211525876969649</v>
      </c>
      <c r="K50" s="133">
        <f t="shared" ca="1" si="5"/>
        <v>1.5211525876969649</v>
      </c>
      <c r="L50" s="133">
        <f t="shared" ca="1" si="5"/>
        <v>1.5211525876969649</v>
      </c>
      <c r="M50" s="551" t="s">
        <v>336</v>
      </c>
      <c r="N50" s="575">
        <f t="shared" ca="1" si="6"/>
        <v>1.5211525876969649</v>
      </c>
      <c r="O50" s="575">
        <f t="shared" ca="1" si="6"/>
        <v>1.5211525876969649</v>
      </c>
      <c r="P50" s="574" t="s">
        <v>336</v>
      </c>
      <c r="Q50" s="45">
        <f t="shared" ca="1" si="7"/>
        <v>14425.825922696062</v>
      </c>
      <c r="R50" s="45">
        <f t="shared" ca="1" si="7"/>
        <v>14425.825922696062</v>
      </c>
      <c r="S50" s="45">
        <f t="shared" ca="1" si="7"/>
        <v>14425.825922696062</v>
      </c>
      <c r="T50" s="581" t="s">
        <v>336</v>
      </c>
      <c r="U50" s="573">
        <f t="shared" ca="1" si="8"/>
        <v>14425.825922696062</v>
      </c>
      <c r="V50" s="573">
        <f t="shared" ca="1" si="8"/>
        <v>14425.825922696062</v>
      </c>
      <c r="W50" s="574" t="s">
        <v>336</v>
      </c>
    </row>
    <row r="51" spans="1:23" x14ac:dyDescent="0.25">
      <c r="A51" s="812" t="str">
        <f t="shared" si="9"/>
        <v>FB</v>
      </c>
      <c r="B51" s="812" t="s">
        <v>148</v>
      </c>
      <c r="C51" s="133">
        <f t="shared" ca="1" si="3"/>
        <v>6.7879979367835618E-3</v>
      </c>
      <c r="D51" s="133">
        <f t="shared" ca="1" si="3"/>
        <v>6.7879979367835618E-3</v>
      </c>
      <c r="E51" s="133">
        <f t="shared" ca="1" si="3"/>
        <v>6.7879979367835618E-3</v>
      </c>
      <c r="F51" s="551" t="s">
        <v>336</v>
      </c>
      <c r="G51" s="575">
        <f t="shared" ca="1" si="4"/>
        <v>6.7879979367835618E-3</v>
      </c>
      <c r="H51" s="575">
        <f t="shared" ca="1" si="4"/>
        <v>6.7879979367835618E-3</v>
      </c>
      <c r="I51" s="574" t="s">
        <v>336</v>
      </c>
      <c r="J51" s="133">
        <f t="shared" ca="1" si="5"/>
        <v>0.2249725691975181</v>
      </c>
      <c r="K51" s="133">
        <f t="shared" ca="1" si="5"/>
        <v>0.2249725691975181</v>
      </c>
      <c r="L51" s="133">
        <f t="shared" ca="1" si="5"/>
        <v>0.2249725691975181</v>
      </c>
      <c r="M51" s="551" t="s">
        <v>336</v>
      </c>
      <c r="N51" s="575">
        <f t="shared" ca="1" si="6"/>
        <v>0.2249725691975181</v>
      </c>
      <c r="O51" s="575">
        <f t="shared" ca="1" si="6"/>
        <v>0.2249725691975181</v>
      </c>
      <c r="P51" s="574" t="s">
        <v>336</v>
      </c>
      <c r="Q51" s="45">
        <f t="shared" ca="1" si="7"/>
        <v>5001.5023041003915</v>
      </c>
      <c r="R51" s="45">
        <f t="shared" ca="1" si="7"/>
        <v>5001.5023041003915</v>
      </c>
      <c r="S51" s="45">
        <f t="shared" ca="1" si="7"/>
        <v>5001.5023041003915</v>
      </c>
      <c r="T51" s="581" t="s">
        <v>336</v>
      </c>
      <c r="U51" s="573">
        <f t="shared" ca="1" si="8"/>
        <v>5001.5023041003915</v>
      </c>
      <c r="V51" s="573">
        <f t="shared" ca="1" si="8"/>
        <v>5001.5023041003915</v>
      </c>
      <c r="W51" s="574" t="s">
        <v>336</v>
      </c>
    </row>
    <row r="52" spans="1:23" x14ac:dyDescent="0.25">
      <c r="A52" s="812" t="str">
        <f t="shared" si="9"/>
        <v>FB</v>
      </c>
      <c r="B52" s="812" t="s">
        <v>746</v>
      </c>
      <c r="C52" s="133">
        <f t="shared" ca="1" si="3"/>
        <v>1.209379263288509E-4</v>
      </c>
      <c r="D52" s="133">
        <f t="shared" ca="1" si="3"/>
        <v>1.209379263288509E-4</v>
      </c>
      <c r="E52" s="133">
        <f t="shared" ca="1" si="3"/>
        <v>1.209379263288509E-4</v>
      </c>
      <c r="F52" s="551" t="s">
        <v>336</v>
      </c>
      <c r="G52" s="575">
        <f t="shared" ca="1" si="4"/>
        <v>1.209379263288509E-4</v>
      </c>
      <c r="H52" s="575">
        <f t="shared" ca="1" si="4"/>
        <v>1.209379263288509E-4</v>
      </c>
      <c r="I52" s="574" t="s">
        <v>336</v>
      </c>
      <c r="J52" s="133">
        <f t="shared" ca="1" si="5"/>
        <v>1.0393546933636425E-2</v>
      </c>
      <c r="K52" s="133">
        <f t="shared" ca="1" si="5"/>
        <v>1.0393546933636425E-2</v>
      </c>
      <c r="L52" s="133">
        <f t="shared" ca="1" si="5"/>
        <v>1.0393546933636425E-2</v>
      </c>
      <c r="M52" s="551" t="s">
        <v>336</v>
      </c>
      <c r="N52" s="575">
        <f t="shared" ca="1" si="6"/>
        <v>1.0393546933636425E-2</v>
      </c>
      <c r="O52" s="575">
        <f t="shared" ca="1" si="6"/>
        <v>1.0393546933636425E-2</v>
      </c>
      <c r="P52" s="574" t="s">
        <v>336</v>
      </c>
      <c r="Q52" s="45">
        <f t="shared" ca="1" si="7"/>
        <v>100.61190907710386</v>
      </c>
      <c r="R52" s="45">
        <f t="shared" ca="1" si="7"/>
        <v>100.61190907710386</v>
      </c>
      <c r="S52" s="45">
        <f t="shared" ca="1" si="7"/>
        <v>100.61190907710386</v>
      </c>
      <c r="T52" s="581" t="s">
        <v>336</v>
      </c>
      <c r="U52" s="573">
        <f t="shared" ca="1" si="8"/>
        <v>100.61190907710386</v>
      </c>
      <c r="V52" s="573">
        <f t="shared" ca="1" si="8"/>
        <v>100.61190907710386</v>
      </c>
      <c r="W52" s="574" t="s">
        <v>336</v>
      </c>
    </row>
    <row r="53" spans="1:23" x14ac:dyDescent="0.25">
      <c r="A53" s="812" t="str">
        <f t="shared" si="9"/>
        <v>FB</v>
      </c>
      <c r="B53" s="812" t="s">
        <v>747</v>
      </c>
      <c r="C53" s="133">
        <f t="shared" ca="1" si="3"/>
        <v>4.6704839168578653E-4</v>
      </c>
      <c r="D53" s="133">
        <f t="shared" ca="1" si="3"/>
        <v>4.6704839168578653E-4</v>
      </c>
      <c r="E53" s="133">
        <f t="shared" ca="1" si="3"/>
        <v>4.6704839168578653E-4</v>
      </c>
      <c r="F53" s="551" t="s">
        <v>336</v>
      </c>
      <c r="G53" s="575">
        <f t="shared" ca="1" si="4"/>
        <v>4.6704839168578653E-4</v>
      </c>
      <c r="H53" s="575">
        <f t="shared" ca="1" si="4"/>
        <v>4.6704839168578653E-4</v>
      </c>
      <c r="I53" s="574" t="s">
        <v>336</v>
      </c>
      <c r="J53" s="133">
        <f t="shared" ca="1" si="5"/>
        <v>3.5163329285472951E-2</v>
      </c>
      <c r="K53" s="133">
        <f t="shared" ca="1" si="5"/>
        <v>3.5163329285472951E-2</v>
      </c>
      <c r="L53" s="133">
        <f t="shared" ca="1" si="5"/>
        <v>3.5163329285472951E-2</v>
      </c>
      <c r="M53" s="551" t="s">
        <v>336</v>
      </c>
      <c r="N53" s="575">
        <f t="shared" ca="1" si="6"/>
        <v>3.5163329285472951E-2</v>
      </c>
      <c r="O53" s="575">
        <f t="shared" ca="1" si="6"/>
        <v>3.5163329285472951E-2</v>
      </c>
      <c r="P53" s="574" t="s">
        <v>336</v>
      </c>
      <c r="Q53" s="45">
        <f t="shared" ca="1" si="7"/>
        <v>310.58529667379133</v>
      </c>
      <c r="R53" s="45">
        <f t="shared" ca="1" si="7"/>
        <v>310.58529667379133</v>
      </c>
      <c r="S53" s="45">
        <f t="shared" ca="1" si="7"/>
        <v>310.58529667379133</v>
      </c>
      <c r="T53" s="581" t="s">
        <v>336</v>
      </c>
      <c r="U53" s="573">
        <f t="shared" ca="1" si="8"/>
        <v>310.58529667379133</v>
      </c>
      <c r="V53" s="573">
        <f t="shared" ca="1" si="8"/>
        <v>310.58529667379133</v>
      </c>
      <c r="W53" s="574" t="s">
        <v>336</v>
      </c>
    </row>
    <row r="54" spans="1:23" x14ac:dyDescent="0.25">
      <c r="A54" s="812" t="str">
        <f t="shared" si="9"/>
        <v>FB</v>
      </c>
      <c r="B54" s="812" t="s">
        <v>149</v>
      </c>
      <c r="C54" s="133">
        <f t="shared" ca="1" si="3"/>
        <v>2.2028275680397817E-6</v>
      </c>
      <c r="D54" s="133">
        <f t="shared" ca="1" si="3"/>
        <v>2.2028275680397817E-6</v>
      </c>
      <c r="E54" s="133">
        <f t="shared" ca="1" si="3"/>
        <v>2.2028275680397817E-6</v>
      </c>
      <c r="F54" s="551" t="s">
        <v>336</v>
      </c>
      <c r="G54" s="575">
        <f t="shared" ca="1" si="4"/>
        <v>2.2028275680397817E-6</v>
      </c>
      <c r="H54" s="575">
        <f t="shared" ca="1" si="4"/>
        <v>2.2028275680397817E-6</v>
      </c>
      <c r="I54" s="574" t="s">
        <v>336</v>
      </c>
      <c r="J54" s="133">
        <f t="shared" ca="1" si="5"/>
        <v>3.1737341858783724E-5</v>
      </c>
      <c r="K54" s="133">
        <f t="shared" ca="1" si="5"/>
        <v>3.1737341858783724E-5</v>
      </c>
      <c r="L54" s="133">
        <f t="shared" ca="1" si="5"/>
        <v>3.1737341858783724E-5</v>
      </c>
      <c r="M54" s="551" t="s">
        <v>336</v>
      </c>
      <c r="N54" s="575">
        <f t="shared" ca="1" si="6"/>
        <v>3.1737341858783724E-5</v>
      </c>
      <c r="O54" s="575">
        <f t="shared" ca="1" si="6"/>
        <v>3.1737341858783724E-5</v>
      </c>
      <c r="P54" s="574" t="s">
        <v>336</v>
      </c>
      <c r="Q54" s="45">
        <f t="shared" ca="1" si="7"/>
        <v>133.35628288846513</v>
      </c>
      <c r="R54" s="45">
        <f t="shared" ca="1" si="7"/>
        <v>133.35628288846513</v>
      </c>
      <c r="S54" s="45">
        <f t="shared" ca="1" si="7"/>
        <v>133.35628288846513</v>
      </c>
      <c r="T54" s="581" t="s">
        <v>336</v>
      </c>
      <c r="U54" s="573">
        <f t="shared" ca="1" si="8"/>
        <v>133.35628288846513</v>
      </c>
      <c r="V54" s="573">
        <f t="shared" ca="1" si="8"/>
        <v>133.35628288846513</v>
      </c>
      <c r="W54" s="574" t="s">
        <v>336</v>
      </c>
    </row>
    <row r="55" spans="1:23" x14ac:dyDescent="0.25">
      <c r="A55" s="812" t="str">
        <f t="shared" si="9"/>
        <v>FB</v>
      </c>
      <c r="B55" s="812" t="s">
        <v>150</v>
      </c>
      <c r="C55" s="133">
        <f t="shared" ca="1" si="3"/>
        <v>3.7935593860201474E-3</v>
      </c>
      <c r="D55" s="133">
        <f t="shared" ca="1" si="3"/>
        <v>3.7935593860201474E-3</v>
      </c>
      <c r="E55" s="133">
        <f t="shared" ca="1" si="3"/>
        <v>3.7935593860201474E-3</v>
      </c>
      <c r="F55" s="551" t="s">
        <v>336</v>
      </c>
      <c r="G55" s="575">
        <f t="shared" ca="1" si="4"/>
        <v>3.7935593860201474E-3</v>
      </c>
      <c r="H55" s="575">
        <f t="shared" ca="1" si="4"/>
        <v>3.7935593860201474E-3</v>
      </c>
      <c r="I55" s="574" t="s">
        <v>336</v>
      </c>
      <c r="J55" s="133">
        <f t="shared" ca="1" si="5"/>
        <v>3.5621254147434633E-4</v>
      </c>
      <c r="K55" s="133">
        <f t="shared" ca="1" si="5"/>
        <v>3.5621254147434633E-4</v>
      </c>
      <c r="L55" s="133">
        <f t="shared" ca="1" si="5"/>
        <v>3.5621254147434633E-4</v>
      </c>
      <c r="M55" s="551" t="s">
        <v>336</v>
      </c>
      <c r="N55" s="575">
        <f t="shared" ca="1" si="6"/>
        <v>3.5621254147434633E-4</v>
      </c>
      <c r="O55" s="575">
        <f t="shared" ca="1" si="6"/>
        <v>3.5621254147434633E-4</v>
      </c>
      <c r="P55" s="574" t="s">
        <v>336</v>
      </c>
      <c r="Q55" s="45">
        <f t="shared" ca="1" si="7"/>
        <v>1230.6696308614514</v>
      </c>
      <c r="R55" s="45">
        <f t="shared" ca="1" si="7"/>
        <v>1230.6696308614514</v>
      </c>
      <c r="S55" s="45">
        <f t="shared" ca="1" si="7"/>
        <v>1230.6696308614514</v>
      </c>
      <c r="T55" s="581" t="s">
        <v>336</v>
      </c>
      <c r="U55" s="573">
        <f t="shared" ca="1" si="8"/>
        <v>1230.6696308614514</v>
      </c>
      <c r="V55" s="573">
        <f t="shared" ca="1" si="8"/>
        <v>1230.6696308614514</v>
      </c>
      <c r="W55" s="574" t="s">
        <v>336</v>
      </c>
    </row>
    <row r="56" spans="1:23" x14ac:dyDescent="0.25">
      <c r="A56" s="812" t="str">
        <f t="shared" si="9"/>
        <v>FB</v>
      </c>
      <c r="B56" s="812" t="s">
        <v>151</v>
      </c>
      <c r="C56" s="133">
        <f t="shared" ref="C56:E59" ca="1" si="10">C22*C$32/C$26</f>
        <v>3.6088712851552629E-2</v>
      </c>
      <c r="D56" s="133">
        <f t="shared" ca="1" si="10"/>
        <v>3.6088712851552629E-2</v>
      </c>
      <c r="E56" s="133">
        <f t="shared" ca="1" si="10"/>
        <v>3.6088712851552629E-2</v>
      </c>
      <c r="F56" s="551" t="s">
        <v>336</v>
      </c>
      <c r="G56" s="575">
        <f t="shared" ref="G56:H59" ca="1" si="11">G22*G$32/G$26</f>
        <v>3.6088712851552629E-2</v>
      </c>
      <c r="H56" s="575">
        <f t="shared" ca="1" si="11"/>
        <v>3.6088712851552629E-2</v>
      </c>
      <c r="I56" s="574" t="s">
        <v>336</v>
      </c>
      <c r="J56" s="133">
        <f t="shared" ref="J56:L59" ca="1" si="12">J22*J$32/J$26</f>
        <v>4.9961126571831792E-2</v>
      </c>
      <c r="K56" s="133">
        <f t="shared" ca="1" si="12"/>
        <v>4.9961126571831792E-2</v>
      </c>
      <c r="L56" s="133">
        <f t="shared" ca="1" si="12"/>
        <v>4.9961126571831792E-2</v>
      </c>
      <c r="M56" s="551" t="s">
        <v>336</v>
      </c>
      <c r="N56" s="575">
        <f t="shared" ref="N56:O59" ca="1" si="13">N22*N$32/N$26</f>
        <v>4.9961126571831792E-2</v>
      </c>
      <c r="O56" s="575">
        <f t="shared" ca="1" si="13"/>
        <v>4.9961126571831792E-2</v>
      </c>
      <c r="P56" s="574" t="s">
        <v>336</v>
      </c>
      <c r="Q56" s="45">
        <f t="shared" ref="Q56:S59" ca="1" si="14">Q22*Q$32/Q$26</f>
        <v>166.76708897567167</v>
      </c>
      <c r="R56" s="45">
        <f t="shared" ca="1" si="14"/>
        <v>166.76708897567167</v>
      </c>
      <c r="S56" s="45">
        <f t="shared" ca="1" si="14"/>
        <v>166.76708897567167</v>
      </c>
      <c r="T56" s="581" t="s">
        <v>336</v>
      </c>
      <c r="U56" s="573">
        <f t="shared" ref="U56:V59" ca="1" si="15">U22*U$32/U$26</f>
        <v>166.76708897567167</v>
      </c>
      <c r="V56" s="573">
        <f t="shared" ca="1" si="15"/>
        <v>166.76708897567167</v>
      </c>
      <c r="W56" s="574" t="s">
        <v>336</v>
      </c>
    </row>
    <row r="57" spans="1:23" x14ac:dyDescent="0.25">
      <c r="A57" s="812" t="str">
        <f t="shared" si="9"/>
        <v>FB</v>
      </c>
      <c r="B57" s="812" t="s">
        <v>152</v>
      </c>
      <c r="C57" s="133">
        <f t="shared" ca="1" si="10"/>
        <v>9.9002152576827202E-5</v>
      </c>
      <c r="D57" s="133">
        <f t="shared" ca="1" si="10"/>
        <v>9.9002152576827202E-5</v>
      </c>
      <c r="E57" s="133">
        <f t="shared" ca="1" si="10"/>
        <v>9.9002152576827202E-5</v>
      </c>
      <c r="F57" s="551" t="s">
        <v>336</v>
      </c>
      <c r="G57" s="575">
        <f t="shared" ca="1" si="11"/>
        <v>9.9002152576827202E-5</v>
      </c>
      <c r="H57" s="575">
        <f t="shared" ca="1" si="11"/>
        <v>9.9002152576827202E-5</v>
      </c>
      <c r="I57" s="574" t="s">
        <v>336</v>
      </c>
      <c r="J57" s="133">
        <f t="shared" ca="1" si="12"/>
        <v>1.3705833998903255E-4</v>
      </c>
      <c r="K57" s="133">
        <f t="shared" ca="1" si="12"/>
        <v>1.3705833998903255E-4</v>
      </c>
      <c r="L57" s="133">
        <f t="shared" ca="1" si="12"/>
        <v>1.3705833998903255E-4</v>
      </c>
      <c r="M57" s="551" t="s">
        <v>336</v>
      </c>
      <c r="N57" s="575">
        <f t="shared" ca="1" si="13"/>
        <v>1.3705833998903255E-4</v>
      </c>
      <c r="O57" s="575">
        <f t="shared" ca="1" si="13"/>
        <v>1.3705833998903255E-4</v>
      </c>
      <c r="P57" s="574" t="s">
        <v>336</v>
      </c>
      <c r="Q57" s="45">
        <f t="shared" ca="1" si="14"/>
        <v>6.9162878432048966</v>
      </c>
      <c r="R57" s="45">
        <f t="shared" ca="1" si="14"/>
        <v>6.9162878432048966</v>
      </c>
      <c r="S57" s="45">
        <f t="shared" ca="1" si="14"/>
        <v>6.9162878432048966</v>
      </c>
      <c r="T57" s="581" t="s">
        <v>336</v>
      </c>
      <c r="U57" s="573">
        <f t="shared" ca="1" si="15"/>
        <v>6.9162878432048966</v>
      </c>
      <c r="V57" s="573">
        <f t="shared" ca="1" si="15"/>
        <v>6.9162878432048966</v>
      </c>
      <c r="W57" s="574" t="s">
        <v>336</v>
      </c>
    </row>
    <row r="58" spans="1:23" x14ac:dyDescent="0.25">
      <c r="A58" s="812" t="str">
        <f t="shared" si="9"/>
        <v>FB</v>
      </c>
      <c r="B58" s="812" t="s">
        <v>153</v>
      </c>
      <c r="C58" s="133">
        <f t="shared" ca="1" si="10"/>
        <v>9.6976323451966845E-5</v>
      </c>
      <c r="D58" s="133">
        <f t="shared" ca="1" si="10"/>
        <v>9.6976323451966845E-5</v>
      </c>
      <c r="E58" s="133">
        <f t="shared" ca="1" si="10"/>
        <v>9.6976323451966845E-5</v>
      </c>
      <c r="F58" s="551" t="s">
        <v>336</v>
      </c>
      <c r="G58" s="575">
        <f t="shared" ca="1" si="11"/>
        <v>9.6976323451966845E-5</v>
      </c>
      <c r="H58" s="575">
        <f t="shared" ca="1" si="11"/>
        <v>9.6976323451966845E-5</v>
      </c>
      <c r="I58" s="574" t="s">
        <v>336</v>
      </c>
      <c r="J58" s="133">
        <f t="shared" ca="1" si="12"/>
        <v>3.3738717427612448E-6</v>
      </c>
      <c r="K58" s="133">
        <f t="shared" ca="1" si="12"/>
        <v>3.3738717427612448E-6</v>
      </c>
      <c r="L58" s="133">
        <f t="shared" ca="1" si="12"/>
        <v>3.3738717427612448E-6</v>
      </c>
      <c r="M58" s="551" t="s">
        <v>336</v>
      </c>
      <c r="N58" s="575">
        <f t="shared" ca="1" si="13"/>
        <v>3.3738717427612448E-6</v>
      </c>
      <c r="O58" s="575">
        <f t="shared" ca="1" si="13"/>
        <v>3.3738717427612448E-6</v>
      </c>
      <c r="P58" s="574" t="s">
        <v>336</v>
      </c>
      <c r="Q58" s="45">
        <f t="shared" ca="1" si="14"/>
        <v>3.6088823346548575</v>
      </c>
      <c r="R58" s="45">
        <f t="shared" ca="1" si="14"/>
        <v>3.6088823346548575</v>
      </c>
      <c r="S58" s="45">
        <f t="shared" ca="1" si="14"/>
        <v>3.6088823346548575</v>
      </c>
      <c r="T58" s="581" t="s">
        <v>336</v>
      </c>
      <c r="U58" s="573">
        <f t="shared" ca="1" si="15"/>
        <v>3.6088823346548575</v>
      </c>
      <c r="V58" s="573">
        <f t="shared" ca="1" si="15"/>
        <v>3.6088823346548575</v>
      </c>
      <c r="W58" s="574" t="s">
        <v>336</v>
      </c>
    </row>
    <row r="59" spans="1:23" x14ac:dyDescent="0.25">
      <c r="A59" s="813" t="str">
        <f>A56</f>
        <v>FB</v>
      </c>
      <c r="B59" s="813" t="s">
        <v>154</v>
      </c>
      <c r="C59" s="135">
        <f t="shared" ca="1" si="10"/>
        <v>8.902918923658626E-4</v>
      </c>
      <c r="D59" s="135">
        <f t="shared" ca="1" si="10"/>
        <v>8.902918923658626E-4</v>
      </c>
      <c r="E59" s="135">
        <f t="shared" ca="1" si="10"/>
        <v>8.902918923658626E-4</v>
      </c>
      <c r="F59" s="580" t="s">
        <v>336</v>
      </c>
      <c r="G59" s="579">
        <f t="shared" ca="1" si="11"/>
        <v>8.902918923658626E-4</v>
      </c>
      <c r="H59" s="579">
        <f t="shared" ca="1" si="11"/>
        <v>8.902918923658626E-4</v>
      </c>
      <c r="I59" s="576" t="s">
        <v>336</v>
      </c>
      <c r="J59" s="135">
        <f t="shared" ca="1" si="12"/>
        <v>7.5213877992031004E-3</v>
      </c>
      <c r="K59" s="135">
        <f t="shared" ca="1" si="12"/>
        <v>7.5213877992031004E-3</v>
      </c>
      <c r="L59" s="135">
        <f t="shared" ca="1" si="12"/>
        <v>7.5213877992031004E-3</v>
      </c>
      <c r="M59" s="580" t="s">
        <v>336</v>
      </c>
      <c r="N59" s="579">
        <f t="shared" ca="1" si="13"/>
        <v>7.5213877992031004E-3</v>
      </c>
      <c r="O59" s="579">
        <f t="shared" ca="1" si="13"/>
        <v>7.5213877992031004E-3</v>
      </c>
      <c r="P59" s="576" t="s">
        <v>336</v>
      </c>
      <c r="Q59" s="88">
        <f t="shared" ca="1" si="14"/>
        <v>57.553509078123589</v>
      </c>
      <c r="R59" s="88">
        <f t="shared" ca="1" si="14"/>
        <v>57.553509078123589</v>
      </c>
      <c r="S59" s="88">
        <f t="shared" ca="1" si="14"/>
        <v>57.553509078123589</v>
      </c>
      <c r="T59" s="578" t="s">
        <v>336</v>
      </c>
      <c r="U59" s="577">
        <f t="shared" ca="1" si="15"/>
        <v>57.553509078123589</v>
      </c>
      <c r="V59" s="577">
        <f t="shared" ca="1" si="15"/>
        <v>57.553509078123589</v>
      </c>
      <c r="W59" s="576" t="s">
        <v>336</v>
      </c>
    </row>
    <row r="60" spans="1:23" x14ac:dyDescent="0.25">
      <c r="A60" s="82" t="s">
        <v>754</v>
      </c>
      <c r="B60" s="812" t="s">
        <v>137</v>
      </c>
      <c r="C60" s="133">
        <f t="shared" ref="C60:E75" ca="1" si="16">C6*C$33/C$26</f>
        <v>0.28468750874615695</v>
      </c>
      <c r="D60" s="575">
        <f t="shared" ca="1" si="16"/>
        <v>0.28468750874615695</v>
      </c>
      <c r="E60" s="575">
        <f t="shared" ca="1" si="16"/>
        <v>0.28468750874615695</v>
      </c>
      <c r="F60" s="574" t="s">
        <v>336</v>
      </c>
      <c r="G60" s="133">
        <f t="shared" ref="G60:H75" ca="1" si="17">G6*G$33/G$26</f>
        <v>0.28468750874615695</v>
      </c>
      <c r="H60" s="133">
        <f t="shared" ca="1" si="17"/>
        <v>0.28468750874615695</v>
      </c>
      <c r="I60" s="551" t="s">
        <v>336</v>
      </c>
      <c r="J60" s="575">
        <f t="shared" ref="J60:L75" ca="1" si="18">J6*J$33/J$26</f>
        <v>2.3974370636634357E-3</v>
      </c>
      <c r="K60" s="575">
        <f t="shared" ca="1" si="18"/>
        <v>2.3974370636634357E-3</v>
      </c>
      <c r="L60" s="575">
        <f t="shared" ca="1" si="18"/>
        <v>2.3974370636634357E-3</v>
      </c>
      <c r="M60" s="574" t="s">
        <v>336</v>
      </c>
      <c r="N60" s="133">
        <f t="shared" ref="N60:O75" ca="1" si="19">N6*N$33/N$26</f>
        <v>2.3974370636634357E-3</v>
      </c>
      <c r="O60" s="133">
        <f t="shared" ca="1" si="19"/>
        <v>2.3974370636634357E-3</v>
      </c>
      <c r="P60" s="551" t="s">
        <v>336</v>
      </c>
      <c r="Q60" s="573">
        <f t="shared" ref="Q60:S75" ca="1" si="20">Q6*Q$33/Q$26</f>
        <v>182.96101929835478</v>
      </c>
      <c r="R60" s="573">
        <f t="shared" ca="1" si="20"/>
        <v>182.96101929835478</v>
      </c>
      <c r="S60" s="573">
        <f t="shared" ca="1" si="20"/>
        <v>182.96101929835478</v>
      </c>
      <c r="T60" s="572" t="s">
        <v>336</v>
      </c>
      <c r="U60" s="45">
        <f t="shared" ref="U60:V75" ca="1" si="21">U6*U$33/U$26</f>
        <v>182.96101929835478</v>
      </c>
      <c r="V60" s="45">
        <f t="shared" ca="1" si="21"/>
        <v>182.96101929835478</v>
      </c>
      <c r="W60" s="551" t="s">
        <v>336</v>
      </c>
    </row>
    <row r="61" spans="1:23" x14ac:dyDescent="0.25">
      <c r="A61" s="812" t="str">
        <f t="shared" ref="A61:A78" si="22">A60</f>
        <v>NP</v>
      </c>
      <c r="B61" s="812" t="s">
        <v>138</v>
      </c>
      <c r="C61" s="133">
        <f t="shared" ca="1" si="16"/>
        <v>2.2218170793762974E-2</v>
      </c>
      <c r="D61" s="575">
        <f t="shared" ca="1" si="16"/>
        <v>2.2218170793762974E-2</v>
      </c>
      <c r="E61" s="575">
        <f t="shared" ca="1" si="16"/>
        <v>2.2218170793762974E-2</v>
      </c>
      <c r="F61" s="574" t="s">
        <v>336</v>
      </c>
      <c r="G61" s="133">
        <f t="shared" ca="1" si="17"/>
        <v>2.2218170793762974E-2</v>
      </c>
      <c r="H61" s="133">
        <f t="shared" ca="1" si="17"/>
        <v>2.2218170793762974E-2</v>
      </c>
      <c r="I61" s="551" t="s">
        <v>336</v>
      </c>
      <c r="J61" s="575">
        <f t="shared" ca="1" si="18"/>
        <v>2.1156400331076499E-4</v>
      </c>
      <c r="K61" s="575">
        <f t="shared" ca="1" si="18"/>
        <v>2.1156400331076499E-4</v>
      </c>
      <c r="L61" s="575">
        <f t="shared" ca="1" si="18"/>
        <v>2.1156400331076499E-4</v>
      </c>
      <c r="M61" s="574" t="s">
        <v>336</v>
      </c>
      <c r="N61" s="133">
        <f t="shared" ca="1" si="19"/>
        <v>2.1156400331076499E-4</v>
      </c>
      <c r="O61" s="133">
        <f t="shared" ca="1" si="19"/>
        <v>2.1156400331076499E-4</v>
      </c>
      <c r="P61" s="551" t="s">
        <v>336</v>
      </c>
      <c r="Q61" s="573">
        <f t="shared" ca="1" si="20"/>
        <v>16.142684194110128</v>
      </c>
      <c r="R61" s="573">
        <f t="shared" ca="1" si="20"/>
        <v>16.142684194110128</v>
      </c>
      <c r="S61" s="573">
        <f t="shared" ca="1" si="20"/>
        <v>16.142684194110128</v>
      </c>
      <c r="T61" s="572" t="s">
        <v>336</v>
      </c>
      <c r="U61" s="45">
        <f t="shared" ca="1" si="21"/>
        <v>16.142684194110128</v>
      </c>
      <c r="V61" s="45">
        <f t="shared" ca="1" si="21"/>
        <v>16.142684194110128</v>
      </c>
      <c r="W61" s="551" t="s">
        <v>336</v>
      </c>
    </row>
    <row r="62" spans="1:23" x14ac:dyDescent="0.25">
      <c r="A62" s="812" t="str">
        <f t="shared" si="22"/>
        <v>NP</v>
      </c>
      <c r="B62" s="812" t="s">
        <v>139</v>
      </c>
      <c r="C62" s="133">
        <f t="shared" ca="1" si="16"/>
        <v>1.8344509453500552E-2</v>
      </c>
      <c r="D62" s="575">
        <f t="shared" ca="1" si="16"/>
        <v>1.8344509453500552E-2</v>
      </c>
      <c r="E62" s="575">
        <f t="shared" ca="1" si="16"/>
        <v>1.8344509453500552E-2</v>
      </c>
      <c r="F62" s="574" t="s">
        <v>336</v>
      </c>
      <c r="G62" s="133">
        <f t="shared" ca="1" si="17"/>
        <v>1.8344509453500552E-2</v>
      </c>
      <c r="H62" s="133">
        <f t="shared" ca="1" si="17"/>
        <v>1.8344509453500552E-2</v>
      </c>
      <c r="I62" s="551" t="s">
        <v>336</v>
      </c>
      <c r="J62" s="575">
        <f t="shared" ca="1" si="18"/>
        <v>4.4543030259731214E-4</v>
      </c>
      <c r="K62" s="575">
        <f t="shared" ca="1" si="18"/>
        <v>4.4543030259731214E-4</v>
      </c>
      <c r="L62" s="575">
        <f t="shared" ca="1" si="18"/>
        <v>4.4543030259731214E-4</v>
      </c>
      <c r="M62" s="574" t="s">
        <v>336</v>
      </c>
      <c r="N62" s="133">
        <f t="shared" ca="1" si="19"/>
        <v>4.4543030259731214E-4</v>
      </c>
      <c r="O62" s="133">
        <f t="shared" ca="1" si="19"/>
        <v>4.4543030259731214E-4</v>
      </c>
      <c r="P62" s="551" t="s">
        <v>336</v>
      </c>
      <c r="Q62" s="573">
        <f t="shared" ca="1" si="20"/>
        <v>33.987070545046045</v>
      </c>
      <c r="R62" s="573">
        <f t="shared" ca="1" si="20"/>
        <v>33.987070545046045</v>
      </c>
      <c r="S62" s="573">
        <f t="shared" ca="1" si="20"/>
        <v>33.987070545046045</v>
      </c>
      <c r="T62" s="572" t="s">
        <v>336</v>
      </c>
      <c r="U62" s="45">
        <f t="shared" ca="1" si="21"/>
        <v>33.987070545046045</v>
      </c>
      <c r="V62" s="45">
        <f t="shared" ca="1" si="21"/>
        <v>33.987070545046045</v>
      </c>
      <c r="W62" s="551" t="s">
        <v>336</v>
      </c>
    </row>
    <row r="63" spans="1:23" x14ac:dyDescent="0.25">
      <c r="A63" s="812" t="str">
        <f t="shared" si="22"/>
        <v>NP</v>
      </c>
      <c r="B63" s="812" t="s">
        <v>140</v>
      </c>
      <c r="C63" s="133">
        <f t="shared" ca="1" si="16"/>
        <v>1.196513265936364E-2</v>
      </c>
      <c r="D63" s="575">
        <f t="shared" ca="1" si="16"/>
        <v>1.196513265936364E-2</v>
      </c>
      <c r="E63" s="575">
        <f t="shared" ca="1" si="16"/>
        <v>1.196513265936364E-2</v>
      </c>
      <c r="F63" s="574" t="s">
        <v>336</v>
      </c>
      <c r="G63" s="133">
        <f t="shared" ca="1" si="17"/>
        <v>1.196513265936364E-2</v>
      </c>
      <c r="H63" s="133">
        <f t="shared" ca="1" si="17"/>
        <v>1.196513265936364E-2</v>
      </c>
      <c r="I63" s="551" t="s">
        <v>336</v>
      </c>
      <c r="J63" s="575">
        <f t="shared" ca="1" si="18"/>
        <v>2.681816556821996E-4</v>
      </c>
      <c r="K63" s="575">
        <f t="shared" ca="1" si="18"/>
        <v>2.681816556821996E-4</v>
      </c>
      <c r="L63" s="575">
        <f t="shared" ca="1" si="18"/>
        <v>2.681816556821996E-4</v>
      </c>
      <c r="M63" s="574" t="s">
        <v>336</v>
      </c>
      <c r="N63" s="133">
        <f t="shared" ca="1" si="19"/>
        <v>2.681816556821996E-4</v>
      </c>
      <c r="O63" s="133">
        <f t="shared" ca="1" si="19"/>
        <v>2.681816556821996E-4</v>
      </c>
      <c r="P63" s="551" t="s">
        <v>336</v>
      </c>
      <c r="Q63" s="573">
        <f t="shared" ca="1" si="20"/>
        <v>20.462704933656575</v>
      </c>
      <c r="R63" s="573">
        <f t="shared" ca="1" si="20"/>
        <v>20.462704933656575</v>
      </c>
      <c r="S63" s="573">
        <f t="shared" ca="1" si="20"/>
        <v>20.462704933656575</v>
      </c>
      <c r="T63" s="572" t="s">
        <v>336</v>
      </c>
      <c r="U63" s="45">
        <f t="shared" ca="1" si="21"/>
        <v>20.462704933656575</v>
      </c>
      <c r="V63" s="45">
        <f t="shared" ca="1" si="21"/>
        <v>20.462704933656575</v>
      </c>
      <c r="W63" s="551" t="s">
        <v>336</v>
      </c>
    </row>
    <row r="64" spans="1:23" x14ac:dyDescent="0.25">
      <c r="A64" s="812" t="str">
        <f t="shared" si="22"/>
        <v>NP</v>
      </c>
      <c r="B64" s="812" t="s">
        <v>141</v>
      </c>
      <c r="C64" s="133">
        <f t="shared" ca="1" si="16"/>
        <v>0.17891655712248347</v>
      </c>
      <c r="D64" s="575">
        <f t="shared" ca="1" si="16"/>
        <v>0.17891655712248347</v>
      </c>
      <c r="E64" s="575">
        <f t="shared" ca="1" si="16"/>
        <v>0.17891655712248347</v>
      </c>
      <c r="F64" s="574" t="s">
        <v>336</v>
      </c>
      <c r="G64" s="133">
        <f t="shared" ca="1" si="17"/>
        <v>0.17891655712248347</v>
      </c>
      <c r="H64" s="133">
        <f t="shared" ca="1" si="17"/>
        <v>0.17891655712248347</v>
      </c>
      <c r="I64" s="551" t="s">
        <v>336</v>
      </c>
      <c r="J64" s="575">
        <f t="shared" ca="1" si="18"/>
        <v>4.2935265697569636E-3</v>
      </c>
      <c r="K64" s="575">
        <f t="shared" ca="1" si="18"/>
        <v>4.2935265697569636E-3</v>
      </c>
      <c r="L64" s="575">
        <f t="shared" ca="1" si="18"/>
        <v>4.2935265697569636E-3</v>
      </c>
      <c r="M64" s="574" t="s">
        <v>336</v>
      </c>
      <c r="N64" s="133">
        <f t="shared" ca="1" si="19"/>
        <v>4.2935265697569636E-3</v>
      </c>
      <c r="O64" s="133">
        <f t="shared" ca="1" si="19"/>
        <v>4.2935265697569636E-3</v>
      </c>
      <c r="P64" s="551" t="s">
        <v>336</v>
      </c>
      <c r="Q64" s="573">
        <f t="shared" ca="1" si="20"/>
        <v>327.60319529783141</v>
      </c>
      <c r="R64" s="573">
        <f t="shared" ca="1" si="20"/>
        <v>327.60319529783141</v>
      </c>
      <c r="S64" s="573">
        <f t="shared" ca="1" si="20"/>
        <v>327.60319529783141</v>
      </c>
      <c r="T64" s="572" t="s">
        <v>336</v>
      </c>
      <c r="U64" s="45">
        <f t="shared" ca="1" si="21"/>
        <v>327.60319529783141</v>
      </c>
      <c r="V64" s="45">
        <f t="shared" ca="1" si="21"/>
        <v>327.60319529783141</v>
      </c>
      <c r="W64" s="551" t="s">
        <v>336</v>
      </c>
    </row>
    <row r="65" spans="1:23" x14ac:dyDescent="0.25">
      <c r="A65" s="812" t="str">
        <f t="shared" si="22"/>
        <v>NP</v>
      </c>
      <c r="B65" s="812" t="s">
        <v>142</v>
      </c>
      <c r="C65" s="133">
        <f t="shared" ca="1" si="16"/>
        <v>0.2458687710669106</v>
      </c>
      <c r="D65" s="575">
        <f t="shared" ca="1" si="16"/>
        <v>0.2458687710669106</v>
      </c>
      <c r="E65" s="575">
        <f t="shared" ca="1" si="16"/>
        <v>0.2458687710669106</v>
      </c>
      <c r="F65" s="574" t="s">
        <v>336</v>
      </c>
      <c r="G65" s="133">
        <f t="shared" ca="1" si="17"/>
        <v>0.2458687710669106</v>
      </c>
      <c r="H65" s="133">
        <f t="shared" ca="1" si="17"/>
        <v>0.2458687710669106</v>
      </c>
      <c r="I65" s="551" t="s">
        <v>336</v>
      </c>
      <c r="J65" s="575">
        <f t="shared" ca="1" si="18"/>
        <v>9.0396608555720799E-3</v>
      </c>
      <c r="K65" s="575">
        <f t="shared" ca="1" si="18"/>
        <v>9.0396608555720799E-3</v>
      </c>
      <c r="L65" s="575">
        <f t="shared" ca="1" si="18"/>
        <v>9.0396608555720799E-3</v>
      </c>
      <c r="M65" s="574" t="s">
        <v>336</v>
      </c>
      <c r="N65" s="133">
        <f t="shared" ca="1" si="19"/>
        <v>9.0396608555720799E-3</v>
      </c>
      <c r="O65" s="133">
        <f t="shared" ca="1" si="19"/>
        <v>9.0396608555720799E-3</v>
      </c>
      <c r="P65" s="551" t="s">
        <v>336</v>
      </c>
      <c r="Q65" s="573">
        <f t="shared" ca="1" si="20"/>
        <v>689.74110968685022</v>
      </c>
      <c r="R65" s="573">
        <f t="shared" ca="1" si="20"/>
        <v>689.74110968685022</v>
      </c>
      <c r="S65" s="573">
        <f t="shared" ca="1" si="20"/>
        <v>689.74110968685022</v>
      </c>
      <c r="T65" s="572" t="s">
        <v>336</v>
      </c>
      <c r="U65" s="45">
        <f t="shared" ca="1" si="21"/>
        <v>689.74110968685022</v>
      </c>
      <c r="V65" s="45">
        <f t="shared" ca="1" si="21"/>
        <v>689.74110968685022</v>
      </c>
      <c r="W65" s="551" t="s">
        <v>336</v>
      </c>
    </row>
    <row r="66" spans="1:23" x14ac:dyDescent="0.25">
      <c r="A66" s="812" t="str">
        <f t="shared" si="22"/>
        <v>NP</v>
      </c>
      <c r="B66" s="812" t="s">
        <v>143</v>
      </c>
      <c r="C66" s="133">
        <f t="shared" ca="1" si="16"/>
        <v>0.16425357778740388</v>
      </c>
      <c r="D66" s="575">
        <f t="shared" ca="1" si="16"/>
        <v>0.16425357778740388</v>
      </c>
      <c r="E66" s="575">
        <f t="shared" ca="1" si="16"/>
        <v>0.16425357778740388</v>
      </c>
      <c r="F66" s="574" t="s">
        <v>336</v>
      </c>
      <c r="G66" s="133">
        <f t="shared" ca="1" si="17"/>
        <v>0.16425357778740388</v>
      </c>
      <c r="H66" s="133">
        <f t="shared" ca="1" si="17"/>
        <v>0.16425357778740388</v>
      </c>
      <c r="I66" s="551" t="s">
        <v>336</v>
      </c>
      <c r="J66" s="575">
        <f t="shared" ca="1" si="18"/>
        <v>5.4425377009981544E-3</v>
      </c>
      <c r="K66" s="575">
        <f t="shared" ca="1" si="18"/>
        <v>5.4425377009981544E-3</v>
      </c>
      <c r="L66" s="575">
        <f t="shared" ca="1" si="18"/>
        <v>5.4425377009981544E-3</v>
      </c>
      <c r="M66" s="574" t="s">
        <v>336</v>
      </c>
      <c r="N66" s="133">
        <f t="shared" ca="1" si="19"/>
        <v>5.4425377009981544E-3</v>
      </c>
      <c r="O66" s="133">
        <f t="shared" ca="1" si="19"/>
        <v>5.4425377009981544E-3</v>
      </c>
      <c r="P66" s="551" t="s">
        <v>336</v>
      </c>
      <c r="Q66" s="573">
        <f t="shared" ca="1" si="20"/>
        <v>415.2746495002678</v>
      </c>
      <c r="R66" s="573">
        <f t="shared" ca="1" si="20"/>
        <v>415.2746495002678</v>
      </c>
      <c r="S66" s="573">
        <f t="shared" ca="1" si="20"/>
        <v>415.2746495002678</v>
      </c>
      <c r="T66" s="572" t="s">
        <v>336</v>
      </c>
      <c r="U66" s="45">
        <f t="shared" ca="1" si="21"/>
        <v>415.2746495002678</v>
      </c>
      <c r="V66" s="45">
        <f t="shared" ca="1" si="21"/>
        <v>415.2746495002678</v>
      </c>
      <c r="W66" s="551" t="s">
        <v>336</v>
      </c>
    </row>
    <row r="67" spans="1:23" x14ac:dyDescent="0.25">
      <c r="A67" s="812" t="str">
        <f t="shared" si="22"/>
        <v>NP</v>
      </c>
      <c r="B67" s="812" t="s">
        <v>144</v>
      </c>
      <c r="C67" s="133">
        <f t="shared" ca="1" si="16"/>
        <v>6.060742450789634E-3</v>
      </c>
      <c r="D67" s="575">
        <f t="shared" ca="1" si="16"/>
        <v>6.060742450789634E-3</v>
      </c>
      <c r="E67" s="575">
        <f t="shared" ca="1" si="16"/>
        <v>6.060742450789634E-3</v>
      </c>
      <c r="F67" s="574" t="s">
        <v>336</v>
      </c>
      <c r="G67" s="133">
        <f t="shared" ca="1" si="17"/>
        <v>6.060742450789634E-3</v>
      </c>
      <c r="H67" s="133">
        <f t="shared" ca="1" si="17"/>
        <v>6.060742450789634E-3</v>
      </c>
      <c r="I67" s="551" t="s">
        <v>336</v>
      </c>
      <c r="J67" s="575">
        <f t="shared" ca="1" si="18"/>
        <v>4.7728634226970547E-4</v>
      </c>
      <c r="K67" s="575">
        <f t="shared" ca="1" si="18"/>
        <v>4.7728634226970547E-4</v>
      </c>
      <c r="L67" s="575">
        <f t="shared" ca="1" si="18"/>
        <v>4.7728634226970547E-4</v>
      </c>
      <c r="M67" s="574" t="s">
        <v>336</v>
      </c>
      <c r="N67" s="133">
        <f t="shared" ca="1" si="19"/>
        <v>4.7728634226970547E-4</v>
      </c>
      <c r="O67" s="133">
        <f t="shared" ca="1" si="19"/>
        <v>4.7728634226970547E-4</v>
      </c>
      <c r="P67" s="551" t="s">
        <v>336</v>
      </c>
      <c r="Q67" s="573">
        <f t="shared" ca="1" si="20"/>
        <v>43.48946895170009</v>
      </c>
      <c r="R67" s="573">
        <f t="shared" ca="1" si="20"/>
        <v>43.48946895170009</v>
      </c>
      <c r="S67" s="573">
        <f t="shared" ca="1" si="20"/>
        <v>43.48946895170009</v>
      </c>
      <c r="T67" s="572" t="s">
        <v>336</v>
      </c>
      <c r="U67" s="45">
        <f t="shared" ca="1" si="21"/>
        <v>43.48946895170009</v>
      </c>
      <c r="V67" s="45">
        <f t="shared" ca="1" si="21"/>
        <v>43.48946895170009</v>
      </c>
      <c r="W67" s="551" t="s">
        <v>336</v>
      </c>
    </row>
    <row r="68" spans="1:23" x14ac:dyDescent="0.25">
      <c r="A68" s="812" t="str">
        <f t="shared" si="22"/>
        <v>NP</v>
      </c>
      <c r="B68" s="812" t="s">
        <v>145</v>
      </c>
      <c r="C68" s="133">
        <f t="shared" ca="1" si="16"/>
        <v>2.0443072645882802E-2</v>
      </c>
      <c r="D68" s="575">
        <f t="shared" ca="1" si="16"/>
        <v>2.0443072645882802E-2</v>
      </c>
      <c r="E68" s="575">
        <f t="shared" ca="1" si="16"/>
        <v>2.0443072645882802E-2</v>
      </c>
      <c r="F68" s="574" t="s">
        <v>336</v>
      </c>
      <c r="G68" s="133">
        <f t="shared" ca="1" si="17"/>
        <v>2.0443072645882802E-2</v>
      </c>
      <c r="H68" s="133">
        <f t="shared" ca="1" si="17"/>
        <v>2.0443072645882802E-2</v>
      </c>
      <c r="I68" s="551" t="s">
        <v>336</v>
      </c>
      <c r="J68" s="575">
        <f t="shared" ca="1" si="18"/>
        <v>1.6099016658653814E-3</v>
      </c>
      <c r="K68" s="575">
        <f t="shared" ca="1" si="18"/>
        <v>1.6099016658653814E-3</v>
      </c>
      <c r="L68" s="575">
        <f t="shared" ca="1" si="18"/>
        <v>1.6099016658653814E-3</v>
      </c>
      <c r="M68" s="574" t="s">
        <v>336</v>
      </c>
      <c r="N68" s="133">
        <f t="shared" ca="1" si="19"/>
        <v>1.6099016658653814E-3</v>
      </c>
      <c r="O68" s="133">
        <f t="shared" ca="1" si="19"/>
        <v>1.6099016658653814E-3</v>
      </c>
      <c r="P68" s="551" t="s">
        <v>336</v>
      </c>
      <c r="Q68" s="573">
        <f t="shared" ca="1" si="20"/>
        <v>146.69133036574365</v>
      </c>
      <c r="R68" s="573">
        <f t="shared" ca="1" si="20"/>
        <v>146.69133036574365</v>
      </c>
      <c r="S68" s="573">
        <f t="shared" ca="1" si="20"/>
        <v>146.69133036574365</v>
      </c>
      <c r="T68" s="572" t="s">
        <v>336</v>
      </c>
      <c r="U68" s="45">
        <f t="shared" ca="1" si="21"/>
        <v>146.69133036574365</v>
      </c>
      <c r="V68" s="45">
        <f t="shared" ca="1" si="21"/>
        <v>146.69133036574365</v>
      </c>
      <c r="W68" s="551" t="s">
        <v>336</v>
      </c>
    </row>
    <row r="69" spans="1:23" x14ac:dyDescent="0.25">
      <c r="A69" s="812" t="str">
        <f t="shared" si="22"/>
        <v>NP</v>
      </c>
      <c r="B69" s="812" t="s">
        <v>146</v>
      </c>
      <c r="C69" s="133">
        <f t="shared" ca="1" si="16"/>
        <v>0.10156899352469324</v>
      </c>
      <c r="D69" s="575">
        <f t="shared" ca="1" si="16"/>
        <v>0.10156899352469324</v>
      </c>
      <c r="E69" s="575">
        <f t="shared" ca="1" si="16"/>
        <v>0.10156899352469324</v>
      </c>
      <c r="F69" s="574" t="s">
        <v>336</v>
      </c>
      <c r="G69" s="133">
        <f t="shared" ca="1" si="17"/>
        <v>0.10156899352469324</v>
      </c>
      <c r="H69" s="133">
        <f t="shared" ca="1" si="17"/>
        <v>0.10156899352469324</v>
      </c>
      <c r="I69" s="551" t="s">
        <v>336</v>
      </c>
      <c r="J69" s="575">
        <f t="shared" ca="1" si="18"/>
        <v>2.9984182081307089E-3</v>
      </c>
      <c r="K69" s="575">
        <f t="shared" ca="1" si="18"/>
        <v>2.9984182081307089E-3</v>
      </c>
      <c r="L69" s="575">
        <f t="shared" ca="1" si="18"/>
        <v>2.9984182081307089E-3</v>
      </c>
      <c r="M69" s="574" t="s">
        <v>336</v>
      </c>
      <c r="N69" s="133">
        <f t="shared" ca="1" si="19"/>
        <v>2.9984182081307089E-3</v>
      </c>
      <c r="O69" s="133">
        <f t="shared" ca="1" si="19"/>
        <v>2.9984182081307089E-3</v>
      </c>
      <c r="P69" s="551" t="s">
        <v>336</v>
      </c>
      <c r="Q69" s="573">
        <f t="shared" ca="1" si="20"/>
        <v>228.70574558783909</v>
      </c>
      <c r="R69" s="573">
        <f t="shared" ca="1" si="20"/>
        <v>228.70574558783909</v>
      </c>
      <c r="S69" s="573">
        <f t="shared" ca="1" si="20"/>
        <v>228.70574558783909</v>
      </c>
      <c r="T69" s="572" t="s">
        <v>336</v>
      </c>
      <c r="U69" s="45">
        <f t="shared" ca="1" si="21"/>
        <v>228.70574558783909</v>
      </c>
      <c r="V69" s="45">
        <f t="shared" ca="1" si="21"/>
        <v>228.70574558783909</v>
      </c>
      <c r="W69" s="551" t="s">
        <v>336</v>
      </c>
    </row>
    <row r="70" spans="1:23" x14ac:dyDescent="0.25">
      <c r="A70" s="812" t="str">
        <f t="shared" si="22"/>
        <v>NP</v>
      </c>
      <c r="B70" s="812" t="s">
        <v>568</v>
      </c>
      <c r="C70" s="133">
        <f t="shared" ca="1" si="16"/>
        <v>2.2056874746823312E-2</v>
      </c>
      <c r="D70" s="575">
        <f t="shared" ca="1" si="16"/>
        <v>2.2056874746823312E-2</v>
      </c>
      <c r="E70" s="575">
        <f t="shared" ca="1" si="16"/>
        <v>2.2056874746823312E-2</v>
      </c>
      <c r="F70" s="574" t="s">
        <v>336</v>
      </c>
      <c r="G70" s="133">
        <f t="shared" ca="1" si="17"/>
        <v>2.2056874746823312E-2</v>
      </c>
      <c r="H70" s="133">
        <f t="shared" ca="1" si="17"/>
        <v>2.2056874746823312E-2</v>
      </c>
      <c r="I70" s="551" t="s">
        <v>336</v>
      </c>
      <c r="J70" s="575">
        <f t="shared" ca="1" si="18"/>
        <v>1.0170500687767501</v>
      </c>
      <c r="K70" s="575">
        <f t="shared" ca="1" si="18"/>
        <v>1.0170500687767501</v>
      </c>
      <c r="L70" s="575">
        <f t="shared" ca="1" si="18"/>
        <v>1.0170500687767501</v>
      </c>
      <c r="M70" s="574" t="s">
        <v>336</v>
      </c>
      <c r="N70" s="133">
        <f t="shared" ca="1" si="19"/>
        <v>1.0170500687767501</v>
      </c>
      <c r="O70" s="133">
        <f t="shared" ca="1" si="19"/>
        <v>1.0170500687767501</v>
      </c>
      <c r="P70" s="551" t="s">
        <v>336</v>
      </c>
      <c r="Q70" s="573">
        <f t="shared" ca="1" si="20"/>
        <v>8977.8599886194625</v>
      </c>
      <c r="R70" s="573">
        <f t="shared" ca="1" si="20"/>
        <v>8977.8599886194625</v>
      </c>
      <c r="S70" s="573">
        <f t="shared" ca="1" si="20"/>
        <v>8977.8599886194625</v>
      </c>
      <c r="T70" s="572" t="s">
        <v>336</v>
      </c>
      <c r="U70" s="45">
        <f t="shared" ca="1" si="21"/>
        <v>8977.8599886194625</v>
      </c>
      <c r="V70" s="45">
        <f t="shared" ca="1" si="21"/>
        <v>8977.8599886194625</v>
      </c>
      <c r="W70" s="551" t="s">
        <v>336</v>
      </c>
    </row>
    <row r="71" spans="1:23" x14ac:dyDescent="0.25">
      <c r="A71" s="812" t="str">
        <f t="shared" si="22"/>
        <v>NP</v>
      </c>
      <c r="B71" s="812" t="s">
        <v>148</v>
      </c>
      <c r="C71" s="133">
        <f t="shared" ca="1" si="16"/>
        <v>7.4103889728333022E-3</v>
      </c>
      <c r="D71" s="575">
        <f t="shared" ca="1" si="16"/>
        <v>7.4103889728333022E-3</v>
      </c>
      <c r="E71" s="575">
        <f t="shared" ca="1" si="16"/>
        <v>7.4103889728333022E-3</v>
      </c>
      <c r="F71" s="574" t="s">
        <v>336</v>
      </c>
      <c r="G71" s="133">
        <f t="shared" ca="1" si="17"/>
        <v>7.4103889728333022E-3</v>
      </c>
      <c r="H71" s="133">
        <f t="shared" ca="1" si="17"/>
        <v>7.4103889728333022E-3</v>
      </c>
      <c r="I71" s="551" t="s">
        <v>336</v>
      </c>
      <c r="J71" s="575">
        <f t="shared" ca="1" si="18"/>
        <v>0.15041776139081176</v>
      </c>
      <c r="K71" s="575">
        <f t="shared" ca="1" si="18"/>
        <v>0.15041776139081176</v>
      </c>
      <c r="L71" s="575">
        <f t="shared" ca="1" si="18"/>
        <v>0.15041776139081176</v>
      </c>
      <c r="M71" s="574" t="s">
        <v>336</v>
      </c>
      <c r="N71" s="133">
        <f t="shared" ca="1" si="19"/>
        <v>0.15041776139081176</v>
      </c>
      <c r="O71" s="133">
        <f t="shared" ca="1" si="19"/>
        <v>0.15041776139081176</v>
      </c>
      <c r="P71" s="551" t="s">
        <v>336</v>
      </c>
      <c r="Q71" s="573">
        <f t="shared" ca="1" si="20"/>
        <v>3112.6666618322124</v>
      </c>
      <c r="R71" s="573">
        <f t="shared" ca="1" si="20"/>
        <v>3112.6666618322124</v>
      </c>
      <c r="S71" s="573">
        <f t="shared" ca="1" si="20"/>
        <v>3112.6666618322124</v>
      </c>
      <c r="T71" s="572" t="s">
        <v>336</v>
      </c>
      <c r="U71" s="45">
        <f t="shared" ca="1" si="21"/>
        <v>3112.6666618322124</v>
      </c>
      <c r="V71" s="45">
        <f t="shared" ca="1" si="21"/>
        <v>3112.6666618322124</v>
      </c>
      <c r="W71" s="551" t="s">
        <v>336</v>
      </c>
    </row>
    <row r="72" spans="1:23" x14ac:dyDescent="0.25">
      <c r="A72" s="812" t="str">
        <f t="shared" si="22"/>
        <v>NP</v>
      </c>
      <c r="B72" s="812" t="s">
        <v>746</v>
      </c>
      <c r="C72" s="133">
        <f t="shared" ca="1" si="16"/>
        <v>1.3202671597883529E-4</v>
      </c>
      <c r="D72" s="575">
        <f t="shared" ca="1" si="16"/>
        <v>1.3202671597883529E-4</v>
      </c>
      <c r="E72" s="575">
        <f t="shared" ca="1" si="16"/>
        <v>1.3202671597883529E-4</v>
      </c>
      <c r="F72" s="574" t="s">
        <v>336</v>
      </c>
      <c r="G72" s="133">
        <f t="shared" ca="1" si="17"/>
        <v>1.3202671597883529E-4</v>
      </c>
      <c r="H72" s="133">
        <f t="shared" ca="1" si="17"/>
        <v>1.3202671597883529E-4</v>
      </c>
      <c r="I72" s="551" t="s">
        <v>336</v>
      </c>
      <c r="J72" s="575">
        <f t="shared" ca="1" si="18"/>
        <v>6.9491763740109095E-3</v>
      </c>
      <c r="K72" s="575">
        <f t="shared" ca="1" si="18"/>
        <v>6.9491763740109095E-3</v>
      </c>
      <c r="L72" s="575">
        <f t="shared" ca="1" si="18"/>
        <v>6.9491763740109095E-3</v>
      </c>
      <c r="M72" s="574" t="s">
        <v>336</v>
      </c>
      <c r="N72" s="133">
        <f t="shared" ca="1" si="19"/>
        <v>6.9491763740109095E-3</v>
      </c>
      <c r="O72" s="133">
        <f t="shared" ca="1" si="19"/>
        <v>6.9491763740109095E-3</v>
      </c>
      <c r="P72" s="551" t="s">
        <v>336</v>
      </c>
      <c r="Q72" s="573">
        <f t="shared" ca="1" si="20"/>
        <v>62.615453542997891</v>
      </c>
      <c r="R72" s="573">
        <f t="shared" ca="1" si="20"/>
        <v>62.615453542997891</v>
      </c>
      <c r="S72" s="573">
        <f t="shared" ca="1" si="20"/>
        <v>62.615453542997891</v>
      </c>
      <c r="T72" s="572" t="s">
        <v>336</v>
      </c>
      <c r="U72" s="45">
        <f t="shared" ca="1" si="21"/>
        <v>62.615453542997891</v>
      </c>
      <c r="V72" s="45">
        <f t="shared" ca="1" si="21"/>
        <v>62.615453542997891</v>
      </c>
      <c r="W72" s="551" t="s">
        <v>336</v>
      </c>
    </row>
    <row r="73" spans="1:23" x14ac:dyDescent="0.25">
      <c r="A73" s="812" t="str">
        <f t="shared" si="22"/>
        <v>NP</v>
      </c>
      <c r="B73" s="812" t="s">
        <v>747</v>
      </c>
      <c r="C73" s="133">
        <f t="shared" ca="1" si="16"/>
        <v>5.09872024676521E-4</v>
      </c>
      <c r="D73" s="575">
        <f t="shared" ca="1" si="16"/>
        <v>5.09872024676521E-4</v>
      </c>
      <c r="E73" s="575">
        <f t="shared" ca="1" si="16"/>
        <v>5.09872024676521E-4</v>
      </c>
      <c r="F73" s="574" t="s">
        <v>336</v>
      </c>
      <c r="G73" s="133">
        <f t="shared" ca="1" si="17"/>
        <v>5.09872024676521E-4</v>
      </c>
      <c r="H73" s="133">
        <f t="shared" ca="1" si="17"/>
        <v>5.09872024676521E-4</v>
      </c>
      <c r="I73" s="551" t="s">
        <v>336</v>
      </c>
      <c r="J73" s="575">
        <f t="shared" ca="1" si="18"/>
        <v>2.3510374144881146E-2</v>
      </c>
      <c r="K73" s="575">
        <f t="shared" ca="1" si="18"/>
        <v>2.3510374144881146E-2</v>
      </c>
      <c r="L73" s="575">
        <f t="shared" ca="1" si="18"/>
        <v>2.3510374144881146E-2</v>
      </c>
      <c r="M73" s="574" t="s">
        <v>336</v>
      </c>
      <c r="N73" s="133">
        <f t="shared" ca="1" si="19"/>
        <v>2.3510374144881146E-2</v>
      </c>
      <c r="O73" s="133">
        <f t="shared" ca="1" si="19"/>
        <v>2.3510374144881146E-2</v>
      </c>
      <c r="P73" s="551" t="s">
        <v>336</v>
      </c>
      <c r="Q73" s="573">
        <f t="shared" ca="1" si="20"/>
        <v>193.29162316274579</v>
      </c>
      <c r="R73" s="573">
        <f t="shared" ca="1" si="20"/>
        <v>193.29162316274579</v>
      </c>
      <c r="S73" s="573">
        <f t="shared" ca="1" si="20"/>
        <v>193.29162316274579</v>
      </c>
      <c r="T73" s="572" t="s">
        <v>336</v>
      </c>
      <c r="U73" s="45">
        <f t="shared" ca="1" si="21"/>
        <v>193.29162316274579</v>
      </c>
      <c r="V73" s="45">
        <f t="shared" ca="1" si="21"/>
        <v>193.29162316274579</v>
      </c>
      <c r="W73" s="551" t="s">
        <v>336</v>
      </c>
    </row>
    <row r="74" spans="1:23" x14ac:dyDescent="0.25">
      <c r="A74" s="812" t="str">
        <f t="shared" si="22"/>
        <v>NP</v>
      </c>
      <c r="B74" s="812" t="s">
        <v>149</v>
      </c>
      <c r="C74" s="133">
        <f t="shared" ca="1" si="16"/>
        <v>2.4048046671902948E-6</v>
      </c>
      <c r="D74" s="575">
        <f t="shared" ca="1" si="16"/>
        <v>2.4048046671902948E-6</v>
      </c>
      <c r="E74" s="575">
        <f t="shared" ca="1" si="16"/>
        <v>2.4048046671902948E-6</v>
      </c>
      <c r="F74" s="574" t="s">
        <v>336</v>
      </c>
      <c r="G74" s="133">
        <f t="shared" ca="1" si="17"/>
        <v>2.4048046671902948E-6</v>
      </c>
      <c r="H74" s="133">
        <f t="shared" ca="1" si="17"/>
        <v>2.4048046671902948E-6</v>
      </c>
      <c r="I74" s="551" t="s">
        <v>336</v>
      </c>
      <c r="J74" s="575">
        <f t="shared" ca="1" si="18"/>
        <v>2.121974217533103E-5</v>
      </c>
      <c r="K74" s="575">
        <f t="shared" ca="1" si="18"/>
        <v>2.121974217533103E-5</v>
      </c>
      <c r="L74" s="575">
        <f t="shared" ca="1" si="18"/>
        <v>2.121974217533103E-5</v>
      </c>
      <c r="M74" s="574" t="s">
        <v>336</v>
      </c>
      <c r="N74" s="133">
        <f t="shared" ca="1" si="19"/>
        <v>2.121974217533103E-5</v>
      </c>
      <c r="O74" s="133">
        <f t="shared" ca="1" si="19"/>
        <v>2.121974217533103E-5</v>
      </c>
      <c r="P74" s="551" t="s">
        <v>336</v>
      </c>
      <c r="Q74" s="573">
        <f t="shared" ca="1" si="20"/>
        <v>82.993794794912716</v>
      </c>
      <c r="R74" s="573">
        <f t="shared" ca="1" si="20"/>
        <v>82.993794794912716</v>
      </c>
      <c r="S74" s="573">
        <f t="shared" ca="1" si="20"/>
        <v>82.993794794912716</v>
      </c>
      <c r="T74" s="572" t="s">
        <v>336</v>
      </c>
      <c r="U74" s="45">
        <f t="shared" ca="1" si="21"/>
        <v>82.993794794912716</v>
      </c>
      <c r="V74" s="45">
        <f t="shared" ca="1" si="21"/>
        <v>82.993794794912716</v>
      </c>
      <c r="W74" s="551" t="s">
        <v>336</v>
      </c>
    </row>
    <row r="75" spans="1:23" x14ac:dyDescent="0.25">
      <c r="A75" s="812" t="str">
        <f t="shared" si="22"/>
        <v>NP</v>
      </c>
      <c r="B75" s="812" t="s">
        <v>150</v>
      </c>
      <c r="C75" s="133">
        <f t="shared" ca="1" si="16"/>
        <v>4.1413905696135933E-3</v>
      </c>
      <c r="D75" s="575">
        <f t="shared" ca="1" si="16"/>
        <v>4.1413905696135933E-3</v>
      </c>
      <c r="E75" s="575">
        <f t="shared" ca="1" si="16"/>
        <v>4.1413905696135933E-3</v>
      </c>
      <c r="F75" s="574" t="s">
        <v>336</v>
      </c>
      <c r="G75" s="133">
        <f t="shared" ca="1" si="17"/>
        <v>4.1413905696135933E-3</v>
      </c>
      <c r="H75" s="133">
        <f t="shared" ca="1" si="17"/>
        <v>4.1413905696135933E-3</v>
      </c>
      <c r="I75" s="551" t="s">
        <v>336</v>
      </c>
      <c r="J75" s="575">
        <f t="shared" ca="1" si="18"/>
        <v>2.3816544949913817E-4</v>
      </c>
      <c r="K75" s="575">
        <f t="shared" ca="1" si="18"/>
        <v>2.3816544949913817E-4</v>
      </c>
      <c r="L75" s="575">
        <f t="shared" ca="1" si="18"/>
        <v>2.3816544949913817E-4</v>
      </c>
      <c r="M75" s="574" t="s">
        <v>336</v>
      </c>
      <c r="N75" s="133">
        <f t="shared" ca="1" si="19"/>
        <v>2.3816544949913817E-4</v>
      </c>
      <c r="O75" s="133">
        <f t="shared" ca="1" si="19"/>
        <v>2.3816544949913817E-4</v>
      </c>
      <c r="P75" s="551" t="s">
        <v>336</v>
      </c>
      <c r="Q75" s="573">
        <f t="shared" ca="1" si="20"/>
        <v>765.90274257622434</v>
      </c>
      <c r="R75" s="573">
        <f t="shared" ca="1" si="20"/>
        <v>765.90274257622434</v>
      </c>
      <c r="S75" s="573">
        <f t="shared" ca="1" si="20"/>
        <v>765.90274257622434</v>
      </c>
      <c r="T75" s="572" t="s">
        <v>336</v>
      </c>
      <c r="U75" s="45">
        <f t="shared" ca="1" si="21"/>
        <v>765.90274257622434</v>
      </c>
      <c r="V75" s="45">
        <f t="shared" ca="1" si="21"/>
        <v>765.90274257622434</v>
      </c>
      <c r="W75" s="551" t="s">
        <v>336</v>
      </c>
    </row>
    <row r="76" spans="1:23" x14ac:dyDescent="0.25">
      <c r="A76" s="812" t="str">
        <f t="shared" si="22"/>
        <v>NP</v>
      </c>
      <c r="B76" s="812" t="s">
        <v>151</v>
      </c>
      <c r="C76" s="133">
        <f t="shared" ref="C76:E79" ca="1" si="23">C22*C$33/C$26</f>
        <v>3.939768430242236E-2</v>
      </c>
      <c r="D76" s="575">
        <f t="shared" ca="1" si="23"/>
        <v>3.939768430242236E-2</v>
      </c>
      <c r="E76" s="575">
        <f t="shared" ca="1" si="23"/>
        <v>3.939768430242236E-2</v>
      </c>
      <c r="F76" s="574" t="s">
        <v>336</v>
      </c>
      <c r="G76" s="133">
        <f t="shared" ref="G76:H79" ca="1" si="24">G22*G$33/G$26</f>
        <v>3.939768430242236E-2</v>
      </c>
      <c r="H76" s="133">
        <f t="shared" ca="1" si="24"/>
        <v>3.939768430242236E-2</v>
      </c>
      <c r="I76" s="551" t="s">
        <v>336</v>
      </c>
      <c r="J76" s="575">
        <f t="shared" ref="J76:L79" ca="1" si="25">J22*J$33/J$26</f>
        <v>3.3404253871057485E-2</v>
      </c>
      <c r="K76" s="575">
        <f t="shared" ca="1" si="25"/>
        <v>3.3404253871057485E-2</v>
      </c>
      <c r="L76" s="575">
        <f t="shared" ca="1" si="25"/>
        <v>3.3404253871057485E-2</v>
      </c>
      <c r="M76" s="574" t="s">
        <v>336</v>
      </c>
      <c r="N76" s="133">
        <f t="shared" ref="N76:O79" ca="1" si="26">N22*N$33/N$26</f>
        <v>3.3404253871057485E-2</v>
      </c>
      <c r="O76" s="133">
        <f t="shared" ca="1" si="26"/>
        <v>3.3404253871057485E-2</v>
      </c>
      <c r="P76" s="551" t="s">
        <v>336</v>
      </c>
      <c r="Q76" s="573">
        <f t="shared" ref="Q76:S79" ca="1" si="27">Q22*Q$33/Q$26</f>
        <v>103.78688773567347</v>
      </c>
      <c r="R76" s="573">
        <f t="shared" ca="1" si="27"/>
        <v>103.78688773567347</v>
      </c>
      <c r="S76" s="573">
        <f t="shared" ca="1" si="27"/>
        <v>103.78688773567347</v>
      </c>
      <c r="T76" s="572" t="s">
        <v>336</v>
      </c>
      <c r="U76" s="45">
        <f t="shared" ref="U76:V79" ca="1" si="28">U22*U$33/U$26</f>
        <v>103.78688773567347</v>
      </c>
      <c r="V76" s="45">
        <f t="shared" ca="1" si="28"/>
        <v>103.78688773567347</v>
      </c>
      <c r="W76" s="551" t="s">
        <v>336</v>
      </c>
    </row>
    <row r="77" spans="1:23" x14ac:dyDescent="0.25">
      <c r="A77" s="812" t="str">
        <f t="shared" si="22"/>
        <v>NP</v>
      </c>
      <c r="B77" s="812" t="s">
        <v>152</v>
      </c>
      <c r="C77" s="133">
        <f t="shared" ca="1" si="23"/>
        <v>1.0807965273037663E-4</v>
      </c>
      <c r="D77" s="575">
        <f t="shared" ca="1" si="23"/>
        <v>1.0807965273037663E-4</v>
      </c>
      <c r="E77" s="575">
        <f t="shared" ca="1" si="23"/>
        <v>1.0807965273037663E-4</v>
      </c>
      <c r="F77" s="574" t="s">
        <v>336</v>
      </c>
      <c r="G77" s="133">
        <f t="shared" ca="1" si="24"/>
        <v>1.0807965273037663E-4</v>
      </c>
      <c r="H77" s="133">
        <f t="shared" ca="1" si="24"/>
        <v>1.0807965273037663E-4</v>
      </c>
      <c r="I77" s="551" t="s">
        <v>336</v>
      </c>
      <c r="J77" s="575">
        <f t="shared" ca="1" si="25"/>
        <v>9.1637877251563577E-5</v>
      </c>
      <c r="K77" s="575">
        <f t="shared" ca="1" si="25"/>
        <v>9.1637877251563577E-5</v>
      </c>
      <c r="L77" s="575">
        <f t="shared" ca="1" si="25"/>
        <v>9.1637877251563577E-5</v>
      </c>
      <c r="M77" s="574" t="s">
        <v>336</v>
      </c>
      <c r="N77" s="133">
        <f t="shared" ca="1" si="26"/>
        <v>9.1637877251563577E-5</v>
      </c>
      <c r="O77" s="133">
        <f t="shared" ca="1" si="26"/>
        <v>9.1637877251563577E-5</v>
      </c>
      <c r="P77" s="551" t="s">
        <v>336</v>
      </c>
      <c r="Q77" s="573">
        <f t="shared" ca="1" si="27"/>
        <v>4.3043264371846588</v>
      </c>
      <c r="R77" s="573">
        <f t="shared" ca="1" si="27"/>
        <v>4.3043264371846588</v>
      </c>
      <c r="S77" s="573">
        <f t="shared" ca="1" si="27"/>
        <v>4.3043264371846588</v>
      </c>
      <c r="T77" s="572" t="s">
        <v>336</v>
      </c>
      <c r="U77" s="45">
        <f t="shared" ca="1" si="28"/>
        <v>4.3043264371846588</v>
      </c>
      <c r="V77" s="45">
        <f t="shared" ca="1" si="28"/>
        <v>4.3043264371846588</v>
      </c>
      <c r="W77" s="551" t="s">
        <v>336</v>
      </c>
    </row>
    <row r="78" spans="1:23" x14ac:dyDescent="0.25">
      <c r="A78" s="812" t="str">
        <f t="shared" si="22"/>
        <v>NP</v>
      </c>
      <c r="B78" s="812" t="s">
        <v>153</v>
      </c>
      <c r="C78" s="133">
        <f t="shared" ca="1" si="23"/>
        <v>1.0586807548071956E-4</v>
      </c>
      <c r="D78" s="575">
        <f t="shared" ca="1" si="23"/>
        <v>1.0586807548071956E-4</v>
      </c>
      <c r="E78" s="575">
        <f t="shared" ca="1" si="23"/>
        <v>1.0586807548071956E-4</v>
      </c>
      <c r="F78" s="574" t="s">
        <v>336</v>
      </c>
      <c r="G78" s="133">
        <f t="shared" ca="1" si="24"/>
        <v>1.0586807548071956E-4</v>
      </c>
      <c r="H78" s="133">
        <f t="shared" ca="1" si="24"/>
        <v>1.0586807548071956E-4</v>
      </c>
      <c r="I78" s="551" t="s">
        <v>336</v>
      </c>
      <c r="J78" s="575">
        <f t="shared" ca="1" si="25"/>
        <v>2.2557871680804979E-6</v>
      </c>
      <c r="K78" s="575">
        <f t="shared" ca="1" si="25"/>
        <v>2.2557871680804979E-6</v>
      </c>
      <c r="L78" s="575">
        <f t="shared" ca="1" si="25"/>
        <v>2.2557871680804979E-6</v>
      </c>
      <c r="M78" s="574" t="s">
        <v>336</v>
      </c>
      <c r="N78" s="133">
        <f t="shared" ca="1" si="26"/>
        <v>2.2557871680804979E-6</v>
      </c>
      <c r="O78" s="133">
        <f t="shared" ca="1" si="26"/>
        <v>2.2557871680804979E-6</v>
      </c>
      <c r="P78" s="551" t="s">
        <v>336</v>
      </c>
      <c r="Q78" s="573">
        <f t="shared" ca="1" si="27"/>
        <v>2.2459747185052783</v>
      </c>
      <c r="R78" s="573">
        <f t="shared" ca="1" si="27"/>
        <v>2.2459747185052783</v>
      </c>
      <c r="S78" s="573">
        <f t="shared" ca="1" si="27"/>
        <v>2.2459747185052783</v>
      </c>
      <c r="T78" s="572" t="s">
        <v>336</v>
      </c>
      <c r="U78" s="45">
        <f t="shared" ca="1" si="28"/>
        <v>2.2459747185052783</v>
      </c>
      <c r="V78" s="45">
        <f t="shared" ca="1" si="28"/>
        <v>2.2459747185052783</v>
      </c>
      <c r="W78" s="551" t="s">
        <v>336</v>
      </c>
    </row>
    <row r="79" spans="1:23" ht="15.75" thickBot="1" x14ac:dyDescent="0.3">
      <c r="A79" s="6" t="str">
        <f>A76</f>
        <v>NP</v>
      </c>
      <c r="B79" s="6" t="s">
        <v>154</v>
      </c>
      <c r="C79" s="544">
        <f t="shared" ca="1" si="23"/>
        <v>9.7192269108393558E-4</v>
      </c>
      <c r="D79" s="571">
        <f t="shared" ca="1" si="23"/>
        <v>9.7192269108393558E-4</v>
      </c>
      <c r="E79" s="571">
        <f t="shared" ca="1" si="23"/>
        <v>9.7192269108393558E-4</v>
      </c>
      <c r="F79" s="570" t="s">
        <v>336</v>
      </c>
      <c r="G79" s="544">
        <f t="shared" ca="1" si="24"/>
        <v>9.7192269108393558E-4</v>
      </c>
      <c r="H79" s="544">
        <f t="shared" ca="1" si="24"/>
        <v>9.7192269108393558E-4</v>
      </c>
      <c r="I79" s="542" t="s">
        <v>336</v>
      </c>
      <c r="J79" s="571">
        <f t="shared" ca="1" si="25"/>
        <v>5.0288367125994309E-3</v>
      </c>
      <c r="K79" s="571">
        <f t="shared" ca="1" si="25"/>
        <v>5.0288367125994309E-3</v>
      </c>
      <c r="L79" s="571">
        <f t="shared" ca="1" si="25"/>
        <v>5.0288367125994309E-3</v>
      </c>
      <c r="M79" s="570" t="s">
        <v>336</v>
      </c>
      <c r="N79" s="544">
        <f t="shared" ca="1" si="26"/>
        <v>5.0288367125994309E-3</v>
      </c>
      <c r="O79" s="544">
        <f t="shared" ca="1" si="26"/>
        <v>5.0288367125994309E-3</v>
      </c>
      <c r="P79" s="542" t="s">
        <v>336</v>
      </c>
      <c r="Q79" s="569">
        <f t="shared" ca="1" si="27"/>
        <v>35.818215825285975</v>
      </c>
      <c r="R79" s="569">
        <f t="shared" ca="1" si="27"/>
        <v>35.818215825285975</v>
      </c>
      <c r="S79" s="569">
        <f t="shared" ca="1" si="27"/>
        <v>35.818215825285975</v>
      </c>
      <c r="T79" s="568" t="s">
        <v>336</v>
      </c>
      <c r="U79" s="567">
        <f t="shared" ca="1" si="28"/>
        <v>35.818215825285975</v>
      </c>
      <c r="V79" s="567">
        <f t="shared" ca="1" si="28"/>
        <v>35.818215825285975</v>
      </c>
      <c r="W79" s="542" t="s">
        <v>336</v>
      </c>
    </row>
    <row r="80" spans="1:23" ht="15.75" thickTop="1" x14ac:dyDescent="0.25">
      <c r="C80" s="137">
        <f ca="1">SUM(C40:C79)</f>
        <v>2.163489799115319</v>
      </c>
      <c r="D80" s="137">
        <f ca="1">SUM(D40:D79)</f>
        <v>2.163489799115319</v>
      </c>
      <c r="E80" s="137">
        <f ca="1">SUM(E40:E79)</f>
        <v>2.163489799115319</v>
      </c>
      <c r="F80" s="566" t="s">
        <v>336</v>
      </c>
      <c r="G80" s="137">
        <f ca="1">SUM(G40:G79)</f>
        <v>2.163489799115319</v>
      </c>
      <c r="H80" s="137">
        <f ca="1">SUM(H40:H79)</f>
        <v>2.163489799115319</v>
      </c>
      <c r="I80" s="566" t="s">
        <v>336</v>
      </c>
      <c r="J80" s="137">
        <f ca="1">SUM(J40:J79)</f>
        <v>3.1542483346313914</v>
      </c>
      <c r="K80" s="137">
        <f ca="1">SUM(K40:K79)</f>
        <v>3.1542483346313914</v>
      </c>
      <c r="L80" s="137">
        <f ca="1">SUM(L40:L79)</f>
        <v>3.1542483346313914</v>
      </c>
      <c r="M80" s="566" t="s">
        <v>336</v>
      </c>
      <c r="N80" s="137">
        <f ca="1">SUM(N40:N79)</f>
        <v>3.1542483346313914</v>
      </c>
      <c r="O80" s="137">
        <f ca="1">SUM(O40:O79)</f>
        <v>3.1542483346313914</v>
      </c>
      <c r="P80" s="566" t="s">
        <v>336</v>
      </c>
      <c r="Q80" s="87">
        <f ca="1">SUM(Q40:Q79)</f>
        <v>40266.397538606099</v>
      </c>
      <c r="R80" s="87">
        <f ca="1">SUM(R40:R79)</f>
        <v>40266.397538606099</v>
      </c>
      <c r="S80" s="87">
        <f ca="1">SUM(S40:S79)</f>
        <v>40266.397538606099</v>
      </c>
      <c r="T80" s="566" t="s">
        <v>336</v>
      </c>
      <c r="U80" s="87">
        <f ca="1">SUM(U40:U79)</f>
        <v>40266.397538606099</v>
      </c>
      <c r="V80" s="87">
        <f ca="1">SUM(V40:V79)</f>
        <v>40266.397538606099</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2"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0.12517290927090036</v>
      </c>
      <c r="N91" s="557" t="s">
        <v>336</v>
      </c>
      <c r="O91" s="559">
        <f t="shared" ref="O91:P100" ca="1" si="35">(1-$N$84)*(1-G91)*G60</f>
        <v>0</v>
      </c>
      <c r="P91" s="559">
        <f t="shared" ca="1" si="35"/>
        <v>0.13665000419815532</v>
      </c>
      <c r="Q91" s="557" t="s">
        <v>336</v>
      </c>
      <c r="R91" s="558">
        <f t="shared" ref="R91:S100" ca="1" si="36">(1-$N$84)*(1-D91)*D40/$J91</f>
        <v>0</v>
      </c>
      <c r="S91" s="558">
        <f t="shared" ca="1" si="36"/>
        <v>1.8400918633703821E-5</v>
      </c>
      <c r="T91" s="557" t="s">
        <v>336</v>
      </c>
      <c r="U91" s="558">
        <f t="shared" ref="U91:V100" ca="1" si="37">(1-$N$84)*(1-G91)*G60/$J91</f>
        <v>0</v>
      </c>
      <c r="V91" s="558">
        <f t="shared" ca="1" si="37"/>
        <v>2.0088097521993907E-5</v>
      </c>
      <c r="W91" s="557" t="s">
        <v>336</v>
      </c>
      <c r="X91" s="559">
        <f t="shared" ref="X91:Y100" ca="1" si="38">(1-$N$84)*(1-D91)*K40</f>
        <v>0</v>
      </c>
      <c r="Y91" s="559">
        <f t="shared" ca="1" si="38"/>
        <v>1.7211507068249613E-3</v>
      </c>
      <c r="Z91" s="557" t="s">
        <v>336</v>
      </c>
      <c r="AA91" s="559">
        <f t="shared" ref="AA91:AB100" ca="1" si="39">(1-$N$84)*(1-G91)*N60</f>
        <v>0</v>
      </c>
      <c r="AB91" s="559">
        <f t="shared" ca="1" si="39"/>
        <v>1.1507697905584491E-3</v>
      </c>
      <c r="AC91" s="557" t="s">
        <v>336</v>
      </c>
      <c r="AD91" s="558">
        <f t="shared" ref="AD91:AE110" ca="1" si="40">(1-$N$84)*(1-D91)*K40/$K91</f>
        <v>0</v>
      </c>
      <c r="AE91" s="558">
        <f t="shared" ca="1" si="40"/>
        <v>1.3853758466797724E-3</v>
      </c>
      <c r="AF91" s="557" t="s">
        <v>336</v>
      </c>
      <c r="AG91" s="558">
        <f t="shared" ref="AG91:AH100" ca="1" si="41">(1-$N$84)*(1-G91)*N60/$K91</f>
        <v>0</v>
      </c>
      <c r="AH91" s="558">
        <f t="shared" ca="1" si="41"/>
        <v>9.2626907487337689E-4</v>
      </c>
      <c r="AI91" s="557" t="s">
        <v>336</v>
      </c>
      <c r="AJ91" s="507">
        <f t="shared" ref="AJ91:AK110" ca="1" si="42">L91-R91</f>
        <v>0</v>
      </c>
      <c r="AK91" s="507">
        <f t="shared" ca="1" si="42"/>
        <v>0.12515450835226666</v>
      </c>
      <c r="AL91" s="507">
        <f t="shared" ref="AL91:AM110" ca="1" si="43">O91-U91</f>
        <v>0</v>
      </c>
      <c r="AM91" s="507">
        <f t="shared" ca="1" si="43"/>
        <v>0.13662991610063333</v>
      </c>
      <c r="AN91" s="507">
        <f t="shared" ref="AN91:AO110" ca="1" si="44">X91-AD91</f>
        <v>0</v>
      </c>
      <c r="AO91" s="507">
        <f t="shared" ca="1" si="44"/>
        <v>3.3577486014518885E-4</v>
      </c>
      <c r="AP91" s="507">
        <f t="shared" ref="AP91:AQ110" ca="1" si="45">AA91-AG91</f>
        <v>0</v>
      </c>
      <c r="AQ91" s="507">
        <f t="shared" ca="1" si="45"/>
        <v>2.2450071568507217E-4</v>
      </c>
      <c r="AR91" s="812" t="s">
        <v>137</v>
      </c>
      <c r="AS91" s="812">
        <v>2104008100</v>
      </c>
      <c r="AT91" s="507">
        <f t="shared" ref="AT91:AU100" ca="1" si="46">AJ91/$C40</f>
        <v>0</v>
      </c>
      <c r="AU91" s="507">
        <f t="shared" ca="1" si="46"/>
        <v>0.47992943807892924</v>
      </c>
      <c r="AV91" s="507">
        <f t="shared" ref="AV91:AW100" ca="1" si="47">AL91/$C60</f>
        <v>0</v>
      </c>
      <c r="AW91" s="507">
        <f t="shared" ca="1" si="47"/>
        <v>0.47992943807892913</v>
      </c>
      <c r="AX91" s="507">
        <f t="shared" ref="AX91:AY100" ca="1" si="48">AN91/$J40</f>
        <v>0</v>
      </c>
      <c r="AY91" s="507">
        <f t="shared" ca="1" si="48"/>
        <v>9.3641964199060471E-2</v>
      </c>
      <c r="AZ91" s="507">
        <f t="shared" ref="AZ91:BA100" ca="1" si="49">AP91/$J60</f>
        <v>0</v>
      </c>
      <c r="BA91" s="507">
        <f t="shared" ca="1" si="49"/>
        <v>9.3641964199060498E-2</v>
      </c>
      <c r="BB91" s="550">
        <f ca="1">1-((1-AT91))</f>
        <v>0</v>
      </c>
      <c r="BC91" s="550">
        <f ca="1">1-((1-AU91))</f>
        <v>0.47992943807892918</v>
      </c>
      <c r="BD91" s="550">
        <f ca="1">1-((1-AX91))</f>
        <v>0</v>
      </c>
      <c r="BE91" s="550">
        <f ca="1">1-((1-AY91))</f>
        <v>9.3641964199060457E-2</v>
      </c>
    </row>
    <row r="92" spans="1:57" x14ac:dyDescent="0.25">
      <c r="A92" s="60">
        <f t="shared" si="29"/>
        <v>0.4</v>
      </c>
      <c r="B92" s="812"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9.7690028241205849E-3</v>
      </c>
      <c r="M92" s="559">
        <f t="shared" ca="1" si="34"/>
        <v>9.7690028241205849E-3</v>
      </c>
      <c r="N92" s="557" t="s">
        <v>336</v>
      </c>
      <c r="O92" s="559">
        <f t="shared" ca="1" si="35"/>
        <v>1.0664721981006228E-2</v>
      </c>
      <c r="P92" s="559">
        <f t="shared" ca="1" si="35"/>
        <v>1.0664721981006228E-2</v>
      </c>
      <c r="Q92" s="557" t="s">
        <v>336</v>
      </c>
      <c r="R92" s="558">
        <f t="shared" ca="1" si="36"/>
        <v>9.2788898129007434E-6</v>
      </c>
      <c r="S92" s="558">
        <f t="shared" ca="1" si="36"/>
        <v>9.2788898129007434E-6</v>
      </c>
      <c r="T92" s="557" t="s">
        <v>336</v>
      </c>
      <c r="U92" s="558">
        <f t="shared" ca="1" si="37"/>
        <v>1.0129670543511744E-5</v>
      </c>
      <c r="V92" s="558">
        <f t="shared" ca="1" si="37"/>
        <v>1.0129670543511744E-5</v>
      </c>
      <c r="W92" s="557" t="s">
        <v>336</v>
      </c>
      <c r="X92" s="559">
        <f t="shared" ca="1" si="38"/>
        <v>1.5188450172728309E-4</v>
      </c>
      <c r="Y92" s="559">
        <f t="shared" ca="1" si="38"/>
        <v>1.5188450172728309E-4</v>
      </c>
      <c r="Z92" s="557" t="s">
        <v>336</v>
      </c>
      <c r="AA92" s="559">
        <f t="shared" ca="1" si="39"/>
        <v>1.0155072158916719E-4</v>
      </c>
      <c r="AB92" s="559">
        <f t="shared" ca="1" si="39"/>
        <v>1.0155072158916719E-4</v>
      </c>
      <c r="AC92" s="557" t="s">
        <v>336</v>
      </c>
      <c r="AD92" s="558">
        <f t="shared" ca="1" si="40"/>
        <v>6.9859283042806555E-4</v>
      </c>
      <c r="AE92" s="558">
        <f t="shared" ca="1" si="40"/>
        <v>6.9859283042806555E-4</v>
      </c>
      <c r="AF92" s="557" t="s">
        <v>336</v>
      </c>
      <c r="AG92" s="558">
        <f t="shared" ca="1" si="41"/>
        <v>4.6708258723046072E-4</v>
      </c>
      <c r="AH92" s="558">
        <f t="shared" ca="1" si="41"/>
        <v>4.6708258723046072E-4</v>
      </c>
      <c r="AI92" s="557" t="s">
        <v>336</v>
      </c>
      <c r="AJ92" s="507">
        <f t="shared" ca="1" si="42"/>
        <v>9.7597239343076847E-3</v>
      </c>
      <c r="AK92" s="507">
        <f t="shared" ca="1" si="42"/>
        <v>9.7597239343076847E-3</v>
      </c>
      <c r="AL92" s="507">
        <f t="shared" ca="1" si="43"/>
        <v>1.0654592310462715E-2</v>
      </c>
      <c r="AM92" s="507">
        <f t="shared" ca="1" si="43"/>
        <v>1.0654592310462715E-2</v>
      </c>
      <c r="AN92" s="507">
        <f t="shared" ca="1" si="44"/>
        <v>-5.4670832870078244E-4</v>
      </c>
      <c r="AO92" s="507">
        <f t="shared" ca="1" si="44"/>
        <v>-5.4670832870078244E-4</v>
      </c>
      <c r="AP92" s="507">
        <f t="shared" ca="1" si="45"/>
        <v>-3.6553186564129356E-4</v>
      </c>
      <c r="AQ92" s="507">
        <f t="shared" ca="1" si="45"/>
        <v>-3.6553186564129356E-4</v>
      </c>
      <c r="AR92" s="812" t="s">
        <v>138</v>
      </c>
      <c r="AS92" s="812">
        <v>2104008210</v>
      </c>
      <c r="AT92" s="507">
        <f t="shared" ca="1" si="46"/>
        <v>0.47954408170512597</v>
      </c>
      <c r="AU92" s="507">
        <f t="shared" ca="1" si="46"/>
        <v>0.47954408170512597</v>
      </c>
      <c r="AV92" s="507">
        <f t="shared" ca="1" si="47"/>
        <v>0.47954408170512597</v>
      </c>
      <c r="AW92" s="507">
        <f t="shared" ca="1" si="47"/>
        <v>0.47954408170512597</v>
      </c>
      <c r="AX92" s="507">
        <f t="shared" ca="1" si="48"/>
        <v>-1.7277602045767972</v>
      </c>
      <c r="AY92" s="507">
        <f t="shared" ca="1" si="48"/>
        <v>-1.7277602045767972</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2"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4.9635759520874918E-3</v>
      </c>
      <c r="M93" s="559">
        <f t="shared" ca="1" si="34"/>
        <v>8.065810922142173E-3</v>
      </c>
      <c r="N93" s="557" t="s">
        <v>336</v>
      </c>
      <c r="O93" s="559">
        <f t="shared" ca="1" si="35"/>
        <v>5.4186858693417023E-3</v>
      </c>
      <c r="P93" s="559">
        <f t="shared" ca="1" si="35"/>
        <v>8.8053645376802644E-3</v>
      </c>
      <c r="Q93" s="557" t="s">
        <v>336</v>
      </c>
      <c r="R93" s="558">
        <f t="shared" ca="1" si="36"/>
        <v>1.9836478631787746E-5</v>
      </c>
      <c r="S93" s="558">
        <f t="shared" ca="1" si="36"/>
        <v>3.2234277776655081E-5</v>
      </c>
      <c r="T93" s="557" t="s">
        <v>336</v>
      </c>
      <c r="U93" s="558">
        <f t="shared" ca="1" si="37"/>
        <v>2.1655283911664864E-5</v>
      </c>
      <c r="V93" s="558">
        <f t="shared" ca="1" si="37"/>
        <v>3.5189836356455396E-5</v>
      </c>
      <c r="W93" s="557" t="s">
        <v>336</v>
      </c>
      <c r="X93" s="559">
        <f t="shared" ca="1" si="38"/>
        <v>1.9678775800305976E-4</v>
      </c>
      <c r="Y93" s="559">
        <f t="shared" ca="1" si="38"/>
        <v>3.1978010675497208E-4</v>
      </c>
      <c r="Z93" s="557" t="s">
        <v>336</v>
      </c>
      <c r="AA93" s="559">
        <f t="shared" ca="1" si="39"/>
        <v>1.315732586133599E-4</v>
      </c>
      <c r="AB93" s="559">
        <f t="shared" ca="1" si="39"/>
        <v>2.1380654524670982E-4</v>
      </c>
      <c r="AC93" s="557" t="s">
        <v>336</v>
      </c>
      <c r="AD93" s="558">
        <f t="shared" ca="1" si="40"/>
        <v>1.4934568717304656E-3</v>
      </c>
      <c r="AE93" s="558">
        <f t="shared" ca="1" si="40"/>
        <v>2.4268674165620063E-3</v>
      </c>
      <c r="AF93" s="557" t="s">
        <v>336</v>
      </c>
      <c r="AG93" s="558">
        <f t="shared" ca="1" si="41"/>
        <v>9.9853257746366901E-4</v>
      </c>
      <c r="AH93" s="558">
        <f t="shared" ca="1" si="41"/>
        <v>1.6226154383784618E-3</v>
      </c>
      <c r="AI93" s="557" t="s">
        <v>336</v>
      </c>
      <c r="AJ93" s="507">
        <f t="shared" ca="1" si="42"/>
        <v>4.9437394734557043E-3</v>
      </c>
      <c r="AK93" s="507">
        <f t="shared" ca="1" si="42"/>
        <v>8.0335766443655181E-3</v>
      </c>
      <c r="AL93" s="507">
        <f t="shared" ca="1" si="43"/>
        <v>5.3970305854300375E-3</v>
      </c>
      <c r="AM93" s="507">
        <f t="shared" ca="1" si="43"/>
        <v>8.7701747013238084E-3</v>
      </c>
      <c r="AN93" s="507">
        <f t="shared" ca="1" si="44"/>
        <v>-1.2966691137274058E-3</v>
      </c>
      <c r="AO93" s="507">
        <f t="shared" ca="1" si="44"/>
        <v>-2.1070873098070343E-3</v>
      </c>
      <c r="AP93" s="507">
        <f t="shared" ca="1" si="45"/>
        <v>-8.6695931885030905E-4</v>
      </c>
      <c r="AQ93" s="507">
        <f t="shared" ca="1" si="45"/>
        <v>-1.408808893131752E-3</v>
      </c>
      <c r="AR93" s="812" t="s">
        <v>139</v>
      </c>
      <c r="AS93" s="812">
        <v>2104008220</v>
      </c>
      <c r="AT93" s="507">
        <f t="shared" ca="1" si="46"/>
        <v>0.29420413770727244</v>
      </c>
      <c r="AU93" s="507">
        <f t="shared" ca="1" si="46"/>
        <v>0.47808172377431762</v>
      </c>
      <c r="AV93" s="507">
        <f t="shared" ca="1" si="47"/>
        <v>0.29420413770727244</v>
      </c>
      <c r="AW93" s="507">
        <f t="shared" ca="1" si="47"/>
        <v>0.47808172377431757</v>
      </c>
      <c r="AX93" s="507">
        <f t="shared" ca="1" si="48"/>
        <v>-1.9463411308010561</v>
      </c>
      <c r="AY93" s="507">
        <f t="shared" ca="1" si="48"/>
        <v>-3.1628043375517159</v>
      </c>
      <c r="AZ93" s="507">
        <f t="shared" ca="1" si="49"/>
        <v>-1.9463411308010559</v>
      </c>
      <c r="BA93" s="507">
        <f t="shared" ca="1" si="49"/>
        <v>-3.1628043375517154</v>
      </c>
      <c r="BB93" s="550">
        <f t="shared" ca="1" si="50"/>
        <v>0.29420413770727238</v>
      </c>
      <c r="BC93" s="550">
        <f t="shared" ca="1" si="50"/>
        <v>0.47808172377431757</v>
      </c>
      <c r="BD93" s="550">
        <f t="shared" ca="1" si="51"/>
        <v>-1.9463411308010561</v>
      </c>
      <c r="BE93" s="550">
        <f t="shared" ca="1" si="51"/>
        <v>-3.1628043375517159</v>
      </c>
    </row>
    <row r="94" spans="1:57" x14ac:dyDescent="0.25">
      <c r="A94" s="60">
        <f t="shared" si="29"/>
        <v>0.7</v>
      </c>
      <c r="B94" s="812"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3.2374724918153145E-3</v>
      </c>
      <c r="M94" s="559">
        <f t="shared" ca="1" si="34"/>
        <v>5.2608927991998856E-3</v>
      </c>
      <c r="N94" s="557" t="s">
        <v>336</v>
      </c>
      <c r="O94" s="559">
        <f t="shared" ca="1" si="35"/>
        <v>3.5343161086120295E-3</v>
      </c>
      <c r="P94" s="559">
        <f t="shared" ca="1" si="35"/>
        <v>5.7432636764945472E-3</v>
      </c>
      <c r="Q94" s="557" t="s">
        <v>336</v>
      </c>
      <c r="R94" s="558">
        <f t="shared" ca="1" si="36"/>
        <v>1.266683146458322E-5</v>
      </c>
      <c r="S94" s="558">
        <f t="shared" ca="1" si="36"/>
        <v>2.0583601129947729E-5</v>
      </c>
      <c r="T94" s="557" t="s">
        <v>336</v>
      </c>
      <c r="U94" s="558">
        <f t="shared" ca="1" si="37"/>
        <v>1.382825231829153E-5</v>
      </c>
      <c r="V94" s="558">
        <f t="shared" ca="1" si="37"/>
        <v>2.2470910017223733E-5</v>
      </c>
      <c r="W94" s="557" t="s">
        <v>336</v>
      </c>
      <c r="X94" s="559">
        <f t="shared" ca="1" si="38"/>
        <v>1.1848063872511008E-4</v>
      </c>
      <c r="Y94" s="559">
        <f t="shared" ca="1" si="38"/>
        <v>1.9253103792830385E-4</v>
      </c>
      <c r="Z94" s="557" t="s">
        <v>336</v>
      </c>
      <c r="AA94" s="559">
        <f t="shared" ca="1" si="39"/>
        <v>7.921673521689589E-5</v>
      </c>
      <c r="AB94" s="559">
        <f t="shared" ca="1" si="39"/>
        <v>1.2872719472745582E-4</v>
      </c>
      <c r="AC94" s="557" t="s">
        <v>336</v>
      </c>
      <c r="AD94" s="558">
        <f t="shared" ca="1" si="40"/>
        <v>9.5366555954738035E-4</v>
      </c>
      <c r="AE94" s="558">
        <f t="shared" ca="1" si="40"/>
        <v>1.5497065342644928E-3</v>
      </c>
      <c r="AF94" s="557" t="s">
        <v>336</v>
      </c>
      <c r="AG94" s="558">
        <f t="shared" ca="1" si="41"/>
        <v>6.3762546293672927E-4</v>
      </c>
      <c r="AH94" s="558">
        <f t="shared" ca="1" si="41"/>
        <v>1.036141377272185E-3</v>
      </c>
      <c r="AI94" s="557" t="s">
        <v>336</v>
      </c>
      <c r="AJ94" s="507">
        <f t="shared" ca="1" si="42"/>
        <v>3.2248056603507314E-3</v>
      </c>
      <c r="AK94" s="507">
        <f t="shared" ca="1" si="42"/>
        <v>5.2403091980699375E-3</v>
      </c>
      <c r="AL94" s="507">
        <f t="shared" ca="1" si="43"/>
        <v>3.5204878562937378E-3</v>
      </c>
      <c r="AM94" s="507">
        <f t="shared" ca="1" si="43"/>
        <v>5.7207927664773232E-3</v>
      </c>
      <c r="AN94" s="507">
        <f t="shared" ca="1" si="44"/>
        <v>-8.3518492082227031E-4</v>
      </c>
      <c r="AO94" s="507">
        <f t="shared" ca="1" si="44"/>
        <v>-1.3571754963361889E-3</v>
      </c>
      <c r="AP94" s="507">
        <f t="shared" ca="1" si="45"/>
        <v>-5.5840872771983343E-4</v>
      </c>
      <c r="AQ94" s="507">
        <f t="shared" ca="1" si="45"/>
        <v>-9.0741418254472917E-4</v>
      </c>
      <c r="AR94" s="812" t="s">
        <v>140</v>
      </c>
      <c r="AS94" s="812">
        <v>2104008230</v>
      </c>
      <c r="AT94" s="507">
        <f t="shared" ca="1" si="46"/>
        <v>0.29422890297323068</v>
      </c>
      <c r="AU94" s="507">
        <f t="shared" ca="1" si="46"/>
        <v>0.47812196733149975</v>
      </c>
      <c r="AV94" s="507">
        <f t="shared" ca="1" si="47"/>
        <v>0.29422890297323068</v>
      </c>
      <c r="AW94" s="507">
        <f t="shared" ca="1" si="47"/>
        <v>0.47812196733149975</v>
      </c>
      <c r="AX94" s="507">
        <f t="shared" ca="1" si="48"/>
        <v>-2.0822032972365512</v>
      </c>
      <c r="AY94" s="507">
        <f t="shared" ca="1" si="48"/>
        <v>-3.3835803580093944</v>
      </c>
      <c r="AZ94" s="507">
        <f t="shared" ca="1" si="49"/>
        <v>-2.0822032972365512</v>
      </c>
      <c r="BA94" s="507">
        <f t="shared" ca="1" si="49"/>
        <v>-3.3835803580093948</v>
      </c>
      <c r="BB94" s="550">
        <f t="shared" ca="1" si="50"/>
        <v>0.29422890297323068</v>
      </c>
      <c r="BC94" s="550">
        <f t="shared" ca="1" si="50"/>
        <v>0.47812196733149981</v>
      </c>
      <c r="BD94" s="550">
        <f t="shared" ca="1" si="51"/>
        <v>-2.0822032972365512</v>
      </c>
      <c r="BE94" s="550">
        <f t="shared" ca="1" si="51"/>
        <v>-3.3835803580093948</v>
      </c>
    </row>
    <row r="95" spans="1:57" x14ac:dyDescent="0.25">
      <c r="A95" s="60">
        <f t="shared" si="29"/>
        <v>0.54</v>
      </c>
      <c r="B95" s="812"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7.8666977945012512E-2</v>
      </c>
      <c r="M95" s="559">
        <f t="shared" ca="1" si="34"/>
        <v>7.8666977945012512E-2</v>
      </c>
      <c r="N95" s="557" t="s">
        <v>336</v>
      </c>
      <c r="O95" s="559">
        <f t="shared" ca="1" si="35"/>
        <v>8.5879947418792069E-2</v>
      </c>
      <c r="P95" s="559">
        <f t="shared" ca="1" si="35"/>
        <v>8.5879947418792069E-2</v>
      </c>
      <c r="Q95" s="557" t="s">
        <v>336</v>
      </c>
      <c r="R95" s="558">
        <f t="shared" ca="1" si="36"/>
        <v>2.54215580581887E-4</v>
      </c>
      <c r="S95" s="558">
        <f t="shared" ca="1" si="36"/>
        <v>2.54215580581887E-4</v>
      </c>
      <c r="T95" s="557" t="s">
        <v>336</v>
      </c>
      <c r="U95" s="558">
        <f t="shared" ca="1" si="37"/>
        <v>2.7752458863578732E-4</v>
      </c>
      <c r="V95" s="558">
        <f t="shared" ca="1" si="37"/>
        <v>2.7752458863578732E-4</v>
      </c>
      <c r="W95" s="557" t="s">
        <v>336</v>
      </c>
      <c r="X95" s="559">
        <f t="shared" ca="1" si="38"/>
        <v>3.0823775949375114E-3</v>
      </c>
      <c r="Y95" s="559">
        <f t="shared" ca="1" si="38"/>
        <v>3.0823775949375114E-3</v>
      </c>
      <c r="Z95" s="557" t="s">
        <v>336</v>
      </c>
      <c r="AA95" s="559">
        <f t="shared" ca="1" si="39"/>
        <v>2.0608927534833425E-3</v>
      </c>
      <c r="AB95" s="559">
        <f t="shared" ca="1" si="39"/>
        <v>2.0608927534833425E-3</v>
      </c>
      <c r="AC95" s="557" t="s">
        <v>336</v>
      </c>
      <c r="AD95" s="558">
        <f t="shared" ca="1" si="40"/>
        <v>1.9139486033199874E-2</v>
      </c>
      <c r="AE95" s="558">
        <f t="shared" ca="1" si="40"/>
        <v>1.9139486033199874E-2</v>
      </c>
      <c r="AF95" s="557" t="s">
        <v>336</v>
      </c>
      <c r="AG95" s="558">
        <f t="shared" ca="1" si="41"/>
        <v>1.2796754082303441E-2</v>
      </c>
      <c r="AH95" s="558">
        <f t="shared" ca="1" si="41"/>
        <v>1.2796754082303441E-2</v>
      </c>
      <c r="AI95" s="557" t="s">
        <v>336</v>
      </c>
      <c r="AJ95" s="507">
        <f t="shared" ca="1" si="42"/>
        <v>7.8412762364430622E-2</v>
      </c>
      <c r="AK95" s="507">
        <f t="shared" ca="1" si="42"/>
        <v>7.8412762364430622E-2</v>
      </c>
      <c r="AL95" s="507">
        <f t="shared" ca="1" si="43"/>
        <v>8.5602422830156275E-2</v>
      </c>
      <c r="AM95" s="507">
        <f t="shared" ca="1" si="43"/>
        <v>8.5602422830156275E-2</v>
      </c>
      <c r="AN95" s="507">
        <f t="shared" ca="1" si="44"/>
        <v>-1.6057108438262364E-2</v>
      </c>
      <c r="AO95" s="507">
        <f t="shared" ca="1" si="44"/>
        <v>-1.6057108438262364E-2</v>
      </c>
      <c r="AP95" s="507">
        <f t="shared" ca="1" si="45"/>
        <v>-1.0735861328820099E-2</v>
      </c>
      <c r="AQ95" s="507">
        <f t="shared" ca="1" si="45"/>
        <v>-1.0735861328820099E-2</v>
      </c>
      <c r="AR95" s="812" t="s">
        <v>141</v>
      </c>
      <c r="AS95" s="812">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-2.5004762761786772</v>
      </c>
      <c r="AY95" s="507">
        <f t="shared" ca="1" si="48"/>
        <v>-2.5004762761786772</v>
      </c>
      <c r="AZ95" s="507">
        <f t="shared" ca="1" si="49"/>
        <v>-2.5004762761786767</v>
      </c>
      <c r="BA95" s="507">
        <f t="shared" ca="1" si="49"/>
        <v>-2.5004762761786767</v>
      </c>
      <c r="BB95" s="550">
        <f t="shared" ca="1" si="50"/>
        <v>0.47844886022233368</v>
      </c>
      <c r="BC95" s="550">
        <f t="shared" ca="1" si="50"/>
        <v>0.47844886022233368</v>
      </c>
      <c r="BD95" s="550">
        <f t="shared" ca="1" si="51"/>
        <v>-2.5004762761786772</v>
      </c>
      <c r="BE95" s="550">
        <f t="shared" ca="1" si="51"/>
        <v>-2.5004762761786772</v>
      </c>
    </row>
    <row r="96" spans="1:57" x14ac:dyDescent="0.25">
      <c r="A96" s="60">
        <f t="shared" si="29"/>
        <v>0.68</v>
      </c>
      <c r="B96" s="812"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6.6526080870706758E-2</v>
      </c>
      <c r="M96" s="559">
        <f t="shared" ca="1" si="34"/>
        <v>0.10810488141489846</v>
      </c>
      <c r="N96" s="557" t="s">
        <v>336</v>
      </c>
      <c r="O96" s="559">
        <f t="shared" ca="1" si="35"/>
        <v>7.262585237668745E-2</v>
      </c>
      <c r="P96" s="559">
        <f t="shared" ca="1" si="35"/>
        <v>0.11801701011211709</v>
      </c>
      <c r="Q96" s="557" t="s">
        <v>336</v>
      </c>
      <c r="R96" s="558">
        <f t="shared" ca="1" si="36"/>
        <v>4.147648406397634E-4</v>
      </c>
      <c r="S96" s="558">
        <f t="shared" ca="1" si="36"/>
        <v>6.7399286603961534E-4</v>
      </c>
      <c r="T96" s="557" t="s">
        <v>336</v>
      </c>
      <c r="U96" s="558">
        <f t="shared" ca="1" si="37"/>
        <v>4.527945986460112E-4</v>
      </c>
      <c r="V96" s="558">
        <f t="shared" ca="1" si="37"/>
        <v>7.3579122279976807E-4</v>
      </c>
      <c r="W96" s="557" t="s">
        <v>336</v>
      </c>
      <c r="X96" s="559">
        <f t="shared" ca="1" si="38"/>
        <v>3.9936541867566806E-3</v>
      </c>
      <c r="Y96" s="559">
        <f t="shared" ca="1" si="38"/>
        <v>6.4896880534796048E-3</v>
      </c>
      <c r="Z96" s="557" t="s">
        <v>336</v>
      </c>
      <c r="AA96" s="559">
        <f t="shared" ca="1" si="39"/>
        <v>2.6701767450305223E-3</v>
      </c>
      <c r="AB96" s="559">
        <f t="shared" ca="1" si="39"/>
        <v>4.339037210674598E-3</v>
      </c>
      <c r="AC96" s="557" t="s">
        <v>336</v>
      </c>
      <c r="AD96" s="558">
        <f t="shared" ca="1" si="40"/>
        <v>3.1226984027951984E-2</v>
      </c>
      <c r="AE96" s="558">
        <f t="shared" ca="1" si="40"/>
        <v>5.0743849045421965E-2</v>
      </c>
      <c r="AF96" s="557" t="s">
        <v>336</v>
      </c>
      <c r="AG96" s="558">
        <f t="shared" ca="1" si="41"/>
        <v>2.0878514430562808E-2</v>
      </c>
      <c r="AH96" s="558">
        <f t="shared" ca="1" si="41"/>
        <v>3.3927585949664558E-2</v>
      </c>
      <c r="AI96" s="557" t="s">
        <v>336</v>
      </c>
      <c r="AJ96" s="507">
        <f t="shared" ca="1" si="42"/>
        <v>6.6111316030066994E-2</v>
      </c>
      <c r="AK96" s="507">
        <f t="shared" ca="1" si="42"/>
        <v>0.10743088854885885</v>
      </c>
      <c r="AL96" s="507">
        <f t="shared" ca="1" si="43"/>
        <v>7.2173057778041436E-2</v>
      </c>
      <c r="AM96" s="507">
        <f t="shared" ca="1" si="43"/>
        <v>0.11728121888931732</v>
      </c>
      <c r="AN96" s="507">
        <f t="shared" ca="1" si="44"/>
        <v>-2.7233329841195301E-2</v>
      </c>
      <c r="AO96" s="507">
        <f t="shared" ca="1" si="44"/>
        <v>-4.4254160991942362E-2</v>
      </c>
      <c r="AP96" s="507">
        <f t="shared" ca="1" si="45"/>
        <v>-1.8208337685532285E-2</v>
      </c>
      <c r="AQ96" s="507">
        <f t="shared" ca="1" si="45"/>
        <v>-2.9588548738989959E-2</v>
      </c>
      <c r="AR96" s="812" t="s">
        <v>142</v>
      </c>
      <c r="AS96" s="812">
        <v>2104008320</v>
      </c>
      <c r="AT96" s="507">
        <f t="shared" ca="1" si="46"/>
        <v>0.29354300452577725</v>
      </c>
      <c r="AU96" s="507">
        <f t="shared" ca="1" si="46"/>
        <v>0.477007382354388</v>
      </c>
      <c r="AV96" s="507">
        <f t="shared" ca="1" si="47"/>
        <v>0.29354300452577725</v>
      </c>
      <c r="AW96" s="507">
        <f t="shared" ca="1" si="47"/>
        <v>0.477007382354388</v>
      </c>
      <c r="AX96" s="507">
        <f t="shared" ca="1" si="48"/>
        <v>-2.0142722140188036</v>
      </c>
      <c r="AY96" s="507">
        <f t="shared" ca="1" si="48"/>
        <v>-3.2731923477805558</v>
      </c>
      <c r="AZ96" s="507">
        <f t="shared" ca="1" si="49"/>
        <v>-2.0142722140188036</v>
      </c>
      <c r="BA96" s="507">
        <f t="shared" ca="1" si="49"/>
        <v>-3.2731923477805553</v>
      </c>
      <c r="BB96" s="550">
        <f t="shared" ca="1" si="50"/>
        <v>0.2935430045257772</v>
      </c>
      <c r="BC96" s="550">
        <f t="shared" ca="1" si="50"/>
        <v>0.477007382354388</v>
      </c>
      <c r="BD96" s="550">
        <f t="shared" ca="1" si="51"/>
        <v>-2.0142722140188036</v>
      </c>
      <c r="BE96" s="550">
        <f t="shared" ca="1" si="51"/>
        <v>-3.2731923477805562</v>
      </c>
    </row>
    <row r="97" spans="1:57" x14ac:dyDescent="0.25">
      <c r="A97" s="60">
        <f t="shared" si="29"/>
        <v>0.72</v>
      </c>
      <c r="B97" s="812"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4.4443004094302185E-2</v>
      </c>
      <c r="M97" s="559">
        <f t="shared" ca="1" si="34"/>
        <v>7.2219881653241044E-2</v>
      </c>
      <c r="N97" s="557" t="s">
        <v>336</v>
      </c>
      <c r="O97" s="559">
        <f t="shared" ca="1" si="35"/>
        <v>4.8517979900279305E-2</v>
      </c>
      <c r="P97" s="559">
        <f t="shared" ca="1" si="35"/>
        <v>7.8841717337953851E-2</v>
      </c>
      <c r="Q97" s="557" t="s">
        <v>336</v>
      </c>
      <c r="R97" s="558">
        <f t="shared" ca="1" si="36"/>
        <v>2.6440814363270208E-4</v>
      </c>
      <c r="S97" s="558">
        <f t="shared" ca="1" si="36"/>
        <v>4.2966323340314089E-4</v>
      </c>
      <c r="T97" s="557" t="s">
        <v>336</v>
      </c>
      <c r="U97" s="558">
        <f t="shared" ca="1" si="37"/>
        <v>2.8865170704980061E-4</v>
      </c>
      <c r="V97" s="558">
        <f t="shared" ca="1" si="37"/>
        <v>4.6905902395592592E-4</v>
      </c>
      <c r="W97" s="557" t="s">
        <v>336</v>
      </c>
      <c r="X97" s="559">
        <f t="shared" ca="1" si="38"/>
        <v>2.4044722278241718E-3</v>
      </c>
      <c r="Y97" s="559">
        <f t="shared" ca="1" si="38"/>
        <v>3.9072673702142784E-3</v>
      </c>
      <c r="Z97" s="557" t="s">
        <v>336</v>
      </c>
      <c r="AA97" s="559">
        <f t="shared" ca="1" si="39"/>
        <v>1.6076419055256089E-3</v>
      </c>
      <c r="AB97" s="559">
        <f t="shared" ca="1" si="39"/>
        <v>2.6124180964791138E-3</v>
      </c>
      <c r="AC97" s="557" t="s">
        <v>336</v>
      </c>
      <c r="AD97" s="558">
        <f t="shared" ca="1" si="40"/>
        <v>1.9906867866001203E-2</v>
      </c>
      <c r="AE97" s="558">
        <f t="shared" ca="1" si="40"/>
        <v>3.2348660282251945E-2</v>
      </c>
      <c r="AF97" s="557" t="s">
        <v>336</v>
      </c>
      <c r="AG97" s="558">
        <f t="shared" ca="1" si="41"/>
        <v>1.3309829333360439E-2</v>
      </c>
      <c r="AH97" s="558">
        <f t="shared" ca="1" si="41"/>
        <v>2.1628472666710707E-2</v>
      </c>
      <c r="AI97" s="557" t="s">
        <v>336</v>
      </c>
      <c r="AJ97" s="507">
        <f t="shared" ca="1" si="42"/>
        <v>4.4178595950669482E-2</v>
      </c>
      <c r="AK97" s="507">
        <f t="shared" ca="1" si="42"/>
        <v>7.1790218419837903E-2</v>
      </c>
      <c r="AL97" s="507">
        <f t="shared" ca="1" si="43"/>
        <v>4.8229328193229504E-2</v>
      </c>
      <c r="AM97" s="507">
        <f t="shared" ca="1" si="43"/>
        <v>7.8372658313997923E-2</v>
      </c>
      <c r="AN97" s="507">
        <f t="shared" ca="1" si="44"/>
        <v>-1.7502395638177033E-2</v>
      </c>
      <c r="AO97" s="507">
        <f t="shared" ca="1" si="44"/>
        <v>-2.8441392912037667E-2</v>
      </c>
      <c r="AP97" s="507">
        <f t="shared" ca="1" si="45"/>
        <v>-1.1702187427834829E-2</v>
      </c>
      <c r="AQ97" s="507">
        <f t="shared" ca="1" si="45"/>
        <v>-1.9016054570231592E-2</v>
      </c>
      <c r="AR97" s="812" t="s">
        <v>143</v>
      </c>
      <c r="AS97" s="812">
        <v>2104008330</v>
      </c>
      <c r="AT97" s="507">
        <f t="shared" ca="1" si="46"/>
        <v>0.29362726123173716</v>
      </c>
      <c r="AU97" s="507">
        <f t="shared" ca="1" si="46"/>
        <v>0.47714429950157289</v>
      </c>
      <c r="AV97" s="507">
        <f t="shared" ca="1" si="47"/>
        <v>0.29362726123173721</v>
      </c>
      <c r="AW97" s="507">
        <f t="shared" ca="1" si="47"/>
        <v>0.47714429950157283</v>
      </c>
      <c r="AX97" s="507">
        <f t="shared" ca="1" si="48"/>
        <v>-2.1501343804542987</v>
      </c>
      <c r="AY97" s="507">
        <f t="shared" ca="1" si="48"/>
        <v>-3.4939683682382343</v>
      </c>
      <c r="AZ97" s="507">
        <f t="shared" ca="1" si="49"/>
        <v>-2.1501343804542987</v>
      </c>
      <c r="BA97" s="507">
        <f t="shared" ca="1" si="49"/>
        <v>-3.4939683682382343</v>
      </c>
      <c r="BB97" s="550">
        <f t="shared" ca="1" si="50"/>
        <v>0.29362726123173721</v>
      </c>
      <c r="BC97" s="550">
        <f t="shared" ca="1" si="50"/>
        <v>0.47714429950157289</v>
      </c>
      <c r="BD97" s="550">
        <f t="shared" ca="1" si="51"/>
        <v>-2.1501343804542987</v>
      </c>
      <c r="BE97" s="550">
        <f t="shared" ca="1" si="51"/>
        <v>-3.4939683682382343</v>
      </c>
    </row>
    <row r="98" spans="1:57" x14ac:dyDescent="0.25">
      <c r="A98" s="60">
        <f t="shared" si="29"/>
        <v>0.56000000000000005</v>
      </c>
      <c r="B98" s="812"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2.6648192899233628E-3</v>
      </c>
      <c r="M98" s="559">
        <f t="shared" ca="1" si="34"/>
        <v>2.6648192899233628E-3</v>
      </c>
      <c r="N98" s="557" t="s">
        <v>336</v>
      </c>
      <c r="O98" s="559">
        <f t="shared" ca="1" si="35"/>
        <v>2.9091563763790243E-3</v>
      </c>
      <c r="P98" s="559">
        <f t="shared" ca="1" si="35"/>
        <v>2.9091563763790243E-3</v>
      </c>
      <c r="Q98" s="557" t="s">
        <v>336</v>
      </c>
      <c r="R98" s="558">
        <f t="shared" ca="1" si="36"/>
        <v>3.4997128098453357E-5</v>
      </c>
      <c r="S98" s="558">
        <f t="shared" ca="1" si="36"/>
        <v>3.4997128098453357E-5</v>
      </c>
      <c r="T98" s="557" t="s">
        <v>336</v>
      </c>
      <c r="U98" s="558">
        <f t="shared" ca="1" si="37"/>
        <v>3.8206012222876506E-5</v>
      </c>
      <c r="V98" s="558">
        <f t="shared" ca="1" si="37"/>
        <v>3.8206012222876506E-5</v>
      </c>
      <c r="W98" s="557" t="s">
        <v>336</v>
      </c>
      <c r="X98" s="559">
        <f t="shared" ca="1" si="38"/>
        <v>3.426499647503272E-4</v>
      </c>
      <c r="Y98" s="559">
        <f t="shared" ca="1" si="38"/>
        <v>3.426499647503272E-4</v>
      </c>
      <c r="Z98" s="557" t="s">
        <v>336</v>
      </c>
      <c r="AA98" s="559">
        <f t="shared" ca="1" si="39"/>
        <v>2.2909744428945862E-4</v>
      </c>
      <c r="AB98" s="559">
        <f t="shared" ca="1" si="39"/>
        <v>2.2909744428945862E-4</v>
      </c>
      <c r="AC98" s="557" t="s">
        <v>336</v>
      </c>
      <c r="AD98" s="558">
        <f t="shared" ca="1" si="40"/>
        <v>2.6348780153807008E-3</v>
      </c>
      <c r="AE98" s="558">
        <f t="shared" ca="1" si="40"/>
        <v>2.6348780153807008E-3</v>
      </c>
      <c r="AF98" s="557" t="s">
        <v>336</v>
      </c>
      <c r="AG98" s="558">
        <f t="shared" ca="1" si="41"/>
        <v>1.7616923433161479E-3</v>
      </c>
      <c r="AH98" s="558">
        <f t="shared" ca="1" si="41"/>
        <v>1.7616923433161479E-3</v>
      </c>
      <c r="AI98" s="557" t="s">
        <v>336</v>
      </c>
      <c r="AJ98" s="507">
        <f t="shared" ca="1" si="42"/>
        <v>2.6298221618249094E-3</v>
      </c>
      <c r="AK98" s="507">
        <f t="shared" ca="1" si="42"/>
        <v>2.6298221618249094E-3</v>
      </c>
      <c r="AL98" s="507">
        <f t="shared" ca="1" si="43"/>
        <v>2.8709503641561477E-3</v>
      </c>
      <c r="AM98" s="507">
        <f t="shared" ca="1" si="43"/>
        <v>2.8709503641561477E-3</v>
      </c>
      <c r="AN98" s="507">
        <f t="shared" ca="1" si="44"/>
        <v>-2.2922280506303735E-3</v>
      </c>
      <c r="AO98" s="507">
        <f t="shared" ca="1" si="44"/>
        <v>-2.2922280506303735E-3</v>
      </c>
      <c r="AP98" s="507">
        <f t="shared" ca="1" si="45"/>
        <v>-1.5325948990266892E-3</v>
      </c>
      <c r="AQ98" s="507">
        <f t="shared" ca="1" si="45"/>
        <v>-1.5325948990266892E-3</v>
      </c>
      <c r="AR98" s="812" t="s">
        <v>144</v>
      </c>
      <c r="AS98" s="812">
        <v>2104008410</v>
      </c>
      <c r="AT98" s="507">
        <f t="shared" ca="1" si="46"/>
        <v>0.4736961498474665</v>
      </c>
      <c r="AU98" s="507">
        <f t="shared" ca="1" si="46"/>
        <v>0.4736961498474665</v>
      </c>
      <c r="AV98" s="507">
        <f t="shared" ca="1" si="47"/>
        <v>0.4736961498474665</v>
      </c>
      <c r="AW98" s="507">
        <f t="shared" ca="1" si="47"/>
        <v>0.4736961498474665</v>
      </c>
      <c r="AX98" s="507">
        <f t="shared" ca="1" si="48"/>
        <v>-3.2110596162013136</v>
      </c>
      <c r="AY98" s="507">
        <f t="shared" ca="1" si="48"/>
        <v>-3.2110596162013136</v>
      </c>
      <c r="AZ98" s="507">
        <f t="shared" ca="1" si="49"/>
        <v>-3.2110596162013136</v>
      </c>
      <c r="BA98" s="507">
        <f t="shared" ca="1" si="49"/>
        <v>-3.2110596162013136</v>
      </c>
      <c r="BB98" s="550">
        <f t="shared" ca="1" si="50"/>
        <v>0.47369614984746655</v>
      </c>
      <c r="BC98" s="550">
        <f t="shared" ca="1" si="50"/>
        <v>0.47369614984746655</v>
      </c>
      <c r="BD98" s="550">
        <f t="shared" ca="1" si="51"/>
        <v>-3.2110596162013136</v>
      </c>
      <c r="BE98" s="550">
        <f t="shared" ca="1" si="51"/>
        <v>-3.2110596162013136</v>
      </c>
    </row>
    <row r="99" spans="1:57" x14ac:dyDescent="0.25">
      <c r="A99" s="60">
        <f t="shared" si="29"/>
        <v>0.78</v>
      </c>
      <c r="B99" s="812"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8.9885182837550689E-3</v>
      </c>
      <c r="M99" s="559">
        <f t="shared" ca="1" si="34"/>
        <v>8.9885182837550689E-3</v>
      </c>
      <c r="N99" s="557" t="s">
        <v>336</v>
      </c>
      <c r="O99" s="559">
        <f t="shared" ca="1" si="35"/>
        <v>9.8126748700237444E-3</v>
      </c>
      <c r="P99" s="559">
        <f t="shared" ca="1" si="35"/>
        <v>9.8126748700237444E-3</v>
      </c>
      <c r="Q99" s="557" t="s">
        <v>336</v>
      </c>
      <c r="R99" s="558">
        <f t="shared" ca="1" si="36"/>
        <v>1.6442177245609249E-4</v>
      </c>
      <c r="S99" s="558">
        <f t="shared" ca="1" si="36"/>
        <v>1.6442177245609249E-4</v>
      </c>
      <c r="T99" s="557" t="s">
        <v>336</v>
      </c>
      <c r="U99" s="558">
        <f t="shared" ca="1" si="37"/>
        <v>1.7949759278796672E-4</v>
      </c>
      <c r="V99" s="558">
        <f t="shared" ca="1" si="37"/>
        <v>1.7949759278796672E-4</v>
      </c>
      <c r="W99" s="557" t="s">
        <v>336</v>
      </c>
      <c r="X99" s="559">
        <f t="shared" ca="1" si="38"/>
        <v>1.1557689801828619E-3</v>
      </c>
      <c r="Y99" s="559">
        <f t="shared" ca="1" si="38"/>
        <v>1.1557689801828619E-3</v>
      </c>
      <c r="Z99" s="557" t="s">
        <v>336</v>
      </c>
      <c r="AA99" s="559">
        <f t="shared" ca="1" si="39"/>
        <v>7.7275279961538305E-4</v>
      </c>
      <c r="AB99" s="559">
        <f t="shared" ca="1" si="39"/>
        <v>7.7275279961538305E-4</v>
      </c>
      <c r="AC99" s="557" t="s">
        <v>336</v>
      </c>
      <c r="AD99" s="558">
        <f t="shared" ca="1" si="40"/>
        <v>1.2379053283335894E-2</v>
      </c>
      <c r="AE99" s="558">
        <f t="shared" ca="1" si="40"/>
        <v>1.2379053283335894E-2</v>
      </c>
      <c r="AF99" s="557" t="s">
        <v>336</v>
      </c>
      <c r="AG99" s="558">
        <f t="shared" ca="1" si="41"/>
        <v>8.2766956418680818E-3</v>
      </c>
      <c r="AH99" s="558">
        <f t="shared" ca="1" si="41"/>
        <v>8.2766956418680818E-3</v>
      </c>
      <c r="AI99" s="557" t="s">
        <v>336</v>
      </c>
      <c r="AJ99" s="507">
        <f t="shared" ca="1" si="42"/>
        <v>8.8240965112989771E-3</v>
      </c>
      <c r="AK99" s="507">
        <f t="shared" ca="1" si="42"/>
        <v>8.8240965112989771E-3</v>
      </c>
      <c r="AL99" s="507">
        <f t="shared" ca="1" si="43"/>
        <v>9.6331772772357774E-3</v>
      </c>
      <c r="AM99" s="507">
        <f t="shared" ca="1" si="43"/>
        <v>9.6331772772357774E-3</v>
      </c>
      <c r="AN99" s="507">
        <f t="shared" ca="1" si="44"/>
        <v>-1.1223284303153032E-2</v>
      </c>
      <c r="AO99" s="507">
        <f t="shared" ca="1" si="44"/>
        <v>-1.1223284303153032E-2</v>
      </c>
      <c r="AP99" s="507">
        <f t="shared" ca="1" si="45"/>
        <v>-7.5039428422526986E-3</v>
      </c>
      <c r="AQ99" s="507">
        <f t="shared" ca="1" si="45"/>
        <v>-7.5039428422526986E-3</v>
      </c>
      <c r="AR99" s="812" t="s">
        <v>145</v>
      </c>
      <c r="AS99" s="812">
        <v>2104008420</v>
      </c>
      <c r="AT99" s="507">
        <f t="shared" ca="1" si="46"/>
        <v>0.47121963728754263</v>
      </c>
      <c r="AU99" s="507">
        <f t="shared" ca="1" si="46"/>
        <v>0.47121963728754263</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2"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4.1237749364571148E-2</v>
      </c>
      <c r="M100" s="559">
        <f t="shared" ca="1" si="34"/>
        <v>4.4658392169005613E-2</v>
      </c>
      <c r="N100" s="557" t="s">
        <v>336</v>
      </c>
      <c r="O100" s="559">
        <f t="shared" ca="1" si="35"/>
        <v>4.5018835598008719E-2</v>
      </c>
      <c r="P100" s="559">
        <f t="shared" ca="1" si="35"/>
        <v>4.8753116891852757E-2</v>
      </c>
      <c r="Q100" s="557" t="s">
        <v>336</v>
      </c>
      <c r="R100" s="558">
        <f t="shared" ca="1" si="36"/>
        <v>1.305409543797807E-4</v>
      </c>
      <c r="S100" s="558">
        <f t="shared" ca="1" si="36"/>
        <v>1.4136923630990073E-4</v>
      </c>
      <c r="T100" s="557" t="s">
        <v>336</v>
      </c>
      <c r="U100" s="558">
        <f t="shared" ca="1" si="37"/>
        <v>1.4251024497179463E-4</v>
      </c>
      <c r="V100" s="558">
        <f t="shared" ca="1" si="37"/>
        <v>1.5433137128281906E-4</v>
      </c>
      <c r="W100" s="557" t="s">
        <v>336</v>
      </c>
      <c r="X100" s="559">
        <f t="shared" ca="1" si="38"/>
        <v>1.9877225401656023E-3</v>
      </c>
      <c r="Y100" s="559">
        <f t="shared" ca="1" si="38"/>
        <v>2.1526027508705827E-3</v>
      </c>
      <c r="Z100" s="557" t="s">
        <v>336</v>
      </c>
      <c r="AA100" s="559">
        <f t="shared" ca="1" si="39"/>
        <v>1.329001023654871E-3</v>
      </c>
      <c r="AB100" s="559">
        <f t="shared" ca="1" si="39"/>
        <v>1.4392407399027403E-3</v>
      </c>
      <c r="AC100" s="557" t="s">
        <v>336</v>
      </c>
      <c r="AD100" s="558">
        <f t="shared" ca="1" si="40"/>
        <v>9.8282204709620093E-3</v>
      </c>
      <c r="AE100" s="558">
        <f t="shared" ca="1" si="40"/>
        <v>1.0643464565327519E-2</v>
      </c>
      <c r="AF100" s="557" t="s">
        <v>336</v>
      </c>
      <c r="AG100" s="558">
        <f t="shared" ca="1" si="41"/>
        <v>6.571196332827248E-3</v>
      </c>
      <c r="AH100" s="558">
        <f t="shared" ca="1" si="41"/>
        <v>7.1162725263336545E-3</v>
      </c>
      <c r="AI100" s="557" t="s">
        <v>336</v>
      </c>
      <c r="AJ100" s="507">
        <f t="shared" ca="1" si="42"/>
        <v>4.1107208410191366E-2</v>
      </c>
      <c r="AK100" s="507">
        <f t="shared" ca="1" si="42"/>
        <v>4.4517022932695716E-2</v>
      </c>
      <c r="AL100" s="507">
        <f t="shared" ca="1" si="43"/>
        <v>4.4876325353036928E-2</v>
      </c>
      <c r="AM100" s="507">
        <f t="shared" ca="1" si="43"/>
        <v>4.859878552056994E-2</v>
      </c>
      <c r="AN100" s="507">
        <f t="shared" ca="1" si="44"/>
        <v>-7.8404979307964071E-3</v>
      </c>
      <c r="AO100" s="507">
        <f t="shared" ca="1" si="44"/>
        <v>-8.4908618144569365E-3</v>
      </c>
      <c r="AP100" s="507">
        <f t="shared" ca="1" si="45"/>
        <v>-5.2421953091723768E-3</v>
      </c>
      <c r="AQ100" s="507">
        <f t="shared" ca="1" si="45"/>
        <v>-5.6770317864309142E-3</v>
      </c>
      <c r="AR100" s="812" t="s">
        <v>146</v>
      </c>
      <c r="AS100" s="812">
        <v>2104008610</v>
      </c>
      <c r="AT100" s="507">
        <f t="shared" ca="1" si="46"/>
        <v>0.44183095446472737</v>
      </c>
      <c r="AU100" s="507">
        <f t="shared" ca="1" si="46"/>
        <v>0.47848052672447428</v>
      </c>
      <c r="AV100" s="507">
        <f t="shared" ca="1" si="47"/>
        <v>0.44183095446472737</v>
      </c>
      <c r="AW100" s="507">
        <f t="shared" ca="1" si="47"/>
        <v>0.47848052672447428</v>
      </c>
      <c r="AX100" s="507">
        <f t="shared" ca="1" si="48"/>
        <v>-1.7483202626495846</v>
      </c>
      <c r="AY100" s="507">
        <f t="shared" ca="1" si="48"/>
        <v>-1.8933422199200567</v>
      </c>
      <c r="AZ100" s="507">
        <f t="shared" ca="1" si="49"/>
        <v>-1.7483202626495842</v>
      </c>
      <c r="BA100" s="507">
        <f t="shared" ca="1" si="49"/>
        <v>-1.8933422199200565</v>
      </c>
      <c r="BB100" s="550">
        <f t="shared" ca="1" si="50"/>
        <v>0.44183095446472742</v>
      </c>
      <c r="BC100" s="550">
        <f t="shared" ca="1" si="50"/>
        <v>0.47848052672447428</v>
      </c>
      <c r="BD100" s="550">
        <f t="shared" ca="1" si="51"/>
        <v>-1.7483202626495844</v>
      </c>
      <c r="BE100" s="550">
        <f t="shared" ca="1" si="51"/>
        <v>-1.8933422199200569</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0.49828210592064914</v>
      </c>
      <c r="AU106" s="507">
        <f t="shared" ca="1" si="59"/>
        <v>0.49828210592064914</v>
      </c>
      <c r="AV106" s="507">
        <f t="shared" ca="1" si="60"/>
        <v>0.49828210592064909</v>
      </c>
      <c r="AW106" s="507">
        <f t="shared" ca="1" si="60"/>
        <v>0.49828210592064909</v>
      </c>
      <c r="AX106" s="507">
        <f t="shared" ca="1" si="61"/>
        <v>0.41031188577839556</v>
      </c>
      <c r="AY106" s="507">
        <f t="shared" ca="1" si="61"/>
        <v>0.41031188577839556</v>
      </c>
      <c r="AZ106" s="507">
        <f t="shared" ca="1" si="62"/>
        <v>0.406574881019162</v>
      </c>
      <c r="BA106" s="507">
        <f t="shared" ca="1" si="62"/>
        <v>0.406574881019162</v>
      </c>
      <c r="BB106" s="550">
        <f t="shared" ca="1" si="50"/>
        <v>0.49828210592064914</v>
      </c>
      <c r="BC106" s="550">
        <f t="shared" ca="1" si="50"/>
        <v>0.49828210592064914</v>
      </c>
      <c r="BD106" s="550">
        <f t="shared" ca="1" si="51"/>
        <v>0.41031188577839561</v>
      </c>
      <c r="BE106" s="550">
        <f t="shared" ca="1" si="51"/>
        <v>0.41031188577839561</v>
      </c>
    </row>
    <row r="107" spans="1:57" x14ac:dyDescent="0.25">
      <c r="A107" s="60">
        <f t="shared" si="29"/>
        <v>0.43</v>
      </c>
      <c r="B107" s="812"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1.8044356425776314E-2</v>
      </c>
      <c r="M107" s="133">
        <f t="shared" ca="1" si="52"/>
        <v>1.8044356425776314E-2</v>
      </c>
      <c r="N107" s="551" t="s">
        <v>336</v>
      </c>
      <c r="O107" s="133">
        <f t="shared" ca="1" si="53"/>
        <v>1.969884215121118E-2</v>
      </c>
      <c r="P107" s="133">
        <f t="shared" ca="1" si="53"/>
        <v>1.969884215121118E-2</v>
      </c>
      <c r="Q107" s="551" t="s">
        <v>336</v>
      </c>
      <c r="R107" s="58">
        <f t="shared" ca="1" si="54"/>
        <v>6.1996586139077156E-5</v>
      </c>
      <c r="S107" s="58">
        <f t="shared" ca="1" si="54"/>
        <v>6.1996586139077156E-5</v>
      </c>
      <c r="T107" s="551" t="s">
        <v>336</v>
      </c>
      <c r="U107" s="58">
        <f t="shared" ca="1" si="55"/>
        <v>6.7681048603267452E-5</v>
      </c>
      <c r="V107" s="58">
        <f t="shared" ca="1" si="55"/>
        <v>6.7681048603267452E-5</v>
      </c>
      <c r="W107" s="551" t="s">
        <v>336</v>
      </c>
      <c r="X107" s="133">
        <f t="shared" ca="1" si="56"/>
        <v>2.4980563285915896E-2</v>
      </c>
      <c r="Y107" s="133">
        <f t="shared" ca="1" si="56"/>
        <v>2.4980563285915896E-2</v>
      </c>
      <c r="Z107" s="551" t="s">
        <v>336</v>
      </c>
      <c r="AA107" s="133">
        <f t="shared" ca="1" si="57"/>
        <v>1.6702126935528742E-2</v>
      </c>
      <c r="AB107" s="133">
        <f t="shared" ca="1" si="57"/>
        <v>1.6702126935528742E-2</v>
      </c>
      <c r="AC107" s="551" t="s">
        <v>336</v>
      </c>
      <c r="AD107" s="58">
        <f t="shared" ca="1" si="40"/>
        <v>4.4809192266144892E-3</v>
      </c>
      <c r="AE107" s="58">
        <f t="shared" ca="1" si="40"/>
        <v>4.4809192266144892E-3</v>
      </c>
      <c r="AF107" s="551" t="s">
        <v>336</v>
      </c>
      <c r="AG107" s="58">
        <f t="shared" ca="1" si="58"/>
        <v>3.120796392369664E-3</v>
      </c>
      <c r="AH107" s="58">
        <f t="shared" ca="1" si="58"/>
        <v>3.120796392369664E-3</v>
      </c>
      <c r="AI107" s="551" t="s">
        <v>336</v>
      </c>
      <c r="AJ107" s="507">
        <f t="shared" ca="1" si="42"/>
        <v>1.7982359839637238E-2</v>
      </c>
      <c r="AK107" s="507">
        <f t="shared" ca="1" si="42"/>
        <v>1.7982359839637238E-2</v>
      </c>
      <c r="AL107" s="507">
        <f t="shared" ca="1" si="43"/>
        <v>1.9631161102607913E-2</v>
      </c>
      <c r="AM107" s="507">
        <f t="shared" ca="1" si="43"/>
        <v>1.9631161102607913E-2</v>
      </c>
      <c r="AN107" s="507">
        <f t="shared" ca="1" si="44"/>
        <v>2.0499644059301408E-2</v>
      </c>
      <c r="AO107" s="507">
        <f t="shared" ca="1" si="44"/>
        <v>2.0499644059301408E-2</v>
      </c>
      <c r="AP107" s="507">
        <f t="shared" ca="1" si="45"/>
        <v>1.3581330543159079E-2</v>
      </c>
      <c r="AQ107" s="507">
        <f t="shared" ca="1" si="45"/>
        <v>1.3581330543159079E-2</v>
      </c>
      <c r="AR107" s="812" t="s">
        <v>152</v>
      </c>
      <c r="AS107" s="812">
        <v>2103002000</v>
      </c>
      <c r="AT107" s="507">
        <f t="shared" ca="1" si="59"/>
        <v>0.49828210592064909</v>
      </c>
      <c r="AU107" s="507">
        <f t="shared" ca="1" si="59"/>
        <v>0.49828210592064909</v>
      </c>
      <c r="AV107" s="507">
        <f t="shared" ca="1" si="60"/>
        <v>0.49828210592064914</v>
      </c>
      <c r="AW107" s="507">
        <f t="shared" ca="1" si="60"/>
        <v>0.49828210592064914</v>
      </c>
      <c r="AX107" s="507">
        <f t="shared" ca="1" si="61"/>
        <v>0.41031188577839556</v>
      </c>
      <c r="AY107" s="507">
        <f t="shared" ca="1" si="61"/>
        <v>0.41031188577839556</v>
      </c>
      <c r="AZ107" s="507">
        <f t="shared" ca="1" si="62"/>
        <v>0.406574881019162</v>
      </c>
      <c r="BA107" s="507">
        <f t="shared" ca="1" si="62"/>
        <v>0.406574881019162</v>
      </c>
      <c r="BB107" s="550">
        <f t="shared" ca="1" si="50"/>
        <v>0.49828210592064903</v>
      </c>
      <c r="BC107" s="550">
        <f t="shared" ca="1" si="50"/>
        <v>0.49828210592064903</v>
      </c>
      <c r="BD107" s="550">
        <f t="shared" ca="1" si="51"/>
        <v>0.41031188577839561</v>
      </c>
      <c r="BE107" s="550">
        <f t="shared" ca="1" si="51"/>
        <v>0.41031188577839561</v>
      </c>
    </row>
    <row r="108" spans="1:57" x14ac:dyDescent="0.25">
      <c r="A108" s="60">
        <f>A107</f>
        <v>0.43</v>
      </c>
      <c r="B108" s="812"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4.9501076288413601E-5</v>
      </c>
      <c r="M108" s="133">
        <f t="shared" ca="1" si="52"/>
        <v>4.9501076288413601E-5</v>
      </c>
      <c r="N108" s="551" t="s">
        <v>336</v>
      </c>
      <c r="O108" s="133">
        <f t="shared" ca="1" si="53"/>
        <v>5.4039826365188316E-5</v>
      </c>
      <c r="P108" s="133">
        <f t="shared" ca="1" si="53"/>
        <v>5.4039826365188316E-5</v>
      </c>
      <c r="Q108" s="551" t="s">
        <v>336</v>
      </c>
      <c r="R108" s="58">
        <f t="shared" ca="1" si="54"/>
        <v>1.7007521175472636E-7</v>
      </c>
      <c r="S108" s="58">
        <f t="shared" ca="1" si="54"/>
        <v>1.7007521175472636E-7</v>
      </c>
      <c r="T108" s="551" t="s">
        <v>336</v>
      </c>
      <c r="U108" s="58">
        <f t="shared" ca="1" si="55"/>
        <v>1.8566939552381584E-7</v>
      </c>
      <c r="V108" s="58">
        <f t="shared" ca="1" si="55"/>
        <v>1.8566939552381584E-7</v>
      </c>
      <c r="W108" s="551" t="s">
        <v>336</v>
      </c>
      <c r="X108" s="133">
        <f t="shared" ca="1" si="56"/>
        <v>6.8529169994516274E-5</v>
      </c>
      <c r="Y108" s="133">
        <f t="shared" ca="1" si="56"/>
        <v>6.8529169994516274E-5</v>
      </c>
      <c r="Z108" s="551" t="s">
        <v>336</v>
      </c>
      <c r="AA108" s="133">
        <f t="shared" ca="1" si="57"/>
        <v>4.5818938625781789E-5</v>
      </c>
      <c r="AB108" s="133">
        <f t="shared" ca="1" si="57"/>
        <v>4.5818938625781789E-5</v>
      </c>
      <c r="AC108" s="551" t="s">
        <v>336</v>
      </c>
      <c r="AD108" s="58">
        <f t="shared" ca="1" si="40"/>
        <v>1.2292504051959851E-5</v>
      </c>
      <c r="AE108" s="58">
        <f t="shared" ca="1" si="40"/>
        <v>1.2292504051959851E-5</v>
      </c>
      <c r="AF108" s="551" t="s">
        <v>336</v>
      </c>
      <c r="AG108" s="58">
        <f t="shared" ca="1" si="58"/>
        <v>8.5612795853787555E-6</v>
      </c>
      <c r="AH108" s="58">
        <f t="shared" ca="1" si="58"/>
        <v>8.5612795853787555E-6</v>
      </c>
      <c r="AI108" s="551" t="s">
        <v>336</v>
      </c>
      <c r="AJ108" s="507">
        <f t="shared" ca="1" si="42"/>
        <v>4.9331001076658876E-5</v>
      </c>
      <c r="AK108" s="507">
        <f t="shared" ca="1" si="42"/>
        <v>4.9331001076658876E-5</v>
      </c>
      <c r="AL108" s="507">
        <f t="shared" ca="1" si="43"/>
        <v>5.3854156969664504E-5</v>
      </c>
      <c r="AM108" s="507">
        <f t="shared" ca="1" si="43"/>
        <v>5.3854156969664504E-5</v>
      </c>
      <c r="AN108" s="507">
        <f t="shared" ca="1" si="44"/>
        <v>5.6236665942556425E-5</v>
      </c>
      <c r="AO108" s="507">
        <f t="shared" ca="1" si="44"/>
        <v>5.6236665942556425E-5</v>
      </c>
      <c r="AP108" s="507">
        <f t="shared" ca="1" si="45"/>
        <v>3.7257659040403033E-5</v>
      </c>
      <c r="AQ108" s="507">
        <f t="shared" ca="1" si="45"/>
        <v>3.7257659040403033E-5</v>
      </c>
      <c r="AR108" s="812" t="s">
        <v>153</v>
      </c>
      <c r="AS108" s="812">
        <v>2103008000</v>
      </c>
      <c r="AT108" s="507">
        <f t="shared" ca="1" si="59"/>
        <v>0.49688268995248752</v>
      </c>
      <c r="AU108" s="507">
        <f t="shared" ca="1" si="59"/>
        <v>0.49688268995248752</v>
      </c>
      <c r="AV108" s="507">
        <f t="shared" ca="1" si="60"/>
        <v>0.49688268995248752</v>
      </c>
      <c r="AW108" s="507">
        <f t="shared" ca="1" si="60"/>
        <v>0.49688268995248752</v>
      </c>
      <c r="AX108" s="507">
        <f t="shared" ca="1" si="61"/>
        <v>-3.2531923477805553</v>
      </c>
      <c r="AY108" s="507">
        <f t="shared" ca="1" si="61"/>
        <v>-3.2531923477805553</v>
      </c>
      <c r="AZ108" s="507">
        <f t="shared" ca="1" si="62"/>
        <v>-3.4095753622714122</v>
      </c>
      <c r="BA108" s="507">
        <f t="shared" ca="1" si="62"/>
        <v>-3.4095753622714122</v>
      </c>
      <c r="BB108" s="550">
        <f t="shared" ca="1" si="50"/>
        <v>0.49688268995248752</v>
      </c>
      <c r="BC108" s="550">
        <f t="shared" ca="1" si="50"/>
        <v>0.49688268995248752</v>
      </c>
      <c r="BD108" s="550">
        <f t="shared" ca="1" si="51"/>
        <v>-3.2531923477805549</v>
      </c>
      <c r="BE108" s="550">
        <f t="shared" ca="1" si="51"/>
        <v>-3.2531923477805549</v>
      </c>
    </row>
    <row r="109" spans="1:57" x14ac:dyDescent="0.25">
      <c r="A109" s="112">
        <v>0.6</v>
      </c>
      <c r="B109" s="812"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4.8488161725983422E-5</v>
      </c>
      <c r="M109" s="133">
        <f t="shared" ca="1" si="52"/>
        <v>4.8488161725983422E-5</v>
      </c>
      <c r="N109" s="551" t="s">
        <v>336</v>
      </c>
      <c r="O109" s="133">
        <f t="shared" ca="1" si="53"/>
        <v>5.2934037740359779E-5</v>
      </c>
      <c r="P109" s="133">
        <f t="shared" ca="1" si="53"/>
        <v>5.2934037740359779E-5</v>
      </c>
      <c r="Q109" s="551" t="s">
        <v>336</v>
      </c>
      <c r="R109" s="58">
        <f t="shared" ca="1" si="54"/>
        <v>3.0230526746763598E-7</v>
      </c>
      <c r="S109" s="58">
        <f t="shared" ca="1" si="54"/>
        <v>3.0230526746763598E-7</v>
      </c>
      <c r="T109" s="551" t="s">
        <v>336</v>
      </c>
      <c r="U109" s="58">
        <f t="shared" ca="1" si="55"/>
        <v>3.3002361540685626E-7</v>
      </c>
      <c r="V109" s="58">
        <f t="shared" ca="1" si="55"/>
        <v>3.3002361540685626E-7</v>
      </c>
      <c r="W109" s="551" t="s">
        <v>336</v>
      </c>
      <c r="X109" s="133">
        <f t="shared" ca="1" si="56"/>
        <v>1.6869358713806224E-6</v>
      </c>
      <c r="Y109" s="133">
        <f t="shared" ca="1" si="56"/>
        <v>1.6869358713806224E-6</v>
      </c>
      <c r="Z109" s="551" t="s">
        <v>336</v>
      </c>
      <c r="AA109" s="133">
        <f t="shared" ca="1" si="57"/>
        <v>1.1278935840402489E-6</v>
      </c>
      <c r="AB109" s="133">
        <f t="shared" ca="1" si="57"/>
        <v>1.1278935840402489E-6</v>
      </c>
      <c r="AC109" s="551" t="s">
        <v>336</v>
      </c>
      <c r="AD109" s="58">
        <f t="shared" ca="1" si="40"/>
        <v>1.2662789607324551E-5</v>
      </c>
      <c r="AE109" s="58">
        <f t="shared" ca="1" si="40"/>
        <v>1.2662789607324551E-5</v>
      </c>
      <c r="AF109" s="551" t="s">
        <v>336</v>
      </c>
      <c r="AG109" s="58">
        <f t="shared" ca="1" si="58"/>
        <v>8.8191699348555157E-6</v>
      </c>
      <c r="AH109" s="58">
        <f t="shared" ca="1" si="58"/>
        <v>8.8191699348555157E-6</v>
      </c>
      <c r="AI109" s="551" t="s">
        <v>336</v>
      </c>
      <c r="AJ109" s="507">
        <f t="shared" ca="1" si="42"/>
        <v>4.8185856458515789E-5</v>
      </c>
      <c r="AK109" s="507">
        <f t="shared" ca="1" si="42"/>
        <v>4.8185856458515789E-5</v>
      </c>
      <c r="AL109" s="507">
        <f t="shared" ca="1" si="43"/>
        <v>5.2604014124952923E-5</v>
      </c>
      <c r="AM109" s="507">
        <f t="shared" ca="1" si="43"/>
        <v>5.2604014124952923E-5</v>
      </c>
      <c r="AN109" s="507">
        <f t="shared" ca="1" si="44"/>
        <v>-1.0975853735943928E-5</v>
      </c>
      <c r="AO109" s="507">
        <f t="shared" ca="1" si="44"/>
        <v>-1.0975853735943928E-5</v>
      </c>
      <c r="AP109" s="507">
        <f t="shared" ca="1" si="45"/>
        <v>-7.6912763508152662E-6</v>
      </c>
      <c r="AQ109" s="507">
        <f t="shared" ca="1" si="45"/>
        <v>-7.6912763508152662E-6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0.11270030278847697</v>
      </c>
      <c r="AY109" s="541">
        <f t="shared" ca="1" si="61"/>
        <v>0.11270030278847697</v>
      </c>
      <c r="AZ109" s="541">
        <f t="shared" ca="1" si="62"/>
        <v>9.6562815404663493E-2</v>
      </c>
      <c r="BA109" s="541">
        <f t="shared" ca="1" si="62"/>
        <v>9.6562815404663493E-2</v>
      </c>
      <c r="BB109" s="550">
        <f t="shared" ca="1" si="50"/>
        <v>0.45472969915998962</v>
      </c>
      <c r="BC109" s="550">
        <f t="shared" ca="1" si="50"/>
        <v>0.45472969915998962</v>
      </c>
      <c r="BD109" s="550">
        <f t="shared" ca="1" si="51"/>
        <v>0.11270030278847698</v>
      </c>
      <c r="BE109" s="550">
        <f t="shared" ca="1" si="51"/>
        <v>0.11270030278847698</v>
      </c>
    </row>
    <row r="110" spans="1:57" x14ac:dyDescent="0.25">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4.451459461829313E-4</v>
      </c>
      <c r="M110" s="544">
        <f t="shared" ca="1" si="52"/>
        <v>4.451459461829313E-4</v>
      </c>
      <c r="N110" s="542" t="s">
        <v>336</v>
      </c>
      <c r="O110" s="544">
        <f t="shared" ca="1" si="53"/>
        <v>4.8596134554196779E-4</v>
      </c>
      <c r="P110" s="544">
        <f t="shared" ca="1" si="53"/>
        <v>4.8596134554196779E-4</v>
      </c>
      <c r="Q110" s="542" t="s">
        <v>336</v>
      </c>
      <c r="R110" s="543">
        <f t="shared" ca="1" si="54"/>
        <v>4.0303781802824685E-5</v>
      </c>
      <c r="S110" s="543">
        <f t="shared" ca="1" si="54"/>
        <v>4.0303781802824685E-5</v>
      </c>
      <c r="T110" s="542" t="s">
        <v>336</v>
      </c>
      <c r="U110" s="543">
        <f t="shared" ca="1" si="55"/>
        <v>4.3999232618602179E-5</v>
      </c>
      <c r="V110" s="543">
        <f t="shared" ca="1" si="55"/>
        <v>4.3999232618602179E-5</v>
      </c>
      <c r="W110" s="542" t="s">
        <v>336</v>
      </c>
      <c r="X110" s="544">
        <f t="shared" ca="1" si="56"/>
        <v>3.7606938996015502E-3</v>
      </c>
      <c r="Y110" s="544">
        <f t="shared" ca="1" si="56"/>
        <v>3.7606938996015502E-3</v>
      </c>
      <c r="Z110" s="542" t="s">
        <v>336</v>
      </c>
      <c r="AA110" s="544">
        <f t="shared" ca="1" si="57"/>
        <v>2.5144183562997155E-3</v>
      </c>
      <c r="AB110" s="544">
        <f t="shared" ca="1" si="57"/>
        <v>2.5144183562997155E-3</v>
      </c>
      <c r="AC110" s="542" t="s">
        <v>336</v>
      </c>
      <c r="AD110" s="543">
        <f t="shared" ca="1" si="40"/>
        <v>2.9130312172418044E-3</v>
      </c>
      <c r="AE110" s="543">
        <f t="shared" ca="1" si="40"/>
        <v>2.9130312172418044E-3</v>
      </c>
      <c r="AF110" s="542" t="s">
        <v>336</v>
      </c>
      <c r="AG110" s="543">
        <f t="shared" ca="1" si="58"/>
        <v>2.0288197251207818E-3</v>
      </c>
      <c r="AH110" s="543">
        <f t="shared" ca="1" si="58"/>
        <v>2.0288197251207818E-3</v>
      </c>
      <c r="AI110" s="542" t="s">
        <v>336</v>
      </c>
      <c r="AJ110" s="541">
        <f t="shared" ca="1" si="42"/>
        <v>4.0484216438010662E-4</v>
      </c>
      <c r="AK110" s="541">
        <f t="shared" ca="1" si="42"/>
        <v>4.0484216438010662E-4</v>
      </c>
      <c r="AL110" s="541">
        <f t="shared" ca="1" si="43"/>
        <v>4.419621129233656E-4</v>
      </c>
      <c r="AM110" s="541">
        <f t="shared" ca="1" si="43"/>
        <v>4.419621129233656E-4</v>
      </c>
      <c r="AN110" s="541">
        <f t="shared" ca="1" si="44"/>
        <v>8.4766268235974586E-4</v>
      </c>
      <c r="AO110" s="541">
        <f t="shared" ca="1" si="44"/>
        <v>8.4766268235974586E-4</v>
      </c>
      <c r="AP110" s="541">
        <f t="shared" ca="1" si="45"/>
        <v>4.8559863117893362E-4</v>
      </c>
      <c r="AQ110" s="541">
        <f t="shared" ca="1" si="45"/>
        <v>4.8559863117893362E-4</v>
      </c>
      <c r="AR110" s="810"/>
      <c r="AS110" s="810" t="s">
        <v>249</v>
      </c>
      <c r="AT110" s="506">
        <f ca="1">AJ111/SUM($C40:$C59)</f>
        <v>0.26846151228922843</v>
      </c>
      <c r="AU110" s="506">
        <f ca="1">AK111/SUM($C40:$C59)</f>
        <v>0.46433864342751119</v>
      </c>
      <c r="AV110" s="506">
        <f ca="1">AL111/SUM($C60:$C79)</f>
        <v>0.26846151228922843</v>
      </c>
      <c r="AW110" s="506">
        <f ca="1">AM111/SUM($C60:$C79)</f>
        <v>0.46433864342751113</v>
      </c>
      <c r="AX110" s="506">
        <f ca="1">AN111/SUM($J40:$J59)</f>
        <v>-3.355718122590657E-2</v>
      </c>
      <c r="AY110" s="506">
        <f ca="1">AO111/SUM($J40:$J59)</f>
        <v>-4.9219262953540725E-2</v>
      </c>
      <c r="AZ110" s="506">
        <f ca="1">AP111/SUM($J60:$J79)</f>
        <v>-3.3720707010929198E-2</v>
      </c>
      <c r="BA110" s="506">
        <f ca="1">AQ111/SUM($J60:$J79)</f>
        <v>-4.9382788738563367E-2</v>
      </c>
      <c r="BB110" s="506"/>
      <c r="BC110" s="506"/>
      <c r="BD110" s="506"/>
      <c r="BE110" s="506"/>
    </row>
    <row r="111" spans="1:57" x14ac:dyDescent="0.25">
      <c r="K111" s="244" t="s">
        <v>784</v>
      </c>
      <c r="L111" s="137">
        <f ca="1">SUM(L91:L110)</f>
        <v>0.27908469272626812</v>
      </c>
      <c r="M111" s="137">
        <f ca="1">SUM(M91:M110)</f>
        <v>0.48215957818217281</v>
      </c>
      <c r="N111" s="540" t="s">
        <v>336</v>
      </c>
      <c r="O111" s="137">
        <f ca="1">SUM(O91:O110)</f>
        <v>0.30467394785998902</v>
      </c>
      <c r="P111" s="137">
        <f ca="1">SUM(P91:P110)</f>
        <v>0.52636875476131362</v>
      </c>
      <c r="Q111" s="540" t="s">
        <v>336</v>
      </c>
      <c r="R111" s="137">
        <f ca="1">SUM(R91:R110)</f>
        <v>1.4079033681190748E-3</v>
      </c>
      <c r="S111" s="137">
        <f ca="1">SUM(S91:S110)</f>
        <v>1.8819302526634212E-3</v>
      </c>
      <c r="T111" s="540" t="s">
        <v>336</v>
      </c>
      <c r="U111" s="137">
        <f ca="1">SUM(U91:U110)</f>
        <v>1.5369939253205055E-3</v>
      </c>
      <c r="V111" s="137">
        <f ca="1">SUM(V91:V110)</f>
        <v>2.0544843003571286E-3</v>
      </c>
      <c r="W111" s="540" t="s">
        <v>336</v>
      </c>
      <c r="X111" s="137">
        <f ca="1">SUM(X91:X110)</f>
        <v>4.2245271684455951E-2</v>
      </c>
      <c r="Y111" s="137">
        <f ca="1">SUM(Y91:Y110)</f>
        <v>4.832717435905403E-2</v>
      </c>
      <c r="Z111" s="540" t="s">
        <v>336</v>
      </c>
      <c r="AA111" s="137">
        <f ca="1">SUM(AA91:AA110)</f>
        <v>2.8245395511056891E-2</v>
      </c>
      <c r="AB111" s="137">
        <f ca="1">SUM(AB91:AB110)</f>
        <v>3.2311785420604693E-2</v>
      </c>
      <c r="AC111" s="540" t="s">
        <v>336</v>
      </c>
      <c r="AD111" s="137">
        <f ca="1">SUM(AD91:AD110)</f>
        <v>0.10568011069605315</v>
      </c>
      <c r="AE111" s="137">
        <f ca="1">SUM(AE91:AE110)</f>
        <v>0.14136883959036778</v>
      </c>
      <c r="AF111" s="540" t="s">
        <v>336</v>
      </c>
      <c r="AG111" s="137">
        <f ca="1">SUM(AG91:AG110)</f>
        <v>7.0864919358879688E-2</v>
      </c>
      <c r="AH111" s="137">
        <f ca="1">SUM(AH91:AH110)</f>
        <v>9.4726578254961738E-2</v>
      </c>
      <c r="AI111" s="540" t="s">
        <v>336</v>
      </c>
      <c r="AJ111" s="506">
        <f t="shared" ref="AJ111:AQ111" ca="1" si="64">SUM(AJ91:AJ110)</f>
        <v>0.27767678935814899</v>
      </c>
      <c r="AK111" s="506">
        <f t="shared" ca="1" si="64"/>
        <v>0.48027764792950922</v>
      </c>
      <c r="AL111" s="506">
        <f t="shared" ca="1" si="64"/>
        <v>0.30313695393466844</v>
      </c>
      <c r="AM111" s="506">
        <f t="shared" ca="1" si="64"/>
        <v>0.52431427046095636</v>
      </c>
      <c r="AN111" s="506">
        <f t="shared" ca="1" si="64"/>
        <v>-6.3434839011597202E-2</v>
      </c>
      <c r="AO111" s="506">
        <f t="shared" ca="1" si="64"/>
        <v>-9.3041665231313769E-2</v>
      </c>
      <c r="AP111" s="506">
        <f t="shared" ca="1" si="64"/>
        <v>-4.2619523847822825E-2</v>
      </c>
      <c r="AQ111" s="506">
        <f t="shared" ca="1" si="64"/>
        <v>-6.2414792834357066E-2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0.58081374329281743</v>
      </c>
      <c r="AK113" s="506">
        <f ca="1">AK111+AM111</f>
        <v>1.0045919183904655</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2" t="s">
        <v>101</v>
      </c>
      <c r="B119" s="812" t="s">
        <v>752</v>
      </c>
      <c r="C119" s="539">
        <f t="shared" ref="C119:E120" ca="1" si="65">C32</f>
        <v>1.0343262503080608</v>
      </c>
      <c r="D119" s="539">
        <f t="shared" ca="1" si="65"/>
        <v>1.0343262503080608</v>
      </c>
      <c r="E119" s="539">
        <f t="shared" ca="1" si="65"/>
        <v>1.0343262503080608</v>
      </c>
      <c r="F119" s="539" t="s">
        <v>336</v>
      </c>
      <c r="G119" s="539">
        <f ca="1">G32</f>
        <v>1.0343262503080608</v>
      </c>
      <c r="H119" s="539">
        <f ca="1">H32</f>
        <v>1.0343262503080608</v>
      </c>
      <c r="I119" s="539" t="s">
        <v>336</v>
      </c>
      <c r="J119" s="539">
        <f t="shared" ref="J119:L120" ca="1" si="66">J32</f>
        <v>1.8903506401373393</v>
      </c>
      <c r="K119" s="539">
        <f t="shared" ca="1" si="66"/>
        <v>1.8903506401373393</v>
      </c>
      <c r="L119" s="539">
        <f t="shared" ca="1" si="66"/>
        <v>1.8903506401373393</v>
      </c>
      <c r="M119" s="539" t="s">
        <v>336</v>
      </c>
      <c r="N119" s="539">
        <f ca="1">N32</f>
        <v>1.8903506401373393</v>
      </c>
      <c r="O119" s="539">
        <f ca="1">O32</f>
        <v>1.8903506401373393</v>
      </c>
      <c r="P119" s="539" t="s">
        <v>336</v>
      </c>
    </row>
    <row r="120" spans="1:39" x14ac:dyDescent="0.25">
      <c r="A120" s="812" t="s">
        <v>101</v>
      </c>
      <c r="B120" s="812" t="s">
        <v>754</v>
      </c>
      <c r="C120" s="539">
        <f t="shared" ca="1" si="65"/>
        <v>1.129163548807258</v>
      </c>
      <c r="D120" s="539">
        <f t="shared" ca="1" si="65"/>
        <v>1.129163548807258</v>
      </c>
      <c r="E120" s="539">
        <f t="shared" ca="1" si="65"/>
        <v>1.129163548807258</v>
      </c>
      <c r="F120" s="539" t="s">
        <v>336</v>
      </c>
      <c r="G120" s="539">
        <f ca="1">G33</f>
        <v>1.129163548807258</v>
      </c>
      <c r="H120" s="539">
        <f ca="1">H33</f>
        <v>1.129163548807258</v>
      </c>
      <c r="I120" s="539" t="s">
        <v>336</v>
      </c>
      <c r="J120" s="539">
        <f t="shared" ca="1" si="66"/>
        <v>1.2638976944940516</v>
      </c>
      <c r="K120" s="539">
        <f t="shared" ca="1" si="66"/>
        <v>1.2638976944940516</v>
      </c>
      <c r="L120" s="539">
        <f t="shared" ca="1" si="66"/>
        <v>1.2638976944940516</v>
      </c>
      <c r="M120" s="539" t="s">
        <v>336</v>
      </c>
      <c r="N120" s="539">
        <f ca="1">N33</f>
        <v>1.2638976944940516</v>
      </c>
      <c r="O120" s="539">
        <f ca="1">O33</f>
        <v>1.2638976944940516</v>
      </c>
      <c r="P120" s="539" t="s">
        <v>336</v>
      </c>
    </row>
    <row r="121" spans="1:39" x14ac:dyDescent="0.25">
      <c r="A121" s="813" t="s">
        <v>101</v>
      </c>
      <c r="B121" s="813" t="s">
        <v>792</v>
      </c>
      <c r="C121" s="535">
        <f ca="1">IFERROR(C122-SUM(C119:C120),"-")</f>
        <v>0.58472357687687371</v>
      </c>
      <c r="D121" s="535">
        <f ca="1">IFERROR(D122-SUM(D119:D120),"-")</f>
        <v>0.58472357687687371</v>
      </c>
      <c r="E121" s="535">
        <f ca="1">IFERROR(E122-SUM(E119:E120),"-")</f>
        <v>0.58472357687687371</v>
      </c>
      <c r="F121" s="535" t="s">
        <v>336</v>
      </c>
      <c r="G121" s="535">
        <f ca="1">IFERROR(G122-SUM(G119:G120),"-")</f>
        <v>0.58472357687687371</v>
      </c>
      <c r="H121" s="535">
        <f ca="1">IFERROR(H122-SUM(H119:H120),"-")</f>
        <v>0.58472357687687371</v>
      </c>
      <c r="I121" s="535" t="s">
        <v>336</v>
      </c>
      <c r="J121" s="535">
        <f ca="1">IFERROR(J122-SUM(J119:J120),"-")</f>
        <v>1.0686498457555187</v>
      </c>
      <c r="K121" s="535">
        <f ca="1">IFERROR(K122-SUM(K119:K120),"-")</f>
        <v>1.0686498457555187</v>
      </c>
      <c r="L121" s="535">
        <f ca="1">IFERROR(L122-SUM(L119:L120),"-")</f>
        <v>1.0686498457555187</v>
      </c>
      <c r="M121" s="535" t="s">
        <v>336</v>
      </c>
      <c r="N121" s="535">
        <f ca="1">IFERROR(N122-SUM(N119:N120),"-")</f>
        <v>1.0686498457555187</v>
      </c>
      <c r="O121" s="535">
        <f ca="1">IFERROR(O122-SUM(O119:O120),"-")</f>
        <v>1.0686498457555187</v>
      </c>
      <c r="P121" s="535" t="s">
        <v>336</v>
      </c>
    </row>
    <row r="122" spans="1:39" x14ac:dyDescent="0.25">
      <c r="A122" s="348" t="s">
        <v>101</v>
      </c>
      <c r="B122" s="348" t="s">
        <v>793</v>
      </c>
      <c r="C122" s="534">
        <f ca="1">C26</f>
        <v>2.7482133759921927</v>
      </c>
      <c r="D122" s="534">
        <f ca="1">D26</f>
        <v>2.7482133759921927</v>
      </c>
      <c r="E122" s="534">
        <f ca="1">E26</f>
        <v>2.7482133759921927</v>
      </c>
      <c r="F122" s="534" t="s">
        <v>336</v>
      </c>
      <c r="G122" s="534">
        <f ca="1">G26</f>
        <v>2.7482133759921927</v>
      </c>
      <c r="H122" s="534">
        <f ca="1">H26</f>
        <v>2.7482133759921927</v>
      </c>
      <c r="I122" s="534" t="s">
        <v>336</v>
      </c>
      <c r="J122" s="534">
        <f ca="1">J26</f>
        <v>4.2228981803869097</v>
      </c>
      <c r="K122" s="534">
        <f ca="1">K26</f>
        <v>4.2228981803869097</v>
      </c>
      <c r="L122" s="534">
        <f ca="1">L26</f>
        <v>4.2228981803869097</v>
      </c>
      <c r="M122" s="534" t="s">
        <v>336</v>
      </c>
      <c r="N122" s="534">
        <f ca="1">N26</f>
        <v>4.2228981803869097</v>
      </c>
      <c r="O122" s="534">
        <f ca="1">O26</f>
        <v>4.2228981803869097</v>
      </c>
      <c r="P122" s="534" t="s">
        <v>336</v>
      </c>
    </row>
    <row r="123" spans="1:39" x14ac:dyDescent="0.25">
      <c r="A123" s="812" t="s">
        <v>722</v>
      </c>
      <c r="B123" s="812" t="s">
        <v>752</v>
      </c>
      <c r="C123" s="133">
        <f ca="1">C119</f>
        <v>1.0343262503080608</v>
      </c>
      <c r="D123" s="537">
        <f ca="1">D119-L$111+R$111</f>
        <v>0.7566494609499117</v>
      </c>
      <c r="E123" s="537">
        <f ca="1">E119-M$111+S$111</f>
        <v>0.55404860237855136</v>
      </c>
      <c r="F123" s="538" t="s">
        <v>336</v>
      </c>
      <c r="G123" s="521">
        <f ca="1">G119</f>
        <v>1.0343262503080608</v>
      </c>
      <c r="H123" s="521">
        <f ca="1">H119</f>
        <v>1.0343262503080608</v>
      </c>
      <c r="I123" s="538" t="s">
        <v>336</v>
      </c>
      <c r="J123" s="133">
        <f ca="1">J119</f>
        <v>1.8903506401373393</v>
      </c>
      <c r="K123" s="537">
        <f ca="1">K119-X$111+AD$111</f>
        <v>1.9537854791489366</v>
      </c>
      <c r="L123" s="537">
        <f ca="1">L119-Y$111+AE$111</f>
        <v>1.9833923053686531</v>
      </c>
      <c r="M123" s="538" t="s">
        <v>336</v>
      </c>
      <c r="N123" s="521">
        <f ca="1">N119</f>
        <v>1.8903506401373393</v>
      </c>
      <c r="O123" s="521">
        <f ca="1">O119</f>
        <v>1.8903506401373393</v>
      </c>
      <c r="P123" s="538" t="s">
        <v>336</v>
      </c>
    </row>
    <row r="124" spans="1:39" x14ac:dyDescent="0.25">
      <c r="A124" s="812" t="s">
        <v>722</v>
      </c>
      <c r="B124" s="812" t="s">
        <v>754</v>
      </c>
      <c r="C124" s="133">
        <f ca="1">C120</f>
        <v>1.129163548807258</v>
      </c>
      <c r="D124" s="521">
        <f ca="1">D120</f>
        <v>1.129163548807258</v>
      </c>
      <c r="E124" s="521">
        <f ca="1">E120</f>
        <v>1.129163548807258</v>
      </c>
      <c r="F124" s="536" t="s">
        <v>336</v>
      </c>
      <c r="G124" s="537">
        <f ca="1">G120-O$111+U$111</f>
        <v>0.82602659487258945</v>
      </c>
      <c r="H124" s="537">
        <f ca="1">H120-P$111+V$111</f>
        <v>0.60484927834630153</v>
      </c>
      <c r="I124" s="536" t="s">
        <v>336</v>
      </c>
      <c r="J124" s="133">
        <f ca="1">J120</f>
        <v>1.2638976944940516</v>
      </c>
      <c r="K124" s="521">
        <f ca="1">K120</f>
        <v>1.2638976944940516</v>
      </c>
      <c r="L124" s="521">
        <f ca="1">L120</f>
        <v>1.2638976944940516</v>
      </c>
      <c r="M124" s="536" t="s">
        <v>336</v>
      </c>
      <c r="N124" s="537">
        <f ca="1">N120-AA$111+AG$111</f>
        <v>1.3065172183418745</v>
      </c>
      <c r="O124" s="537">
        <f ca="1">O120-AB$111+AH$111</f>
        <v>1.3263124873284087</v>
      </c>
      <c r="P124" s="536" t="s">
        <v>336</v>
      </c>
    </row>
    <row r="125" spans="1:39" x14ac:dyDescent="0.25">
      <c r="A125" s="813" t="s">
        <v>722</v>
      </c>
      <c r="B125" s="813" t="s">
        <v>792</v>
      </c>
      <c r="C125" s="527">
        <f ca="1">C121</f>
        <v>0.58472357687687371</v>
      </c>
      <c r="D125" s="527">
        <f ca="1">D121</f>
        <v>0.58472357687687371</v>
      </c>
      <c r="E125" s="527">
        <f ca="1">E121</f>
        <v>0.58472357687687371</v>
      </c>
      <c r="F125" s="535" t="s">
        <v>336</v>
      </c>
      <c r="G125" s="527">
        <f ca="1">G121</f>
        <v>0.58472357687687371</v>
      </c>
      <c r="H125" s="527">
        <f ca="1">H121</f>
        <v>0.58472357687687371</v>
      </c>
      <c r="I125" s="535" t="s">
        <v>336</v>
      </c>
      <c r="J125" s="527">
        <f ca="1">J121</f>
        <v>1.0686498457555187</v>
      </c>
      <c r="K125" s="527">
        <f ca="1">K121</f>
        <v>1.0686498457555187</v>
      </c>
      <c r="L125" s="527">
        <f ca="1">L121</f>
        <v>1.0686498457555187</v>
      </c>
      <c r="M125" s="535" t="s">
        <v>336</v>
      </c>
      <c r="N125" s="527">
        <f ca="1">N121</f>
        <v>1.0686498457555187</v>
      </c>
      <c r="O125" s="527">
        <f ca="1">O121</f>
        <v>1.0686498457555187</v>
      </c>
      <c r="P125" s="535" t="s">
        <v>336</v>
      </c>
    </row>
    <row r="126" spans="1:39" x14ac:dyDescent="0.25">
      <c r="A126" s="348" t="s">
        <v>722</v>
      </c>
      <c r="B126" s="348" t="s">
        <v>793</v>
      </c>
      <c r="C126" s="466">
        <f ca="1">SUM(C123:C125)</f>
        <v>2.7482133759921927</v>
      </c>
      <c r="D126" s="466">
        <f ca="1">SUM(D123:D125)</f>
        <v>2.4705365866340436</v>
      </c>
      <c r="E126" s="466">
        <f ca="1">SUM(E123:E125)</f>
        <v>2.2679357280626831</v>
      </c>
      <c r="F126" s="534" t="s">
        <v>336</v>
      </c>
      <c r="G126" s="466">
        <f ca="1">SUM(G123:G125)</f>
        <v>2.4450764220575238</v>
      </c>
      <c r="H126" s="466">
        <f ca="1">SUM(H123:H125)</f>
        <v>2.223899105531236</v>
      </c>
      <c r="I126" s="534" t="s">
        <v>336</v>
      </c>
      <c r="J126" s="466">
        <f ca="1">SUM(J123:J125)</f>
        <v>4.2228981803869097</v>
      </c>
      <c r="K126" s="466">
        <f ca="1">SUM(K123:K125)</f>
        <v>4.2863330193985067</v>
      </c>
      <c r="L126" s="466">
        <f ca="1">SUM(L123:L125)</f>
        <v>4.3159398456182236</v>
      </c>
      <c r="M126" s="534" t="s">
        <v>336</v>
      </c>
      <c r="N126" s="466">
        <f ca="1">SUM(N123:N125)</f>
        <v>4.2655177042347328</v>
      </c>
      <c r="O126" s="466">
        <f ca="1">SUM(O123:O125)</f>
        <v>4.2853129732212665</v>
      </c>
      <c r="P126" s="534" t="s">
        <v>336</v>
      </c>
    </row>
    <row r="127" spans="1:39" x14ac:dyDescent="0.25">
      <c r="A127" s="363" t="s">
        <v>794</v>
      </c>
      <c r="B127" s="363" t="s">
        <v>793</v>
      </c>
      <c r="C127" s="532">
        <f ca="1">C122-C126</f>
        <v>0</v>
      </c>
      <c r="D127" s="532">
        <f ca="1">D122-D126</f>
        <v>0.2776767893581491</v>
      </c>
      <c r="E127" s="532">
        <f ca="1">E122-E126</f>
        <v>0.48027764792950967</v>
      </c>
      <c r="F127" s="533" t="s">
        <v>336</v>
      </c>
      <c r="G127" s="532">
        <f ca="1">G122-G126</f>
        <v>0.30313695393466888</v>
      </c>
      <c r="H127" s="532">
        <f ca="1">H122-H126</f>
        <v>0.52431427046095669</v>
      </c>
      <c r="I127" s="533" t="s">
        <v>336</v>
      </c>
      <c r="J127" s="532">
        <f ca="1">J122-J126</f>
        <v>0</v>
      </c>
      <c r="K127" s="532">
        <f ca="1">K122-K126</f>
        <v>-6.3434839011597077E-2</v>
      </c>
      <c r="L127" s="532">
        <f ca="1">L122-L126</f>
        <v>-9.3041665231313964E-2</v>
      </c>
      <c r="M127" s="533" t="s">
        <v>336</v>
      </c>
      <c r="N127" s="532">
        <f ca="1">N122-N126</f>
        <v>-4.2619523847823082E-2</v>
      </c>
      <c r="O127" s="532">
        <f ca="1">O122-O126</f>
        <v>-6.2414792834356803E-2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A2762-91B2-47F0-B94B-416F4E1EEF7D}">
  <sheetPr>
    <tabColor rgb="FFCCFFCC"/>
  </sheetPr>
  <dimension ref="A1:AN68"/>
  <sheetViews>
    <sheetView zoomScale="80" zoomScaleNormal="80" workbookViewId="0">
      <selection activeCell="W40" sqref="W40"/>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2019</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171</v>
      </c>
      <c r="AI3" s="1" t="s">
        <v>109</v>
      </c>
      <c r="AJ3">
        <f>35-SUM(AJ4:AJ5)</f>
        <v>14</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0</v>
      </c>
      <c r="N4" s="834"/>
      <c r="O4" s="836">
        <f ca="1">IF(OFFSET(Summary!$D$5,MATCH(O6,Summary!$A$6:$A$18,0),MATCH($B$2,Summary!$E$5:$O$5,0))="n/a",0,OFFSET(Summary!$D$5,MATCH(O6,Summary!$A$6:$A$18,0),MATCH($B$2,Summary!$E$5:$O$5,0)))</f>
        <v>0</v>
      </c>
      <c r="P4" s="834"/>
      <c r="Q4" s="809">
        <f ca="1">IFERROR(IF(VALUE(LEFT(OFFSET(Summary!$D$13,0,MATCH($B$2,Summary!$E$5:$O$5,0)),FIND("/",OFFSET(Summary!$D$13,0,MATCH($B$2,Summary!$E$5:$O$5,0)))-1))="n/a",0,VALUE(LEFT(OFFSET(Summary!$D$13,0,MATCH($B$2,Summary!$E$5:$O$5,0)),FIND("/",OFFSET(Summary!$D$13,0,MATCH($B$2,Summary!$E$5:$O$5,0)))-1))),0)</f>
        <v>0</v>
      </c>
      <c r="R4" s="809">
        <f ca="1">IFERROR(IF(VALUE(MID(OFFSET(Summary!$D$13,0,MATCH($B$2,Summary!$E$5:$O$5,0)),FIND("/",OFFSET(Summary!$D$13,0,MATCH($B$2,Summary!$E$5:$O$5,0)))+1,10))="n/a",0,VALUE(MID(OFFSET(Summary!$D$13,0,MATCH($B$2,Summary!$E$5:$O$5,0)),FIND("/",OFFSET(Summary!$D$13,0,MATCH($B$2,Summary!$E$5:$O$5,0)))+1,10))),0)</f>
        <v>0</v>
      </c>
      <c r="S4" s="836">
        <f ca="1">IF(OFFSET(Summary!$D$5,MATCH(S6,Summary!$A$6:$A$18,0),MATCH($B$2,Summary!$E$5:$O$5,0))="n/a",0,OFFSET(Summary!$D$5,MATCH(S6,Summary!$A$6:$A$18,0),MATCH($B$2,Summary!$E$5:$O$5,0)))</f>
        <v>0</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0.3</v>
      </c>
      <c r="AB4" s="833"/>
      <c r="AC4" s="833"/>
      <c r="AD4" s="833"/>
      <c r="AH4" s="1" t="s">
        <v>172</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173</v>
      </c>
      <c r="AI5" s="1" t="s">
        <v>118</v>
      </c>
      <c r="AJ5">
        <v>16</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2019BSR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0.61940720499595081</v>
      </c>
      <c r="D9" s="5">
        <f ca="1">INDIRECT("'DevSumOut-"&amp;$B$2&amp;"BSR'!P50")</f>
        <v>7.1607769363693716E-3</v>
      </c>
      <c r="E9" s="5">
        <f ca="1">OFFSET('WSCOReductions-5PctSIP'!$U$81,0,MATCH($B$2,'WSCOReductions-5PctSIP'!$X$78:$AQ$78,1)+2)</f>
        <v>8.0492164564340815E-2</v>
      </c>
      <c r="F9" s="5">
        <f ca="1">OFFSET('WSCOReductions-5PctSIP'!$U$84,0,MATCH($B$2,'WSCOReductions-5PctSIP'!$X$78:$AQ$78,1)+2)</f>
        <v>-6.8545461340764461E-4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0</v>
      </c>
      <c r="N9" s="5">
        <f ca="1">'BACM-R8'!O153*($B$2-$M$3+1)*$M$4/SCCRedFacsFull!$M$4</f>
        <v>0</v>
      </c>
      <c r="O9" s="5">
        <f ca="1">SCCRedFacsFull!O9*O$4/SCCRedFacsFull!O$4</f>
        <v>0</v>
      </c>
      <c r="P9" s="5">
        <f ca="1">SCCRedFacsFull!P9*O$4/SCCRedFacsFull!O$4</f>
        <v>0</v>
      </c>
      <c r="Q9" s="5">
        <f ca="1">IFERROR(OFFSET('STF-22'!$E$173,MATCH($B9,'STF-22'!$A$174:$A$191,0),MATCH($B$2,'STF-22'!$F$172:$AD$172,0))*Q$4/SCCRedFacsFull!Q$4,0)</f>
        <v>0</v>
      </c>
      <c r="R9" s="5">
        <f ca="1">IFERROR(OFFSET('STF-22'!$E$173,MATCH($B9,'STF-22'!$A$174:$A$191,0),MATCH($B$2,'STF-22'!$F$172:$AD$172,0)-1)*R$4/SCCRedFacsFull!R$4,0)</f>
        <v>0</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8.0492164564340829E-2</v>
      </c>
      <c r="Z9" s="510">
        <f ca="1">1-(1-F9)*(1-H9)*(1-J9)*(1-L9)*(1-N9)*(1-P9)*(1-R9)*(1-T9)*(1-X9)</f>
        <v>-6.8545461340763225E-4</v>
      </c>
      <c r="AA9" s="617">
        <f ca="1">VLOOKUP($B9,INDIRECT("'CurtailCalcs"&amp;$B$2&amp;"-2Stage'!$AS$91:$BE$109"),10,FALSE)</f>
        <v>0</v>
      </c>
      <c r="AB9" s="617">
        <f ca="1">VLOOKUP($B9,INDIRECT("'CurtailCalcs"&amp;$B$2&amp;"-2Stage'!$AS$91:$BE$109"),11,FALSE)</f>
        <v>0.28795766284735758</v>
      </c>
      <c r="AC9" s="617">
        <f ca="1">VLOOKUP($B9,INDIRECT("'CurtailCalcs"&amp;$B$2&amp;"-2Stage'!$AS$91:$BE$109"),12,FALSE)</f>
        <v>0</v>
      </c>
      <c r="AD9" s="617">
        <f ca="1">VLOOKUP($B9,INDIRECT("'CurtailCalcs"&amp;$B$2&amp;"-2Stage'!$AS$91:$BE$109"),13,FALSE)</f>
        <v>5.6185178519436274E-2</v>
      </c>
      <c r="AE9" s="510">
        <f ca="1">1-(1-$Y9)*(1-AA9)</f>
        <v>8.0492164564340829E-2</v>
      </c>
      <c r="AF9" s="510">
        <f ca="1">1-(1-$Y9)*(1-AB9)</f>
        <v>0.34527149182622596</v>
      </c>
      <c r="AG9" s="510">
        <f ca="1">1-(1-$Z9)*(1-AC9)</f>
        <v>-6.8545461340763225E-4</v>
      </c>
      <c r="AH9" s="510">
        <f ca="1">1-(1-$Z9)*(1-AD9)</f>
        <v>5.5538236295849974E-2</v>
      </c>
      <c r="AI9" s="530">
        <f ca="1">(Y9*$AJ$3+AE9*$AJ$4+AF9*$AJ$5)/35</f>
        <v>0.20153414274120263</v>
      </c>
      <c r="AJ9" s="530">
        <f ca="1">(Z9*$AJ$3+AG9*$AJ$4+AH9*$AJ$5)/35</f>
        <v>2.5016804087967272E-2</v>
      </c>
    </row>
    <row r="10" spans="1:36" x14ac:dyDescent="0.25">
      <c r="A10" s="812" t="s">
        <v>138</v>
      </c>
      <c r="B10" s="812">
        <v>2104008210</v>
      </c>
      <c r="C10" s="5">
        <f ca="1">INDIRECT("'DevSumOut-"&amp;$B$2&amp;"BSR'!R51")</f>
        <v>4.8342212751912826E-2</v>
      </c>
      <c r="D10" s="5">
        <f ca="1">INDIRECT("'DevSumOut-"&amp;$B$2&amp;"BSR'!P51")</f>
        <v>6.3192434969820688E-4</v>
      </c>
      <c r="E10" s="5">
        <f ca="1">OFFSET('WSCOReductions-5PctSIP'!$U$81,0,MATCH($B$2,'WSCOReductions-5PctSIP'!$X$78:$AQ$78,1)+2)</f>
        <v>8.0492164564340815E-2</v>
      </c>
      <c r="F10" s="5">
        <f ca="1">OFFSET('WSCOReductions-5PctSIP'!$U$84,0,MATCH($B$2,'WSCOReductions-5PctSIP'!$X$78:$AQ$78,1)+2)</f>
        <v>-6.8545461340764461E-4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v>
      </c>
      <c r="N10" s="5">
        <f ca="1">'BACM-R8'!O154*($B$2-$M$3+1)*$M$4/SCCRedFacsFull!$M$4</f>
        <v>0</v>
      </c>
      <c r="O10" s="5">
        <f ca="1">SCCRedFacsFull!O10*O$4/SCCRedFacsFull!O$4</f>
        <v>0</v>
      </c>
      <c r="P10" s="5">
        <f ca="1">SCCRedFacsFull!P10*O$4/SCCRedFacsFull!O$4</f>
        <v>0</v>
      </c>
      <c r="Q10" s="5">
        <f ca="1">IFERROR(OFFSET('STF-22'!$E$173,MATCH($B10,'STF-22'!$A$174:$A$191,0),MATCH($B$2,'STF-22'!$F$172:$AD$172,0))*Q$4/SCCRedFacsFull!Q$4,0)</f>
        <v>0</v>
      </c>
      <c r="R10" s="5">
        <f ca="1">IFERROR(OFFSET('STF-22'!$E$173,MATCH($B10,'STF-22'!$A$174:$A$191,0),MATCH($B$2,'STF-22'!$F$172:$AD$172,0)-1)*R$4/SCCRedFacsFull!R$4,0)</f>
        <v>0</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8.0492164564340829E-2</v>
      </c>
      <c r="Z10" s="510">
        <f t="shared" ca="1" si="0"/>
        <v>-6.8545461340763225E-4</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-1.0366561227460784</v>
      </c>
      <c r="AD10" s="617">
        <f ca="1">VLOOKUP($B10,INDIRECT("'CurtailCalcs"&amp;$B$2&amp;"-2Stage'!$AS$91:$BE$109"),13,FALSE)</f>
        <v>-1.0366561227460784</v>
      </c>
      <c r="AE10" s="510">
        <f t="shared" ref="AE10:AF26" ca="1" si="1">1-(1-$Y10)*(1-AA10)</f>
        <v>0.34505888890313763</v>
      </c>
      <c r="AF10" s="510">
        <f t="shared" ca="1" si="1"/>
        <v>0.34505888890313763</v>
      </c>
      <c r="AG10" s="510">
        <f t="shared" ref="AG10:AH26" ca="1" si="2">1-(1-$Z10)*(1-AC10)</f>
        <v>-1.0380521580813395</v>
      </c>
      <c r="AH10" s="510">
        <f t="shared" ca="1" si="2"/>
        <v>-1.0380521580813395</v>
      </c>
      <c r="AI10" s="530">
        <f t="shared" ref="AI10:AI26" ca="1" si="3">(Y10*$AJ$3+AE10*$AJ$4+AF10*$AJ$5)/35</f>
        <v>0.23923219916761887</v>
      </c>
      <c r="AJ10" s="530">
        <f t="shared" ref="AJ10:AJ26" ca="1" si="4">(Z10*$AJ$3+AG10*$AJ$4+AH10*$AJ$5)/35</f>
        <v>-0.62310547669416683</v>
      </c>
    </row>
    <row r="11" spans="1:36" x14ac:dyDescent="0.25">
      <c r="A11" s="812" t="s">
        <v>139</v>
      </c>
      <c r="B11" s="812">
        <v>2104008220</v>
      </c>
      <c r="C11" s="5">
        <f ca="1">INDIRECT("'DevSumOut-"&amp;$B$2&amp;"BSR'!R52")</f>
        <v>3.9913914924064896E-2</v>
      </c>
      <c r="D11" s="5">
        <f ca="1">INDIRECT("'DevSumOut-"&amp;$B$2&amp;"BSR'!P52")</f>
        <v>1.3304638308021637E-3</v>
      </c>
      <c r="E11" s="5">
        <f ca="1">OFFSET('WSCOReductions-5PctSIP'!$U$81,0,MATCH($B$2,'WSCOReductions-5PctSIP'!$X$78:$AQ$78,1)+2)</f>
        <v>8.0492164564340815E-2</v>
      </c>
      <c r="F11" s="5">
        <f ca="1">OFFSET('WSCOReductions-5PctSIP'!$U$84,0,MATCH($B$2,'WSCOReductions-5PctSIP'!$X$78:$AQ$78,1)+2)</f>
        <v>-6.8545461340764461E-4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0</v>
      </c>
      <c r="N11" s="5">
        <f ca="1">'BACM-R8'!O155*($B$2-$M$3+1)*$M$4/SCCRedFacsFull!$M$4</f>
        <v>0</v>
      </c>
      <c r="O11" s="5">
        <f ca="1">SCCRedFacsFull!O11*O$4/SCCRedFacsFull!O$4</f>
        <v>0</v>
      </c>
      <c r="P11" s="5">
        <f ca="1">SCCRedFacsFull!P11*O$4/SCCRedFacsFull!O$4</f>
        <v>0</v>
      </c>
      <c r="Q11" s="5">
        <f ca="1">IFERROR(OFFSET('STF-22'!$E$173,MATCH($B11,'STF-22'!$A$174:$A$191,0),MATCH($B$2,'STF-22'!$F$172:$AD$172,0))*Q$4/SCCRedFacsFull!Q$4,0)</f>
        <v>0</v>
      </c>
      <c r="R11" s="5">
        <f ca="1">IFERROR(OFFSET('STF-22'!$E$173,MATCH($B11,'STF-22'!$A$174:$A$191,0),MATCH($B$2,'STF-22'!$F$172:$AD$172,0)-1)*R$4/SCCRedFacsFull!R$4,0)</f>
        <v>0</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8.0492164564340829E-2</v>
      </c>
      <c r="Z11" s="510">
        <f t="shared" ca="1" si="0"/>
        <v>-6.8545461340763225E-4</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0.3510151744037695</v>
      </c>
      <c r="AF11" s="510">
        <f t="shared" ca="1" si="1"/>
        <v>0.34425209915778376</v>
      </c>
      <c r="AG11" s="510">
        <f t="shared" ca="1" si="2"/>
        <v>-1.948360713921836</v>
      </c>
      <c r="AH11" s="510">
        <f t="shared" ca="1" si="2"/>
        <v>-1.8996688324391249</v>
      </c>
      <c r="AI11" s="530">
        <f t="shared" ca="1" si="3"/>
        <v>0.23971427892697597</v>
      </c>
      <c r="AJ11" s="530">
        <f t="shared" ca="1" si="4"/>
        <v>-1.1470314643777966</v>
      </c>
    </row>
    <row r="12" spans="1:36" x14ac:dyDescent="0.25">
      <c r="A12" s="812" t="s">
        <v>140</v>
      </c>
      <c r="B12" s="812">
        <v>2104008230</v>
      </c>
      <c r="C12" s="5">
        <f ca="1">INDIRECT("'DevSumOut-"&amp;$B$2&amp;"BSR'!R53")</f>
        <v>2.6033690801683388E-2</v>
      </c>
      <c r="D12" s="5">
        <f ca="1">INDIRECT("'DevSumOut-"&amp;$B$2&amp;"BSR'!P53")</f>
        <v>8.0103664005179648E-4</v>
      </c>
      <c r="E12" s="5">
        <f ca="1">OFFSET('WSCOReductions-5PctSIP'!$U$81,0,MATCH($B$2,'WSCOReductions-5PctSIP'!$X$78:$AQ$78,1)+2)</f>
        <v>8.0492164564340815E-2</v>
      </c>
      <c r="F12" s="5">
        <f ca="1">OFFSET('WSCOReductions-5PctSIP'!$U$84,0,MATCH($B$2,'WSCOReductions-5PctSIP'!$X$78:$AQ$78,1)+2)</f>
        <v>-6.8545461340764461E-4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0</v>
      </c>
      <c r="N12" s="5">
        <f ca="1">'BACM-R8'!O156*($B$2-$M$3+1)*$M$4/SCCRedFacsFull!$M$4</f>
        <v>0</v>
      </c>
      <c r="O12" s="5">
        <f ca="1">SCCRedFacsFull!O12*O$4/SCCRedFacsFull!O$4</f>
        <v>0</v>
      </c>
      <c r="P12" s="5">
        <f ca="1">SCCRedFacsFull!P12*O$4/SCCRedFacsFull!O$4</f>
        <v>0</v>
      </c>
      <c r="Q12" s="5">
        <f ca="1">IFERROR(OFFSET('STF-22'!$E$173,MATCH($B12,'STF-22'!$A$174:$A$191,0),MATCH($B$2,'STF-22'!$F$172:$AD$172,0))*Q$4/SCCRedFacsFull!Q$4,0)</f>
        <v>0</v>
      </c>
      <c r="R12" s="5">
        <f ca="1">IFERROR(OFFSET('STF-22'!$E$173,MATCH($B12,'STF-22'!$A$174:$A$191,0),MATCH($B$2,'STF-22'!$F$172:$AD$172,0)-1)*R$4/SCCRedFacsFull!R$4,0)</f>
        <v>0</v>
      </c>
      <c r="S12" s="5">
        <f ca="1">SCCRedFacsFull!S12*S$4/SCCRedFacsFull!S$4</f>
        <v>0</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8.0492164564340829E-2</v>
      </c>
      <c r="Z12" s="510">
        <f t="shared" ca="1" si="0"/>
        <v>-6.8545461340763225E-4</v>
      </c>
      <c r="AA12" s="617">
        <f t="shared" ca="1" si="5"/>
        <v>0.29422890297323068</v>
      </c>
      <c r="AB12" s="617">
        <f t="shared" ca="1" si="6"/>
        <v>0.28687318039889997</v>
      </c>
      <c r="AC12" s="617">
        <f t="shared" ca="1" si="7"/>
        <v>-2.0822032972365507</v>
      </c>
      <c r="AD12" s="617">
        <f t="shared" ca="1" si="8"/>
        <v>-2.0301482148056369</v>
      </c>
      <c r="AE12" s="510">
        <f t="shared" ca="1" si="1"/>
        <v>0.35103794625986473</v>
      </c>
      <c r="AF12" s="510">
        <f t="shared" ca="1" si="1"/>
        <v>0.34427430171747675</v>
      </c>
      <c r="AG12" s="510">
        <f t="shared" ca="1" si="2"/>
        <v>-2.0843160077061018</v>
      </c>
      <c r="AH12" s="510">
        <f t="shared" ca="1" si="2"/>
        <v>-2.0322252438787842</v>
      </c>
      <c r="AI12" s="530">
        <f t="shared" ca="1" si="3"/>
        <v>0.23972768179084925</v>
      </c>
      <c r="AJ12" s="530">
        <f t="shared" ca="1" si="4"/>
        <v>-1.2270508658622503</v>
      </c>
    </row>
    <row r="13" spans="1:36" x14ac:dyDescent="0.25">
      <c r="A13" s="812" t="s">
        <v>141</v>
      </c>
      <c r="B13" s="812">
        <v>2104008310</v>
      </c>
      <c r="C13" s="5">
        <f ca="1">INDIRECT("'DevSumOut-"&amp;$B$2&amp;"BSR'!R54")</f>
        <v>0.38928597450888475</v>
      </c>
      <c r="D13" s="5">
        <f ca="1">INDIRECT("'DevSumOut-"&amp;$B$2&amp;"BSR'!P54")</f>
        <v>1.2824412201731045E-2</v>
      </c>
      <c r="E13" s="5">
        <f ca="1">OFFSET('WSCOReductions-5PctSIP'!$U$81,0,MATCH($B$2,'WSCOReductions-5PctSIP'!$X$78:$AQ$78,1)+2)</f>
        <v>8.0492164564340815E-2</v>
      </c>
      <c r="F13" s="5">
        <f ca="1">OFFSET('WSCOReductions-5PctSIP'!$U$84,0,MATCH($B$2,'WSCOReductions-5PctSIP'!$X$78:$AQ$78,1)+2)</f>
        <v>-6.8545461340764461E-4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v>
      </c>
      <c r="N13" s="5">
        <f ca="1">'BACM-R8'!O157*($B$2-$M$3+1)*$M$4/SCCRedFacsFull!$M$4</f>
        <v>0</v>
      </c>
      <c r="O13" s="5">
        <f ca="1">SCCRedFacsFull!O13*O$4/SCCRedFacsFull!O$4</f>
        <v>0</v>
      </c>
      <c r="P13" s="5">
        <f ca="1">SCCRedFacsFull!P13*O$4/SCCRedFacsFull!O$4</f>
        <v>0</v>
      </c>
      <c r="Q13" s="5">
        <f ca="1">IFERROR(OFFSET('STF-22'!$E$173,MATCH($B13,'STF-22'!$A$174:$A$191,0),MATCH($B$2,'STF-22'!$F$172:$AD$172,0))*Q$4/SCCRedFacsFull!Q$4,0)</f>
        <v>0</v>
      </c>
      <c r="R13" s="5">
        <f ca="1">IFERROR(OFFSET('STF-22'!$E$173,MATCH($B13,'STF-22'!$A$174:$A$191,0),MATCH($B$2,'STF-22'!$F$172:$AD$172,0)-1)*R$4/SCCRedFacsFull!R$4,0)</f>
        <v>0</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8.0492164564340829E-2</v>
      </c>
      <c r="Z13" s="510">
        <f t="shared" ca="1" si="0"/>
        <v>-6.8545461340763225E-4</v>
      </c>
      <c r="AA13" s="617">
        <f t="shared" ca="1" si="5"/>
        <v>0.28706931613340025</v>
      </c>
      <c r="AB13" s="617">
        <f t="shared" ca="1" si="6"/>
        <v>0.28706931613340025</v>
      </c>
      <c r="AC13" s="617">
        <f t="shared" ca="1" si="7"/>
        <v>-1.500285765707206</v>
      </c>
      <c r="AD13" s="617">
        <f t="shared" ca="1" si="8"/>
        <v>-1.500285765707206</v>
      </c>
      <c r="AE13" s="510">
        <f t="shared" ca="1" si="1"/>
        <v>0.3444546500621587</v>
      </c>
      <c r="AF13" s="510">
        <f t="shared" ca="1" si="1"/>
        <v>0.3444546500621587</v>
      </c>
      <c r="AG13" s="510">
        <f t="shared" ca="1" si="2"/>
        <v>-1.5019995981201473</v>
      </c>
      <c r="AH13" s="510">
        <f t="shared" ca="1" si="2"/>
        <v>-1.5019995981201473</v>
      </c>
      <c r="AI13" s="530">
        <f t="shared" ca="1" si="3"/>
        <v>0.23886965586303152</v>
      </c>
      <c r="AJ13" s="530">
        <f t="shared" ca="1" si="4"/>
        <v>-0.90147394071745135</v>
      </c>
    </row>
    <row r="14" spans="1:36" x14ac:dyDescent="0.25">
      <c r="A14" s="812" t="s">
        <v>142</v>
      </c>
      <c r="B14" s="812">
        <v>2104008320</v>
      </c>
      <c r="C14" s="5">
        <f ca="1">INDIRECT("'DevSumOut-"&amp;$B$2&amp;"BSR'!R55")</f>
        <v>0.53496035071008197</v>
      </c>
      <c r="D14" s="5">
        <f ca="1">INDIRECT("'DevSumOut-"&amp;$B$2&amp;"BSR'!P55")</f>
        <v>2.7000726580404342E-2</v>
      </c>
      <c r="E14" s="5">
        <f ca="1">OFFSET('WSCOReductions-5PctSIP'!$U$81,0,MATCH($B$2,'WSCOReductions-5PctSIP'!$X$78:$AQ$78,1)+2)</f>
        <v>8.0492164564340815E-2</v>
      </c>
      <c r="F14" s="5">
        <f ca="1">OFFSET('WSCOReductions-5PctSIP'!$U$84,0,MATCH($B$2,'WSCOReductions-5PctSIP'!$X$78:$AQ$78,1)+2)</f>
        <v>-6.8545461340764461E-4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0</v>
      </c>
      <c r="N14" s="5">
        <f ca="1">'BACM-R8'!O158*($B$2-$M$3+1)*$M$4/SCCRedFacsFull!$M$4</f>
        <v>0</v>
      </c>
      <c r="O14" s="5">
        <f ca="1">SCCRedFacsFull!O14*O$4/SCCRedFacsFull!O$4</f>
        <v>0</v>
      </c>
      <c r="P14" s="5">
        <f ca="1">SCCRedFacsFull!P14*O$4/SCCRedFacsFull!O$4</f>
        <v>0</v>
      </c>
      <c r="Q14" s="5">
        <f ca="1">IFERROR(OFFSET('STF-22'!$E$173,MATCH($B14,'STF-22'!$A$174:$A$191,0),MATCH($B$2,'STF-22'!$F$172:$AD$172,0))*Q$4/SCCRedFacsFull!Q$4,0)</f>
        <v>0</v>
      </c>
      <c r="R14" s="5">
        <f ca="1">IFERROR(OFFSET('STF-22'!$E$173,MATCH($B14,'STF-22'!$A$174:$A$191,0),MATCH($B$2,'STF-22'!$F$172:$AD$172,0)-1)*R$4/SCCRedFacsFull!R$4,0)</f>
        <v>0</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8.0492164564340829E-2</v>
      </c>
      <c r="Z14" s="510">
        <f t="shared" ca="1" si="0"/>
        <v>-6.8545461340763225E-4</v>
      </c>
      <c r="AA14" s="617">
        <f t="shared" ca="1" si="5"/>
        <v>0.2935430045257772</v>
      </c>
      <c r="AB14" s="617">
        <f t="shared" ca="1" si="6"/>
        <v>0.28620442941263291</v>
      </c>
      <c r="AC14" s="617">
        <f t="shared" ca="1" si="7"/>
        <v>-2.0142722140188036</v>
      </c>
      <c r="AD14" s="617">
        <f t="shared" ca="1" si="8"/>
        <v>-1.9639154086683335</v>
      </c>
      <c r="AE14" s="510">
        <f t="shared" ca="1" si="1"/>
        <v>0.35040725726311817</v>
      </c>
      <c r="AF14" s="510">
        <f t="shared" ca="1" si="1"/>
        <v>0.34365937994564877</v>
      </c>
      <c r="AG14" s="510">
        <f t="shared" ca="1" si="2"/>
        <v>-2.0163383608139691</v>
      </c>
      <c r="AH14" s="510">
        <f t="shared" ca="1" si="2"/>
        <v>-1.965947038158955</v>
      </c>
      <c r="AI14" s="530">
        <f t="shared" ca="1" si="3"/>
        <v>0.23935647626704981</v>
      </c>
      <c r="AJ14" s="530">
        <f t="shared" ca="1" si="4"/>
        <v>-1.1870411651200239</v>
      </c>
    </row>
    <row r="15" spans="1:36" x14ac:dyDescent="0.25">
      <c r="A15" s="812" t="s">
        <v>143</v>
      </c>
      <c r="B15" s="812">
        <v>2104008330</v>
      </c>
      <c r="C15" s="5">
        <f ca="1">INDIRECT("'DevSumOut-"&amp;$B$2&amp;"BSR'!R56")</f>
        <v>0.35738231902018419</v>
      </c>
      <c r="D15" s="5">
        <f ca="1">INDIRECT("'DevSumOut-"&amp;$B$2&amp;"BSR'!P56")</f>
        <v>1.6256414340767172E-2</v>
      </c>
      <c r="E15" s="5">
        <f ca="1">OFFSET('WSCOReductions-5PctSIP'!$U$81,0,MATCH($B$2,'WSCOReductions-5PctSIP'!$X$78:$AQ$78,1)+2)</f>
        <v>8.0492164564340815E-2</v>
      </c>
      <c r="F15" s="5">
        <f ca="1">OFFSET('WSCOReductions-5PctSIP'!$U$84,0,MATCH($B$2,'WSCOReductions-5PctSIP'!$X$78:$AQ$78,1)+2)</f>
        <v>-6.8545461340764461E-4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0</v>
      </c>
      <c r="N15" s="5">
        <f ca="1">'BACM-R8'!O159*($B$2-$M$3+1)*$M$4/SCCRedFacsFull!$M$4</f>
        <v>0</v>
      </c>
      <c r="O15" s="5">
        <f ca="1">SCCRedFacsFull!O15*O$4/SCCRedFacsFull!O$4</f>
        <v>0</v>
      </c>
      <c r="P15" s="5">
        <f ca="1">SCCRedFacsFull!P15*O$4/SCCRedFacsFull!O$4</f>
        <v>0</v>
      </c>
      <c r="Q15" s="5">
        <f ca="1">IFERROR(OFFSET('STF-22'!$E$173,MATCH($B15,'STF-22'!$A$174:$A$191,0),MATCH($B$2,'STF-22'!$F$172:$AD$172,0))*Q$4/SCCRedFacsFull!Q$4,0)</f>
        <v>0</v>
      </c>
      <c r="R15" s="5">
        <f ca="1">IFERROR(OFFSET('STF-22'!$E$173,MATCH($B15,'STF-22'!$A$174:$A$191,0),MATCH($B$2,'STF-22'!$F$172:$AD$172,0)-1)*R$4/SCCRedFacsFull!R$4,0)</f>
        <v>0</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8.0492164564340829E-2</v>
      </c>
      <c r="Z15" s="510">
        <f t="shared" ca="1" si="0"/>
        <v>-6.8545461340763225E-4</v>
      </c>
      <c r="AA15" s="617">
        <f t="shared" ca="1" si="5"/>
        <v>0.29362726123173721</v>
      </c>
      <c r="AB15" s="617">
        <f t="shared" ca="1" si="6"/>
        <v>0.28628657970094373</v>
      </c>
      <c r="AC15" s="617">
        <f t="shared" ca="1" si="7"/>
        <v>-2.1501343804542987</v>
      </c>
      <c r="AD15" s="617">
        <f t="shared" ca="1" si="8"/>
        <v>-2.0963810209429412</v>
      </c>
      <c r="AE15" s="510">
        <f t="shared" ca="1" si="1"/>
        <v>0.3504847319644363</v>
      </c>
      <c r="AF15" s="510">
        <f t="shared" ca="1" si="1"/>
        <v>0.34373491777943388</v>
      </c>
      <c r="AG15" s="510">
        <f t="shared" ca="1" si="2"/>
        <v>-2.152293654598235</v>
      </c>
      <c r="AH15" s="510">
        <f t="shared" ca="1" si="2"/>
        <v>-2.0985034495986143</v>
      </c>
      <c r="AI15" s="530">
        <f t="shared" ca="1" si="3"/>
        <v>0.23940207566268273</v>
      </c>
      <c r="AJ15" s="530">
        <f t="shared" ca="1" si="4"/>
        <v>-1.2670605666044774</v>
      </c>
    </row>
    <row r="16" spans="1:36" x14ac:dyDescent="0.25">
      <c r="A16" s="812" t="s">
        <v>144</v>
      </c>
      <c r="B16" s="812">
        <v>2104008410</v>
      </c>
      <c r="C16" s="5">
        <f ca="1">INDIRECT("'DevSumOut-"&amp;$B$2&amp;"BSR'!R57")</f>
        <v>1.3186940712188122E-2</v>
      </c>
      <c r="D16" s="5">
        <f ca="1">INDIRECT("'DevSumOut-"&amp;$B$2&amp;"BSR'!P57")</f>
        <v>1.4256152121284453E-3</v>
      </c>
      <c r="E16" s="5">
        <f ca="1">OFFSET('WSCOReductions-5PctSIP'!$U$81,0,MATCH($B$2,'WSCOReductions-5PctSIP'!$X$78:$AQ$78,1)+2)</f>
        <v>8.0492164564340815E-2</v>
      </c>
      <c r="F16" s="5">
        <f ca="1">OFFSET('WSCOReductions-5PctSIP'!$U$84,0,MATCH($B$2,'WSCOReductions-5PctSIP'!$X$78:$AQ$78,1)+2)</f>
        <v>-6.8545461340764461E-4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v>
      </c>
      <c r="R16" s="5">
        <f ca="1">IFERROR(OFFSET('STF-22'!$E$173,MATCH($B16,'STF-22'!$A$174:$A$191,0),MATCH($B$2,'STF-22'!$F$172:$AD$172,0)-1)*R$4/SCCRedFacsFull!R$4,0)</f>
        <v>0</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8.0492164564340829E-2</v>
      </c>
      <c r="Z16" s="510">
        <f t="shared" ca="1" si="0"/>
        <v>-6.8545461340763225E-4</v>
      </c>
      <c r="AA16" s="617">
        <f t="shared" ca="1" si="5"/>
        <v>0.28421768990847995</v>
      </c>
      <c r="AB16" s="617">
        <f t="shared" ca="1" si="6"/>
        <v>0.28421768990847995</v>
      </c>
      <c r="AC16" s="617">
        <f t="shared" ca="1" si="7"/>
        <v>-1.9266357697207885</v>
      </c>
      <c r="AD16" s="617">
        <f t="shared" ca="1" si="8"/>
        <v>-1.9266357697207885</v>
      </c>
      <c r="AE16" s="510">
        <f t="shared" ca="1" si="1"/>
        <v>0.3418325574046106</v>
      </c>
      <c r="AF16" s="510">
        <f t="shared" ca="1" si="1"/>
        <v>0.3418325574046106</v>
      </c>
      <c r="AG16" s="510">
        <f t="shared" ca="1" si="2"/>
        <v>-1.9286418457109074</v>
      </c>
      <c r="AH16" s="510">
        <f t="shared" ca="1" si="2"/>
        <v>-1.9286418457109074</v>
      </c>
      <c r="AI16" s="530">
        <f t="shared" ca="1" si="3"/>
        <v>0.23729640026850268</v>
      </c>
      <c r="AJ16" s="530">
        <f t="shared" ca="1" si="4"/>
        <v>-1.1574592892719076</v>
      </c>
    </row>
    <row r="17" spans="1:40" x14ac:dyDescent="0.25">
      <c r="A17" s="812" t="s">
        <v>145</v>
      </c>
      <c r="B17" s="812">
        <v>2104008420</v>
      </c>
      <c r="C17" s="5">
        <f ca="1">INDIRECT("'DevSumOut-"&amp;$B$2&amp;"BSR'!R58")</f>
        <v>4.447996085382052E-2</v>
      </c>
      <c r="D17" s="5">
        <f ca="1">INDIRECT("'DevSumOut-"&amp;$B$2&amp;"BSR'!P58")</f>
        <v>4.8086444166292458E-3</v>
      </c>
      <c r="E17" s="5">
        <f ca="1">OFFSET('WSCOReductions-5PctSIP'!$U$81,0,MATCH($B$2,'WSCOReductions-5PctSIP'!$X$78:$AQ$78,1)+2)</f>
        <v>8.0492164564340815E-2</v>
      </c>
      <c r="F17" s="5">
        <f ca="1">OFFSET('WSCOReductions-5PctSIP'!$U$84,0,MATCH($B$2,'WSCOReductions-5PctSIP'!$X$78:$AQ$78,1)+2)</f>
        <v>-6.8545461340764461E-4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v>
      </c>
      <c r="R17" s="5">
        <f ca="1">IFERROR(OFFSET('STF-22'!$E$173,MATCH($B17,'STF-22'!$A$174:$A$191,0),MATCH($B$2,'STF-22'!$F$172:$AD$172,0)-1)*R$4/SCCRedFacsFull!R$4,0)</f>
        <v>0</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8.0492164564340829E-2</v>
      </c>
      <c r="Z17" s="510">
        <f t="shared" ca="1" si="0"/>
        <v>-6.8545461340763225E-4</v>
      </c>
      <c r="AA17" s="617">
        <f t="shared" ca="1" si="5"/>
        <v>0.28273178237252561</v>
      </c>
      <c r="AB17" s="617">
        <f t="shared" ca="1" si="6"/>
        <v>0.28273178237252561</v>
      </c>
      <c r="AC17" s="617">
        <f t="shared" ca="1" si="7"/>
        <v>-2.7966712506825271</v>
      </c>
      <c r="AD17" s="617">
        <f t="shared" ca="1" si="8"/>
        <v>-2.7966712506825271</v>
      </c>
      <c r="AE17" s="510">
        <f t="shared" ca="1" si="1"/>
        <v>0.34046625378256767</v>
      </c>
      <c r="AF17" s="510">
        <f t="shared" ca="1" si="1"/>
        <v>0.34046625378256767</v>
      </c>
      <c r="AG17" s="510">
        <f t="shared" ca="1" si="2"/>
        <v>-2.7992736965068996</v>
      </c>
      <c r="AH17" s="510">
        <f t="shared" ca="1" si="2"/>
        <v>-2.7992736965068996</v>
      </c>
      <c r="AI17" s="530">
        <f t="shared" ca="1" si="3"/>
        <v>0.23647661809527695</v>
      </c>
      <c r="AJ17" s="530">
        <f t="shared" ca="1" si="4"/>
        <v>-1.6798383997495028</v>
      </c>
    </row>
    <row r="18" spans="1:40" x14ac:dyDescent="0.25">
      <c r="A18" s="812" t="s">
        <v>146</v>
      </c>
      <c r="B18" s="812">
        <v>2104008610</v>
      </c>
      <c r="C18" s="5">
        <f ca="1">INDIRECT("'DevSumOut-"&amp;$B$2&amp;"BSR'!R59")</f>
        <v>0.2209921712577626</v>
      </c>
      <c r="D18" s="5">
        <f ca="1">INDIRECT("'DevSumOut-"&amp;$B$2&amp;"BSR'!P59")</f>
        <v>8.9559783671865206E-3</v>
      </c>
      <c r="E18" s="5">
        <f ca="1">OFFSET('WSCOReductions-5PctSIP'!$U$81,0,MATCH($B$2,'WSCOReductions-5PctSIP'!$X$78:$AQ$78,1)+2)</f>
        <v>8.0492164564340815E-2</v>
      </c>
      <c r="F18" s="5">
        <f ca="1">OFFSET('WSCOReductions-5PctSIP'!$U$84,0,MATCH($B$2,'WSCOReductions-5PctSIP'!$X$78:$AQ$78,1)+2)</f>
        <v>-6.8545461340764461E-4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v>
      </c>
      <c r="N18" s="5">
        <f ca="1">'BACM-R8'!O162*($B$2-$M$3+1)*$M$4/SCCRedFacsFull!$M$4</f>
        <v>0</v>
      </c>
      <c r="O18" s="5">
        <f ca="1">SCCRedFacsFull!O18*O$4/SCCRedFacsFull!O$4</f>
        <v>0</v>
      </c>
      <c r="P18" s="5">
        <f ca="1">SCCRedFacsFull!P18*O$4/SCCRedFacsFull!O$4</f>
        <v>0</v>
      </c>
      <c r="Q18" s="5">
        <f ca="1">IFERROR(OFFSET('STF-22'!$E$173,MATCH($B18,'STF-22'!$A$174:$A$191,0),MATCH($B$2,'STF-22'!$F$172:$AD$172,0))*Q$4/SCCRedFacsFull!Q$4,0)</f>
        <v>0</v>
      </c>
      <c r="R18" s="5">
        <f ca="1">IFERROR(OFFSET('STF-22'!$E$173,MATCH($B18,'STF-22'!$A$174:$A$191,0),MATCH($B$2,'STF-22'!$F$172:$AD$172,0)-1)*R$4/SCCRedFacsFull!R$4,0)</f>
        <v>0</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8.0492164564340829E-2</v>
      </c>
      <c r="Z18" s="510">
        <f t="shared" ca="1" si="0"/>
        <v>-6.8545461340763225E-4</v>
      </c>
      <c r="AA18" s="617">
        <f t="shared" ca="1" si="5"/>
        <v>0.26509857267883641</v>
      </c>
      <c r="AB18" s="617">
        <f t="shared" ca="1" si="6"/>
        <v>0.28708831603468465</v>
      </c>
      <c r="AC18" s="617">
        <f t="shared" ca="1" si="7"/>
        <v>-1.0489921575897507</v>
      </c>
      <c r="AD18" s="617">
        <f t="shared" ca="1" si="8"/>
        <v>-1.1360053319520338</v>
      </c>
      <c r="AE18" s="510">
        <f t="shared" ca="1" si="1"/>
        <v>0.32425237930534045</v>
      </c>
      <c r="AF18" s="510">
        <f t="shared" ca="1" si="1"/>
        <v>0.34447212062026211</v>
      </c>
      <c r="AG18" s="510">
        <f t="shared" ca="1" si="2"/>
        <v>-1.0503966487170069</v>
      </c>
      <c r="AH18" s="510">
        <f t="shared" ca="1" si="2"/>
        <v>-1.1374694666610834</v>
      </c>
      <c r="AI18" s="530">
        <f t="shared" ca="1" si="3"/>
        <v>0.23599160372433334</v>
      </c>
      <c r="AJ18" s="530">
        <f t="shared" ca="1" si="4"/>
        <v>-0.67031688785000221</v>
      </c>
    </row>
    <row r="19" spans="1:40" x14ac:dyDescent="0.25">
      <c r="A19" s="812" t="s">
        <v>147</v>
      </c>
      <c r="B19" s="812">
        <v>2104004000</v>
      </c>
      <c r="C19" s="5">
        <f ca="1">INDIRECT("'DevSumOut-"&amp;$B$2&amp;"BSR'!R60")+INDIRECT("'DevSumOut-"&amp;$B$2&amp;"BSR'!R62")+INDIRECT("'DevSumOut-"&amp;$B$2&amp;"BSR'!R63")</f>
        <v>5.0433270146444435E-2</v>
      </c>
      <c r="D19" s="5">
        <f ca="1">INDIRECT("'DevSumOut-"&amp;$B$2&amp;"BSR'!P60")+INDIRECT("'DevSumOut-"&amp;$B$2&amp;"BSR'!P62")+INDIRECT("'DevSumOut-"&amp;$B$2&amp;"BSR'!P63")</f>
        <v>3.195040739243947</v>
      </c>
      <c r="E19" s="5">
        <f ca="1">OFFSET('WSCOReductions-5PctSIP'!$U$81,0,MATCH($B$2,'WSCOReductions-5PctSIP'!$X$78:$AQ$78,1)+2)</f>
        <v>8.0492164564340815E-2</v>
      </c>
      <c r="F19" s="5">
        <f ca="1">OFFSET('WSCOReductions-5PctSIP'!$U$84,0,MATCH($B$2,'WSCOReductions-5PctSIP'!$X$78:$AQ$78,1)+2)</f>
        <v>-6.8545461340764461E-4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0</v>
      </c>
      <c r="R19" s="5">
        <f ca="1">IFERROR(OFFSET('STF-22'!$E$173,MATCH($B19,'STF-22'!$A$174:$A$191,0),MATCH($B$2,'STF-22'!$F$172:$AD$172,0)-1)*R$4/SCCRedFacsFull!R$4,0)</f>
        <v>0</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8.0492164564340829E-2</v>
      </c>
      <c r="Z19" s="510">
        <f t="shared" ca="1" si="0"/>
        <v>-6.8545461340763225E-4</v>
      </c>
      <c r="AA19" s="617">
        <f t="shared" ca="1" si="5"/>
        <v>0</v>
      </c>
      <c r="AB19" s="617">
        <f t="shared" ca="1" si="6"/>
        <v>0</v>
      </c>
      <c r="AC19" s="617">
        <f t="shared" ca="1" si="7"/>
        <v>0</v>
      </c>
      <c r="AD19" s="617">
        <f t="shared" ca="1" si="8"/>
        <v>0</v>
      </c>
      <c r="AE19" s="510">
        <f t="shared" ca="1" si="1"/>
        <v>8.0492164564340829E-2</v>
      </c>
      <c r="AF19" s="510">
        <f t="shared" ca="1" si="1"/>
        <v>8.0492164564340829E-2</v>
      </c>
      <c r="AG19" s="510">
        <f t="shared" ca="1" si="2"/>
        <v>-6.8545461340763225E-4</v>
      </c>
      <c r="AH19" s="510">
        <f t="shared" ca="1" si="2"/>
        <v>-6.8545461340763225E-4</v>
      </c>
      <c r="AI19" s="530">
        <f t="shared" ca="1" si="3"/>
        <v>8.0492164564340829E-2</v>
      </c>
      <c r="AJ19" s="530">
        <f t="shared" ca="1" si="4"/>
        <v>-6.8545461340763225E-4</v>
      </c>
    </row>
    <row r="20" spans="1:40" x14ac:dyDescent="0.25">
      <c r="A20" s="812" t="s">
        <v>148</v>
      </c>
      <c r="B20" s="812">
        <v>2103004001</v>
      </c>
      <c r="C20" s="5">
        <f ca="1">INDIRECT("'DevSumOut-"&amp;$B$2&amp;"BSR'!R61")</f>
        <v>1.4916383532972012E-2</v>
      </c>
      <c r="D20" s="5">
        <f ca="1">INDIRECT("'DevSumOut-"&amp;$B$2&amp;"BSR'!P61")</f>
        <v>0.41564900680471462</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5.8529310125197121E-6</v>
      </c>
      <c r="D21" s="5">
        <f ca="1">INDIRECT("'DevSumOut-"&amp;$B$2&amp;"BSR'!P64")</f>
        <v>7.0898784775737556E-5</v>
      </c>
      <c r="E21" s="5">
        <f ca="1">OFFSET('WSCOReductions-5PctSIP'!$U$81,0,MATCH($B$2,'WSCOReductions-5PctSIP'!$X$78:$AQ$78,1)+2)</f>
        <v>8.0492164564340815E-2</v>
      </c>
      <c r="F21" s="5">
        <f ca="1">OFFSET('WSCOReductions-5PctSIP'!$U$84,0,MATCH($B$2,'WSCOReductions-5PctSIP'!$X$78:$AQ$78,1)+2)</f>
        <v>-6.8545461340764461E-4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8.0492164564340829E-2</v>
      </c>
      <c r="Z21" s="510">
        <f t="shared" ca="1" si="0"/>
        <v>-6.8545461340763225E-4</v>
      </c>
      <c r="AA21" s="617">
        <f t="shared" ca="1" si="5"/>
        <v>0</v>
      </c>
      <c r="AB21" s="617">
        <f t="shared" ca="1" si="6"/>
        <v>0</v>
      </c>
      <c r="AC21" s="617">
        <f t="shared" ca="1" si="7"/>
        <v>0</v>
      </c>
      <c r="AD21" s="617">
        <f t="shared" ca="1" si="8"/>
        <v>0</v>
      </c>
      <c r="AE21" s="510">
        <f t="shared" ca="1" si="1"/>
        <v>8.0492164564340829E-2</v>
      </c>
      <c r="AF21" s="510">
        <f t="shared" ca="1" si="1"/>
        <v>8.0492164564340829E-2</v>
      </c>
      <c r="AG21" s="510">
        <f t="shared" ca="1" si="2"/>
        <v>-6.8545461340763225E-4</v>
      </c>
      <c r="AH21" s="510">
        <f t="shared" ca="1" si="2"/>
        <v>-6.8545461340763225E-4</v>
      </c>
      <c r="AI21" s="530">
        <f t="shared" ca="1" si="3"/>
        <v>8.0492164564340829E-2</v>
      </c>
      <c r="AJ21" s="530">
        <f t="shared" ca="1" si="4"/>
        <v>-6.8545461340763225E-4</v>
      </c>
    </row>
    <row r="22" spans="1:40" x14ac:dyDescent="0.25">
      <c r="A22" s="812" t="s">
        <v>150</v>
      </c>
      <c r="B22" s="812">
        <v>2103006000</v>
      </c>
      <c r="C22" s="5">
        <f ca="1">INDIRECT("'DevSumOut-"&amp;$B$2&amp;"BSR'!R65")</f>
        <v>1.0079518569867293E-2</v>
      </c>
      <c r="D22" s="5">
        <f ca="1">INDIRECT("'DevSumOut-"&amp;$B$2&amp;"BSR'!P65")</f>
        <v>7.9575146604215499E-4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8.7179964534393958E-2</v>
      </c>
      <c r="D23" s="5">
        <f ca="1">INDIRECT("'DevSumOut-"&amp;$B$2&amp;"BSR'!P66")</f>
        <v>0.10147355070962</v>
      </c>
      <c r="E23" s="5">
        <f ca="1">OFFSET('WSCOReductions-5PctSIP'!$U$81,0,MATCH($B$2,'WSCOReductions-5PctSIP'!$X$78:$AQ$78,1)+2)</f>
        <v>8.0492164564340815E-2</v>
      </c>
      <c r="F23" s="5">
        <f ca="1">OFFSET('WSCOReductions-5PctSIP'!$U$84,0,MATCH($B$2,'WSCOReductions-5PctSIP'!$X$78:$AQ$78,1)+2)</f>
        <v>-6.8545461340764461E-4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8.0492164564340829E-2</v>
      </c>
      <c r="Z23" s="510">
        <f t="shared" ca="1" si="0"/>
        <v>-6.8545461340763225E-4</v>
      </c>
      <c r="AA23" s="617">
        <f t="shared" ca="1" si="5"/>
        <v>0.29896926355238951</v>
      </c>
      <c r="AB23" s="617">
        <f t="shared" ca="1" si="6"/>
        <v>0.29896926355238951</v>
      </c>
      <c r="AC23" s="617">
        <f t="shared" ca="1" si="7"/>
        <v>0.24618713146703741</v>
      </c>
      <c r="AD23" s="617">
        <f t="shared" ca="1" si="8"/>
        <v>0.24618713146703741</v>
      </c>
      <c r="AE23" s="510">
        <f t="shared" ca="1" si="1"/>
        <v>0.35539674495519158</v>
      </c>
      <c r="AF23" s="510">
        <f t="shared" ca="1" si="1"/>
        <v>0.35539674495519158</v>
      </c>
      <c r="AG23" s="510">
        <f t="shared" ca="1" si="2"/>
        <v>0.24567042695865549</v>
      </c>
      <c r="AH23" s="510">
        <f t="shared" ca="1" si="2"/>
        <v>0.24567042695865549</v>
      </c>
      <c r="AI23" s="530">
        <f t="shared" ca="1" si="3"/>
        <v>0.24543491279885124</v>
      </c>
      <c r="AJ23" s="530">
        <f t="shared" ca="1" si="4"/>
        <v>0.14712807432983022</v>
      </c>
    </row>
    <row r="24" spans="1:40" x14ac:dyDescent="0.25">
      <c r="A24" s="812" t="s">
        <v>152</v>
      </c>
      <c r="B24" s="812">
        <v>2103002000</v>
      </c>
      <c r="C24" s="5">
        <f ca="1">INDIRECT("'DevSumOut-"&amp;$B$2&amp;"BSR'!R67")</f>
        <v>2.6304953575588086E-4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2.4594859595772975</v>
      </c>
      <c r="D27" s="450">
        <f ca="1">INDIRECT("'DevSumOut-"&amp;$B$2&amp;"BSR'!P70")</f>
        <v>3.8113418574800706</v>
      </c>
      <c r="E27" s="450">
        <f ca="1">$C27-E28</f>
        <v>2.2637609040866966</v>
      </c>
      <c r="F27" s="450">
        <f ca="1">$D27-F28</f>
        <v>3.8136571731740894</v>
      </c>
      <c r="G27" s="450">
        <f ca="1">$C27-G28</f>
        <v>2.4594859595772975</v>
      </c>
      <c r="H27" s="450">
        <f ca="1">$D27-H28</f>
        <v>3.8113418574800706</v>
      </c>
      <c r="I27" s="450">
        <f ca="1">$C27-I28</f>
        <v>2.4594859595772975</v>
      </c>
      <c r="J27" s="450">
        <f ca="1">$D27-J28</f>
        <v>3.8113418574800706</v>
      </c>
      <c r="K27" s="450">
        <f ca="1">$C27-K28</f>
        <v>2.4594859595772975</v>
      </c>
      <c r="L27" s="450">
        <f ca="1">$D27-L28</f>
        <v>3.8113418574800706</v>
      </c>
      <c r="M27" s="450">
        <f ca="1">$C27-M28</f>
        <v>2.4594859595772975</v>
      </c>
      <c r="N27" s="450">
        <f ca="1">$D27-N28</f>
        <v>3.8113418574800706</v>
      </c>
      <c r="O27" s="450">
        <f ca="1">$C27-O28</f>
        <v>2.4594859595772975</v>
      </c>
      <c r="P27" s="450">
        <f ca="1">$D27-P28</f>
        <v>3.8113418574800706</v>
      </c>
      <c r="Q27" s="450">
        <f ca="1">$C27-Q28</f>
        <v>2.4594859595772975</v>
      </c>
      <c r="R27" s="450">
        <f ca="1">$D27-R28</f>
        <v>3.8113418574800706</v>
      </c>
      <c r="S27" s="450">
        <f ca="1">$C27-S28</f>
        <v>2.4594859595772975</v>
      </c>
      <c r="T27" s="450">
        <f ca="1">$D27-T28</f>
        <v>3.8113418574800706</v>
      </c>
      <c r="U27" s="786">
        <f ca="1">$C27-U28</f>
        <v>2.4594859595772975</v>
      </c>
      <c r="V27" s="786">
        <f ca="1">$D27-V28</f>
        <v>3.8113418574800706</v>
      </c>
      <c r="W27" s="450">
        <f ca="1">$C27-W28</f>
        <v>2.4594859595772975</v>
      </c>
      <c r="X27" s="450">
        <f ca="1">$D27-X28</f>
        <v>3.8113418574800706</v>
      </c>
      <c r="Y27" s="450">
        <f ca="1">$C27-Y28</f>
        <v>2.2637609040866966</v>
      </c>
      <c r="Z27" s="450">
        <f ca="1">$D27-Z28</f>
        <v>3.8136571731740894</v>
      </c>
      <c r="AA27" s="450">
        <f ca="1">$C27-AA28</f>
        <v>1.9514781050726175</v>
      </c>
      <c r="AB27" s="450">
        <f ca="1">$C27-AB28</f>
        <v>1.775289836926655</v>
      </c>
      <c r="AC27" s="450">
        <f ca="1">$D27-AC28</f>
        <v>3.925443082660427</v>
      </c>
      <c r="AD27" s="450">
        <f ca="1">$D27-AD28</f>
        <v>3.9234800975797608</v>
      </c>
      <c r="AE27" s="450">
        <f ca="1">$C27-AE28</f>
        <v>1.7966437014067849</v>
      </c>
      <c r="AF27" s="450">
        <f ca="1">$C27-AF28</f>
        <v>1.6346372083347336</v>
      </c>
      <c r="AG27" s="450">
        <f ca="1">$D27-AG28</f>
        <v>3.9278366095656412</v>
      </c>
      <c r="AH27" s="450">
        <f ca="1">$D27-AH28</f>
        <v>3.9258722789477956</v>
      </c>
      <c r="AI27" s="787">
        <f ca="1">$C27-AI28</f>
        <v>1.9094304713600976</v>
      </c>
      <c r="AJ27" s="787">
        <f ca="1">$D27-AJ28</f>
        <v>3.8812668552980054</v>
      </c>
    </row>
    <row r="28" spans="1:40" x14ac:dyDescent="0.25">
      <c r="B28" s="244" t="s">
        <v>156</v>
      </c>
      <c r="E28" s="450">
        <f ca="1">SUMPRODUCT($C9:$C26,E9:E26)</f>
        <v>0.1957250554906009</v>
      </c>
      <c r="F28" s="450">
        <f ca="1">SUMPRODUCT($D9:$D26,F9:F26)</f>
        <v>-2.3153156940189175E-3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v>
      </c>
      <c r="N28" s="450">
        <f ca="1">SUMPRODUCT($D9:$D26,N9:N26)</f>
        <v>0</v>
      </c>
      <c r="O28" s="450">
        <f ca="1">SUMPRODUCT($C9:$C26,O9:O26)</f>
        <v>0</v>
      </c>
      <c r="P28" s="450">
        <f ca="1">SUMPRODUCT($D9:$D26,P9:P26)</f>
        <v>0</v>
      </c>
      <c r="Q28" s="450">
        <f ca="1">SUMPRODUCT($C9:$C26,Q9:Q26)</f>
        <v>0</v>
      </c>
      <c r="R28" s="450">
        <f ca="1">SUMPRODUCT($D9:$D26,R9:R26)</f>
        <v>0</v>
      </c>
      <c r="S28" s="450">
        <f ca="1">SUMPRODUCT($C9:$C26,S9:S26)</f>
        <v>0</v>
      </c>
      <c r="T28" s="450">
        <f ca="1">SUMPRODUCT($D9:$D26,T9:T26)</f>
        <v>0</v>
      </c>
      <c r="U28" s="786">
        <f ca="1">SUMPRODUCT($C9:$C26,U9:U26)</f>
        <v>0</v>
      </c>
      <c r="V28" s="786">
        <f ca="1">SUMPRODUCT($D9:$D26,V9:V26)</f>
        <v>0</v>
      </c>
      <c r="W28" s="450">
        <f ca="1">SUMPRODUCT($C9:$C26,W9:W26)</f>
        <v>0</v>
      </c>
      <c r="X28" s="450">
        <f ca="1">SUMPRODUCT($D9:$D26,X9:X26)</f>
        <v>0</v>
      </c>
      <c r="Y28" s="450">
        <f ca="1">SUMPRODUCT($C9:$C26,Y9:Y26)</f>
        <v>0.19572505549060093</v>
      </c>
      <c r="Z28" s="450">
        <f ca="1">SUMPRODUCT($D9:$D26,Z9:Z26)</f>
        <v>-2.3153156940188759E-3</v>
      </c>
      <c r="AA28" s="450">
        <f ca="1">SUMPRODUCT($C9:$C26,AA9:AA26)</f>
        <v>0.50800785450468</v>
      </c>
      <c r="AB28" s="450">
        <f ca="1">SUMPRODUCT($C9:$C26,AB9:AB26)</f>
        <v>0.68419612265064256</v>
      </c>
      <c r="AC28" s="450">
        <f ca="1">SUMPRODUCT($D9:$D26,AC9:AC26)</f>
        <v>-0.11410122518035624</v>
      </c>
      <c r="AD28" s="450">
        <f ca="1">SUMPRODUCT($D9:$D26,AD9:AD26)</f>
        <v>-0.11213824009969038</v>
      </c>
      <c r="AE28" s="450">
        <f ca="1">SUMPRODUCT($C9:$C26,AE9:AE26)</f>
        <v>0.66284225817051268</v>
      </c>
      <c r="AF28" s="450">
        <f ca="1">SUMPRODUCT($C9:$C26,AF9:AF26)</f>
        <v>0.82484875124256396</v>
      </c>
      <c r="AG28" s="450">
        <f ca="1">SUMPRODUCT($D9:$D26,AG9:AG26)</f>
        <v>-0.11649475208557049</v>
      </c>
      <c r="AH28" s="450">
        <f ca="1">SUMPRODUCT($D9:$D26,AH9:AH26)</f>
        <v>-0.11453042146772498</v>
      </c>
      <c r="AI28" s="450">
        <f ca="1">SUMPRODUCT($C9:$C26,AI9:AI26)</f>
        <v>0.55005548821720007</v>
      </c>
      <c r="AJ28" s="450">
        <f ca="1">SUMPRODUCT($D9:$D26,AJ9:AJ26)</f>
        <v>-6.9924997817934736E-2</v>
      </c>
    </row>
    <row r="29" spans="1:40" x14ac:dyDescent="0.25">
      <c r="E29" s="800">
        <f ca="1">E28/$C27</f>
        <v>7.9579659614824313E-2</v>
      </c>
      <c r="F29" s="693">
        <f ca="1">F28/$D27</f>
        <v>-6.0748045717151319E-4</v>
      </c>
      <c r="G29" s="659">
        <f ca="1">G28/$C27</f>
        <v>0</v>
      </c>
      <c r="H29" s="693">
        <f ca="1">H28/$D27</f>
        <v>0</v>
      </c>
      <c r="I29" s="659">
        <f ca="1">I28/$C27</f>
        <v>0</v>
      </c>
      <c r="J29" s="693">
        <f ca="1">J28/$D27</f>
        <v>0</v>
      </c>
      <c r="K29" s="659">
        <f ca="1">K28/$C27</f>
        <v>0</v>
      </c>
      <c r="L29" s="693">
        <f ca="1">L28/$D27</f>
        <v>0</v>
      </c>
      <c r="M29" s="659">
        <f ca="1">M28/$C27</f>
        <v>0</v>
      </c>
      <c r="N29" s="693">
        <f ca="1">N28/$D27</f>
        <v>0</v>
      </c>
      <c r="O29" s="659">
        <f ca="1">O28/$C27</f>
        <v>0</v>
      </c>
      <c r="P29" s="693">
        <f ca="1">P28/$D27</f>
        <v>0</v>
      </c>
      <c r="Q29" s="659">
        <f ca="1">Q28/$C27</f>
        <v>0</v>
      </c>
      <c r="R29" s="693">
        <f ca="1">R28/$D27</f>
        <v>0</v>
      </c>
      <c r="S29" s="659">
        <f ca="1">S28/$C27</f>
        <v>0</v>
      </c>
      <c r="T29" s="693">
        <f ca="1">T28/$D27</f>
        <v>0</v>
      </c>
      <c r="U29" s="700">
        <f ca="1">U28/$C27</f>
        <v>0</v>
      </c>
      <c r="V29" s="700">
        <f ca="1">V28/$D27</f>
        <v>0</v>
      </c>
      <c r="W29" s="659">
        <f ca="1">W28/$C27</f>
        <v>0</v>
      </c>
      <c r="X29" s="693">
        <f ca="1">X28/$D27</f>
        <v>0</v>
      </c>
      <c r="Y29" s="659">
        <f ca="1">Y28/$C27</f>
        <v>7.9579659614824327E-2</v>
      </c>
      <c r="Z29" s="693">
        <f t="shared" ref="Z29" ca="1" si="9">Z28/$D27</f>
        <v>-6.0748045717150224E-4</v>
      </c>
      <c r="AA29" s="838">
        <f ca="1">(AA28*$AJ$4+AB28*$AJ$5)/SUM($AJ$4:$AJ$5)</f>
        <v>0.64224653499684192</v>
      </c>
      <c r="AB29" s="838"/>
      <c r="AC29" s="838">
        <f ca="1">(AC28*$AJ$4+AD28*$AJ$5)/SUM($AJ$4:$AJ$5)</f>
        <v>-0.11260561749984892</v>
      </c>
      <c r="AD29" s="838"/>
      <c r="AE29" s="659">
        <f ca="1">AE28/$C27</f>
        <v>0.26950438793496218</v>
      </c>
      <c r="AF29" s="659">
        <f ca="1">AF28/$C27</f>
        <v>0.33537445010839889</v>
      </c>
      <c r="AG29" s="693">
        <f t="shared" ref="AG29:AH29" ca="1" si="10">AG28/$D27</f>
        <v>-3.0565285519308639E-2</v>
      </c>
      <c r="AH29" s="693">
        <f t="shared" ca="1" si="10"/>
        <v>-3.0049894695997854E-2</v>
      </c>
      <c r="AI29" s="659">
        <f ca="1">AI28/$C27</f>
        <v>0.22364652502904958</v>
      </c>
      <c r="AJ29" s="693">
        <f t="shared" ref="AJ29" ca="1" si="11">AJ28/$D27</f>
        <v>-1.8346556260940276E-2</v>
      </c>
      <c r="AK29" s="5"/>
      <c r="AL29" s="5"/>
      <c r="AN29" s="5"/>
    </row>
    <row r="30" spans="1:40" x14ac:dyDescent="0.25">
      <c r="B30" s="244" t="s">
        <v>157</v>
      </c>
      <c r="E30" s="450">
        <f ca="1">E28*($Y28/$Y30)</f>
        <v>0.19572505549060096</v>
      </c>
      <c r="F30" s="450">
        <f ca="1">F28*($Z28/$Z30)</f>
        <v>-2.3153156940188759E-3</v>
      </c>
      <c r="G30" s="450">
        <f ca="1">G28*($Y28/$Y30)</f>
        <v>0</v>
      </c>
      <c r="H30" s="450">
        <f ca="1">H28*($Z28/$Z30)</f>
        <v>0</v>
      </c>
      <c r="I30" s="450">
        <f ca="1">I28*($Y28/$Y30)</f>
        <v>0</v>
      </c>
      <c r="J30" s="450">
        <f ca="1">J28*($Z28/$Z30)</f>
        <v>0</v>
      </c>
      <c r="K30" s="450">
        <f ca="1">K28*($Y28/$Y30)</f>
        <v>0</v>
      </c>
      <c r="L30" s="450">
        <f ca="1">L28*($Z28/$Z30)</f>
        <v>0</v>
      </c>
      <c r="M30" s="450">
        <f ca="1">M28*($Y28/$Y30)</f>
        <v>0</v>
      </c>
      <c r="N30" s="450">
        <f ca="1">N28*($Z28/$Z30)</f>
        <v>0</v>
      </c>
      <c r="O30" s="450">
        <f ca="1">O28*($Y28/$Y30)</f>
        <v>0</v>
      </c>
      <c r="P30" s="450">
        <f ca="1">P28*($Z28/$Z30)</f>
        <v>0</v>
      </c>
      <c r="Q30" s="450">
        <f ca="1">Q28*($Y28/$Y30)</f>
        <v>0</v>
      </c>
      <c r="R30" s="450">
        <f ca="1">R28*($Z28/$Z30)</f>
        <v>0</v>
      </c>
      <c r="S30" s="450">
        <f ca="1">S28*($Y28/$Y30)</f>
        <v>0</v>
      </c>
      <c r="T30" s="450">
        <f ca="1">T28*($Z28/$Z30)</f>
        <v>0</v>
      </c>
      <c r="U30" s="786">
        <f ca="1">U28*($Y28/$Y30)</f>
        <v>0</v>
      </c>
      <c r="V30" s="786">
        <f ca="1">V28*($Z28/$Z30)</f>
        <v>0</v>
      </c>
      <c r="W30" s="450">
        <f ca="1">W28*($Y28/$Y30)</f>
        <v>0</v>
      </c>
      <c r="X30" s="450">
        <f ca="1">X28*($Z28/$Z30)</f>
        <v>0</v>
      </c>
      <c r="Y30" s="450">
        <f ca="1">SUM($E28,$G28,$I28,$K28,$M28,$O28,$Q28,$S28,$W28)</f>
        <v>0.1957250554906009</v>
      </c>
      <c r="Z30" s="450">
        <f ca="1">SUM($F28,$H28,$J28,$L28,$N28,$P28,$R28,$T28,$X28)</f>
        <v>-2.3153156940189175E-3</v>
      </c>
      <c r="AA30" s="450">
        <f ca="1">AE28-$Y28</f>
        <v>0.46711720267991175</v>
      </c>
      <c r="AB30" s="450">
        <f ca="1">AF28-$Y28</f>
        <v>0.62912369575196303</v>
      </c>
      <c r="AC30" s="450">
        <f ca="1">AG28-$Z28</f>
        <v>-0.11417943639155161</v>
      </c>
      <c r="AD30" s="450">
        <f ca="1">AH28-$Z28</f>
        <v>-0.11221510577370609</v>
      </c>
      <c r="AE30" s="450">
        <f ca="1">SUM($E28,$G28,$I28,$K28,$M28,$O28,$Q28,$S28,$W28,AA28)</f>
        <v>0.70373290999528093</v>
      </c>
      <c r="AF30" s="450">
        <f ca="1">SUM($E28,$G28,$I28,$K28,$M28,$O28,$Q28,$S28,$W28,AB28)</f>
        <v>0.87992117814124349</v>
      </c>
      <c r="AG30" s="450">
        <f ca="1">SUM($F28,$H28,$J28,$L28,$N28,$P28,$R28,$T28,$X28,AC28)</f>
        <v>-0.11641654087437517</v>
      </c>
      <c r="AH30" s="450">
        <f ca="1">SUM($F28,$H28,$J28,$L28,$N28,$P28,$R28,$T28,$X28,AD28)</f>
        <v>-0.11445355579370931</v>
      </c>
    </row>
    <row r="31" spans="1:40" x14ac:dyDescent="0.25">
      <c r="Y31" s="659">
        <f ca="1">Y30/$C27</f>
        <v>7.9579659614824313E-2</v>
      </c>
      <c r="Z31" s="659">
        <f ca="1">Z30/$C27</f>
        <v>-9.4138195219331197E-4</v>
      </c>
      <c r="AA31" s="839" t="s">
        <v>158</v>
      </c>
      <c r="AB31" s="839"/>
      <c r="AC31" s="839"/>
      <c r="AD31" s="839"/>
      <c r="AE31" s="659">
        <f ca="1">AE30/$C27</f>
        <v>0.28613007822017766</v>
      </c>
      <c r="AF31" s="659">
        <f ca="1">AF30/$C27</f>
        <v>0.35776629450345476</v>
      </c>
      <c r="AG31" s="693">
        <f ca="1">AG30/$D27</f>
        <v>-3.0544764869595252E-2</v>
      </c>
      <c r="AH31" s="693">
        <f ca="1">AH30/$D27</f>
        <v>-3.0029727081312536E-2</v>
      </c>
    </row>
    <row r="32" spans="1:40" x14ac:dyDescent="0.25">
      <c r="Y32" s="698">
        <f ca="1">SUM($E30,$G30,$I30,$K30,$M30,$O30,$Q30,$S30,$W30)</f>
        <v>0.19572505549060096</v>
      </c>
      <c r="Z32" s="698">
        <f ca="1">SUM($F30,$H30,$J30,$L30,$N30,$P30,$R30,$T30,$X30)</f>
        <v>-2.3153156940188759E-3</v>
      </c>
      <c r="AA32" s="838">
        <f ca="1">(AA30*$AJ$4+AB30*$AJ$5)/SUM($AJ$4:$AJ$5)</f>
        <v>0.5905507212109985</v>
      </c>
      <c r="AB32" s="838"/>
      <c r="AC32" s="838">
        <f ca="1">(AC30*$AJ$4+AD30*$AJ$5)/SUM($AJ$4:$AJ$5)</f>
        <v>-0.11268280353985978</v>
      </c>
      <c r="AD32" s="838"/>
    </row>
    <row r="33" spans="2:34" x14ac:dyDescent="0.25">
      <c r="C33" s="450">
        <f ca="1">SUM(C9:C18)</f>
        <v>2.2939847405365343</v>
      </c>
      <c r="D33" s="450">
        <f ca="1">SUM(D9:D18)</f>
        <v>8.1195992875768314E-2</v>
      </c>
      <c r="Z33" s="616"/>
      <c r="AA33" s="616"/>
    </row>
    <row r="34" spans="2:34" x14ac:dyDescent="0.25">
      <c r="B34" s="244" t="s">
        <v>159</v>
      </c>
      <c r="E34" s="450">
        <f ca="1">SUMPRODUCT($C9:$C18,E9:E18)</f>
        <v>0.18464779724335334</v>
      </c>
      <c r="F34" s="450">
        <f ca="1">SUMPRODUCT($D9:$D18,F9:F18)</f>
        <v>-5.5656167906909632E-5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v>
      </c>
      <c r="N34" s="450">
        <f ca="1">SUMPRODUCT($D9:$D18,N9:N18)</f>
        <v>0</v>
      </c>
      <c r="O34" s="450">
        <f ca="1">SUMPRODUCT($C9:$C18,O9:O18)</f>
        <v>0</v>
      </c>
      <c r="P34" s="450">
        <f ca="1">SUMPRODUCT($D9:$D18,P9:P18)</f>
        <v>0</v>
      </c>
      <c r="Q34" s="450">
        <f ca="1">SUMPRODUCT($C9:$C18,Q9:Q18)</f>
        <v>0</v>
      </c>
      <c r="R34" s="450">
        <f ca="1">SUMPRODUCT($D9:$D18,R9:R18)</f>
        <v>0</v>
      </c>
      <c r="S34" s="450"/>
      <c r="T34" s="450"/>
      <c r="U34" s="450">
        <f ca="1">SUMPRODUCT($C9:$C18,U9:U18)</f>
        <v>0</v>
      </c>
      <c r="V34" s="450">
        <f ca="1">SUMPRODUCT($D9:$D18,V9:V18)</f>
        <v>0</v>
      </c>
      <c r="W34" s="450">
        <f ca="1">SUMPRODUCT($C9:$C18,W9:W18)</f>
        <v>0</v>
      </c>
      <c r="X34" s="450">
        <f ca="1">SUMPRODUCT($D9:$D18,X9:X18)</f>
        <v>0</v>
      </c>
      <c r="Y34" s="450">
        <f ca="1">SUMPRODUCT($C9:$C18,Y9:Y18)</f>
        <v>0.18464779724335337</v>
      </c>
      <c r="Z34" s="450">
        <f ca="1">SUMPRODUCT($D9:$D18,Z9:Z18)</f>
        <v>-5.5656167906908623E-5</v>
      </c>
      <c r="AE34" s="450">
        <f ca="1">SUMPRODUCT($C9:$C18,AE9:AE18)</f>
        <v>0.62779882835444822</v>
      </c>
      <c r="AF34" s="450">
        <f ca="1">SUMPRODUCT($C9:$C18,AF9:AF18)</f>
        <v>0.78980532142649951</v>
      </c>
      <c r="AG34" s="450">
        <f ca="1">SUMPRODUCT($D9:$D18,AG9:AG18)</f>
        <v>-0.13923369860077439</v>
      </c>
      <c r="AH34" s="450">
        <f ca="1">SUMPRODUCT($D9:$D18,AH9:AH18)</f>
        <v>-0.13726936798292888</v>
      </c>
    </row>
    <row r="35" spans="2:34" x14ac:dyDescent="0.25">
      <c r="C35" s="450">
        <f ca="1">SUM(C19:C20)</f>
        <v>6.5349653679416447E-2</v>
      </c>
      <c r="D35" s="450">
        <f ca="1">SUM(D19:D20)</f>
        <v>3.6106897460486618</v>
      </c>
      <c r="AD35" s="244" t="s">
        <v>160</v>
      </c>
      <c r="AE35" s="604">
        <f ca="1">AE34/$C33</f>
        <v>0.27367175433242591</v>
      </c>
      <c r="AF35" s="604">
        <f ca="1">AF34/$C33</f>
        <v>0.34429406066658225</v>
      </c>
      <c r="AG35" s="604">
        <f t="shared" ref="AG35:AH37" ca="1" si="12">AG34/$D33</f>
        <v>-1.7147853443187162</v>
      </c>
      <c r="AH35" s="604">
        <f t="shared" ca="1" si="12"/>
        <v>-1.6905928866828943</v>
      </c>
    </row>
    <row r="36" spans="2:34" x14ac:dyDescent="0.25">
      <c r="B36" s="244" t="s">
        <v>161</v>
      </c>
      <c r="E36" s="450">
        <f ca="1">SUMPRODUCT($C19:$C20,E19:E20)</f>
        <v>4.0594830801454623E-3</v>
      </c>
      <c r="F36" s="450">
        <f ca="1">SUMPRODUCT($D19:$D20,F19:F20)</f>
        <v>-2.1900554147401348E-3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0</v>
      </c>
      <c r="R36" s="450">
        <f ca="1">SUMPRODUCT($D19:$D20,R19:R20)</f>
        <v>0</v>
      </c>
      <c r="S36" s="450"/>
      <c r="T36" s="450"/>
      <c r="U36" s="450">
        <f ca="1">SUMPRODUCT($C19:$C20,U19:U20)</f>
        <v>0</v>
      </c>
      <c r="V36" s="450">
        <f ca="1">SUMPRODUCT($D19:$D20,V19:V20)</f>
        <v>0</v>
      </c>
      <c r="W36" s="450">
        <f ca="1">SUMPRODUCT($C19:$C20,W19:W20)</f>
        <v>0</v>
      </c>
      <c r="X36" s="450">
        <f ca="1">SUMPRODUCT($D19:$D20,X19:X20)</f>
        <v>0</v>
      </c>
      <c r="Y36" s="450">
        <f ca="1">SUMPRODUCT($C19:$C20,Y19:Y20)</f>
        <v>4.0594830801454632E-3</v>
      </c>
      <c r="Z36" s="450">
        <f ca="1">SUMPRODUCT($D19:$D20,Z19:Z20)</f>
        <v>-2.1900554147400953E-3</v>
      </c>
      <c r="AE36" s="450">
        <f ca="1">SUMPRODUCT($C19:$C20,AE19:AE20)</f>
        <v>4.0594830801454632E-3</v>
      </c>
      <c r="AF36" s="450">
        <f ca="1">SUMPRODUCT($C19:$C20,AF19:AF20)</f>
        <v>4.0594830801454632E-3</v>
      </c>
      <c r="AG36" s="450">
        <f ca="1">SUMPRODUCT($D19:$D20,AG19:AG20)</f>
        <v>-2.1900554147400953E-3</v>
      </c>
      <c r="AH36" s="450">
        <f ca="1">SUMPRODUCT($D19:$D20,AH19:AH20)</f>
        <v>-2.1900554147400953E-3</v>
      </c>
    </row>
    <row r="37" spans="2:34" x14ac:dyDescent="0.25">
      <c r="AD37" s="244" t="s">
        <v>162</v>
      </c>
      <c r="AE37" s="694">
        <f ca="1">AE36/$C35</f>
        <v>6.2119427595744119E-2</v>
      </c>
      <c r="AF37" s="694">
        <f ca="1">AF36/$C35</f>
        <v>6.2119427595744119E-2</v>
      </c>
      <c r="AG37" s="694">
        <f t="shared" ca="1" si="12"/>
        <v>-6.065476595259314E-4</v>
      </c>
      <c r="AH37" s="694">
        <f t="shared" ca="1" si="12"/>
        <v>-6.065476595259314E-4</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A5CE-E4D2-4A3A-B534-6FF729C04861}">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2027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2027</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2027 Baseline NA Area PM2.5 Emissions (tpd) by Curtailment Regime</v>
      </c>
      <c r="D4" s="840"/>
      <c r="E4" s="840"/>
      <c r="F4" s="840"/>
      <c r="G4" s="840"/>
      <c r="H4" s="840"/>
      <c r="I4" s="840"/>
      <c r="J4" s="840" t="str">
        <f>$B$2&amp;" Baseline NA Area SO2 Emissions (tpd) by Curtailment Regime"</f>
        <v>2027 Baseline NA Area SO2 Emissions (tpd) by Curtailment Regime</v>
      </c>
      <c r="K4" s="840"/>
      <c r="L4" s="840"/>
      <c r="M4" s="840"/>
      <c r="N4" s="840"/>
      <c r="O4" s="840"/>
      <c r="P4" s="840"/>
      <c r="Q4" s="840" t="str">
        <f>$B$2&amp;" Baseline NA Area Energy Use (mmBTU) by Curtailment Regime"</f>
        <v>2027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0.69779381576306154</v>
      </c>
      <c r="D6" s="133">
        <f ca="1">INDIRECT("'DevSumOut-"&amp;$B$2&amp;"BSR'!R50")</f>
        <v>0.69779381576306154</v>
      </c>
      <c r="E6" s="133">
        <f ca="1">INDIRECT("'DevSumOut-"&amp;$B$2&amp;"BSR'!R50")</f>
        <v>0.69779381576306154</v>
      </c>
      <c r="F6" s="551" t="s">
        <v>336</v>
      </c>
      <c r="G6" s="133">
        <f ca="1">INDIRECT("'DevSumOut-"&amp;$B$2&amp;"BSR'!R50")</f>
        <v>0.69779381576306154</v>
      </c>
      <c r="H6" s="133">
        <f ca="1">INDIRECT("'DevSumOut-"&amp;$B$2&amp;"BSR'!R50")</f>
        <v>0.69779381576306154</v>
      </c>
      <c r="I6" s="551" t="s">
        <v>336</v>
      </c>
      <c r="J6" s="133">
        <f ca="1">INDIRECT("'DevSumOut-"&amp;$B$2&amp;"BSR'!P50")</f>
        <v>8.0669805290527318E-3</v>
      </c>
      <c r="K6" s="133">
        <f ca="1">INDIRECT("'DevSumOut-"&amp;$B$2&amp;"BSR'!P50")</f>
        <v>8.0669805290527318E-3</v>
      </c>
      <c r="L6" s="133">
        <f ca="1">INDIRECT("'DevSumOut-"&amp;$B$2&amp;"BSR'!P50")</f>
        <v>8.0669805290527318E-3</v>
      </c>
      <c r="M6" s="551" t="s">
        <v>336</v>
      </c>
      <c r="N6" s="133">
        <f ca="1">INDIRECT("'DevSumOut-"&amp;$B$2&amp;"BSR'!P50")</f>
        <v>8.0669805290527318E-3</v>
      </c>
      <c r="O6" s="133">
        <f ca="1">INDIRECT("'DevSumOut-"&amp;$B$2&amp;"BSR'!P50")</f>
        <v>8.0669805290527318E-3</v>
      </c>
      <c r="P6" s="551" t="s">
        <v>336</v>
      </c>
      <c r="Q6" s="45">
        <f ca="1">INDIRECT("'DevSumOut-"&amp;$B$2&amp;"BSR'!U50")</f>
        <v>647.69759802457781</v>
      </c>
      <c r="R6" s="45">
        <f ca="1">INDIRECT("'DevSumOut-"&amp;$B$2&amp;"BSR'!U50")</f>
        <v>647.69759802457781</v>
      </c>
      <c r="S6" s="45">
        <f ca="1">INDIRECT("'DevSumOut-"&amp;$B$2&amp;"BSR'!U50")</f>
        <v>647.69759802457781</v>
      </c>
      <c r="T6" s="581" t="s">
        <v>336</v>
      </c>
      <c r="U6" s="45">
        <f ca="1">INDIRECT("'DevSumOut-"&amp;$B$2&amp;"BSR'!U50")</f>
        <v>647.69759802457781</v>
      </c>
      <c r="V6" s="45">
        <f ca="1">INDIRECT("'DevSumOut-"&amp;$B$2&amp;"BSR'!U50")</f>
        <v>647.69759802457781</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2">
        <v>2104008210</v>
      </c>
      <c r="B7" s="812" t="s">
        <v>138</v>
      </c>
      <c r="C7" s="133">
        <f ca="1">INDIRECT("'DevSumOut-"&amp;$B$2&amp;"BSR'!R51")</f>
        <v>5.4458666787797955E-2</v>
      </c>
      <c r="D7" s="133">
        <f ca="1">INDIRECT("'DevSumOut-"&amp;$B$2&amp;"BSR'!R51")</f>
        <v>5.4458666787797955E-2</v>
      </c>
      <c r="E7" s="133">
        <f ca="1">INDIRECT("'DevSumOut-"&amp;$B$2&amp;"BSR'!R51")</f>
        <v>5.4458666787797955E-2</v>
      </c>
      <c r="F7" s="551" t="s">
        <v>336</v>
      </c>
      <c r="G7" s="133">
        <f ca="1">INDIRECT("'DevSumOut-"&amp;$B$2&amp;"BSR'!R51")</f>
        <v>5.4458666787797955E-2</v>
      </c>
      <c r="H7" s="133">
        <f ca="1">INDIRECT("'DevSumOut-"&amp;$B$2&amp;"BSR'!R51")</f>
        <v>5.4458666787797955E-2</v>
      </c>
      <c r="I7" s="551" t="s">
        <v>336</v>
      </c>
      <c r="J7" s="133">
        <f ca="1">INDIRECT("'DevSumOut-"&amp;$B$2&amp;"BSR'!P51")</f>
        <v>7.1187799722611654E-4</v>
      </c>
      <c r="K7" s="133">
        <f ca="1">INDIRECT("'DevSumOut-"&amp;$B$2&amp;"BSR'!P51")</f>
        <v>7.1187799722611654E-4</v>
      </c>
      <c r="L7" s="133">
        <f ca="1">INDIRECT("'DevSumOut-"&amp;$B$2&amp;"BSR'!P51")</f>
        <v>7.1187799722611654E-4</v>
      </c>
      <c r="M7" s="551" t="s">
        <v>336</v>
      </c>
      <c r="N7" s="133">
        <f ca="1">INDIRECT("'DevSumOut-"&amp;$B$2&amp;"BSR'!P51")</f>
        <v>7.1187799722611654E-4</v>
      </c>
      <c r="O7" s="133">
        <f ca="1">INDIRECT("'DevSumOut-"&amp;$B$2&amp;"BSR'!P51")</f>
        <v>7.1187799722611654E-4</v>
      </c>
      <c r="P7" s="551" t="s">
        <v>336</v>
      </c>
      <c r="Q7" s="45">
        <f ca="1">INDIRECT("'DevSumOut-"&amp;$B$2&amp;"BSR'!U51")</f>
        <v>57.146477529973339</v>
      </c>
      <c r="R7" s="45">
        <f ca="1">INDIRECT("'DevSumOut-"&amp;$B$2&amp;"BSR'!U51")</f>
        <v>57.146477529973339</v>
      </c>
      <c r="S7" s="45">
        <f ca="1">INDIRECT("'DevSumOut-"&amp;$B$2&amp;"BSR'!U51")</f>
        <v>57.146477529973339</v>
      </c>
      <c r="T7" s="581" t="s">
        <v>336</v>
      </c>
      <c r="U7" s="45">
        <f ca="1">INDIRECT("'DevSumOut-"&amp;$B$2&amp;"BSR'!U51")</f>
        <v>57.146477529973339</v>
      </c>
      <c r="V7" s="45">
        <f ca="1">INDIRECT("'DevSumOut-"&amp;$B$2&amp;"BSR'!U51")</f>
        <v>57.146477529973339</v>
      </c>
      <c r="W7" s="581" t="s">
        <v>336</v>
      </c>
      <c r="X7" s="133">
        <f t="shared" ca="1" si="0"/>
        <v>1.9059325838319385</v>
      </c>
      <c r="Y7" s="133">
        <f t="shared" ca="1" si="0"/>
        <v>1.9059325838319385</v>
      </c>
      <c r="Z7" s="133">
        <f t="shared" ca="1" si="0"/>
        <v>1.9059325838319385</v>
      </c>
      <c r="AA7" s="133"/>
      <c r="AB7" s="133">
        <f t="shared" ca="1" si="1"/>
        <v>1.9059325838319385</v>
      </c>
      <c r="AC7" s="133">
        <f t="shared" ca="1" si="1"/>
        <v>1.9059325838319385</v>
      </c>
    </row>
    <row r="8" spans="1:29" x14ac:dyDescent="0.25">
      <c r="A8" s="812">
        <v>2104008220</v>
      </c>
      <c r="B8" s="812" t="s">
        <v>139</v>
      </c>
      <c r="C8" s="133">
        <f ca="1">INDIRECT("'DevSumOut-"&amp;$B$2&amp;"BSR'!R52")</f>
        <v>4.4963986323943307E-2</v>
      </c>
      <c r="D8" s="133">
        <f ca="1">INDIRECT("'DevSumOut-"&amp;$B$2&amp;"BSR'!R52")</f>
        <v>4.4963986323943307E-2</v>
      </c>
      <c r="E8" s="133">
        <f ca="1">INDIRECT("'DevSumOut-"&amp;$B$2&amp;"BSR'!R52")</f>
        <v>4.4963986323943307E-2</v>
      </c>
      <c r="F8" s="551" t="s">
        <v>336</v>
      </c>
      <c r="G8" s="133">
        <f ca="1">INDIRECT("'DevSumOut-"&amp;$B$2&amp;"BSR'!R52")</f>
        <v>4.4963986323943307E-2</v>
      </c>
      <c r="H8" s="133">
        <f ca="1">INDIRECT("'DevSumOut-"&amp;$B$2&amp;"BSR'!R52")</f>
        <v>4.4963986323943307E-2</v>
      </c>
      <c r="I8" s="551" t="s">
        <v>336</v>
      </c>
      <c r="J8" s="133">
        <f ca="1">INDIRECT("'DevSumOut-"&amp;$B$2&amp;"BSR'!P52")</f>
        <v>1.4987995441314442E-3</v>
      </c>
      <c r="K8" s="133">
        <f ca="1">INDIRECT("'DevSumOut-"&amp;$B$2&amp;"BSR'!P52")</f>
        <v>1.4987995441314442E-3</v>
      </c>
      <c r="L8" s="133">
        <f ca="1">INDIRECT("'DevSumOut-"&amp;$B$2&amp;"BSR'!P52")</f>
        <v>1.4987995441314442E-3</v>
      </c>
      <c r="M8" s="551" t="s">
        <v>336</v>
      </c>
      <c r="N8" s="133">
        <f ca="1">INDIRECT("'DevSumOut-"&amp;$B$2&amp;"BSR'!P52")</f>
        <v>1.4987995441314442E-3</v>
      </c>
      <c r="O8" s="133">
        <f ca="1">INDIRECT("'DevSumOut-"&amp;$B$2&amp;"BSR'!P52")</f>
        <v>1.4987995441314442E-3</v>
      </c>
      <c r="P8" s="551" t="s">
        <v>336</v>
      </c>
      <c r="Q8" s="45">
        <f ca="1">INDIRECT("'DevSumOut-"&amp;$B$2&amp;"BSR'!U52")</f>
        <v>120.31712569342992</v>
      </c>
      <c r="R8" s="45">
        <f ca="1">INDIRECT("'DevSumOut-"&amp;$B$2&amp;"BSR'!U52")</f>
        <v>120.31712569342992</v>
      </c>
      <c r="S8" s="45">
        <f ca="1">INDIRECT("'DevSumOut-"&amp;$B$2&amp;"BSR'!U52")</f>
        <v>120.31712569342992</v>
      </c>
      <c r="T8" s="581" t="s">
        <v>336</v>
      </c>
      <c r="U8" s="45">
        <f ca="1">INDIRECT("'DevSumOut-"&amp;$B$2&amp;"BSR'!U52")</f>
        <v>120.31712569342992</v>
      </c>
      <c r="V8" s="45">
        <f ca="1">INDIRECT("'DevSumOut-"&amp;$B$2&amp;"BSR'!U52")</f>
        <v>120.31712569342992</v>
      </c>
      <c r="W8" s="581" t="s">
        <v>336</v>
      </c>
      <c r="X8" s="133">
        <f t="shared" ca="1" si="0"/>
        <v>0.74742454267919123</v>
      </c>
      <c r="Y8" s="133">
        <f t="shared" ca="1" si="0"/>
        <v>0.74742454267919123</v>
      </c>
      <c r="Z8" s="133">
        <f t="shared" ca="1" si="0"/>
        <v>0.74742454267919123</v>
      </c>
      <c r="AA8" s="133"/>
      <c r="AB8" s="133">
        <f t="shared" ca="1" si="1"/>
        <v>0.74742454267919123</v>
      </c>
      <c r="AC8" s="133">
        <f t="shared" ca="1" si="1"/>
        <v>0.74742454267919123</v>
      </c>
    </row>
    <row r="9" spans="1:29" x14ac:dyDescent="0.25">
      <c r="A9" s="812">
        <v>2104008230</v>
      </c>
      <c r="B9" s="812" t="s">
        <v>140</v>
      </c>
      <c r="C9" s="133">
        <f ca="1">INDIRECT("'DevSumOut-"&amp;$B$2&amp;"BSR'!R53")</f>
        <v>2.9327579602142582E-2</v>
      </c>
      <c r="D9" s="133">
        <f ca="1">INDIRECT("'DevSumOut-"&amp;$B$2&amp;"BSR'!R53")</f>
        <v>2.9327579602142582E-2</v>
      </c>
      <c r="E9" s="133">
        <f ca="1">INDIRECT("'DevSumOut-"&amp;$B$2&amp;"BSR'!R53")</f>
        <v>2.9327579602142582E-2</v>
      </c>
      <c r="F9" s="551" t="s">
        <v>336</v>
      </c>
      <c r="G9" s="133">
        <f ca="1">INDIRECT("'DevSumOut-"&amp;$B$2&amp;"BSR'!R53")</f>
        <v>2.9327579602142582E-2</v>
      </c>
      <c r="H9" s="133">
        <f ca="1">INDIRECT("'DevSumOut-"&amp;$B$2&amp;"BSR'!R53")</f>
        <v>2.9327579602142582E-2</v>
      </c>
      <c r="I9" s="551" t="s">
        <v>336</v>
      </c>
      <c r="J9" s="133">
        <f ca="1">INDIRECT("'DevSumOut-"&amp;$B$2&amp;"BSR'!P53")</f>
        <v>9.0238706468131048E-4</v>
      </c>
      <c r="K9" s="133">
        <f ca="1">INDIRECT("'DevSumOut-"&amp;$B$2&amp;"BSR'!P53")</f>
        <v>9.0238706468131048E-4</v>
      </c>
      <c r="L9" s="133">
        <f ca="1">INDIRECT("'DevSumOut-"&amp;$B$2&amp;"BSR'!P53")</f>
        <v>9.0238706468131048E-4</v>
      </c>
      <c r="M9" s="551" t="s">
        <v>336</v>
      </c>
      <c r="N9" s="133">
        <f ca="1">INDIRECT("'DevSumOut-"&amp;$B$2&amp;"BSR'!P53")</f>
        <v>9.0238706468131048E-4</v>
      </c>
      <c r="O9" s="133">
        <f ca="1">INDIRECT("'DevSumOut-"&amp;$B$2&amp;"BSR'!P53")</f>
        <v>9.0238706468131048E-4</v>
      </c>
      <c r="P9" s="551" t="s">
        <v>336</v>
      </c>
      <c r="Q9" s="45">
        <f ca="1">INDIRECT("'DevSumOut-"&amp;$B$2&amp;"BSR'!U53")</f>
        <v>72.439719047489106</v>
      </c>
      <c r="R9" s="45">
        <f ca="1">INDIRECT("'DevSumOut-"&amp;$B$2&amp;"BSR'!U53")</f>
        <v>72.439719047489106</v>
      </c>
      <c r="S9" s="45">
        <f ca="1">INDIRECT("'DevSumOut-"&amp;$B$2&amp;"BSR'!U53")</f>
        <v>72.439719047489106</v>
      </c>
      <c r="T9" s="581" t="s">
        <v>336</v>
      </c>
      <c r="U9" s="45">
        <f ca="1">INDIRECT("'DevSumOut-"&amp;$B$2&amp;"BSR'!U53")</f>
        <v>72.439719047489106</v>
      </c>
      <c r="V9" s="45">
        <f ca="1">INDIRECT("'DevSumOut-"&amp;$B$2&amp;"BSR'!U53")</f>
        <v>72.439719047489106</v>
      </c>
      <c r="W9" s="581" t="s">
        <v>336</v>
      </c>
      <c r="X9" s="133">
        <f t="shared" ca="1" si="0"/>
        <v>0.80970992123579</v>
      </c>
      <c r="Y9" s="133">
        <f t="shared" ca="1" si="0"/>
        <v>0.80970992123579</v>
      </c>
      <c r="Z9" s="133">
        <f t="shared" ca="1" si="0"/>
        <v>0.80970992123579</v>
      </c>
      <c r="AA9" s="133"/>
      <c r="AB9" s="133">
        <f t="shared" ca="1" si="1"/>
        <v>0.80970992123579</v>
      </c>
      <c r="AC9" s="133">
        <f t="shared" ca="1" si="1"/>
        <v>0.80970992123579</v>
      </c>
    </row>
    <row r="10" spans="1:29" x14ac:dyDescent="0.25">
      <c r="A10" s="812">
        <v>2104008310</v>
      </c>
      <c r="B10" s="812" t="s">
        <v>141</v>
      </c>
      <c r="C10" s="133">
        <f ca="1">INDIRECT("'DevSumOut-"&amp;$B$2&amp;"BSR'!R54")</f>
        <v>0.43854002463103442</v>
      </c>
      <c r="D10" s="133">
        <f ca="1">INDIRECT("'DevSumOut-"&amp;$B$2&amp;"BSR'!R54")</f>
        <v>0.43854002463103442</v>
      </c>
      <c r="E10" s="133">
        <f ca="1">INDIRECT("'DevSumOut-"&amp;$B$2&amp;"BSR'!R54")</f>
        <v>0.43854002463103442</v>
      </c>
      <c r="F10" s="551" t="s">
        <v>336</v>
      </c>
      <c r="G10" s="133">
        <f ca="1">INDIRECT("'DevSumOut-"&amp;$B$2&amp;"BSR'!R54")</f>
        <v>0.43854002463103442</v>
      </c>
      <c r="H10" s="133">
        <f ca="1">INDIRECT("'DevSumOut-"&amp;$B$2&amp;"BSR'!R54")</f>
        <v>0.43854002463103442</v>
      </c>
      <c r="I10" s="551" t="s">
        <v>336</v>
      </c>
      <c r="J10" s="133">
        <f ca="1">INDIRECT("'DevSumOut-"&amp;$B$2&amp;"BSR'!P54")</f>
        <v>1.4447009168313388E-2</v>
      </c>
      <c r="K10" s="133">
        <f ca="1">INDIRECT("'DevSumOut-"&amp;$B$2&amp;"BSR'!P54")</f>
        <v>1.4447009168313388E-2</v>
      </c>
      <c r="L10" s="133">
        <f ca="1">INDIRECT("'DevSumOut-"&amp;$B$2&amp;"BSR'!P54")</f>
        <v>1.4447009168313388E-2</v>
      </c>
      <c r="M10" s="551" t="s">
        <v>336</v>
      </c>
      <c r="N10" s="133">
        <f ca="1">INDIRECT("'DevSumOut-"&amp;$B$2&amp;"BSR'!P54")</f>
        <v>1.4447009168313388E-2</v>
      </c>
      <c r="O10" s="133">
        <f ca="1">INDIRECT("'DevSumOut-"&amp;$B$2&amp;"BSR'!P54")</f>
        <v>1.4447009168313388E-2</v>
      </c>
      <c r="P10" s="551" t="s">
        <v>336</v>
      </c>
      <c r="Q10" s="45">
        <f ca="1">INDIRECT("'DevSumOut-"&amp;$B$2&amp;"BSR'!U54")</f>
        <v>1159.7432257062767</v>
      </c>
      <c r="R10" s="45">
        <f ca="1">INDIRECT("'DevSumOut-"&amp;$B$2&amp;"BSR'!U54")</f>
        <v>1159.7432257062767</v>
      </c>
      <c r="S10" s="45">
        <f ca="1">INDIRECT("'DevSumOut-"&amp;$B$2&amp;"BSR'!U54")</f>
        <v>1159.7432257062767</v>
      </c>
      <c r="T10" s="581" t="s">
        <v>336</v>
      </c>
      <c r="U10" s="45">
        <f ca="1">INDIRECT("'DevSumOut-"&amp;$B$2&amp;"BSR'!U54")</f>
        <v>1159.7432257062767</v>
      </c>
      <c r="V10" s="45">
        <f ca="1">INDIRECT("'DevSumOut-"&amp;$B$2&amp;"BSR'!U54")</f>
        <v>1159.7432257062767</v>
      </c>
      <c r="W10" s="581" t="s">
        <v>336</v>
      </c>
      <c r="X10" s="133">
        <f t="shared" ca="1" si="0"/>
        <v>0.75627089671330683</v>
      </c>
      <c r="Y10" s="133">
        <f t="shared" ca="1" si="0"/>
        <v>0.75627089671330683</v>
      </c>
      <c r="Z10" s="133">
        <f t="shared" ca="1" si="0"/>
        <v>0.75627089671330683</v>
      </c>
      <c r="AA10" s="133"/>
      <c r="AB10" s="133">
        <f t="shared" ca="1" si="1"/>
        <v>0.75627089671330683</v>
      </c>
      <c r="AC10" s="133">
        <f t="shared" ca="1" si="1"/>
        <v>0.75627089671330683</v>
      </c>
    </row>
    <row r="11" spans="1:29" x14ac:dyDescent="0.25">
      <c r="A11" s="812">
        <v>2104008320</v>
      </c>
      <c r="B11" s="812" t="s">
        <v>142</v>
      </c>
      <c r="C11" s="133">
        <f ca="1">INDIRECT("'DevSumOut-"&amp;$B$2&amp;"BSR'!R55")</f>
        <v>0.60264571738808392</v>
      </c>
      <c r="D11" s="133">
        <f ca="1">INDIRECT("'DevSumOut-"&amp;$B$2&amp;"BSR'!R55")</f>
        <v>0.60264571738808392</v>
      </c>
      <c r="E11" s="133">
        <f ca="1">INDIRECT("'DevSumOut-"&amp;$B$2&amp;"BSR'!R55")</f>
        <v>0.60264571738808392</v>
      </c>
      <c r="F11" s="551" t="s">
        <v>336</v>
      </c>
      <c r="G11" s="133">
        <f ca="1">INDIRECT("'DevSumOut-"&amp;$B$2&amp;"BSR'!R55")</f>
        <v>0.60264571738808392</v>
      </c>
      <c r="H11" s="133">
        <f ca="1">INDIRECT("'DevSumOut-"&amp;$B$2&amp;"BSR'!R55")</f>
        <v>0.60264571738808392</v>
      </c>
      <c r="I11" s="551" t="s">
        <v>336</v>
      </c>
      <c r="J11" s="133">
        <f ca="1">INDIRECT("'DevSumOut-"&amp;$B$2&amp;"BSR'!P55")</f>
        <v>3.0416968693939152E-2</v>
      </c>
      <c r="K11" s="133">
        <f ca="1">INDIRECT("'DevSumOut-"&amp;$B$2&amp;"BSR'!P55")</f>
        <v>3.0416968693939152E-2</v>
      </c>
      <c r="L11" s="133">
        <f ca="1">INDIRECT("'DevSumOut-"&amp;$B$2&amp;"BSR'!P55")</f>
        <v>3.0416968693939152E-2</v>
      </c>
      <c r="M11" s="551" t="s">
        <v>336</v>
      </c>
      <c r="N11" s="133">
        <f ca="1">INDIRECT("'DevSumOut-"&amp;$B$2&amp;"BSR'!P55")</f>
        <v>3.0416968693939152E-2</v>
      </c>
      <c r="O11" s="133">
        <f ca="1">INDIRECT("'DevSumOut-"&amp;$B$2&amp;"BSR'!P55")</f>
        <v>3.0416968693939152E-2</v>
      </c>
      <c r="P11" s="551" t="s">
        <v>336</v>
      </c>
      <c r="Q11" s="45">
        <f ca="1">INDIRECT("'DevSumOut-"&amp;$B$2&amp;"BSR'!U55")</f>
        <v>2441.7422996232572</v>
      </c>
      <c r="R11" s="45">
        <f ca="1">INDIRECT("'DevSumOut-"&amp;$B$2&amp;"BSR'!U55")</f>
        <v>2441.7422996232572</v>
      </c>
      <c r="S11" s="45">
        <f ca="1">INDIRECT("'DevSumOut-"&amp;$B$2&amp;"BSR'!U55")</f>
        <v>2441.7422996232572</v>
      </c>
      <c r="T11" s="581" t="s">
        <v>336</v>
      </c>
      <c r="U11" s="45">
        <f ca="1">INDIRECT("'DevSumOut-"&amp;$B$2&amp;"BSR'!U55")</f>
        <v>2441.7422996232572</v>
      </c>
      <c r="V11" s="45">
        <f ca="1">INDIRECT("'DevSumOut-"&amp;$B$2&amp;"BSR'!U55")</f>
        <v>2441.7422996232572</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2">
        <v>2104008330</v>
      </c>
      <c r="B12" s="812" t="s">
        <v>143</v>
      </c>
      <c r="C12" s="133">
        <f ca="1">INDIRECT("'DevSumOut-"&amp;$B$2&amp;"BSR'!R56")</f>
        <v>0.40259978845508276</v>
      </c>
      <c r="D12" s="133">
        <f ca="1">INDIRECT("'DevSumOut-"&amp;$B$2&amp;"BSR'!R56")</f>
        <v>0.40259978845508276</v>
      </c>
      <c r="E12" s="133">
        <f ca="1">INDIRECT("'DevSumOut-"&amp;$B$2&amp;"BSR'!R56")</f>
        <v>0.40259978845508276</v>
      </c>
      <c r="F12" s="551" t="s">
        <v>336</v>
      </c>
      <c r="G12" s="133">
        <f ca="1">INDIRECT("'DevSumOut-"&amp;$B$2&amp;"BSR'!R56")</f>
        <v>0.40259978845508276</v>
      </c>
      <c r="H12" s="133">
        <f ca="1">INDIRECT("'DevSumOut-"&amp;$B$2&amp;"BSR'!R56")</f>
        <v>0.40259978845508276</v>
      </c>
      <c r="I12" s="551" t="s">
        <v>336</v>
      </c>
      <c r="J12" s="133">
        <f ca="1">INDIRECT("'DevSumOut-"&amp;$B$2&amp;"BSR'!P56")</f>
        <v>1.8313242223551081E-2</v>
      </c>
      <c r="K12" s="133">
        <f ca="1">INDIRECT("'DevSumOut-"&amp;$B$2&amp;"BSR'!P56")</f>
        <v>1.8313242223551081E-2</v>
      </c>
      <c r="L12" s="133">
        <f ca="1">INDIRECT("'DevSumOut-"&amp;$B$2&amp;"BSR'!P56")</f>
        <v>1.8313242223551081E-2</v>
      </c>
      <c r="M12" s="551" t="s">
        <v>336</v>
      </c>
      <c r="N12" s="133">
        <f ca="1">INDIRECT("'DevSumOut-"&amp;$B$2&amp;"BSR'!P56")</f>
        <v>1.8313242223551081E-2</v>
      </c>
      <c r="O12" s="133">
        <f ca="1">INDIRECT("'DevSumOut-"&amp;$B$2&amp;"BSR'!P56")</f>
        <v>1.8313242223551081E-2</v>
      </c>
      <c r="P12" s="551" t="s">
        <v>336</v>
      </c>
      <c r="Q12" s="45">
        <f ca="1">INDIRECT("'DevSumOut-"&amp;$B$2&amp;"BSR'!U56")</f>
        <v>1470.1076438758159</v>
      </c>
      <c r="R12" s="45">
        <f ca="1">INDIRECT("'DevSumOut-"&amp;$B$2&amp;"BSR'!U56")</f>
        <v>1470.1076438758159</v>
      </c>
      <c r="S12" s="45">
        <f ca="1">INDIRECT("'DevSumOut-"&amp;$B$2&amp;"BSR'!U56")</f>
        <v>1470.1076438758159</v>
      </c>
      <c r="T12" s="581" t="s">
        <v>336</v>
      </c>
      <c r="U12" s="45">
        <f ca="1">INDIRECT("'DevSumOut-"&amp;$B$2&amp;"BSR'!U56")</f>
        <v>1470.1076438758159</v>
      </c>
      <c r="V12" s="45">
        <f ca="1">INDIRECT("'DevSumOut-"&amp;$B$2&amp;"BSR'!U56")</f>
        <v>1470.1076438758159</v>
      </c>
      <c r="W12" s="581" t="s">
        <v>336</v>
      </c>
      <c r="X12" s="133">
        <f t="shared" ca="1" si="0"/>
        <v>0.54771470665054445</v>
      </c>
      <c r="Y12" s="133">
        <f t="shared" ca="1" si="0"/>
        <v>0.54771470665054445</v>
      </c>
      <c r="Z12" s="133">
        <f t="shared" ca="1" si="0"/>
        <v>0.54771470665054445</v>
      </c>
      <c r="AA12" s="133"/>
      <c r="AB12" s="133">
        <f t="shared" ca="1" si="1"/>
        <v>0.54771470665054445</v>
      </c>
      <c r="AC12" s="133">
        <f t="shared" ca="1" si="1"/>
        <v>0.54771470665054445</v>
      </c>
    </row>
    <row r="13" spans="1:29" x14ac:dyDescent="0.25">
      <c r="A13" s="812">
        <v>2104008410</v>
      </c>
      <c r="B13" s="812" t="s">
        <v>144</v>
      </c>
      <c r="C13" s="133">
        <f ca="1">INDIRECT("'DevSumOut-"&amp;$B$2&amp;"BSR'!R57")</f>
        <v>1.4855406265346921E-2</v>
      </c>
      <c r="D13" s="133">
        <f ca="1">INDIRECT("'DevSumOut-"&amp;$B$2&amp;"BSR'!R57")</f>
        <v>1.4855406265346921E-2</v>
      </c>
      <c r="E13" s="133">
        <f ca="1">INDIRECT("'DevSumOut-"&amp;$B$2&amp;"BSR'!R57")</f>
        <v>1.4855406265346921E-2</v>
      </c>
      <c r="F13" s="551" t="s">
        <v>336</v>
      </c>
      <c r="G13" s="133">
        <f ca="1">INDIRECT("'DevSumOut-"&amp;$B$2&amp;"BSR'!R57")</f>
        <v>1.4855406265346921E-2</v>
      </c>
      <c r="H13" s="133">
        <f ca="1">INDIRECT("'DevSumOut-"&amp;$B$2&amp;"BSR'!R57")</f>
        <v>1.4855406265346921E-2</v>
      </c>
      <c r="I13" s="551" t="s">
        <v>336</v>
      </c>
      <c r="J13" s="133">
        <f ca="1">INDIRECT("'DevSumOut-"&amp;$B$2&amp;"BSR'!P57")</f>
        <v>1.6059898665239918E-3</v>
      </c>
      <c r="K13" s="133">
        <f ca="1">INDIRECT("'DevSumOut-"&amp;$B$2&amp;"BSR'!P57")</f>
        <v>1.6059898665239918E-3</v>
      </c>
      <c r="L13" s="133">
        <f ca="1">INDIRECT("'DevSumOut-"&amp;$B$2&amp;"BSR'!P57")</f>
        <v>1.6059898665239918E-3</v>
      </c>
      <c r="M13" s="551" t="s">
        <v>336</v>
      </c>
      <c r="N13" s="133">
        <f ca="1">INDIRECT("'DevSumOut-"&amp;$B$2&amp;"BSR'!P57")</f>
        <v>1.6059898665239918E-3</v>
      </c>
      <c r="O13" s="133">
        <f ca="1">INDIRECT("'DevSumOut-"&amp;$B$2&amp;"BSR'!P57")</f>
        <v>1.6059898665239918E-3</v>
      </c>
      <c r="P13" s="551" t="s">
        <v>336</v>
      </c>
      <c r="Q13" s="45">
        <f ca="1">INDIRECT("'DevSumOut-"&amp;$B$2&amp;"BSR'!U57")</f>
        <v>153.95642573157608</v>
      </c>
      <c r="R13" s="45">
        <f ca="1">INDIRECT("'DevSumOut-"&amp;$B$2&amp;"BSR'!U57")</f>
        <v>153.95642573157608</v>
      </c>
      <c r="S13" s="45">
        <f ca="1">INDIRECT("'DevSumOut-"&amp;$B$2&amp;"BSR'!U57")</f>
        <v>153.95642573157608</v>
      </c>
      <c r="T13" s="581" t="s">
        <v>336</v>
      </c>
      <c r="U13" s="45">
        <f ca="1">INDIRECT("'DevSumOut-"&amp;$B$2&amp;"BSR'!U57")</f>
        <v>153.95642573157608</v>
      </c>
      <c r="V13" s="45">
        <f ca="1">INDIRECT("'DevSumOut-"&amp;$B$2&amp;"BSR'!U57")</f>
        <v>153.95642573157608</v>
      </c>
      <c r="W13" s="581" t="s">
        <v>336</v>
      </c>
      <c r="X13" s="133">
        <f t="shared" ca="1" si="0"/>
        <v>0.19298195830094692</v>
      </c>
      <c r="Y13" s="133">
        <f t="shared" ca="1" si="0"/>
        <v>0.19298195830094692</v>
      </c>
      <c r="Z13" s="133">
        <f t="shared" ca="1" si="0"/>
        <v>0.19298195830094692</v>
      </c>
      <c r="AA13" s="133"/>
      <c r="AB13" s="133">
        <f t="shared" ca="1" si="1"/>
        <v>0.19298195830094692</v>
      </c>
      <c r="AC13" s="133">
        <f t="shared" ca="1" si="1"/>
        <v>0.19298195830094692</v>
      </c>
    </row>
    <row r="14" spans="1:29" x14ac:dyDescent="0.25">
      <c r="A14" s="812">
        <v>2104008420</v>
      </c>
      <c r="B14" s="812" t="s">
        <v>145</v>
      </c>
      <c r="C14" s="133">
        <f ca="1">INDIRECT("'DevSumOut-"&amp;$B$2&amp;"BSR'!R58")</f>
        <v>5.0107747018192914E-2</v>
      </c>
      <c r="D14" s="133">
        <f ca="1">INDIRECT("'DevSumOut-"&amp;$B$2&amp;"BSR'!R58")</f>
        <v>5.0107747018192914E-2</v>
      </c>
      <c r="E14" s="133">
        <f ca="1">INDIRECT("'DevSumOut-"&amp;$B$2&amp;"BSR'!R58")</f>
        <v>5.0107747018192914E-2</v>
      </c>
      <c r="F14" s="551" t="s">
        <v>336</v>
      </c>
      <c r="G14" s="133">
        <f ca="1">INDIRECT("'DevSumOut-"&amp;$B$2&amp;"BSR'!R58")</f>
        <v>5.0107747018192914E-2</v>
      </c>
      <c r="H14" s="133">
        <f ca="1">INDIRECT("'DevSumOut-"&amp;$B$2&amp;"BSR'!R58")</f>
        <v>5.0107747018192914E-2</v>
      </c>
      <c r="I14" s="551" t="s">
        <v>336</v>
      </c>
      <c r="J14" s="133">
        <f ca="1">INDIRECT("'DevSumOut-"&amp;$B$2&amp;"BSR'!P58")</f>
        <v>5.417053731696533E-3</v>
      </c>
      <c r="K14" s="133">
        <f ca="1">INDIRECT("'DevSumOut-"&amp;$B$2&amp;"BSR'!P58")</f>
        <v>5.417053731696533E-3</v>
      </c>
      <c r="L14" s="133">
        <f ca="1">INDIRECT("'DevSumOut-"&amp;$B$2&amp;"BSR'!P58")</f>
        <v>5.417053731696533E-3</v>
      </c>
      <c r="M14" s="551" t="s">
        <v>336</v>
      </c>
      <c r="N14" s="133">
        <f ca="1">INDIRECT("'DevSumOut-"&amp;$B$2&amp;"BSR'!P58")</f>
        <v>5.417053731696533E-3</v>
      </c>
      <c r="O14" s="133">
        <f ca="1">INDIRECT("'DevSumOut-"&amp;$B$2&amp;"BSR'!P58")</f>
        <v>5.417053731696533E-3</v>
      </c>
      <c r="P14" s="551" t="s">
        <v>336</v>
      </c>
      <c r="Q14" s="45">
        <f ca="1">INDIRECT("'DevSumOut-"&amp;$B$2&amp;"BSR'!U58")</f>
        <v>519.29980874224611</v>
      </c>
      <c r="R14" s="45">
        <f ca="1">INDIRECT("'DevSumOut-"&amp;$B$2&amp;"BSR'!U58")</f>
        <v>519.29980874224611</v>
      </c>
      <c r="S14" s="45">
        <f ca="1">INDIRECT("'DevSumOut-"&amp;$B$2&amp;"BSR'!U58")</f>
        <v>519.29980874224611</v>
      </c>
      <c r="T14" s="581" t="s">
        <v>336</v>
      </c>
      <c r="U14" s="45">
        <f ca="1">INDIRECT("'DevSumOut-"&amp;$B$2&amp;"BSR'!U58")</f>
        <v>519.29980874224611</v>
      </c>
      <c r="V14" s="45">
        <f ca="1">INDIRECT("'DevSumOut-"&amp;$B$2&amp;"BSR'!U58")</f>
        <v>519.29980874224611</v>
      </c>
      <c r="W14" s="581" t="s">
        <v>336</v>
      </c>
      <c r="X14" s="133">
        <f t="shared" ca="1" si="0"/>
        <v>0.19298195830094686</v>
      </c>
      <c r="Y14" s="133">
        <f t="shared" ca="1" si="0"/>
        <v>0.19298195830094686</v>
      </c>
      <c r="Z14" s="133">
        <f t="shared" ca="1" si="0"/>
        <v>0.19298195830094686</v>
      </c>
      <c r="AA14" s="133"/>
      <c r="AB14" s="133">
        <f t="shared" ca="1" si="1"/>
        <v>0.19298195830094686</v>
      </c>
      <c r="AC14" s="133">
        <f t="shared" ca="1" si="1"/>
        <v>0.19298195830094686</v>
      </c>
    </row>
    <row r="15" spans="1:29" x14ac:dyDescent="0.25">
      <c r="A15" s="812">
        <v>2104008610</v>
      </c>
      <c r="B15" s="812" t="s">
        <v>146</v>
      </c>
      <c r="C15" s="133">
        <f ca="1">INDIRECT("'DevSumOut-"&amp;$B$2&amp;"BSR'!R59")</f>
        <v>0.2489544267922367</v>
      </c>
      <c r="D15" s="133">
        <f ca="1">INDIRECT("'DevSumOut-"&amp;$B$2&amp;"BSR'!R59")</f>
        <v>0.2489544267922367</v>
      </c>
      <c r="E15" s="133">
        <f ca="1">INDIRECT("'DevSumOut-"&amp;$B$2&amp;"BSR'!R59")</f>
        <v>0.2489544267922367</v>
      </c>
      <c r="F15" s="551" t="s">
        <v>336</v>
      </c>
      <c r="G15" s="133">
        <f ca="1">INDIRECT("'DevSumOut-"&amp;$B$2&amp;"BSR'!R59")</f>
        <v>0.2489544267922367</v>
      </c>
      <c r="H15" s="133">
        <f ca="1">INDIRECT("'DevSumOut-"&amp;$B$2&amp;"BSR'!R59")</f>
        <v>0.2489544267922367</v>
      </c>
      <c r="I15" s="551" t="s">
        <v>336</v>
      </c>
      <c r="J15" s="133">
        <f ca="1">INDIRECT("'DevSumOut-"&amp;$B$2&amp;"BSR'!P59")</f>
        <v>1.0089183015293234E-2</v>
      </c>
      <c r="K15" s="133">
        <f ca="1">INDIRECT("'DevSumOut-"&amp;$B$2&amp;"BSR'!P59")</f>
        <v>1.0089183015293234E-2</v>
      </c>
      <c r="L15" s="133">
        <f ca="1">INDIRECT("'DevSumOut-"&amp;$B$2&amp;"BSR'!P59")</f>
        <v>1.0089183015293234E-2</v>
      </c>
      <c r="M15" s="551" t="s">
        <v>336</v>
      </c>
      <c r="N15" s="133">
        <f ca="1">INDIRECT("'DevSumOut-"&amp;$B$2&amp;"BSR'!P59")</f>
        <v>1.0089183015293234E-2</v>
      </c>
      <c r="O15" s="133">
        <f ca="1">INDIRECT("'DevSumOut-"&amp;$B$2&amp;"BSR'!P59")</f>
        <v>1.0089183015293234E-2</v>
      </c>
      <c r="P15" s="551" t="s">
        <v>336</v>
      </c>
      <c r="Q15" s="45">
        <f ca="1">INDIRECT("'DevSumOut-"&amp;$B$2&amp;"BSR'!U59")</f>
        <v>809.63782689745676</v>
      </c>
      <c r="R15" s="45">
        <f ca="1">INDIRECT("'DevSumOut-"&amp;$B$2&amp;"BSR'!U59")</f>
        <v>809.63782689745676</v>
      </c>
      <c r="S15" s="45">
        <f ca="1">INDIRECT("'DevSumOut-"&amp;$B$2&amp;"BSR'!U59")</f>
        <v>809.63782689745676</v>
      </c>
      <c r="T15" s="581" t="s">
        <v>336</v>
      </c>
      <c r="U15" s="45">
        <f ca="1">INDIRECT("'DevSumOut-"&amp;$B$2&amp;"BSR'!U59")</f>
        <v>809.63782689745676</v>
      </c>
      <c r="V15" s="45">
        <f ca="1">INDIRECT("'DevSumOut-"&amp;$B$2&amp;"BSR'!U59")</f>
        <v>809.63782689745676</v>
      </c>
      <c r="W15" s="581" t="s">
        <v>336</v>
      </c>
      <c r="X15" s="133">
        <f t="shared" ca="1" si="0"/>
        <v>0.61497726149044563</v>
      </c>
      <c r="Y15" s="133">
        <f t="shared" ca="1" si="0"/>
        <v>0.61497726149044563</v>
      </c>
      <c r="Z15" s="133">
        <f t="shared" ca="1" si="0"/>
        <v>0.61497726149044563</v>
      </c>
      <c r="AA15" s="133"/>
      <c r="AB15" s="133">
        <f t="shared" ca="1" si="1"/>
        <v>0.61497726149044563</v>
      </c>
      <c r="AC15" s="133">
        <f t="shared" ca="1" si="1"/>
        <v>0.61497726149044563</v>
      </c>
    </row>
    <row r="16" spans="1:29" x14ac:dyDescent="0.25">
      <c r="A16" s="812">
        <v>2104004000</v>
      </c>
      <c r="B16" s="812" t="s">
        <v>568</v>
      </c>
      <c r="C16" s="133">
        <f ca="1">INDIRECT("'DevSumOut-"&amp;$B$2&amp;"BSR'!R60")</f>
        <v>5.4060005550804521E-2</v>
      </c>
      <c r="D16" s="133">
        <f ca="1">INDIRECT("'DevSumOut-"&amp;$B$2&amp;"BSR'!R60")</f>
        <v>5.4060005550804521E-2</v>
      </c>
      <c r="E16" s="133">
        <f ca="1">INDIRECT("'DevSumOut-"&amp;$B$2&amp;"BSR'!R60")</f>
        <v>5.4060005550804521E-2</v>
      </c>
      <c r="F16" s="551" t="s">
        <v>336</v>
      </c>
      <c r="G16" s="133">
        <f ca="1">INDIRECT("'DevSumOut-"&amp;$B$2&amp;"BSR'!R60")</f>
        <v>5.4060005550804521E-2</v>
      </c>
      <c r="H16" s="133">
        <f ca="1">INDIRECT("'DevSumOut-"&amp;$B$2&amp;"BSR'!R60")</f>
        <v>5.4060005550804521E-2</v>
      </c>
      <c r="I16" s="551" t="s">
        <v>336</v>
      </c>
      <c r="J16" s="133">
        <f ca="1">INDIRECT("'DevSumOut-"&amp;$B$2&amp;"BSR'!P60")</f>
        <v>3.4219962706099079</v>
      </c>
      <c r="K16" s="133">
        <f ca="1">INDIRECT("'DevSumOut-"&amp;$B$2&amp;"BSR'!P60")</f>
        <v>3.4219962706099079</v>
      </c>
      <c r="L16" s="133">
        <f ca="1">INDIRECT("'DevSumOut-"&amp;$B$2&amp;"BSR'!P60")</f>
        <v>3.4219962706099079</v>
      </c>
      <c r="M16" s="551" t="s">
        <v>336</v>
      </c>
      <c r="N16" s="133">
        <f ca="1">INDIRECT("'DevSumOut-"&amp;$B$2&amp;"BSR'!P60")</f>
        <v>3.4219962706099079</v>
      </c>
      <c r="O16" s="133">
        <f ca="1">INDIRECT("'DevSumOut-"&amp;$B$2&amp;"BSR'!P60")</f>
        <v>3.4219962706099079</v>
      </c>
      <c r="P16" s="551" t="s">
        <v>336</v>
      </c>
      <c r="Q16" s="45">
        <f ca="1">INDIRECT("'DevSumOut-"&amp;$B$2&amp;"BSR'!U60")</f>
        <v>31780.443121636126</v>
      </c>
      <c r="R16" s="45">
        <f ca="1">INDIRECT("'DevSumOut-"&amp;$B$2&amp;"BSR'!U60")</f>
        <v>31780.443121636126</v>
      </c>
      <c r="S16" s="45">
        <f ca="1">INDIRECT("'DevSumOut-"&amp;$B$2&amp;"BSR'!U60")</f>
        <v>31780.443121636126</v>
      </c>
      <c r="T16" s="581" t="s">
        <v>336</v>
      </c>
      <c r="U16" s="45">
        <f ca="1">INDIRECT("'DevSumOut-"&amp;$B$2&amp;"BSR'!U60")</f>
        <v>31780.443121636126</v>
      </c>
      <c r="V16" s="45">
        <f ca="1">INDIRECT("'DevSumOut-"&amp;$B$2&amp;"BSR'!U60")</f>
        <v>31780.443121636126</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2">
        <v>2103004001</v>
      </c>
      <c r="B17" s="812" t="s">
        <v>148</v>
      </c>
      <c r="C17" s="133">
        <f ca="1">INDIRECT("'DevSumOut-"&amp;$B$2&amp;"BSR'!R61")</f>
        <v>1.8270300404244443E-2</v>
      </c>
      <c r="D17" s="133">
        <f ca="1">INDIRECT("'DevSumOut-"&amp;$B$2&amp;"BSR'!R61")</f>
        <v>1.8270300404244443E-2</v>
      </c>
      <c r="E17" s="133">
        <f ca="1">INDIRECT("'DevSumOut-"&amp;$B$2&amp;"BSR'!R61")</f>
        <v>1.8270300404244443E-2</v>
      </c>
      <c r="F17" s="551" t="s">
        <v>336</v>
      </c>
      <c r="G17" s="133">
        <f ca="1">INDIRECT("'DevSumOut-"&amp;$B$2&amp;"BSR'!R61")</f>
        <v>1.8270300404244443E-2</v>
      </c>
      <c r="H17" s="133">
        <f ca="1">INDIRECT("'DevSumOut-"&amp;$B$2&amp;"BSR'!R61")</f>
        <v>1.8270300404244443E-2</v>
      </c>
      <c r="I17" s="551" t="s">
        <v>336</v>
      </c>
      <c r="J17" s="133">
        <f ca="1">INDIRECT("'DevSumOut-"&amp;$B$2&amp;"BSR'!P61")</f>
        <v>0.50910679524039493</v>
      </c>
      <c r="K17" s="133">
        <f ca="1">INDIRECT("'DevSumOut-"&amp;$B$2&amp;"BSR'!P61")</f>
        <v>0.50910679524039493</v>
      </c>
      <c r="L17" s="133">
        <f ca="1">INDIRECT("'DevSumOut-"&amp;$B$2&amp;"BSR'!P61")</f>
        <v>0.50910679524039493</v>
      </c>
      <c r="M17" s="551" t="s">
        <v>336</v>
      </c>
      <c r="N17" s="133">
        <f ca="1">INDIRECT("'DevSumOut-"&amp;$B$2&amp;"BSR'!P61")</f>
        <v>0.50910679524039493</v>
      </c>
      <c r="O17" s="133">
        <f ca="1">INDIRECT("'DevSumOut-"&amp;$B$2&amp;"BSR'!P61")</f>
        <v>0.50910679524039493</v>
      </c>
      <c r="P17" s="551" t="s">
        <v>336</v>
      </c>
      <c r="Q17" s="45">
        <f ca="1">INDIRECT("'DevSumOut-"&amp;$B$2&amp;"BSR'!U61")</f>
        <v>11083.892596327138</v>
      </c>
      <c r="R17" s="45">
        <f ca="1">INDIRECT("'DevSumOut-"&amp;$B$2&amp;"BSR'!U61")</f>
        <v>11083.892596327138</v>
      </c>
      <c r="S17" s="45">
        <f ca="1">INDIRECT("'DevSumOut-"&amp;$B$2&amp;"BSR'!U61")</f>
        <v>11083.892596327138</v>
      </c>
      <c r="T17" s="581" t="s">
        <v>336</v>
      </c>
      <c r="U17" s="45">
        <f ca="1">INDIRECT("'DevSumOut-"&amp;$B$2&amp;"BSR'!U61")</f>
        <v>11083.892596327138</v>
      </c>
      <c r="V17" s="45">
        <f ca="1">INDIRECT("'DevSumOut-"&amp;$B$2&amp;"BSR'!U61")</f>
        <v>11083.892596327138</v>
      </c>
      <c r="W17" s="581" t="s">
        <v>336</v>
      </c>
      <c r="X17" s="133">
        <f t="shared" ca="1" si="0"/>
        <v>3.2967299611507718E-3</v>
      </c>
      <c r="Y17" s="133">
        <f t="shared" ca="1" si="0"/>
        <v>3.2967299611507718E-3</v>
      </c>
      <c r="Z17" s="133">
        <f t="shared" ca="1" si="0"/>
        <v>3.2967299611507718E-3</v>
      </c>
      <c r="AA17" s="133"/>
      <c r="AB17" s="133">
        <f t="shared" ca="1" si="1"/>
        <v>3.2967299611507718E-3</v>
      </c>
      <c r="AC17" s="133">
        <f t="shared" ca="1" si="1"/>
        <v>3.2967299611507718E-3</v>
      </c>
    </row>
    <row r="18" spans="1:29" x14ac:dyDescent="0.25">
      <c r="A18" s="812">
        <v>2104004000</v>
      </c>
      <c r="B18" s="812" t="s">
        <v>746</v>
      </c>
      <c r="C18" s="133">
        <f ca="1">INDIRECT("'DevSumOut-"&amp;$B$2&amp;"BSR'!R62")</f>
        <v>3.2358913402717087E-4</v>
      </c>
      <c r="D18" s="133">
        <f ca="1">INDIRECT("'DevSumOut-"&amp;$B$2&amp;"BSR'!R62")</f>
        <v>3.2358913402717087E-4</v>
      </c>
      <c r="E18" s="133">
        <f ca="1">INDIRECT("'DevSumOut-"&amp;$B$2&amp;"BSR'!R62")</f>
        <v>3.2358913402717087E-4</v>
      </c>
      <c r="F18" s="551" t="s">
        <v>336</v>
      </c>
      <c r="G18" s="133">
        <f ca="1">INDIRECT("'DevSumOut-"&amp;$B$2&amp;"BSR'!R62")</f>
        <v>3.2358913402717087E-4</v>
      </c>
      <c r="H18" s="133">
        <f ca="1">INDIRECT("'DevSumOut-"&amp;$B$2&amp;"BSR'!R62")</f>
        <v>3.2358913402717087E-4</v>
      </c>
      <c r="I18" s="551" t="s">
        <v>336</v>
      </c>
      <c r="J18" s="133">
        <f ca="1">INDIRECT("'DevSumOut-"&amp;$B$2&amp;"BSR'!P62")</f>
        <v>2.338140113817317E-2</v>
      </c>
      <c r="K18" s="133">
        <f ca="1">INDIRECT("'DevSumOut-"&amp;$B$2&amp;"BSR'!P62")</f>
        <v>2.338140113817317E-2</v>
      </c>
      <c r="L18" s="133">
        <f ca="1">INDIRECT("'DevSumOut-"&amp;$B$2&amp;"BSR'!P62")</f>
        <v>2.338140113817317E-2</v>
      </c>
      <c r="M18" s="551" t="s">
        <v>336</v>
      </c>
      <c r="N18" s="133">
        <f ca="1">INDIRECT("'DevSumOut-"&amp;$B$2&amp;"BSR'!P62")</f>
        <v>2.338140113817317E-2</v>
      </c>
      <c r="O18" s="133">
        <f ca="1">INDIRECT("'DevSumOut-"&amp;$B$2&amp;"BSR'!P62")</f>
        <v>2.338140113817317E-2</v>
      </c>
      <c r="P18" s="551" t="s">
        <v>336</v>
      </c>
      <c r="Q18" s="45">
        <f ca="1">INDIRECT("'DevSumOut-"&amp;$B$2&amp;"BSR'!U62")</f>
        <v>221.65046708026134</v>
      </c>
      <c r="R18" s="45">
        <f ca="1">INDIRECT("'DevSumOut-"&amp;$B$2&amp;"BSR'!U62")</f>
        <v>221.65046708026134</v>
      </c>
      <c r="S18" s="45">
        <f ca="1">INDIRECT("'DevSumOut-"&amp;$B$2&amp;"BSR'!U62")</f>
        <v>221.65046708026134</v>
      </c>
      <c r="T18" s="581" t="s">
        <v>336</v>
      </c>
      <c r="U18" s="45">
        <f ca="1">INDIRECT("'DevSumOut-"&amp;$B$2&amp;"BSR'!U62")</f>
        <v>221.65046708026134</v>
      </c>
      <c r="V18" s="45">
        <f ca="1">INDIRECT("'DevSumOut-"&amp;$B$2&amp;"BSR'!U62")</f>
        <v>221.65046708026134</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2">
        <v>2104007000</v>
      </c>
      <c r="B19" s="812" t="s">
        <v>747</v>
      </c>
      <c r="C19" s="133">
        <f ca="1">INDIRECT("'DevSumOut-"&amp;$B$2&amp;"BSR'!R63")</f>
        <v>1.2496640979557847E-3</v>
      </c>
      <c r="D19" s="133">
        <f ca="1">INDIRECT("'DevSumOut-"&amp;$B$2&amp;"BSR'!R63")</f>
        <v>1.2496640979557847E-3</v>
      </c>
      <c r="E19" s="133">
        <f ca="1">INDIRECT("'DevSumOut-"&amp;$B$2&amp;"BSR'!R63")</f>
        <v>1.2496640979557847E-3</v>
      </c>
      <c r="F19" s="551" t="s">
        <v>336</v>
      </c>
      <c r="G19" s="133">
        <f ca="1">INDIRECT("'DevSumOut-"&amp;$B$2&amp;"BSR'!R63")</f>
        <v>1.2496640979557847E-3</v>
      </c>
      <c r="H19" s="133">
        <f ca="1">INDIRECT("'DevSumOut-"&amp;$B$2&amp;"BSR'!R63")</f>
        <v>1.2496640979557847E-3</v>
      </c>
      <c r="I19" s="551" t="s">
        <v>336</v>
      </c>
      <c r="J19" s="133">
        <f ca="1">INDIRECT("'DevSumOut-"&amp;$B$2&amp;"BSR'!P63")</f>
        <v>7.9103689301344288E-2</v>
      </c>
      <c r="K19" s="133">
        <f ca="1">INDIRECT("'DevSumOut-"&amp;$B$2&amp;"BSR'!P63")</f>
        <v>7.9103689301344288E-2</v>
      </c>
      <c r="L19" s="133">
        <f ca="1">INDIRECT("'DevSumOut-"&amp;$B$2&amp;"BSR'!P63")</f>
        <v>7.9103689301344288E-2</v>
      </c>
      <c r="M19" s="551" t="s">
        <v>336</v>
      </c>
      <c r="N19" s="133">
        <f ca="1">INDIRECT("'DevSumOut-"&amp;$B$2&amp;"BSR'!P63")</f>
        <v>7.9103689301344288E-2</v>
      </c>
      <c r="O19" s="133">
        <f ca="1">INDIRECT("'DevSumOut-"&amp;$B$2&amp;"BSR'!P63")</f>
        <v>7.9103689301344288E-2</v>
      </c>
      <c r="P19" s="551" t="s">
        <v>336</v>
      </c>
      <c r="Q19" s="45">
        <f ca="1">INDIRECT("'DevSumOut-"&amp;$B$2&amp;"BSR'!U63")</f>
        <v>684.22691416431519</v>
      </c>
      <c r="R19" s="45">
        <f ca="1">INDIRECT("'DevSumOut-"&amp;$B$2&amp;"BSR'!U63")</f>
        <v>684.22691416431519</v>
      </c>
      <c r="S19" s="45">
        <f ca="1">INDIRECT("'DevSumOut-"&amp;$B$2&amp;"BSR'!U63")</f>
        <v>684.22691416431519</v>
      </c>
      <c r="T19" s="581" t="s">
        <v>336</v>
      </c>
      <c r="U19" s="45">
        <f ca="1">INDIRECT("'DevSumOut-"&amp;$B$2&amp;"BSR'!U63")</f>
        <v>684.22691416431519</v>
      </c>
      <c r="V19" s="45">
        <f ca="1">INDIRECT("'DevSumOut-"&amp;$B$2&amp;"BSR'!U63")</f>
        <v>684.22691416431519</v>
      </c>
      <c r="W19" s="581" t="s">
        <v>336</v>
      </c>
      <c r="X19" s="133">
        <f t="shared" ca="1" si="0"/>
        <v>3.6527767969550561E-3</v>
      </c>
      <c r="Y19" s="133">
        <f t="shared" ca="1" si="0"/>
        <v>3.6527767969550561E-3</v>
      </c>
      <c r="Z19" s="133">
        <f t="shared" ca="1" si="0"/>
        <v>3.6527767969550561E-3</v>
      </c>
      <c r="AA19" s="133"/>
      <c r="AB19" s="133">
        <f t="shared" ca="1" si="1"/>
        <v>3.6527767969550561E-3</v>
      </c>
      <c r="AC19" s="133">
        <f t="shared" ca="1" si="1"/>
        <v>3.6527767969550561E-3</v>
      </c>
    </row>
    <row r="20" spans="1:29" x14ac:dyDescent="0.25">
      <c r="A20" s="812">
        <v>2104006010</v>
      </c>
      <c r="B20" s="812" t="s">
        <v>149</v>
      </c>
      <c r="C20" s="133">
        <f ca="1">INDIRECT("'DevSumOut-"&amp;$B$2&amp;"BSR'!R64")</f>
        <v>5.8529310125197205E-6</v>
      </c>
      <c r="D20" s="133">
        <f ca="1">INDIRECT("'DevSumOut-"&amp;$B$2&amp;"BSR'!R64")</f>
        <v>5.8529310125197205E-6</v>
      </c>
      <c r="E20" s="133">
        <f ca="1">INDIRECT("'DevSumOut-"&amp;$B$2&amp;"BSR'!R64")</f>
        <v>5.8529310125197205E-6</v>
      </c>
      <c r="F20" s="551" t="s">
        <v>336</v>
      </c>
      <c r="G20" s="133">
        <f ca="1">INDIRECT("'DevSumOut-"&amp;$B$2&amp;"BSR'!R64")</f>
        <v>5.8529310125197205E-6</v>
      </c>
      <c r="H20" s="133">
        <f ca="1">INDIRECT("'DevSumOut-"&amp;$B$2&amp;"BSR'!R64")</f>
        <v>5.8529310125197205E-6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4.0124456975701546E-5</v>
      </c>
      <c r="Y20" s="133">
        <f t="shared" ca="1" si="0"/>
        <v>4.0124456975701546E-5</v>
      </c>
      <c r="Z20" s="133">
        <f t="shared" ca="1" si="0"/>
        <v>4.0124456975701546E-5</v>
      </c>
      <c r="AA20" s="133"/>
      <c r="AB20" s="133">
        <f t="shared" ca="1" si="1"/>
        <v>4.0124456975701546E-5</v>
      </c>
      <c r="AC20" s="133">
        <f t="shared" ca="1" si="1"/>
        <v>4.0124456975701546E-5</v>
      </c>
    </row>
    <row r="21" spans="1:29" x14ac:dyDescent="0.25">
      <c r="A21" s="812">
        <v>2103006000</v>
      </c>
      <c r="B21" s="812"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7.9575146604215412E-4</v>
      </c>
      <c r="K21" s="133">
        <f ca="1">INDIRECT("'DevSumOut-"&amp;$B$2&amp;"BSR'!P65")</f>
        <v>7.9575146604215412E-4</v>
      </c>
      <c r="L21" s="133">
        <f ca="1">INDIRECT("'DevSumOut-"&amp;$B$2&amp;"BSR'!P65")</f>
        <v>7.9575146604215412E-4</v>
      </c>
      <c r="M21" s="551" t="s">
        <v>336</v>
      </c>
      <c r="N21" s="133">
        <f ca="1">INDIRECT("'DevSumOut-"&amp;$B$2&amp;"BSR'!P65")</f>
        <v>7.9575146604215412E-4</v>
      </c>
      <c r="O21" s="133">
        <f ca="1">INDIRECT("'DevSumOut-"&amp;$B$2&amp;"BSR'!P65")</f>
        <v>7.9575146604215412E-4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7.4876847290640388E-3</v>
      </c>
      <c r="Y21" s="133">
        <f t="shared" ca="1" si="0"/>
        <v>7.4876847290640388E-3</v>
      </c>
      <c r="Z21" s="133">
        <f t="shared" ca="1" si="0"/>
        <v>7.4876847290640388E-3</v>
      </c>
      <c r="AA21" s="133"/>
      <c r="AB21" s="133">
        <f t="shared" ca="1" si="1"/>
        <v>7.4876847290640388E-3</v>
      </c>
      <c r="AC21" s="133">
        <f t="shared" ca="1" si="1"/>
        <v>7.4876847290640388E-3</v>
      </c>
    </row>
    <row r="22" spans="1:29" x14ac:dyDescent="0.25">
      <c r="A22" s="812">
        <v>2104002000</v>
      </c>
      <c r="B22" s="812" t="s">
        <v>151</v>
      </c>
      <c r="C22" s="133">
        <f ca="1">INDIRECT("'DevSumOut-"&amp;$B$2&amp;"BSR'!R66")</f>
        <v>9.6561233471416555E-2</v>
      </c>
      <c r="D22" s="133">
        <f ca="1">INDIRECT("'DevSumOut-"&amp;$B$2&amp;"BSR'!R66")</f>
        <v>9.6561233471416555E-2</v>
      </c>
      <c r="E22" s="133">
        <f ca="1">INDIRECT("'DevSumOut-"&amp;$B$2&amp;"BSR'!R66")</f>
        <v>9.6561233471416555E-2</v>
      </c>
      <c r="F22" s="551" t="s">
        <v>336</v>
      </c>
      <c r="G22" s="133">
        <f ca="1">INDIRECT("'DevSumOut-"&amp;$B$2&amp;"BSR'!R66")</f>
        <v>9.6561233471416555E-2</v>
      </c>
      <c r="H22" s="133">
        <f ca="1">INDIRECT("'DevSumOut-"&amp;$B$2&amp;"BSR'!R66")</f>
        <v>9.6561233471416555E-2</v>
      </c>
      <c r="I22" s="551" t="s">
        <v>336</v>
      </c>
      <c r="J22" s="133">
        <f ca="1">INDIRECT("'DevSumOut-"&amp;$B$2&amp;"BSR'!P66")</f>
        <v>0.11239292506685528</v>
      </c>
      <c r="K22" s="133">
        <f ca="1">INDIRECT("'DevSumOut-"&amp;$B$2&amp;"BSR'!P66")</f>
        <v>0.11239292506685528</v>
      </c>
      <c r="L22" s="133">
        <f ca="1">INDIRECT("'DevSumOut-"&amp;$B$2&amp;"BSR'!P66")</f>
        <v>0.11239292506685528</v>
      </c>
      <c r="M22" s="551" t="s">
        <v>336</v>
      </c>
      <c r="N22" s="133">
        <f ca="1">INDIRECT("'DevSumOut-"&amp;$B$2&amp;"BSR'!P66")</f>
        <v>0.11239292506685528</v>
      </c>
      <c r="O22" s="133">
        <f ca="1">INDIRECT("'DevSumOut-"&amp;$B$2&amp;"BSR'!P66")</f>
        <v>0.11239292506685528</v>
      </c>
      <c r="P22" s="551" t="s">
        <v>336</v>
      </c>
      <c r="Q22" s="45">
        <f ca="1">INDIRECT("'DevSumOut-"&amp;$B$2&amp;"BSR'!U66")</f>
        <v>367.3919271002581</v>
      </c>
      <c r="R22" s="45">
        <f ca="1">INDIRECT("'DevSumOut-"&amp;$B$2&amp;"BSR'!U66")</f>
        <v>367.3919271002581</v>
      </c>
      <c r="S22" s="45">
        <f ca="1">INDIRECT("'DevSumOut-"&amp;$B$2&amp;"BSR'!U66")</f>
        <v>367.3919271002581</v>
      </c>
      <c r="T22" s="581" t="s">
        <v>336</v>
      </c>
      <c r="U22" s="45">
        <f ca="1">INDIRECT("'DevSumOut-"&amp;$B$2&amp;"BSR'!U66")</f>
        <v>367.3919271002581</v>
      </c>
      <c r="V22" s="45">
        <f ca="1">INDIRECT("'DevSumOut-"&amp;$B$2&amp;"BSR'!U66")</f>
        <v>367.3919271002581</v>
      </c>
      <c r="W22" s="581" t="s">
        <v>336</v>
      </c>
      <c r="X22" s="133">
        <f t="shared" ca="1" si="0"/>
        <v>0.52565789473684232</v>
      </c>
      <c r="Y22" s="133">
        <f t="shared" ca="1" si="0"/>
        <v>0.52565789473684232</v>
      </c>
      <c r="Z22" s="133">
        <f t="shared" ca="1" si="0"/>
        <v>0.52565789473684232</v>
      </c>
      <c r="AA22" s="133"/>
      <c r="AB22" s="133">
        <f t="shared" ca="1" si="1"/>
        <v>0.52565789473684232</v>
      </c>
      <c r="AC22" s="133">
        <f t="shared" ca="1" si="1"/>
        <v>0.52565789473684232</v>
      </c>
    </row>
    <row r="23" spans="1:29" x14ac:dyDescent="0.25">
      <c r="A23" s="812">
        <v>2103002000</v>
      </c>
      <c r="B23" s="812" t="s">
        <v>152</v>
      </c>
      <c r="C23" s="133">
        <f ca="1">INDIRECT("'DevSumOut-"&amp;$B$2&amp;"BSR'!R67")</f>
        <v>2.6304953575588086E-4</v>
      </c>
      <c r="D23" s="133">
        <f ca="1">INDIRECT("'DevSumOut-"&amp;$B$2&amp;"BSR'!R67")</f>
        <v>2.6304953575588086E-4</v>
      </c>
      <c r="E23" s="133">
        <f ca="1">INDIRECT("'DevSumOut-"&amp;$B$2&amp;"BSR'!R67")</f>
        <v>2.6304953575588086E-4</v>
      </c>
      <c r="F23" s="551"/>
      <c r="G23" s="133">
        <f ca="1">INDIRECT("'DevSumOut-"&amp;$B$2&amp;"BSR'!R67")</f>
        <v>2.6304953575588086E-4</v>
      </c>
      <c r="H23" s="133">
        <f ca="1">INDIRECT("'DevSumOut-"&amp;$B$2&amp;"BSR'!R67")</f>
        <v>2.6304953575588086E-4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2.7676835525123242</v>
      </c>
      <c r="D26" s="137">
        <f ca="1">SUM(D6:D25)</f>
        <v>2.7676835525123242</v>
      </c>
      <c r="E26" s="137">
        <f ca="1">SUM(E6:E25)</f>
        <v>2.7676835525123242</v>
      </c>
      <c r="F26" s="566" t="s">
        <v>336</v>
      </c>
      <c r="G26" s="137">
        <f t="shared" ref="G26:H26" ca="1" si="2">SUM(G6:G25)</f>
        <v>2.7676835525123242</v>
      </c>
      <c r="H26" s="137">
        <f t="shared" ca="1" si="2"/>
        <v>2.7676835525123242</v>
      </c>
      <c r="I26" s="566" t="s">
        <v>336</v>
      </c>
      <c r="J26" s="137">
        <f ca="1">SUM(J6:J25)</f>
        <v>4.2554331410371038</v>
      </c>
      <c r="K26" s="137">
        <f ca="1">SUM(K6:K25)</f>
        <v>4.2554331410371038</v>
      </c>
      <c r="L26" s="137">
        <f ca="1">SUM(L6:L25)</f>
        <v>4.2554331410371038</v>
      </c>
      <c r="M26" s="566" t="s">
        <v>336</v>
      </c>
      <c r="N26" s="137">
        <f ca="1">SUM(N6:N25)</f>
        <v>4.2554331410371038</v>
      </c>
      <c r="O26" s="137">
        <f ca="1">SUM(O6:O25)</f>
        <v>4.2554331410371038</v>
      </c>
      <c r="P26" s="566" t="s">
        <v>336</v>
      </c>
      <c r="Q26" s="87">
        <f ca="1">SUM(Q6:Q25)</f>
        <v>54722.657785349467</v>
      </c>
      <c r="R26" s="87">
        <f ca="1">SUM(R6:R25)</f>
        <v>54722.657785349467</v>
      </c>
      <c r="S26" s="87">
        <f ca="1">SUM(S6:S25)</f>
        <v>54722.657785349467</v>
      </c>
      <c r="T26" s="566" t="s">
        <v>336</v>
      </c>
      <c r="U26" s="87">
        <f ca="1">SUM(U6:U25)</f>
        <v>54722.657785349467</v>
      </c>
      <c r="V26" s="87">
        <f ca="1">SUM(V6:V25)</f>
        <v>54722.657785349467</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2027 Baseline PM2.5 Emissions (tpd) by Curtailment Regime and AQCZ</v>
      </c>
      <c r="D30" s="840"/>
      <c r="E30" s="840"/>
      <c r="F30" s="840"/>
      <c r="G30" s="840"/>
      <c r="H30" s="840"/>
      <c r="I30" s="840"/>
      <c r="J30" s="840" t="str">
        <f>$B$2&amp;" Baseline SO2 Emissions (tpd) by Curtailment Regime and AQCZ"</f>
        <v>2027 Baseline SO2 Emissions (tpd) by Curtailment Regime and AQCZ</v>
      </c>
      <c r="K30" s="840"/>
      <c r="L30" s="840"/>
      <c r="M30" s="840"/>
      <c r="N30" s="840"/>
      <c r="O30" s="840"/>
      <c r="P30" s="840"/>
      <c r="Q30" s="840" t="str">
        <f>$B$2&amp;" Baseline Energy Use (mmBTU) by Curtailment Regime and AQCZ"</f>
        <v>2027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1.0416456427979586</v>
      </c>
      <c r="D32" s="133">
        <f ca="1">(D26-D33)*AQCZSplits!$F$5</f>
        <v>1.0416456427979586</v>
      </c>
      <c r="E32" s="133">
        <f ca="1">(E26-E33)*AQCZSplits!$F$5</f>
        <v>1.0416456427979586</v>
      </c>
      <c r="F32" s="551" t="s">
        <v>336</v>
      </c>
      <c r="G32" s="133">
        <f ca="1">(G26-G33)*AQCZSplits!$F$5</f>
        <v>1.0416456427979586</v>
      </c>
      <c r="H32" s="133">
        <f ca="1">(H26-H33)*AQCZSplits!$F$5</f>
        <v>1.0416456427979586</v>
      </c>
      <c r="I32" s="551" t="s">
        <v>336</v>
      </c>
      <c r="J32" s="133">
        <f ca="1">(J26-J33)*AQCZSplits!$F$5</f>
        <v>1.9050306616493182</v>
      </c>
      <c r="K32" s="133">
        <f ca="1">(K26-K33)*AQCZSplits!$F$5</f>
        <v>1.9050306616493182</v>
      </c>
      <c r="L32" s="133">
        <f ca="1">(L26-L33)*AQCZSplits!$F$5</f>
        <v>1.9050306616493182</v>
      </c>
      <c r="M32" s="551" t="s">
        <v>336</v>
      </c>
      <c r="N32" s="133">
        <f ca="1">(N26-N33)*AQCZSplits!$F$5</f>
        <v>1.9050306616493182</v>
      </c>
      <c r="O32" s="133">
        <f ca="1">(O26-O33)*AQCZSplits!$F$5</f>
        <v>1.9050306616493182</v>
      </c>
      <c r="P32" s="551" t="s">
        <v>336</v>
      </c>
      <c r="Q32" s="45">
        <f ca="1">(Q26-Q33)*AQCZSplits!$F$5</f>
        <v>25013.424609901056</v>
      </c>
      <c r="R32" s="45">
        <f ca="1">(R26-R33)*AQCZSplits!$F$5</f>
        <v>25013.424609901056</v>
      </c>
      <c r="S32" s="45">
        <f ca="1">(S26-S33)*AQCZSplits!$F$5</f>
        <v>25013.424609901056</v>
      </c>
      <c r="T32" s="551" t="s">
        <v>336</v>
      </c>
      <c r="U32" s="45">
        <f ca="1">(U26-U33)*AQCZSplits!$F$5</f>
        <v>25013.424609901056</v>
      </c>
      <c r="V32" s="45">
        <f ca="1">(V26-V33)*AQCZSplits!$F$5</f>
        <v>25013.424609901056</v>
      </c>
      <c r="W32" s="551" t="s">
        <v>336</v>
      </c>
    </row>
    <row r="33" spans="1:23" ht="15.75" thickBot="1" x14ac:dyDescent="0.3">
      <c r="A33" s="6" t="s">
        <v>754</v>
      </c>
      <c r="B33" s="6" t="s">
        <v>755</v>
      </c>
      <c r="C33" s="544">
        <f ca="1">SUMIFS(INDIRECT("'ZipOutNA-"&amp;$B$2&amp;"BSR'!$J$5:$J$669"),INDIRECT("'ZipOutNA-"&amp;$B$2&amp;"BSR'!$D$5:$D$669"),99705)/35</f>
        <v>1.1371765461807342</v>
      </c>
      <c r="D33" s="544">
        <f ca="1">SUMIFS(INDIRECT("'ZipOutNA-"&amp;$B$2&amp;"BSR'!$J$5:$J$669"),INDIRECT("'ZipOutNA-"&amp;$B$2&amp;"BSR'!$D$5:$D$669"),99705)/35</f>
        <v>1.1371765461807342</v>
      </c>
      <c r="E33" s="544">
        <f ca="1">SUMIFS(INDIRECT("'ZipOutNA-"&amp;$B$2&amp;"BSR'!$J$5:$J$669"),INDIRECT("'ZipOutNA-"&amp;$B$2&amp;"BSR'!$D$5:$D$669"),99705)/35</f>
        <v>1.1371765461807342</v>
      </c>
      <c r="F33" s="542" t="s">
        <v>336</v>
      </c>
      <c r="G33" s="544">
        <f ca="1">SUMIFS(INDIRECT("'ZipOutNA-"&amp;$B$2&amp;"BSR'!$J$5:$J$669"),INDIRECT("'ZipOutNA-"&amp;$B$2&amp;"BSR'!$D$5:$D$669"),99705)/35</f>
        <v>1.1371765461807342</v>
      </c>
      <c r="H33" s="544">
        <f ca="1">SUMIFS(INDIRECT("'ZipOutNA-"&amp;$B$2&amp;"BSR'!$J$5:$J$669"),INDIRECT("'ZipOutNA-"&amp;$B$2&amp;"BSR'!$D$5:$D$669"),99705)/35</f>
        <v>1.1371765461807342</v>
      </c>
      <c r="I33" s="542" t="s">
        <v>336</v>
      </c>
      <c r="J33" s="544">
        <f ca="1">SUMIFS(INDIRECT("'ZipOutNA-"&amp;$B$2&amp;"BSR'!$H$5:$H$669"),INDIRECT("'ZipOutNA-"&amp;$B$2&amp;"BSR'!$D$5:$D$669"),99705)/35</f>
        <v>1.2734537485517063</v>
      </c>
      <c r="K33" s="544">
        <f ca="1">SUMIFS(INDIRECT("'ZipOutNA-"&amp;$B$2&amp;"BSR'!$H$5:$H$669"),INDIRECT("'ZipOutNA-"&amp;$B$2&amp;"BSR'!$D$5:$D$669"),99705)/35</f>
        <v>1.2734537485517063</v>
      </c>
      <c r="L33" s="544">
        <f ca="1">SUMIFS(INDIRECT("'ZipOutNA-"&amp;$B$2&amp;"BSR'!$H$5:$H$669"),INDIRECT("'ZipOutNA-"&amp;$B$2&amp;"BSR'!$D$5:$D$669"),99705)/35</f>
        <v>1.2734537485517063</v>
      </c>
      <c r="M33" s="542" t="s">
        <v>336</v>
      </c>
      <c r="N33" s="544">
        <f ca="1">SUMIFS(INDIRECT("'ZipOutNA-"&amp;$B$2&amp;"BSR'!$H$5:$H$669"),INDIRECT("'ZipOutNA-"&amp;$B$2&amp;"BSR'!$D$5:$D$669"),99705)/35</f>
        <v>1.2734537485517063</v>
      </c>
      <c r="O33" s="544">
        <f ca="1">SUMIFS(INDIRECT("'ZipOutNA-"&amp;$B$2&amp;"BSR'!$H$5:$H$669"),INDIRECT("'ZipOutNA-"&amp;$B$2&amp;"BSR'!$D$5:$D$669"),99705)/35</f>
        <v>1.2734537485517063</v>
      </c>
      <c r="P33" s="542" t="s">
        <v>336</v>
      </c>
      <c r="Q33" s="567">
        <f ca="1">SUMIFS(INDIRECT("'ZipOutNA-"&amp;$B$2&amp;"BSR'!$M$5:$M$669"),INDIRECT("'ZipOutNA-"&amp;$B$2&amp;"BSR'!$D$5:$D$669"),99705)/35</f>
        <v>15568.686028467251</v>
      </c>
      <c r="R33" s="567">
        <f ca="1">SUMIFS(INDIRECT("'ZipOutNA-"&amp;$B$2&amp;"BSR'!$M$5:$M$669"),INDIRECT("'ZipOutNA-"&amp;$B$2&amp;"BSR'!$D$5:$D$669"),99705)/35</f>
        <v>15568.686028467251</v>
      </c>
      <c r="S33" s="567">
        <f ca="1">SUMIFS(INDIRECT("'ZipOutNA-"&amp;$B$2&amp;"BSR'!$M$5:$M$669"),INDIRECT("'ZipOutNA-"&amp;$B$2&amp;"BSR'!$D$5:$D$669"),99705)/35</f>
        <v>15568.686028467251</v>
      </c>
      <c r="T33" s="542" t="s">
        <v>336</v>
      </c>
      <c r="U33" s="567">
        <f ca="1">SUMIFS(INDIRECT("'ZipOutNA-"&amp;$B$2&amp;"BSR'!$M$5:$M$669"),INDIRECT("'ZipOutNA-"&amp;$B$2&amp;"BSR'!$D$5:$D$669"),99705)/35</f>
        <v>15568.686028467251</v>
      </c>
      <c r="V33" s="567">
        <f ca="1">SUMIFS(INDIRECT("'ZipOutNA-"&amp;$B$2&amp;"BSR'!$M$5:$M$669"),INDIRECT("'ZipOutNA-"&amp;$B$2&amp;"BSR'!$D$5:$D$669"),99705)/35</f>
        <v>15568.686028467251</v>
      </c>
      <c r="W33" s="542" t="s">
        <v>336</v>
      </c>
    </row>
    <row r="34" spans="1:23" ht="15.75" thickTop="1" x14ac:dyDescent="0.25">
      <c r="C34" s="137">
        <f ca="1">SUM(C32:C33)</f>
        <v>2.1788221889786925</v>
      </c>
      <c r="D34" s="137">
        <f ca="1">SUM(D32:D33)</f>
        <v>2.1788221889786925</v>
      </c>
      <c r="E34" s="137">
        <f ca="1">SUM(E32:E33)</f>
        <v>2.1788221889786925</v>
      </c>
      <c r="F34" s="566" t="s">
        <v>336</v>
      </c>
      <c r="G34" s="137">
        <f ca="1">SUM(G32:G33)</f>
        <v>2.1788221889786925</v>
      </c>
      <c r="H34" s="137">
        <f ca="1">SUM(H32:H33)</f>
        <v>2.1788221889786925</v>
      </c>
      <c r="I34" s="566" t="s">
        <v>336</v>
      </c>
      <c r="J34" s="137">
        <f ca="1">SUM(J32:J33)</f>
        <v>3.1784844102010243</v>
      </c>
      <c r="K34" s="137">
        <f ca="1">SUM(K32:K33)</f>
        <v>3.1784844102010243</v>
      </c>
      <c r="L34" s="137">
        <f ca="1">SUM(L32:L33)</f>
        <v>3.1784844102010243</v>
      </c>
      <c r="M34" s="566" t="s">
        <v>336</v>
      </c>
      <c r="N34" s="137">
        <f ca="1">SUM(N32:N33)</f>
        <v>3.1784844102010243</v>
      </c>
      <c r="O34" s="137">
        <f ca="1">SUM(O32:O33)</f>
        <v>3.1784844102010243</v>
      </c>
      <c r="P34" s="566" t="s">
        <v>336</v>
      </c>
      <c r="Q34" s="87">
        <f ca="1">SUM(Q32:Q33)</f>
        <v>40582.110638368307</v>
      </c>
      <c r="R34" s="87">
        <f ca="1">SUM(R32:R33)</f>
        <v>40582.110638368307</v>
      </c>
      <c r="S34" s="87">
        <f ca="1">SUM(S32:S33)</f>
        <v>40582.110638368307</v>
      </c>
      <c r="T34" s="566" t="s">
        <v>336</v>
      </c>
      <c r="U34" s="87">
        <f ca="1">SUM(U32:U33)</f>
        <v>40582.110638368307</v>
      </c>
      <c r="V34" s="87">
        <f ca="1">SUM(V32:V33)</f>
        <v>40582.110638368307</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2027 Baseline NA Area PM2.5 Emissions (tpd) by Curtailment Regime</v>
      </c>
      <c r="D38" s="840"/>
      <c r="E38" s="840"/>
      <c r="F38" s="840"/>
      <c r="G38" s="840"/>
      <c r="H38" s="840"/>
      <c r="I38" s="840"/>
      <c r="J38" s="840" t="str">
        <f>J4</f>
        <v>2027 Baseline NA Area SO2 Emissions (tpd) by Curtailment Regime</v>
      </c>
      <c r="K38" s="840"/>
      <c r="L38" s="840"/>
      <c r="M38" s="840"/>
      <c r="N38" s="840"/>
      <c r="O38" s="840"/>
      <c r="P38" s="840"/>
      <c r="Q38" s="840" t="str">
        <f>Q4</f>
        <v>2027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0.26262174629796947</v>
      </c>
      <c r="D40" s="133">
        <f t="shared" ca="1" si="3"/>
        <v>0.26262174629796947</v>
      </c>
      <c r="E40" s="133">
        <f t="shared" ca="1" si="3"/>
        <v>0.26262174629796947</v>
      </c>
      <c r="F40" s="551" t="s">
        <v>336</v>
      </c>
      <c r="G40" s="575">
        <f t="shared" ref="G40:H55" ca="1" si="4">G6*G$32/G$26</f>
        <v>0.26262174629796947</v>
      </c>
      <c r="H40" s="575">
        <f t="shared" ca="1" si="4"/>
        <v>0.26262174629796947</v>
      </c>
      <c r="I40" s="574" t="s">
        <v>336</v>
      </c>
      <c r="J40" s="133">
        <f t="shared" ref="J40:L55" ca="1" si="5">J6*J$32/J$26</f>
        <v>3.6113468935921643E-3</v>
      </c>
      <c r="K40" s="133">
        <f t="shared" ca="1" si="5"/>
        <v>3.6113468935921643E-3</v>
      </c>
      <c r="L40" s="133">
        <f t="shared" ca="1" si="5"/>
        <v>3.6113468935921643E-3</v>
      </c>
      <c r="M40" s="551" t="s">
        <v>336</v>
      </c>
      <c r="N40" s="575">
        <f t="shared" ref="N40:O55" ca="1" si="6">N6*N$32/N$26</f>
        <v>3.6113468935921643E-3</v>
      </c>
      <c r="O40" s="575">
        <f t="shared" ca="1" si="6"/>
        <v>3.6113468935921643E-3</v>
      </c>
      <c r="P40" s="574" t="s">
        <v>336</v>
      </c>
      <c r="Q40" s="45">
        <f t="shared" ref="Q40:S55" ca="1" si="7">Q6*Q$32/Q$26</f>
        <v>296.05899446169076</v>
      </c>
      <c r="R40" s="45">
        <f t="shared" ca="1" si="7"/>
        <v>296.05899446169076</v>
      </c>
      <c r="S40" s="45">
        <f t="shared" ca="1" si="7"/>
        <v>296.05899446169076</v>
      </c>
      <c r="T40" s="581" t="s">
        <v>336</v>
      </c>
      <c r="U40" s="573">
        <f t="shared" ref="U40:V55" ca="1" si="8">U6*U$32/U$26</f>
        <v>296.05899446169076</v>
      </c>
      <c r="V40" s="573">
        <f t="shared" ca="1" si="8"/>
        <v>296.05899446169076</v>
      </c>
      <c r="W40" s="574" t="s">
        <v>336</v>
      </c>
    </row>
    <row r="41" spans="1:23" x14ac:dyDescent="0.25">
      <c r="A41" s="812" t="str">
        <f t="shared" ref="A41:A58" si="9">A40</f>
        <v>FB</v>
      </c>
      <c r="B41" s="812" t="s">
        <v>138</v>
      </c>
      <c r="C41" s="133">
        <f t="shared" ca="1" si="3"/>
        <v>2.0496068967351008E-2</v>
      </c>
      <c r="D41" s="133">
        <f t="shared" ca="1" si="3"/>
        <v>2.0496068967351008E-2</v>
      </c>
      <c r="E41" s="133">
        <f t="shared" ca="1" si="3"/>
        <v>2.0496068967351008E-2</v>
      </c>
      <c r="F41" s="551" t="s">
        <v>336</v>
      </c>
      <c r="G41" s="575">
        <f t="shared" ca="1" si="4"/>
        <v>2.0496068967351008E-2</v>
      </c>
      <c r="H41" s="575">
        <f t="shared" ca="1" si="4"/>
        <v>2.0496068967351008E-2</v>
      </c>
      <c r="I41" s="574" t="s">
        <v>336</v>
      </c>
      <c r="J41" s="133">
        <f t="shared" ca="1" si="5"/>
        <v>3.1868657481450859E-4</v>
      </c>
      <c r="K41" s="133">
        <f t="shared" ca="1" si="5"/>
        <v>3.1868657481450859E-4</v>
      </c>
      <c r="L41" s="133">
        <f t="shared" ca="1" si="5"/>
        <v>3.1868657481450859E-4</v>
      </c>
      <c r="M41" s="551" t="s">
        <v>336</v>
      </c>
      <c r="N41" s="575">
        <f t="shared" ca="1" si="6"/>
        <v>3.1868657481450859E-4</v>
      </c>
      <c r="O41" s="575">
        <f t="shared" ca="1" si="6"/>
        <v>3.1868657481450859E-4</v>
      </c>
      <c r="P41" s="574" t="s">
        <v>336</v>
      </c>
      <c r="Q41" s="45">
        <f t="shared" ca="1" si="7"/>
        <v>26.12133922705933</v>
      </c>
      <c r="R41" s="45">
        <f t="shared" ca="1" si="7"/>
        <v>26.12133922705933</v>
      </c>
      <c r="S41" s="45">
        <f t="shared" ca="1" si="7"/>
        <v>26.12133922705933</v>
      </c>
      <c r="T41" s="581" t="s">
        <v>336</v>
      </c>
      <c r="U41" s="573">
        <f t="shared" ca="1" si="8"/>
        <v>26.12133922705933</v>
      </c>
      <c r="V41" s="573">
        <f t="shared" ca="1" si="8"/>
        <v>26.12133922705933</v>
      </c>
      <c r="W41" s="574" t="s">
        <v>336</v>
      </c>
    </row>
    <row r="42" spans="1:23" x14ac:dyDescent="0.25">
      <c r="A42" s="812" t="str">
        <f t="shared" si="9"/>
        <v>FB</v>
      </c>
      <c r="B42" s="812" t="s">
        <v>139</v>
      </c>
      <c r="C42" s="133">
        <f t="shared" ca="1" si="3"/>
        <v>1.6922650132688531E-2</v>
      </c>
      <c r="D42" s="133">
        <f t="shared" ca="1" si="3"/>
        <v>1.6922650132688531E-2</v>
      </c>
      <c r="E42" s="133">
        <f t="shared" ca="1" si="3"/>
        <v>1.6922650132688531E-2</v>
      </c>
      <c r="F42" s="551" t="s">
        <v>336</v>
      </c>
      <c r="G42" s="575">
        <f t="shared" ca="1" si="4"/>
        <v>1.6922650132688531E-2</v>
      </c>
      <c r="H42" s="575">
        <f t="shared" ca="1" si="4"/>
        <v>1.6922650132688531E-2</v>
      </c>
      <c r="I42" s="574" t="s">
        <v>336</v>
      </c>
      <c r="J42" s="133">
        <f t="shared" ca="1" si="5"/>
        <v>6.7096791151571432E-4</v>
      </c>
      <c r="K42" s="133">
        <f t="shared" ca="1" si="5"/>
        <v>6.7096791151571432E-4</v>
      </c>
      <c r="L42" s="133">
        <f t="shared" ca="1" si="5"/>
        <v>6.7096791151571432E-4</v>
      </c>
      <c r="M42" s="551" t="s">
        <v>336</v>
      </c>
      <c r="N42" s="575">
        <f t="shared" ca="1" si="6"/>
        <v>6.7096791151571432E-4</v>
      </c>
      <c r="O42" s="575">
        <f t="shared" ca="1" si="6"/>
        <v>6.7096791151571432E-4</v>
      </c>
      <c r="P42" s="574" t="s">
        <v>336</v>
      </c>
      <c r="Q42" s="45">
        <f t="shared" ca="1" si="7"/>
        <v>54.996293575827075</v>
      </c>
      <c r="R42" s="45">
        <f t="shared" ca="1" si="7"/>
        <v>54.996293575827075</v>
      </c>
      <c r="S42" s="45">
        <f t="shared" ca="1" si="7"/>
        <v>54.996293575827075</v>
      </c>
      <c r="T42" s="581" t="s">
        <v>336</v>
      </c>
      <c r="U42" s="573">
        <f t="shared" ca="1" si="8"/>
        <v>54.996293575827075</v>
      </c>
      <c r="V42" s="573">
        <f t="shared" ca="1" si="8"/>
        <v>54.996293575827075</v>
      </c>
      <c r="W42" s="574" t="s">
        <v>336</v>
      </c>
    </row>
    <row r="43" spans="1:23" x14ac:dyDescent="0.25">
      <c r="A43" s="812" t="str">
        <f t="shared" si="9"/>
        <v>FB</v>
      </c>
      <c r="B43" s="812" t="s">
        <v>140</v>
      </c>
      <c r="C43" s="133">
        <f t="shared" ca="1" si="3"/>
        <v>1.1037730624460932E-2</v>
      </c>
      <c r="D43" s="133">
        <f t="shared" ca="1" si="3"/>
        <v>1.1037730624460932E-2</v>
      </c>
      <c r="E43" s="133">
        <f t="shared" ca="1" si="3"/>
        <v>1.1037730624460932E-2</v>
      </c>
      <c r="F43" s="551" t="s">
        <v>336</v>
      </c>
      <c r="G43" s="575">
        <f t="shared" ca="1" si="4"/>
        <v>1.1037730624460932E-2</v>
      </c>
      <c r="H43" s="575">
        <f t="shared" ca="1" si="4"/>
        <v>1.1037730624460932E-2</v>
      </c>
      <c r="I43" s="574" t="s">
        <v>336</v>
      </c>
      <c r="J43" s="133">
        <f t="shared" ca="1" si="5"/>
        <v>4.0397180966510551E-4</v>
      </c>
      <c r="K43" s="133">
        <f t="shared" ca="1" si="5"/>
        <v>4.0397180966510551E-4</v>
      </c>
      <c r="L43" s="133">
        <f t="shared" ca="1" si="5"/>
        <v>4.0397180966510551E-4</v>
      </c>
      <c r="M43" s="551" t="s">
        <v>336</v>
      </c>
      <c r="N43" s="575">
        <f t="shared" ca="1" si="6"/>
        <v>4.0397180966510551E-4</v>
      </c>
      <c r="O43" s="575">
        <f t="shared" ca="1" si="6"/>
        <v>4.0397180966510551E-4</v>
      </c>
      <c r="P43" s="574" t="s">
        <v>336</v>
      </c>
      <c r="Q43" s="45">
        <f t="shared" ca="1" si="7"/>
        <v>33.111795451607023</v>
      </c>
      <c r="R43" s="45">
        <f t="shared" ca="1" si="7"/>
        <v>33.111795451607023</v>
      </c>
      <c r="S43" s="45">
        <f t="shared" ca="1" si="7"/>
        <v>33.111795451607023</v>
      </c>
      <c r="T43" s="581" t="s">
        <v>336</v>
      </c>
      <c r="U43" s="573">
        <f t="shared" ca="1" si="8"/>
        <v>33.111795451607023</v>
      </c>
      <c r="V43" s="573">
        <f t="shared" ca="1" si="8"/>
        <v>33.111795451607023</v>
      </c>
      <c r="W43" s="574" t="s">
        <v>336</v>
      </c>
    </row>
    <row r="44" spans="1:23" x14ac:dyDescent="0.25">
      <c r="A44" s="812" t="str">
        <f t="shared" si="9"/>
        <v>FB</v>
      </c>
      <c r="B44" s="812" t="s">
        <v>141</v>
      </c>
      <c r="C44" s="133">
        <f t="shared" ca="1" si="3"/>
        <v>0.16504896502158634</v>
      </c>
      <c r="D44" s="133">
        <f t="shared" ca="1" si="3"/>
        <v>0.16504896502158634</v>
      </c>
      <c r="E44" s="133">
        <f t="shared" ca="1" si="3"/>
        <v>0.16504896502158634</v>
      </c>
      <c r="F44" s="551" t="s">
        <v>336</v>
      </c>
      <c r="G44" s="575">
        <f t="shared" ca="1" si="4"/>
        <v>0.16504896502158634</v>
      </c>
      <c r="H44" s="575">
        <f t="shared" ca="1" si="4"/>
        <v>0.16504896502158634</v>
      </c>
      <c r="I44" s="574" t="s">
        <v>336</v>
      </c>
      <c r="J44" s="133">
        <f t="shared" ca="1" si="5"/>
        <v>6.4674956749663226E-3</v>
      </c>
      <c r="K44" s="133">
        <f t="shared" ca="1" si="5"/>
        <v>6.4674956749663226E-3</v>
      </c>
      <c r="L44" s="133">
        <f t="shared" ca="1" si="5"/>
        <v>6.4674956749663226E-3</v>
      </c>
      <c r="M44" s="551" t="s">
        <v>336</v>
      </c>
      <c r="N44" s="575">
        <f t="shared" ca="1" si="6"/>
        <v>6.4674956749663226E-3</v>
      </c>
      <c r="O44" s="575">
        <f t="shared" ca="1" si="6"/>
        <v>6.4674956749663226E-3</v>
      </c>
      <c r="P44" s="574" t="s">
        <v>336</v>
      </c>
      <c r="Q44" s="45">
        <f t="shared" ca="1" si="7"/>
        <v>530.11222256119731</v>
      </c>
      <c r="R44" s="45">
        <f t="shared" ca="1" si="7"/>
        <v>530.11222256119731</v>
      </c>
      <c r="S44" s="45">
        <f t="shared" ca="1" si="7"/>
        <v>530.11222256119731</v>
      </c>
      <c r="T44" s="581" t="s">
        <v>336</v>
      </c>
      <c r="U44" s="573">
        <f t="shared" ca="1" si="8"/>
        <v>530.11222256119731</v>
      </c>
      <c r="V44" s="573">
        <f t="shared" ca="1" si="8"/>
        <v>530.11222256119731</v>
      </c>
      <c r="W44" s="574" t="s">
        <v>336</v>
      </c>
    </row>
    <row r="45" spans="1:23" x14ac:dyDescent="0.25">
      <c r="A45" s="812" t="str">
        <f t="shared" si="9"/>
        <v>FB</v>
      </c>
      <c r="B45" s="812" t="s">
        <v>142</v>
      </c>
      <c r="C45" s="133">
        <f t="shared" ca="1" si="3"/>
        <v>0.2268117990217208</v>
      </c>
      <c r="D45" s="133">
        <f t="shared" ca="1" si="3"/>
        <v>0.2268117990217208</v>
      </c>
      <c r="E45" s="133">
        <f t="shared" ca="1" si="3"/>
        <v>0.2268117990217208</v>
      </c>
      <c r="F45" s="551" t="s">
        <v>336</v>
      </c>
      <c r="G45" s="575">
        <f t="shared" ca="1" si="4"/>
        <v>0.2268117990217208</v>
      </c>
      <c r="H45" s="575">
        <f t="shared" ca="1" si="4"/>
        <v>0.2268117990217208</v>
      </c>
      <c r="I45" s="574" t="s">
        <v>336</v>
      </c>
      <c r="J45" s="133">
        <f t="shared" ca="1" si="5"/>
        <v>1.361677086113483E-2</v>
      </c>
      <c r="K45" s="133">
        <f t="shared" ca="1" si="5"/>
        <v>1.361677086113483E-2</v>
      </c>
      <c r="L45" s="133">
        <f t="shared" ca="1" si="5"/>
        <v>1.361677086113483E-2</v>
      </c>
      <c r="M45" s="551" t="s">
        <v>336</v>
      </c>
      <c r="N45" s="575">
        <f t="shared" ca="1" si="6"/>
        <v>1.361677086113483E-2</v>
      </c>
      <c r="O45" s="575">
        <f t="shared" ca="1" si="6"/>
        <v>1.361677086113483E-2</v>
      </c>
      <c r="P45" s="574" t="s">
        <v>336</v>
      </c>
      <c r="Q45" s="45">
        <f t="shared" ca="1" si="7"/>
        <v>1116.1069180522211</v>
      </c>
      <c r="R45" s="45">
        <f t="shared" ca="1" si="7"/>
        <v>1116.1069180522211</v>
      </c>
      <c r="S45" s="45">
        <f t="shared" ca="1" si="7"/>
        <v>1116.1069180522211</v>
      </c>
      <c r="T45" s="581" t="s">
        <v>336</v>
      </c>
      <c r="U45" s="573">
        <f t="shared" ca="1" si="8"/>
        <v>1116.1069180522211</v>
      </c>
      <c r="V45" s="573">
        <f t="shared" ca="1" si="8"/>
        <v>1116.1069180522211</v>
      </c>
      <c r="W45" s="574" t="s">
        <v>336</v>
      </c>
    </row>
    <row r="46" spans="1:23" x14ac:dyDescent="0.25">
      <c r="A46" s="812" t="str">
        <f t="shared" si="9"/>
        <v>FB</v>
      </c>
      <c r="B46" s="812" t="s">
        <v>143</v>
      </c>
      <c r="C46" s="133">
        <f t="shared" ca="1" si="3"/>
        <v>0.15152249434547643</v>
      </c>
      <c r="D46" s="133">
        <f t="shared" ca="1" si="3"/>
        <v>0.15152249434547643</v>
      </c>
      <c r="E46" s="133">
        <f t="shared" ca="1" si="3"/>
        <v>0.15152249434547643</v>
      </c>
      <c r="F46" s="551" t="s">
        <v>336</v>
      </c>
      <c r="G46" s="575">
        <f t="shared" ca="1" si="4"/>
        <v>0.15152249434547643</v>
      </c>
      <c r="H46" s="575">
        <f t="shared" ca="1" si="4"/>
        <v>0.15152249434547643</v>
      </c>
      <c r="I46" s="574" t="s">
        <v>336</v>
      </c>
      <c r="J46" s="133">
        <f t="shared" ca="1" si="5"/>
        <v>8.1982930512152913E-3</v>
      </c>
      <c r="K46" s="133">
        <f t="shared" ca="1" si="5"/>
        <v>8.1982930512152913E-3</v>
      </c>
      <c r="L46" s="133">
        <f t="shared" ca="1" si="5"/>
        <v>8.1982930512152913E-3</v>
      </c>
      <c r="M46" s="551" t="s">
        <v>336</v>
      </c>
      <c r="N46" s="575">
        <f t="shared" ca="1" si="6"/>
        <v>8.1982930512152913E-3</v>
      </c>
      <c r="O46" s="575">
        <f t="shared" ca="1" si="6"/>
        <v>8.1982930512152913E-3</v>
      </c>
      <c r="P46" s="574" t="s">
        <v>336</v>
      </c>
      <c r="Q46" s="45">
        <f t="shared" ca="1" si="7"/>
        <v>671.97808379058347</v>
      </c>
      <c r="R46" s="45">
        <f t="shared" ca="1" si="7"/>
        <v>671.97808379058347</v>
      </c>
      <c r="S46" s="45">
        <f t="shared" ca="1" si="7"/>
        <v>671.97808379058347</v>
      </c>
      <c r="T46" s="581" t="s">
        <v>336</v>
      </c>
      <c r="U46" s="573">
        <f t="shared" ca="1" si="8"/>
        <v>671.97808379058347</v>
      </c>
      <c r="V46" s="573">
        <f t="shared" ca="1" si="8"/>
        <v>671.97808379058347</v>
      </c>
      <c r="W46" s="574" t="s">
        <v>336</v>
      </c>
    </row>
    <row r="47" spans="1:23" x14ac:dyDescent="0.25">
      <c r="A47" s="812" t="str">
        <f t="shared" si="9"/>
        <v>FB</v>
      </c>
      <c r="B47" s="812" t="s">
        <v>144</v>
      </c>
      <c r="C47" s="133">
        <f t="shared" ca="1" si="3"/>
        <v>5.5909821027934192E-3</v>
      </c>
      <c r="D47" s="133">
        <f t="shared" ca="1" si="3"/>
        <v>5.5909821027934192E-3</v>
      </c>
      <c r="E47" s="133">
        <f t="shared" ca="1" si="3"/>
        <v>5.5909821027934192E-3</v>
      </c>
      <c r="F47" s="551" t="s">
        <v>336</v>
      </c>
      <c r="G47" s="575">
        <f t="shared" ca="1" si="4"/>
        <v>5.5909821027934192E-3</v>
      </c>
      <c r="H47" s="575">
        <f t="shared" ca="1" si="4"/>
        <v>5.5909821027934192E-3</v>
      </c>
      <c r="I47" s="574" t="s">
        <v>336</v>
      </c>
      <c r="J47" s="133">
        <f t="shared" ca="1" si="5"/>
        <v>7.189538259977622E-4</v>
      </c>
      <c r="K47" s="133">
        <f t="shared" ca="1" si="5"/>
        <v>7.189538259977622E-4</v>
      </c>
      <c r="L47" s="133">
        <f t="shared" ca="1" si="5"/>
        <v>7.189538259977622E-4</v>
      </c>
      <c r="M47" s="551" t="s">
        <v>336</v>
      </c>
      <c r="N47" s="575">
        <f t="shared" ca="1" si="6"/>
        <v>7.189538259977622E-4</v>
      </c>
      <c r="O47" s="575">
        <f t="shared" ca="1" si="6"/>
        <v>7.189538259977622E-4</v>
      </c>
      <c r="P47" s="574" t="s">
        <v>336</v>
      </c>
      <c r="Q47" s="45">
        <f t="shared" ca="1" si="7"/>
        <v>70.372631814633934</v>
      </c>
      <c r="R47" s="45">
        <f t="shared" ca="1" si="7"/>
        <v>70.372631814633934</v>
      </c>
      <c r="S47" s="45">
        <f t="shared" ca="1" si="7"/>
        <v>70.372631814633934</v>
      </c>
      <c r="T47" s="581" t="s">
        <v>336</v>
      </c>
      <c r="U47" s="573">
        <f t="shared" ca="1" si="8"/>
        <v>70.372631814633934</v>
      </c>
      <c r="V47" s="573">
        <f t="shared" ca="1" si="8"/>
        <v>70.372631814633934</v>
      </c>
      <c r="W47" s="574" t="s">
        <v>336</v>
      </c>
    </row>
    <row r="48" spans="1:23" x14ac:dyDescent="0.25">
      <c r="A48" s="812" t="str">
        <f t="shared" si="9"/>
        <v>FB</v>
      </c>
      <c r="B48" s="812" t="s">
        <v>145</v>
      </c>
      <c r="C48" s="133">
        <f t="shared" ca="1" si="3"/>
        <v>1.8858556392599233E-2</v>
      </c>
      <c r="D48" s="133">
        <f t="shared" ca="1" si="3"/>
        <v>1.8858556392599233E-2</v>
      </c>
      <c r="E48" s="133">
        <f t="shared" ca="1" si="3"/>
        <v>1.8858556392599233E-2</v>
      </c>
      <c r="F48" s="551" t="s">
        <v>336</v>
      </c>
      <c r="G48" s="575">
        <f t="shared" ca="1" si="4"/>
        <v>1.8858556392599233E-2</v>
      </c>
      <c r="H48" s="575">
        <f t="shared" ca="1" si="4"/>
        <v>1.8858556392599233E-2</v>
      </c>
      <c r="I48" s="574" t="s">
        <v>336</v>
      </c>
      <c r="J48" s="133">
        <f t="shared" ca="1" si="5"/>
        <v>2.4250535991663406E-3</v>
      </c>
      <c r="K48" s="133">
        <f t="shared" ca="1" si="5"/>
        <v>2.4250535991663406E-3</v>
      </c>
      <c r="L48" s="133">
        <f t="shared" ca="1" si="5"/>
        <v>2.4250535991663406E-3</v>
      </c>
      <c r="M48" s="551" t="s">
        <v>336</v>
      </c>
      <c r="N48" s="575">
        <f t="shared" ca="1" si="6"/>
        <v>2.4250535991663406E-3</v>
      </c>
      <c r="O48" s="575">
        <f t="shared" ca="1" si="6"/>
        <v>2.4250535991663406E-3</v>
      </c>
      <c r="P48" s="574" t="s">
        <v>336</v>
      </c>
      <c r="Q48" s="45">
        <f t="shared" ca="1" si="7"/>
        <v>237.36907419339184</v>
      </c>
      <c r="R48" s="45">
        <f t="shared" ca="1" si="7"/>
        <v>237.36907419339184</v>
      </c>
      <c r="S48" s="45">
        <f t="shared" ca="1" si="7"/>
        <v>237.36907419339184</v>
      </c>
      <c r="T48" s="581" t="s">
        <v>336</v>
      </c>
      <c r="U48" s="573">
        <f t="shared" ca="1" si="8"/>
        <v>237.36907419339184</v>
      </c>
      <c r="V48" s="573">
        <f t="shared" ca="1" si="8"/>
        <v>237.36907419339184</v>
      </c>
      <c r="W48" s="574" t="s">
        <v>336</v>
      </c>
    </row>
    <row r="49" spans="1:23" x14ac:dyDescent="0.25">
      <c r="A49" s="812" t="str">
        <f t="shared" si="9"/>
        <v>FB</v>
      </c>
      <c r="B49" s="812" t="s">
        <v>146</v>
      </c>
      <c r="C49" s="133">
        <f t="shared" ca="1" si="3"/>
        <v>9.3696511542297065E-2</v>
      </c>
      <c r="D49" s="133">
        <f t="shared" ca="1" si="3"/>
        <v>9.3696511542297065E-2</v>
      </c>
      <c r="E49" s="133">
        <f t="shared" ca="1" si="3"/>
        <v>9.3696511542297065E-2</v>
      </c>
      <c r="F49" s="551" t="s">
        <v>336</v>
      </c>
      <c r="G49" s="575">
        <f t="shared" ca="1" si="4"/>
        <v>9.3696511542297065E-2</v>
      </c>
      <c r="H49" s="575">
        <f t="shared" ca="1" si="4"/>
        <v>9.3696511542297065E-2</v>
      </c>
      <c r="I49" s="574" t="s">
        <v>336</v>
      </c>
      <c r="J49" s="133">
        <f t="shared" ca="1" si="5"/>
        <v>4.5166267118089236E-3</v>
      </c>
      <c r="K49" s="133">
        <f t="shared" ca="1" si="5"/>
        <v>4.5166267118089236E-3</v>
      </c>
      <c r="L49" s="133">
        <f t="shared" ca="1" si="5"/>
        <v>4.5166267118089236E-3</v>
      </c>
      <c r="M49" s="551" t="s">
        <v>336</v>
      </c>
      <c r="N49" s="575">
        <f t="shared" ca="1" si="6"/>
        <v>4.5166267118089236E-3</v>
      </c>
      <c r="O49" s="575">
        <f t="shared" ca="1" si="6"/>
        <v>4.5166267118089236E-3</v>
      </c>
      <c r="P49" s="574" t="s">
        <v>336</v>
      </c>
      <c r="Q49" s="45">
        <f t="shared" ca="1" si="7"/>
        <v>370.08097859321339</v>
      </c>
      <c r="R49" s="45">
        <f t="shared" ca="1" si="7"/>
        <v>370.08097859321339</v>
      </c>
      <c r="S49" s="45">
        <f t="shared" ca="1" si="7"/>
        <v>370.08097859321339</v>
      </c>
      <c r="T49" s="581" t="s">
        <v>336</v>
      </c>
      <c r="U49" s="573">
        <f t="shared" ca="1" si="8"/>
        <v>370.08097859321339</v>
      </c>
      <c r="V49" s="573">
        <f t="shared" ca="1" si="8"/>
        <v>370.08097859321339</v>
      </c>
      <c r="W49" s="574" t="s">
        <v>336</v>
      </c>
    </row>
    <row r="50" spans="1:23" x14ac:dyDescent="0.25">
      <c r="A50" s="812" t="str">
        <f t="shared" si="9"/>
        <v>FB</v>
      </c>
      <c r="B50" s="812" t="s">
        <v>568</v>
      </c>
      <c r="C50" s="133">
        <f t="shared" ca="1" si="3"/>
        <v>2.0346028786605016E-2</v>
      </c>
      <c r="D50" s="133">
        <f t="shared" ca="1" si="3"/>
        <v>2.0346028786605016E-2</v>
      </c>
      <c r="E50" s="133">
        <f t="shared" ca="1" si="3"/>
        <v>2.0346028786605016E-2</v>
      </c>
      <c r="F50" s="551" t="s">
        <v>336</v>
      </c>
      <c r="G50" s="575">
        <f t="shared" ca="1" si="4"/>
        <v>2.0346028786605016E-2</v>
      </c>
      <c r="H50" s="575">
        <f t="shared" ca="1" si="4"/>
        <v>2.0346028786605016E-2</v>
      </c>
      <c r="I50" s="574" t="s">
        <v>336</v>
      </c>
      <c r="J50" s="133">
        <f t="shared" ca="1" si="5"/>
        <v>1.5319258001484488</v>
      </c>
      <c r="K50" s="133">
        <f t="shared" ca="1" si="5"/>
        <v>1.5319258001484488</v>
      </c>
      <c r="L50" s="133">
        <f t="shared" ca="1" si="5"/>
        <v>1.5319258001484488</v>
      </c>
      <c r="M50" s="551" t="s">
        <v>336</v>
      </c>
      <c r="N50" s="575">
        <f t="shared" ca="1" si="6"/>
        <v>1.5319258001484488</v>
      </c>
      <c r="O50" s="575">
        <f t="shared" ca="1" si="6"/>
        <v>1.5319258001484488</v>
      </c>
      <c r="P50" s="574" t="s">
        <v>336</v>
      </c>
      <c r="Q50" s="45">
        <f t="shared" ca="1" si="7"/>
        <v>14526.665009774384</v>
      </c>
      <c r="R50" s="45">
        <f t="shared" ca="1" si="7"/>
        <v>14526.665009774384</v>
      </c>
      <c r="S50" s="45">
        <f t="shared" ca="1" si="7"/>
        <v>14526.665009774384</v>
      </c>
      <c r="T50" s="581" t="s">
        <v>336</v>
      </c>
      <c r="U50" s="573">
        <f t="shared" ca="1" si="8"/>
        <v>14526.665009774384</v>
      </c>
      <c r="V50" s="573">
        <f t="shared" ca="1" si="8"/>
        <v>14526.665009774384</v>
      </c>
      <c r="W50" s="574" t="s">
        <v>336</v>
      </c>
    </row>
    <row r="51" spans="1:23" x14ac:dyDescent="0.25">
      <c r="A51" s="812" t="str">
        <f t="shared" si="9"/>
        <v>FB</v>
      </c>
      <c r="B51" s="812" t="s">
        <v>148</v>
      </c>
      <c r="C51" s="133">
        <f t="shared" ca="1" si="3"/>
        <v>6.8762119829110279E-3</v>
      </c>
      <c r="D51" s="133">
        <f t="shared" ca="1" si="3"/>
        <v>6.8762119829110279E-3</v>
      </c>
      <c r="E51" s="133">
        <f t="shared" ca="1" si="3"/>
        <v>6.8762119829110279E-3</v>
      </c>
      <c r="F51" s="551" t="s">
        <v>336</v>
      </c>
      <c r="G51" s="575">
        <f t="shared" ca="1" si="4"/>
        <v>6.8762119829110279E-3</v>
      </c>
      <c r="H51" s="575">
        <f t="shared" ca="1" si="4"/>
        <v>6.8762119829110279E-3</v>
      </c>
      <c r="I51" s="574" t="s">
        <v>336</v>
      </c>
      <c r="J51" s="133">
        <f t="shared" ca="1" si="5"/>
        <v>0.22791194758393152</v>
      </c>
      <c r="K51" s="133">
        <f t="shared" ca="1" si="5"/>
        <v>0.22791194758393152</v>
      </c>
      <c r="L51" s="133">
        <f t="shared" ca="1" si="5"/>
        <v>0.22791194758393152</v>
      </c>
      <c r="M51" s="551" t="s">
        <v>336</v>
      </c>
      <c r="N51" s="575">
        <f t="shared" ca="1" si="6"/>
        <v>0.22791194758393152</v>
      </c>
      <c r="O51" s="575">
        <f t="shared" ca="1" si="6"/>
        <v>0.22791194758393152</v>
      </c>
      <c r="P51" s="574" t="s">
        <v>336</v>
      </c>
      <c r="Q51" s="45">
        <f t="shared" ca="1" si="7"/>
        <v>5066.3860832558939</v>
      </c>
      <c r="R51" s="45">
        <f t="shared" ca="1" si="7"/>
        <v>5066.3860832558939</v>
      </c>
      <c r="S51" s="45">
        <f t="shared" ca="1" si="7"/>
        <v>5066.3860832558939</v>
      </c>
      <c r="T51" s="581" t="s">
        <v>336</v>
      </c>
      <c r="U51" s="573">
        <f t="shared" ca="1" si="8"/>
        <v>5066.3860832558939</v>
      </c>
      <c r="V51" s="573">
        <f t="shared" ca="1" si="8"/>
        <v>5066.3860832558939</v>
      </c>
      <c r="W51" s="574" t="s">
        <v>336</v>
      </c>
    </row>
    <row r="52" spans="1:23" x14ac:dyDescent="0.25">
      <c r="A52" s="812" t="str">
        <f t="shared" si="9"/>
        <v>FB</v>
      </c>
      <c r="B52" s="812" t="s">
        <v>746</v>
      </c>
      <c r="C52" s="133">
        <f t="shared" ca="1" si="3"/>
        <v>1.2178603699480063E-4</v>
      </c>
      <c r="D52" s="133">
        <f t="shared" ca="1" si="3"/>
        <v>1.2178603699480063E-4</v>
      </c>
      <c r="E52" s="133">
        <f t="shared" ca="1" si="3"/>
        <v>1.2178603699480063E-4</v>
      </c>
      <c r="F52" s="551" t="s">
        <v>336</v>
      </c>
      <c r="G52" s="575">
        <f t="shared" ca="1" si="4"/>
        <v>1.2178603699480063E-4</v>
      </c>
      <c r="H52" s="575">
        <f t="shared" ca="1" si="4"/>
        <v>1.2178603699480063E-4</v>
      </c>
      <c r="I52" s="574" t="s">
        <v>336</v>
      </c>
      <c r="J52" s="133">
        <f t="shared" ca="1" si="5"/>
        <v>1.0467156833225825E-2</v>
      </c>
      <c r="K52" s="133">
        <f t="shared" ca="1" si="5"/>
        <v>1.0467156833225825E-2</v>
      </c>
      <c r="L52" s="133">
        <f t="shared" ca="1" si="5"/>
        <v>1.0467156833225825E-2</v>
      </c>
      <c r="M52" s="551" t="s">
        <v>336</v>
      </c>
      <c r="N52" s="575">
        <f t="shared" ca="1" si="6"/>
        <v>1.0467156833225825E-2</v>
      </c>
      <c r="O52" s="575">
        <f t="shared" ca="1" si="6"/>
        <v>1.0467156833225825E-2</v>
      </c>
      <c r="P52" s="574" t="s">
        <v>336</v>
      </c>
      <c r="Q52" s="45">
        <f t="shared" ca="1" si="7"/>
        <v>101.31520420314443</v>
      </c>
      <c r="R52" s="45">
        <f t="shared" ca="1" si="7"/>
        <v>101.31520420314443</v>
      </c>
      <c r="S52" s="45">
        <f t="shared" ca="1" si="7"/>
        <v>101.31520420314443</v>
      </c>
      <c r="T52" s="581" t="s">
        <v>336</v>
      </c>
      <c r="U52" s="573">
        <f t="shared" ca="1" si="8"/>
        <v>101.31520420314443</v>
      </c>
      <c r="V52" s="573">
        <f t="shared" ca="1" si="8"/>
        <v>101.31520420314443</v>
      </c>
      <c r="W52" s="574" t="s">
        <v>336</v>
      </c>
    </row>
    <row r="53" spans="1:23" x14ac:dyDescent="0.25">
      <c r="A53" s="812" t="str">
        <f t="shared" si="9"/>
        <v>FB</v>
      </c>
      <c r="B53" s="812" t="s">
        <v>747</v>
      </c>
      <c r="C53" s="133">
        <f t="shared" ca="1" si="3"/>
        <v>4.7032369774177357E-4</v>
      </c>
      <c r="D53" s="133">
        <f t="shared" ca="1" si="3"/>
        <v>4.7032369774177357E-4</v>
      </c>
      <c r="E53" s="133">
        <f t="shared" ca="1" si="3"/>
        <v>4.7032369774177357E-4</v>
      </c>
      <c r="F53" s="551" t="s">
        <v>336</v>
      </c>
      <c r="G53" s="575">
        <f t="shared" ca="1" si="4"/>
        <v>4.7032369774177357E-4</v>
      </c>
      <c r="H53" s="575">
        <f t="shared" ca="1" si="4"/>
        <v>4.7032369774177357E-4</v>
      </c>
      <c r="I53" s="574" t="s">
        <v>336</v>
      </c>
      <c r="J53" s="133">
        <f t="shared" ca="1" si="5"/>
        <v>3.5412365457095564E-2</v>
      </c>
      <c r="K53" s="133">
        <f t="shared" ca="1" si="5"/>
        <v>3.5412365457095564E-2</v>
      </c>
      <c r="L53" s="133">
        <f t="shared" ca="1" si="5"/>
        <v>3.5412365457095564E-2</v>
      </c>
      <c r="M53" s="551" t="s">
        <v>336</v>
      </c>
      <c r="N53" s="575">
        <f t="shared" ca="1" si="6"/>
        <v>3.5412365457095564E-2</v>
      </c>
      <c r="O53" s="575">
        <f t="shared" ca="1" si="6"/>
        <v>3.5412365457095564E-2</v>
      </c>
      <c r="P53" s="574" t="s">
        <v>336</v>
      </c>
      <c r="Q53" s="45">
        <f t="shared" ca="1" si="7"/>
        <v>312.75634309736301</v>
      </c>
      <c r="R53" s="45">
        <f t="shared" ca="1" si="7"/>
        <v>312.75634309736301</v>
      </c>
      <c r="S53" s="45">
        <f t="shared" ca="1" si="7"/>
        <v>312.75634309736301</v>
      </c>
      <c r="T53" s="581" t="s">
        <v>336</v>
      </c>
      <c r="U53" s="573">
        <f t="shared" ca="1" si="8"/>
        <v>312.75634309736301</v>
      </c>
      <c r="V53" s="573">
        <f t="shared" ca="1" si="8"/>
        <v>312.75634309736301</v>
      </c>
      <c r="W53" s="574" t="s">
        <v>336</v>
      </c>
    </row>
    <row r="54" spans="1:23" x14ac:dyDescent="0.25">
      <c r="A54" s="812" t="str">
        <f t="shared" si="9"/>
        <v>FB</v>
      </c>
      <c r="B54" s="812" t="s">
        <v>149</v>
      </c>
      <c r="C54" s="133">
        <f t="shared" ca="1" si="3"/>
        <v>2.2028096677649579E-6</v>
      </c>
      <c r="D54" s="133">
        <f t="shared" ca="1" si="3"/>
        <v>2.2028096677649579E-6</v>
      </c>
      <c r="E54" s="133">
        <f t="shared" ca="1" si="3"/>
        <v>2.2028096677649579E-6</v>
      </c>
      <c r="F54" s="551" t="s">
        <v>336</v>
      </c>
      <c r="G54" s="575">
        <f t="shared" ca="1" si="4"/>
        <v>2.2028096677649579E-6</v>
      </c>
      <c r="H54" s="575">
        <f t="shared" ca="1" si="4"/>
        <v>2.2028096677649579E-6</v>
      </c>
      <c r="I54" s="574" t="s">
        <v>336</v>
      </c>
      <c r="J54" s="133">
        <f t="shared" ca="1" si="5"/>
        <v>3.1739274098556076E-5</v>
      </c>
      <c r="K54" s="133">
        <f t="shared" ca="1" si="5"/>
        <v>3.1739274098556076E-5</v>
      </c>
      <c r="L54" s="133">
        <f t="shared" ca="1" si="5"/>
        <v>3.1739274098556076E-5</v>
      </c>
      <c r="M54" s="551" t="s">
        <v>336</v>
      </c>
      <c r="N54" s="575">
        <f t="shared" ca="1" si="6"/>
        <v>3.1739274098556076E-5</v>
      </c>
      <c r="O54" s="575">
        <f t="shared" ca="1" si="6"/>
        <v>3.1739274098556076E-5</v>
      </c>
      <c r="P54" s="574" t="s">
        <v>336</v>
      </c>
      <c r="Q54" s="45">
        <f t="shared" ca="1" si="7"/>
        <v>133.35220653269488</v>
      </c>
      <c r="R54" s="45">
        <f t="shared" ca="1" si="7"/>
        <v>133.35220653269488</v>
      </c>
      <c r="S54" s="45">
        <f t="shared" ca="1" si="7"/>
        <v>133.35220653269488</v>
      </c>
      <c r="T54" s="581" t="s">
        <v>336</v>
      </c>
      <c r="U54" s="573">
        <f t="shared" ca="1" si="8"/>
        <v>133.35220653269488</v>
      </c>
      <c r="V54" s="573">
        <f t="shared" ca="1" si="8"/>
        <v>133.35220653269488</v>
      </c>
      <c r="W54" s="574" t="s">
        <v>336</v>
      </c>
    </row>
    <row r="55" spans="1:23" x14ac:dyDescent="0.25">
      <c r="A55" s="812" t="str">
        <f t="shared" si="9"/>
        <v>FB</v>
      </c>
      <c r="B55" s="812" t="s">
        <v>150</v>
      </c>
      <c r="C55" s="133">
        <f t="shared" ca="1" si="3"/>
        <v>3.7935285593877969E-3</v>
      </c>
      <c r="D55" s="133">
        <f t="shared" ca="1" si="3"/>
        <v>3.7935285593877969E-3</v>
      </c>
      <c r="E55" s="133">
        <f t="shared" ca="1" si="3"/>
        <v>3.7935285593877969E-3</v>
      </c>
      <c r="F55" s="551" t="s">
        <v>336</v>
      </c>
      <c r="G55" s="575">
        <f t="shared" ca="1" si="4"/>
        <v>3.7935285593877969E-3</v>
      </c>
      <c r="H55" s="575">
        <f t="shared" ca="1" si="4"/>
        <v>3.7935285593877969E-3</v>
      </c>
      <c r="I55" s="574" t="s">
        <v>336</v>
      </c>
      <c r="J55" s="133">
        <f t="shared" ca="1" si="5"/>
        <v>3.5623422848402405E-4</v>
      </c>
      <c r="K55" s="133">
        <f t="shared" ca="1" si="5"/>
        <v>3.5623422848402405E-4</v>
      </c>
      <c r="L55" s="133">
        <f t="shared" ca="1" si="5"/>
        <v>3.5623422848402405E-4</v>
      </c>
      <c r="M55" s="551" t="s">
        <v>336</v>
      </c>
      <c r="N55" s="575">
        <f t="shared" ca="1" si="6"/>
        <v>3.5623422848402405E-4</v>
      </c>
      <c r="O55" s="575">
        <f t="shared" ca="1" si="6"/>
        <v>3.5623422848402405E-4</v>
      </c>
      <c r="P55" s="574" t="s">
        <v>336</v>
      </c>
      <c r="Q55" s="45">
        <f t="shared" ca="1" si="7"/>
        <v>1230.632012482007</v>
      </c>
      <c r="R55" s="45">
        <f t="shared" ca="1" si="7"/>
        <v>1230.632012482007</v>
      </c>
      <c r="S55" s="45">
        <f t="shared" ca="1" si="7"/>
        <v>1230.632012482007</v>
      </c>
      <c r="T55" s="581" t="s">
        <v>336</v>
      </c>
      <c r="U55" s="573">
        <f t="shared" ca="1" si="8"/>
        <v>1230.632012482007</v>
      </c>
      <c r="V55" s="573">
        <f t="shared" ca="1" si="8"/>
        <v>1230.632012482007</v>
      </c>
      <c r="W55" s="574" t="s">
        <v>336</v>
      </c>
    </row>
    <row r="56" spans="1:23" x14ac:dyDescent="0.25">
      <c r="A56" s="812" t="str">
        <f t="shared" si="9"/>
        <v>FB</v>
      </c>
      <c r="B56" s="812" t="s">
        <v>151</v>
      </c>
      <c r="C56" s="133">
        <f t="shared" ref="C56:E59" ca="1" si="10">C22*C$32/C$26</f>
        <v>3.6341794934393809E-2</v>
      </c>
      <c r="D56" s="133">
        <f t="shared" ca="1" si="10"/>
        <v>3.6341794934393809E-2</v>
      </c>
      <c r="E56" s="133">
        <f t="shared" ca="1" si="10"/>
        <v>3.6341794934393809E-2</v>
      </c>
      <c r="F56" s="551" t="s">
        <v>336</v>
      </c>
      <c r="G56" s="575">
        <f t="shared" ref="G56:H59" ca="1" si="11">G22*G$32/G$26</f>
        <v>3.6341794934393809E-2</v>
      </c>
      <c r="H56" s="575">
        <f t="shared" ca="1" si="11"/>
        <v>3.6341794934393809E-2</v>
      </c>
      <c r="I56" s="574" t="s">
        <v>336</v>
      </c>
      <c r="J56" s="133">
        <f t="shared" ref="J56:L59" ca="1" si="12">J22*J$32/J$26</f>
        <v>5.0314964730624745E-2</v>
      </c>
      <c r="K56" s="133">
        <f t="shared" ca="1" si="12"/>
        <v>5.0314964730624745E-2</v>
      </c>
      <c r="L56" s="133">
        <f t="shared" ca="1" si="12"/>
        <v>5.0314964730624745E-2</v>
      </c>
      <c r="M56" s="551" t="s">
        <v>336</v>
      </c>
      <c r="N56" s="575">
        <f t="shared" ref="N56:O59" ca="1" si="13">N22*N$32/N$26</f>
        <v>5.0314964730624745E-2</v>
      </c>
      <c r="O56" s="575">
        <f t="shared" ca="1" si="13"/>
        <v>5.0314964730624745E-2</v>
      </c>
      <c r="P56" s="574" t="s">
        <v>336</v>
      </c>
      <c r="Q56" s="45">
        <f t="shared" ref="Q56:S59" ca="1" si="14">Q22*Q$32/Q$26</f>
        <v>167.93282056685624</v>
      </c>
      <c r="R56" s="45">
        <f t="shared" ca="1" si="14"/>
        <v>167.93282056685624</v>
      </c>
      <c r="S56" s="45">
        <f t="shared" ca="1" si="14"/>
        <v>167.93282056685624</v>
      </c>
      <c r="T56" s="581" t="s">
        <v>336</v>
      </c>
      <c r="U56" s="573">
        <f t="shared" ref="U56:V59" ca="1" si="15">U22*U$32/U$26</f>
        <v>167.93282056685624</v>
      </c>
      <c r="V56" s="573">
        <f t="shared" ca="1" si="15"/>
        <v>167.93282056685624</v>
      </c>
      <c r="W56" s="574" t="s">
        <v>336</v>
      </c>
    </row>
    <row r="57" spans="1:23" x14ac:dyDescent="0.25">
      <c r="A57" s="812" t="str">
        <f t="shared" si="9"/>
        <v>FB</v>
      </c>
      <c r="B57" s="812" t="s">
        <v>152</v>
      </c>
      <c r="C57" s="133">
        <f t="shared" ca="1" si="10"/>
        <v>9.9001348080930571E-5</v>
      </c>
      <c r="D57" s="133">
        <f t="shared" ca="1" si="10"/>
        <v>9.9001348080930571E-5</v>
      </c>
      <c r="E57" s="133">
        <f t="shared" ca="1" si="10"/>
        <v>9.9001348080930571E-5</v>
      </c>
      <c r="F57" s="551" t="s">
        <v>336</v>
      </c>
      <c r="G57" s="575">
        <f t="shared" ca="1" si="11"/>
        <v>9.9001348080930571E-5</v>
      </c>
      <c r="H57" s="575">
        <f t="shared" ca="1" si="11"/>
        <v>9.9001348080930571E-5</v>
      </c>
      <c r="I57" s="574" t="s">
        <v>336</v>
      </c>
      <c r="J57" s="133">
        <f t="shared" ca="1" si="12"/>
        <v>1.3706668440479483E-4</v>
      </c>
      <c r="K57" s="133">
        <f t="shared" ca="1" si="12"/>
        <v>1.3706668440479483E-4</v>
      </c>
      <c r="L57" s="133">
        <f t="shared" ca="1" si="12"/>
        <v>1.3706668440479483E-4</v>
      </c>
      <c r="M57" s="551" t="s">
        <v>336</v>
      </c>
      <c r="N57" s="575">
        <f t="shared" ca="1" si="13"/>
        <v>1.3706668440479483E-4</v>
      </c>
      <c r="O57" s="575">
        <f t="shared" ca="1" si="13"/>
        <v>1.3706668440479483E-4</v>
      </c>
      <c r="P57" s="574" t="s">
        <v>336</v>
      </c>
      <c r="Q57" s="45">
        <f t="shared" ca="1" si="14"/>
        <v>6.9160764302197144</v>
      </c>
      <c r="R57" s="45">
        <f t="shared" ca="1" si="14"/>
        <v>6.9160764302197144</v>
      </c>
      <c r="S57" s="45">
        <f t="shared" ca="1" si="14"/>
        <v>6.9160764302197144</v>
      </c>
      <c r="T57" s="581" t="s">
        <v>336</v>
      </c>
      <c r="U57" s="573">
        <f t="shared" ca="1" si="15"/>
        <v>6.9160764302197144</v>
      </c>
      <c r="V57" s="573">
        <f t="shared" ca="1" si="15"/>
        <v>6.9160764302197144</v>
      </c>
      <c r="W57" s="574" t="s">
        <v>336</v>
      </c>
    </row>
    <row r="58" spans="1:23" x14ac:dyDescent="0.25">
      <c r="A58" s="812" t="str">
        <f t="shared" si="9"/>
        <v>FB</v>
      </c>
      <c r="B58" s="812" t="s">
        <v>153</v>
      </c>
      <c r="C58" s="133">
        <f t="shared" ca="1" si="10"/>
        <v>9.6975535418047842E-5</v>
      </c>
      <c r="D58" s="133">
        <f t="shared" ca="1" si="10"/>
        <v>9.6975535418047842E-5</v>
      </c>
      <c r="E58" s="133">
        <f t="shared" ca="1" si="10"/>
        <v>9.6975535418047842E-5</v>
      </c>
      <c r="F58" s="551" t="s">
        <v>336</v>
      </c>
      <c r="G58" s="575">
        <f t="shared" ca="1" si="11"/>
        <v>9.6975535418047842E-5</v>
      </c>
      <c r="H58" s="575">
        <f t="shared" ca="1" si="11"/>
        <v>9.6975535418047842E-5</v>
      </c>
      <c r="I58" s="574" t="s">
        <v>336</v>
      </c>
      <c r="J58" s="133">
        <f t="shared" ca="1" si="12"/>
        <v>3.3740771515568897E-6</v>
      </c>
      <c r="K58" s="133">
        <f t="shared" ca="1" si="12"/>
        <v>3.3740771515568897E-6</v>
      </c>
      <c r="L58" s="133">
        <f t="shared" ca="1" si="12"/>
        <v>3.3740771515568897E-6</v>
      </c>
      <c r="M58" s="551" t="s">
        <v>336</v>
      </c>
      <c r="N58" s="575">
        <f t="shared" ca="1" si="13"/>
        <v>3.3740771515568897E-6</v>
      </c>
      <c r="O58" s="575">
        <f t="shared" ca="1" si="13"/>
        <v>3.3740771515568897E-6</v>
      </c>
      <c r="P58" s="574" t="s">
        <v>336</v>
      </c>
      <c r="Q58" s="45">
        <f t="shared" ca="1" si="14"/>
        <v>3.6087720204798495</v>
      </c>
      <c r="R58" s="45">
        <f t="shared" ca="1" si="14"/>
        <v>3.6087720204798495</v>
      </c>
      <c r="S58" s="45">
        <f t="shared" ca="1" si="14"/>
        <v>3.6087720204798495</v>
      </c>
      <c r="T58" s="581" t="s">
        <v>336</v>
      </c>
      <c r="U58" s="573">
        <f t="shared" ca="1" si="15"/>
        <v>3.6087720204798495</v>
      </c>
      <c r="V58" s="573">
        <f t="shared" ca="1" si="15"/>
        <v>3.6087720204798495</v>
      </c>
      <c r="W58" s="574" t="s">
        <v>336</v>
      </c>
    </row>
    <row r="59" spans="1:23" x14ac:dyDescent="0.25">
      <c r="A59" s="813" t="str">
        <f>A56</f>
        <v>FB</v>
      </c>
      <c r="B59" s="813" t="s">
        <v>154</v>
      </c>
      <c r="C59" s="135">
        <f t="shared" ca="1" si="10"/>
        <v>8.9028465781433445E-4</v>
      </c>
      <c r="D59" s="135">
        <f t="shared" ca="1" si="10"/>
        <v>8.9028465781433445E-4</v>
      </c>
      <c r="E59" s="135">
        <f t="shared" ca="1" si="10"/>
        <v>8.9028465781433445E-4</v>
      </c>
      <c r="F59" s="580" t="s">
        <v>336</v>
      </c>
      <c r="G59" s="579">
        <f t="shared" ca="1" si="11"/>
        <v>8.9028465781433445E-4</v>
      </c>
      <c r="H59" s="579">
        <f t="shared" ca="1" si="11"/>
        <v>8.9028465781433445E-4</v>
      </c>
      <c r="I59" s="576" t="s">
        <v>336</v>
      </c>
      <c r="J59" s="135">
        <f t="shared" ca="1" si="12"/>
        <v>7.5218457179763096E-3</v>
      </c>
      <c r="K59" s="135">
        <f t="shared" ca="1" si="12"/>
        <v>7.5218457179763096E-3</v>
      </c>
      <c r="L59" s="135">
        <f t="shared" ca="1" si="12"/>
        <v>7.5218457179763096E-3</v>
      </c>
      <c r="M59" s="580" t="s">
        <v>336</v>
      </c>
      <c r="N59" s="579">
        <f t="shared" ca="1" si="13"/>
        <v>7.5218457179763096E-3</v>
      </c>
      <c r="O59" s="579">
        <f t="shared" ca="1" si="13"/>
        <v>7.5218457179763096E-3</v>
      </c>
      <c r="P59" s="576" t="s">
        <v>336</v>
      </c>
      <c r="Q59" s="88">
        <f t="shared" ca="1" si="14"/>
        <v>57.551749816589407</v>
      </c>
      <c r="R59" s="88">
        <f t="shared" ca="1" si="14"/>
        <v>57.551749816589407</v>
      </c>
      <c r="S59" s="88">
        <f t="shared" ca="1" si="14"/>
        <v>57.551749816589407</v>
      </c>
      <c r="T59" s="578" t="s">
        <v>336</v>
      </c>
      <c r="U59" s="577">
        <f t="shared" ca="1" si="15"/>
        <v>57.551749816589407</v>
      </c>
      <c r="V59" s="577">
        <f t="shared" ca="1" si="15"/>
        <v>57.551749816589407</v>
      </c>
      <c r="W59" s="576" t="s">
        <v>336</v>
      </c>
    </row>
    <row r="60" spans="1:23" x14ac:dyDescent="0.25">
      <c r="A60" s="82" t="s">
        <v>754</v>
      </c>
      <c r="B60" s="812" t="s">
        <v>137</v>
      </c>
      <c r="C60" s="133">
        <f t="shared" ref="C60:E75" ca="1" si="16">C6*C$33/C$26</f>
        <v>0.28670718537724893</v>
      </c>
      <c r="D60" s="575">
        <f t="shared" ca="1" si="16"/>
        <v>0.28670718537724893</v>
      </c>
      <c r="E60" s="575">
        <f t="shared" ca="1" si="16"/>
        <v>0.28670718537724893</v>
      </c>
      <c r="F60" s="574" t="s">
        <v>336</v>
      </c>
      <c r="G60" s="133">
        <f t="shared" ref="G60:H75" ca="1" si="17">G6*G$33/G$26</f>
        <v>0.28670718537724893</v>
      </c>
      <c r="H60" s="133">
        <f t="shared" ca="1" si="17"/>
        <v>0.28670718537724893</v>
      </c>
      <c r="I60" s="551" t="s">
        <v>336</v>
      </c>
      <c r="J60" s="575">
        <f t="shared" ref="J60:L75" ca="1" si="18">J6*J$33/J$26</f>
        <v>2.4140730811040741E-3</v>
      </c>
      <c r="K60" s="575">
        <f t="shared" ca="1" si="18"/>
        <v>2.4140730811040741E-3</v>
      </c>
      <c r="L60" s="575">
        <f t="shared" ca="1" si="18"/>
        <v>2.4140730811040741E-3</v>
      </c>
      <c r="M60" s="574" t="s">
        <v>336</v>
      </c>
      <c r="N60" s="133">
        <f t="shared" ref="N60:O75" ca="1" si="19">N6*N$33/N$26</f>
        <v>2.4140730811040741E-3</v>
      </c>
      <c r="O60" s="133">
        <f t="shared" ca="1" si="19"/>
        <v>2.4140730811040741E-3</v>
      </c>
      <c r="P60" s="551" t="s">
        <v>336</v>
      </c>
      <c r="Q60" s="573">
        <f t="shared" ref="Q60:S75" ca="1" si="20">Q6*Q$33/Q$26</f>
        <v>184.27103055905869</v>
      </c>
      <c r="R60" s="573">
        <f t="shared" ca="1" si="20"/>
        <v>184.27103055905869</v>
      </c>
      <c r="S60" s="573">
        <f t="shared" ca="1" si="20"/>
        <v>184.27103055905869</v>
      </c>
      <c r="T60" s="572" t="s">
        <v>336</v>
      </c>
      <c r="U60" s="45">
        <f t="shared" ref="U60:V75" ca="1" si="21">U6*U$33/U$26</f>
        <v>184.27103055905869</v>
      </c>
      <c r="V60" s="45">
        <f t="shared" ca="1" si="21"/>
        <v>184.27103055905869</v>
      </c>
      <c r="W60" s="551" t="s">
        <v>336</v>
      </c>
    </row>
    <row r="61" spans="1:23" x14ac:dyDescent="0.25">
      <c r="A61" s="812" t="str">
        <f t="shared" ref="A61:A78" si="22">A60</f>
        <v>NP</v>
      </c>
      <c r="B61" s="812" t="s">
        <v>138</v>
      </c>
      <c r="C61" s="133">
        <f t="shared" ca="1" si="16"/>
        <v>2.2375794570567969E-2</v>
      </c>
      <c r="D61" s="575">
        <f t="shared" ca="1" si="16"/>
        <v>2.2375794570567969E-2</v>
      </c>
      <c r="E61" s="575">
        <f t="shared" ca="1" si="16"/>
        <v>2.2375794570567969E-2</v>
      </c>
      <c r="F61" s="574" t="s">
        <v>336</v>
      </c>
      <c r="G61" s="133">
        <f t="shared" ca="1" si="17"/>
        <v>2.2375794570567969E-2</v>
      </c>
      <c r="H61" s="133">
        <f t="shared" ca="1" si="17"/>
        <v>2.2375794570567969E-2</v>
      </c>
      <c r="I61" s="551" t="s">
        <v>336</v>
      </c>
      <c r="J61" s="575">
        <f t="shared" ca="1" si="18"/>
        <v>2.1303206372504373E-4</v>
      </c>
      <c r="K61" s="575">
        <f t="shared" ca="1" si="18"/>
        <v>2.1303206372504373E-4</v>
      </c>
      <c r="L61" s="575">
        <f t="shared" ca="1" si="18"/>
        <v>2.1303206372504373E-4</v>
      </c>
      <c r="M61" s="574" t="s">
        <v>336</v>
      </c>
      <c r="N61" s="133">
        <f t="shared" ca="1" si="19"/>
        <v>2.1303206372504373E-4</v>
      </c>
      <c r="O61" s="133">
        <f t="shared" ca="1" si="19"/>
        <v>2.1303206372504373E-4</v>
      </c>
      <c r="P61" s="551" t="s">
        <v>336</v>
      </c>
      <c r="Q61" s="573">
        <f t="shared" ca="1" si="20"/>
        <v>16.258266727227674</v>
      </c>
      <c r="R61" s="573">
        <f t="shared" ca="1" si="20"/>
        <v>16.258266727227674</v>
      </c>
      <c r="S61" s="573">
        <f t="shared" ca="1" si="20"/>
        <v>16.258266727227674</v>
      </c>
      <c r="T61" s="572" t="s">
        <v>336</v>
      </c>
      <c r="U61" s="45">
        <f t="shared" ca="1" si="21"/>
        <v>16.258266727227674</v>
      </c>
      <c r="V61" s="45">
        <f t="shared" ca="1" si="21"/>
        <v>16.258266727227674</v>
      </c>
      <c r="W61" s="551" t="s">
        <v>336</v>
      </c>
    </row>
    <row r="62" spans="1:23" x14ac:dyDescent="0.25">
      <c r="A62" s="812" t="str">
        <f t="shared" si="22"/>
        <v>NP</v>
      </c>
      <c r="B62" s="812" t="s">
        <v>139</v>
      </c>
      <c r="C62" s="133">
        <f t="shared" ca="1" si="16"/>
        <v>1.8474652069224207E-2</v>
      </c>
      <c r="D62" s="575">
        <f t="shared" ca="1" si="16"/>
        <v>1.8474652069224207E-2</v>
      </c>
      <c r="E62" s="575">
        <f t="shared" ca="1" si="16"/>
        <v>1.8474652069224207E-2</v>
      </c>
      <c r="F62" s="574" t="s">
        <v>336</v>
      </c>
      <c r="G62" s="133">
        <f t="shared" ca="1" si="17"/>
        <v>1.8474652069224207E-2</v>
      </c>
      <c r="H62" s="133">
        <f t="shared" ca="1" si="17"/>
        <v>1.8474652069224207E-2</v>
      </c>
      <c r="I62" s="551" t="s">
        <v>336</v>
      </c>
      <c r="J62" s="575">
        <f t="shared" ca="1" si="18"/>
        <v>4.4852118093356138E-4</v>
      </c>
      <c r="K62" s="575">
        <f t="shared" ca="1" si="18"/>
        <v>4.4852118093356138E-4</v>
      </c>
      <c r="L62" s="575">
        <f t="shared" ca="1" si="18"/>
        <v>4.4852118093356138E-4</v>
      </c>
      <c r="M62" s="574" t="s">
        <v>336</v>
      </c>
      <c r="N62" s="133">
        <f t="shared" ca="1" si="19"/>
        <v>4.4852118093356138E-4</v>
      </c>
      <c r="O62" s="133">
        <f t="shared" ca="1" si="19"/>
        <v>4.4852118093356138E-4</v>
      </c>
      <c r="P62" s="551" t="s">
        <v>336</v>
      </c>
      <c r="Q62" s="573">
        <f t="shared" ca="1" si="20"/>
        <v>34.230419895104845</v>
      </c>
      <c r="R62" s="573">
        <f t="shared" ca="1" si="20"/>
        <v>34.230419895104845</v>
      </c>
      <c r="S62" s="573">
        <f t="shared" ca="1" si="20"/>
        <v>34.230419895104845</v>
      </c>
      <c r="T62" s="572" t="s">
        <v>336</v>
      </c>
      <c r="U62" s="45">
        <f t="shared" ca="1" si="21"/>
        <v>34.230419895104845</v>
      </c>
      <c r="V62" s="45">
        <f t="shared" ca="1" si="21"/>
        <v>34.230419895104845</v>
      </c>
      <c r="W62" s="551" t="s">
        <v>336</v>
      </c>
    </row>
    <row r="63" spans="1:23" x14ac:dyDescent="0.25">
      <c r="A63" s="812" t="str">
        <f t="shared" si="22"/>
        <v>NP</v>
      </c>
      <c r="B63" s="812" t="s">
        <v>140</v>
      </c>
      <c r="C63" s="133">
        <f t="shared" ca="1" si="16"/>
        <v>1.2050017658099495E-2</v>
      </c>
      <c r="D63" s="575">
        <f t="shared" ca="1" si="16"/>
        <v>1.2050017658099495E-2</v>
      </c>
      <c r="E63" s="575">
        <f t="shared" ca="1" si="16"/>
        <v>1.2050017658099495E-2</v>
      </c>
      <c r="F63" s="574" t="s">
        <v>336</v>
      </c>
      <c r="G63" s="133">
        <f t="shared" ca="1" si="17"/>
        <v>1.2050017658099495E-2</v>
      </c>
      <c r="H63" s="133">
        <f t="shared" ca="1" si="17"/>
        <v>1.2050017658099495E-2</v>
      </c>
      <c r="I63" s="551" t="s">
        <v>336</v>
      </c>
      <c r="J63" s="575">
        <f t="shared" ca="1" si="18"/>
        <v>2.7004259074857036E-4</v>
      </c>
      <c r="K63" s="575">
        <f t="shared" ca="1" si="18"/>
        <v>2.7004259074857036E-4</v>
      </c>
      <c r="L63" s="575">
        <f t="shared" ca="1" si="18"/>
        <v>2.7004259074857036E-4</v>
      </c>
      <c r="M63" s="574" t="s">
        <v>336</v>
      </c>
      <c r="N63" s="133">
        <f t="shared" ca="1" si="19"/>
        <v>2.7004259074857036E-4</v>
      </c>
      <c r="O63" s="133">
        <f t="shared" ca="1" si="19"/>
        <v>2.7004259074857036E-4</v>
      </c>
      <c r="P63" s="551" t="s">
        <v>336</v>
      </c>
      <c r="Q63" s="573">
        <f t="shared" ca="1" si="20"/>
        <v>20.609219059946184</v>
      </c>
      <c r="R63" s="573">
        <f t="shared" ca="1" si="20"/>
        <v>20.609219059946184</v>
      </c>
      <c r="S63" s="573">
        <f t="shared" ca="1" si="20"/>
        <v>20.609219059946184</v>
      </c>
      <c r="T63" s="572" t="s">
        <v>336</v>
      </c>
      <c r="U63" s="45">
        <f t="shared" ca="1" si="21"/>
        <v>20.609219059946184</v>
      </c>
      <c r="V63" s="45">
        <f t="shared" ca="1" si="21"/>
        <v>20.609219059946184</v>
      </c>
      <c r="W63" s="551" t="s">
        <v>336</v>
      </c>
    </row>
    <row r="64" spans="1:23" x14ac:dyDescent="0.25">
      <c r="A64" s="812" t="str">
        <f t="shared" si="22"/>
        <v>NP</v>
      </c>
      <c r="B64" s="812" t="s">
        <v>141</v>
      </c>
      <c r="C64" s="133">
        <f t="shared" ca="1" si="16"/>
        <v>0.18018585618982652</v>
      </c>
      <c r="D64" s="575">
        <f t="shared" ca="1" si="16"/>
        <v>0.18018585618982652</v>
      </c>
      <c r="E64" s="575">
        <f t="shared" ca="1" si="16"/>
        <v>0.18018585618982652</v>
      </c>
      <c r="F64" s="574" t="s">
        <v>336</v>
      </c>
      <c r="G64" s="133">
        <f t="shared" ca="1" si="17"/>
        <v>0.18018585618982652</v>
      </c>
      <c r="H64" s="133">
        <f t="shared" ca="1" si="17"/>
        <v>0.18018585618982652</v>
      </c>
      <c r="I64" s="551" t="s">
        <v>336</v>
      </c>
      <c r="J64" s="575">
        <f t="shared" ca="1" si="18"/>
        <v>4.3233197117663611E-3</v>
      </c>
      <c r="K64" s="575">
        <f t="shared" ca="1" si="18"/>
        <v>4.3233197117663611E-3</v>
      </c>
      <c r="L64" s="575">
        <f t="shared" ca="1" si="18"/>
        <v>4.3233197117663611E-3</v>
      </c>
      <c r="M64" s="574" t="s">
        <v>336</v>
      </c>
      <c r="N64" s="133">
        <f t="shared" ca="1" si="19"/>
        <v>4.3233197117663611E-3</v>
      </c>
      <c r="O64" s="133">
        <f t="shared" ca="1" si="19"/>
        <v>4.3233197117663611E-3</v>
      </c>
      <c r="P64" s="551" t="s">
        <v>336</v>
      </c>
      <c r="Q64" s="573">
        <f t="shared" ca="1" si="20"/>
        <v>329.94885273092086</v>
      </c>
      <c r="R64" s="573">
        <f t="shared" ca="1" si="20"/>
        <v>329.94885273092086</v>
      </c>
      <c r="S64" s="573">
        <f t="shared" ca="1" si="20"/>
        <v>329.94885273092086</v>
      </c>
      <c r="T64" s="572" t="s">
        <v>336</v>
      </c>
      <c r="U64" s="45">
        <f t="shared" ca="1" si="21"/>
        <v>329.94885273092086</v>
      </c>
      <c r="V64" s="45">
        <f t="shared" ca="1" si="21"/>
        <v>329.94885273092086</v>
      </c>
      <c r="W64" s="551" t="s">
        <v>336</v>
      </c>
    </row>
    <row r="65" spans="1:23" x14ac:dyDescent="0.25">
      <c r="A65" s="812" t="str">
        <f t="shared" si="22"/>
        <v>NP</v>
      </c>
      <c r="B65" s="812" t="s">
        <v>142</v>
      </c>
      <c r="C65" s="133">
        <f t="shared" ca="1" si="16"/>
        <v>0.24761305346773038</v>
      </c>
      <c r="D65" s="575">
        <f t="shared" ca="1" si="16"/>
        <v>0.24761305346773038</v>
      </c>
      <c r="E65" s="575">
        <f t="shared" ca="1" si="16"/>
        <v>0.24761305346773038</v>
      </c>
      <c r="F65" s="574" t="s">
        <v>336</v>
      </c>
      <c r="G65" s="133">
        <f t="shared" ca="1" si="17"/>
        <v>0.24761305346773038</v>
      </c>
      <c r="H65" s="133">
        <f t="shared" ca="1" si="17"/>
        <v>0.24761305346773038</v>
      </c>
      <c r="I65" s="551" t="s">
        <v>336</v>
      </c>
      <c r="J65" s="575">
        <f t="shared" ca="1" si="18"/>
        <v>9.1023878226028452E-3</v>
      </c>
      <c r="K65" s="575">
        <f t="shared" ca="1" si="18"/>
        <v>9.1023878226028452E-3</v>
      </c>
      <c r="L65" s="575">
        <f t="shared" ca="1" si="18"/>
        <v>9.1023878226028452E-3</v>
      </c>
      <c r="M65" s="574" t="s">
        <v>336</v>
      </c>
      <c r="N65" s="133">
        <f t="shared" ca="1" si="19"/>
        <v>9.1023878226028452E-3</v>
      </c>
      <c r="O65" s="133">
        <f t="shared" ca="1" si="19"/>
        <v>9.1023878226028452E-3</v>
      </c>
      <c r="P65" s="551" t="s">
        <v>336</v>
      </c>
      <c r="Q65" s="573">
        <f t="shared" ca="1" si="20"/>
        <v>694.67969509769546</v>
      </c>
      <c r="R65" s="573">
        <f t="shared" ca="1" si="20"/>
        <v>694.67969509769546</v>
      </c>
      <c r="S65" s="573">
        <f t="shared" ca="1" si="20"/>
        <v>694.67969509769546</v>
      </c>
      <c r="T65" s="572" t="s">
        <v>336</v>
      </c>
      <c r="U65" s="45">
        <f t="shared" ca="1" si="21"/>
        <v>694.67969509769546</v>
      </c>
      <c r="V65" s="45">
        <f t="shared" ca="1" si="21"/>
        <v>694.67969509769546</v>
      </c>
      <c r="W65" s="551" t="s">
        <v>336</v>
      </c>
    </row>
    <row r="66" spans="1:23" x14ac:dyDescent="0.25">
      <c r="A66" s="812" t="str">
        <f t="shared" si="22"/>
        <v>NP</v>
      </c>
      <c r="B66" s="812" t="s">
        <v>143</v>
      </c>
      <c r="C66" s="133">
        <f t="shared" ca="1" si="16"/>
        <v>0.16541885235140391</v>
      </c>
      <c r="D66" s="575">
        <f t="shared" ca="1" si="16"/>
        <v>0.16541885235140391</v>
      </c>
      <c r="E66" s="575">
        <f t="shared" ca="1" si="16"/>
        <v>0.16541885235140391</v>
      </c>
      <c r="F66" s="574" t="s">
        <v>336</v>
      </c>
      <c r="G66" s="133">
        <f t="shared" ca="1" si="17"/>
        <v>0.16541885235140391</v>
      </c>
      <c r="H66" s="133">
        <f t="shared" ca="1" si="17"/>
        <v>0.16541885235140391</v>
      </c>
      <c r="I66" s="551" t="s">
        <v>336</v>
      </c>
      <c r="J66" s="575">
        <f t="shared" ca="1" si="18"/>
        <v>5.4803039278941328E-3</v>
      </c>
      <c r="K66" s="575">
        <f t="shared" ca="1" si="18"/>
        <v>5.4803039278941328E-3</v>
      </c>
      <c r="L66" s="575">
        <f t="shared" ca="1" si="18"/>
        <v>5.4803039278941328E-3</v>
      </c>
      <c r="M66" s="574" t="s">
        <v>336</v>
      </c>
      <c r="N66" s="133">
        <f t="shared" ca="1" si="19"/>
        <v>5.4803039278941328E-3</v>
      </c>
      <c r="O66" s="133">
        <f t="shared" ca="1" si="19"/>
        <v>5.4803039278941328E-3</v>
      </c>
      <c r="P66" s="551" t="s">
        <v>336</v>
      </c>
      <c r="Q66" s="573">
        <f t="shared" ca="1" si="20"/>
        <v>418.24803951097346</v>
      </c>
      <c r="R66" s="573">
        <f t="shared" ca="1" si="20"/>
        <v>418.24803951097346</v>
      </c>
      <c r="S66" s="573">
        <f t="shared" ca="1" si="20"/>
        <v>418.24803951097346</v>
      </c>
      <c r="T66" s="572" t="s">
        <v>336</v>
      </c>
      <c r="U66" s="45">
        <f t="shared" ca="1" si="21"/>
        <v>418.24803951097346</v>
      </c>
      <c r="V66" s="45">
        <f t="shared" ca="1" si="21"/>
        <v>418.24803951097346</v>
      </c>
      <c r="W66" s="551" t="s">
        <v>336</v>
      </c>
    </row>
    <row r="67" spans="1:23" x14ac:dyDescent="0.25">
      <c r="A67" s="812" t="str">
        <f t="shared" si="22"/>
        <v>NP</v>
      </c>
      <c r="B67" s="812" t="s">
        <v>144</v>
      </c>
      <c r="C67" s="133">
        <f t="shared" ca="1" si="16"/>
        <v>6.103739559966773E-3</v>
      </c>
      <c r="D67" s="575">
        <f t="shared" ca="1" si="16"/>
        <v>6.103739559966773E-3</v>
      </c>
      <c r="E67" s="575">
        <f t="shared" ca="1" si="16"/>
        <v>6.103739559966773E-3</v>
      </c>
      <c r="F67" s="574" t="s">
        <v>336</v>
      </c>
      <c r="G67" s="133">
        <f t="shared" ca="1" si="17"/>
        <v>6.103739559966773E-3</v>
      </c>
      <c r="H67" s="133">
        <f t="shared" ca="1" si="17"/>
        <v>6.103739559966773E-3</v>
      </c>
      <c r="I67" s="551" t="s">
        <v>336</v>
      </c>
      <c r="J67" s="575">
        <f t="shared" ca="1" si="18"/>
        <v>4.8059827234475162E-4</v>
      </c>
      <c r="K67" s="575">
        <f t="shared" ca="1" si="18"/>
        <v>4.8059827234475162E-4</v>
      </c>
      <c r="L67" s="575">
        <f t="shared" ca="1" si="18"/>
        <v>4.8059827234475162E-4</v>
      </c>
      <c r="M67" s="574" t="s">
        <v>336</v>
      </c>
      <c r="N67" s="133">
        <f t="shared" ca="1" si="19"/>
        <v>4.8059827234475162E-4</v>
      </c>
      <c r="O67" s="133">
        <f t="shared" ca="1" si="19"/>
        <v>4.8059827234475162E-4</v>
      </c>
      <c r="P67" s="551" t="s">
        <v>336</v>
      </c>
      <c r="Q67" s="573">
        <f t="shared" ca="1" si="20"/>
        <v>43.800856012546426</v>
      </c>
      <c r="R67" s="573">
        <f t="shared" ca="1" si="20"/>
        <v>43.800856012546426</v>
      </c>
      <c r="S67" s="573">
        <f t="shared" ca="1" si="20"/>
        <v>43.800856012546426</v>
      </c>
      <c r="T67" s="572" t="s">
        <v>336</v>
      </c>
      <c r="U67" s="45">
        <f t="shared" ca="1" si="21"/>
        <v>43.800856012546426</v>
      </c>
      <c r="V67" s="45">
        <f t="shared" ca="1" si="21"/>
        <v>43.800856012546426</v>
      </c>
      <c r="W67" s="551" t="s">
        <v>336</v>
      </c>
    </row>
    <row r="68" spans="1:23" x14ac:dyDescent="0.25">
      <c r="A68" s="812" t="str">
        <f t="shared" si="22"/>
        <v>NP</v>
      </c>
      <c r="B68" s="812" t="s">
        <v>145</v>
      </c>
      <c r="C68" s="133">
        <f t="shared" ca="1" si="16"/>
        <v>2.0588103231427093E-2</v>
      </c>
      <c r="D68" s="575">
        <f t="shared" ca="1" si="16"/>
        <v>2.0588103231427093E-2</v>
      </c>
      <c r="E68" s="575">
        <f t="shared" ca="1" si="16"/>
        <v>2.0588103231427093E-2</v>
      </c>
      <c r="F68" s="574" t="s">
        <v>336</v>
      </c>
      <c r="G68" s="133">
        <f t="shared" ca="1" si="17"/>
        <v>2.0588103231427093E-2</v>
      </c>
      <c r="H68" s="133">
        <f t="shared" ca="1" si="17"/>
        <v>2.0588103231427093E-2</v>
      </c>
      <c r="I68" s="551" t="s">
        <v>336</v>
      </c>
      <c r="J68" s="575">
        <f t="shared" ca="1" si="18"/>
        <v>1.6210729089386512E-3</v>
      </c>
      <c r="K68" s="575">
        <f t="shared" ca="1" si="18"/>
        <v>1.6210729089386512E-3</v>
      </c>
      <c r="L68" s="575">
        <f t="shared" ca="1" si="18"/>
        <v>1.6210729089386512E-3</v>
      </c>
      <c r="M68" s="574" t="s">
        <v>336</v>
      </c>
      <c r="N68" s="133">
        <f t="shared" ca="1" si="19"/>
        <v>1.6210729089386512E-3</v>
      </c>
      <c r="O68" s="133">
        <f t="shared" ca="1" si="19"/>
        <v>1.6210729089386512E-3</v>
      </c>
      <c r="P68" s="551" t="s">
        <v>336</v>
      </c>
      <c r="Q68" s="573">
        <f t="shared" ca="1" si="20"/>
        <v>147.7416485994512</v>
      </c>
      <c r="R68" s="573">
        <f t="shared" ca="1" si="20"/>
        <v>147.7416485994512</v>
      </c>
      <c r="S68" s="573">
        <f t="shared" ca="1" si="20"/>
        <v>147.7416485994512</v>
      </c>
      <c r="T68" s="572" t="s">
        <v>336</v>
      </c>
      <c r="U68" s="45">
        <f t="shared" ca="1" si="21"/>
        <v>147.7416485994512</v>
      </c>
      <c r="V68" s="45">
        <f t="shared" ca="1" si="21"/>
        <v>147.7416485994512</v>
      </c>
      <c r="W68" s="551" t="s">
        <v>336</v>
      </c>
    </row>
    <row r="69" spans="1:23" x14ac:dyDescent="0.25">
      <c r="A69" s="812" t="str">
        <f t="shared" si="22"/>
        <v>NP</v>
      </c>
      <c r="B69" s="812" t="s">
        <v>146</v>
      </c>
      <c r="C69" s="133">
        <f t="shared" ca="1" si="16"/>
        <v>0.1022895608708646</v>
      </c>
      <c r="D69" s="575">
        <f t="shared" ca="1" si="16"/>
        <v>0.1022895608708646</v>
      </c>
      <c r="E69" s="575">
        <f t="shared" ca="1" si="16"/>
        <v>0.1022895608708646</v>
      </c>
      <c r="F69" s="574" t="s">
        <v>336</v>
      </c>
      <c r="G69" s="133">
        <f t="shared" ca="1" si="17"/>
        <v>0.1022895608708646</v>
      </c>
      <c r="H69" s="133">
        <f t="shared" ca="1" si="17"/>
        <v>0.1022895608708646</v>
      </c>
      <c r="I69" s="551" t="s">
        <v>336</v>
      </c>
      <c r="J69" s="575">
        <f t="shared" ca="1" si="18"/>
        <v>3.0192244842831974E-3</v>
      </c>
      <c r="K69" s="575">
        <f t="shared" ca="1" si="18"/>
        <v>3.0192244842831974E-3</v>
      </c>
      <c r="L69" s="575">
        <f t="shared" ca="1" si="18"/>
        <v>3.0192244842831974E-3</v>
      </c>
      <c r="M69" s="574" t="s">
        <v>336</v>
      </c>
      <c r="N69" s="133">
        <f t="shared" ca="1" si="19"/>
        <v>3.0192244842831974E-3</v>
      </c>
      <c r="O69" s="133">
        <f t="shared" ca="1" si="19"/>
        <v>3.0192244842831974E-3</v>
      </c>
      <c r="P69" s="551" t="s">
        <v>336</v>
      </c>
      <c r="Q69" s="573">
        <f t="shared" ca="1" si="20"/>
        <v>230.34329167966098</v>
      </c>
      <c r="R69" s="573">
        <f t="shared" ca="1" si="20"/>
        <v>230.34329167966098</v>
      </c>
      <c r="S69" s="573">
        <f t="shared" ca="1" si="20"/>
        <v>230.34329167966098</v>
      </c>
      <c r="T69" s="572" t="s">
        <v>336</v>
      </c>
      <c r="U69" s="45">
        <f t="shared" ca="1" si="21"/>
        <v>230.34329167966098</v>
      </c>
      <c r="V69" s="45">
        <f t="shared" ca="1" si="21"/>
        <v>230.34329167966098</v>
      </c>
      <c r="W69" s="551" t="s">
        <v>336</v>
      </c>
    </row>
    <row r="70" spans="1:23" x14ac:dyDescent="0.25">
      <c r="A70" s="812" t="str">
        <f t="shared" si="22"/>
        <v>NP</v>
      </c>
      <c r="B70" s="812" t="s">
        <v>568</v>
      </c>
      <c r="C70" s="133">
        <f t="shared" ca="1" si="16"/>
        <v>2.2211993977046787E-2</v>
      </c>
      <c r="D70" s="575">
        <f t="shared" ca="1" si="16"/>
        <v>2.2211993977046787E-2</v>
      </c>
      <c r="E70" s="575">
        <f t="shared" ca="1" si="16"/>
        <v>2.2211993977046787E-2</v>
      </c>
      <c r="F70" s="574" t="s">
        <v>336</v>
      </c>
      <c r="G70" s="133">
        <f t="shared" ca="1" si="17"/>
        <v>2.2211993977046787E-2</v>
      </c>
      <c r="H70" s="133">
        <f t="shared" ca="1" si="17"/>
        <v>2.2211993977046787E-2</v>
      </c>
      <c r="I70" s="551" t="s">
        <v>336</v>
      </c>
      <c r="J70" s="575">
        <f t="shared" ca="1" si="18"/>
        <v>1.0240447526514553</v>
      </c>
      <c r="K70" s="575">
        <f t="shared" ca="1" si="18"/>
        <v>1.0240447526514553</v>
      </c>
      <c r="L70" s="575">
        <f t="shared" ca="1" si="18"/>
        <v>1.0240447526514553</v>
      </c>
      <c r="M70" s="574" t="s">
        <v>336</v>
      </c>
      <c r="N70" s="133">
        <f t="shared" ca="1" si="19"/>
        <v>1.0240447526514553</v>
      </c>
      <c r="O70" s="133">
        <f t="shared" ca="1" si="19"/>
        <v>1.0240447526514553</v>
      </c>
      <c r="P70" s="551" t="s">
        <v>336</v>
      </c>
      <c r="Q70" s="573">
        <f t="shared" ca="1" si="20"/>
        <v>9041.588271298815</v>
      </c>
      <c r="R70" s="573">
        <f t="shared" ca="1" si="20"/>
        <v>9041.588271298815</v>
      </c>
      <c r="S70" s="573">
        <f t="shared" ca="1" si="20"/>
        <v>9041.588271298815</v>
      </c>
      <c r="T70" s="572" t="s">
        <v>336</v>
      </c>
      <c r="U70" s="45">
        <f t="shared" ca="1" si="21"/>
        <v>9041.588271298815</v>
      </c>
      <c r="V70" s="45">
        <f t="shared" ca="1" si="21"/>
        <v>9041.588271298815</v>
      </c>
      <c r="W70" s="551" t="s">
        <v>336</v>
      </c>
    </row>
    <row r="71" spans="1:23" x14ac:dyDescent="0.25">
      <c r="A71" s="812" t="str">
        <f t="shared" si="22"/>
        <v>NP</v>
      </c>
      <c r="B71" s="812" t="s">
        <v>148</v>
      </c>
      <c r="C71" s="133">
        <f t="shared" ca="1" si="16"/>
        <v>7.5068398236942772E-3</v>
      </c>
      <c r="D71" s="575">
        <f t="shared" ca="1" si="16"/>
        <v>7.5068398236942772E-3</v>
      </c>
      <c r="E71" s="575">
        <f t="shared" ca="1" si="16"/>
        <v>7.5068398236942772E-3</v>
      </c>
      <c r="F71" s="574" t="s">
        <v>336</v>
      </c>
      <c r="G71" s="133">
        <f t="shared" ca="1" si="17"/>
        <v>7.5068398236942772E-3</v>
      </c>
      <c r="H71" s="133">
        <f t="shared" ca="1" si="17"/>
        <v>7.5068398236942772E-3</v>
      </c>
      <c r="I71" s="551" t="s">
        <v>336</v>
      </c>
      <c r="J71" s="575">
        <f t="shared" ca="1" si="18"/>
        <v>0.15235204862225188</v>
      </c>
      <c r="K71" s="575">
        <f t="shared" ca="1" si="18"/>
        <v>0.15235204862225188</v>
      </c>
      <c r="L71" s="575">
        <f t="shared" ca="1" si="18"/>
        <v>0.15235204862225188</v>
      </c>
      <c r="M71" s="574" t="s">
        <v>336</v>
      </c>
      <c r="N71" s="133">
        <f t="shared" ca="1" si="19"/>
        <v>0.15235204862225188</v>
      </c>
      <c r="O71" s="133">
        <f t="shared" ca="1" si="19"/>
        <v>0.15235204862225188</v>
      </c>
      <c r="P71" s="551" t="s">
        <v>336</v>
      </c>
      <c r="Q71" s="573">
        <f t="shared" ca="1" si="20"/>
        <v>3153.3856502793742</v>
      </c>
      <c r="R71" s="573">
        <f t="shared" ca="1" si="20"/>
        <v>3153.3856502793742</v>
      </c>
      <c r="S71" s="573">
        <f t="shared" ca="1" si="20"/>
        <v>3153.3856502793742</v>
      </c>
      <c r="T71" s="572" t="s">
        <v>336</v>
      </c>
      <c r="U71" s="45">
        <f t="shared" ca="1" si="21"/>
        <v>3153.3856502793742</v>
      </c>
      <c r="V71" s="45">
        <f t="shared" ca="1" si="21"/>
        <v>3153.3856502793742</v>
      </c>
      <c r="W71" s="551" t="s">
        <v>336</v>
      </c>
    </row>
    <row r="72" spans="1:23" x14ac:dyDescent="0.25">
      <c r="A72" s="812" t="str">
        <f t="shared" si="22"/>
        <v>NP</v>
      </c>
      <c r="B72" s="812" t="s">
        <v>746</v>
      </c>
      <c r="C72" s="133">
        <f t="shared" ca="1" si="16"/>
        <v>1.3295521934962768E-4</v>
      </c>
      <c r="D72" s="575">
        <f t="shared" ca="1" si="16"/>
        <v>1.3295521934962768E-4</v>
      </c>
      <c r="E72" s="575">
        <f t="shared" ca="1" si="16"/>
        <v>1.3295521934962768E-4</v>
      </c>
      <c r="F72" s="574" t="s">
        <v>336</v>
      </c>
      <c r="G72" s="133">
        <f t="shared" ca="1" si="17"/>
        <v>1.3295521934962768E-4</v>
      </c>
      <c r="H72" s="133">
        <f t="shared" ca="1" si="17"/>
        <v>1.3295521934962768E-4</v>
      </c>
      <c r="I72" s="551" t="s">
        <v>336</v>
      </c>
      <c r="J72" s="575">
        <f t="shared" ca="1" si="18"/>
        <v>6.9969688017566117E-3</v>
      </c>
      <c r="K72" s="575">
        <f t="shared" ca="1" si="18"/>
        <v>6.9969688017566117E-3</v>
      </c>
      <c r="L72" s="575">
        <f t="shared" ca="1" si="18"/>
        <v>6.9969688017566117E-3</v>
      </c>
      <c r="M72" s="574" t="s">
        <v>336</v>
      </c>
      <c r="N72" s="133">
        <f t="shared" ca="1" si="19"/>
        <v>6.9969688017566117E-3</v>
      </c>
      <c r="O72" s="133">
        <f t="shared" ca="1" si="19"/>
        <v>6.9969688017566117E-3</v>
      </c>
      <c r="P72" s="551" t="s">
        <v>336</v>
      </c>
      <c r="Q72" s="573">
        <f t="shared" ca="1" si="20"/>
        <v>63.059921971837525</v>
      </c>
      <c r="R72" s="573">
        <f t="shared" ca="1" si="20"/>
        <v>63.059921971837525</v>
      </c>
      <c r="S72" s="573">
        <f t="shared" ca="1" si="20"/>
        <v>63.059921971837525</v>
      </c>
      <c r="T72" s="572" t="s">
        <v>336</v>
      </c>
      <c r="U72" s="45">
        <f t="shared" ca="1" si="21"/>
        <v>63.059921971837525</v>
      </c>
      <c r="V72" s="45">
        <f t="shared" ca="1" si="21"/>
        <v>63.059921971837525</v>
      </c>
      <c r="W72" s="551" t="s">
        <v>336</v>
      </c>
    </row>
    <row r="73" spans="1:23" x14ac:dyDescent="0.25">
      <c r="A73" s="812" t="str">
        <f t="shared" si="22"/>
        <v>NP</v>
      </c>
      <c r="B73" s="812" t="s">
        <v>747</v>
      </c>
      <c r="C73" s="133">
        <f t="shared" ca="1" si="16"/>
        <v>5.1345779813210569E-4</v>
      </c>
      <c r="D73" s="575">
        <f t="shared" ca="1" si="16"/>
        <v>5.1345779813210569E-4</v>
      </c>
      <c r="E73" s="575">
        <f t="shared" ca="1" si="16"/>
        <v>5.1345779813210569E-4</v>
      </c>
      <c r="F73" s="574" t="s">
        <v>336</v>
      </c>
      <c r="G73" s="133">
        <f t="shared" ca="1" si="17"/>
        <v>5.1345779813210569E-4</v>
      </c>
      <c r="H73" s="133">
        <f t="shared" ca="1" si="17"/>
        <v>5.1345779813210569E-4</v>
      </c>
      <c r="I73" s="551" t="s">
        <v>336</v>
      </c>
      <c r="J73" s="575">
        <f t="shared" ca="1" si="18"/>
        <v>2.3672064940612837E-2</v>
      </c>
      <c r="K73" s="575">
        <f t="shared" ca="1" si="18"/>
        <v>2.3672064940612837E-2</v>
      </c>
      <c r="L73" s="575">
        <f t="shared" ca="1" si="18"/>
        <v>2.3672064940612837E-2</v>
      </c>
      <c r="M73" s="574" t="s">
        <v>336</v>
      </c>
      <c r="N73" s="133">
        <f t="shared" ca="1" si="19"/>
        <v>2.3672064940612837E-2</v>
      </c>
      <c r="O73" s="133">
        <f t="shared" ca="1" si="19"/>
        <v>2.3672064940612837E-2</v>
      </c>
      <c r="P73" s="551" t="s">
        <v>336</v>
      </c>
      <c r="Q73" s="573">
        <f t="shared" ca="1" si="20"/>
        <v>194.66368100460136</v>
      </c>
      <c r="R73" s="573">
        <f t="shared" ca="1" si="20"/>
        <v>194.66368100460136</v>
      </c>
      <c r="S73" s="573">
        <f t="shared" ca="1" si="20"/>
        <v>194.66368100460136</v>
      </c>
      <c r="T73" s="572" t="s">
        <v>336</v>
      </c>
      <c r="U73" s="45">
        <f t="shared" ca="1" si="21"/>
        <v>194.66368100460136</v>
      </c>
      <c r="V73" s="45">
        <f t="shared" ca="1" si="21"/>
        <v>194.66368100460136</v>
      </c>
      <c r="W73" s="551" t="s">
        <v>336</v>
      </c>
    </row>
    <row r="74" spans="1:23" x14ac:dyDescent="0.25">
      <c r="A74" s="812" t="str">
        <f t="shared" si="22"/>
        <v>NP</v>
      </c>
      <c r="B74" s="812" t="s">
        <v>149</v>
      </c>
      <c r="C74" s="133">
        <f t="shared" ca="1" si="16"/>
        <v>2.4048326868183914E-6</v>
      </c>
      <c r="D74" s="575">
        <f t="shared" ca="1" si="16"/>
        <v>2.4048326868183914E-6</v>
      </c>
      <c r="E74" s="575">
        <f t="shared" ca="1" si="16"/>
        <v>2.4048326868183914E-6</v>
      </c>
      <c r="F74" s="574" t="s">
        <v>336</v>
      </c>
      <c r="G74" s="133">
        <f t="shared" ca="1" si="17"/>
        <v>2.4048326868183914E-6</v>
      </c>
      <c r="H74" s="133">
        <f t="shared" ca="1" si="17"/>
        <v>2.4048326868183914E-6</v>
      </c>
      <c r="I74" s="551" t="s">
        <v>336</v>
      </c>
      <c r="J74" s="575">
        <f t="shared" ca="1" si="18"/>
        <v>2.1216717605019123E-5</v>
      </c>
      <c r="K74" s="575">
        <f t="shared" ca="1" si="18"/>
        <v>2.1216717605019123E-5</v>
      </c>
      <c r="L74" s="575">
        <f t="shared" ca="1" si="18"/>
        <v>2.1216717605019123E-5</v>
      </c>
      <c r="M74" s="574" t="s">
        <v>336</v>
      </c>
      <c r="N74" s="133">
        <f t="shared" ca="1" si="19"/>
        <v>2.1216717605019123E-5</v>
      </c>
      <c r="O74" s="133">
        <f t="shared" ca="1" si="19"/>
        <v>2.1216717605019123E-5</v>
      </c>
      <c r="P74" s="551" t="s">
        <v>336</v>
      </c>
      <c r="Q74" s="573">
        <f t="shared" ca="1" si="20"/>
        <v>83.000175589273653</v>
      </c>
      <c r="R74" s="573">
        <f t="shared" ca="1" si="20"/>
        <v>83.000175589273653</v>
      </c>
      <c r="S74" s="573">
        <f t="shared" ca="1" si="20"/>
        <v>83.000175589273653</v>
      </c>
      <c r="T74" s="572" t="s">
        <v>336</v>
      </c>
      <c r="U74" s="45">
        <f t="shared" ca="1" si="21"/>
        <v>83.000175589273653</v>
      </c>
      <c r="V74" s="45">
        <f t="shared" ca="1" si="21"/>
        <v>83.000175589273653</v>
      </c>
      <c r="W74" s="551" t="s">
        <v>336</v>
      </c>
    </row>
    <row r="75" spans="1:23" x14ac:dyDescent="0.25">
      <c r="A75" s="812" t="str">
        <f t="shared" si="22"/>
        <v>NP</v>
      </c>
      <c r="B75" s="812" t="s">
        <v>150</v>
      </c>
      <c r="C75" s="133">
        <f t="shared" ca="1" si="16"/>
        <v>4.1414388231059236E-3</v>
      </c>
      <c r="D75" s="575">
        <f t="shared" ca="1" si="16"/>
        <v>4.1414388231059236E-3</v>
      </c>
      <c r="E75" s="575">
        <f t="shared" ca="1" si="16"/>
        <v>4.1414388231059236E-3</v>
      </c>
      <c r="F75" s="574" t="s">
        <v>336</v>
      </c>
      <c r="G75" s="133">
        <f t="shared" ca="1" si="17"/>
        <v>4.1414388231059236E-3</v>
      </c>
      <c r="H75" s="133">
        <f t="shared" ca="1" si="17"/>
        <v>4.1414388231059236E-3</v>
      </c>
      <c r="I75" s="551" t="s">
        <v>336</v>
      </c>
      <c r="J75" s="575">
        <f t="shared" ca="1" si="18"/>
        <v>2.381315024256097E-4</v>
      </c>
      <c r="K75" s="575">
        <f t="shared" ca="1" si="18"/>
        <v>2.381315024256097E-4</v>
      </c>
      <c r="L75" s="575">
        <f t="shared" ca="1" si="18"/>
        <v>2.381315024256097E-4</v>
      </c>
      <c r="M75" s="574" t="s">
        <v>336</v>
      </c>
      <c r="N75" s="133">
        <f t="shared" ca="1" si="19"/>
        <v>2.381315024256097E-4</v>
      </c>
      <c r="O75" s="133">
        <f t="shared" ca="1" si="19"/>
        <v>2.381315024256097E-4</v>
      </c>
      <c r="P75" s="551" t="s">
        <v>336</v>
      </c>
      <c r="Q75" s="573">
        <f t="shared" ca="1" si="20"/>
        <v>765.96162731469121</v>
      </c>
      <c r="R75" s="573">
        <f t="shared" ca="1" si="20"/>
        <v>765.96162731469121</v>
      </c>
      <c r="S75" s="573">
        <f t="shared" ca="1" si="20"/>
        <v>765.96162731469121</v>
      </c>
      <c r="T75" s="572" t="s">
        <v>336</v>
      </c>
      <c r="U75" s="45">
        <f t="shared" ca="1" si="21"/>
        <v>765.96162731469121</v>
      </c>
      <c r="V75" s="45">
        <f t="shared" ca="1" si="21"/>
        <v>765.96162731469121</v>
      </c>
      <c r="W75" s="551" t="s">
        <v>336</v>
      </c>
    </row>
    <row r="76" spans="1:23" x14ac:dyDescent="0.25">
      <c r="A76" s="812" t="str">
        <f t="shared" si="22"/>
        <v>NP</v>
      </c>
      <c r="B76" s="812" t="s">
        <v>151</v>
      </c>
      <c r="C76" s="133">
        <f t="shared" ref="C76:E79" ca="1" si="23">C22*C$33/C$26</f>
        <v>3.9674756123871578E-2</v>
      </c>
      <c r="D76" s="575">
        <f t="shared" ca="1" si="23"/>
        <v>3.9674756123871578E-2</v>
      </c>
      <c r="E76" s="575">
        <f t="shared" ca="1" si="23"/>
        <v>3.9674756123871578E-2</v>
      </c>
      <c r="F76" s="574" t="s">
        <v>336</v>
      </c>
      <c r="G76" s="133">
        <f t="shared" ref="G76:H79" ca="1" si="24">G22*G$33/G$26</f>
        <v>3.9674756123871578E-2</v>
      </c>
      <c r="H76" s="133">
        <f t="shared" ca="1" si="24"/>
        <v>3.9674756123871578E-2</v>
      </c>
      <c r="I76" s="551" t="s">
        <v>336</v>
      </c>
      <c r="J76" s="575">
        <f t="shared" ref="J76:L79" ca="1" si="25">J22*J$33/J$26</f>
        <v>3.3633989066080346E-2</v>
      </c>
      <c r="K76" s="575">
        <f t="shared" ca="1" si="25"/>
        <v>3.3633989066080346E-2</v>
      </c>
      <c r="L76" s="575">
        <f t="shared" ca="1" si="25"/>
        <v>3.3633989066080346E-2</v>
      </c>
      <c r="M76" s="574" t="s">
        <v>336</v>
      </c>
      <c r="N76" s="133">
        <f t="shared" ref="N76:O79" ca="1" si="26">N22*N$33/N$26</f>
        <v>3.3633989066080346E-2</v>
      </c>
      <c r="O76" s="133">
        <f t="shared" ca="1" si="26"/>
        <v>3.3633989066080346E-2</v>
      </c>
      <c r="P76" s="551" t="s">
        <v>336</v>
      </c>
      <c r="Q76" s="573">
        <f t="shared" ref="Q76:S79" ca="1" si="27">Q22*Q$33/Q$26</f>
        <v>104.52360674537219</v>
      </c>
      <c r="R76" s="573">
        <f t="shared" ca="1" si="27"/>
        <v>104.52360674537219</v>
      </c>
      <c r="S76" s="573">
        <f t="shared" ca="1" si="27"/>
        <v>104.52360674537219</v>
      </c>
      <c r="T76" s="572" t="s">
        <v>336</v>
      </c>
      <c r="U76" s="45">
        <f t="shared" ref="U76:V79" ca="1" si="28">U22*U$33/U$26</f>
        <v>104.52360674537219</v>
      </c>
      <c r="V76" s="45">
        <f t="shared" ca="1" si="28"/>
        <v>104.52360674537219</v>
      </c>
      <c r="W76" s="551" t="s">
        <v>336</v>
      </c>
    </row>
    <row r="77" spans="1:23" x14ac:dyDescent="0.25">
      <c r="A77" s="812" t="str">
        <f t="shared" si="22"/>
        <v>NP</v>
      </c>
      <c r="B77" s="812" t="s">
        <v>152</v>
      </c>
      <c r="C77" s="133">
        <f t="shared" ca="1" si="23"/>
        <v>1.0808091202254095E-4</v>
      </c>
      <c r="D77" s="575">
        <f t="shared" ca="1" si="23"/>
        <v>1.0808091202254095E-4</v>
      </c>
      <c r="E77" s="575">
        <f t="shared" ca="1" si="23"/>
        <v>1.0808091202254095E-4</v>
      </c>
      <c r="F77" s="574" t="s">
        <v>336</v>
      </c>
      <c r="G77" s="133">
        <f t="shared" ca="1" si="24"/>
        <v>1.0808091202254095E-4</v>
      </c>
      <c r="H77" s="133">
        <f t="shared" ca="1" si="24"/>
        <v>1.0808091202254095E-4</v>
      </c>
      <c r="I77" s="551" t="s">
        <v>336</v>
      </c>
      <c r="J77" s="575">
        <f t="shared" ca="1" si="25"/>
        <v>9.162481558471149E-5</v>
      </c>
      <c r="K77" s="575">
        <f t="shared" ca="1" si="25"/>
        <v>9.162481558471149E-5</v>
      </c>
      <c r="L77" s="575">
        <f t="shared" ca="1" si="25"/>
        <v>9.162481558471149E-5</v>
      </c>
      <c r="M77" s="574" t="s">
        <v>336</v>
      </c>
      <c r="N77" s="133">
        <f t="shared" ca="1" si="26"/>
        <v>9.162481558471149E-5</v>
      </c>
      <c r="O77" s="133">
        <f t="shared" ca="1" si="26"/>
        <v>9.162481558471149E-5</v>
      </c>
      <c r="P77" s="551" t="s">
        <v>336</v>
      </c>
      <c r="Q77" s="573">
        <f t="shared" ca="1" si="27"/>
        <v>4.3046573658031884</v>
      </c>
      <c r="R77" s="573">
        <f t="shared" ca="1" si="27"/>
        <v>4.3046573658031884</v>
      </c>
      <c r="S77" s="573">
        <f t="shared" ca="1" si="27"/>
        <v>4.3046573658031884</v>
      </c>
      <c r="T77" s="572" t="s">
        <v>336</v>
      </c>
      <c r="U77" s="45">
        <f t="shared" ca="1" si="28"/>
        <v>4.3046573658031884</v>
      </c>
      <c r="V77" s="45">
        <f t="shared" ca="1" si="28"/>
        <v>4.3046573658031884</v>
      </c>
      <c r="W77" s="551" t="s">
        <v>336</v>
      </c>
    </row>
    <row r="78" spans="1:23" x14ac:dyDescent="0.25">
      <c r="A78" s="812" t="str">
        <f t="shared" si="22"/>
        <v>NP</v>
      </c>
      <c r="B78" s="812" t="s">
        <v>153</v>
      </c>
      <c r="C78" s="133">
        <f t="shared" ca="1" si="23"/>
        <v>1.0586930900464879E-4</v>
      </c>
      <c r="D78" s="575">
        <f t="shared" ca="1" si="23"/>
        <v>1.0586930900464879E-4</v>
      </c>
      <c r="E78" s="575">
        <f t="shared" ca="1" si="23"/>
        <v>1.0586930900464879E-4</v>
      </c>
      <c r="F78" s="574" t="s">
        <v>336</v>
      </c>
      <c r="G78" s="133">
        <f t="shared" ca="1" si="24"/>
        <v>1.0586930900464879E-4</v>
      </c>
      <c r="H78" s="133">
        <f t="shared" ca="1" si="24"/>
        <v>1.0586930900464879E-4</v>
      </c>
      <c r="I78" s="551" t="s">
        <v>336</v>
      </c>
      <c r="J78" s="575">
        <f t="shared" ca="1" si="25"/>
        <v>2.2554656379298402E-6</v>
      </c>
      <c r="K78" s="575">
        <f t="shared" ca="1" si="25"/>
        <v>2.2554656379298402E-6</v>
      </c>
      <c r="L78" s="575">
        <f t="shared" ca="1" si="25"/>
        <v>2.2554656379298402E-6</v>
      </c>
      <c r="M78" s="574" t="s">
        <v>336</v>
      </c>
      <c r="N78" s="133">
        <f t="shared" ca="1" si="26"/>
        <v>2.2554656379298402E-6</v>
      </c>
      <c r="O78" s="133">
        <f t="shared" ca="1" si="26"/>
        <v>2.2554656379298402E-6</v>
      </c>
      <c r="P78" s="551" t="s">
        <v>336</v>
      </c>
      <c r="Q78" s="573">
        <f t="shared" ca="1" si="27"/>
        <v>2.2461473953042375</v>
      </c>
      <c r="R78" s="573">
        <f t="shared" ca="1" si="27"/>
        <v>2.2461473953042375</v>
      </c>
      <c r="S78" s="573">
        <f t="shared" ca="1" si="27"/>
        <v>2.2461473953042375</v>
      </c>
      <c r="T78" s="572" t="s">
        <v>336</v>
      </c>
      <c r="U78" s="45">
        <f t="shared" ca="1" si="28"/>
        <v>2.2461473953042375</v>
      </c>
      <c r="V78" s="45">
        <f t="shared" ca="1" si="28"/>
        <v>2.2461473953042375</v>
      </c>
      <c r="W78" s="551" t="s">
        <v>336</v>
      </c>
    </row>
    <row r="79" spans="1:23" ht="15.75" thickBot="1" x14ac:dyDescent="0.3">
      <c r="A79" s="6" t="str">
        <f>A76</f>
        <v>NP</v>
      </c>
      <c r="B79" s="6" t="s">
        <v>154</v>
      </c>
      <c r="C79" s="544">
        <f t="shared" ca="1" si="23"/>
        <v>9.7193401545997015E-4</v>
      </c>
      <c r="D79" s="571">
        <f t="shared" ca="1" si="23"/>
        <v>9.7193401545997015E-4</v>
      </c>
      <c r="E79" s="571">
        <f t="shared" ca="1" si="23"/>
        <v>9.7193401545997015E-4</v>
      </c>
      <c r="F79" s="570" t="s">
        <v>336</v>
      </c>
      <c r="G79" s="544">
        <f t="shared" ca="1" si="24"/>
        <v>9.7193401545997015E-4</v>
      </c>
      <c r="H79" s="544">
        <f t="shared" ca="1" si="24"/>
        <v>9.7193401545997015E-4</v>
      </c>
      <c r="I79" s="542" t="s">
        <v>336</v>
      </c>
      <c r="J79" s="571">
        <f t="shared" ca="1" si="25"/>
        <v>5.0281199239552198E-3</v>
      </c>
      <c r="K79" s="571">
        <f t="shared" ca="1" si="25"/>
        <v>5.0281199239552198E-3</v>
      </c>
      <c r="L79" s="571">
        <f t="shared" ca="1" si="25"/>
        <v>5.0281199239552198E-3</v>
      </c>
      <c r="M79" s="570" t="s">
        <v>336</v>
      </c>
      <c r="N79" s="544">
        <f t="shared" ca="1" si="26"/>
        <v>5.0281199239552198E-3</v>
      </c>
      <c r="O79" s="544">
        <f t="shared" ca="1" si="26"/>
        <v>5.0281199239552198E-3</v>
      </c>
      <c r="P79" s="542" t="s">
        <v>336</v>
      </c>
      <c r="Q79" s="569">
        <f t="shared" ca="1" si="27"/>
        <v>35.820969629592931</v>
      </c>
      <c r="R79" s="569">
        <f t="shared" ca="1" si="27"/>
        <v>35.820969629592931</v>
      </c>
      <c r="S79" s="569">
        <f t="shared" ca="1" si="27"/>
        <v>35.820969629592931</v>
      </c>
      <c r="T79" s="568" t="s">
        <v>336</v>
      </c>
      <c r="U79" s="567">
        <f t="shared" ca="1" si="28"/>
        <v>35.820969629592931</v>
      </c>
      <c r="V79" s="567">
        <f t="shared" ca="1" si="28"/>
        <v>35.820969629592931</v>
      </c>
      <c r="W79" s="542" t="s">
        <v>336</v>
      </c>
    </row>
    <row r="80" spans="1:23" ht="15.75" thickTop="1" x14ac:dyDescent="0.25">
      <c r="C80" s="137">
        <f ca="1">SUM(C40:C79)</f>
        <v>2.178822188978693</v>
      </c>
      <c r="D80" s="137">
        <f ca="1">SUM(D40:D79)</f>
        <v>2.178822188978693</v>
      </c>
      <c r="E80" s="137">
        <f ca="1">SUM(E40:E79)</f>
        <v>2.178822188978693</v>
      </c>
      <c r="F80" s="566" t="s">
        <v>336</v>
      </c>
      <c r="G80" s="137">
        <f ca="1">SUM(G40:G79)</f>
        <v>2.178822188978693</v>
      </c>
      <c r="H80" s="137">
        <f ca="1">SUM(H40:H79)</f>
        <v>2.178822188978693</v>
      </c>
      <c r="I80" s="566" t="s">
        <v>336</v>
      </c>
      <c r="J80" s="137">
        <f ca="1">SUM(J40:J79)</f>
        <v>3.1784844102010248</v>
      </c>
      <c r="K80" s="137">
        <f ca="1">SUM(K40:K79)</f>
        <v>3.1784844102010248</v>
      </c>
      <c r="L80" s="137">
        <f ca="1">SUM(L40:L79)</f>
        <v>3.1784844102010248</v>
      </c>
      <c r="M80" s="566" t="s">
        <v>336</v>
      </c>
      <c r="N80" s="137">
        <f ca="1">SUM(N40:N79)</f>
        <v>3.1784844102010248</v>
      </c>
      <c r="O80" s="137">
        <f ca="1">SUM(O40:O79)</f>
        <v>3.1784844102010248</v>
      </c>
      <c r="P80" s="566" t="s">
        <v>336</v>
      </c>
      <c r="Q80" s="87">
        <f ca="1">SUM(Q40:Q79)</f>
        <v>40582.110638368322</v>
      </c>
      <c r="R80" s="87">
        <f ca="1">SUM(R40:R79)</f>
        <v>40582.110638368322</v>
      </c>
      <c r="S80" s="87">
        <f ca="1">SUM(S40:S79)</f>
        <v>40582.110638368322</v>
      </c>
      <c r="T80" s="566" t="s">
        <v>336</v>
      </c>
      <c r="U80" s="87">
        <f ca="1">SUM(U40:U79)</f>
        <v>40582.110638368322</v>
      </c>
      <c r="V80" s="87">
        <f ca="1">SUM(V40:V79)</f>
        <v>40582.110638368322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0.12605843822302534</v>
      </c>
      <c r="N91" s="557" t="s">
        <v>336</v>
      </c>
      <c r="O91" s="559">
        <f t="shared" ref="O91:P100" ca="1" si="35">(1-$N$84)*(1-G91)*G60</f>
        <v>0</v>
      </c>
      <c r="P91" s="559">
        <f t="shared" ca="1" si="35"/>
        <v>0.13761944898107947</v>
      </c>
      <c r="Q91" s="557" t="s">
        <v>336</v>
      </c>
      <c r="R91" s="558">
        <f t="shared" ref="R91:S100" ca="1" si="36">(1-$N$84)*(1-D91)*D40/$J91</f>
        <v>0</v>
      </c>
      <c r="S91" s="558">
        <f t="shared" ca="1" si="36"/>
        <v>1.8531094933757503E-5</v>
      </c>
      <c r="T91" s="557" t="s">
        <v>336</v>
      </c>
      <c r="U91" s="558">
        <f t="shared" ref="U91:V100" ca="1" si="37">(1-$N$84)*(1-G91)*G60/$J91</f>
        <v>0</v>
      </c>
      <c r="V91" s="558">
        <f t="shared" ca="1" si="37"/>
        <v>2.0230609785025596E-5</v>
      </c>
      <c r="W91" s="557" t="s">
        <v>336</v>
      </c>
      <c r="X91" s="559">
        <f t="shared" ref="X91:Y100" ca="1" si="38">(1-$N$84)*(1-D91)*K40</f>
        <v>0</v>
      </c>
      <c r="Y91" s="559">
        <f t="shared" ca="1" si="38"/>
        <v>1.7334465089242387E-3</v>
      </c>
      <c r="Z91" s="557" t="s">
        <v>336</v>
      </c>
      <c r="AA91" s="559">
        <f t="shared" ref="AA91:AB100" ca="1" si="39">(1-$N$84)*(1-G91)*N60</f>
        <v>0</v>
      </c>
      <c r="AB91" s="559">
        <f t="shared" ca="1" si="39"/>
        <v>1.1587550789299555E-3</v>
      </c>
      <c r="AC91" s="557" t="s">
        <v>336</v>
      </c>
      <c r="AD91" s="558">
        <f t="shared" ref="AD91:AE110" ca="1" si="40">(1-$N$84)*(1-D91)*K40/$K91</f>
        <v>0</v>
      </c>
      <c r="AE91" s="558">
        <f t="shared" ca="1" si="40"/>
        <v>1.395272892404093E-3</v>
      </c>
      <c r="AF91" s="557" t="s">
        <v>336</v>
      </c>
      <c r="AG91" s="558">
        <f t="shared" ref="AG91:AH100" ca="1" si="41">(1-$N$84)*(1-G91)*N60/$K91</f>
        <v>0</v>
      </c>
      <c r="AH91" s="558">
        <f t="shared" ca="1" si="41"/>
        <v>9.3269653389529213E-4</v>
      </c>
      <c r="AI91" s="557" t="s">
        <v>336</v>
      </c>
      <c r="AJ91" s="507">
        <f t="shared" ref="AJ91:AK110" ca="1" si="42">L91-R91</f>
        <v>0</v>
      </c>
      <c r="AK91" s="507">
        <f t="shared" ca="1" si="42"/>
        <v>0.12603990712809157</v>
      </c>
      <c r="AL91" s="507">
        <f t="shared" ref="AL91:AM110" ca="1" si="43">O91-U91</f>
        <v>0</v>
      </c>
      <c r="AM91" s="507">
        <f t="shared" ca="1" si="43"/>
        <v>0.13759921837129444</v>
      </c>
      <c r="AN91" s="507">
        <f t="shared" ref="AN91:AO110" ca="1" si="44">X91-AD91</f>
        <v>0</v>
      </c>
      <c r="AO91" s="507">
        <f t="shared" ca="1" si="44"/>
        <v>3.3817361652014569E-4</v>
      </c>
      <c r="AP91" s="507">
        <f t="shared" ref="AP91:AQ110" ca="1" si="45">AA91-AG91</f>
        <v>0</v>
      </c>
      <c r="AQ91" s="507">
        <f t="shared" ca="1" si="45"/>
        <v>2.2605854503466335E-4</v>
      </c>
      <c r="AR91" s="812" t="s">
        <v>137</v>
      </c>
      <c r="AS91" s="812">
        <v>2104008100</v>
      </c>
      <c r="AT91" s="507">
        <f t="shared" ref="AT91:AU100" ca="1" si="46">AJ91/$C40</f>
        <v>0</v>
      </c>
      <c r="AU91" s="507">
        <f t="shared" ca="1" si="46"/>
        <v>0.47992943807892913</v>
      </c>
      <c r="AV91" s="507">
        <f t="shared" ref="AV91:AW100" ca="1" si="47">AL91/$C60</f>
        <v>0</v>
      </c>
      <c r="AW91" s="507">
        <f t="shared" ca="1" si="47"/>
        <v>0.47992943807892907</v>
      </c>
      <c r="AX91" s="507">
        <f t="shared" ref="AX91:AY100" ca="1" si="48">AN91/$J40</f>
        <v>0</v>
      </c>
      <c r="AY91" s="507">
        <f t="shared" ca="1" si="48"/>
        <v>9.3641964199060471E-2</v>
      </c>
      <c r="AZ91" s="507">
        <f t="shared" ref="AZ91:BA100" ca="1" si="49">AP91/$J60</f>
        <v>0</v>
      </c>
      <c r="BA91" s="507">
        <f t="shared" ca="1" si="49"/>
        <v>9.3641964199060485E-2</v>
      </c>
      <c r="BB91" s="550">
        <f ca="1">1-((1-AT91))</f>
        <v>0</v>
      </c>
      <c r="BC91" s="550">
        <f ca="1">1-((1-AU91))</f>
        <v>0.47992943807892918</v>
      </c>
      <c r="BD91" s="550">
        <f ca="1">1-((1-AX91))</f>
        <v>0</v>
      </c>
      <c r="BE91" s="550">
        <f ca="1">1-((1-AY91))</f>
        <v>9.3641964199060457E-2</v>
      </c>
    </row>
    <row r="92" spans="1:57" x14ac:dyDescent="0.25">
      <c r="A92" s="60">
        <f t="shared" si="29"/>
        <v>0.4</v>
      </c>
      <c r="B92" s="812"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9.8381131043284841E-3</v>
      </c>
      <c r="M92" s="559">
        <f t="shared" ca="1" si="34"/>
        <v>9.8381131043284841E-3</v>
      </c>
      <c r="N92" s="557" t="s">
        <v>336</v>
      </c>
      <c r="O92" s="559">
        <f t="shared" ca="1" si="35"/>
        <v>1.0740381393872624E-2</v>
      </c>
      <c r="P92" s="559">
        <f t="shared" ca="1" si="35"/>
        <v>1.0740381393872624E-2</v>
      </c>
      <c r="Q92" s="557" t="s">
        <v>336</v>
      </c>
      <c r="R92" s="558">
        <f t="shared" ca="1" si="36"/>
        <v>9.3445328152145977E-6</v>
      </c>
      <c r="S92" s="558">
        <f t="shared" ca="1" si="36"/>
        <v>9.3445328152145977E-6</v>
      </c>
      <c r="T92" s="557" t="s">
        <v>336</v>
      </c>
      <c r="U92" s="558">
        <f t="shared" ca="1" si="37"/>
        <v>1.0201534107064277E-5</v>
      </c>
      <c r="V92" s="558">
        <f t="shared" ca="1" si="37"/>
        <v>1.0201534107064277E-5</v>
      </c>
      <c r="W92" s="557" t="s">
        <v>336</v>
      </c>
      <c r="X92" s="559">
        <f t="shared" ca="1" si="38"/>
        <v>1.5296955591096413E-4</v>
      </c>
      <c r="Y92" s="559">
        <f t="shared" ca="1" si="38"/>
        <v>1.5296955591096413E-4</v>
      </c>
      <c r="Z92" s="557" t="s">
        <v>336</v>
      </c>
      <c r="AA92" s="559">
        <f t="shared" ca="1" si="39"/>
        <v>1.0225539058802098E-4</v>
      </c>
      <c r="AB92" s="559">
        <f t="shared" ca="1" si="39"/>
        <v>1.0225539058802098E-4</v>
      </c>
      <c r="AC92" s="557" t="s">
        <v>336</v>
      </c>
      <c r="AD92" s="558">
        <f t="shared" ca="1" si="40"/>
        <v>7.0358353760835836E-4</v>
      </c>
      <c r="AE92" s="558">
        <f t="shared" ca="1" si="40"/>
        <v>7.0358353760835836E-4</v>
      </c>
      <c r="AF92" s="557" t="s">
        <v>336</v>
      </c>
      <c r="AG92" s="558">
        <f t="shared" ca="1" si="41"/>
        <v>4.7032371259101986E-4</v>
      </c>
      <c r="AH92" s="558">
        <f t="shared" ca="1" si="41"/>
        <v>4.7032371259101986E-4</v>
      </c>
      <c r="AI92" s="557" t="s">
        <v>336</v>
      </c>
      <c r="AJ92" s="507">
        <f t="shared" ca="1" si="42"/>
        <v>9.8287685715132689E-3</v>
      </c>
      <c r="AK92" s="507">
        <f t="shared" ca="1" si="42"/>
        <v>9.8287685715132689E-3</v>
      </c>
      <c r="AL92" s="507">
        <f t="shared" ca="1" si="43"/>
        <v>1.073017985976556E-2</v>
      </c>
      <c r="AM92" s="507">
        <f t="shared" ca="1" si="43"/>
        <v>1.073017985976556E-2</v>
      </c>
      <c r="AN92" s="507">
        <f t="shared" ca="1" si="44"/>
        <v>-5.506139816973942E-4</v>
      </c>
      <c r="AO92" s="507">
        <f t="shared" ca="1" si="44"/>
        <v>-5.506139816973942E-4</v>
      </c>
      <c r="AP92" s="507">
        <f t="shared" ca="1" si="45"/>
        <v>-3.6806832200299885E-4</v>
      </c>
      <c r="AQ92" s="507">
        <f t="shared" ca="1" si="45"/>
        <v>-3.6806832200299885E-4</v>
      </c>
      <c r="AR92" s="812" t="s">
        <v>138</v>
      </c>
      <c r="AS92" s="812">
        <v>2104008210</v>
      </c>
      <c r="AT92" s="507">
        <f t="shared" ca="1" si="46"/>
        <v>0.47954408170512597</v>
      </c>
      <c r="AU92" s="507">
        <f t="shared" ca="1" si="46"/>
        <v>0.47954408170512597</v>
      </c>
      <c r="AV92" s="507">
        <f t="shared" ca="1" si="47"/>
        <v>0.47954408170512597</v>
      </c>
      <c r="AW92" s="507">
        <f t="shared" ca="1" si="47"/>
        <v>0.47954408170512597</v>
      </c>
      <c r="AX92" s="507">
        <f t="shared" ca="1" si="48"/>
        <v>-1.7277602045767975</v>
      </c>
      <c r="AY92" s="507">
        <f t="shared" ca="1" si="48"/>
        <v>-1.7277602045767975</v>
      </c>
      <c r="AZ92" s="507">
        <f t="shared" ca="1" si="49"/>
        <v>-1.7277602045767972</v>
      </c>
      <c r="BA92" s="507">
        <f t="shared" ca="1" si="49"/>
        <v>-1.7277602045767972</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2"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4.9986905007326126E-3</v>
      </c>
      <c r="M93" s="559">
        <f t="shared" ca="1" si="34"/>
        <v>8.1228720636904953E-3</v>
      </c>
      <c r="N93" s="557" t="s">
        <v>336</v>
      </c>
      <c r="O93" s="559">
        <f t="shared" ca="1" si="35"/>
        <v>5.4571279958323818E-3</v>
      </c>
      <c r="P93" s="559">
        <f t="shared" ca="1" si="35"/>
        <v>8.867832993227619E-3</v>
      </c>
      <c r="Q93" s="557" t="s">
        <v>336</v>
      </c>
      <c r="R93" s="558">
        <f t="shared" ca="1" si="36"/>
        <v>1.9976810723124206E-5</v>
      </c>
      <c r="S93" s="558">
        <f t="shared" ca="1" si="36"/>
        <v>3.2462317425076839E-5</v>
      </c>
      <c r="T93" s="557" t="s">
        <v>336</v>
      </c>
      <c r="U93" s="558">
        <f t="shared" ca="1" si="37"/>
        <v>2.1808914364397666E-5</v>
      </c>
      <c r="V93" s="558">
        <f t="shared" ca="1" si="37"/>
        <v>3.5439485842146201E-5</v>
      </c>
      <c r="W93" s="557" t="s">
        <v>336</v>
      </c>
      <c r="X93" s="559">
        <f t="shared" ca="1" si="38"/>
        <v>1.9819359847848795E-4</v>
      </c>
      <c r="Y93" s="559">
        <f t="shared" ca="1" si="38"/>
        <v>3.2206459752754285E-4</v>
      </c>
      <c r="Z93" s="557" t="s">
        <v>336</v>
      </c>
      <c r="AA93" s="559">
        <f t="shared" ca="1" si="39"/>
        <v>1.3248625652191354E-4</v>
      </c>
      <c r="AB93" s="559">
        <f t="shared" ca="1" si="39"/>
        <v>2.1529016684810945E-4</v>
      </c>
      <c r="AC93" s="557" t="s">
        <v>336</v>
      </c>
      <c r="AD93" s="558">
        <f t="shared" ca="1" si="40"/>
        <v>1.5041260421092063E-3</v>
      </c>
      <c r="AE93" s="558">
        <f t="shared" ca="1" si="40"/>
        <v>2.4442048184274597E-3</v>
      </c>
      <c r="AF93" s="557" t="s">
        <v>336</v>
      </c>
      <c r="AG93" s="558">
        <f t="shared" ca="1" si="41"/>
        <v>1.0054614790083664E-3</v>
      </c>
      <c r="AH93" s="558">
        <f t="shared" ca="1" si="41"/>
        <v>1.6338749033885951E-3</v>
      </c>
      <c r="AI93" s="557" t="s">
        <v>336</v>
      </c>
      <c r="AJ93" s="507">
        <f t="shared" ca="1" si="42"/>
        <v>4.978713690009488E-3</v>
      </c>
      <c r="AK93" s="507">
        <f t="shared" ca="1" si="42"/>
        <v>8.090409746265419E-3</v>
      </c>
      <c r="AL93" s="507">
        <f t="shared" ca="1" si="43"/>
        <v>5.4353190814679844E-3</v>
      </c>
      <c r="AM93" s="507">
        <f t="shared" ca="1" si="43"/>
        <v>8.8323935073854731E-3</v>
      </c>
      <c r="AN93" s="507">
        <f t="shared" ca="1" si="44"/>
        <v>-1.3059324436307182E-3</v>
      </c>
      <c r="AO93" s="507">
        <f t="shared" ca="1" si="44"/>
        <v>-2.1221402208999166E-3</v>
      </c>
      <c r="AP93" s="507">
        <f t="shared" ca="1" si="45"/>
        <v>-8.7297522248645288E-4</v>
      </c>
      <c r="AQ93" s="507">
        <f t="shared" ca="1" si="45"/>
        <v>-1.4185847365404856E-3</v>
      </c>
      <c r="AR93" s="812" t="s">
        <v>139</v>
      </c>
      <c r="AS93" s="812">
        <v>2104008220</v>
      </c>
      <c r="AT93" s="507">
        <f t="shared" ca="1" si="46"/>
        <v>0.29420413770727238</v>
      </c>
      <c r="AU93" s="507">
        <f t="shared" ca="1" si="46"/>
        <v>0.47808172377431768</v>
      </c>
      <c r="AV93" s="507">
        <f t="shared" ca="1" si="47"/>
        <v>0.29420413770727244</v>
      </c>
      <c r="AW93" s="507">
        <f t="shared" ca="1" si="47"/>
        <v>0.47808172377431762</v>
      </c>
      <c r="AX93" s="507">
        <f t="shared" ca="1" si="48"/>
        <v>-1.9463411308010559</v>
      </c>
      <c r="AY93" s="507">
        <f t="shared" ca="1" si="48"/>
        <v>-3.162804337551715</v>
      </c>
      <c r="AZ93" s="507">
        <f t="shared" ca="1" si="49"/>
        <v>-1.9463411308010559</v>
      </c>
      <c r="BA93" s="507">
        <f t="shared" ca="1" si="49"/>
        <v>-3.162804337551715</v>
      </c>
      <c r="BB93" s="550">
        <f t="shared" ca="1" si="50"/>
        <v>0.29420413770727238</v>
      </c>
      <c r="BC93" s="550">
        <f t="shared" ca="1" si="50"/>
        <v>0.47808172377431768</v>
      </c>
      <c r="BD93" s="550">
        <f t="shared" ca="1" si="51"/>
        <v>-1.9463411308010556</v>
      </c>
      <c r="BE93" s="550">
        <f t="shared" ca="1" si="51"/>
        <v>-3.162804337551715</v>
      </c>
    </row>
    <row r="94" spans="1:57" x14ac:dyDescent="0.25">
      <c r="A94" s="60">
        <f t="shared" si="29"/>
        <v>0.7</v>
      </c>
      <c r="B94" s="812"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3.2603758152253831E-3</v>
      </c>
      <c r="M94" s="559">
        <f t="shared" ca="1" si="34"/>
        <v>5.2981106997412467E-3</v>
      </c>
      <c r="N94" s="557" t="s">
        <v>336</v>
      </c>
      <c r="O94" s="559">
        <f t="shared" ca="1" si="35"/>
        <v>3.5593898313155434E-3</v>
      </c>
      <c r="P94" s="559">
        <f t="shared" ca="1" si="35"/>
        <v>5.7840084758877574E-3</v>
      </c>
      <c r="Q94" s="557" t="s">
        <v>336</v>
      </c>
      <c r="R94" s="558">
        <f t="shared" ca="1" si="36"/>
        <v>1.2756442276211E-5</v>
      </c>
      <c r="S94" s="558">
        <f t="shared" ca="1" si="36"/>
        <v>2.072921869884287E-5</v>
      </c>
      <c r="T94" s="557" t="s">
        <v>336</v>
      </c>
      <c r="U94" s="558">
        <f t="shared" ca="1" si="37"/>
        <v>1.3926354964870934E-5</v>
      </c>
      <c r="V94" s="558">
        <f t="shared" ca="1" si="37"/>
        <v>2.2630326817915265E-5</v>
      </c>
      <c r="W94" s="557" t="s">
        <v>336</v>
      </c>
      <c r="X94" s="559">
        <f t="shared" ca="1" si="38"/>
        <v>1.1932705762415426E-4</v>
      </c>
      <c r="Y94" s="559">
        <f t="shared" ca="1" si="38"/>
        <v>1.9390646863925063E-4</v>
      </c>
      <c r="Z94" s="557" t="s">
        <v>336</v>
      </c>
      <c r="AA94" s="559">
        <f t="shared" ca="1" si="39"/>
        <v>7.9766426805731553E-5</v>
      </c>
      <c r="AB94" s="559">
        <f t="shared" ca="1" si="39"/>
        <v>1.2962044355931376E-4</v>
      </c>
      <c r="AC94" s="557" t="s">
        <v>336</v>
      </c>
      <c r="AD94" s="558">
        <f t="shared" ca="1" si="40"/>
        <v>9.6047849169945325E-4</v>
      </c>
      <c r="AE94" s="558">
        <f t="shared" ca="1" si="40"/>
        <v>1.5607775490116113E-3</v>
      </c>
      <c r="AF94" s="557" t="s">
        <v>336</v>
      </c>
      <c r="AG94" s="558">
        <f t="shared" ca="1" si="41"/>
        <v>6.4204999965670518E-4</v>
      </c>
      <c r="AH94" s="558">
        <f t="shared" ca="1" si="41"/>
        <v>1.0433312494421457E-3</v>
      </c>
      <c r="AI94" s="557" t="s">
        <v>336</v>
      </c>
      <c r="AJ94" s="507">
        <f t="shared" ca="1" si="42"/>
        <v>3.2476193729491722E-3</v>
      </c>
      <c r="AK94" s="507">
        <f t="shared" ca="1" si="42"/>
        <v>5.2773814810424041E-3</v>
      </c>
      <c r="AL94" s="507">
        <f t="shared" ca="1" si="43"/>
        <v>3.5454634763506724E-3</v>
      </c>
      <c r="AM94" s="507">
        <f t="shared" ca="1" si="43"/>
        <v>5.7613781490698417E-3</v>
      </c>
      <c r="AN94" s="507">
        <f t="shared" ca="1" si="44"/>
        <v>-8.4115143407529898E-4</v>
      </c>
      <c r="AO94" s="507">
        <f t="shared" ca="1" si="44"/>
        <v>-1.3668710803723606E-3</v>
      </c>
      <c r="AP94" s="507">
        <f t="shared" ca="1" si="45"/>
        <v>-5.6228357285097359E-4</v>
      </c>
      <c r="AQ94" s="507">
        <f t="shared" ca="1" si="45"/>
        <v>-9.1371080588283202E-4</v>
      </c>
      <c r="AR94" s="812" t="s">
        <v>140</v>
      </c>
      <c r="AS94" s="812">
        <v>2104008230</v>
      </c>
      <c r="AT94" s="507">
        <f t="shared" ca="1" si="46"/>
        <v>0.29422890297323068</v>
      </c>
      <c r="AU94" s="507">
        <f t="shared" ca="1" si="46"/>
        <v>0.47812196733149975</v>
      </c>
      <c r="AV94" s="507">
        <f t="shared" ca="1" si="47"/>
        <v>0.29422890297323068</v>
      </c>
      <c r="AW94" s="507">
        <f t="shared" ca="1" si="47"/>
        <v>0.47812196733149975</v>
      </c>
      <c r="AX94" s="507">
        <f t="shared" ca="1" si="48"/>
        <v>-2.0822032972365507</v>
      </c>
      <c r="AY94" s="507">
        <f t="shared" ca="1" si="48"/>
        <v>-3.3835803580093944</v>
      </c>
      <c r="AZ94" s="507">
        <f t="shared" ca="1" si="49"/>
        <v>-2.0822032972365503</v>
      </c>
      <c r="BA94" s="507">
        <f t="shared" ca="1" si="49"/>
        <v>-3.3835803580093944</v>
      </c>
      <c r="BB94" s="550">
        <f t="shared" ca="1" si="50"/>
        <v>0.29422890297323068</v>
      </c>
      <c r="BC94" s="550">
        <f t="shared" ca="1" si="50"/>
        <v>0.47812196733149981</v>
      </c>
      <c r="BD94" s="550">
        <f t="shared" ca="1" si="51"/>
        <v>-2.0822032972365507</v>
      </c>
      <c r="BE94" s="550">
        <f t="shared" ca="1" si="51"/>
        <v>-3.3835803580093948</v>
      </c>
    </row>
    <row r="95" spans="1:57" x14ac:dyDescent="0.25">
      <c r="A95" s="60">
        <f t="shared" si="29"/>
        <v>0.54</v>
      </c>
      <c r="B95" s="812"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7.9223503210361437E-2</v>
      </c>
      <c r="M95" s="559">
        <f t="shared" ca="1" si="34"/>
        <v>7.9223503210361437E-2</v>
      </c>
      <c r="N95" s="557" t="s">
        <v>336</v>
      </c>
      <c r="O95" s="559">
        <f t="shared" ca="1" si="35"/>
        <v>8.6489210971116726E-2</v>
      </c>
      <c r="P95" s="559">
        <f t="shared" ca="1" si="35"/>
        <v>8.6489210971116726E-2</v>
      </c>
      <c r="Q95" s="557" t="s">
        <v>336</v>
      </c>
      <c r="R95" s="558">
        <f t="shared" ca="1" si="36"/>
        <v>2.5601401490763491E-4</v>
      </c>
      <c r="S95" s="558">
        <f t="shared" ca="1" si="36"/>
        <v>2.5601401490763491E-4</v>
      </c>
      <c r="T95" s="557" t="s">
        <v>336</v>
      </c>
      <c r="U95" s="558">
        <f t="shared" ca="1" si="37"/>
        <v>2.7949344890889781E-4</v>
      </c>
      <c r="V95" s="558">
        <f t="shared" ca="1" si="37"/>
        <v>2.7949344890889781E-4</v>
      </c>
      <c r="W95" s="557" t="s">
        <v>336</v>
      </c>
      <c r="X95" s="559">
        <f t="shared" ca="1" si="38"/>
        <v>3.1043979239838348E-3</v>
      </c>
      <c r="Y95" s="559">
        <f t="shared" ca="1" si="38"/>
        <v>3.1043979239838348E-3</v>
      </c>
      <c r="Z95" s="557" t="s">
        <v>336</v>
      </c>
      <c r="AA95" s="559">
        <f t="shared" ca="1" si="39"/>
        <v>2.0751934616478531E-3</v>
      </c>
      <c r="AB95" s="559">
        <f t="shared" ca="1" si="39"/>
        <v>2.0751934616478531E-3</v>
      </c>
      <c r="AC95" s="557" t="s">
        <v>336</v>
      </c>
      <c r="AD95" s="558">
        <f t="shared" ca="1" si="40"/>
        <v>1.9276217425525322E-2</v>
      </c>
      <c r="AE95" s="558">
        <f t="shared" ca="1" si="40"/>
        <v>1.9276217425525322E-2</v>
      </c>
      <c r="AF95" s="557" t="s">
        <v>336</v>
      </c>
      <c r="AG95" s="558">
        <f t="shared" ca="1" si="41"/>
        <v>1.2885551835255271E-2</v>
      </c>
      <c r="AH95" s="558">
        <f t="shared" ca="1" si="41"/>
        <v>1.2885551835255271E-2</v>
      </c>
      <c r="AI95" s="557" t="s">
        <v>336</v>
      </c>
      <c r="AJ95" s="507">
        <f t="shared" ca="1" si="42"/>
        <v>7.8967489195453808E-2</v>
      </c>
      <c r="AK95" s="507">
        <f t="shared" ca="1" si="42"/>
        <v>7.8967489195453808E-2</v>
      </c>
      <c r="AL95" s="507">
        <f t="shared" ca="1" si="43"/>
        <v>8.6209717522207824E-2</v>
      </c>
      <c r="AM95" s="507">
        <f t="shared" ca="1" si="43"/>
        <v>8.6209717522207824E-2</v>
      </c>
      <c r="AN95" s="507">
        <f t="shared" ca="1" si="44"/>
        <v>-1.6171819501541486E-2</v>
      </c>
      <c r="AO95" s="507">
        <f t="shared" ca="1" si="44"/>
        <v>-1.6171819501541486E-2</v>
      </c>
      <c r="AP95" s="507">
        <f t="shared" ca="1" si="45"/>
        <v>-1.0810358373607418E-2</v>
      </c>
      <c r="AQ95" s="507">
        <f t="shared" ca="1" si="45"/>
        <v>-1.0810358373607418E-2</v>
      </c>
      <c r="AR95" s="812" t="s">
        <v>141</v>
      </c>
      <c r="AS95" s="812">
        <v>2104008310</v>
      </c>
      <c r="AT95" s="507">
        <f t="shared" ca="1" si="46"/>
        <v>0.47844886022233374</v>
      </c>
      <c r="AU95" s="507">
        <f t="shared" ca="1" si="46"/>
        <v>0.47844886022233374</v>
      </c>
      <c r="AV95" s="507">
        <f t="shared" ca="1" si="47"/>
        <v>0.47844886022233368</v>
      </c>
      <c r="AW95" s="507">
        <f t="shared" ca="1" si="47"/>
        <v>0.47844886022233368</v>
      </c>
      <c r="AX95" s="507">
        <f t="shared" ca="1" si="48"/>
        <v>-2.5004762761786763</v>
      </c>
      <c r="AY95" s="507">
        <f t="shared" ca="1" si="48"/>
        <v>-2.5004762761786763</v>
      </c>
      <c r="AZ95" s="507">
        <f t="shared" ca="1" si="49"/>
        <v>-2.5004762761786763</v>
      </c>
      <c r="BA95" s="507">
        <f t="shared" ca="1" si="49"/>
        <v>-2.5004762761786763</v>
      </c>
      <c r="BB95" s="550">
        <f t="shared" ca="1" si="50"/>
        <v>0.47844886022233379</v>
      </c>
      <c r="BC95" s="550">
        <f t="shared" ca="1" si="50"/>
        <v>0.47844886022233379</v>
      </c>
      <c r="BD95" s="550">
        <f t="shared" ca="1" si="51"/>
        <v>-2.5004762761786763</v>
      </c>
      <c r="BE95" s="550">
        <f t="shared" ca="1" si="51"/>
        <v>-2.5004762761786763</v>
      </c>
    </row>
    <row r="96" spans="1:57" x14ac:dyDescent="0.25">
      <c r="A96" s="60">
        <f t="shared" si="29"/>
        <v>0.68</v>
      </c>
      <c r="B96" s="812"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6.6996716018723687E-2</v>
      </c>
      <c r="M96" s="559">
        <f t="shared" ca="1" si="34"/>
        <v>0.10886966353042599</v>
      </c>
      <c r="N96" s="557" t="s">
        <v>336</v>
      </c>
      <c r="O96" s="559">
        <f t="shared" ca="1" si="35"/>
        <v>7.3141086562775751E-2</v>
      </c>
      <c r="P96" s="559">
        <f t="shared" ca="1" si="35"/>
        <v>0.11885426566451057</v>
      </c>
      <c r="Q96" s="557" t="s">
        <v>336</v>
      </c>
      <c r="R96" s="558">
        <f t="shared" ca="1" si="36"/>
        <v>4.1769907199101477E-4</v>
      </c>
      <c r="S96" s="558">
        <f t="shared" ca="1" si="36"/>
        <v>6.7876099198539892E-4</v>
      </c>
      <c r="T96" s="557" t="s">
        <v>336</v>
      </c>
      <c r="U96" s="558">
        <f t="shared" ca="1" si="37"/>
        <v>4.5600688805624119E-4</v>
      </c>
      <c r="V96" s="558">
        <f t="shared" ca="1" si="37"/>
        <v>7.410111930913917E-4</v>
      </c>
      <c r="W96" s="557" t="s">
        <v>336</v>
      </c>
      <c r="X96" s="559">
        <f t="shared" ca="1" si="38"/>
        <v>4.0221846235967505E-3</v>
      </c>
      <c r="Y96" s="559">
        <f t="shared" ca="1" si="38"/>
        <v>6.5360500133447184E-3</v>
      </c>
      <c r="Z96" s="557" t="s">
        <v>336</v>
      </c>
      <c r="AA96" s="559">
        <f t="shared" ca="1" si="39"/>
        <v>2.6887053260611486E-3</v>
      </c>
      <c r="AB96" s="559">
        <f t="shared" ca="1" si="39"/>
        <v>4.3691461548493659E-3</v>
      </c>
      <c r="AC96" s="557" t="s">
        <v>336</v>
      </c>
      <c r="AD96" s="558">
        <f t="shared" ca="1" si="40"/>
        <v>3.1450067813841541E-2</v>
      </c>
      <c r="AE96" s="558">
        <f t="shared" ca="1" si="40"/>
        <v>5.1106360197492491E-2</v>
      </c>
      <c r="AF96" s="557" t="s">
        <v>336</v>
      </c>
      <c r="AG96" s="558">
        <f t="shared" ca="1" si="41"/>
        <v>2.1023392198353179E-2</v>
      </c>
      <c r="AH96" s="558">
        <f t="shared" ca="1" si="41"/>
        <v>3.4163012322323917E-2</v>
      </c>
      <c r="AI96" s="557" t="s">
        <v>336</v>
      </c>
      <c r="AJ96" s="507">
        <f t="shared" ca="1" si="42"/>
        <v>6.6579016946732669E-2</v>
      </c>
      <c r="AK96" s="507">
        <f t="shared" ca="1" si="42"/>
        <v>0.10819090253844059</v>
      </c>
      <c r="AL96" s="507">
        <f t="shared" ca="1" si="43"/>
        <v>7.2685079674719516E-2</v>
      </c>
      <c r="AM96" s="507">
        <f t="shared" ca="1" si="43"/>
        <v>0.11811325447141918</v>
      </c>
      <c r="AN96" s="507">
        <f t="shared" ca="1" si="44"/>
        <v>-2.7427883190244792E-2</v>
      </c>
      <c r="AO96" s="507">
        <f t="shared" ca="1" si="44"/>
        <v>-4.4570310184147775E-2</v>
      </c>
      <c r="AP96" s="507">
        <f t="shared" ca="1" si="45"/>
        <v>-1.833468687229203E-2</v>
      </c>
      <c r="AQ96" s="507">
        <f t="shared" ca="1" si="45"/>
        <v>-2.979386616747455E-2</v>
      </c>
      <c r="AR96" s="812" t="s">
        <v>142</v>
      </c>
      <c r="AS96" s="812">
        <v>2104008320</v>
      </c>
      <c r="AT96" s="507">
        <f t="shared" ca="1" si="46"/>
        <v>0.29354300452577725</v>
      </c>
      <c r="AU96" s="507">
        <f t="shared" ca="1" si="46"/>
        <v>0.47700738235438805</v>
      </c>
      <c r="AV96" s="507">
        <f t="shared" ca="1" si="47"/>
        <v>0.29354300452577731</v>
      </c>
      <c r="AW96" s="507">
        <f t="shared" ca="1" si="47"/>
        <v>0.477007382354388</v>
      </c>
      <c r="AX96" s="507">
        <f t="shared" ca="1" si="48"/>
        <v>-2.0142722140188041</v>
      </c>
      <c r="AY96" s="507">
        <f t="shared" ca="1" si="48"/>
        <v>-3.2731923477805558</v>
      </c>
      <c r="AZ96" s="507">
        <f t="shared" ca="1" si="49"/>
        <v>-2.0142722140188036</v>
      </c>
      <c r="BA96" s="507">
        <f t="shared" ca="1" si="49"/>
        <v>-3.2731923477805562</v>
      </c>
      <c r="BB96" s="550">
        <f t="shared" ca="1" si="50"/>
        <v>0.2935430045257772</v>
      </c>
      <c r="BC96" s="550">
        <f t="shared" ca="1" si="50"/>
        <v>0.47700738235438811</v>
      </c>
      <c r="BD96" s="550">
        <f t="shared" ca="1" si="51"/>
        <v>-2.0142722140188041</v>
      </c>
      <c r="BE96" s="550">
        <f t="shared" ca="1" si="51"/>
        <v>-3.2731923477805562</v>
      </c>
    </row>
    <row r="97" spans="1:57" x14ac:dyDescent="0.25">
      <c r="A97" s="60">
        <f t="shared" si="29"/>
        <v>0.72</v>
      </c>
      <c r="B97" s="812"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4.4757413714356119E-2</v>
      </c>
      <c r="M97" s="559">
        <f t="shared" ca="1" si="34"/>
        <v>7.273079728582868E-2</v>
      </c>
      <c r="N97" s="557" t="s">
        <v>336</v>
      </c>
      <c r="O97" s="559">
        <f t="shared" ca="1" si="35"/>
        <v>4.8862184079183926E-2</v>
      </c>
      <c r="P97" s="559">
        <f t="shared" ca="1" si="35"/>
        <v>7.9401049128673878E-2</v>
      </c>
      <c r="Q97" s="557" t="s">
        <v>336</v>
      </c>
      <c r="R97" s="558">
        <f t="shared" ca="1" si="36"/>
        <v>2.6627868469249021E-4</v>
      </c>
      <c r="S97" s="558">
        <f t="shared" ca="1" si="36"/>
        <v>4.3270286262529653E-4</v>
      </c>
      <c r="T97" s="557" t="s">
        <v>336</v>
      </c>
      <c r="U97" s="558">
        <f t="shared" ca="1" si="37"/>
        <v>2.9069950714408942E-4</v>
      </c>
      <c r="V97" s="558">
        <f t="shared" ca="1" si="37"/>
        <v>4.7238669910914529E-4</v>
      </c>
      <c r="W97" s="557" t="s">
        <v>336</v>
      </c>
      <c r="X97" s="559">
        <f t="shared" ca="1" si="38"/>
        <v>2.4216496397435941E-3</v>
      </c>
      <c r="Y97" s="559">
        <f t="shared" ca="1" si="38"/>
        <v>3.9351806645833397E-3</v>
      </c>
      <c r="Z97" s="557" t="s">
        <v>336</v>
      </c>
      <c r="AA97" s="559">
        <f t="shared" ca="1" si="39"/>
        <v>1.6187974679318054E-3</v>
      </c>
      <c r="AB97" s="559">
        <f t="shared" ca="1" si="39"/>
        <v>2.6305458853891836E-3</v>
      </c>
      <c r="AC97" s="557" t="s">
        <v>336</v>
      </c>
      <c r="AD97" s="558">
        <f t="shared" ca="1" si="40"/>
        <v>2.0049081390201166E-2</v>
      </c>
      <c r="AE97" s="558">
        <f t="shared" ca="1" si="40"/>
        <v>3.2579757259076893E-2</v>
      </c>
      <c r="AF97" s="557" t="s">
        <v>336</v>
      </c>
      <c r="AG97" s="558">
        <f t="shared" ca="1" si="41"/>
        <v>1.3402187358635714E-2</v>
      </c>
      <c r="AH97" s="558">
        <f t="shared" ca="1" si="41"/>
        <v>2.1778554457783036E-2</v>
      </c>
      <c r="AI97" s="557" t="s">
        <v>336</v>
      </c>
      <c r="AJ97" s="507">
        <f t="shared" ca="1" si="42"/>
        <v>4.4491135029663627E-2</v>
      </c>
      <c r="AK97" s="507">
        <f t="shared" ca="1" si="42"/>
        <v>7.2298094423203382E-2</v>
      </c>
      <c r="AL97" s="507">
        <f t="shared" ca="1" si="43"/>
        <v>4.8571484572039837E-2</v>
      </c>
      <c r="AM97" s="507">
        <f t="shared" ca="1" si="43"/>
        <v>7.8928662429564728E-2</v>
      </c>
      <c r="AN97" s="507">
        <f t="shared" ca="1" si="44"/>
        <v>-1.7627431750457574E-2</v>
      </c>
      <c r="AO97" s="507">
        <f t="shared" ca="1" si="44"/>
        <v>-2.8644576594493553E-2</v>
      </c>
      <c r="AP97" s="507">
        <f t="shared" ca="1" si="45"/>
        <v>-1.1783389890703908E-2</v>
      </c>
      <c r="AQ97" s="507">
        <f t="shared" ca="1" si="45"/>
        <v>-1.9148008572393852E-2</v>
      </c>
      <c r="AR97" s="812" t="s">
        <v>143</v>
      </c>
      <c r="AS97" s="812">
        <v>2104008330</v>
      </c>
      <c r="AT97" s="507">
        <f t="shared" ca="1" si="46"/>
        <v>0.29362726123173716</v>
      </c>
      <c r="AU97" s="507">
        <f t="shared" ca="1" si="46"/>
        <v>0.47714429950157283</v>
      </c>
      <c r="AV97" s="507">
        <f t="shared" ca="1" si="47"/>
        <v>0.29362726123173716</v>
      </c>
      <c r="AW97" s="507">
        <f t="shared" ca="1" si="47"/>
        <v>0.47714429950157283</v>
      </c>
      <c r="AX97" s="507">
        <f t="shared" ca="1" si="48"/>
        <v>-2.1501343804542987</v>
      </c>
      <c r="AY97" s="507">
        <f t="shared" ca="1" si="48"/>
        <v>-3.4939683682382352</v>
      </c>
      <c r="AZ97" s="507">
        <f t="shared" ca="1" si="49"/>
        <v>-2.1501343804542983</v>
      </c>
      <c r="BA97" s="507">
        <f t="shared" ca="1" si="49"/>
        <v>-3.4939683682382348</v>
      </c>
      <c r="BB97" s="550">
        <f t="shared" ca="1" si="50"/>
        <v>0.29362726123173721</v>
      </c>
      <c r="BC97" s="550">
        <f t="shared" ca="1" si="50"/>
        <v>0.47714429950157289</v>
      </c>
      <c r="BD97" s="550">
        <f t="shared" ca="1" si="51"/>
        <v>-2.1501343804542987</v>
      </c>
      <c r="BE97" s="550">
        <f t="shared" ca="1" si="51"/>
        <v>-3.4939683682382352</v>
      </c>
    </row>
    <row r="98" spans="1:57" x14ac:dyDescent="0.25">
      <c r="A98" s="60">
        <f t="shared" si="29"/>
        <v>0.56000000000000005</v>
      </c>
      <c r="B98" s="812"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2.6836714093408411E-3</v>
      </c>
      <c r="M98" s="559">
        <f t="shared" ca="1" si="34"/>
        <v>2.6836714093408411E-3</v>
      </c>
      <c r="N98" s="557" t="s">
        <v>336</v>
      </c>
      <c r="O98" s="559">
        <f t="shared" ca="1" si="35"/>
        <v>2.9297949887840511E-3</v>
      </c>
      <c r="P98" s="559">
        <f t="shared" ca="1" si="35"/>
        <v>2.9297949887840511E-3</v>
      </c>
      <c r="Q98" s="557" t="s">
        <v>336</v>
      </c>
      <c r="R98" s="558">
        <f t="shared" ca="1" si="36"/>
        <v>3.5244713381506377E-5</v>
      </c>
      <c r="S98" s="558">
        <f t="shared" ca="1" si="36"/>
        <v>3.5244713381506377E-5</v>
      </c>
      <c r="T98" s="557" t="s">
        <v>336</v>
      </c>
      <c r="U98" s="558">
        <f t="shared" ca="1" si="37"/>
        <v>3.8477059556121317E-5</v>
      </c>
      <c r="V98" s="558">
        <f t="shared" ca="1" si="37"/>
        <v>3.8477059556121317E-5</v>
      </c>
      <c r="W98" s="557" t="s">
        <v>336</v>
      </c>
      <c r="X98" s="559">
        <f t="shared" ca="1" si="38"/>
        <v>3.4509783647892583E-4</v>
      </c>
      <c r="Y98" s="559">
        <f t="shared" ca="1" si="38"/>
        <v>3.4509783647892583E-4</v>
      </c>
      <c r="Z98" s="557" t="s">
        <v>336</v>
      </c>
      <c r="AA98" s="559">
        <f t="shared" ca="1" si="39"/>
        <v>2.3068717072548077E-4</v>
      </c>
      <c r="AB98" s="559">
        <f t="shared" ca="1" si="39"/>
        <v>2.3068717072548077E-4</v>
      </c>
      <c r="AC98" s="557" t="s">
        <v>336</v>
      </c>
      <c r="AD98" s="558">
        <f t="shared" ca="1" si="40"/>
        <v>2.6537014330537661E-3</v>
      </c>
      <c r="AE98" s="558">
        <f t="shared" ca="1" si="40"/>
        <v>2.6537014330537661E-3</v>
      </c>
      <c r="AF98" s="557" t="s">
        <v>336</v>
      </c>
      <c r="AG98" s="558">
        <f t="shared" ca="1" si="41"/>
        <v>1.7739168746678333E-3</v>
      </c>
      <c r="AH98" s="558">
        <f t="shared" ca="1" si="41"/>
        <v>1.7739168746678333E-3</v>
      </c>
      <c r="AI98" s="557" t="s">
        <v>336</v>
      </c>
      <c r="AJ98" s="507">
        <f t="shared" ca="1" si="42"/>
        <v>2.6484266959593346E-3</v>
      </c>
      <c r="AK98" s="507">
        <f t="shared" ca="1" si="42"/>
        <v>2.6484266959593346E-3</v>
      </c>
      <c r="AL98" s="507">
        <f t="shared" ca="1" si="43"/>
        <v>2.8913179292279299E-3</v>
      </c>
      <c r="AM98" s="507">
        <f t="shared" ca="1" si="43"/>
        <v>2.8913179292279299E-3</v>
      </c>
      <c r="AN98" s="507">
        <f t="shared" ca="1" si="44"/>
        <v>-2.3086035965748401E-3</v>
      </c>
      <c r="AO98" s="507">
        <f t="shared" ca="1" si="44"/>
        <v>-2.3086035965748401E-3</v>
      </c>
      <c r="AP98" s="507">
        <f t="shared" ca="1" si="45"/>
        <v>-1.5432297039423525E-3</v>
      </c>
      <c r="AQ98" s="507">
        <f t="shared" ca="1" si="45"/>
        <v>-1.5432297039423525E-3</v>
      </c>
      <c r="AR98" s="812" t="s">
        <v>144</v>
      </c>
      <c r="AS98" s="812">
        <v>2104008410</v>
      </c>
      <c r="AT98" s="507">
        <f t="shared" ca="1" si="46"/>
        <v>0.47369614984746644</v>
      </c>
      <c r="AU98" s="507">
        <f t="shared" ca="1" si="46"/>
        <v>0.47369614984746644</v>
      </c>
      <c r="AV98" s="507">
        <f t="shared" ca="1" si="47"/>
        <v>0.4736961498474665</v>
      </c>
      <c r="AW98" s="507">
        <f t="shared" ca="1" si="47"/>
        <v>0.4736961498474665</v>
      </c>
      <c r="AX98" s="507">
        <f t="shared" ca="1" si="48"/>
        <v>-3.2110596162013132</v>
      </c>
      <c r="AY98" s="507">
        <f t="shared" ca="1" si="48"/>
        <v>-3.2110596162013132</v>
      </c>
      <c r="AZ98" s="507">
        <f t="shared" ca="1" si="49"/>
        <v>-3.2110596162013136</v>
      </c>
      <c r="BA98" s="507">
        <f t="shared" ca="1" si="49"/>
        <v>-3.2110596162013136</v>
      </c>
      <c r="BB98" s="550">
        <f t="shared" ca="1" si="50"/>
        <v>0.47369614984746644</v>
      </c>
      <c r="BC98" s="550">
        <f t="shared" ca="1" si="50"/>
        <v>0.47369614984746644</v>
      </c>
      <c r="BD98" s="550">
        <f t="shared" ca="1" si="51"/>
        <v>-3.2110596162013127</v>
      </c>
      <c r="BE98" s="550">
        <f t="shared" ca="1" si="51"/>
        <v>-3.2110596162013127</v>
      </c>
    </row>
    <row r="99" spans="1:57" x14ac:dyDescent="0.25">
      <c r="A99" s="60">
        <f t="shared" si="29"/>
        <v>0.78</v>
      </c>
      <c r="B99" s="812"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9.0521070684476315E-3</v>
      </c>
      <c r="M99" s="559">
        <f t="shared" ca="1" si="34"/>
        <v>9.0521070684476315E-3</v>
      </c>
      <c r="N99" s="557" t="s">
        <v>336</v>
      </c>
      <c r="O99" s="559">
        <f t="shared" ca="1" si="35"/>
        <v>9.8822895510850047E-3</v>
      </c>
      <c r="P99" s="559">
        <f t="shared" ca="1" si="35"/>
        <v>9.8822895510850047E-3</v>
      </c>
      <c r="Q99" s="557" t="s">
        <v>336</v>
      </c>
      <c r="R99" s="558">
        <f t="shared" ca="1" si="36"/>
        <v>1.6558496536035302E-4</v>
      </c>
      <c r="S99" s="558">
        <f t="shared" ca="1" si="36"/>
        <v>1.6558496536035302E-4</v>
      </c>
      <c r="T99" s="557" t="s">
        <v>336</v>
      </c>
      <c r="U99" s="558">
        <f t="shared" ca="1" si="37"/>
        <v>1.8077101393344569E-4</v>
      </c>
      <c r="V99" s="558">
        <f t="shared" ca="1" si="37"/>
        <v>1.8077101393344569E-4</v>
      </c>
      <c r="W99" s="557" t="s">
        <v>336</v>
      </c>
      <c r="X99" s="559">
        <f t="shared" ca="1" si="38"/>
        <v>1.1640257275998434E-3</v>
      </c>
      <c r="Y99" s="559">
        <f t="shared" ca="1" si="38"/>
        <v>1.1640257275998434E-3</v>
      </c>
      <c r="Z99" s="557" t="s">
        <v>336</v>
      </c>
      <c r="AA99" s="559">
        <f t="shared" ca="1" si="39"/>
        <v>7.7811499629055255E-4</v>
      </c>
      <c r="AB99" s="559">
        <f t="shared" ca="1" si="39"/>
        <v>7.7811499629055255E-4</v>
      </c>
      <c r="AC99" s="557" t="s">
        <v>336</v>
      </c>
      <c r="AD99" s="558">
        <f t="shared" ca="1" si="40"/>
        <v>1.2467488531187664E-2</v>
      </c>
      <c r="AE99" s="558">
        <f t="shared" ca="1" si="40"/>
        <v>1.2467488531187664E-2</v>
      </c>
      <c r="AF99" s="557" t="s">
        <v>336</v>
      </c>
      <c r="AG99" s="558">
        <f t="shared" ca="1" si="41"/>
        <v>8.3341283291055845E-3</v>
      </c>
      <c r="AH99" s="558">
        <f t="shared" ca="1" si="41"/>
        <v>8.3341283291055845E-3</v>
      </c>
      <c r="AI99" s="557" t="s">
        <v>336</v>
      </c>
      <c r="AJ99" s="507">
        <f t="shared" ca="1" si="42"/>
        <v>8.8865221030872792E-3</v>
      </c>
      <c r="AK99" s="507">
        <f t="shared" ca="1" si="42"/>
        <v>8.8865221030872792E-3</v>
      </c>
      <c r="AL99" s="507">
        <f t="shared" ca="1" si="43"/>
        <v>9.7015185371515586E-3</v>
      </c>
      <c r="AM99" s="507">
        <f t="shared" ca="1" si="43"/>
        <v>9.7015185371515586E-3</v>
      </c>
      <c r="AN99" s="507">
        <f t="shared" ca="1" si="44"/>
        <v>-1.130346280358782E-2</v>
      </c>
      <c r="AO99" s="507">
        <f t="shared" ca="1" si="44"/>
        <v>-1.130346280358782E-2</v>
      </c>
      <c r="AP99" s="507">
        <f t="shared" ca="1" si="45"/>
        <v>-7.5560133328150319E-3</v>
      </c>
      <c r="AQ99" s="507">
        <f t="shared" ca="1" si="45"/>
        <v>-7.5560133328150319E-3</v>
      </c>
      <c r="AR99" s="812" t="s">
        <v>145</v>
      </c>
      <c r="AS99" s="812">
        <v>2104008420</v>
      </c>
      <c r="AT99" s="507">
        <f t="shared" ca="1" si="46"/>
        <v>0.47121963728754263</v>
      </c>
      <c r="AU99" s="507">
        <f t="shared" ca="1" si="46"/>
        <v>0.47121963728754263</v>
      </c>
      <c r="AV99" s="507">
        <f t="shared" ca="1" si="47"/>
        <v>0.47121963728754263</v>
      </c>
      <c r="AW99" s="507">
        <f t="shared" ca="1" si="47"/>
        <v>0.47121963728754263</v>
      </c>
      <c r="AX99" s="507">
        <f t="shared" ca="1" si="48"/>
        <v>-4.6611187511375443</v>
      </c>
      <c r="AY99" s="507">
        <f t="shared" ca="1" si="48"/>
        <v>-4.6611187511375443</v>
      </c>
      <c r="AZ99" s="507">
        <f t="shared" ca="1" si="49"/>
        <v>-4.6611187511375443</v>
      </c>
      <c r="BA99" s="507">
        <f t="shared" ca="1" si="49"/>
        <v>-4.6611187511375443</v>
      </c>
      <c r="BB99" s="550">
        <f t="shared" ca="1" si="50"/>
        <v>0.47121963728754257</v>
      </c>
      <c r="BC99" s="550">
        <f t="shared" ca="1" si="50"/>
        <v>0.47121963728754257</v>
      </c>
      <c r="BD99" s="550">
        <f t="shared" ca="1" si="51"/>
        <v>-4.6611187511375443</v>
      </c>
      <c r="BE99" s="550">
        <f t="shared" ca="1" si="51"/>
        <v>-4.6611187511375443</v>
      </c>
    </row>
    <row r="100" spans="1:57" x14ac:dyDescent="0.25">
      <c r="A100" s="60">
        <f t="shared" si="29"/>
        <v>0.43</v>
      </c>
      <c r="B100" s="812"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4.1529483584024099E-2</v>
      </c>
      <c r="M100" s="559">
        <f t="shared" ca="1" si="34"/>
        <v>4.497432554030259E-2</v>
      </c>
      <c r="N100" s="557" t="s">
        <v>336</v>
      </c>
      <c r="O100" s="559">
        <f t="shared" ca="1" si="35"/>
        <v>4.5338215575784081E-2</v>
      </c>
      <c r="P100" s="559">
        <f t="shared" ca="1" si="35"/>
        <v>4.9098989218015011E-2</v>
      </c>
      <c r="Q100" s="557" t="s">
        <v>336</v>
      </c>
      <c r="R100" s="558">
        <f t="shared" ca="1" si="36"/>
        <v>1.3146445927564554E-4</v>
      </c>
      <c r="S100" s="558">
        <f t="shared" ca="1" si="36"/>
        <v>1.4236934529851013E-4</v>
      </c>
      <c r="T100" s="557" t="s">
        <v>336</v>
      </c>
      <c r="U100" s="558">
        <f t="shared" ca="1" si="37"/>
        <v>1.4352126443214396E-4</v>
      </c>
      <c r="V100" s="558">
        <f t="shared" ca="1" si="37"/>
        <v>1.5542625410854298E-4</v>
      </c>
      <c r="W100" s="557" t="s">
        <v>336</v>
      </c>
      <c r="X100" s="559">
        <f t="shared" ca="1" si="38"/>
        <v>2.0019227161787979E-3</v>
      </c>
      <c r="Y100" s="559">
        <f t="shared" ca="1" si="38"/>
        <v>2.1679808216682832E-3</v>
      </c>
      <c r="Z100" s="557" t="s">
        <v>336</v>
      </c>
      <c r="AA100" s="559">
        <f t="shared" ca="1" si="39"/>
        <v>1.3382230735444166E-3</v>
      </c>
      <c r="AB100" s="559">
        <f t="shared" ca="1" si="39"/>
        <v>1.4492277524559348E-3</v>
      </c>
      <c r="AC100" s="557" t="s">
        <v>336</v>
      </c>
      <c r="AD100" s="558">
        <f t="shared" ca="1" si="40"/>
        <v>9.8984327152587034E-3</v>
      </c>
      <c r="AE100" s="558">
        <f t="shared" ca="1" si="40"/>
        <v>1.0719500866754815E-2</v>
      </c>
      <c r="AF100" s="557" t="s">
        <v>336</v>
      </c>
      <c r="AG100" s="558">
        <f t="shared" ca="1" si="41"/>
        <v>6.6167944169044724E-3</v>
      </c>
      <c r="AH100" s="558">
        <f t="shared" ca="1" si="41"/>
        <v>7.1656529399656719E-3</v>
      </c>
      <c r="AI100" s="557" t="s">
        <v>336</v>
      </c>
      <c r="AJ100" s="507">
        <f t="shared" ca="1" si="42"/>
        <v>4.1398019124748456E-2</v>
      </c>
      <c r="AK100" s="507">
        <f t="shared" ca="1" si="42"/>
        <v>4.4831956195004082E-2</v>
      </c>
      <c r="AL100" s="507">
        <f t="shared" ca="1" si="43"/>
        <v>4.5194694311351938E-2</v>
      </c>
      <c r="AM100" s="507">
        <f t="shared" ca="1" si="43"/>
        <v>4.8943562963906471E-2</v>
      </c>
      <c r="AN100" s="507">
        <f t="shared" ca="1" si="44"/>
        <v>-7.8965099990799051E-3</v>
      </c>
      <c r="AO100" s="507">
        <f t="shared" ca="1" si="44"/>
        <v>-8.5515200450865317E-3</v>
      </c>
      <c r="AP100" s="507">
        <f t="shared" ca="1" si="45"/>
        <v>-5.2785713433600558E-3</v>
      </c>
      <c r="AQ100" s="507">
        <f t="shared" ca="1" si="45"/>
        <v>-5.7164251875097376E-3</v>
      </c>
      <c r="AR100" s="812" t="s">
        <v>146</v>
      </c>
      <c r="AS100" s="812">
        <v>2104008610</v>
      </c>
      <c r="AT100" s="507">
        <f t="shared" ca="1" si="46"/>
        <v>0.44183095446472737</v>
      </c>
      <c r="AU100" s="507">
        <f t="shared" ca="1" si="46"/>
        <v>0.47848052672447428</v>
      </c>
      <c r="AV100" s="507">
        <f t="shared" ca="1" si="47"/>
        <v>0.44183095446472737</v>
      </c>
      <c r="AW100" s="507">
        <f t="shared" ca="1" si="47"/>
        <v>0.47848052672447428</v>
      </c>
      <c r="AX100" s="507">
        <f t="shared" ca="1" si="48"/>
        <v>-1.7483202626495842</v>
      </c>
      <c r="AY100" s="507">
        <f t="shared" ca="1" si="48"/>
        <v>-1.8933422199200562</v>
      </c>
      <c r="AZ100" s="507">
        <f t="shared" ca="1" si="49"/>
        <v>-1.7483202626495844</v>
      </c>
      <c r="BA100" s="507">
        <f t="shared" ca="1" si="49"/>
        <v>-1.8933422199200569</v>
      </c>
      <c r="BB100" s="550">
        <f t="shared" ca="1" si="50"/>
        <v>0.44183095446472742</v>
      </c>
      <c r="BC100" s="550">
        <f t="shared" ca="1" si="50"/>
        <v>0.47848052672447428</v>
      </c>
      <c r="BD100" s="550">
        <f t="shared" ca="1" si="51"/>
        <v>-1.7483202626495844</v>
      </c>
      <c r="BE100" s="550">
        <f t="shared" ca="1" si="51"/>
        <v>-1.893342219920056</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0.49828210592064909</v>
      </c>
      <c r="AU106" s="507">
        <f t="shared" ca="1" si="59"/>
        <v>0.49828210592064909</v>
      </c>
      <c r="AV106" s="507">
        <f t="shared" ca="1" si="60"/>
        <v>0.49828210592064909</v>
      </c>
      <c r="AW106" s="507">
        <f t="shared" ca="1" si="60"/>
        <v>0.49828210592064909</v>
      </c>
      <c r="AX106" s="507">
        <f t="shared" ca="1" si="61"/>
        <v>0.41031188577839556</v>
      </c>
      <c r="AY106" s="507">
        <f t="shared" ca="1" si="61"/>
        <v>0.41031188577839556</v>
      </c>
      <c r="AZ106" s="507">
        <f t="shared" ca="1" si="62"/>
        <v>0.40657488101916195</v>
      </c>
      <c r="BA106" s="507">
        <f t="shared" ca="1" si="62"/>
        <v>0.40657488101916195</v>
      </c>
      <c r="BB106" s="550">
        <f t="shared" ca="1" si="50"/>
        <v>0.49828210592064903</v>
      </c>
      <c r="BC106" s="550">
        <f t="shared" ca="1" si="50"/>
        <v>0.49828210592064903</v>
      </c>
      <c r="BD106" s="550">
        <f t="shared" ca="1" si="51"/>
        <v>0.41031188577839561</v>
      </c>
      <c r="BE106" s="550">
        <f t="shared" ca="1" si="51"/>
        <v>0.41031188577839561</v>
      </c>
    </row>
    <row r="107" spans="1:57" x14ac:dyDescent="0.25">
      <c r="A107" s="60">
        <f t="shared" si="29"/>
        <v>0.43</v>
      </c>
      <c r="B107" s="812"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1.8170897467196905E-2</v>
      </c>
      <c r="M107" s="133">
        <f t="shared" ca="1" si="52"/>
        <v>1.8170897467196905E-2</v>
      </c>
      <c r="N107" s="551" t="s">
        <v>336</v>
      </c>
      <c r="O107" s="133">
        <f t="shared" ca="1" si="53"/>
        <v>1.9837378061935789E-2</v>
      </c>
      <c r="P107" s="133">
        <f t="shared" ca="1" si="53"/>
        <v>1.9837378061935789E-2</v>
      </c>
      <c r="Q107" s="551" t="s">
        <v>336</v>
      </c>
      <c r="R107" s="58">
        <f t="shared" ca="1" si="54"/>
        <v>6.2431354350779824E-5</v>
      </c>
      <c r="S107" s="58">
        <f t="shared" ca="1" si="54"/>
        <v>6.2431354350779824E-5</v>
      </c>
      <c r="T107" s="551" t="s">
        <v>336</v>
      </c>
      <c r="U107" s="58">
        <f t="shared" ca="1" si="55"/>
        <v>6.8157028644890027E-5</v>
      </c>
      <c r="V107" s="58">
        <f t="shared" ca="1" si="55"/>
        <v>6.8157028644890027E-5</v>
      </c>
      <c r="W107" s="551" t="s">
        <v>336</v>
      </c>
      <c r="X107" s="133">
        <f t="shared" ca="1" si="56"/>
        <v>2.5157482365312372E-2</v>
      </c>
      <c r="Y107" s="133">
        <f t="shared" ca="1" si="56"/>
        <v>2.5157482365312372E-2</v>
      </c>
      <c r="Z107" s="551" t="s">
        <v>336</v>
      </c>
      <c r="AA107" s="133">
        <f t="shared" ca="1" si="57"/>
        <v>1.6816994533040173E-2</v>
      </c>
      <c r="AB107" s="133">
        <f t="shared" ca="1" si="57"/>
        <v>1.6816994533040173E-2</v>
      </c>
      <c r="AC107" s="551" t="s">
        <v>336</v>
      </c>
      <c r="AD107" s="58">
        <f t="shared" ca="1" si="40"/>
        <v>4.512654303816273E-3</v>
      </c>
      <c r="AE107" s="58">
        <f t="shared" ca="1" si="40"/>
        <v>4.512654303816273E-3</v>
      </c>
      <c r="AF107" s="551" t="s">
        <v>336</v>
      </c>
      <c r="AG107" s="58">
        <f t="shared" ca="1" si="58"/>
        <v>3.1422594302987611E-3</v>
      </c>
      <c r="AH107" s="58">
        <f t="shared" ca="1" si="58"/>
        <v>3.1422594302987611E-3</v>
      </c>
      <c r="AI107" s="551" t="s">
        <v>336</v>
      </c>
      <c r="AJ107" s="507">
        <f t="shared" ca="1" si="42"/>
        <v>1.8108466112846125E-2</v>
      </c>
      <c r="AK107" s="507">
        <f t="shared" ca="1" si="42"/>
        <v>1.8108466112846125E-2</v>
      </c>
      <c r="AL107" s="507">
        <f t="shared" ca="1" si="43"/>
        <v>1.9769221033290898E-2</v>
      </c>
      <c r="AM107" s="507">
        <f t="shared" ca="1" si="43"/>
        <v>1.9769221033290898E-2</v>
      </c>
      <c r="AN107" s="507">
        <f t="shared" ca="1" si="44"/>
        <v>2.06448280614961E-2</v>
      </c>
      <c r="AO107" s="507">
        <f t="shared" ca="1" si="44"/>
        <v>2.06448280614961E-2</v>
      </c>
      <c r="AP107" s="507">
        <f t="shared" ca="1" si="45"/>
        <v>1.3674735102741411E-2</v>
      </c>
      <c r="AQ107" s="507">
        <f t="shared" ca="1" si="45"/>
        <v>1.3674735102741411E-2</v>
      </c>
      <c r="AR107" s="812" t="s">
        <v>152</v>
      </c>
      <c r="AS107" s="812">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2"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4.9500674040465285E-5</v>
      </c>
      <c r="M108" s="133">
        <f t="shared" ca="1" si="52"/>
        <v>4.9500674040465285E-5</v>
      </c>
      <c r="N108" s="551" t="s">
        <v>336</v>
      </c>
      <c r="O108" s="133">
        <f t="shared" ca="1" si="53"/>
        <v>5.4040456011270476E-5</v>
      </c>
      <c r="P108" s="133">
        <f t="shared" ca="1" si="53"/>
        <v>5.4040456011270476E-5</v>
      </c>
      <c r="Q108" s="551" t="s">
        <v>336</v>
      </c>
      <c r="R108" s="58">
        <f t="shared" ca="1" si="54"/>
        <v>1.7007382971598867E-7</v>
      </c>
      <c r="S108" s="58">
        <f t="shared" ca="1" si="54"/>
        <v>1.7007382971598867E-7</v>
      </c>
      <c r="T108" s="551" t="s">
        <v>336</v>
      </c>
      <c r="U108" s="58">
        <f t="shared" ca="1" si="55"/>
        <v>1.8567155885436911E-7</v>
      </c>
      <c r="V108" s="58">
        <f t="shared" ca="1" si="55"/>
        <v>1.8567155885436911E-7</v>
      </c>
      <c r="W108" s="551" t="s">
        <v>336</v>
      </c>
      <c r="X108" s="133">
        <f t="shared" ca="1" si="56"/>
        <v>6.8533342202397416E-5</v>
      </c>
      <c r="Y108" s="133">
        <f t="shared" ca="1" si="56"/>
        <v>6.8533342202397416E-5</v>
      </c>
      <c r="Z108" s="551" t="s">
        <v>336</v>
      </c>
      <c r="AA108" s="133">
        <f t="shared" ca="1" si="57"/>
        <v>4.5812407792355745E-5</v>
      </c>
      <c r="AB108" s="133">
        <f t="shared" ca="1" si="57"/>
        <v>4.5812407792355745E-5</v>
      </c>
      <c r="AC108" s="551" t="s">
        <v>336</v>
      </c>
      <c r="AD108" s="58">
        <f t="shared" ca="1" si="40"/>
        <v>1.2293252446873854E-5</v>
      </c>
      <c r="AE108" s="58">
        <f t="shared" ca="1" si="40"/>
        <v>1.2293252446873854E-5</v>
      </c>
      <c r="AF108" s="551" t="s">
        <v>336</v>
      </c>
      <c r="AG108" s="58">
        <f t="shared" ca="1" si="58"/>
        <v>8.5600592975990112E-6</v>
      </c>
      <c r="AH108" s="58">
        <f t="shared" ca="1" si="58"/>
        <v>8.5600592975990112E-6</v>
      </c>
      <c r="AI108" s="551" t="s">
        <v>336</v>
      </c>
      <c r="AJ108" s="507">
        <f t="shared" ca="1" si="42"/>
        <v>4.9330600210749297E-5</v>
      </c>
      <c r="AK108" s="507">
        <f t="shared" ca="1" si="42"/>
        <v>4.9330600210749297E-5</v>
      </c>
      <c r="AL108" s="507">
        <f t="shared" ca="1" si="43"/>
        <v>5.3854784452416107E-5</v>
      </c>
      <c r="AM108" s="507">
        <f t="shared" ca="1" si="43"/>
        <v>5.3854784452416107E-5</v>
      </c>
      <c r="AN108" s="507">
        <f t="shared" ca="1" si="44"/>
        <v>5.624008975552356E-5</v>
      </c>
      <c r="AO108" s="507">
        <f t="shared" ca="1" si="44"/>
        <v>5.624008975552356E-5</v>
      </c>
      <c r="AP108" s="507">
        <f t="shared" ca="1" si="45"/>
        <v>3.7252348494756736E-5</v>
      </c>
      <c r="AQ108" s="507">
        <f t="shared" ca="1" si="45"/>
        <v>3.7252348494756736E-5</v>
      </c>
      <c r="AR108" s="812" t="s">
        <v>153</v>
      </c>
      <c r="AS108" s="812">
        <v>2103008000</v>
      </c>
      <c r="AT108" s="507">
        <f t="shared" ca="1" si="59"/>
        <v>0.49688268995248747</v>
      </c>
      <c r="AU108" s="507">
        <f t="shared" ca="1" si="59"/>
        <v>0.49688268995248747</v>
      </c>
      <c r="AV108" s="507">
        <f t="shared" ca="1" si="60"/>
        <v>0.49688268995248752</v>
      </c>
      <c r="AW108" s="507">
        <f t="shared" ca="1" si="60"/>
        <v>0.49688268995248752</v>
      </c>
      <c r="AX108" s="507">
        <f t="shared" ca="1" si="61"/>
        <v>-3.2531923477805553</v>
      </c>
      <c r="AY108" s="507">
        <f t="shared" ca="1" si="61"/>
        <v>-3.2531923477805553</v>
      </c>
      <c r="AZ108" s="507">
        <f t="shared" ca="1" si="62"/>
        <v>-3.4095753622714122</v>
      </c>
      <c r="BA108" s="507">
        <f t="shared" ca="1" si="62"/>
        <v>-3.4095753622714122</v>
      </c>
      <c r="BB108" s="550">
        <f t="shared" ca="1" si="50"/>
        <v>0.49688268995248741</v>
      </c>
      <c r="BC108" s="550">
        <f t="shared" ca="1" si="50"/>
        <v>0.49688268995248741</v>
      </c>
      <c r="BD108" s="550">
        <f t="shared" ca="1" si="51"/>
        <v>-3.2531923477805549</v>
      </c>
      <c r="BE108" s="550">
        <f t="shared" ca="1" si="51"/>
        <v>-3.2531923477805549</v>
      </c>
    </row>
    <row r="109" spans="1:57" ht="15.75" thickBot="1" x14ac:dyDescent="0.3">
      <c r="A109" s="112">
        <v>0.6</v>
      </c>
      <c r="B109" s="812"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4.8487767709023921E-5</v>
      </c>
      <c r="M109" s="133">
        <f t="shared" ca="1" si="52"/>
        <v>4.8487767709023921E-5</v>
      </c>
      <c r="N109" s="551" t="s">
        <v>336</v>
      </c>
      <c r="O109" s="133">
        <f t="shared" ca="1" si="53"/>
        <v>5.2934654502324393E-5</v>
      </c>
      <c r="P109" s="133">
        <f t="shared" ca="1" si="53"/>
        <v>5.2934654502324393E-5</v>
      </c>
      <c r="Q109" s="551" t="s">
        <v>336</v>
      </c>
      <c r="R109" s="58">
        <f t="shared" ca="1" si="54"/>
        <v>3.0230281092158252E-7</v>
      </c>
      <c r="S109" s="58">
        <f t="shared" ca="1" si="54"/>
        <v>3.0230281092158252E-7</v>
      </c>
      <c r="T109" s="551" t="s">
        <v>336</v>
      </c>
      <c r="U109" s="58">
        <f t="shared" ca="1" si="55"/>
        <v>3.300274606833947E-7</v>
      </c>
      <c r="V109" s="58">
        <f t="shared" ca="1" si="55"/>
        <v>3.300274606833947E-7</v>
      </c>
      <c r="W109" s="551" t="s">
        <v>336</v>
      </c>
      <c r="X109" s="133">
        <f t="shared" ca="1" si="56"/>
        <v>1.6870385757784448E-6</v>
      </c>
      <c r="Y109" s="133">
        <f t="shared" ca="1" si="56"/>
        <v>1.6870385757784448E-6</v>
      </c>
      <c r="Z109" s="551" t="s">
        <v>336</v>
      </c>
      <c r="AA109" s="133">
        <f t="shared" ca="1" si="57"/>
        <v>1.1277328189649201E-6</v>
      </c>
      <c r="AB109" s="133">
        <f t="shared" ca="1" si="57"/>
        <v>1.1277328189649201E-6</v>
      </c>
      <c r="AC109" s="551" t="s">
        <v>336</v>
      </c>
      <c r="AD109" s="58">
        <f t="shared" ca="1" si="40"/>
        <v>1.2663560546044532E-5</v>
      </c>
      <c r="AE109" s="58">
        <f t="shared" ca="1" si="40"/>
        <v>1.2663560546044532E-5</v>
      </c>
      <c r="AF109" s="551" t="s">
        <v>336</v>
      </c>
      <c r="AG109" s="58">
        <f t="shared" ca="1" si="58"/>
        <v>8.8179128885002772E-6</v>
      </c>
      <c r="AH109" s="58">
        <f t="shared" ca="1" si="58"/>
        <v>8.8179128885002772E-6</v>
      </c>
      <c r="AI109" s="551" t="s">
        <v>336</v>
      </c>
      <c r="AJ109" s="507">
        <f t="shared" ca="1" si="42"/>
        <v>4.8185464898102335E-5</v>
      </c>
      <c r="AK109" s="507">
        <f t="shared" ca="1" si="42"/>
        <v>4.8185464898102335E-5</v>
      </c>
      <c r="AL109" s="507">
        <f t="shared" ca="1" si="43"/>
        <v>5.2604627041640995E-5</v>
      </c>
      <c r="AM109" s="507">
        <f t="shared" ca="1" si="43"/>
        <v>5.2604627041640995E-5</v>
      </c>
      <c r="AN109" s="507">
        <f t="shared" ca="1" si="44"/>
        <v>-1.0976521970266087E-5</v>
      </c>
      <c r="AO109" s="507">
        <f t="shared" ca="1" si="44"/>
        <v>-1.0976521970266087E-5</v>
      </c>
      <c r="AP109" s="507">
        <f t="shared" ca="1" si="45"/>
        <v>-7.6901800695353571E-6</v>
      </c>
      <c r="AQ109" s="507">
        <f t="shared" ca="1" si="45"/>
        <v>-7.6901800695353571E-6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0.11270030278847695</v>
      </c>
      <c r="AY109" s="541">
        <f t="shared" ca="1" si="61"/>
        <v>0.11270030278847695</v>
      </c>
      <c r="AZ109" s="541">
        <f t="shared" ca="1" si="62"/>
        <v>9.6562815404663521E-2</v>
      </c>
      <c r="BA109" s="541">
        <f t="shared" ca="1" si="62"/>
        <v>9.6562815404663521E-2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4.4514232890716722E-4</v>
      </c>
      <c r="M110" s="544">
        <f t="shared" ca="1" si="52"/>
        <v>4.4514232890716722E-4</v>
      </c>
      <c r="N110" s="542" t="s">
        <v>336</v>
      </c>
      <c r="O110" s="544">
        <f t="shared" ca="1" si="53"/>
        <v>4.8596700772998507E-4</v>
      </c>
      <c r="P110" s="544">
        <f t="shared" ca="1" si="53"/>
        <v>4.8596700772998507E-4</v>
      </c>
      <c r="Q110" s="542" t="s">
        <v>336</v>
      </c>
      <c r="R110" s="543">
        <f t="shared" ca="1" si="54"/>
        <v>4.030345429250056E-5</v>
      </c>
      <c r="S110" s="543">
        <f t="shared" ca="1" si="54"/>
        <v>4.030345429250056E-5</v>
      </c>
      <c r="T110" s="542" t="s">
        <v>336</v>
      </c>
      <c r="U110" s="543">
        <f t="shared" ca="1" si="55"/>
        <v>4.3999745276512091E-5</v>
      </c>
      <c r="V110" s="543">
        <f t="shared" ca="1" si="55"/>
        <v>4.3999745276512091E-5</v>
      </c>
      <c r="W110" s="542" t="s">
        <v>336</v>
      </c>
      <c r="X110" s="544">
        <f t="shared" ca="1" si="56"/>
        <v>3.7609228589881548E-3</v>
      </c>
      <c r="Y110" s="544">
        <f t="shared" ca="1" si="56"/>
        <v>3.7609228589881548E-3</v>
      </c>
      <c r="Z110" s="542" t="s">
        <v>336</v>
      </c>
      <c r="AA110" s="544">
        <f t="shared" ca="1" si="57"/>
        <v>2.5140599619776099E-3</v>
      </c>
      <c r="AB110" s="544">
        <f t="shared" ca="1" si="57"/>
        <v>2.5140599619776099E-3</v>
      </c>
      <c r="AC110" s="542" t="s">
        <v>336</v>
      </c>
      <c r="AD110" s="543">
        <f t="shared" ca="1" si="40"/>
        <v>2.9132085690440159E-3</v>
      </c>
      <c r="AE110" s="543">
        <f t="shared" ca="1" si="40"/>
        <v>2.9132085690440159E-3</v>
      </c>
      <c r="AF110" s="542" t="s">
        <v>336</v>
      </c>
      <c r="AG110" s="543">
        <f t="shared" ca="1" si="58"/>
        <v>2.0285305459282112E-3</v>
      </c>
      <c r="AH110" s="543">
        <f t="shared" ca="1" si="58"/>
        <v>2.0285305459282112E-3</v>
      </c>
      <c r="AI110" s="542" t="s">
        <v>336</v>
      </c>
      <c r="AJ110" s="541">
        <f t="shared" ca="1" si="42"/>
        <v>4.0483887461466664E-4</v>
      </c>
      <c r="AK110" s="541">
        <f t="shared" ca="1" si="42"/>
        <v>4.0483887461466664E-4</v>
      </c>
      <c r="AL110" s="541">
        <f t="shared" ca="1" si="43"/>
        <v>4.41967262453473E-4</v>
      </c>
      <c r="AM110" s="541">
        <f t="shared" ca="1" si="43"/>
        <v>4.41967262453473E-4</v>
      </c>
      <c r="AN110" s="541">
        <f t="shared" ca="1" si="44"/>
        <v>8.4771428994413886E-4</v>
      </c>
      <c r="AO110" s="541">
        <f t="shared" ca="1" si="44"/>
        <v>8.4771428994413886E-4</v>
      </c>
      <c r="AP110" s="541">
        <f t="shared" ca="1" si="45"/>
        <v>4.8552941604939866E-4</v>
      </c>
      <c r="AQ110" s="541">
        <f t="shared" ca="1" si="45"/>
        <v>4.8552941604939866E-4</v>
      </c>
      <c r="AR110" s="810"/>
      <c r="AS110" s="810" t="s">
        <v>249</v>
      </c>
      <c r="AT110" s="506">
        <f ca="1">AJ111/SUM($C40:$C59)</f>
        <v>0.26845648874559358</v>
      </c>
      <c r="AU110" s="506">
        <f ca="1">AK111/SUM($C40:$C59)</f>
        <v>0.46433322356290557</v>
      </c>
      <c r="AV110" s="506">
        <f ca="1">AL111/SUM($C60:$C79)</f>
        <v>0.26845648874559352</v>
      </c>
      <c r="AW110" s="506">
        <f ca="1">AM111/SUM($C60:$C79)</f>
        <v>0.46433322356290535</v>
      </c>
      <c r="AX110" s="506">
        <f ca="1">AN111/SUM($J40:$J59)</f>
        <v>-3.3540458989959492E-2</v>
      </c>
      <c r="AY110" s="506">
        <f ca="1">AO111/SUM($J40:$J59)</f>
        <v>-4.9192876712819598E-2</v>
      </c>
      <c r="AZ110" s="506">
        <f ca="1">AP111/SUM($J60:$J79)</f>
        <v>-3.3703422676840539E-2</v>
      </c>
      <c r="BA110" s="506">
        <f ca="1">AQ111/SUM($J60:$J79)</f>
        <v>-4.9355840399700653E-2</v>
      </c>
      <c r="BB110" s="506"/>
      <c r="BC110" s="506"/>
      <c r="BD110" s="506"/>
      <c r="BE110" s="506"/>
    </row>
    <row r="111" spans="1:57" ht="15.75" thickTop="1" x14ac:dyDescent="0.25">
      <c r="K111" s="244" t="s">
        <v>784</v>
      </c>
      <c r="L111" s="137">
        <f ca="1">SUM(L91:L110)</f>
        <v>0.28105410266339392</v>
      </c>
      <c r="M111" s="137">
        <f ca="1">SUM(M91:M110)</f>
        <v>0.48556563037334632</v>
      </c>
      <c r="N111" s="540" t="s">
        <v>336</v>
      </c>
      <c r="O111" s="137">
        <f ca="1">SUM(O91:O110)</f>
        <v>0.30683000112992947</v>
      </c>
      <c r="P111" s="137">
        <f ca="1">SUM(P91:P110)</f>
        <v>0.53009759154643199</v>
      </c>
      <c r="Q111" s="540" t="s">
        <v>336</v>
      </c>
      <c r="R111" s="137">
        <f ca="1">SUM(R91:R110)</f>
        <v>1.4175708807071124E-3</v>
      </c>
      <c r="S111" s="137">
        <f ca="1">SUM(S91:S110)</f>
        <v>1.8949512427155096E-3</v>
      </c>
      <c r="T111" s="540" t="s">
        <v>336</v>
      </c>
      <c r="U111" s="137">
        <f ca="1">SUM(U91:U110)</f>
        <v>1.547578458408212E-3</v>
      </c>
      <c r="V111" s="137">
        <f ca="1">SUM(V91:V110)</f>
        <v>2.0687400982006359E-3</v>
      </c>
      <c r="W111" s="540" t="s">
        <v>336</v>
      </c>
      <c r="X111" s="137">
        <f ca="1">SUM(X91:X110)</f>
        <v>4.2518394284674049E-2</v>
      </c>
      <c r="Y111" s="137">
        <f ca="1">SUM(Y91:Y110)</f>
        <v>4.864374572373964E-2</v>
      </c>
      <c r="Z111" s="540" t="s">
        <v>336</v>
      </c>
      <c r="AA111" s="137">
        <f ca="1">SUM(AA91:AA110)</f>
        <v>2.8422224205746027E-2</v>
      </c>
      <c r="AB111" s="137">
        <f ca="1">SUM(AB91:AB110)</f>
        <v>3.2516831136912873E-2</v>
      </c>
      <c r="AC111" s="540" t="s">
        <v>336</v>
      </c>
      <c r="AD111" s="137">
        <f ca="1">SUM(AD91:AD110)</f>
        <v>0.10641399706633839</v>
      </c>
      <c r="AE111" s="137">
        <f ca="1">SUM(AE91:AE110)</f>
        <v>0.14235768419639566</v>
      </c>
      <c r="AF111" s="540" t="s">
        <v>336</v>
      </c>
      <c r="AG111" s="137">
        <f ca="1">SUM(AG91:AG110)</f>
        <v>7.1341974152591206E-2</v>
      </c>
      <c r="AH111" s="137">
        <f ca="1">SUM(AH91:AH110)</f>
        <v>9.5369211106831442E-2</v>
      </c>
      <c r="AI111" s="540" t="s">
        <v>336</v>
      </c>
      <c r="AJ111" s="506">
        <f t="shared" ref="AJ111:AQ111" ca="1" si="64">SUM(AJ91:AJ110)</f>
        <v>0.27963653178268666</v>
      </c>
      <c r="AK111" s="506">
        <f t="shared" ca="1" si="64"/>
        <v>0.48367067913063078</v>
      </c>
      <c r="AL111" s="506">
        <f t="shared" ca="1" si="64"/>
        <v>0.30528242267152123</v>
      </c>
      <c r="AM111" s="506">
        <f t="shared" ca="1" si="64"/>
        <v>0.52802885144823153</v>
      </c>
      <c r="AN111" s="506">
        <f t="shared" ca="1" si="64"/>
        <v>-6.389560278166434E-2</v>
      </c>
      <c r="AO111" s="506">
        <f t="shared" ca="1" si="64"/>
        <v>-9.371393847265605E-2</v>
      </c>
      <c r="AP111" s="506">
        <f t="shared" ca="1" si="64"/>
        <v>-4.2919749946845186E-2</v>
      </c>
      <c r="AQ111" s="506">
        <f t="shared" ca="1" si="64"/>
        <v>-6.2852379969918562E-2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0.58491895445420794</v>
      </c>
      <c r="AK113" s="506">
        <f ca="1">AK111+AM111</f>
        <v>1.0116995305788623</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1.0416456427979586</v>
      </c>
      <c r="D119" s="539">
        <f t="shared" ca="1" si="65"/>
        <v>1.0416456427979586</v>
      </c>
      <c r="E119" s="539">
        <f t="shared" ca="1" si="65"/>
        <v>1.0416456427979586</v>
      </c>
      <c r="F119" s="539" t="s">
        <v>336</v>
      </c>
      <c r="G119" s="539">
        <f ca="1">G32</f>
        <v>1.0416456427979586</v>
      </c>
      <c r="H119" s="539">
        <f ca="1">H32</f>
        <v>1.0416456427979586</v>
      </c>
      <c r="I119" s="539" t="s">
        <v>336</v>
      </c>
      <c r="J119" s="539">
        <f t="shared" ref="J119:L120" ca="1" si="66">J32</f>
        <v>1.9050306616493182</v>
      </c>
      <c r="K119" s="539">
        <f t="shared" ca="1" si="66"/>
        <v>1.9050306616493182</v>
      </c>
      <c r="L119" s="539">
        <f t="shared" ca="1" si="66"/>
        <v>1.9050306616493182</v>
      </c>
      <c r="M119" s="539" t="s">
        <v>336</v>
      </c>
      <c r="N119" s="539">
        <f ca="1">N32</f>
        <v>1.9050306616493182</v>
      </c>
      <c r="O119" s="539">
        <f ca="1">O32</f>
        <v>1.9050306616493182</v>
      </c>
      <c r="P119" s="539" t="s">
        <v>336</v>
      </c>
    </row>
    <row r="120" spans="1:39" x14ac:dyDescent="0.25">
      <c r="A120" s="812" t="s">
        <v>101</v>
      </c>
      <c r="B120" s="812" t="s">
        <v>754</v>
      </c>
      <c r="C120" s="539">
        <f t="shared" ca="1" si="65"/>
        <v>1.1371765461807342</v>
      </c>
      <c r="D120" s="539">
        <f t="shared" ca="1" si="65"/>
        <v>1.1371765461807342</v>
      </c>
      <c r="E120" s="539">
        <f t="shared" ca="1" si="65"/>
        <v>1.1371765461807342</v>
      </c>
      <c r="F120" s="539" t="s">
        <v>336</v>
      </c>
      <c r="G120" s="539">
        <f ca="1">G33</f>
        <v>1.1371765461807342</v>
      </c>
      <c r="H120" s="539">
        <f ca="1">H33</f>
        <v>1.1371765461807342</v>
      </c>
      <c r="I120" s="539" t="s">
        <v>336</v>
      </c>
      <c r="J120" s="539">
        <f t="shared" ca="1" si="66"/>
        <v>1.2734537485517063</v>
      </c>
      <c r="K120" s="539">
        <f t="shared" ca="1" si="66"/>
        <v>1.2734537485517063</v>
      </c>
      <c r="L120" s="539">
        <f t="shared" ca="1" si="66"/>
        <v>1.2734537485517063</v>
      </c>
      <c r="M120" s="539" t="s">
        <v>336</v>
      </c>
      <c r="N120" s="539">
        <f ca="1">N33</f>
        <v>1.2734537485517063</v>
      </c>
      <c r="O120" s="539">
        <f ca="1">O33</f>
        <v>1.2734537485517063</v>
      </c>
      <c r="P120" s="539" t="s">
        <v>336</v>
      </c>
    </row>
    <row r="121" spans="1:39" x14ac:dyDescent="0.25">
      <c r="A121" s="813" t="s">
        <v>101</v>
      </c>
      <c r="B121" s="813" t="s">
        <v>792</v>
      </c>
      <c r="C121" s="535">
        <f ca="1">IFERROR(C122-SUM(C119:C120),"-")</f>
        <v>0.58886136353363172</v>
      </c>
      <c r="D121" s="535">
        <f ca="1">IFERROR(D122-SUM(D119:D120),"-")</f>
        <v>0.58886136353363172</v>
      </c>
      <c r="E121" s="535">
        <f ca="1">IFERROR(E122-SUM(E119:E120),"-")</f>
        <v>0.58886136353363172</v>
      </c>
      <c r="F121" s="535" t="s">
        <v>336</v>
      </c>
      <c r="G121" s="535">
        <f ca="1">IFERROR(G122-SUM(G119:G120),"-")</f>
        <v>0.58886136353363172</v>
      </c>
      <c r="H121" s="535">
        <f ca="1">IFERROR(H122-SUM(H119:H120),"-")</f>
        <v>0.58886136353363172</v>
      </c>
      <c r="I121" s="535" t="s">
        <v>336</v>
      </c>
      <c r="J121" s="535">
        <f ca="1">IFERROR(J122-SUM(J119:J120),"-")</f>
        <v>1.0769487308360794</v>
      </c>
      <c r="K121" s="535">
        <f ca="1">IFERROR(K122-SUM(K119:K120),"-")</f>
        <v>1.0769487308360794</v>
      </c>
      <c r="L121" s="535">
        <f ca="1">IFERROR(L122-SUM(L119:L120),"-")</f>
        <v>1.0769487308360794</v>
      </c>
      <c r="M121" s="535" t="s">
        <v>336</v>
      </c>
      <c r="N121" s="535">
        <f ca="1">IFERROR(N122-SUM(N119:N120),"-")</f>
        <v>1.0769487308360794</v>
      </c>
      <c r="O121" s="535">
        <f ca="1">IFERROR(O122-SUM(O119:O120),"-")</f>
        <v>1.0769487308360794</v>
      </c>
      <c r="P121" s="535" t="s">
        <v>336</v>
      </c>
    </row>
    <row r="122" spans="1:39" x14ac:dyDescent="0.25">
      <c r="A122" s="348" t="s">
        <v>101</v>
      </c>
      <c r="B122" s="348" t="s">
        <v>793</v>
      </c>
      <c r="C122" s="534">
        <f ca="1">C26</f>
        <v>2.7676835525123242</v>
      </c>
      <c r="D122" s="534">
        <f ca="1">D26</f>
        <v>2.7676835525123242</v>
      </c>
      <c r="E122" s="534">
        <f ca="1">E26</f>
        <v>2.7676835525123242</v>
      </c>
      <c r="F122" s="534" t="s">
        <v>336</v>
      </c>
      <c r="G122" s="534">
        <f ca="1">G26</f>
        <v>2.7676835525123242</v>
      </c>
      <c r="H122" s="534">
        <f ca="1">H26</f>
        <v>2.7676835525123242</v>
      </c>
      <c r="I122" s="534" t="s">
        <v>336</v>
      </c>
      <c r="J122" s="534">
        <f ca="1">J26</f>
        <v>4.2554331410371038</v>
      </c>
      <c r="K122" s="534">
        <f ca="1">K26</f>
        <v>4.2554331410371038</v>
      </c>
      <c r="L122" s="534">
        <f ca="1">L26</f>
        <v>4.2554331410371038</v>
      </c>
      <c r="M122" s="534" t="s">
        <v>336</v>
      </c>
      <c r="N122" s="534">
        <f ca="1">N26</f>
        <v>4.2554331410371038</v>
      </c>
      <c r="O122" s="534">
        <f ca="1">O26</f>
        <v>4.2554331410371038</v>
      </c>
      <c r="P122" s="534" t="s">
        <v>336</v>
      </c>
    </row>
    <row r="123" spans="1:39" x14ac:dyDescent="0.25">
      <c r="A123" s="812" t="s">
        <v>722</v>
      </c>
      <c r="B123" s="812" t="s">
        <v>752</v>
      </c>
      <c r="C123" s="133">
        <f ca="1">C119</f>
        <v>1.0416456427979586</v>
      </c>
      <c r="D123" s="537">
        <f ca="1">D119-L$111+R$111</f>
        <v>0.7620091110152718</v>
      </c>
      <c r="E123" s="537">
        <f ca="1">E119-M$111+S$111</f>
        <v>0.55797496366732779</v>
      </c>
      <c r="F123" s="538" t="s">
        <v>336</v>
      </c>
      <c r="G123" s="521">
        <f ca="1">G119</f>
        <v>1.0416456427979586</v>
      </c>
      <c r="H123" s="521">
        <f ca="1">H119</f>
        <v>1.0416456427979586</v>
      </c>
      <c r="I123" s="538" t="s">
        <v>336</v>
      </c>
      <c r="J123" s="133">
        <f ca="1">J119</f>
        <v>1.9050306616493182</v>
      </c>
      <c r="K123" s="537">
        <f ca="1">K119-X$111+AD$111</f>
        <v>1.9689262644309826</v>
      </c>
      <c r="L123" s="537">
        <f ca="1">L119-Y$111+AE$111</f>
        <v>1.9987446001219742</v>
      </c>
      <c r="M123" s="538" t="s">
        <v>336</v>
      </c>
      <c r="N123" s="521">
        <f ca="1">N119</f>
        <v>1.9050306616493182</v>
      </c>
      <c r="O123" s="521">
        <f ca="1">O119</f>
        <v>1.9050306616493182</v>
      </c>
      <c r="P123" s="538" t="s">
        <v>336</v>
      </c>
    </row>
    <row r="124" spans="1:39" x14ac:dyDescent="0.25">
      <c r="A124" s="812" t="s">
        <v>722</v>
      </c>
      <c r="B124" s="812" t="s">
        <v>754</v>
      </c>
      <c r="C124" s="133">
        <f ca="1">C120</f>
        <v>1.1371765461807342</v>
      </c>
      <c r="D124" s="521">
        <f ca="1">D120</f>
        <v>1.1371765461807342</v>
      </c>
      <c r="E124" s="521">
        <f ca="1">E120</f>
        <v>1.1371765461807342</v>
      </c>
      <c r="F124" s="536" t="s">
        <v>336</v>
      </c>
      <c r="G124" s="537">
        <f ca="1">G120-O$111+U$111</f>
        <v>0.83189412350921299</v>
      </c>
      <c r="H124" s="537">
        <f ca="1">H120-P$111+V$111</f>
        <v>0.60914769473250285</v>
      </c>
      <c r="I124" s="536" t="s">
        <v>336</v>
      </c>
      <c r="J124" s="133">
        <f ca="1">J120</f>
        <v>1.2734537485517063</v>
      </c>
      <c r="K124" s="521">
        <f ca="1">K120</f>
        <v>1.2734537485517063</v>
      </c>
      <c r="L124" s="521">
        <f ca="1">L120</f>
        <v>1.2734537485517063</v>
      </c>
      <c r="M124" s="536" t="s">
        <v>336</v>
      </c>
      <c r="N124" s="537">
        <f ca="1">N120-AA$111+AG$111</f>
        <v>1.3163734984985516</v>
      </c>
      <c r="O124" s="537">
        <f ca="1">O120-AB$111+AH$111</f>
        <v>1.3363061285216249</v>
      </c>
      <c r="P124" s="536" t="s">
        <v>336</v>
      </c>
    </row>
    <row r="125" spans="1:39" x14ac:dyDescent="0.25">
      <c r="A125" s="813" t="s">
        <v>722</v>
      </c>
      <c r="B125" s="813" t="s">
        <v>792</v>
      </c>
      <c r="C125" s="527">
        <f ca="1">C121</f>
        <v>0.58886136353363172</v>
      </c>
      <c r="D125" s="527">
        <f ca="1">D121</f>
        <v>0.58886136353363172</v>
      </c>
      <c r="E125" s="527">
        <f ca="1">E121</f>
        <v>0.58886136353363172</v>
      </c>
      <c r="F125" s="535" t="s">
        <v>336</v>
      </c>
      <c r="G125" s="527">
        <f ca="1">G121</f>
        <v>0.58886136353363172</v>
      </c>
      <c r="H125" s="527">
        <f ca="1">H121</f>
        <v>0.58886136353363172</v>
      </c>
      <c r="I125" s="535" t="s">
        <v>336</v>
      </c>
      <c r="J125" s="527">
        <f ca="1">J121</f>
        <v>1.0769487308360794</v>
      </c>
      <c r="K125" s="527">
        <f ca="1">K121</f>
        <v>1.0769487308360794</v>
      </c>
      <c r="L125" s="527">
        <f ca="1">L121</f>
        <v>1.0769487308360794</v>
      </c>
      <c r="M125" s="535" t="s">
        <v>336</v>
      </c>
      <c r="N125" s="527">
        <f ca="1">N121</f>
        <v>1.0769487308360794</v>
      </c>
      <c r="O125" s="527">
        <f ca="1">O121</f>
        <v>1.0769487308360794</v>
      </c>
      <c r="P125" s="535" t="s">
        <v>336</v>
      </c>
    </row>
    <row r="126" spans="1:39" x14ac:dyDescent="0.25">
      <c r="A126" s="348" t="s">
        <v>722</v>
      </c>
      <c r="B126" s="348" t="s">
        <v>793</v>
      </c>
      <c r="C126" s="466">
        <f ca="1">SUM(C123:C125)</f>
        <v>2.7676835525123242</v>
      </c>
      <c r="D126" s="466">
        <f ca="1">SUM(D123:D125)</f>
        <v>2.4880470207296375</v>
      </c>
      <c r="E126" s="466">
        <f ca="1">SUM(E123:E125)</f>
        <v>2.2840128733816938</v>
      </c>
      <c r="F126" s="534" t="s">
        <v>336</v>
      </c>
      <c r="G126" s="466">
        <f ca="1">SUM(G123:G125)</f>
        <v>2.4624011298408033</v>
      </c>
      <c r="H126" s="466">
        <f ca="1">SUM(H123:H125)</f>
        <v>2.2396547010640933</v>
      </c>
      <c r="I126" s="534" t="s">
        <v>336</v>
      </c>
      <c r="J126" s="466">
        <f ca="1">SUM(J123:J125)</f>
        <v>4.2554331410371038</v>
      </c>
      <c r="K126" s="466">
        <f ca="1">SUM(K123:K125)</f>
        <v>4.3193287438187689</v>
      </c>
      <c r="L126" s="466">
        <f ca="1">SUM(L123:L125)</f>
        <v>4.34914707950976</v>
      </c>
      <c r="M126" s="534" t="s">
        <v>336</v>
      </c>
      <c r="N126" s="466">
        <f ca="1">SUM(N123:N125)</f>
        <v>4.2983528909839492</v>
      </c>
      <c r="O126" s="466">
        <f ca="1">SUM(O123:O125)</f>
        <v>4.3182855210070228</v>
      </c>
      <c r="P126" s="534" t="s">
        <v>336</v>
      </c>
    </row>
    <row r="127" spans="1:39" x14ac:dyDescent="0.25">
      <c r="A127" s="363" t="s">
        <v>794</v>
      </c>
      <c r="B127" s="363" t="s">
        <v>793</v>
      </c>
      <c r="C127" s="532">
        <f ca="1">C122-C126</f>
        <v>0</v>
      </c>
      <c r="D127" s="532">
        <f ca="1">D122-D126</f>
        <v>0.27963653178268677</v>
      </c>
      <c r="E127" s="532">
        <f ca="1">E122-E126</f>
        <v>0.48367067913063044</v>
      </c>
      <c r="F127" s="533" t="s">
        <v>336</v>
      </c>
      <c r="G127" s="532">
        <f ca="1">G122-G126</f>
        <v>0.30528242267152095</v>
      </c>
      <c r="H127" s="532">
        <f ca="1">H122-H126</f>
        <v>0.52802885144823097</v>
      </c>
      <c r="I127" s="533" t="s">
        <v>336</v>
      </c>
      <c r="J127" s="532">
        <f ca="1">J122-J126</f>
        <v>0</v>
      </c>
      <c r="K127" s="532">
        <f ca="1">K122-K126</f>
        <v>-6.3895602781665062E-2</v>
      </c>
      <c r="L127" s="532">
        <f ca="1">L122-L126</f>
        <v>-9.3713938472656189E-2</v>
      </c>
      <c r="M127" s="533" t="s">
        <v>336</v>
      </c>
      <c r="N127" s="532">
        <f ca="1">N122-N126</f>
        <v>-4.2919749946845442E-2</v>
      </c>
      <c r="O127" s="532">
        <f ca="1">O122-O126</f>
        <v>-6.2852379969918992E-2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BA9B-E56E-4689-8F55-1D0F10959D5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2028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2028</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2028 Baseline NA Area PM2.5 Emissions (tpd) by Curtailment Regime</v>
      </c>
      <c r="D4" s="840"/>
      <c r="E4" s="840"/>
      <c r="F4" s="840"/>
      <c r="G4" s="840"/>
      <c r="H4" s="840"/>
      <c r="I4" s="840"/>
      <c r="J4" s="840" t="str">
        <f>$B$2&amp;" Baseline NA Area SO2 Emissions (tpd) by Curtailment Regime"</f>
        <v>2028 Baseline NA Area SO2 Emissions (tpd) by Curtailment Regime</v>
      </c>
      <c r="K4" s="840"/>
      <c r="L4" s="840"/>
      <c r="M4" s="840"/>
      <c r="N4" s="840"/>
      <c r="O4" s="840"/>
      <c r="P4" s="840"/>
      <c r="Q4" s="840" t="str">
        <f>$B$2&amp;" Baseline NA Area Energy Use (mmBTU) by Curtailment Regime"</f>
        <v>2028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0.70270127299948071</v>
      </c>
      <c r="D6" s="133">
        <f ca="1">INDIRECT("'DevSumOut-"&amp;$B$2&amp;"BSR'!R50")</f>
        <v>0.70270127299948071</v>
      </c>
      <c r="E6" s="133">
        <f ca="1">INDIRECT("'DevSumOut-"&amp;$B$2&amp;"BSR'!R50")</f>
        <v>0.70270127299948071</v>
      </c>
      <c r="F6" s="551" t="s">
        <v>336</v>
      </c>
      <c r="G6" s="133">
        <f ca="1">INDIRECT("'DevSumOut-"&amp;$B$2&amp;"BSR'!R50")</f>
        <v>0.70270127299948071</v>
      </c>
      <c r="H6" s="133">
        <f ca="1">INDIRECT("'DevSumOut-"&amp;$B$2&amp;"BSR'!R50")</f>
        <v>0.70270127299948071</v>
      </c>
      <c r="I6" s="551" t="s">
        <v>336</v>
      </c>
      <c r="J6" s="133">
        <f ca="1">INDIRECT("'DevSumOut-"&amp;$B$2&amp;"BSR'!P50")</f>
        <v>8.1237141387223225E-3</v>
      </c>
      <c r="K6" s="133">
        <f ca="1">INDIRECT("'DevSumOut-"&amp;$B$2&amp;"BSR'!P50")</f>
        <v>8.1237141387223225E-3</v>
      </c>
      <c r="L6" s="133">
        <f ca="1">INDIRECT("'DevSumOut-"&amp;$B$2&amp;"BSR'!P50")</f>
        <v>8.1237141387223225E-3</v>
      </c>
      <c r="M6" s="551" t="s">
        <v>336</v>
      </c>
      <c r="N6" s="133">
        <f ca="1">INDIRECT("'DevSumOut-"&amp;$B$2&amp;"BSR'!P50")</f>
        <v>8.1237141387223225E-3</v>
      </c>
      <c r="O6" s="133">
        <f ca="1">INDIRECT("'DevSumOut-"&amp;$B$2&amp;"BSR'!P50")</f>
        <v>8.1237141387223225E-3</v>
      </c>
      <c r="P6" s="551" t="s">
        <v>336</v>
      </c>
      <c r="Q6" s="45">
        <f ca="1">INDIRECT("'DevSumOut-"&amp;$B$2&amp;"BSR'!U50")</f>
        <v>652.25273765556108</v>
      </c>
      <c r="R6" s="45">
        <f ca="1">INDIRECT("'DevSumOut-"&amp;$B$2&amp;"BSR'!U50")</f>
        <v>652.25273765556108</v>
      </c>
      <c r="S6" s="45">
        <f ca="1">INDIRECT("'DevSumOut-"&amp;$B$2&amp;"BSR'!U50")</f>
        <v>652.25273765556108</v>
      </c>
      <c r="T6" s="581" t="s">
        <v>336</v>
      </c>
      <c r="U6" s="45">
        <f ca="1">INDIRECT("'DevSumOut-"&amp;$B$2&amp;"BSR'!U50")</f>
        <v>652.25273765556108</v>
      </c>
      <c r="V6" s="45">
        <f ca="1">INDIRECT("'DevSumOut-"&amp;$B$2&amp;"BSR'!U50")</f>
        <v>652.25273765556108</v>
      </c>
      <c r="W6" s="581" t="s">
        <v>336</v>
      </c>
      <c r="X6" s="133">
        <f t="shared" ref="X6:Z22" ca="1" si="0">C6*2000/Q6</f>
        <v>2.1546901451889657</v>
      </c>
      <c r="Y6" s="133">
        <f t="shared" ca="1" si="0"/>
        <v>2.1546901451889657</v>
      </c>
      <c r="Z6" s="133">
        <f t="shared" ca="1" si="0"/>
        <v>2.1546901451889657</v>
      </c>
      <c r="AA6" s="133"/>
      <c r="AB6" s="133">
        <f t="shared" ref="AB6:AC22" ca="1" si="1">G6*2000/U6</f>
        <v>2.1546901451889657</v>
      </c>
      <c r="AC6" s="133">
        <f t="shared" ca="1" si="1"/>
        <v>2.1546901451889657</v>
      </c>
    </row>
    <row r="7" spans="1:29" x14ac:dyDescent="0.25">
      <c r="A7" s="812">
        <v>2104008210</v>
      </c>
      <c r="B7" s="812" t="s">
        <v>138</v>
      </c>
      <c r="C7" s="133">
        <f ca="1">INDIRECT("'DevSumOut-"&amp;$B$2&amp;"BSR'!R51")</f>
        <v>5.484166470548698E-2</v>
      </c>
      <c r="D7" s="133">
        <f ca="1">INDIRECT("'DevSumOut-"&amp;$B$2&amp;"BSR'!R51")</f>
        <v>5.484166470548698E-2</v>
      </c>
      <c r="E7" s="133">
        <f ca="1">INDIRECT("'DevSumOut-"&amp;$B$2&amp;"BSR'!R51")</f>
        <v>5.484166470548698E-2</v>
      </c>
      <c r="F7" s="551" t="s">
        <v>336</v>
      </c>
      <c r="G7" s="133">
        <f ca="1">INDIRECT("'DevSumOut-"&amp;$B$2&amp;"BSR'!R51")</f>
        <v>5.484166470548698E-2</v>
      </c>
      <c r="H7" s="133">
        <f ca="1">INDIRECT("'DevSumOut-"&amp;$B$2&amp;"BSR'!R51")</f>
        <v>5.484166470548698E-2</v>
      </c>
      <c r="I7" s="551" t="s">
        <v>336</v>
      </c>
      <c r="J7" s="133">
        <f ca="1">INDIRECT("'DevSumOut-"&amp;$B$2&amp;"BSR'!P51")</f>
        <v>7.1688450595407821E-4</v>
      </c>
      <c r="K7" s="133">
        <f ca="1">INDIRECT("'DevSumOut-"&amp;$B$2&amp;"BSR'!P51")</f>
        <v>7.1688450595407821E-4</v>
      </c>
      <c r="L7" s="133">
        <f ca="1">INDIRECT("'DevSumOut-"&amp;$B$2&amp;"BSR'!P51")</f>
        <v>7.1688450595407821E-4</v>
      </c>
      <c r="M7" s="551" t="s">
        <v>336</v>
      </c>
      <c r="N7" s="133">
        <f ca="1">INDIRECT("'DevSumOut-"&amp;$B$2&amp;"BSR'!P51")</f>
        <v>7.1688450595407821E-4</v>
      </c>
      <c r="O7" s="133">
        <f ca="1">INDIRECT("'DevSumOut-"&amp;$B$2&amp;"BSR'!P51")</f>
        <v>7.1688450595407821E-4</v>
      </c>
      <c r="P7" s="551" t="s">
        <v>336</v>
      </c>
      <c r="Q7" s="45">
        <f ca="1">INDIRECT("'DevSumOut-"&amp;$B$2&amp;"BSR'!U51")</f>
        <v>57.548378332696409</v>
      </c>
      <c r="R7" s="45">
        <f ca="1">INDIRECT("'DevSumOut-"&amp;$B$2&amp;"BSR'!U51")</f>
        <v>57.548378332696409</v>
      </c>
      <c r="S7" s="45">
        <f ca="1">INDIRECT("'DevSumOut-"&amp;$B$2&amp;"BSR'!U51")</f>
        <v>57.548378332696409</v>
      </c>
      <c r="T7" s="581" t="s">
        <v>336</v>
      </c>
      <c r="U7" s="45">
        <f ca="1">INDIRECT("'DevSumOut-"&amp;$B$2&amp;"BSR'!U51")</f>
        <v>57.548378332696409</v>
      </c>
      <c r="V7" s="45">
        <f ca="1">INDIRECT("'DevSumOut-"&amp;$B$2&amp;"BSR'!U51")</f>
        <v>57.548378332696409</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2">
        <v>2104008220</v>
      </c>
      <c r="B8" s="812" t="s">
        <v>139</v>
      </c>
      <c r="C8" s="133">
        <f ca="1">INDIRECT("'DevSumOut-"&amp;$B$2&amp;"BSR'!R52")</f>
        <v>4.5280209877490284E-2</v>
      </c>
      <c r="D8" s="133">
        <f ca="1">INDIRECT("'DevSumOut-"&amp;$B$2&amp;"BSR'!R52")</f>
        <v>4.5280209877490284E-2</v>
      </c>
      <c r="E8" s="133">
        <f ca="1">INDIRECT("'DevSumOut-"&amp;$B$2&amp;"BSR'!R52")</f>
        <v>4.5280209877490284E-2</v>
      </c>
      <c r="F8" s="551" t="s">
        <v>336</v>
      </c>
      <c r="G8" s="133">
        <f ca="1">INDIRECT("'DevSumOut-"&amp;$B$2&amp;"BSR'!R52")</f>
        <v>4.5280209877490284E-2</v>
      </c>
      <c r="H8" s="133">
        <f ca="1">INDIRECT("'DevSumOut-"&amp;$B$2&amp;"BSR'!R52")</f>
        <v>4.5280209877490284E-2</v>
      </c>
      <c r="I8" s="551" t="s">
        <v>336</v>
      </c>
      <c r="J8" s="133">
        <f ca="1">INDIRECT("'DevSumOut-"&amp;$B$2&amp;"BSR'!P52")</f>
        <v>1.5093403292496762E-3</v>
      </c>
      <c r="K8" s="133">
        <f ca="1">INDIRECT("'DevSumOut-"&amp;$B$2&amp;"BSR'!P52")</f>
        <v>1.5093403292496762E-3</v>
      </c>
      <c r="L8" s="133">
        <f ca="1">INDIRECT("'DevSumOut-"&amp;$B$2&amp;"BSR'!P52")</f>
        <v>1.5093403292496762E-3</v>
      </c>
      <c r="M8" s="551" t="s">
        <v>336</v>
      </c>
      <c r="N8" s="133">
        <f ca="1">INDIRECT("'DevSumOut-"&amp;$B$2&amp;"BSR'!P52")</f>
        <v>1.5093403292496762E-3</v>
      </c>
      <c r="O8" s="133">
        <f ca="1">INDIRECT("'DevSumOut-"&amp;$B$2&amp;"BSR'!P52")</f>
        <v>1.5093403292496762E-3</v>
      </c>
      <c r="P8" s="551" t="s">
        <v>336</v>
      </c>
      <c r="Q8" s="45">
        <f ca="1">INDIRECT("'DevSumOut-"&amp;$B$2&amp;"BSR'!U52")</f>
        <v>121.16329419737937</v>
      </c>
      <c r="R8" s="45">
        <f ca="1">INDIRECT("'DevSumOut-"&amp;$B$2&amp;"BSR'!U52")</f>
        <v>121.16329419737937</v>
      </c>
      <c r="S8" s="45">
        <f ca="1">INDIRECT("'DevSumOut-"&amp;$B$2&amp;"BSR'!U52")</f>
        <v>121.16329419737937</v>
      </c>
      <c r="T8" s="581" t="s">
        <v>336</v>
      </c>
      <c r="U8" s="45">
        <f ca="1">INDIRECT("'DevSumOut-"&amp;$B$2&amp;"BSR'!U52")</f>
        <v>121.16329419737937</v>
      </c>
      <c r="V8" s="45">
        <f ca="1">INDIRECT("'DevSumOut-"&amp;$B$2&amp;"BSR'!U52")</f>
        <v>121.16329419737937</v>
      </c>
      <c r="W8" s="581" t="s">
        <v>336</v>
      </c>
      <c r="X8" s="133">
        <f t="shared" ca="1" si="0"/>
        <v>0.74742454267919112</v>
      </c>
      <c r="Y8" s="133">
        <f t="shared" ca="1" si="0"/>
        <v>0.74742454267919112</v>
      </c>
      <c r="Z8" s="133">
        <f t="shared" ca="1" si="0"/>
        <v>0.74742454267919112</v>
      </c>
      <c r="AA8" s="133"/>
      <c r="AB8" s="133">
        <f t="shared" ca="1" si="1"/>
        <v>0.74742454267919112</v>
      </c>
      <c r="AC8" s="133">
        <f t="shared" ca="1" si="1"/>
        <v>0.74742454267919112</v>
      </c>
    </row>
    <row r="9" spans="1:29" x14ac:dyDescent="0.25">
      <c r="A9" s="812">
        <v>2104008230</v>
      </c>
      <c r="B9" s="812" t="s">
        <v>140</v>
      </c>
      <c r="C9" s="133">
        <f ca="1">INDIRECT("'DevSumOut-"&amp;$B$2&amp;"BSR'!R53")</f>
        <v>2.9533835145677052E-2</v>
      </c>
      <c r="D9" s="133">
        <f ca="1">INDIRECT("'DevSumOut-"&amp;$B$2&amp;"BSR'!R53")</f>
        <v>2.9533835145677052E-2</v>
      </c>
      <c r="E9" s="133">
        <f ca="1">INDIRECT("'DevSumOut-"&amp;$B$2&amp;"BSR'!R53")</f>
        <v>2.9533835145677052E-2</v>
      </c>
      <c r="F9" s="551" t="s">
        <v>336</v>
      </c>
      <c r="G9" s="133">
        <f ca="1">INDIRECT("'DevSumOut-"&amp;$B$2&amp;"BSR'!R53")</f>
        <v>2.9533835145677052E-2</v>
      </c>
      <c r="H9" s="133">
        <f ca="1">INDIRECT("'DevSumOut-"&amp;$B$2&amp;"BSR'!R53")</f>
        <v>2.9533835145677052E-2</v>
      </c>
      <c r="I9" s="551" t="s">
        <v>336</v>
      </c>
      <c r="J9" s="133">
        <f ca="1">INDIRECT("'DevSumOut-"&amp;$B$2&amp;"BSR'!P53")</f>
        <v>9.0873338909775564E-4</v>
      </c>
      <c r="K9" s="133">
        <f ca="1">INDIRECT("'DevSumOut-"&amp;$B$2&amp;"BSR'!P53")</f>
        <v>9.0873338909775564E-4</v>
      </c>
      <c r="L9" s="133">
        <f ca="1">INDIRECT("'DevSumOut-"&amp;$B$2&amp;"BSR'!P53")</f>
        <v>9.0873338909775564E-4</v>
      </c>
      <c r="M9" s="551" t="s">
        <v>336</v>
      </c>
      <c r="N9" s="133">
        <f ca="1">INDIRECT("'DevSumOut-"&amp;$B$2&amp;"BSR'!P53")</f>
        <v>9.0873338909775564E-4</v>
      </c>
      <c r="O9" s="133">
        <f ca="1">INDIRECT("'DevSumOut-"&amp;$B$2&amp;"BSR'!P53")</f>
        <v>9.0873338909775564E-4</v>
      </c>
      <c r="P9" s="551" t="s">
        <v>336</v>
      </c>
      <c r="Q9" s="45">
        <f ca="1">INDIRECT("'DevSumOut-"&amp;$B$2&amp;"BSR'!U53")</f>
        <v>72.949174441637368</v>
      </c>
      <c r="R9" s="45">
        <f ca="1">INDIRECT("'DevSumOut-"&amp;$B$2&amp;"BSR'!U53")</f>
        <v>72.949174441637368</v>
      </c>
      <c r="S9" s="45">
        <f ca="1">INDIRECT("'DevSumOut-"&amp;$B$2&amp;"BSR'!U53")</f>
        <v>72.949174441637368</v>
      </c>
      <c r="T9" s="581" t="s">
        <v>336</v>
      </c>
      <c r="U9" s="45">
        <f ca="1">INDIRECT("'DevSumOut-"&amp;$B$2&amp;"BSR'!U53")</f>
        <v>72.949174441637368</v>
      </c>
      <c r="V9" s="45">
        <f ca="1">INDIRECT("'DevSumOut-"&amp;$B$2&amp;"BSR'!U53")</f>
        <v>72.949174441637368</v>
      </c>
      <c r="W9" s="581" t="s">
        <v>336</v>
      </c>
      <c r="X9" s="133">
        <f t="shared" ca="1" si="0"/>
        <v>0.80970992123579011</v>
      </c>
      <c r="Y9" s="133">
        <f t="shared" ca="1" si="0"/>
        <v>0.80970992123579011</v>
      </c>
      <c r="Z9" s="133">
        <f t="shared" ca="1" si="0"/>
        <v>0.80970992123579011</v>
      </c>
      <c r="AA9" s="133"/>
      <c r="AB9" s="133">
        <f t="shared" ca="1" si="1"/>
        <v>0.80970992123579011</v>
      </c>
      <c r="AC9" s="133">
        <f t="shared" ca="1" si="1"/>
        <v>0.80970992123579011</v>
      </c>
    </row>
    <row r="10" spans="1:29" x14ac:dyDescent="0.25">
      <c r="A10" s="812">
        <v>2104008310</v>
      </c>
      <c r="B10" s="812" t="s">
        <v>141</v>
      </c>
      <c r="C10" s="133">
        <f ca="1">INDIRECT("'DevSumOut-"&amp;$B$2&amp;"BSR'!R54")</f>
        <v>0.4416241970165144</v>
      </c>
      <c r="D10" s="133">
        <f ca="1">INDIRECT("'DevSumOut-"&amp;$B$2&amp;"BSR'!R54")</f>
        <v>0.4416241970165144</v>
      </c>
      <c r="E10" s="133">
        <f ca="1">INDIRECT("'DevSumOut-"&amp;$B$2&amp;"BSR'!R54")</f>
        <v>0.4416241970165144</v>
      </c>
      <c r="F10" s="551" t="s">
        <v>336</v>
      </c>
      <c r="G10" s="133">
        <f ca="1">INDIRECT("'DevSumOut-"&amp;$B$2&amp;"BSR'!R54")</f>
        <v>0.4416241970165144</v>
      </c>
      <c r="H10" s="133">
        <f ca="1">INDIRECT("'DevSumOut-"&amp;$B$2&amp;"BSR'!R54")</f>
        <v>0.4416241970165144</v>
      </c>
      <c r="I10" s="551" t="s">
        <v>336</v>
      </c>
      <c r="J10" s="133">
        <f ca="1">INDIRECT("'DevSumOut-"&amp;$B$2&amp;"BSR'!P54")</f>
        <v>1.4548612361242427E-2</v>
      </c>
      <c r="K10" s="133">
        <f ca="1">INDIRECT("'DevSumOut-"&amp;$B$2&amp;"BSR'!P54")</f>
        <v>1.4548612361242427E-2</v>
      </c>
      <c r="L10" s="133">
        <f ca="1">INDIRECT("'DevSumOut-"&amp;$B$2&amp;"BSR'!P54")</f>
        <v>1.4548612361242427E-2</v>
      </c>
      <c r="M10" s="551" t="s">
        <v>336</v>
      </c>
      <c r="N10" s="133">
        <f ca="1">INDIRECT("'DevSumOut-"&amp;$B$2&amp;"BSR'!P54")</f>
        <v>1.4548612361242427E-2</v>
      </c>
      <c r="O10" s="133">
        <f ca="1">INDIRECT("'DevSumOut-"&amp;$B$2&amp;"BSR'!P54")</f>
        <v>1.4548612361242427E-2</v>
      </c>
      <c r="P10" s="551" t="s">
        <v>336</v>
      </c>
      <c r="Q10" s="45">
        <f ca="1">INDIRECT("'DevSumOut-"&amp;$B$2&amp;"BSR'!U54")</f>
        <v>1167.8994892855937</v>
      </c>
      <c r="R10" s="45">
        <f ca="1">INDIRECT("'DevSumOut-"&amp;$B$2&amp;"BSR'!U54")</f>
        <v>1167.8994892855937</v>
      </c>
      <c r="S10" s="45">
        <f ca="1">INDIRECT("'DevSumOut-"&amp;$B$2&amp;"BSR'!U54")</f>
        <v>1167.8994892855937</v>
      </c>
      <c r="T10" s="581" t="s">
        <v>336</v>
      </c>
      <c r="U10" s="45">
        <f ca="1">INDIRECT("'DevSumOut-"&amp;$B$2&amp;"BSR'!U54")</f>
        <v>1167.8994892855937</v>
      </c>
      <c r="V10" s="45">
        <f ca="1">INDIRECT("'DevSumOut-"&amp;$B$2&amp;"BSR'!U54")</f>
        <v>1167.8994892855937</v>
      </c>
      <c r="W10" s="581" t="s">
        <v>336</v>
      </c>
      <c r="X10" s="133">
        <f t="shared" ca="1" si="0"/>
        <v>0.75627089671330661</v>
      </c>
      <c r="Y10" s="133">
        <f t="shared" ca="1" si="0"/>
        <v>0.75627089671330661</v>
      </c>
      <c r="Z10" s="133">
        <f t="shared" ca="1" si="0"/>
        <v>0.75627089671330661</v>
      </c>
      <c r="AA10" s="133"/>
      <c r="AB10" s="133">
        <f t="shared" ca="1" si="1"/>
        <v>0.75627089671330661</v>
      </c>
      <c r="AC10" s="133">
        <f t="shared" ca="1" si="1"/>
        <v>0.75627089671330661</v>
      </c>
    </row>
    <row r="11" spans="1:29" x14ac:dyDescent="0.25">
      <c r="A11" s="812">
        <v>2104008320</v>
      </c>
      <c r="B11" s="812" t="s">
        <v>142</v>
      </c>
      <c r="C11" s="133">
        <f ca="1">INDIRECT("'DevSumOut-"&amp;$B$2&amp;"BSR'!R55")</f>
        <v>0.60688401532077529</v>
      </c>
      <c r="D11" s="133">
        <f ca="1">INDIRECT("'DevSumOut-"&amp;$B$2&amp;"BSR'!R55")</f>
        <v>0.60688401532077529</v>
      </c>
      <c r="E11" s="133">
        <f ca="1">INDIRECT("'DevSumOut-"&amp;$B$2&amp;"BSR'!R55")</f>
        <v>0.60688401532077529</v>
      </c>
      <c r="F11" s="551" t="s">
        <v>336</v>
      </c>
      <c r="G11" s="133">
        <f ca="1">INDIRECT("'DevSumOut-"&amp;$B$2&amp;"BSR'!R55")</f>
        <v>0.60688401532077529</v>
      </c>
      <c r="H11" s="133">
        <f ca="1">INDIRECT("'DevSumOut-"&amp;$B$2&amp;"BSR'!R55")</f>
        <v>0.60688401532077529</v>
      </c>
      <c r="I11" s="551" t="s">
        <v>336</v>
      </c>
      <c r="J11" s="133">
        <f ca="1">INDIRECT("'DevSumOut-"&amp;$B$2&amp;"BSR'!P55")</f>
        <v>3.0630885713200481E-2</v>
      </c>
      <c r="K11" s="133">
        <f ca="1">INDIRECT("'DevSumOut-"&amp;$B$2&amp;"BSR'!P55")</f>
        <v>3.0630885713200481E-2</v>
      </c>
      <c r="L11" s="133">
        <f ca="1">INDIRECT("'DevSumOut-"&amp;$B$2&amp;"BSR'!P55")</f>
        <v>3.0630885713200481E-2</v>
      </c>
      <c r="M11" s="551" t="s">
        <v>336</v>
      </c>
      <c r="N11" s="133">
        <f ca="1">INDIRECT("'DevSumOut-"&amp;$B$2&amp;"BSR'!P55")</f>
        <v>3.0630885713200481E-2</v>
      </c>
      <c r="O11" s="133">
        <f ca="1">INDIRECT("'DevSumOut-"&amp;$B$2&amp;"BSR'!P55")</f>
        <v>3.0630885713200481E-2</v>
      </c>
      <c r="P11" s="551" t="s">
        <v>336</v>
      </c>
      <c r="Q11" s="45">
        <f ca="1">INDIRECT("'DevSumOut-"&amp;$B$2&amp;"BSR'!U55")</f>
        <v>2458.9146299693693</v>
      </c>
      <c r="R11" s="45">
        <f ca="1">INDIRECT("'DevSumOut-"&amp;$B$2&amp;"BSR'!U55")</f>
        <v>2458.9146299693693</v>
      </c>
      <c r="S11" s="45">
        <f ca="1">INDIRECT("'DevSumOut-"&amp;$B$2&amp;"BSR'!U55")</f>
        <v>2458.9146299693693</v>
      </c>
      <c r="T11" s="581" t="s">
        <v>336</v>
      </c>
      <c r="U11" s="45">
        <f ca="1">INDIRECT("'DevSumOut-"&amp;$B$2&amp;"BSR'!U55")</f>
        <v>2458.9146299693693</v>
      </c>
      <c r="V11" s="45">
        <f ca="1">INDIRECT("'DevSumOut-"&amp;$B$2&amp;"BSR'!U55")</f>
        <v>2458.9146299693693</v>
      </c>
      <c r="W11" s="581" t="s">
        <v>336</v>
      </c>
      <c r="X11" s="133">
        <f t="shared" ca="1" si="0"/>
        <v>0.49361942698135503</v>
      </c>
      <c r="Y11" s="133">
        <f t="shared" ca="1" si="0"/>
        <v>0.49361942698135503</v>
      </c>
      <c r="Z11" s="133">
        <f t="shared" ca="1" si="0"/>
        <v>0.49361942698135503</v>
      </c>
      <c r="AA11" s="133"/>
      <c r="AB11" s="133">
        <f t="shared" ca="1" si="1"/>
        <v>0.49361942698135503</v>
      </c>
      <c r="AC11" s="133">
        <f t="shared" ca="1" si="1"/>
        <v>0.49361942698135503</v>
      </c>
    </row>
    <row r="12" spans="1:29" x14ac:dyDescent="0.25">
      <c r="A12" s="812">
        <v>2104008330</v>
      </c>
      <c r="B12" s="812" t="s">
        <v>143</v>
      </c>
      <c r="C12" s="133">
        <f ca="1">INDIRECT("'DevSumOut-"&amp;$B$2&amp;"BSR'!R56")</f>
        <v>0.40543119968373398</v>
      </c>
      <c r="D12" s="133">
        <f ca="1">INDIRECT("'DevSumOut-"&amp;$B$2&amp;"BSR'!R56")</f>
        <v>0.40543119968373398</v>
      </c>
      <c r="E12" s="133">
        <f ca="1">INDIRECT("'DevSumOut-"&amp;$B$2&amp;"BSR'!R56")</f>
        <v>0.40543119968373398</v>
      </c>
      <c r="F12" s="551" t="s">
        <v>336</v>
      </c>
      <c r="G12" s="133">
        <f ca="1">INDIRECT("'DevSumOut-"&amp;$B$2&amp;"BSR'!R56")</f>
        <v>0.40543119968373398</v>
      </c>
      <c r="H12" s="133">
        <f ca="1">INDIRECT("'DevSumOut-"&amp;$B$2&amp;"BSR'!R56")</f>
        <v>0.40543119968373398</v>
      </c>
      <c r="I12" s="551" t="s">
        <v>336</v>
      </c>
      <c r="J12" s="133">
        <f ca="1">INDIRECT("'DevSumOut-"&amp;$B$2&amp;"BSR'!P56")</f>
        <v>1.8442035931724016E-2</v>
      </c>
      <c r="K12" s="133">
        <f ca="1">INDIRECT("'DevSumOut-"&amp;$B$2&amp;"BSR'!P56")</f>
        <v>1.8442035931724016E-2</v>
      </c>
      <c r="L12" s="133">
        <f ca="1">INDIRECT("'DevSumOut-"&amp;$B$2&amp;"BSR'!P56")</f>
        <v>1.8442035931724016E-2</v>
      </c>
      <c r="M12" s="551" t="s">
        <v>336</v>
      </c>
      <c r="N12" s="133">
        <f ca="1">INDIRECT("'DevSumOut-"&amp;$B$2&amp;"BSR'!P56")</f>
        <v>1.8442035931724016E-2</v>
      </c>
      <c r="O12" s="133">
        <f ca="1">INDIRECT("'DevSumOut-"&amp;$B$2&amp;"BSR'!P56")</f>
        <v>1.8442035931724016E-2</v>
      </c>
      <c r="P12" s="551" t="s">
        <v>336</v>
      </c>
      <c r="Q12" s="45">
        <f ca="1">INDIRECT("'DevSumOut-"&amp;$B$2&amp;"BSR'!U56")</f>
        <v>1480.4466440679639</v>
      </c>
      <c r="R12" s="45">
        <f ca="1">INDIRECT("'DevSumOut-"&amp;$B$2&amp;"BSR'!U56")</f>
        <v>1480.4466440679639</v>
      </c>
      <c r="S12" s="45">
        <f ca="1">INDIRECT("'DevSumOut-"&amp;$B$2&amp;"BSR'!U56")</f>
        <v>1480.4466440679639</v>
      </c>
      <c r="T12" s="581" t="s">
        <v>336</v>
      </c>
      <c r="U12" s="45">
        <f ca="1">INDIRECT("'DevSumOut-"&amp;$B$2&amp;"BSR'!U56")</f>
        <v>1480.4466440679639</v>
      </c>
      <c r="V12" s="45">
        <f ca="1">INDIRECT("'DevSumOut-"&amp;$B$2&amp;"BSR'!U56")</f>
        <v>1480.4466440679639</v>
      </c>
      <c r="W12" s="581" t="s">
        <v>336</v>
      </c>
      <c r="X12" s="133">
        <f t="shared" ca="1" si="0"/>
        <v>0.54771470665054445</v>
      </c>
      <c r="Y12" s="133">
        <f t="shared" ca="1" si="0"/>
        <v>0.54771470665054445</v>
      </c>
      <c r="Z12" s="133">
        <f t="shared" ca="1" si="0"/>
        <v>0.54771470665054445</v>
      </c>
      <c r="AA12" s="133"/>
      <c r="AB12" s="133">
        <f t="shared" ca="1" si="1"/>
        <v>0.54771470665054445</v>
      </c>
      <c r="AC12" s="133">
        <f t="shared" ca="1" si="1"/>
        <v>0.54771470665054445</v>
      </c>
    </row>
    <row r="13" spans="1:29" x14ac:dyDescent="0.25">
      <c r="A13" s="812">
        <v>2104008410</v>
      </c>
      <c r="B13" s="812" t="s">
        <v>144</v>
      </c>
      <c r="C13" s="133">
        <f ca="1">INDIRECT("'DevSumOut-"&amp;$B$2&amp;"BSR'!R57")</f>
        <v>1.4959881640923456E-2</v>
      </c>
      <c r="D13" s="133">
        <f ca="1">INDIRECT("'DevSumOut-"&amp;$B$2&amp;"BSR'!R57")</f>
        <v>1.4959881640923456E-2</v>
      </c>
      <c r="E13" s="133">
        <f ca="1">INDIRECT("'DevSumOut-"&amp;$B$2&amp;"BSR'!R57")</f>
        <v>1.4959881640923456E-2</v>
      </c>
      <c r="F13" s="551" t="s">
        <v>336</v>
      </c>
      <c r="G13" s="133">
        <f ca="1">INDIRECT("'DevSumOut-"&amp;$B$2&amp;"BSR'!R57")</f>
        <v>1.4959881640923456E-2</v>
      </c>
      <c r="H13" s="133">
        <f ca="1">INDIRECT("'DevSumOut-"&amp;$B$2&amp;"BSR'!R57")</f>
        <v>1.4959881640923456E-2</v>
      </c>
      <c r="I13" s="551" t="s">
        <v>336</v>
      </c>
      <c r="J13" s="133">
        <f ca="1">INDIRECT("'DevSumOut-"&amp;$B$2&amp;"BSR'!P57")</f>
        <v>1.6172845017214546E-3</v>
      </c>
      <c r="K13" s="133">
        <f ca="1">INDIRECT("'DevSumOut-"&amp;$B$2&amp;"BSR'!P57")</f>
        <v>1.6172845017214546E-3</v>
      </c>
      <c r="L13" s="133">
        <f ca="1">INDIRECT("'DevSumOut-"&amp;$B$2&amp;"BSR'!P57")</f>
        <v>1.6172845017214546E-3</v>
      </c>
      <c r="M13" s="551" t="s">
        <v>336</v>
      </c>
      <c r="N13" s="133">
        <f ca="1">INDIRECT("'DevSumOut-"&amp;$B$2&amp;"BSR'!P57")</f>
        <v>1.6172845017214546E-3</v>
      </c>
      <c r="O13" s="133">
        <f ca="1">INDIRECT("'DevSumOut-"&amp;$B$2&amp;"BSR'!P57")</f>
        <v>1.6172845017214546E-3</v>
      </c>
      <c r="P13" s="551" t="s">
        <v>336</v>
      </c>
      <c r="Q13" s="45">
        <f ca="1">INDIRECT("'DevSumOut-"&amp;$B$2&amp;"BSR'!U57")</f>
        <v>155.039173326184</v>
      </c>
      <c r="R13" s="45">
        <f ca="1">INDIRECT("'DevSumOut-"&amp;$B$2&amp;"BSR'!U57")</f>
        <v>155.039173326184</v>
      </c>
      <c r="S13" s="45">
        <f ca="1">INDIRECT("'DevSumOut-"&amp;$B$2&amp;"BSR'!U57")</f>
        <v>155.039173326184</v>
      </c>
      <c r="T13" s="581" t="s">
        <v>336</v>
      </c>
      <c r="U13" s="45">
        <f ca="1">INDIRECT("'DevSumOut-"&amp;$B$2&amp;"BSR'!U57")</f>
        <v>155.039173326184</v>
      </c>
      <c r="V13" s="45">
        <f ca="1">INDIRECT("'DevSumOut-"&amp;$B$2&amp;"BSR'!U57")</f>
        <v>155.039173326184</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2">
        <v>2104008420</v>
      </c>
      <c r="B14" s="812" t="s">
        <v>145</v>
      </c>
      <c r="C14" s="133">
        <f ca="1">INDIRECT("'DevSumOut-"&amp;$B$2&amp;"BSR'!R58")</f>
        <v>5.0460145706960634E-2</v>
      </c>
      <c r="D14" s="133">
        <f ca="1">INDIRECT("'DevSumOut-"&amp;$B$2&amp;"BSR'!R58")</f>
        <v>5.0460145706960634E-2</v>
      </c>
      <c r="E14" s="133">
        <f ca="1">INDIRECT("'DevSumOut-"&amp;$B$2&amp;"BSR'!R58")</f>
        <v>5.0460145706960634E-2</v>
      </c>
      <c r="F14" s="551" t="s">
        <v>336</v>
      </c>
      <c r="G14" s="133">
        <f ca="1">INDIRECT("'DevSumOut-"&amp;$B$2&amp;"BSR'!R58")</f>
        <v>5.0460145706960634E-2</v>
      </c>
      <c r="H14" s="133">
        <f ca="1">INDIRECT("'DevSumOut-"&amp;$B$2&amp;"BSR'!R58")</f>
        <v>5.0460145706960634E-2</v>
      </c>
      <c r="I14" s="551" t="s">
        <v>336</v>
      </c>
      <c r="J14" s="133">
        <f ca="1">INDIRECT("'DevSumOut-"&amp;$B$2&amp;"BSR'!P58")</f>
        <v>5.455150887238986E-3</v>
      </c>
      <c r="K14" s="133">
        <f ca="1">INDIRECT("'DevSumOut-"&amp;$B$2&amp;"BSR'!P58")</f>
        <v>5.455150887238986E-3</v>
      </c>
      <c r="L14" s="133">
        <f ca="1">INDIRECT("'DevSumOut-"&amp;$B$2&amp;"BSR'!P58")</f>
        <v>5.455150887238986E-3</v>
      </c>
      <c r="M14" s="551" t="s">
        <v>336</v>
      </c>
      <c r="N14" s="133">
        <f ca="1">INDIRECT("'DevSumOut-"&amp;$B$2&amp;"BSR'!P58")</f>
        <v>5.455150887238986E-3</v>
      </c>
      <c r="O14" s="133">
        <f ca="1">INDIRECT("'DevSumOut-"&amp;$B$2&amp;"BSR'!P58")</f>
        <v>5.455150887238986E-3</v>
      </c>
      <c r="P14" s="551" t="s">
        <v>336</v>
      </c>
      <c r="Q14" s="45">
        <f ca="1">INDIRECT("'DevSumOut-"&amp;$B$2&amp;"BSR'!U58")</f>
        <v>522.9519500291342</v>
      </c>
      <c r="R14" s="45">
        <f ca="1">INDIRECT("'DevSumOut-"&amp;$B$2&amp;"BSR'!U58")</f>
        <v>522.9519500291342</v>
      </c>
      <c r="S14" s="45">
        <f ca="1">INDIRECT("'DevSumOut-"&amp;$B$2&amp;"BSR'!U58")</f>
        <v>522.9519500291342</v>
      </c>
      <c r="T14" s="581" t="s">
        <v>336</v>
      </c>
      <c r="U14" s="45">
        <f ca="1">INDIRECT("'DevSumOut-"&amp;$B$2&amp;"BSR'!U58")</f>
        <v>522.9519500291342</v>
      </c>
      <c r="V14" s="45">
        <f ca="1">INDIRECT("'DevSumOut-"&amp;$B$2&amp;"BSR'!U58")</f>
        <v>522.9519500291342</v>
      </c>
      <c r="W14" s="581" t="s">
        <v>336</v>
      </c>
      <c r="X14" s="133">
        <f t="shared" ca="1" si="0"/>
        <v>0.19298195830094694</v>
      </c>
      <c r="Y14" s="133">
        <f t="shared" ca="1" si="0"/>
        <v>0.19298195830094694</v>
      </c>
      <c r="Z14" s="133">
        <f t="shared" ca="1" si="0"/>
        <v>0.19298195830094694</v>
      </c>
      <c r="AA14" s="133"/>
      <c r="AB14" s="133">
        <f t="shared" ca="1" si="1"/>
        <v>0.19298195830094694</v>
      </c>
      <c r="AC14" s="133">
        <f t="shared" ca="1" si="1"/>
        <v>0.19298195830094694</v>
      </c>
    </row>
    <row r="15" spans="1:29" x14ac:dyDescent="0.25">
      <c r="A15" s="812">
        <v>2104008610</v>
      </c>
      <c r="B15" s="812" t="s">
        <v>146</v>
      </c>
      <c r="C15" s="133">
        <f ca="1">INDIRECT("'DevSumOut-"&amp;$B$2&amp;"BSR'!R59")</f>
        <v>0.25070527808340831</v>
      </c>
      <c r="D15" s="133">
        <f ca="1">INDIRECT("'DevSumOut-"&amp;$B$2&amp;"BSR'!R59")</f>
        <v>0.25070527808340831</v>
      </c>
      <c r="E15" s="133">
        <f ca="1">INDIRECT("'DevSumOut-"&amp;$B$2&amp;"BSR'!R59")</f>
        <v>0.25070527808340831</v>
      </c>
      <c r="F15" s="551" t="s">
        <v>336</v>
      </c>
      <c r="G15" s="133">
        <f ca="1">INDIRECT("'DevSumOut-"&amp;$B$2&amp;"BSR'!R59")</f>
        <v>0.25070527808340831</v>
      </c>
      <c r="H15" s="133">
        <f ca="1">INDIRECT("'DevSumOut-"&amp;$B$2&amp;"BSR'!R59")</f>
        <v>0.25070527808340831</v>
      </c>
      <c r="I15" s="551" t="s">
        <v>336</v>
      </c>
      <c r="J15" s="133">
        <f ca="1">INDIRECT("'DevSumOut-"&amp;$B$2&amp;"BSR'!P59")</f>
        <v>1.0160138407960075E-2</v>
      </c>
      <c r="K15" s="133">
        <f ca="1">INDIRECT("'DevSumOut-"&amp;$B$2&amp;"BSR'!P59")</f>
        <v>1.0160138407960075E-2</v>
      </c>
      <c r="L15" s="133">
        <f ca="1">INDIRECT("'DevSumOut-"&amp;$B$2&amp;"BSR'!P59")</f>
        <v>1.0160138407960075E-2</v>
      </c>
      <c r="M15" s="551" t="s">
        <v>336</v>
      </c>
      <c r="N15" s="133">
        <f ca="1">INDIRECT("'DevSumOut-"&amp;$B$2&amp;"BSR'!P59")</f>
        <v>1.0160138407960075E-2</v>
      </c>
      <c r="O15" s="133">
        <f ca="1">INDIRECT("'DevSumOut-"&amp;$B$2&amp;"BSR'!P59")</f>
        <v>1.0160138407960075E-2</v>
      </c>
      <c r="P15" s="551" t="s">
        <v>336</v>
      </c>
      <c r="Q15" s="45">
        <f ca="1">INDIRECT("'DevSumOut-"&amp;$B$2&amp;"BSR'!U59")</f>
        <v>815.33186276124832</v>
      </c>
      <c r="R15" s="45">
        <f ca="1">INDIRECT("'DevSumOut-"&amp;$B$2&amp;"BSR'!U59")</f>
        <v>815.33186276124832</v>
      </c>
      <c r="S15" s="45">
        <f ca="1">INDIRECT("'DevSumOut-"&amp;$B$2&amp;"BSR'!U59")</f>
        <v>815.33186276124832</v>
      </c>
      <c r="T15" s="581" t="s">
        <v>336</v>
      </c>
      <c r="U15" s="45">
        <f ca="1">INDIRECT("'DevSumOut-"&amp;$B$2&amp;"BSR'!U59")</f>
        <v>815.33186276124832</v>
      </c>
      <c r="V15" s="45">
        <f ca="1">INDIRECT("'DevSumOut-"&amp;$B$2&amp;"BSR'!U59")</f>
        <v>815.33186276124832</v>
      </c>
      <c r="W15" s="581" t="s">
        <v>336</v>
      </c>
      <c r="X15" s="133">
        <f t="shared" ca="1" si="0"/>
        <v>0.61497726149044596</v>
      </c>
      <c r="Y15" s="133">
        <f t="shared" ca="1" si="0"/>
        <v>0.61497726149044596</v>
      </c>
      <c r="Z15" s="133">
        <f t="shared" ca="1" si="0"/>
        <v>0.61497726149044596</v>
      </c>
      <c r="AA15" s="133"/>
      <c r="AB15" s="133">
        <f t="shared" ca="1" si="1"/>
        <v>0.61497726149044596</v>
      </c>
      <c r="AC15" s="133">
        <f t="shared" ca="1" si="1"/>
        <v>0.61497726149044596</v>
      </c>
    </row>
    <row r="16" spans="1:29" x14ac:dyDescent="0.25">
      <c r="A16" s="812">
        <v>2104004000</v>
      </c>
      <c r="B16" s="812" t="s">
        <v>568</v>
      </c>
      <c r="C16" s="133">
        <f ca="1">INDIRECT("'DevSumOut-"&amp;$B$2&amp;"BSR'!R60")</f>
        <v>5.4436912425749232E-2</v>
      </c>
      <c r="D16" s="133">
        <f ca="1">INDIRECT("'DevSumOut-"&amp;$B$2&amp;"BSR'!R60")</f>
        <v>5.4436912425749232E-2</v>
      </c>
      <c r="E16" s="133">
        <f ca="1">INDIRECT("'DevSumOut-"&amp;$B$2&amp;"BSR'!R60")</f>
        <v>5.4436912425749232E-2</v>
      </c>
      <c r="F16" s="551" t="s">
        <v>336</v>
      </c>
      <c r="G16" s="133">
        <f ca="1">INDIRECT("'DevSumOut-"&amp;$B$2&amp;"BSR'!R60")</f>
        <v>5.4436912425749232E-2</v>
      </c>
      <c r="H16" s="133">
        <f ca="1">INDIRECT("'DevSumOut-"&amp;$B$2&amp;"BSR'!R60")</f>
        <v>5.4436912425749232E-2</v>
      </c>
      <c r="I16" s="551" t="s">
        <v>336</v>
      </c>
      <c r="J16" s="133">
        <f ca="1">INDIRECT("'DevSumOut-"&amp;$B$2&amp;"BSR'!P60")</f>
        <v>3.4458544612868578</v>
      </c>
      <c r="K16" s="133">
        <f ca="1">INDIRECT("'DevSumOut-"&amp;$B$2&amp;"BSR'!P60")</f>
        <v>3.4458544612868578</v>
      </c>
      <c r="L16" s="133">
        <f ca="1">INDIRECT("'DevSumOut-"&amp;$B$2&amp;"BSR'!P60")</f>
        <v>3.4458544612868578</v>
      </c>
      <c r="M16" s="551" t="s">
        <v>336</v>
      </c>
      <c r="N16" s="133">
        <f ca="1">INDIRECT("'DevSumOut-"&amp;$B$2&amp;"BSR'!P60")</f>
        <v>3.4458544612868578</v>
      </c>
      <c r="O16" s="133">
        <f ca="1">INDIRECT("'DevSumOut-"&amp;$B$2&amp;"BSR'!P60")</f>
        <v>3.4458544612868578</v>
      </c>
      <c r="P16" s="551" t="s">
        <v>336</v>
      </c>
      <c r="Q16" s="45">
        <f ca="1">INDIRECT("'DevSumOut-"&amp;$B$2&amp;"BSR'!U60")</f>
        <v>32002.016674566621</v>
      </c>
      <c r="R16" s="45">
        <f ca="1">INDIRECT("'DevSumOut-"&amp;$B$2&amp;"BSR'!U60")</f>
        <v>32002.016674566621</v>
      </c>
      <c r="S16" s="45">
        <f ca="1">INDIRECT("'DevSumOut-"&amp;$B$2&amp;"BSR'!U60")</f>
        <v>32002.016674566621</v>
      </c>
      <c r="T16" s="581" t="s">
        <v>336</v>
      </c>
      <c r="U16" s="45">
        <f ca="1">INDIRECT("'DevSumOut-"&amp;$B$2&amp;"BSR'!U60")</f>
        <v>32002.016674566621</v>
      </c>
      <c r="V16" s="45">
        <f ca="1">INDIRECT("'DevSumOut-"&amp;$B$2&amp;"BSR'!U60")</f>
        <v>32002.016674566621</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2">
        <v>2103004001</v>
      </c>
      <c r="B17" s="812" t="s">
        <v>148</v>
      </c>
      <c r="C17" s="133">
        <f ca="1">INDIRECT("'DevSumOut-"&amp;$B$2&amp;"BSR'!R61")</f>
        <v>1.8504834317480963E-2</v>
      </c>
      <c r="D17" s="133">
        <f ca="1">INDIRECT("'DevSumOut-"&amp;$B$2&amp;"BSR'!R61")</f>
        <v>1.8504834317480963E-2</v>
      </c>
      <c r="E17" s="133">
        <f ca="1">INDIRECT("'DevSumOut-"&amp;$B$2&amp;"BSR'!R61")</f>
        <v>1.8504834317480963E-2</v>
      </c>
      <c r="F17" s="551" t="s">
        <v>336</v>
      </c>
      <c r="G17" s="133">
        <f ca="1">INDIRECT("'DevSumOut-"&amp;$B$2&amp;"BSR'!R61")</f>
        <v>1.8504834317480963E-2</v>
      </c>
      <c r="H17" s="133">
        <f ca="1">INDIRECT("'DevSumOut-"&amp;$B$2&amp;"BSR'!R61")</f>
        <v>1.8504834317480963E-2</v>
      </c>
      <c r="I17" s="551" t="s">
        <v>336</v>
      </c>
      <c r="J17" s="133">
        <f ca="1">INDIRECT("'DevSumOut-"&amp;$B$2&amp;"BSR'!P61")</f>
        <v>0.51564214530586516</v>
      </c>
      <c r="K17" s="133">
        <f ca="1">INDIRECT("'DevSumOut-"&amp;$B$2&amp;"BSR'!P61")</f>
        <v>0.51564214530586516</v>
      </c>
      <c r="L17" s="133">
        <f ca="1">INDIRECT("'DevSumOut-"&amp;$B$2&amp;"BSR'!P61")</f>
        <v>0.51564214530586516</v>
      </c>
      <c r="M17" s="551" t="s">
        <v>336</v>
      </c>
      <c r="N17" s="133">
        <f ca="1">INDIRECT("'DevSumOut-"&amp;$B$2&amp;"BSR'!P61")</f>
        <v>0.51564214530586516</v>
      </c>
      <c r="O17" s="133">
        <f ca="1">INDIRECT("'DevSumOut-"&amp;$B$2&amp;"BSR'!P61")</f>
        <v>0.51564214530586516</v>
      </c>
      <c r="P17" s="551" t="s">
        <v>336</v>
      </c>
      <c r="Q17" s="45">
        <f ca="1">INDIRECT("'DevSumOut-"&amp;$B$2&amp;"BSR'!U61")</f>
        <v>11226.175352876997</v>
      </c>
      <c r="R17" s="45">
        <f ca="1">INDIRECT("'DevSumOut-"&amp;$B$2&amp;"BSR'!U61")</f>
        <v>11226.175352876997</v>
      </c>
      <c r="S17" s="45">
        <f ca="1">INDIRECT("'DevSumOut-"&amp;$B$2&amp;"BSR'!U61")</f>
        <v>11226.175352876997</v>
      </c>
      <c r="T17" s="581" t="s">
        <v>336</v>
      </c>
      <c r="U17" s="45">
        <f ca="1">INDIRECT("'DevSumOut-"&amp;$B$2&amp;"BSR'!U61")</f>
        <v>11226.175352876997</v>
      </c>
      <c r="V17" s="45">
        <f ca="1">INDIRECT("'DevSumOut-"&amp;$B$2&amp;"BSR'!U61")</f>
        <v>11226.175352876997</v>
      </c>
      <c r="W17" s="581" t="s">
        <v>336</v>
      </c>
      <c r="X17" s="133">
        <f t="shared" ca="1" si="0"/>
        <v>3.2967299611507709E-3</v>
      </c>
      <c r="Y17" s="133">
        <f t="shared" ca="1" si="0"/>
        <v>3.2967299611507709E-3</v>
      </c>
      <c r="Z17" s="133">
        <f t="shared" ca="1" si="0"/>
        <v>3.2967299611507709E-3</v>
      </c>
      <c r="AA17" s="133"/>
      <c r="AB17" s="133">
        <f t="shared" ca="1" si="1"/>
        <v>3.2967299611507709E-3</v>
      </c>
      <c r="AC17" s="133">
        <f t="shared" ca="1" si="1"/>
        <v>3.2967299611507709E-3</v>
      </c>
    </row>
    <row r="18" spans="1:29" x14ac:dyDescent="0.25">
      <c r="A18" s="812">
        <v>2104004000</v>
      </c>
      <c r="B18" s="812" t="s">
        <v>746</v>
      </c>
      <c r="C18" s="133">
        <f ca="1">INDIRECT("'DevSumOut-"&amp;$B$2&amp;"BSR'!R62")</f>
        <v>3.2584520055971365E-4</v>
      </c>
      <c r="D18" s="133">
        <f ca="1">INDIRECT("'DevSumOut-"&amp;$B$2&amp;"BSR'!R62")</f>
        <v>3.2584520055971365E-4</v>
      </c>
      <c r="E18" s="133">
        <f ca="1">INDIRECT("'DevSumOut-"&amp;$B$2&amp;"BSR'!R62")</f>
        <v>3.2584520055971365E-4</v>
      </c>
      <c r="F18" s="551" t="s">
        <v>336</v>
      </c>
      <c r="G18" s="133">
        <f ca="1">INDIRECT("'DevSumOut-"&amp;$B$2&amp;"BSR'!R62")</f>
        <v>3.2584520055971365E-4</v>
      </c>
      <c r="H18" s="133">
        <f ca="1">INDIRECT("'DevSumOut-"&amp;$B$2&amp;"BSR'!R62")</f>
        <v>3.2584520055971365E-4</v>
      </c>
      <c r="I18" s="551" t="s">
        <v>336</v>
      </c>
      <c r="J18" s="133">
        <f ca="1">INDIRECT("'DevSumOut-"&amp;$B$2&amp;"BSR'!P62")</f>
        <v>2.3544416490188541E-2</v>
      </c>
      <c r="K18" s="133">
        <f ca="1">INDIRECT("'DevSumOut-"&amp;$B$2&amp;"BSR'!P62")</f>
        <v>2.3544416490188541E-2</v>
      </c>
      <c r="L18" s="133">
        <f ca="1">INDIRECT("'DevSumOut-"&amp;$B$2&amp;"BSR'!P62")</f>
        <v>2.3544416490188541E-2</v>
      </c>
      <c r="M18" s="551" t="s">
        <v>336</v>
      </c>
      <c r="N18" s="133">
        <f ca="1">INDIRECT("'DevSumOut-"&amp;$B$2&amp;"BSR'!P62")</f>
        <v>2.3544416490188541E-2</v>
      </c>
      <c r="O18" s="133">
        <f ca="1">INDIRECT("'DevSumOut-"&amp;$B$2&amp;"BSR'!P62")</f>
        <v>2.3544416490188541E-2</v>
      </c>
      <c r="P18" s="551" t="s">
        <v>336</v>
      </c>
      <c r="Q18" s="45">
        <f ca="1">INDIRECT("'DevSumOut-"&amp;$B$2&amp;"BSR'!U62")</f>
        <v>223.19581625338978</v>
      </c>
      <c r="R18" s="45">
        <f ca="1">INDIRECT("'DevSumOut-"&amp;$B$2&amp;"BSR'!U62")</f>
        <v>223.19581625338978</v>
      </c>
      <c r="S18" s="45">
        <f ca="1">INDIRECT("'DevSumOut-"&amp;$B$2&amp;"BSR'!U62")</f>
        <v>223.19581625338978</v>
      </c>
      <c r="T18" s="581" t="s">
        <v>336</v>
      </c>
      <c r="U18" s="45">
        <f ca="1">INDIRECT("'DevSumOut-"&amp;$B$2&amp;"BSR'!U62")</f>
        <v>223.19581625338978</v>
      </c>
      <c r="V18" s="45">
        <f ca="1">INDIRECT("'DevSumOut-"&amp;$B$2&amp;"BSR'!U62")</f>
        <v>223.19581625338978</v>
      </c>
      <c r="W18" s="581" t="s">
        <v>336</v>
      </c>
      <c r="X18" s="133">
        <f t="shared" ca="1" si="0"/>
        <v>2.9198145917734234E-3</v>
      </c>
      <c r="Y18" s="133">
        <f t="shared" ca="1" si="0"/>
        <v>2.9198145917734234E-3</v>
      </c>
      <c r="Z18" s="133">
        <f t="shared" ca="1" si="0"/>
        <v>2.9198145917734234E-3</v>
      </c>
      <c r="AA18" s="133"/>
      <c r="AB18" s="133">
        <f t="shared" ca="1" si="1"/>
        <v>2.9198145917734234E-3</v>
      </c>
      <c r="AC18" s="133">
        <f t="shared" ca="1" si="1"/>
        <v>2.9198145917734234E-3</v>
      </c>
    </row>
    <row r="19" spans="1:29" x14ac:dyDescent="0.25">
      <c r="A19" s="812">
        <v>2104007000</v>
      </c>
      <c r="B19" s="812" t="s">
        <v>747</v>
      </c>
      <c r="C19" s="133">
        <f ca="1">INDIRECT("'DevSumOut-"&amp;$B$2&amp;"BSR'!R63")</f>
        <v>1.2583767679803641E-3</v>
      </c>
      <c r="D19" s="133">
        <f ca="1">INDIRECT("'DevSumOut-"&amp;$B$2&amp;"BSR'!R63")</f>
        <v>1.2583767679803641E-3</v>
      </c>
      <c r="E19" s="133">
        <f ca="1">INDIRECT("'DevSumOut-"&amp;$B$2&amp;"BSR'!R63")</f>
        <v>1.2583767679803641E-3</v>
      </c>
      <c r="F19" s="551" t="s">
        <v>336</v>
      </c>
      <c r="G19" s="133">
        <f ca="1">INDIRECT("'DevSumOut-"&amp;$B$2&amp;"BSR'!R63")</f>
        <v>1.2583767679803641E-3</v>
      </c>
      <c r="H19" s="133">
        <f ca="1">INDIRECT("'DevSumOut-"&amp;$B$2&amp;"BSR'!R63")</f>
        <v>1.2583767679803641E-3</v>
      </c>
      <c r="I19" s="551" t="s">
        <v>336</v>
      </c>
      <c r="J19" s="133">
        <f ca="1">INDIRECT("'DevSumOut-"&amp;$B$2&amp;"BSR'!P63")</f>
        <v>7.9655200978551707E-2</v>
      </c>
      <c r="K19" s="133">
        <f ca="1">INDIRECT("'DevSumOut-"&amp;$B$2&amp;"BSR'!P63")</f>
        <v>7.9655200978551707E-2</v>
      </c>
      <c r="L19" s="133">
        <f ca="1">INDIRECT("'DevSumOut-"&amp;$B$2&amp;"BSR'!P63")</f>
        <v>7.9655200978551707E-2</v>
      </c>
      <c r="M19" s="551" t="s">
        <v>336</v>
      </c>
      <c r="N19" s="133">
        <f ca="1">INDIRECT("'DevSumOut-"&amp;$B$2&amp;"BSR'!P63")</f>
        <v>7.9655200978551707E-2</v>
      </c>
      <c r="O19" s="133">
        <f ca="1">INDIRECT("'DevSumOut-"&amp;$B$2&amp;"BSR'!P63")</f>
        <v>7.9655200978551707E-2</v>
      </c>
      <c r="P19" s="551" t="s">
        <v>336</v>
      </c>
      <c r="Q19" s="45">
        <f ca="1">INDIRECT("'DevSumOut-"&amp;$B$2&amp;"BSR'!U63")</f>
        <v>688.99735074387445</v>
      </c>
      <c r="R19" s="45">
        <f ca="1">INDIRECT("'DevSumOut-"&amp;$B$2&amp;"BSR'!U63")</f>
        <v>688.99735074387445</v>
      </c>
      <c r="S19" s="45">
        <f ca="1">INDIRECT("'DevSumOut-"&amp;$B$2&amp;"BSR'!U63")</f>
        <v>688.99735074387445</v>
      </c>
      <c r="T19" s="581" t="s">
        <v>336</v>
      </c>
      <c r="U19" s="45">
        <f ca="1">INDIRECT("'DevSumOut-"&amp;$B$2&amp;"BSR'!U63")</f>
        <v>688.99735074387445</v>
      </c>
      <c r="V19" s="45">
        <f ca="1">INDIRECT("'DevSumOut-"&amp;$B$2&amp;"BSR'!U63")</f>
        <v>688.99735074387445</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2">
        <v>2104006010</v>
      </c>
      <c r="B20" s="812"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2">
        <v>2103006000</v>
      </c>
      <c r="B21" s="812"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2">
        <v>2104002000</v>
      </c>
      <c r="B22" s="812" t="s">
        <v>151</v>
      </c>
      <c r="C22" s="133">
        <f ca="1">INDIRECT("'DevSumOut-"&amp;$B$2&amp;"BSR'!R66")</f>
        <v>9.7234459313288044E-2</v>
      </c>
      <c r="D22" s="133">
        <f ca="1">INDIRECT("'DevSumOut-"&amp;$B$2&amp;"BSR'!R66")</f>
        <v>9.7234459313288044E-2</v>
      </c>
      <c r="E22" s="133">
        <f ca="1">INDIRECT("'DevSumOut-"&amp;$B$2&amp;"BSR'!R66")</f>
        <v>9.7234459313288044E-2</v>
      </c>
      <c r="F22" s="551" t="s">
        <v>336</v>
      </c>
      <c r="G22" s="133">
        <f ca="1">INDIRECT("'DevSumOut-"&amp;$B$2&amp;"BSR'!R66")</f>
        <v>9.7234459313288044E-2</v>
      </c>
      <c r="H22" s="133">
        <f ca="1">INDIRECT("'DevSumOut-"&amp;$B$2&amp;"BSR'!R66")</f>
        <v>9.7234459313288044E-2</v>
      </c>
      <c r="I22" s="551" t="s">
        <v>336</v>
      </c>
      <c r="J22" s="133">
        <f ca="1">INDIRECT("'DevSumOut-"&amp;$B$2&amp;"BSR'!P66")</f>
        <v>0.11317652961371445</v>
      </c>
      <c r="K22" s="133">
        <f ca="1">INDIRECT("'DevSumOut-"&amp;$B$2&amp;"BSR'!P66")</f>
        <v>0.11317652961371445</v>
      </c>
      <c r="L22" s="133">
        <f ca="1">INDIRECT("'DevSumOut-"&amp;$B$2&amp;"BSR'!P66")</f>
        <v>0.11317652961371445</v>
      </c>
      <c r="M22" s="551" t="s">
        <v>336</v>
      </c>
      <c r="N22" s="133">
        <f ca="1">INDIRECT("'DevSumOut-"&amp;$B$2&amp;"BSR'!P66")</f>
        <v>0.11317652961371445</v>
      </c>
      <c r="O22" s="133">
        <f ca="1">INDIRECT("'DevSumOut-"&amp;$B$2&amp;"BSR'!P66")</f>
        <v>0.11317652961371445</v>
      </c>
      <c r="P22" s="551" t="s">
        <v>336</v>
      </c>
      <c r="Q22" s="45">
        <f ca="1">INDIRECT("'DevSumOut-"&amp;$B$2&amp;"BSR'!U66")</f>
        <v>369.95338712439997</v>
      </c>
      <c r="R22" s="45">
        <f ca="1">INDIRECT("'DevSumOut-"&amp;$B$2&amp;"BSR'!U66")</f>
        <v>369.95338712439997</v>
      </c>
      <c r="S22" s="45">
        <f ca="1">INDIRECT("'DevSumOut-"&amp;$B$2&amp;"BSR'!U66")</f>
        <v>369.95338712439997</v>
      </c>
      <c r="T22" s="581" t="s">
        <v>336</v>
      </c>
      <c r="U22" s="45">
        <f ca="1">INDIRECT("'DevSumOut-"&amp;$B$2&amp;"BSR'!U66")</f>
        <v>369.95338712439997</v>
      </c>
      <c r="V22" s="45">
        <f ca="1">INDIRECT("'DevSumOut-"&amp;$B$2&amp;"BSR'!U66")</f>
        <v>369.95338712439997</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2.7871537290324624</v>
      </c>
      <c r="D26" s="137">
        <f ca="1">SUM(D6:D25)</f>
        <v>2.7871537290324624</v>
      </c>
      <c r="E26" s="137">
        <f ca="1">SUM(E6:E25)</f>
        <v>2.7871537290324624</v>
      </c>
      <c r="F26" s="566" t="s">
        <v>336</v>
      </c>
      <c r="G26" s="137">
        <f t="shared" ref="G26:H26" ca="1" si="2">SUM(G6:G25)</f>
        <v>2.7871537290324624</v>
      </c>
      <c r="H26" s="137">
        <f t="shared" ca="1" si="2"/>
        <v>2.7871537290324624</v>
      </c>
      <c r="I26" s="566" t="s">
        <v>336</v>
      </c>
      <c r="J26" s="137">
        <f ca="1">SUM(J6:J25)</f>
        <v>4.2879681016873104</v>
      </c>
      <c r="K26" s="137">
        <f ca="1">SUM(K6:K25)</f>
        <v>4.2879681016873104</v>
      </c>
      <c r="L26" s="137">
        <f ca="1">SUM(L6:L25)</f>
        <v>4.2879681016873104</v>
      </c>
      <c r="M26" s="566" t="s">
        <v>336</v>
      </c>
      <c r="N26" s="137">
        <f ca="1">SUM(N6:N25)</f>
        <v>4.2879681016873104</v>
      </c>
      <c r="O26" s="137">
        <f ca="1">SUM(O6:O25)</f>
        <v>4.2879681016873104</v>
      </c>
      <c r="P26" s="566" t="s">
        <v>336</v>
      </c>
      <c r="Q26" s="87">
        <f ca="1">SUM(Q6:Q25)</f>
        <v>55147.800523801328</v>
      </c>
      <c r="R26" s="87">
        <f ca="1">SUM(R6:R25)</f>
        <v>55147.800523801328</v>
      </c>
      <c r="S26" s="87">
        <f ca="1">SUM(S6:S25)</f>
        <v>55147.800523801328</v>
      </c>
      <c r="T26" s="566" t="s">
        <v>336</v>
      </c>
      <c r="U26" s="87">
        <f ca="1">SUM(U6:U25)</f>
        <v>55147.800523801328</v>
      </c>
      <c r="V26" s="87">
        <f ca="1">SUM(V6:V25)</f>
        <v>55147.800523801328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2028 Baseline PM2.5 Emissions (tpd) by Curtailment Regime and AQCZ</v>
      </c>
      <c r="D30" s="840"/>
      <c r="E30" s="840"/>
      <c r="F30" s="840"/>
      <c r="G30" s="840"/>
      <c r="H30" s="840"/>
      <c r="I30" s="840"/>
      <c r="J30" s="840" t="str">
        <f>$B$2&amp;" Baseline SO2 Emissions (tpd) by Curtailment Regime and AQCZ"</f>
        <v>2028 Baseline SO2 Emissions (tpd) by Curtailment Regime and AQCZ</v>
      </c>
      <c r="K30" s="840"/>
      <c r="L30" s="840"/>
      <c r="M30" s="840"/>
      <c r="N30" s="840"/>
      <c r="O30" s="840"/>
      <c r="P30" s="840"/>
      <c r="Q30" s="840" t="str">
        <f>$B$2&amp;" Baseline Energy Use (mmBTU) by Curtailment Regime and AQCZ"</f>
        <v>2028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1.0489651353638849</v>
      </c>
      <c r="D32" s="133">
        <f ca="1">(D26-D33)*AQCZSplits!$F$5</f>
        <v>1.0489651353638849</v>
      </c>
      <c r="E32" s="133">
        <f ca="1">(E26-E33)*AQCZSplits!$F$5</f>
        <v>1.0489651353638849</v>
      </c>
      <c r="F32" s="551" t="s">
        <v>336</v>
      </c>
      <c r="G32" s="133">
        <f ca="1">(G26-G33)*AQCZSplits!$F$5</f>
        <v>1.0489651353638849</v>
      </c>
      <c r="H32" s="133">
        <f ca="1">(H26-H33)*AQCZSplits!$F$5</f>
        <v>1.0489651353638849</v>
      </c>
      <c r="I32" s="551" t="s">
        <v>336</v>
      </c>
      <c r="J32" s="133">
        <f ca="1">(J26-J33)*AQCZSplits!$F$5</f>
        <v>1.9197106910620421</v>
      </c>
      <c r="K32" s="133">
        <f ca="1">(K26-K33)*AQCZSplits!$F$5</f>
        <v>1.9197106910620421</v>
      </c>
      <c r="L32" s="133">
        <f ca="1">(L26-L33)*AQCZSplits!$F$5</f>
        <v>1.9197106910620421</v>
      </c>
      <c r="M32" s="551" t="s">
        <v>336</v>
      </c>
      <c r="N32" s="133">
        <f ca="1">(N26-N33)*AQCZSplits!$F$5</f>
        <v>1.9197106910620421</v>
      </c>
      <c r="O32" s="133">
        <f ca="1">(O26-O33)*AQCZSplits!$F$5</f>
        <v>1.9197106910620421</v>
      </c>
      <c r="P32" s="551" t="s">
        <v>336</v>
      </c>
      <c r="Q32" s="45">
        <f ca="1">(Q26-Q33)*AQCZSplits!$F$5</f>
        <v>25207.023059635962</v>
      </c>
      <c r="R32" s="45">
        <f ca="1">(R26-R33)*AQCZSplits!$F$5</f>
        <v>25207.023059635962</v>
      </c>
      <c r="S32" s="45">
        <f ca="1">(S26-S33)*AQCZSplits!$F$5</f>
        <v>25207.023059635962</v>
      </c>
      <c r="T32" s="551" t="s">
        <v>336</v>
      </c>
      <c r="U32" s="45">
        <f ca="1">(U26-U33)*AQCZSplits!$F$5</f>
        <v>25207.023059635962</v>
      </c>
      <c r="V32" s="45">
        <f ca="1">(V26-V33)*AQCZSplits!$F$5</f>
        <v>25207.023059635962</v>
      </c>
      <c r="W32" s="551" t="s">
        <v>336</v>
      </c>
    </row>
    <row r="33" spans="1:23" ht="15.75" thickBot="1" x14ac:dyDescent="0.3">
      <c r="A33" s="6" t="s">
        <v>754</v>
      </c>
      <c r="B33" s="6" t="s">
        <v>755</v>
      </c>
      <c r="C33" s="544">
        <f ca="1">SUMIFS(INDIRECT("'ZipOutNA-"&amp;$B$2&amp;"BSR'!$J$5:$J$669"),INDIRECT("'ZipOutNA-"&amp;$B$2&amp;"BSR'!$D$5:$D$669"),99705)/35</f>
        <v>1.1451893869033765</v>
      </c>
      <c r="D33" s="544">
        <f ca="1">SUMIFS(INDIRECT("'ZipOutNA-"&amp;$B$2&amp;"BSR'!$J$5:$J$669"),INDIRECT("'ZipOutNA-"&amp;$B$2&amp;"BSR'!$D$5:$D$669"),99705)/35</f>
        <v>1.1451893869033765</v>
      </c>
      <c r="E33" s="544">
        <f ca="1">SUMIFS(INDIRECT("'ZipOutNA-"&amp;$B$2&amp;"BSR'!$J$5:$J$669"),INDIRECT("'ZipOutNA-"&amp;$B$2&amp;"BSR'!$D$5:$D$669"),99705)/35</f>
        <v>1.1451893869033765</v>
      </c>
      <c r="F33" s="542" t="s">
        <v>336</v>
      </c>
      <c r="G33" s="544">
        <f ca="1">SUMIFS(INDIRECT("'ZipOutNA-"&amp;$B$2&amp;"BSR'!$J$5:$J$669"),INDIRECT("'ZipOutNA-"&amp;$B$2&amp;"BSR'!$D$5:$D$669"),99705)/35</f>
        <v>1.1451893869033765</v>
      </c>
      <c r="H33" s="544">
        <f ca="1">SUMIFS(INDIRECT("'ZipOutNA-"&amp;$B$2&amp;"BSR'!$J$5:$J$669"),INDIRECT("'ZipOutNA-"&amp;$B$2&amp;"BSR'!$D$5:$D$669"),99705)/35</f>
        <v>1.1451893869033765</v>
      </c>
      <c r="I33" s="542" t="s">
        <v>336</v>
      </c>
      <c r="J33" s="544">
        <f ca="1">SUMIFS(INDIRECT("'ZipOutNA-"&amp;$B$2&amp;"BSR'!$H$5:$H$669"),INDIRECT("'ZipOutNA-"&amp;$B$2&amp;"BSR'!$D$5:$D$669"),99705)/35</f>
        <v>1.2830097902421926</v>
      </c>
      <c r="K33" s="544">
        <f ca="1">SUMIFS(INDIRECT("'ZipOutNA-"&amp;$B$2&amp;"BSR'!$H$5:$H$669"),INDIRECT("'ZipOutNA-"&amp;$B$2&amp;"BSR'!$D$5:$D$669"),99705)/35</f>
        <v>1.2830097902421926</v>
      </c>
      <c r="L33" s="544">
        <f ca="1">SUMIFS(INDIRECT("'ZipOutNA-"&amp;$B$2&amp;"BSR'!$H$5:$H$669"),INDIRECT("'ZipOutNA-"&amp;$B$2&amp;"BSR'!$D$5:$D$669"),99705)/35</f>
        <v>1.2830097902421926</v>
      </c>
      <c r="M33" s="542" t="s">
        <v>336</v>
      </c>
      <c r="N33" s="544">
        <f ca="1">SUMIFS(INDIRECT("'ZipOutNA-"&amp;$B$2&amp;"BSR'!$H$5:$H$669"),INDIRECT("'ZipOutNA-"&amp;$B$2&amp;"BSR'!$D$5:$D$669"),99705)/35</f>
        <v>1.2830097902421926</v>
      </c>
      <c r="O33" s="544">
        <f ca="1">SUMIFS(INDIRECT("'ZipOutNA-"&amp;$B$2&amp;"BSR'!$H$5:$H$669"),INDIRECT("'ZipOutNA-"&amp;$B$2&amp;"BSR'!$D$5:$D$669"),99705)/35</f>
        <v>1.2830097902421926</v>
      </c>
      <c r="P33" s="542" t="s">
        <v>336</v>
      </c>
      <c r="Q33" s="567">
        <f ca="1">SUMIFS(INDIRECT("'ZipOutNA-"&amp;$B$2&amp;"BSR'!$M$5:$M$669"),INDIRECT("'ZipOutNA-"&amp;$B$2&amp;"BSR'!$D$5:$D$669"),99705)/35</f>
        <v>15690.785567064893</v>
      </c>
      <c r="R33" s="567">
        <f ca="1">SUMIFS(INDIRECT("'ZipOutNA-"&amp;$B$2&amp;"BSR'!$M$5:$M$669"),INDIRECT("'ZipOutNA-"&amp;$B$2&amp;"BSR'!$D$5:$D$669"),99705)/35</f>
        <v>15690.785567064893</v>
      </c>
      <c r="S33" s="567">
        <f ca="1">SUMIFS(INDIRECT("'ZipOutNA-"&amp;$B$2&amp;"BSR'!$M$5:$M$669"),INDIRECT("'ZipOutNA-"&amp;$B$2&amp;"BSR'!$D$5:$D$669"),99705)/35</f>
        <v>15690.785567064893</v>
      </c>
      <c r="T33" s="542" t="s">
        <v>336</v>
      </c>
      <c r="U33" s="567">
        <f ca="1">SUMIFS(INDIRECT("'ZipOutNA-"&amp;$B$2&amp;"BSR'!$M$5:$M$669"),INDIRECT("'ZipOutNA-"&amp;$B$2&amp;"BSR'!$D$5:$D$669"),99705)/35</f>
        <v>15690.785567064893</v>
      </c>
      <c r="V33" s="567">
        <f ca="1">SUMIFS(INDIRECT("'ZipOutNA-"&amp;$B$2&amp;"BSR'!$M$5:$M$669"),INDIRECT("'ZipOutNA-"&amp;$B$2&amp;"BSR'!$D$5:$D$669"),99705)/35</f>
        <v>15690.785567064893</v>
      </c>
      <c r="W33" s="542" t="s">
        <v>336</v>
      </c>
    </row>
    <row r="34" spans="1:23" ht="15.75" thickTop="1" x14ac:dyDescent="0.25">
      <c r="C34" s="137">
        <f ca="1">SUM(C32:C33)</f>
        <v>2.1941545222672616</v>
      </c>
      <c r="D34" s="137">
        <f ca="1">SUM(D32:D33)</f>
        <v>2.1941545222672616</v>
      </c>
      <c r="E34" s="137">
        <f ca="1">SUM(E32:E33)</f>
        <v>2.1941545222672616</v>
      </c>
      <c r="F34" s="566" t="s">
        <v>336</v>
      </c>
      <c r="G34" s="137">
        <f ca="1">SUM(G32:G33)</f>
        <v>2.1941545222672616</v>
      </c>
      <c r="H34" s="137">
        <f ca="1">SUM(H32:H33)</f>
        <v>2.1941545222672616</v>
      </c>
      <c r="I34" s="566" t="s">
        <v>336</v>
      </c>
      <c r="J34" s="137">
        <f ca="1">SUM(J32:J33)</f>
        <v>3.2027204813042349</v>
      </c>
      <c r="K34" s="137">
        <f ca="1">SUM(K32:K33)</f>
        <v>3.2027204813042349</v>
      </c>
      <c r="L34" s="137">
        <f ca="1">SUM(L32:L33)</f>
        <v>3.2027204813042349</v>
      </c>
      <c r="M34" s="566" t="s">
        <v>336</v>
      </c>
      <c r="N34" s="137">
        <f ca="1">SUM(N32:N33)</f>
        <v>3.2027204813042349</v>
      </c>
      <c r="O34" s="137">
        <f ca="1">SUM(O32:O33)</f>
        <v>3.2027204813042349</v>
      </c>
      <c r="P34" s="566" t="s">
        <v>336</v>
      </c>
      <c r="Q34" s="87">
        <f ca="1">SUM(Q32:Q33)</f>
        <v>40897.808626700855</v>
      </c>
      <c r="R34" s="87">
        <f ca="1">SUM(R32:R33)</f>
        <v>40897.808626700855</v>
      </c>
      <c r="S34" s="87">
        <f ca="1">SUM(S32:S33)</f>
        <v>40897.808626700855</v>
      </c>
      <c r="T34" s="566" t="s">
        <v>336</v>
      </c>
      <c r="U34" s="87">
        <f ca="1">SUM(U32:U33)</f>
        <v>40897.808626700855</v>
      </c>
      <c r="V34" s="87">
        <f ca="1">SUM(V32:V33)</f>
        <v>40897.808626700855</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2028 Baseline NA Area PM2.5 Emissions (tpd) by Curtailment Regime</v>
      </c>
      <c r="D38" s="840"/>
      <c r="E38" s="840"/>
      <c r="F38" s="840"/>
      <c r="G38" s="840"/>
      <c r="H38" s="840"/>
      <c r="I38" s="840"/>
      <c r="J38" s="840" t="str">
        <f>J4</f>
        <v>2028 Baseline NA Area SO2 Emissions (tpd) by Curtailment Regime</v>
      </c>
      <c r="K38" s="840"/>
      <c r="L38" s="840"/>
      <c r="M38" s="840"/>
      <c r="N38" s="840"/>
      <c r="O38" s="840"/>
      <c r="P38" s="840"/>
      <c r="Q38" s="840" t="str">
        <f>Q4</f>
        <v>2028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0.26446662352139289</v>
      </c>
      <c r="D40" s="133">
        <f t="shared" ca="1" si="3"/>
        <v>0.26446662352139289</v>
      </c>
      <c r="E40" s="133">
        <f t="shared" ca="1" si="3"/>
        <v>0.26446662352139289</v>
      </c>
      <c r="F40" s="551" t="s">
        <v>336</v>
      </c>
      <c r="G40" s="575">
        <f t="shared" ref="G40:H55" ca="1" si="4">G6*G$32/G$26</f>
        <v>0.26446662352139289</v>
      </c>
      <c r="H40" s="575">
        <f t="shared" ca="1" si="4"/>
        <v>0.26446662352139289</v>
      </c>
      <c r="I40" s="574" t="s">
        <v>336</v>
      </c>
      <c r="J40" s="133">
        <f t="shared" ref="J40:L55" ca="1" si="5">J6*J$32/J$26</f>
        <v>3.6369628955729466E-3</v>
      </c>
      <c r="K40" s="133">
        <f t="shared" ca="1" si="5"/>
        <v>3.6369628955729466E-3</v>
      </c>
      <c r="L40" s="133">
        <f t="shared" ca="1" si="5"/>
        <v>3.6369628955729466E-3</v>
      </c>
      <c r="M40" s="551" t="s">
        <v>336</v>
      </c>
      <c r="N40" s="575">
        <f t="shared" ref="N40:O55" ca="1" si="6">N6*N$32/N$26</f>
        <v>3.6369628955729466E-3</v>
      </c>
      <c r="O40" s="575">
        <f t="shared" ca="1" si="6"/>
        <v>3.6369628955729466E-3</v>
      </c>
      <c r="P40" s="574" t="s">
        <v>336</v>
      </c>
      <c r="Q40" s="45">
        <f t="shared" ref="Q40:S55" ca="1" si="7">Q6*Q$32/Q$26</f>
        <v>298.13246661937978</v>
      </c>
      <c r="R40" s="45">
        <f t="shared" ca="1" si="7"/>
        <v>298.13246661937978</v>
      </c>
      <c r="S40" s="45">
        <f t="shared" ca="1" si="7"/>
        <v>298.13246661937978</v>
      </c>
      <c r="T40" s="581" t="s">
        <v>336</v>
      </c>
      <c r="U40" s="573">
        <f t="shared" ref="U40:V55" ca="1" si="8">U6*U$32/U$26</f>
        <v>298.13246661937978</v>
      </c>
      <c r="V40" s="573">
        <f t="shared" ca="1" si="8"/>
        <v>298.13246661937978</v>
      </c>
      <c r="W40" s="574" t="s">
        <v>336</v>
      </c>
    </row>
    <row r="41" spans="1:23" x14ac:dyDescent="0.25">
      <c r="A41" s="812" t="str">
        <f t="shared" ref="A41:A58" si="9">A40</f>
        <v>FB</v>
      </c>
      <c r="B41" s="812" t="s">
        <v>138</v>
      </c>
      <c r="C41" s="133">
        <f t="shared" ca="1" si="3"/>
        <v>2.0640050687603072E-2</v>
      </c>
      <c r="D41" s="133">
        <f t="shared" ca="1" si="3"/>
        <v>2.0640050687603072E-2</v>
      </c>
      <c r="E41" s="133">
        <f t="shared" ca="1" si="3"/>
        <v>2.0640050687603072E-2</v>
      </c>
      <c r="F41" s="551" t="s">
        <v>336</v>
      </c>
      <c r="G41" s="575">
        <f t="shared" ca="1" si="4"/>
        <v>2.0640050687603072E-2</v>
      </c>
      <c r="H41" s="575">
        <f t="shared" ca="1" si="4"/>
        <v>2.0640050687603072E-2</v>
      </c>
      <c r="I41" s="574" t="s">
        <v>336</v>
      </c>
      <c r="J41" s="133">
        <f t="shared" ca="1" si="5"/>
        <v>3.20947082091221E-4</v>
      </c>
      <c r="K41" s="133">
        <f t="shared" ca="1" si="5"/>
        <v>3.20947082091221E-4</v>
      </c>
      <c r="L41" s="133">
        <f t="shared" ca="1" si="5"/>
        <v>3.20947082091221E-4</v>
      </c>
      <c r="M41" s="551" t="s">
        <v>336</v>
      </c>
      <c r="N41" s="575">
        <f t="shared" ca="1" si="6"/>
        <v>3.20947082091221E-4</v>
      </c>
      <c r="O41" s="575">
        <f t="shared" ca="1" si="6"/>
        <v>3.20947082091221E-4</v>
      </c>
      <c r="P41" s="574" t="s">
        <v>336</v>
      </c>
      <c r="Q41" s="45">
        <f t="shared" ca="1" si="7"/>
        <v>26.304282054745883</v>
      </c>
      <c r="R41" s="45">
        <f t="shared" ca="1" si="7"/>
        <v>26.304282054745883</v>
      </c>
      <c r="S41" s="45">
        <f t="shared" ca="1" si="7"/>
        <v>26.304282054745883</v>
      </c>
      <c r="T41" s="581" t="s">
        <v>336</v>
      </c>
      <c r="U41" s="573">
        <f t="shared" ca="1" si="8"/>
        <v>26.304282054745883</v>
      </c>
      <c r="V41" s="573">
        <f t="shared" ca="1" si="8"/>
        <v>26.304282054745883</v>
      </c>
      <c r="W41" s="574" t="s">
        <v>336</v>
      </c>
    </row>
    <row r="42" spans="1:23" x14ac:dyDescent="0.25">
      <c r="A42" s="812" t="str">
        <f t="shared" si="9"/>
        <v>FB</v>
      </c>
      <c r="B42" s="812" t="s">
        <v>139</v>
      </c>
      <c r="C42" s="133">
        <f t="shared" ca="1" si="3"/>
        <v>1.7041529137302031E-2</v>
      </c>
      <c r="D42" s="133">
        <f t="shared" ca="1" si="3"/>
        <v>1.7041529137302031E-2</v>
      </c>
      <c r="E42" s="133">
        <f t="shared" ca="1" si="3"/>
        <v>1.7041529137302031E-2</v>
      </c>
      <c r="F42" s="551" t="s">
        <v>336</v>
      </c>
      <c r="G42" s="575">
        <f t="shared" ca="1" si="4"/>
        <v>1.7041529137302031E-2</v>
      </c>
      <c r="H42" s="575">
        <f t="shared" ca="1" si="4"/>
        <v>1.7041529137302031E-2</v>
      </c>
      <c r="I42" s="574" t="s">
        <v>336</v>
      </c>
      <c r="J42" s="133">
        <f t="shared" ca="1" si="5"/>
        <v>6.7572722039875815E-4</v>
      </c>
      <c r="K42" s="133">
        <f t="shared" ca="1" si="5"/>
        <v>6.7572722039875815E-4</v>
      </c>
      <c r="L42" s="133">
        <f t="shared" ca="1" si="5"/>
        <v>6.7572722039875815E-4</v>
      </c>
      <c r="M42" s="551" t="s">
        <v>336</v>
      </c>
      <c r="N42" s="575">
        <f t="shared" ca="1" si="6"/>
        <v>6.7572722039875815E-4</v>
      </c>
      <c r="O42" s="575">
        <f t="shared" ca="1" si="6"/>
        <v>6.7572722039875815E-4</v>
      </c>
      <c r="P42" s="574" t="s">
        <v>336</v>
      </c>
      <c r="Q42" s="45">
        <f t="shared" ca="1" si="7"/>
        <v>55.381464388532514</v>
      </c>
      <c r="R42" s="45">
        <f t="shared" ca="1" si="7"/>
        <v>55.381464388532514</v>
      </c>
      <c r="S42" s="45">
        <f t="shared" ca="1" si="7"/>
        <v>55.381464388532514</v>
      </c>
      <c r="T42" s="581" t="s">
        <v>336</v>
      </c>
      <c r="U42" s="573">
        <f t="shared" ca="1" si="8"/>
        <v>55.381464388532514</v>
      </c>
      <c r="V42" s="573">
        <f t="shared" ca="1" si="8"/>
        <v>55.381464388532514</v>
      </c>
      <c r="W42" s="574" t="s">
        <v>336</v>
      </c>
    </row>
    <row r="43" spans="1:23" x14ac:dyDescent="0.25">
      <c r="A43" s="812" t="str">
        <f t="shared" si="9"/>
        <v>FB</v>
      </c>
      <c r="B43" s="812" t="s">
        <v>140</v>
      </c>
      <c r="C43" s="133">
        <f t="shared" ca="1" si="3"/>
        <v>1.1115268978060363E-2</v>
      </c>
      <c r="D43" s="133">
        <f t="shared" ca="1" si="3"/>
        <v>1.1115268978060363E-2</v>
      </c>
      <c r="E43" s="133">
        <f t="shared" ca="1" si="3"/>
        <v>1.1115268978060363E-2</v>
      </c>
      <c r="F43" s="551" t="s">
        <v>336</v>
      </c>
      <c r="G43" s="575">
        <f t="shared" ca="1" si="4"/>
        <v>1.1115268978060363E-2</v>
      </c>
      <c r="H43" s="575">
        <f t="shared" ca="1" si="4"/>
        <v>1.1115268978060363E-2</v>
      </c>
      <c r="I43" s="574" t="s">
        <v>336</v>
      </c>
      <c r="J43" s="133">
        <f t="shared" ca="1" si="5"/>
        <v>4.0683726207980497E-4</v>
      </c>
      <c r="K43" s="133">
        <f t="shared" ca="1" si="5"/>
        <v>4.0683726207980497E-4</v>
      </c>
      <c r="L43" s="133">
        <f t="shared" ca="1" si="5"/>
        <v>4.0683726207980497E-4</v>
      </c>
      <c r="M43" s="551" t="s">
        <v>336</v>
      </c>
      <c r="N43" s="575">
        <f t="shared" ca="1" si="6"/>
        <v>4.0683726207980497E-4</v>
      </c>
      <c r="O43" s="575">
        <f t="shared" ca="1" si="6"/>
        <v>4.0683726207980497E-4</v>
      </c>
      <c r="P43" s="574" t="s">
        <v>336</v>
      </c>
      <c r="Q43" s="45">
        <f t="shared" ca="1" si="7"/>
        <v>33.343696482294611</v>
      </c>
      <c r="R43" s="45">
        <f t="shared" ca="1" si="7"/>
        <v>33.343696482294611</v>
      </c>
      <c r="S43" s="45">
        <f t="shared" ca="1" si="7"/>
        <v>33.343696482294611</v>
      </c>
      <c r="T43" s="581" t="s">
        <v>336</v>
      </c>
      <c r="U43" s="573">
        <f t="shared" ca="1" si="8"/>
        <v>33.343696482294611</v>
      </c>
      <c r="V43" s="573">
        <f t="shared" ca="1" si="8"/>
        <v>33.343696482294611</v>
      </c>
      <c r="W43" s="574" t="s">
        <v>336</v>
      </c>
    </row>
    <row r="44" spans="1:23" x14ac:dyDescent="0.25">
      <c r="A44" s="812" t="str">
        <f t="shared" si="9"/>
        <v>FB</v>
      </c>
      <c r="B44" s="812" t="s">
        <v>141</v>
      </c>
      <c r="C44" s="133">
        <f t="shared" ca="1" si="3"/>
        <v>0.16620840852011701</v>
      </c>
      <c r="D44" s="133">
        <f t="shared" ca="1" si="3"/>
        <v>0.16620840852011701</v>
      </c>
      <c r="E44" s="133">
        <f t="shared" ca="1" si="3"/>
        <v>0.16620840852011701</v>
      </c>
      <c r="F44" s="551" t="s">
        <v>336</v>
      </c>
      <c r="G44" s="575">
        <f t="shared" ca="1" si="4"/>
        <v>0.16620840852011701</v>
      </c>
      <c r="H44" s="575">
        <f t="shared" ca="1" si="4"/>
        <v>0.16620840852011701</v>
      </c>
      <c r="I44" s="574" t="s">
        <v>336</v>
      </c>
      <c r="J44" s="133">
        <f t="shared" ca="1" si="5"/>
        <v>6.5133709084739663E-3</v>
      </c>
      <c r="K44" s="133">
        <f t="shared" ca="1" si="5"/>
        <v>6.5133709084739663E-3</v>
      </c>
      <c r="L44" s="133">
        <f t="shared" ca="1" si="5"/>
        <v>6.5133709084739663E-3</v>
      </c>
      <c r="M44" s="551" t="s">
        <v>336</v>
      </c>
      <c r="N44" s="575">
        <f t="shared" ca="1" si="6"/>
        <v>6.5133709084739663E-3</v>
      </c>
      <c r="O44" s="575">
        <f t="shared" ca="1" si="6"/>
        <v>6.5133709084739663E-3</v>
      </c>
      <c r="P44" s="574" t="s">
        <v>336</v>
      </c>
      <c r="Q44" s="45">
        <f t="shared" ca="1" si="7"/>
        <v>533.8249046769015</v>
      </c>
      <c r="R44" s="45">
        <f t="shared" ca="1" si="7"/>
        <v>533.8249046769015</v>
      </c>
      <c r="S44" s="45">
        <f t="shared" ca="1" si="7"/>
        <v>533.8249046769015</v>
      </c>
      <c r="T44" s="581" t="s">
        <v>336</v>
      </c>
      <c r="U44" s="573">
        <f t="shared" ca="1" si="8"/>
        <v>533.8249046769015</v>
      </c>
      <c r="V44" s="573">
        <f t="shared" ca="1" si="8"/>
        <v>533.8249046769015</v>
      </c>
      <c r="W44" s="574" t="s">
        <v>336</v>
      </c>
    </row>
    <row r="45" spans="1:23" x14ac:dyDescent="0.25">
      <c r="A45" s="812" t="str">
        <f t="shared" si="9"/>
        <v>FB</v>
      </c>
      <c r="B45" s="812" t="s">
        <v>142</v>
      </c>
      <c r="C45" s="133">
        <f t="shared" ca="1" si="3"/>
        <v>0.22840511689397397</v>
      </c>
      <c r="D45" s="133">
        <f t="shared" ca="1" si="3"/>
        <v>0.22840511689397397</v>
      </c>
      <c r="E45" s="133">
        <f t="shared" ca="1" si="3"/>
        <v>0.22840511689397397</v>
      </c>
      <c r="F45" s="551" t="s">
        <v>336</v>
      </c>
      <c r="G45" s="575">
        <f t="shared" ca="1" si="4"/>
        <v>0.22840511689397397</v>
      </c>
      <c r="H45" s="575">
        <f t="shared" ca="1" si="4"/>
        <v>0.22840511689397397</v>
      </c>
      <c r="I45" s="574" t="s">
        <v>336</v>
      </c>
      <c r="J45" s="133">
        <f t="shared" ca="1" si="5"/>
        <v>1.3713357325860666E-2</v>
      </c>
      <c r="K45" s="133">
        <f t="shared" ca="1" si="5"/>
        <v>1.3713357325860666E-2</v>
      </c>
      <c r="L45" s="133">
        <f t="shared" ca="1" si="5"/>
        <v>1.3713357325860666E-2</v>
      </c>
      <c r="M45" s="551" t="s">
        <v>336</v>
      </c>
      <c r="N45" s="575">
        <f t="shared" ca="1" si="6"/>
        <v>1.3713357325860666E-2</v>
      </c>
      <c r="O45" s="575">
        <f t="shared" ca="1" si="6"/>
        <v>1.3713357325860666E-2</v>
      </c>
      <c r="P45" s="574" t="s">
        <v>336</v>
      </c>
      <c r="Q45" s="45">
        <f t="shared" ca="1" si="7"/>
        <v>1123.9236595222551</v>
      </c>
      <c r="R45" s="45">
        <f t="shared" ca="1" si="7"/>
        <v>1123.9236595222551</v>
      </c>
      <c r="S45" s="45">
        <f t="shared" ca="1" si="7"/>
        <v>1123.9236595222551</v>
      </c>
      <c r="T45" s="581" t="s">
        <v>336</v>
      </c>
      <c r="U45" s="573">
        <f t="shared" ca="1" si="8"/>
        <v>1123.9236595222551</v>
      </c>
      <c r="V45" s="573">
        <f t="shared" ca="1" si="8"/>
        <v>1123.9236595222551</v>
      </c>
      <c r="W45" s="574" t="s">
        <v>336</v>
      </c>
    </row>
    <row r="46" spans="1:23" x14ac:dyDescent="0.25">
      <c r="A46" s="812" t="str">
        <f t="shared" si="9"/>
        <v>FB</v>
      </c>
      <c r="B46" s="812" t="s">
        <v>143</v>
      </c>
      <c r="C46" s="133">
        <f t="shared" ca="1" si="3"/>
        <v>0.15258691647576392</v>
      </c>
      <c r="D46" s="133">
        <f t="shared" ca="1" si="3"/>
        <v>0.15258691647576392</v>
      </c>
      <c r="E46" s="133">
        <f t="shared" ca="1" si="3"/>
        <v>0.15258691647576392</v>
      </c>
      <c r="F46" s="551" t="s">
        <v>336</v>
      </c>
      <c r="G46" s="575">
        <f t="shared" ca="1" si="4"/>
        <v>0.15258691647576392</v>
      </c>
      <c r="H46" s="575">
        <f t="shared" ca="1" si="4"/>
        <v>0.15258691647576392</v>
      </c>
      <c r="I46" s="574" t="s">
        <v>336</v>
      </c>
      <c r="J46" s="133">
        <f t="shared" ca="1" si="5"/>
        <v>8.2564451748486038E-3</v>
      </c>
      <c r="K46" s="133">
        <f t="shared" ca="1" si="5"/>
        <v>8.2564451748486038E-3</v>
      </c>
      <c r="L46" s="133">
        <f t="shared" ca="1" si="5"/>
        <v>8.2564451748486038E-3</v>
      </c>
      <c r="M46" s="551" t="s">
        <v>336</v>
      </c>
      <c r="N46" s="575">
        <f t="shared" ca="1" si="6"/>
        <v>8.2564451748486038E-3</v>
      </c>
      <c r="O46" s="575">
        <f t="shared" ca="1" si="6"/>
        <v>8.2564451748486038E-3</v>
      </c>
      <c r="P46" s="574" t="s">
        <v>336</v>
      </c>
      <c r="Q46" s="45">
        <f t="shared" ca="1" si="7"/>
        <v>676.6843344817687</v>
      </c>
      <c r="R46" s="45">
        <f t="shared" ca="1" si="7"/>
        <v>676.6843344817687</v>
      </c>
      <c r="S46" s="45">
        <f t="shared" ca="1" si="7"/>
        <v>676.6843344817687</v>
      </c>
      <c r="T46" s="581" t="s">
        <v>336</v>
      </c>
      <c r="U46" s="573">
        <f t="shared" ca="1" si="8"/>
        <v>676.6843344817687</v>
      </c>
      <c r="V46" s="573">
        <f t="shared" ca="1" si="8"/>
        <v>676.6843344817687</v>
      </c>
      <c r="W46" s="574" t="s">
        <v>336</v>
      </c>
    </row>
    <row r="47" spans="1:23" x14ac:dyDescent="0.25">
      <c r="A47" s="812" t="str">
        <f t="shared" si="9"/>
        <v>FB</v>
      </c>
      <c r="B47" s="812" t="s">
        <v>144</v>
      </c>
      <c r="C47" s="133">
        <f t="shared" ca="1" si="3"/>
        <v>5.6302578889132369E-3</v>
      </c>
      <c r="D47" s="133">
        <f t="shared" ca="1" si="3"/>
        <v>5.6302578889132369E-3</v>
      </c>
      <c r="E47" s="133">
        <f t="shared" ca="1" si="3"/>
        <v>5.6302578889132369E-3</v>
      </c>
      <c r="F47" s="551" t="s">
        <v>336</v>
      </c>
      <c r="G47" s="575">
        <f t="shared" ca="1" si="4"/>
        <v>5.6302578889132369E-3</v>
      </c>
      <c r="H47" s="575">
        <f t="shared" ca="1" si="4"/>
        <v>5.6302578889132369E-3</v>
      </c>
      <c r="I47" s="574" t="s">
        <v>336</v>
      </c>
      <c r="J47" s="133">
        <f t="shared" ca="1" si="5"/>
        <v>7.2405350851885322E-4</v>
      </c>
      <c r="K47" s="133">
        <f t="shared" ca="1" si="5"/>
        <v>7.2405350851885322E-4</v>
      </c>
      <c r="L47" s="133">
        <f t="shared" ca="1" si="5"/>
        <v>7.2405350851885322E-4</v>
      </c>
      <c r="M47" s="551" t="s">
        <v>336</v>
      </c>
      <c r="N47" s="575">
        <f t="shared" ca="1" si="6"/>
        <v>7.2405350851885322E-4</v>
      </c>
      <c r="O47" s="575">
        <f t="shared" ca="1" si="6"/>
        <v>7.2405350851885322E-4</v>
      </c>
      <c r="P47" s="574" t="s">
        <v>336</v>
      </c>
      <c r="Q47" s="45">
        <f t="shared" ca="1" si="7"/>
        <v>70.865492006219242</v>
      </c>
      <c r="R47" s="45">
        <f t="shared" ca="1" si="7"/>
        <v>70.865492006219242</v>
      </c>
      <c r="S47" s="45">
        <f t="shared" ca="1" si="7"/>
        <v>70.865492006219242</v>
      </c>
      <c r="T47" s="581" t="s">
        <v>336</v>
      </c>
      <c r="U47" s="573">
        <f t="shared" ca="1" si="8"/>
        <v>70.865492006219242</v>
      </c>
      <c r="V47" s="573">
        <f t="shared" ca="1" si="8"/>
        <v>70.865492006219242</v>
      </c>
      <c r="W47" s="574" t="s">
        <v>336</v>
      </c>
    </row>
    <row r="48" spans="1:23" x14ac:dyDescent="0.25">
      <c r="A48" s="812" t="str">
        <f t="shared" si="9"/>
        <v>FB</v>
      </c>
      <c r="B48" s="812" t="s">
        <v>145</v>
      </c>
      <c r="C48" s="133">
        <f t="shared" ca="1" si="3"/>
        <v>1.8991034839817698E-2</v>
      </c>
      <c r="D48" s="133">
        <f t="shared" ca="1" si="3"/>
        <v>1.8991034839817698E-2</v>
      </c>
      <c r="E48" s="133">
        <f t="shared" ca="1" si="3"/>
        <v>1.8991034839817698E-2</v>
      </c>
      <c r="F48" s="551" t="s">
        <v>336</v>
      </c>
      <c r="G48" s="575">
        <f t="shared" ca="1" si="4"/>
        <v>1.8991034839817698E-2</v>
      </c>
      <c r="H48" s="575">
        <f t="shared" ca="1" si="4"/>
        <v>1.8991034839817698E-2</v>
      </c>
      <c r="I48" s="574" t="s">
        <v>336</v>
      </c>
      <c r="J48" s="133">
        <f t="shared" ca="1" si="5"/>
        <v>2.4422549868009565E-3</v>
      </c>
      <c r="K48" s="133">
        <f t="shared" ca="1" si="5"/>
        <v>2.4422549868009565E-3</v>
      </c>
      <c r="L48" s="133">
        <f t="shared" ca="1" si="5"/>
        <v>2.4422549868009565E-3</v>
      </c>
      <c r="M48" s="551" t="s">
        <v>336</v>
      </c>
      <c r="N48" s="575">
        <f t="shared" ca="1" si="6"/>
        <v>2.4422549868009565E-3</v>
      </c>
      <c r="O48" s="575">
        <f t="shared" ca="1" si="6"/>
        <v>2.4422549868009565E-3</v>
      </c>
      <c r="P48" s="574" t="s">
        <v>336</v>
      </c>
      <c r="Q48" s="45">
        <f t="shared" ca="1" si="7"/>
        <v>239.03150693701213</v>
      </c>
      <c r="R48" s="45">
        <f t="shared" ca="1" si="7"/>
        <v>239.03150693701213</v>
      </c>
      <c r="S48" s="45">
        <f t="shared" ca="1" si="7"/>
        <v>239.03150693701213</v>
      </c>
      <c r="T48" s="581" t="s">
        <v>336</v>
      </c>
      <c r="U48" s="573">
        <f t="shared" ca="1" si="8"/>
        <v>239.03150693701213</v>
      </c>
      <c r="V48" s="573">
        <f t="shared" ca="1" si="8"/>
        <v>239.03150693701213</v>
      </c>
      <c r="W48" s="574" t="s">
        <v>336</v>
      </c>
    </row>
    <row r="49" spans="1:23" x14ac:dyDescent="0.25">
      <c r="A49" s="812" t="str">
        <f t="shared" si="9"/>
        <v>FB</v>
      </c>
      <c r="B49" s="812" t="s">
        <v>146</v>
      </c>
      <c r="C49" s="133">
        <f t="shared" ca="1" si="3"/>
        <v>9.4354715070737963E-2</v>
      </c>
      <c r="D49" s="133">
        <f t="shared" ca="1" si="3"/>
        <v>9.4354715070737963E-2</v>
      </c>
      <c r="E49" s="133">
        <f t="shared" ca="1" si="3"/>
        <v>9.4354715070737963E-2</v>
      </c>
      <c r="F49" s="551" t="s">
        <v>336</v>
      </c>
      <c r="G49" s="575">
        <f t="shared" ca="1" si="4"/>
        <v>9.4354715070737963E-2</v>
      </c>
      <c r="H49" s="575">
        <f t="shared" ca="1" si="4"/>
        <v>9.4354715070737963E-2</v>
      </c>
      <c r="I49" s="574" t="s">
        <v>336</v>
      </c>
      <c r="J49" s="133">
        <f t="shared" ca="1" si="5"/>
        <v>4.5486640436424941E-3</v>
      </c>
      <c r="K49" s="133">
        <f t="shared" ca="1" si="5"/>
        <v>4.5486640436424941E-3</v>
      </c>
      <c r="L49" s="133">
        <f t="shared" ca="1" si="5"/>
        <v>4.5486640436424941E-3</v>
      </c>
      <c r="M49" s="551" t="s">
        <v>336</v>
      </c>
      <c r="N49" s="575">
        <f t="shared" ca="1" si="6"/>
        <v>4.5486640436424941E-3</v>
      </c>
      <c r="O49" s="575">
        <f t="shared" ca="1" si="6"/>
        <v>4.5486640436424941E-3</v>
      </c>
      <c r="P49" s="574" t="s">
        <v>336</v>
      </c>
      <c r="Q49" s="45">
        <f t="shared" ca="1" si="7"/>
        <v>372.67286946482335</v>
      </c>
      <c r="R49" s="45">
        <f t="shared" ca="1" si="7"/>
        <v>372.67286946482335</v>
      </c>
      <c r="S49" s="45">
        <f t="shared" ca="1" si="7"/>
        <v>372.67286946482335</v>
      </c>
      <c r="T49" s="581" t="s">
        <v>336</v>
      </c>
      <c r="U49" s="573">
        <f t="shared" ca="1" si="8"/>
        <v>372.67286946482335</v>
      </c>
      <c r="V49" s="573">
        <f t="shared" ca="1" si="8"/>
        <v>372.67286946482335</v>
      </c>
      <c r="W49" s="574" t="s">
        <v>336</v>
      </c>
    </row>
    <row r="50" spans="1:23" x14ac:dyDescent="0.25">
      <c r="A50" s="812" t="str">
        <f t="shared" si="9"/>
        <v>FB</v>
      </c>
      <c r="B50" s="812" t="s">
        <v>568</v>
      </c>
      <c r="C50" s="133">
        <f t="shared" ca="1" si="3"/>
        <v>2.0487719287479212E-2</v>
      </c>
      <c r="D50" s="133">
        <f t="shared" ca="1" si="3"/>
        <v>2.0487719287479212E-2</v>
      </c>
      <c r="E50" s="133">
        <f t="shared" ca="1" si="3"/>
        <v>2.0487719287479212E-2</v>
      </c>
      <c r="F50" s="551" t="s">
        <v>336</v>
      </c>
      <c r="G50" s="575">
        <f t="shared" ca="1" si="4"/>
        <v>2.0487719287479212E-2</v>
      </c>
      <c r="H50" s="575">
        <f t="shared" ca="1" si="4"/>
        <v>2.0487719287479212E-2</v>
      </c>
      <c r="I50" s="574" t="s">
        <v>336</v>
      </c>
      <c r="J50" s="133">
        <f t="shared" ca="1" si="5"/>
        <v>1.5426988942789015</v>
      </c>
      <c r="K50" s="133">
        <f t="shared" ca="1" si="5"/>
        <v>1.5426988942789015</v>
      </c>
      <c r="L50" s="133">
        <f t="shared" ca="1" si="5"/>
        <v>1.5426988942789015</v>
      </c>
      <c r="M50" s="551" t="s">
        <v>336</v>
      </c>
      <c r="N50" s="575">
        <f t="shared" ca="1" si="6"/>
        <v>1.5426988942789015</v>
      </c>
      <c r="O50" s="575">
        <f t="shared" ca="1" si="6"/>
        <v>1.5426988942789015</v>
      </c>
      <c r="P50" s="574" t="s">
        <v>336</v>
      </c>
      <c r="Q50" s="45">
        <f t="shared" ca="1" si="7"/>
        <v>14627.520311032187</v>
      </c>
      <c r="R50" s="45">
        <f t="shared" ca="1" si="7"/>
        <v>14627.520311032187</v>
      </c>
      <c r="S50" s="45">
        <f t="shared" ca="1" si="7"/>
        <v>14627.520311032187</v>
      </c>
      <c r="T50" s="581" t="s">
        <v>336</v>
      </c>
      <c r="U50" s="573">
        <f t="shared" ca="1" si="8"/>
        <v>14627.520311032187</v>
      </c>
      <c r="V50" s="573">
        <f t="shared" ca="1" si="8"/>
        <v>14627.520311032187</v>
      </c>
      <c r="W50" s="574" t="s">
        <v>336</v>
      </c>
    </row>
    <row r="51" spans="1:23" x14ac:dyDescent="0.25">
      <c r="A51" s="812" t="str">
        <f t="shared" si="9"/>
        <v>FB</v>
      </c>
      <c r="B51" s="812" t="s">
        <v>148</v>
      </c>
      <c r="C51" s="133">
        <f t="shared" ca="1" si="3"/>
        <v>6.9644260496033086E-3</v>
      </c>
      <c r="D51" s="133">
        <f t="shared" ca="1" si="3"/>
        <v>6.9644260496033086E-3</v>
      </c>
      <c r="E51" s="133">
        <f t="shared" ca="1" si="3"/>
        <v>6.9644260496033086E-3</v>
      </c>
      <c r="F51" s="551" t="s">
        <v>336</v>
      </c>
      <c r="G51" s="575">
        <f t="shared" ca="1" si="4"/>
        <v>6.9644260496033086E-3</v>
      </c>
      <c r="H51" s="575">
        <f t="shared" ca="1" si="4"/>
        <v>6.9644260496033086E-3</v>
      </c>
      <c r="I51" s="574" t="s">
        <v>336</v>
      </c>
      <c r="J51" s="133">
        <f t="shared" ca="1" si="5"/>
        <v>0.23085146988764171</v>
      </c>
      <c r="K51" s="133">
        <f t="shared" ca="1" si="5"/>
        <v>0.23085146988764171</v>
      </c>
      <c r="L51" s="133">
        <f t="shared" ca="1" si="5"/>
        <v>0.23085146988764171</v>
      </c>
      <c r="M51" s="551" t="s">
        <v>336</v>
      </c>
      <c r="N51" s="575">
        <f t="shared" ca="1" si="6"/>
        <v>0.23085146988764171</v>
      </c>
      <c r="O51" s="575">
        <f t="shared" ca="1" si="6"/>
        <v>0.23085146988764171</v>
      </c>
      <c r="P51" s="574" t="s">
        <v>336</v>
      </c>
      <c r="Q51" s="45">
        <f t="shared" ca="1" si="7"/>
        <v>5131.2737462549603</v>
      </c>
      <c r="R51" s="45">
        <f t="shared" ca="1" si="7"/>
        <v>5131.2737462549603</v>
      </c>
      <c r="S51" s="45">
        <f t="shared" ca="1" si="7"/>
        <v>5131.2737462549603</v>
      </c>
      <c r="T51" s="581" t="s">
        <v>336</v>
      </c>
      <c r="U51" s="573">
        <f t="shared" ca="1" si="8"/>
        <v>5131.2737462549603</v>
      </c>
      <c r="V51" s="573">
        <f t="shared" ca="1" si="8"/>
        <v>5131.2737462549603</v>
      </c>
      <c r="W51" s="574" t="s">
        <v>336</v>
      </c>
    </row>
    <row r="52" spans="1:23" x14ac:dyDescent="0.25">
      <c r="A52" s="812" t="str">
        <f t="shared" si="9"/>
        <v>FB</v>
      </c>
      <c r="B52" s="812" t="s">
        <v>746</v>
      </c>
      <c r="C52" s="133">
        <f t="shared" ca="1" si="3"/>
        <v>1.2263415948407175E-4</v>
      </c>
      <c r="D52" s="133">
        <f t="shared" ca="1" si="3"/>
        <v>1.2263415948407175E-4</v>
      </c>
      <c r="E52" s="133">
        <f t="shared" ca="1" si="3"/>
        <v>1.2263415948407175E-4</v>
      </c>
      <c r="F52" s="551" t="s">
        <v>336</v>
      </c>
      <c r="G52" s="575">
        <f t="shared" ca="1" si="4"/>
        <v>1.2263415948407175E-4</v>
      </c>
      <c r="H52" s="575">
        <f t="shared" ca="1" si="4"/>
        <v>1.2263415948407175E-4</v>
      </c>
      <c r="I52" s="574" t="s">
        <v>336</v>
      </c>
      <c r="J52" s="133">
        <f t="shared" ca="1" si="5"/>
        <v>1.0540765924365631E-2</v>
      </c>
      <c r="K52" s="133">
        <f t="shared" ca="1" si="5"/>
        <v>1.0540765924365631E-2</v>
      </c>
      <c r="L52" s="133">
        <f t="shared" ca="1" si="5"/>
        <v>1.0540765924365631E-2</v>
      </c>
      <c r="M52" s="551" t="s">
        <v>336</v>
      </c>
      <c r="N52" s="575">
        <f t="shared" ca="1" si="6"/>
        <v>1.0540765924365631E-2</v>
      </c>
      <c r="O52" s="575">
        <f t="shared" ca="1" si="6"/>
        <v>1.0540765924365631E-2</v>
      </c>
      <c r="P52" s="574" t="s">
        <v>336</v>
      </c>
      <c r="Q52" s="45">
        <f t="shared" ca="1" si="7"/>
        <v>102.0186124138403</v>
      </c>
      <c r="R52" s="45">
        <f t="shared" ca="1" si="7"/>
        <v>102.0186124138403</v>
      </c>
      <c r="S52" s="45">
        <f t="shared" ca="1" si="7"/>
        <v>102.0186124138403</v>
      </c>
      <c r="T52" s="581" t="s">
        <v>336</v>
      </c>
      <c r="U52" s="573">
        <f t="shared" ca="1" si="8"/>
        <v>102.0186124138403</v>
      </c>
      <c r="V52" s="573">
        <f t="shared" ca="1" si="8"/>
        <v>102.0186124138403</v>
      </c>
      <c r="W52" s="574" t="s">
        <v>336</v>
      </c>
    </row>
    <row r="53" spans="1:23" x14ac:dyDescent="0.25">
      <c r="A53" s="812" t="str">
        <f t="shared" si="9"/>
        <v>FB</v>
      </c>
      <c r="B53" s="812" t="s">
        <v>747</v>
      </c>
      <c r="C53" s="133">
        <f t="shared" ca="1" si="3"/>
        <v>4.735990494580704E-4</v>
      </c>
      <c r="D53" s="133">
        <f t="shared" ca="1" si="3"/>
        <v>4.735990494580704E-4</v>
      </c>
      <c r="E53" s="133">
        <f t="shared" ca="1" si="3"/>
        <v>4.735990494580704E-4</v>
      </c>
      <c r="F53" s="551" t="s">
        <v>336</v>
      </c>
      <c r="G53" s="575">
        <f t="shared" ca="1" si="4"/>
        <v>4.735990494580704E-4</v>
      </c>
      <c r="H53" s="575">
        <f t="shared" ca="1" si="4"/>
        <v>4.735990494580704E-4</v>
      </c>
      <c r="I53" s="574" t="s">
        <v>336</v>
      </c>
      <c r="J53" s="133">
        <f t="shared" ca="1" si="5"/>
        <v>3.5661398893580741E-2</v>
      </c>
      <c r="K53" s="133">
        <f t="shared" ca="1" si="5"/>
        <v>3.5661398893580741E-2</v>
      </c>
      <c r="L53" s="133">
        <f t="shared" ca="1" si="5"/>
        <v>3.5661398893580741E-2</v>
      </c>
      <c r="M53" s="551" t="s">
        <v>336</v>
      </c>
      <c r="N53" s="575">
        <f t="shared" ca="1" si="6"/>
        <v>3.5661398893580741E-2</v>
      </c>
      <c r="O53" s="575">
        <f t="shared" ca="1" si="6"/>
        <v>3.5661398893580741E-2</v>
      </c>
      <c r="P53" s="574" t="s">
        <v>336</v>
      </c>
      <c r="Q53" s="45">
        <f t="shared" ca="1" si="7"/>
        <v>314.92773860914417</v>
      </c>
      <c r="R53" s="45">
        <f t="shared" ca="1" si="7"/>
        <v>314.92773860914417</v>
      </c>
      <c r="S53" s="45">
        <f t="shared" ca="1" si="7"/>
        <v>314.92773860914417</v>
      </c>
      <c r="T53" s="581" t="s">
        <v>336</v>
      </c>
      <c r="U53" s="573">
        <f t="shared" ca="1" si="8"/>
        <v>314.92773860914417</v>
      </c>
      <c r="V53" s="573">
        <f t="shared" ca="1" si="8"/>
        <v>314.92773860914417</v>
      </c>
      <c r="W53" s="574" t="s">
        <v>336</v>
      </c>
    </row>
    <row r="54" spans="1:23" x14ac:dyDescent="0.25">
      <c r="A54" s="812" t="str">
        <f t="shared" si="9"/>
        <v>FB</v>
      </c>
      <c r="B54" s="812" t="s">
        <v>149</v>
      </c>
      <c r="C54" s="133">
        <f t="shared" ca="1" si="3"/>
        <v>2.2027922277378324E-6</v>
      </c>
      <c r="D54" s="133">
        <f t="shared" ca="1" si="3"/>
        <v>2.2027922277378324E-6</v>
      </c>
      <c r="E54" s="133">
        <f t="shared" ca="1" si="3"/>
        <v>2.2027922277378324E-6</v>
      </c>
      <c r="F54" s="551" t="s">
        <v>336</v>
      </c>
      <c r="G54" s="575">
        <f t="shared" ca="1" si="4"/>
        <v>2.2027922277378324E-6</v>
      </c>
      <c r="H54" s="575">
        <f t="shared" ca="1" si="4"/>
        <v>2.2027922277378324E-6</v>
      </c>
      <c r="I54" s="574" t="s">
        <v>336</v>
      </c>
      <c r="J54" s="133">
        <f t="shared" ca="1" si="5"/>
        <v>3.17411771472211E-5</v>
      </c>
      <c r="K54" s="133">
        <f t="shared" ca="1" si="5"/>
        <v>3.17411771472211E-5</v>
      </c>
      <c r="L54" s="133">
        <f t="shared" ca="1" si="5"/>
        <v>3.17411771472211E-5</v>
      </c>
      <c r="M54" s="551" t="s">
        <v>336</v>
      </c>
      <c r="N54" s="575">
        <f t="shared" ca="1" si="6"/>
        <v>3.17411771472211E-5</v>
      </c>
      <c r="O54" s="575">
        <f t="shared" ca="1" si="6"/>
        <v>3.17411771472211E-5</v>
      </c>
      <c r="P54" s="574" t="s">
        <v>336</v>
      </c>
      <c r="Q54" s="45">
        <f t="shared" ca="1" si="7"/>
        <v>133.34833443689448</v>
      </c>
      <c r="R54" s="45">
        <f t="shared" ca="1" si="7"/>
        <v>133.34833443689448</v>
      </c>
      <c r="S54" s="45">
        <f t="shared" ca="1" si="7"/>
        <v>133.34833443689448</v>
      </c>
      <c r="T54" s="581" t="s">
        <v>336</v>
      </c>
      <c r="U54" s="573">
        <f t="shared" ca="1" si="8"/>
        <v>133.34833443689448</v>
      </c>
      <c r="V54" s="573">
        <f t="shared" ca="1" si="8"/>
        <v>133.34833443689448</v>
      </c>
      <c r="W54" s="574" t="s">
        <v>336</v>
      </c>
    </row>
    <row r="55" spans="1:23" x14ac:dyDescent="0.25">
      <c r="A55" s="812" t="str">
        <f t="shared" si="9"/>
        <v>FB</v>
      </c>
      <c r="B55" s="812" t="s">
        <v>150</v>
      </c>
      <c r="C55" s="133">
        <f t="shared" ca="1" si="3"/>
        <v>3.7934985253626425E-3</v>
      </c>
      <c r="D55" s="133">
        <f t="shared" ca="1" si="3"/>
        <v>3.7934985253626425E-3</v>
      </c>
      <c r="E55" s="133">
        <f t="shared" ca="1" si="3"/>
        <v>3.7934985253626425E-3</v>
      </c>
      <c r="F55" s="551" t="s">
        <v>336</v>
      </c>
      <c r="G55" s="575">
        <f t="shared" ca="1" si="4"/>
        <v>3.7934985253626425E-3</v>
      </c>
      <c r="H55" s="575">
        <f t="shared" ca="1" si="4"/>
        <v>3.7934985253626425E-3</v>
      </c>
      <c r="I55" s="574" t="s">
        <v>336</v>
      </c>
      <c r="J55" s="133">
        <f t="shared" ca="1" si="5"/>
        <v>3.5625558785950455E-4</v>
      </c>
      <c r="K55" s="133">
        <f t="shared" ca="1" si="5"/>
        <v>3.5625558785950455E-4</v>
      </c>
      <c r="L55" s="133">
        <f t="shared" ca="1" si="5"/>
        <v>3.5625558785950455E-4</v>
      </c>
      <c r="M55" s="551" t="s">
        <v>336</v>
      </c>
      <c r="N55" s="575">
        <f t="shared" ca="1" si="6"/>
        <v>3.5625558785950455E-4</v>
      </c>
      <c r="O55" s="575">
        <f t="shared" ca="1" si="6"/>
        <v>3.5625558785950455E-4</v>
      </c>
      <c r="P55" s="574" t="s">
        <v>336</v>
      </c>
      <c r="Q55" s="45">
        <f t="shared" ca="1" si="7"/>
        <v>1230.5962791021755</v>
      </c>
      <c r="R55" s="45">
        <f t="shared" ca="1" si="7"/>
        <v>1230.5962791021755</v>
      </c>
      <c r="S55" s="45">
        <f t="shared" ca="1" si="7"/>
        <v>1230.5962791021755</v>
      </c>
      <c r="T55" s="581" t="s">
        <v>336</v>
      </c>
      <c r="U55" s="573">
        <f t="shared" ca="1" si="8"/>
        <v>1230.5962791021755</v>
      </c>
      <c r="V55" s="573">
        <f t="shared" ca="1" si="8"/>
        <v>1230.5962791021755</v>
      </c>
      <c r="W55" s="574" t="s">
        <v>336</v>
      </c>
    </row>
    <row r="56" spans="1:23" x14ac:dyDescent="0.25">
      <c r="A56" s="812" t="str">
        <f t="shared" si="9"/>
        <v>FB</v>
      </c>
      <c r="B56" s="812" t="s">
        <v>151</v>
      </c>
      <c r="C56" s="133">
        <f t="shared" ref="C56:E59" ca="1" si="10">C22*C$32/C$26</f>
        <v>3.659488054539578E-2</v>
      </c>
      <c r="D56" s="133">
        <f t="shared" ca="1" si="10"/>
        <v>3.659488054539578E-2</v>
      </c>
      <c r="E56" s="133">
        <f t="shared" ca="1" si="10"/>
        <v>3.659488054539578E-2</v>
      </c>
      <c r="F56" s="551" t="s">
        <v>336</v>
      </c>
      <c r="G56" s="575">
        <f t="shared" ref="G56:H59" ca="1" si="11">G22*G$32/G$26</f>
        <v>3.659488054539578E-2</v>
      </c>
      <c r="H56" s="575">
        <f t="shared" ca="1" si="11"/>
        <v>3.659488054539578E-2</v>
      </c>
      <c r="I56" s="574" t="s">
        <v>336</v>
      </c>
      <c r="J56" s="133">
        <f t="shared" ref="J56:L59" ca="1" si="12">J22*J$32/J$26</f>
        <v>5.0668799003251323E-2</v>
      </c>
      <c r="K56" s="133">
        <f t="shared" ca="1" si="12"/>
        <v>5.0668799003251323E-2</v>
      </c>
      <c r="L56" s="133">
        <f t="shared" ca="1" si="12"/>
        <v>5.0668799003251323E-2</v>
      </c>
      <c r="M56" s="551" t="s">
        <v>336</v>
      </c>
      <c r="N56" s="575">
        <f t="shared" ref="N56:O59" ca="1" si="13">N22*N$32/N$26</f>
        <v>5.0668799003251323E-2</v>
      </c>
      <c r="O56" s="575">
        <f t="shared" ca="1" si="13"/>
        <v>5.0668799003251323E-2</v>
      </c>
      <c r="P56" s="574" t="s">
        <v>336</v>
      </c>
      <c r="Q56" s="45">
        <f t="shared" ref="Q56:S59" ca="1" si="14">Q22*Q$32/Q$26</f>
        <v>169.09873959905991</v>
      </c>
      <c r="R56" s="45">
        <f t="shared" ca="1" si="14"/>
        <v>169.09873959905991</v>
      </c>
      <c r="S56" s="45">
        <f t="shared" ca="1" si="14"/>
        <v>169.09873959905991</v>
      </c>
      <c r="T56" s="581" t="s">
        <v>336</v>
      </c>
      <c r="U56" s="573">
        <f t="shared" ref="U56:V59" ca="1" si="15">U22*U$32/U$26</f>
        <v>169.09873959905991</v>
      </c>
      <c r="V56" s="573">
        <f t="shared" ca="1" si="15"/>
        <v>169.09873959905991</v>
      </c>
      <c r="W56" s="574" t="s">
        <v>336</v>
      </c>
    </row>
    <row r="57" spans="1:23" x14ac:dyDescent="0.25">
      <c r="A57" s="812" t="str">
        <f t="shared" si="9"/>
        <v>FB</v>
      </c>
      <c r="B57" s="812" t="s">
        <v>152</v>
      </c>
      <c r="C57" s="133">
        <f t="shared" ca="1" si="10"/>
        <v>9.9000564270045288E-5</v>
      </c>
      <c r="D57" s="133">
        <f t="shared" ca="1" si="10"/>
        <v>9.9000564270045288E-5</v>
      </c>
      <c r="E57" s="133">
        <f t="shared" ca="1" si="10"/>
        <v>9.9000564270045288E-5</v>
      </c>
      <c r="F57" s="551" t="s">
        <v>336</v>
      </c>
      <c r="G57" s="575">
        <f t="shared" ca="1" si="11"/>
        <v>9.9000564270045288E-5</v>
      </c>
      <c r="H57" s="575">
        <f t="shared" ca="1" si="11"/>
        <v>9.9000564270045288E-5</v>
      </c>
      <c r="I57" s="574" t="s">
        <v>336</v>
      </c>
      <c r="J57" s="133">
        <f t="shared" ca="1" si="12"/>
        <v>1.3707490275818141E-4</v>
      </c>
      <c r="K57" s="133">
        <f t="shared" ca="1" si="12"/>
        <v>1.3707490275818141E-4</v>
      </c>
      <c r="L57" s="133">
        <f t="shared" ca="1" si="12"/>
        <v>1.3707490275818141E-4</v>
      </c>
      <c r="M57" s="551" t="s">
        <v>336</v>
      </c>
      <c r="N57" s="575">
        <f t="shared" ca="1" si="13"/>
        <v>1.3707490275818141E-4</v>
      </c>
      <c r="O57" s="575">
        <f t="shared" ca="1" si="13"/>
        <v>1.3707490275818141E-4</v>
      </c>
      <c r="P57" s="574" t="s">
        <v>336</v>
      </c>
      <c r="Q57" s="45">
        <f t="shared" ca="1" si="14"/>
        <v>6.9158756108167427</v>
      </c>
      <c r="R57" s="45">
        <f t="shared" ca="1" si="14"/>
        <v>6.9158756108167427</v>
      </c>
      <c r="S57" s="45">
        <f t="shared" ca="1" si="14"/>
        <v>6.9158756108167427</v>
      </c>
      <c r="T57" s="581" t="s">
        <v>336</v>
      </c>
      <c r="U57" s="573">
        <f t="shared" ca="1" si="15"/>
        <v>6.9158756108167427</v>
      </c>
      <c r="V57" s="573">
        <f t="shared" ca="1" si="15"/>
        <v>6.9158756108167427</v>
      </c>
      <c r="W57" s="574" t="s">
        <v>336</v>
      </c>
    </row>
    <row r="58" spans="1:23" x14ac:dyDescent="0.25">
      <c r="A58" s="812" t="str">
        <f t="shared" si="9"/>
        <v>FB</v>
      </c>
      <c r="B58" s="812" t="s">
        <v>153</v>
      </c>
      <c r="C58" s="133">
        <f t="shared" ca="1" si="10"/>
        <v>9.6974767645873608E-5</v>
      </c>
      <c r="D58" s="133">
        <f t="shared" ca="1" si="10"/>
        <v>9.6974767645873608E-5</v>
      </c>
      <c r="E58" s="133">
        <f t="shared" ca="1" si="10"/>
        <v>9.6974767645873608E-5</v>
      </c>
      <c r="F58" s="551" t="s">
        <v>336</v>
      </c>
      <c r="G58" s="575">
        <f t="shared" ca="1" si="11"/>
        <v>9.6974767645873608E-5</v>
      </c>
      <c r="H58" s="575">
        <f t="shared" ca="1" si="11"/>
        <v>9.6974767645873608E-5</v>
      </c>
      <c r="I58" s="574" t="s">
        <v>336</v>
      </c>
      <c r="J58" s="133">
        <f t="shared" ca="1" si="12"/>
        <v>3.3742794571609498E-6</v>
      </c>
      <c r="K58" s="133">
        <f t="shared" ca="1" si="12"/>
        <v>3.3742794571609498E-6</v>
      </c>
      <c r="L58" s="133">
        <f t="shared" ca="1" si="12"/>
        <v>3.3742794571609498E-6</v>
      </c>
      <c r="M58" s="551" t="s">
        <v>336</v>
      </c>
      <c r="N58" s="575">
        <f t="shared" ca="1" si="13"/>
        <v>3.3742794571609498E-6</v>
      </c>
      <c r="O58" s="575">
        <f t="shared" ca="1" si="13"/>
        <v>3.3742794571609498E-6</v>
      </c>
      <c r="P58" s="574" t="s">
        <v>336</v>
      </c>
      <c r="Q58" s="45">
        <f t="shared" ca="1" si="14"/>
        <v>3.6086672339798844</v>
      </c>
      <c r="R58" s="45">
        <f t="shared" ca="1" si="14"/>
        <v>3.6086672339798844</v>
      </c>
      <c r="S58" s="45">
        <f t="shared" ca="1" si="14"/>
        <v>3.6086672339798844</v>
      </c>
      <c r="T58" s="581" t="s">
        <v>336</v>
      </c>
      <c r="U58" s="573">
        <f t="shared" ca="1" si="15"/>
        <v>3.6086672339798844</v>
      </c>
      <c r="V58" s="573">
        <f t="shared" ca="1" si="15"/>
        <v>3.6086672339798844</v>
      </c>
      <c r="W58" s="574" t="s">
        <v>336</v>
      </c>
    </row>
    <row r="59" spans="1:23" x14ac:dyDescent="0.25">
      <c r="A59" s="813" t="str">
        <f>A56</f>
        <v>FB</v>
      </c>
      <c r="B59" s="813" t="s">
        <v>154</v>
      </c>
      <c r="C59" s="135">
        <f t="shared" ca="1" si="10"/>
        <v>8.9027760927591236E-4</v>
      </c>
      <c r="D59" s="135">
        <f t="shared" ca="1" si="10"/>
        <v>8.9027760927591236E-4</v>
      </c>
      <c r="E59" s="135">
        <f t="shared" ca="1" si="10"/>
        <v>8.9027760927591236E-4</v>
      </c>
      <c r="F59" s="580" t="s">
        <v>336</v>
      </c>
      <c r="G59" s="579">
        <f t="shared" ca="1" si="11"/>
        <v>8.9027760927591236E-4</v>
      </c>
      <c r="H59" s="579">
        <f t="shared" ca="1" si="11"/>
        <v>8.9027760927591236E-4</v>
      </c>
      <c r="I59" s="576" t="s">
        <v>336</v>
      </c>
      <c r="J59" s="135">
        <f t="shared" ca="1" si="12"/>
        <v>7.522296718790243E-3</v>
      </c>
      <c r="K59" s="135">
        <f t="shared" ca="1" si="12"/>
        <v>7.522296718790243E-3</v>
      </c>
      <c r="L59" s="135">
        <f t="shared" ca="1" si="12"/>
        <v>7.522296718790243E-3</v>
      </c>
      <c r="M59" s="580" t="s">
        <v>336</v>
      </c>
      <c r="N59" s="579">
        <f t="shared" ca="1" si="13"/>
        <v>7.522296718790243E-3</v>
      </c>
      <c r="O59" s="579">
        <f t="shared" ca="1" si="13"/>
        <v>7.522296718790243E-3</v>
      </c>
      <c r="P59" s="576" t="s">
        <v>336</v>
      </c>
      <c r="Q59" s="88">
        <f t="shared" ca="1" si="14"/>
        <v>57.550078708967213</v>
      </c>
      <c r="R59" s="88">
        <f t="shared" ca="1" si="14"/>
        <v>57.550078708967213</v>
      </c>
      <c r="S59" s="88">
        <f t="shared" ca="1" si="14"/>
        <v>57.550078708967213</v>
      </c>
      <c r="T59" s="578" t="s">
        <v>336</v>
      </c>
      <c r="U59" s="577">
        <f t="shared" ca="1" si="15"/>
        <v>57.550078708967213</v>
      </c>
      <c r="V59" s="577">
        <f t="shared" ca="1" si="15"/>
        <v>57.550078708967213</v>
      </c>
      <c r="W59" s="576" t="s">
        <v>336</v>
      </c>
    </row>
    <row r="60" spans="1:23" x14ac:dyDescent="0.25">
      <c r="A60" s="82" t="s">
        <v>754</v>
      </c>
      <c r="B60" s="812" t="s">
        <v>137</v>
      </c>
      <c r="C60" s="133">
        <f t="shared" ref="C60:E75" ca="1" si="16">C6*C$33/C$26</f>
        <v>0.28872682249997439</v>
      </c>
      <c r="D60" s="575">
        <f t="shared" ca="1" si="16"/>
        <v>0.28872682249997439</v>
      </c>
      <c r="E60" s="575">
        <f t="shared" ca="1" si="16"/>
        <v>0.28872682249997439</v>
      </c>
      <c r="F60" s="574" t="s">
        <v>336</v>
      </c>
      <c r="G60" s="133">
        <f t="shared" ref="G60:H75" ca="1" si="17">G6*G$33/G$26</f>
        <v>0.28872682249997439</v>
      </c>
      <c r="H60" s="133">
        <f t="shared" ca="1" si="17"/>
        <v>0.28872682249997439</v>
      </c>
      <c r="I60" s="551" t="s">
        <v>336</v>
      </c>
      <c r="J60" s="575">
        <f t="shared" ref="J60:L75" ca="1" si="18">J6*J$33/J$26</f>
        <v>2.4307094936196704E-3</v>
      </c>
      <c r="K60" s="575">
        <f t="shared" ca="1" si="18"/>
        <v>2.4307094936196704E-3</v>
      </c>
      <c r="L60" s="575">
        <f t="shared" ca="1" si="18"/>
        <v>2.4307094936196704E-3</v>
      </c>
      <c r="M60" s="574" t="s">
        <v>336</v>
      </c>
      <c r="N60" s="133">
        <f t="shared" ref="N60:O75" ca="1" si="19">N6*N$33/N$26</f>
        <v>2.4307094936196704E-3</v>
      </c>
      <c r="O60" s="133">
        <f t="shared" ca="1" si="19"/>
        <v>2.4307094936196704E-3</v>
      </c>
      <c r="P60" s="551" t="s">
        <v>336</v>
      </c>
      <c r="Q60" s="573">
        <f t="shared" ref="Q60:S75" ca="1" si="20">Q6*Q$33/Q$26</f>
        <v>185.5805262381657</v>
      </c>
      <c r="R60" s="573">
        <f t="shared" ca="1" si="20"/>
        <v>185.5805262381657</v>
      </c>
      <c r="S60" s="573">
        <f t="shared" ca="1" si="20"/>
        <v>185.5805262381657</v>
      </c>
      <c r="T60" s="572" t="s">
        <v>336</v>
      </c>
      <c r="U60" s="45">
        <f t="shared" ref="U60:V75" ca="1" si="21">U6*U$33/U$26</f>
        <v>185.5805262381657</v>
      </c>
      <c r="V60" s="45">
        <f t="shared" ca="1" si="21"/>
        <v>185.5805262381657</v>
      </c>
      <c r="W60" s="551" t="s">
        <v>336</v>
      </c>
    </row>
    <row r="61" spans="1:23" x14ac:dyDescent="0.25">
      <c r="A61" s="812" t="str">
        <f t="shared" ref="A61:A78" si="22">A60</f>
        <v>NP</v>
      </c>
      <c r="B61" s="812" t="s">
        <v>138</v>
      </c>
      <c r="C61" s="133">
        <f t="shared" ca="1" si="16"/>
        <v>2.2533415263979392E-2</v>
      </c>
      <c r="D61" s="575">
        <f t="shared" ca="1" si="16"/>
        <v>2.2533415263979392E-2</v>
      </c>
      <c r="E61" s="575">
        <f t="shared" ca="1" si="16"/>
        <v>2.2533415263979392E-2</v>
      </c>
      <c r="F61" s="574" t="s">
        <v>336</v>
      </c>
      <c r="G61" s="133">
        <f t="shared" ca="1" si="17"/>
        <v>2.2533415263979392E-2</v>
      </c>
      <c r="H61" s="133">
        <f t="shared" ca="1" si="17"/>
        <v>2.2533415263979392E-2</v>
      </c>
      <c r="I61" s="551" t="s">
        <v>336</v>
      </c>
      <c r="J61" s="575">
        <f t="shared" ca="1" si="18"/>
        <v>2.1450015900306986E-4</v>
      </c>
      <c r="K61" s="575">
        <f t="shared" ca="1" si="18"/>
        <v>2.1450015900306986E-4</v>
      </c>
      <c r="L61" s="575">
        <f t="shared" ca="1" si="18"/>
        <v>2.1450015900306986E-4</v>
      </c>
      <c r="M61" s="574" t="s">
        <v>336</v>
      </c>
      <c r="N61" s="133">
        <f t="shared" ca="1" si="19"/>
        <v>2.1450015900306986E-4</v>
      </c>
      <c r="O61" s="133">
        <f t="shared" ca="1" si="19"/>
        <v>2.1450015900306986E-4</v>
      </c>
      <c r="P61" s="551" t="s">
        <v>336</v>
      </c>
      <c r="Q61" s="573">
        <f t="shared" ca="1" si="20"/>
        <v>16.373803770486631</v>
      </c>
      <c r="R61" s="573">
        <f t="shared" ca="1" si="20"/>
        <v>16.373803770486631</v>
      </c>
      <c r="S61" s="573">
        <f t="shared" ca="1" si="20"/>
        <v>16.373803770486631</v>
      </c>
      <c r="T61" s="572" t="s">
        <v>336</v>
      </c>
      <c r="U61" s="45">
        <f t="shared" ca="1" si="21"/>
        <v>16.373803770486631</v>
      </c>
      <c r="V61" s="45">
        <f t="shared" ca="1" si="21"/>
        <v>16.373803770486631</v>
      </c>
      <c r="W61" s="551" t="s">
        <v>336</v>
      </c>
    </row>
    <row r="62" spans="1:23" x14ac:dyDescent="0.25">
      <c r="A62" s="812" t="str">
        <f t="shared" si="22"/>
        <v>NP</v>
      </c>
      <c r="B62" s="812" t="s">
        <v>139</v>
      </c>
      <c r="C62" s="133">
        <f t="shared" ca="1" si="16"/>
        <v>1.8604792139133332E-2</v>
      </c>
      <c r="D62" s="575">
        <f t="shared" ca="1" si="16"/>
        <v>1.8604792139133332E-2</v>
      </c>
      <c r="E62" s="575">
        <f t="shared" ca="1" si="16"/>
        <v>1.8604792139133332E-2</v>
      </c>
      <c r="F62" s="574" t="s">
        <v>336</v>
      </c>
      <c r="G62" s="133">
        <f t="shared" ca="1" si="17"/>
        <v>1.8604792139133332E-2</v>
      </c>
      <c r="H62" s="133">
        <f t="shared" ca="1" si="17"/>
        <v>1.8604792139133332E-2</v>
      </c>
      <c r="I62" s="551" t="s">
        <v>336</v>
      </c>
      <c r="J62" s="575">
        <f t="shared" ca="1" si="18"/>
        <v>4.5161213267251203E-4</v>
      </c>
      <c r="K62" s="575">
        <f t="shared" ca="1" si="18"/>
        <v>4.5161213267251203E-4</v>
      </c>
      <c r="L62" s="575">
        <f t="shared" ca="1" si="18"/>
        <v>4.5161213267251203E-4</v>
      </c>
      <c r="M62" s="574" t="s">
        <v>336</v>
      </c>
      <c r="N62" s="133">
        <f t="shared" ca="1" si="19"/>
        <v>4.5161213267251203E-4</v>
      </c>
      <c r="O62" s="133">
        <f t="shared" ca="1" si="19"/>
        <v>4.5161213267251203E-4</v>
      </c>
      <c r="P62" s="551" t="s">
        <v>336</v>
      </c>
      <c r="Q62" s="573">
        <f t="shared" ca="1" si="20"/>
        <v>34.473673470073543</v>
      </c>
      <c r="R62" s="573">
        <f t="shared" ca="1" si="20"/>
        <v>34.473673470073543</v>
      </c>
      <c r="S62" s="573">
        <f t="shared" ca="1" si="20"/>
        <v>34.473673470073543</v>
      </c>
      <c r="T62" s="572" t="s">
        <v>336</v>
      </c>
      <c r="U62" s="45">
        <f t="shared" ca="1" si="21"/>
        <v>34.473673470073543</v>
      </c>
      <c r="V62" s="45">
        <f t="shared" ca="1" si="21"/>
        <v>34.473673470073543</v>
      </c>
      <c r="W62" s="551" t="s">
        <v>336</v>
      </c>
    </row>
    <row r="63" spans="1:23" x14ac:dyDescent="0.25">
      <c r="A63" s="812" t="str">
        <f t="shared" si="22"/>
        <v>NP</v>
      </c>
      <c r="B63" s="812" t="s">
        <v>140</v>
      </c>
      <c r="C63" s="133">
        <f t="shared" ca="1" si="16"/>
        <v>1.2134900996338033E-2</v>
      </c>
      <c r="D63" s="575">
        <f t="shared" ca="1" si="16"/>
        <v>1.2134900996338033E-2</v>
      </c>
      <c r="E63" s="575">
        <f t="shared" ca="1" si="16"/>
        <v>1.2134900996338033E-2</v>
      </c>
      <c r="F63" s="574" t="s">
        <v>336</v>
      </c>
      <c r="G63" s="133">
        <f t="shared" ca="1" si="17"/>
        <v>1.2134900996338033E-2</v>
      </c>
      <c r="H63" s="133">
        <f t="shared" ca="1" si="17"/>
        <v>1.2134900996338033E-2</v>
      </c>
      <c r="I63" s="551" t="s">
        <v>336</v>
      </c>
      <c r="J63" s="575">
        <f t="shared" ca="1" si="18"/>
        <v>2.7190357000874207E-4</v>
      </c>
      <c r="K63" s="575">
        <f t="shared" ca="1" si="18"/>
        <v>2.7190357000874207E-4</v>
      </c>
      <c r="L63" s="575">
        <f t="shared" ca="1" si="18"/>
        <v>2.7190357000874207E-4</v>
      </c>
      <c r="M63" s="574" t="s">
        <v>336</v>
      </c>
      <c r="N63" s="133">
        <f t="shared" ca="1" si="19"/>
        <v>2.7190357000874207E-4</v>
      </c>
      <c r="O63" s="133">
        <f t="shared" ca="1" si="19"/>
        <v>2.7190357000874207E-4</v>
      </c>
      <c r="P63" s="551" t="s">
        <v>336</v>
      </c>
      <c r="Q63" s="573">
        <f t="shared" ca="1" si="20"/>
        <v>20.755675522619079</v>
      </c>
      <c r="R63" s="573">
        <f t="shared" ca="1" si="20"/>
        <v>20.755675522619079</v>
      </c>
      <c r="S63" s="573">
        <f t="shared" ca="1" si="20"/>
        <v>20.755675522619079</v>
      </c>
      <c r="T63" s="572" t="s">
        <v>336</v>
      </c>
      <c r="U63" s="45">
        <f t="shared" ca="1" si="21"/>
        <v>20.755675522619079</v>
      </c>
      <c r="V63" s="45">
        <f t="shared" ca="1" si="21"/>
        <v>20.755675522619079</v>
      </c>
      <c r="W63" s="551" t="s">
        <v>336</v>
      </c>
    </row>
    <row r="64" spans="1:23" x14ac:dyDescent="0.25">
      <c r="A64" s="812" t="str">
        <f t="shared" si="22"/>
        <v>NP</v>
      </c>
      <c r="B64" s="812" t="s">
        <v>141</v>
      </c>
      <c r="C64" s="133">
        <f t="shared" ca="1" si="16"/>
        <v>0.18145513042748551</v>
      </c>
      <c r="D64" s="575">
        <f t="shared" ca="1" si="16"/>
        <v>0.18145513042748551</v>
      </c>
      <c r="E64" s="575">
        <f t="shared" ca="1" si="16"/>
        <v>0.18145513042748551</v>
      </c>
      <c r="F64" s="574" t="s">
        <v>336</v>
      </c>
      <c r="G64" s="133">
        <f t="shared" ca="1" si="17"/>
        <v>0.18145513042748551</v>
      </c>
      <c r="H64" s="133">
        <f t="shared" ca="1" si="17"/>
        <v>0.18145513042748551</v>
      </c>
      <c r="I64" s="551" t="s">
        <v>336</v>
      </c>
      <c r="J64" s="575">
        <f t="shared" ca="1" si="18"/>
        <v>4.3531135613083414E-3</v>
      </c>
      <c r="K64" s="575">
        <f t="shared" ca="1" si="18"/>
        <v>4.3531135613083414E-3</v>
      </c>
      <c r="L64" s="575">
        <f t="shared" ca="1" si="18"/>
        <v>4.3531135613083414E-3</v>
      </c>
      <c r="M64" s="574" t="s">
        <v>336</v>
      </c>
      <c r="N64" s="133">
        <f t="shared" ca="1" si="19"/>
        <v>4.3531135613083414E-3</v>
      </c>
      <c r="O64" s="133">
        <f t="shared" ca="1" si="19"/>
        <v>4.3531135613083414E-3</v>
      </c>
      <c r="P64" s="551" t="s">
        <v>336</v>
      </c>
      <c r="Q64" s="573">
        <f t="shared" ca="1" si="20"/>
        <v>332.29358698278139</v>
      </c>
      <c r="R64" s="573">
        <f t="shared" ca="1" si="20"/>
        <v>332.29358698278139</v>
      </c>
      <c r="S64" s="573">
        <f t="shared" ca="1" si="20"/>
        <v>332.29358698278139</v>
      </c>
      <c r="T64" s="572" t="s">
        <v>336</v>
      </c>
      <c r="U64" s="45">
        <f t="shared" ca="1" si="21"/>
        <v>332.29358698278139</v>
      </c>
      <c r="V64" s="45">
        <f t="shared" ca="1" si="21"/>
        <v>332.29358698278139</v>
      </c>
      <c r="W64" s="551" t="s">
        <v>336</v>
      </c>
    </row>
    <row r="65" spans="1:23" x14ac:dyDescent="0.25">
      <c r="A65" s="812" t="str">
        <f t="shared" si="22"/>
        <v>NP</v>
      </c>
      <c r="B65" s="812" t="s">
        <v>142</v>
      </c>
      <c r="C65" s="133">
        <f t="shared" ca="1" si="16"/>
        <v>0.249357301747371</v>
      </c>
      <c r="D65" s="575">
        <f t="shared" ca="1" si="16"/>
        <v>0.249357301747371</v>
      </c>
      <c r="E65" s="575">
        <f t="shared" ca="1" si="16"/>
        <v>0.249357301747371</v>
      </c>
      <c r="F65" s="574" t="s">
        <v>336</v>
      </c>
      <c r="G65" s="133">
        <f t="shared" ca="1" si="17"/>
        <v>0.249357301747371</v>
      </c>
      <c r="H65" s="133">
        <f t="shared" ca="1" si="17"/>
        <v>0.249357301747371</v>
      </c>
      <c r="I65" s="551" t="s">
        <v>336</v>
      </c>
      <c r="J65" s="575">
        <f t="shared" ca="1" si="18"/>
        <v>9.1651162792842442E-3</v>
      </c>
      <c r="K65" s="575">
        <f t="shared" ca="1" si="18"/>
        <v>9.1651162792842442E-3</v>
      </c>
      <c r="L65" s="575">
        <f t="shared" ca="1" si="18"/>
        <v>9.1651162792842442E-3</v>
      </c>
      <c r="M65" s="574" t="s">
        <v>336</v>
      </c>
      <c r="N65" s="133">
        <f t="shared" ca="1" si="19"/>
        <v>9.1651162792842442E-3</v>
      </c>
      <c r="O65" s="133">
        <f t="shared" ca="1" si="19"/>
        <v>9.1651162792842442E-3</v>
      </c>
      <c r="P65" s="551" t="s">
        <v>336</v>
      </c>
      <c r="Q65" s="573">
        <f t="shared" ca="1" si="20"/>
        <v>699.61633682772708</v>
      </c>
      <c r="R65" s="573">
        <f t="shared" ca="1" si="20"/>
        <v>699.61633682772708</v>
      </c>
      <c r="S65" s="573">
        <f t="shared" ca="1" si="20"/>
        <v>699.61633682772708</v>
      </c>
      <c r="T65" s="572" t="s">
        <v>336</v>
      </c>
      <c r="U65" s="45">
        <f t="shared" ca="1" si="21"/>
        <v>699.61633682772708</v>
      </c>
      <c r="V65" s="45">
        <f t="shared" ca="1" si="21"/>
        <v>699.61633682772708</v>
      </c>
      <c r="W65" s="551" t="s">
        <v>336</v>
      </c>
    </row>
    <row r="66" spans="1:23" x14ac:dyDescent="0.25">
      <c r="A66" s="812" t="str">
        <f t="shared" si="22"/>
        <v>NP</v>
      </c>
      <c r="B66" s="812" t="s">
        <v>143</v>
      </c>
      <c r="C66" s="133">
        <f t="shared" ca="1" si="16"/>
        <v>0.16658410412061916</v>
      </c>
      <c r="D66" s="575">
        <f t="shared" ca="1" si="16"/>
        <v>0.16658410412061916</v>
      </c>
      <c r="E66" s="575">
        <f t="shared" ca="1" si="16"/>
        <v>0.16658410412061916</v>
      </c>
      <c r="F66" s="574" t="s">
        <v>336</v>
      </c>
      <c r="G66" s="133">
        <f t="shared" ca="1" si="17"/>
        <v>0.16658410412061916</v>
      </c>
      <c r="H66" s="133">
        <f t="shared" ca="1" si="17"/>
        <v>0.16658410412061916</v>
      </c>
      <c r="I66" s="551" t="s">
        <v>336</v>
      </c>
      <c r="J66" s="575">
        <f t="shared" ca="1" si="18"/>
        <v>5.518071051668857E-3</v>
      </c>
      <c r="K66" s="575">
        <f t="shared" ca="1" si="18"/>
        <v>5.518071051668857E-3</v>
      </c>
      <c r="L66" s="575">
        <f t="shared" ca="1" si="18"/>
        <v>5.518071051668857E-3</v>
      </c>
      <c r="M66" s="574" t="s">
        <v>336</v>
      </c>
      <c r="N66" s="133">
        <f t="shared" ca="1" si="19"/>
        <v>5.518071051668857E-3</v>
      </c>
      <c r="O66" s="133">
        <f t="shared" ca="1" si="19"/>
        <v>5.518071051668857E-3</v>
      </c>
      <c r="P66" s="551" t="s">
        <v>336</v>
      </c>
      <c r="Q66" s="573">
        <f t="shared" ca="1" si="20"/>
        <v>421.2202592835169</v>
      </c>
      <c r="R66" s="573">
        <f t="shared" ca="1" si="20"/>
        <v>421.2202592835169</v>
      </c>
      <c r="S66" s="573">
        <f t="shared" ca="1" si="20"/>
        <v>421.2202592835169</v>
      </c>
      <c r="T66" s="572" t="s">
        <v>336</v>
      </c>
      <c r="U66" s="45">
        <f t="shared" ca="1" si="21"/>
        <v>421.2202592835169</v>
      </c>
      <c r="V66" s="45">
        <f t="shared" ca="1" si="21"/>
        <v>421.2202592835169</v>
      </c>
      <c r="W66" s="551" t="s">
        <v>336</v>
      </c>
    </row>
    <row r="67" spans="1:23" x14ac:dyDescent="0.25">
      <c r="A67" s="812" t="str">
        <f t="shared" si="22"/>
        <v>NP</v>
      </c>
      <c r="B67" s="812" t="s">
        <v>144</v>
      </c>
      <c r="C67" s="133">
        <f t="shared" ca="1" si="16"/>
        <v>6.1467358280461295E-3</v>
      </c>
      <c r="D67" s="575">
        <f t="shared" ca="1" si="16"/>
        <v>6.1467358280461295E-3</v>
      </c>
      <c r="E67" s="575">
        <f t="shared" ca="1" si="16"/>
        <v>6.1467358280461295E-3</v>
      </c>
      <c r="F67" s="574" t="s">
        <v>336</v>
      </c>
      <c r="G67" s="133">
        <f t="shared" ca="1" si="17"/>
        <v>6.1467358280461295E-3</v>
      </c>
      <c r="H67" s="133">
        <f t="shared" ca="1" si="17"/>
        <v>6.1467358280461295E-3</v>
      </c>
      <c r="I67" s="551" t="s">
        <v>336</v>
      </c>
      <c r="J67" s="575">
        <f t="shared" ca="1" si="18"/>
        <v>4.839102810720737E-4</v>
      </c>
      <c r="K67" s="575">
        <f t="shared" ca="1" si="18"/>
        <v>4.839102810720737E-4</v>
      </c>
      <c r="L67" s="575">
        <f t="shared" ca="1" si="18"/>
        <v>4.839102810720737E-4</v>
      </c>
      <c r="M67" s="574" t="s">
        <v>336</v>
      </c>
      <c r="N67" s="133">
        <f t="shared" ca="1" si="19"/>
        <v>4.839102810720737E-4</v>
      </c>
      <c r="O67" s="133">
        <f t="shared" ca="1" si="19"/>
        <v>4.839102810720737E-4</v>
      </c>
      <c r="P67" s="551" t="s">
        <v>336</v>
      </c>
      <c r="Q67" s="573">
        <f t="shared" ca="1" si="20"/>
        <v>44.112120520676676</v>
      </c>
      <c r="R67" s="573">
        <f t="shared" ca="1" si="20"/>
        <v>44.112120520676676</v>
      </c>
      <c r="S67" s="573">
        <f t="shared" ca="1" si="20"/>
        <v>44.112120520676676</v>
      </c>
      <c r="T67" s="572" t="s">
        <v>336</v>
      </c>
      <c r="U67" s="45">
        <f t="shared" ca="1" si="21"/>
        <v>44.112120520676676</v>
      </c>
      <c r="V67" s="45">
        <f t="shared" ca="1" si="21"/>
        <v>44.112120520676676</v>
      </c>
      <c r="W67" s="551" t="s">
        <v>336</v>
      </c>
    </row>
    <row r="68" spans="1:23" x14ac:dyDescent="0.25">
      <c r="A68" s="812" t="str">
        <f t="shared" si="22"/>
        <v>NP</v>
      </c>
      <c r="B68" s="812" t="s">
        <v>145</v>
      </c>
      <c r="C68" s="133">
        <f t="shared" ca="1" si="16"/>
        <v>2.0733130979922437E-2</v>
      </c>
      <c r="D68" s="575">
        <f t="shared" ca="1" si="16"/>
        <v>2.0733130979922437E-2</v>
      </c>
      <c r="E68" s="575">
        <f t="shared" ca="1" si="16"/>
        <v>2.0733130979922437E-2</v>
      </c>
      <c r="F68" s="574" t="s">
        <v>336</v>
      </c>
      <c r="G68" s="133">
        <f t="shared" ca="1" si="17"/>
        <v>2.0733130979922437E-2</v>
      </c>
      <c r="H68" s="133">
        <f t="shared" ca="1" si="17"/>
        <v>2.0733130979922437E-2</v>
      </c>
      <c r="I68" s="551" t="s">
        <v>336</v>
      </c>
      <c r="J68" s="575">
        <f t="shared" ca="1" si="18"/>
        <v>1.6322444173084915E-3</v>
      </c>
      <c r="K68" s="575">
        <f t="shared" ca="1" si="18"/>
        <v>1.6322444173084915E-3</v>
      </c>
      <c r="L68" s="575">
        <f t="shared" ca="1" si="18"/>
        <v>1.6322444173084915E-3</v>
      </c>
      <c r="M68" s="574" t="s">
        <v>336</v>
      </c>
      <c r="N68" s="133">
        <f t="shared" ca="1" si="19"/>
        <v>1.6322444173084915E-3</v>
      </c>
      <c r="O68" s="133">
        <f t="shared" ca="1" si="19"/>
        <v>1.6322444173084915E-3</v>
      </c>
      <c r="P68" s="551" t="s">
        <v>336</v>
      </c>
      <c r="Q68" s="573">
        <f t="shared" ca="1" si="20"/>
        <v>148.79155345903857</v>
      </c>
      <c r="R68" s="573">
        <f t="shared" ca="1" si="20"/>
        <v>148.79155345903857</v>
      </c>
      <c r="S68" s="573">
        <f t="shared" ca="1" si="20"/>
        <v>148.79155345903857</v>
      </c>
      <c r="T68" s="572" t="s">
        <v>336</v>
      </c>
      <c r="U68" s="45">
        <f t="shared" ca="1" si="21"/>
        <v>148.79155345903857</v>
      </c>
      <c r="V68" s="45">
        <f t="shared" ca="1" si="21"/>
        <v>148.79155345903857</v>
      </c>
      <c r="W68" s="551" t="s">
        <v>336</v>
      </c>
    </row>
    <row r="69" spans="1:23" x14ac:dyDescent="0.25">
      <c r="A69" s="812" t="str">
        <f t="shared" si="22"/>
        <v>NP</v>
      </c>
      <c r="B69" s="812" t="s">
        <v>146</v>
      </c>
      <c r="C69" s="133">
        <f t="shared" ca="1" si="16"/>
        <v>0.10301011412149305</v>
      </c>
      <c r="D69" s="575">
        <f t="shared" ca="1" si="16"/>
        <v>0.10301011412149305</v>
      </c>
      <c r="E69" s="575">
        <f t="shared" ca="1" si="16"/>
        <v>0.10301011412149305</v>
      </c>
      <c r="F69" s="574" t="s">
        <v>336</v>
      </c>
      <c r="G69" s="133">
        <f t="shared" ca="1" si="17"/>
        <v>0.10301011412149305</v>
      </c>
      <c r="H69" s="133">
        <f t="shared" ca="1" si="17"/>
        <v>0.10301011412149305</v>
      </c>
      <c r="I69" s="551" t="s">
        <v>336</v>
      </c>
      <c r="J69" s="575">
        <f t="shared" ca="1" si="18"/>
        <v>3.0400312545466519E-3</v>
      </c>
      <c r="K69" s="575">
        <f t="shared" ca="1" si="18"/>
        <v>3.0400312545466519E-3</v>
      </c>
      <c r="L69" s="575">
        <f t="shared" ca="1" si="18"/>
        <v>3.0400312545466519E-3</v>
      </c>
      <c r="M69" s="574" t="s">
        <v>336</v>
      </c>
      <c r="N69" s="133">
        <f t="shared" ca="1" si="19"/>
        <v>3.0400312545466519E-3</v>
      </c>
      <c r="O69" s="133">
        <f t="shared" ca="1" si="19"/>
        <v>3.0400312545466519E-3</v>
      </c>
      <c r="P69" s="551" t="s">
        <v>336</v>
      </c>
      <c r="Q69" s="573">
        <f t="shared" ca="1" si="20"/>
        <v>231.98019328188605</v>
      </c>
      <c r="R69" s="573">
        <f t="shared" ca="1" si="20"/>
        <v>231.98019328188605</v>
      </c>
      <c r="S69" s="573">
        <f t="shared" ca="1" si="20"/>
        <v>231.98019328188605</v>
      </c>
      <c r="T69" s="572" t="s">
        <v>336</v>
      </c>
      <c r="U69" s="45">
        <f t="shared" ca="1" si="21"/>
        <v>231.98019328188605</v>
      </c>
      <c r="V69" s="45">
        <f t="shared" ca="1" si="21"/>
        <v>231.98019328188605</v>
      </c>
      <c r="W69" s="551" t="s">
        <v>336</v>
      </c>
    </row>
    <row r="70" spans="1:23" x14ac:dyDescent="0.25">
      <c r="A70" s="812" t="str">
        <f t="shared" si="22"/>
        <v>NP</v>
      </c>
      <c r="B70" s="812" t="s">
        <v>568</v>
      </c>
      <c r="C70" s="133">
        <f t="shared" ca="1" si="16"/>
        <v>2.236711011537838E-2</v>
      </c>
      <c r="D70" s="575">
        <f t="shared" ca="1" si="16"/>
        <v>2.236711011537838E-2</v>
      </c>
      <c r="E70" s="575">
        <f t="shared" ca="1" si="16"/>
        <v>2.236711011537838E-2</v>
      </c>
      <c r="F70" s="574" t="s">
        <v>336</v>
      </c>
      <c r="G70" s="133">
        <f t="shared" ca="1" si="17"/>
        <v>2.236711011537838E-2</v>
      </c>
      <c r="H70" s="133">
        <f t="shared" ca="1" si="17"/>
        <v>2.236711011537838E-2</v>
      </c>
      <c r="I70" s="551" t="s">
        <v>336</v>
      </c>
      <c r="J70" s="575">
        <f t="shared" ca="1" si="18"/>
        <v>1.0310396217362463</v>
      </c>
      <c r="K70" s="575">
        <f t="shared" ca="1" si="18"/>
        <v>1.0310396217362463</v>
      </c>
      <c r="L70" s="575">
        <f t="shared" ca="1" si="18"/>
        <v>1.0310396217362463</v>
      </c>
      <c r="M70" s="574" t="s">
        <v>336</v>
      </c>
      <c r="N70" s="133">
        <f t="shared" ca="1" si="19"/>
        <v>1.0310396217362463</v>
      </c>
      <c r="O70" s="133">
        <f t="shared" ca="1" si="19"/>
        <v>1.0310396217362463</v>
      </c>
      <c r="P70" s="551" t="s">
        <v>336</v>
      </c>
      <c r="Q70" s="573">
        <f t="shared" ca="1" si="20"/>
        <v>9105.2911736260812</v>
      </c>
      <c r="R70" s="573">
        <f t="shared" ca="1" si="20"/>
        <v>9105.2911736260812</v>
      </c>
      <c r="S70" s="573">
        <f t="shared" ca="1" si="20"/>
        <v>9105.2911736260812</v>
      </c>
      <c r="T70" s="572" t="s">
        <v>336</v>
      </c>
      <c r="U70" s="45">
        <f t="shared" ca="1" si="21"/>
        <v>9105.2911736260812</v>
      </c>
      <c r="V70" s="45">
        <f t="shared" ca="1" si="21"/>
        <v>9105.2911736260812</v>
      </c>
      <c r="W70" s="551" t="s">
        <v>336</v>
      </c>
    </row>
    <row r="71" spans="1:23" x14ac:dyDescent="0.25">
      <c r="A71" s="812" t="str">
        <f t="shared" si="22"/>
        <v>NP</v>
      </c>
      <c r="B71" s="812" t="s">
        <v>148</v>
      </c>
      <c r="C71" s="133">
        <f t="shared" ca="1" si="16"/>
        <v>7.6032906423647659E-3</v>
      </c>
      <c r="D71" s="575">
        <f t="shared" ca="1" si="16"/>
        <v>7.6032906423647659E-3</v>
      </c>
      <c r="E71" s="575">
        <f t="shared" ca="1" si="16"/>
        <v>7.6032906423647659E-3</v>
      </c>
      <c r="F71" s="574" t="s">
        <v>336</v>
      </c>
      <c r="G71" s="133">
        <f t="shared" ca="1" si="17"/>
        <v>7.6032906423647659E-3</v>
      </c>
      <c r="H71" s="133">
        <f t="shared" ca="1" si="17"/>
        <v>7.6032906423647659E-3</v>
      </c>
      <c r="I71" s="551" t="s">
        <v>336</v>
      </c>
      <c r="J71" s="575">
        <f t="shared" ca="1" si="18"/>
        <v>0.15428611057731137</v>
      </c>
      <c r="K71" s="575">
        <f t="shared" ca="1" si="18"/>
        <v>0.15428611057731137</v>
      </c>
      <c r="L71" s="575">
        <f t="shared" ca="1" si="18"/>
        <v>0.15428611057731137</v>
      </c>
      <c r="M71" s="574" t="s">
        <v>336</v>
      </c>
      <c r="N71" s="133">
        <f t="shared" ca="1" si="19"/>
        <v>0.15428611057731137</v>
      </c>
      <c r="O71" s="133">
        <f t="shared" ca="1" si="19"/>
        <v>0.15428611057731137</v>
      </c>
      <c r="P71" s="551" t="s">
        <v>336</v>
      </c>
      <c r="Q71" s="573">
        <f t="shared" ca="1" si="20"/>
        <v>3194.0985592750562</v>
      </c>
      <c r="R71" s="573">
        <f t="shared" ca="1" si="20"/>
        <v>3194.0985592750562</v>
      </c>
      <c r="S71" s="573">
        <f t="shared" ca="1" si="20"/>
        <v>3194.0985592750562</v>
      </c>
      <c r="T71" s="572" t="s">
        <v>336</v>
      </c>
      <c r="U71" s="45">
        <f t="shared" ca="1" si="21"/>
        <v>3194.0985592750562</v>
      </c>
      <c r="V71" s="45">
        <f t="shared" ca="1" si="21"/>
        <v>3194.0985592750562</v>
      </c>
      <c r="W71" s="551" t="s">
        <v>336</v>
      </c>
    </row>
    <row r="72" spans="1:23" x14ac:dyDescent="0.25">
      <c r="A72" s="812" t="str">
        <f t="shared" si="22"/>
        <v>NP</v>
      </c>
      <c r="B72" s="812" t="s">
        <v>746</v>
      </c>
      <c r="C72" s="133">
        <f t="shared" ca="1" si="16"/>
        <v>1.3388370421315931E-4</v>
      </c>
      <c r="D72" s="575">
        <f t="shared" ca="1" si="16"/>
        <v>1.3388370421315931E-4</v>
      </c>
      <c r="E72" s="575">
        <f t="shared" ca="1" si="16"/>
        <v>1.3388370421315931E-4</v>
      </c>
      <c r="F72" s="574" t="s">
        <v>336</v>
      </c>
      <c r="G72" s="133">
        <f t="shared" ca="1" si="17"/>
        <v>1.3388370421315931E-4</v>
      </c>
      <c r="H72" s="133">
        <f t="shared" ca="1" si="17"/>
        <v>1.3388370421315931E-4</v>
      </c>
      <c r="I72" s="551" t="s">
        <v>336</v>
      </c>
      <c r="J72" s="575">
        <f t="shared" ca="1" si="18"/>
        <v>7.0447624949833282E-3</v>
      </c>
      <c r="K72" s="575">
        <f t="shared" ca="1" si="18"/>
        <v>7.0447624949833282E-3</v>
      </c>
      <c r="L72" s="575">
        <f t="shared" ca="1" si="18"/>
        <v>7.0447624949833282E-3</v>
      </c>
      <c r="M72" s="574" t="s">
        <v>336</v>
      </c>
      <c r="N72" s="133">
        <f t="shared" ca="1" si="19"/>
        <v>7.0447624949833282E-3</v>
      </c>
      <c r="O72" s="133">
        <f t="shared" ca="1" si="19"/>
        <v>7.0447624949833282E-3</v>
      </c>
      <c r="P72" s="551" t="s">
        <v>336</v>
      </c>
      <c r="Q72" s="573">
        <f t="shared" ca="1" si="20"/>
        <v>63.504213387195229</v>
      </c>
      <c r="R72" s="573">
        <f t="shared" ca="1" si="20"/>
        <v>63.504213387195229</v>
      </c>
      <c r="S72" s="573">
        <f t="shared" ca="1" si="20"/>
        <v>63.504213387195229</v>
      </c>
      <c r="T72" s="572" t="s">
        <v>336</v>
      </c>
      <c r="U72" s="45">
        <f t="shared" ca="1" si="21"/>
        <v>63.504213387195229</v>
      </c>
      <c r="V72" s="45">
        <f t="shared" ca="1" si="21"/>
        <v>63.504213387195229</v>
      </c>
      <c r="W72" s="551" t="s">
        <v>336</v>
      </c>
    </row>
    <row r="73" spans="1:23" x14ac:dyDescent="0.25">
      <c r="A73" s="812" t="str">
        <f t="shared" si="22"/>
        <v>NP</v>
      </c>
      <c r="B73" s="812" t="s">
        <v>747</v>
      </c>
      <c r="C73" s="133">
        <f t="shared" ca="1" si="16"/>
        <v>5.1704350011477285E-4</v>
      </c>
      <c r="D73" s="575">
        <f t="shared" ca="1" si="16"/>
        <v>5.1704350011477285E-4</v>
      </c>
      <c r="E73" s="575">
        <f t="shared" ca="1" si="16"/>
        <v>5.1704350011477285E-4</v>
      </c>
      <c r="F73" s="574" t="s">
        <v>336</v>
      </c>
      <c r="G73" s="133">
        <f t="shared" ca="1" si="17"/>
        <v>5.1704350011477285E-4</v>
      </c>
      <c r="H73" s="133">
        <f t="shared" ca="1" si="17"/>
        <v>5.1704350011477285E-4</v>
      </c>
      <c r="I73" s="551" t="s">
        <v>336</v>
      </c>
      <c r="J73" s="575">
        <f t="shared" ca="1" si="18"/>
        <v>2.3833760017705444E-2</v>
      </c>
      <c r="K73" s="575">
        <f t="shared" ca="1" si="18"/>
        <v>2.3833760017705444E-2</v>
      </c>
      <c r="L73" s="575">
        <f t="shared" ca="1" si="18"/>
        <v>2.3833760017705444E-2</v>
      </c>
      <c r="M73" s="574" t="s">
        <v>336</v>
      </c>
      <c r="N73" s="133">
        <f t="shared" ca="1" si="19"/>
        <v>2.3833760017705444E-2</v>
      </c>
      <c r="O73" s="133">
        <f t="shared" ca="1" si="19"/>
        <v>2.3833760017705444E-2</v>
      </c>
      <c r="P73" s="551" t="s">
        <v>336</v>
      </c>
      <c r="Q73" s="573">
        <f t="shared" ca="1" si="20"/>
        <v>196.03519241228915</v>
      </c>
      <c r="R73" s="573">
        <f t="shared" ca="1" si="20"/>
        <v>196.03519241228915</v>
      </c>
      <c r="S73" s="573">
        <f t="shared" ca="1" si="20"/>
        <v>196.03519241228915</v>
      </c>
      <c r="T73" s="572" t="s">
        <v>336</v>
      </c>
      <c r="U73" s="45">
        <f t="shared" ca="1" si="21"/>
        <v>196.03519241228915</v>
      </c>
      <c r="V73" s="45">
        <f t="shared" ca="1" si="21"/>
        <v>196.03519241228915</v>
      </c>
      <c r="W73" s="551" t="s">
        <v>336</v>
      </c>
    </row>
    <row r="74" spans="1:23" x14ac:dyDescent="0.25">
      <c r="A74" s="812" t="str">
        <f t="shared" si="22"/>
        <v>NP</v>
      </c>
      <c r="B74" s="812" t="s">
        <v>149</v>
      </c>
      <c r="C74" s="133">
        <f t="shared" ca="1" si="16"/>
        <v>2.4048599860123268E-6</v>
      </c>
      <c r="D74" s="575">
        <f t="shared" ca="1" si="16"/>
        <v>2.4048599860123268E-6</v>
      </c>
      <c r="E74" s="575">
        <f t="shared" ca="1" si="16"/>
        <v>2.4048599860123268E-6</v>
      </c>
      <c r="F74" s="574" t="s">
        <v>336</v>
      </c>
      <c r="G74" s="133">
        <f t="shared" ca="1" si="17"/>
        <v>2.4048599860123268E-6</v>
      </c>
      <c r="H74" s="133">
        <f t="shared" ca="1" si="17"/>
        <v>2.4048599860123268E-6</v>
      </c>
      <c r="I74" s="551" t="s">
        <v>336</v>
      </c>
      <c r="J74" s="575">
        <f t="shared" ca="1" si="18"/>
        <v>2.1213738728082271E-5</v>
      </c>
      <c r="K74" s="575">
        <f t="shared" ca="1" si="18"/>
        <v>2.1213738728082271E-5</v>
      </c>
      <c r="L74" s="575">
        <f t="shared" ca="1" si="18"/>
        <v>2.1213738728082271E-5</v>
      </c>
      <c r="M74" s="574" t="s">
        <v>336</v>
      </c>
      <c r="N74" s="133">
        <f t="shared" ca="1" si="19"/>
        <v>2.1213738728082271E-5</v>
      </c>
      <c r="O74" s="133">
        <f t="shared" ca="1" si="19"/>
        <v>2.1213738728082271E-5</v>
      </c>
      <c r="P74" s="551" t="s">
        <v>336</v>
      </c>
      <c r="Q74" s="573">
        <f t="shared" ca="1" si="20"/>
        <v>83.006236651762066</v>
      </c>
      <c r="R74" s="573">
        <f t="shared" ca="1" si="20"/>
        <v>83.006236651762066</v>
      </c>
      <c r="S74" s="573">
        <f t="shared" ca="1" si="20"/>
        <v>83.006236651762066</v>
      </c>
      <c r="T74" s="572" t="s">
        <v>336</v>
      </c>
      <c r="U74" s="45">
        <f t="shared" ca="1" si="21"/>
        <v>83.006236651762066</v>
      </c>
      <c r="V74" s="45">
        <f t="shared" ca="1" si="21"/>
        <v>83.006236651762066</v>
      </c>
      <c r="W74" s="551" t="s">
        <v>336</v>
      </c>
    </row>
    <row r="75" spans="1:23" x14ac:dyDescent="0.25">
      <c r="A75" s="812" t="str">
        <f t="shared" si="22"/>
        <v>NP</v>
      </c>
      <c r="B75" s="812" t="s">
        <v>150</v>
      </c>
      <c r="C75" s="133">
        <f t="shared" ca="1" si="16"/>
        <v>4.1414858359156833E-3</v>
      </c>
      <c r="D75" s="575">
        <f t="shared" ca="1" si="16"/>
        <v>4.1414858359156833E-3</v>
      </c>
      <c r="E75" s="575">
        <f t="shared" ca="1" si="16"/>
        <v>4.1414858359156833E-3</v>
      </c>
      <c r="F75" s="574" t="s">
        <v>336</v>
      </c>
      <c r="G75" s="133">
        <f t="shared" ca="1" si="17"/>
        <v>4.1414858359156833E-3</v>
      </c>
      <c r="H75" s="133">
        <f t="shared" ca="1" si="17"/>
        <v>4.1414858359156833E-3</v>
      </c>
      <c r="I75" s="551" t="s">
        <v>336</v>
      </c>
      <c r="J75" s="575">
        <f t="shared" ca="1" si="18"/>
        <v>2.3809806820389263E-4</v>
      </c>
      <c r="K75" s="575">
        <f t="shared" ca="1" si="18"/>
        <v>2.3809806820389263E-4</v>
      </c>
      <c r="L75" s="575">
        <f t="shared" ca="1" si="18"/>
        <v>2.3809806820389263E-4</v>
      </c>
      <c r="M75" s="574" t="s">
        <v>336</v>
      </c>
      <c r="N75" s="133">
        <f t="shared" ca="1" si="19"/>
        <v>2.3809806820389263E-4</v>
      </c>
      <c r="O75" s="133">
        <f t="shared" ca="1" si="19"/>
        <v>2.3809806820389263E-4</v>
      </c>
      <c r="P75" s="551" t="s">
        <v>336</v>
      </c>
      <c r="Q75" s="573">
        <f t="shared" ca="1" si="20"/>
        <v>766.01756142873285</v>
      </c>
      <c r="R75" s="573">
        <f t="shared" ca="1" si="20"/>
        <v>766.01756142873285</v>
      </c>
      <c r="S75" s="573">
        <f t="shared" ca="1" si="20"/>
        <v>766.01756142873285</v>
      </c>
      <c r="T75" s="572" t="s">
        <v>336</v>
      </c>
      <c r="U75" s="45">
        <f t="shared" ca="1" si="21"/>
        <v>766.01756142873285</v>
      </c>
      <c r="V75" s="45">
        <f t="shared" ca="1" si="21"/>
        <v>766.01756142873285</v>
      </c>
      <c r="W75" s="551" t="s">
        <v>336</v>
      </c>
    </row>
    <row r="76" spans="1:23" x14ac:dyDescent="0.25">
      <c r="A76" s="812" t="str">
        <f t="shared" si="22"/>
        <v>NP</v>
      </c>
      <c r="B76" s="812" t="s">
        <v>151</v>
      </c>
      <c r="C76" s="133">
        <f t="shared" ref="C76:E79" ca="1" si="23">C22*C$33/C$26</f>
        <v>3.99518224226263E-2</v>
      </c>
      <c r="D76" s="575">
        <f t="shared" ca="1" si="23"/>
        <v>3.99518224226263E-2</v>
      </c>
      <c r="E76" s="575">
        <f t="shared" ca="1" si="23"/>
        <v>3.99518224226263E-2</v>
      </c>
      <c r="F76" s="574" t="s">
        <v>336</v>
      </c>
      <c r="G76" s="133">
        <f t="shared" ref="G76:H79" ca="1" si="24">G22*G$33/G$26</f>
        <v>3.99518224226263E-2</v>
      </c>
      <c r="H76" s="133">
        <f t="shared" ca="1" si="24"/>
        <v>3.99518224226263E-2</v>
      </c>
      <c r="I76" s="551" t="s">
        <v>336</v>
      </c>
      <c r="J76" s="575">
        <f t="shared" ref="J76:L79" ca="1" si="25">J22*J$33/J$26</f>
        <v>3.3863730344190872E-2</v>
      </c>
      <c r="K76" s="575">
        <f t="shared" ca="1" si="25"/>
        <v>3.3863730344190872E-2</v>
      </c>
      <c r="L76" s="575">
        <f t="shared" ca="1" si="25"/>
        <v>3.3863730344190872E-2</v>
      </c>
      <c r="M76" s="574" t="s">
        <v>336</v>
      </c>
      <c r="N76" s="133">
        <f t="shared" ref="N76:O79" ca="1" si="26">N22*N$33/N$26</f>
        <v>3.3863730344190872E-2</v>
      </c>
      <c r="O76" s="133">
        <f t="shared" ca="1" si="26"/>
        <v>3.3863730344190872E-2</v>
      </c>
      <c r="P76" s="551" t="s">
        <v>336</v>
      </c>
      <c r="Q76" s="573">
        <f t="shared" ref="Q76:S79" ca="1" si="27">Q22*Q$33/Q$26</f>
        <v>105.26003235021092</v>
      </c>
      <c r="R76" s="573">
        <f t="shared" ca="1" si="27"/>
        <v>105.26003235021092</v>
      </c>
      <c r="S76" s="573">
        <f t="shared" ca="1" si="27"/>
        <v>105.26003235021092</v>
      </c>
      <c r="T76" s="572" t="s">
        <v>336</v>
      </c>
      <c r="U76" s="45">
        <f t="shared" ref="U76:V79" ca="1" si="28">U22*U$33/U$26</f>
        <v>105.26003235021092</v>
      </c>
      <c r="V76" s="45">
        <f t="shared" ca="1" si="28"/>
        <v>105.26003235021092</v>
      </c>
      <c r="W76" s="551" t="s">
        <v>336</v>
      </c>
    </row>
    <row r="77" spans="1:23" x14ac:dyDescent="0.25">
      <c r="A77" s="812" t="str">
        <f t="shared" si="22"/>
        <v>NP</v>
      </c>
      <c r="B77" s="812" t="s">
        <v>152</v>
      </c>
      <c r="C77" s="133">
        <f t="shared" ca="1" si="23"/>
        <v>1.080821389360782E-4</v>
      </c>
      <c r="D77" s="575">
        <f t="shared" ca="1" si="23"/>
        <v>1.080821389360782E-4</v>
      </c>
      <c r="E77" s="575">
        <f t="shared" ca="1" si="23"/>
        <v>1.080821389360782E-4</v>
      </c>
      <c r="F77" s="574" t="s">
        <v>336</v>
      </c>
      <c r="G77" s="133">
        <f t="shared" ca="1" si="24"/>
        <v>1.080821389360782E-4</v>
      </c>
      <c r="H77" s="133">
        <f t="shared" ca="1" si="24"/>
        <v>1.080821389360782E-4</v>
      </c>
      <c r="I77" s="551" t="s">
        <v>336</v>
      </c>
      <c r="J77" s="575">
        <f t="shared" ca="1" si="25"/>
        <v>9.1611951245605425E-5</v>
      </c>
      <c r="K77" s="575">
        <f t="shared" ca="1" si="25"/>
        <v>9.1611951245605425E-5</v>
      </c>
      <c r="L77" s="575">
        <f t="shared" ca="1" si="25"/>
        <v>9.1611951245605425E-5</v>
      </c>
      <c r="M77" s="574" t="s">
        <v>336</v>
      </c>
      <c r="N77" s="133">
        <f t="shared" ca="1" si="26"/>
        <v>9.1611951245605425E-5</v>
      </c>
      <c r="O77" s="133">
        <f t="shared" ca="1" si="26"/>
        <v>9.1611951245605425E-5</v>
      </c>
      <c r="P77" s="551" t="s">
        <v>336</v>
      </c>
      <c r="Q77" s="573">
        <f t="shared" ca="1" si="27"/>
        <v>4.3049717120934243</v>
      </c>
      <c r="R77" s="573">
        <f t="shared" ca="1" si="27"/>
        <v>4.3049717120934243</v>
      </c>
      <c r="S77" s="573">
        <f t="shared" ca="1" si="27"/>
        <v>4.3049717120934243</v>
      </c>
      <c r="T77" s="572" t="s">
        <v>336</v>
      </c>
      <c r="U77" s="45">
        <f t="shared" ca="1" si="28"/>
        <v>4.3049717120934243</v>
      </c>
      <c r="V77" s="45">
        <f t="shared" ca="1" si="28"/>
        <v>4.3049717120934243</v>
      </c>
      <c r="W77" s="551" t="s">
        <v>336</v>
      </c>
    </row>
    <row r="78" spans="1:23" x14ac:dyDescent="0.25">
      <c r="A78" s="812" t="str">
        <f t="shared" si="22"/>
        <v>NP</v>
      </c>
      <c r="B78" s="812" t="s">
        <v>153</v>
      </c>
      <c r="C78" s="133">
        <f t="shared" ca="1" si="23"/>
        <v>1.0587051081249781E-4</v>
      </c>
      <c r="D78" s="575">
        <f t="shared" ca="1" si="23"/>
        <v>1.0587051081249781E-4</v>
      </c>
      <c r="E78" s="575">
        <f t="shared" ca="1" si="23"/>
        <v>1.0587051081249781E-4</v>
      </c>
      <c r="F78" s="574" t="s">
        <v>336</v>
      </c>
      <c r="G78" s="133">
        <f t="shared" ca="1" si="24"/>
        <v>1.0587051081249781E-4</v>
      </c>
      <c r="H78" s="133">
        <f t="shared" ca="1" si="24"/>
        <v>1.0587051081249781E-4</v>
      </c>
      <c r="I78" s="551" t="s">
        <v>336</v>
      </c>
      <c r="J78" s="575">
        <f t="shared" ca="1" si="25"/>
        <v>2.2551489652618161E-6</v>
      </c>
      <c r="K78" s="575">
        <f t="shared" ca="1" si="25"/>
        <v>2.2551489652618161E-6</v>
      </c>
      <c r="L78" s="575">
        <f t="shared" ca="1" si="25"/>
        <v>2.2551489652618161E-6</v>
      </c>
      <c r="M78" s="574" t="s">
        <v>336</v>
      </c>
      <c r="N78" s="133">
        <f t="shared" ca="1" si="26"/>
        <v>2.2551489652618161E-6</v>
      </c>
      <c r="O78" s="133">
        <f t="shared" ca="1" si="26"/>
        <v>2.2551489652618161E-6</v>
      </c>
      <c r="P78" s="551" t="s">
        <v>336</v>
      </c>
      <c r="Q78" s="573">
        <f t="shared" ca="1" si="27"/>
        <v>2.246311419532192</v>
      </c>
      <c r="R78" s="573">
        <f t="shared" ca="1" si="27"/>
        <v>2.246311419532192</v>
      </c>
      <c r="S78" s="573">
        <f t="shared" ca="1" si="27"/>
        <v>2.246311419532192</v>
      </c>
      <c r="T78" s="572" t="s">
        <v>336</v>
      </c>
      <c r="U78" s="45">
        <f t="shared" ca="1" si="28"/>
        <v>2.246311419532192</v>
      </c>
      <c r="V78" s="45">
        <f t="shared" ca="1" si="28"/>
        <v>2.246311419532192</v>
      </c>
      <c r="W78" s="551" t="s">
        <v>336</v>
      </c>
    </row>
    <row r="79" spans="1:23" ht="15.75" thickBot="1" x14ac:dyDescent="0.3">
      <c r="A79" s="6" t="str">
        <f>A76</f>
        <v>NP</v>
      </c>
      <c r="B79" s="6" t="s">
        <v>154</v>
      </c>
      <c r="C79" s="544">
        <f t="shared" ca="1" si="23"/>
        <v>9.7194504866628345E-4</v>
      </c>
      <c r="D79" s="571">
        <f t="shared" ca="1" si="23"/>
        <v>9.7194504866628345E-4</v>
      </c>
      <c r="E79" s="571">
        <f t="shared" ca="1" si="23"/>
        <v>9.7194504866628345E-4</v>
      </c>
      <c r="F79" s="570" t="s">
        <v>336</v>
      </c>
      <c r="G79" s="544">
        <f t="shared" ca="1" si="24"/>
        <v>9.7194504866628345E-4</v>
      </c>
      <c r="H79" s="544">
        <f t="shared" ca="1" si="24"/>
        <v>9.7194504866628345E-4</v>
      </c>
      <c r="I79" s="542" t="s">
        <v>336</v>
      </c>
      <c r="J79" s="571">
        <f t="shared" ca="1" si="25"/>
        <v>5.0274139641193951E-3</v>
      </c>
      <c r="K79" s="571">
        <f t="shared" ca="1" si="25"/>
        <v>5.0274139641193951E-3</v>
      </c>
      <c r="L79" s="571">
        <f t="shared" ca="1" si="25"/>
        <v>5.0274139641193951E-3</v>
      </c>
      <c r="M79" s="570" t="s">
        <v>336</v>
      </c>
      <c r="N79" s="544">
        <f t="shared" ca="1" si="26"/>
        <v>5.0274139641193951E-3</v>
      </c>
      <c r="O79" s="544">
        <f t="shared" ca="1" si="26"/>
        <v>5.0274139641193951E-3</v>
      </c>
      <c r="P79" s="542" t="s">
        <v>336</v>
      </c>
      <c r="Q79" s="569">
        <f t="shared" ca="1" si="27"/>
        <v>35.823585444966568</v>
      </c>
      <c r="R79" s="569">
        <f t="shared" ca="1" si="27"/>
        <v>35.823585444966568</v>
      </c>
      <c r="S79" s="569">
        <f t="shared" ca="1" si="27"/>
        <v>35.823585444966568</v>
      </c>
      <c r="T79" s="568" t="s">
        <v>336</v>
      </c>
      <c r="U79" s="567">
        <f t="shared" ca="1" si="28"/>
        <v>35.823585444966568</v>
      </c>
      <c r="V79" s="567">
        <f t="shared" ca="1" si="28"/>
        <v>35.823585444966568</v>
      </c>
      <c r="W79" s="542" t="s">
        <v>336</v>
      </c>
    </row>
    <row r="80" spans="1:23" ht="15.75" thickTop="1" x14ac:dyDescent="0.25">
      <c r="C80" s="137">
        <f ca="1">SUM(C40:C79)</f>
        <v>2.1941545222672603</v>
      </c>
      <c r="D80" s="137">
        <f ca="1">SUM(D40:D79)</f>
        <v>2.1941545222672603</v>
      </c>
      <c r="E80" s="137">
        <f ca="1">SUM(E40:E79)</f>
        <v>2.1941545222672603</v>
      </c>
      <c r="F80" s="566" t="s">
        <v>336</v>
      </c>
      <c r="G80" s="137">
        <f ca="1">SUM(G40:G79)</f>
        <v>2.1941545222672603</v>
      </c>
      <c r="H80" s="137">
        <f ca="1">SUM(H40:H79)</f>
        <v>2.1941545222672603</v>
      </c>
      <c r="I80" s="566" t="s">
        <v>336</v>
      </c>
      <c r="J80" s="137">
        <f ca="1">SUM(J40:J79)</f>
        <v>3.2027204813042336</v>
      </c>
      <c r="K80" s="137">
        <f ca="1">SUM(K40:K79)</f>
        <v>3.2027204813042336</v>
      </c>
      <c r="L80" s="137">
        <f ca="1">SUM(L40:L79)</f>
        <v>3.2027204813042336</v>
      </c>
      <c r="M80" s="566" t="s">
        <v>336</v>
      </c>
      <c r="N80" s="137">
        <f ca="1">SUM(N40:N79)</f>
        <v>3.2027204813042336</v>
      </c>
      <c r="O80" s="137">
        <f ca="1">SUM(O40:O79)</f>
        <v>3.2027204813042336</v>
      </c>
      <c r="P80" s="566" t="s">
        <v>336</v>
      </c>
      <c r="Q80" s="87">
        <f ca="1">SUM(Q40:Q79)</f>
        <v>40897.808626700855</v>
      </c>
      <c r="R80" s="87">
        <f ca="1">SUM(R40:R79)</f>
        <v>40897.808626700855</v>
      </c>
      <c r="S80" s="87">
        <f ca="1">SUM(S40:S79)</f>
        <v>40897.808626700855</v>
      </c>
      <c r="T80" s="566" t="s">
        <v>336</v>
      </c>
      <c r="U80" s="87">
        <f ca="1">SUM(U40:U79)</f>
        <v>40897.808626700855</v>
      </c>
      <c r="V80" s="87">
        <f ca="1">SUM(V40:V79)</f>
        <v>40897.808626700855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0.12694397929026857</v>
      </c>
      <c r="N91" s="557" t="s">
        <v>336</v>
      </c>
      <c r="O91" s="559">
        <f t="shared" ref="O91:P100" ca="1" si="35">(1-$N$84)*(1-G91)*G60</f>
        <v>0</v>
      </c>
      <c r="P91" s="559">
        <f t="shared" ca="1" si="35"/>
        <v>0.13858887479998769</v>
      </c>
      <c r="Q91" s="557" t="s">
        <v>336</v>
      </c>
      <c r="R91" s="558">
        <f t="shared" ref="R91:S100" ca="1" si="36">(1-$N$84)*(1-D91)*D40/$J91</f>
        <v>0</v>
      </c>
      <c r="S91" s="558">
        <f t="shared" ca="1" si="36"/>
        <v>1.8661273014782053E-5</v>
      </c>
      <c r="T91" s="557" t="s">
        <v>336</v>
      </c>
      <c r="U91" s="558">
        <f t="shared" ref="U91:V100" ca="1" si="37">(1-$N$84)*(1-G91)*G60/$J91</f>
        <v>0</v>
      </c>
      <c r="V91" s="558">
        <f t="shared" ca="1" si="37"/>
        <v>2.0373119260271041E-5</v>
      </c>
      <c r="W91" s="557" t="s">
        <v>336</v>
      </c>
      <c r="X91" s="559">
        <f t="shared" ref="X91:Y100" ca="1" si="38">(1-$N$84)*(1-D91)*K40</f>
        <v>0</v>
      </c>
      <c r="Y91" s="559">
        <f t="shared" ca="1" si="38"/>
        <v>1.7457421898750144E-3</v>
      </c>
      <c r="Z91" s="557" t="s">
        <v>336</v>
      </c>
      <c r="AA91" s="559">
        <f t="shared" ref="AA91:AB100" ca="1" si="39">(1-$N$84)*(1-G91)*N60</f>
        <v>0</v>
      </c>
      <c r="AB91" s="559">
        <f t="shared" ca="1" si="39"/>
        <v>1.1667405569374418E-3</v>
      </c>
      <c r="AC91" s="557" t="s">
        <v>336</v>
      </c>
      <c r="AD91" s="558">
        <f t="shared" ref="AD91:AE110" ca="1" si="40">(1-$N$84)*(1-D91)*K40/$K91</f>
        <v>0</v>
      </c>
      <c r="AE91" s="558">
        <f t="shared" ca="1" si="40"/>
        <v>1.405169840614461E-3</v>
      </c>
      <c r="AF91" s="557" t="s">
        <v>336</v>
      </c>
      <c r="AG91" s="558">
        <f t="shared" ref="AG91:AH100" ca="1" si="41">(1-$N$84)*(1-G91)*N60/$K91</f>
        <v>0</v>
      </c>
      <c r="AH91" s="558">
        <f t="shared" ca="1" si="41"/>
        <v>9.3912414555759219E-4</v>
      </c>
      <c r="AI91" s="557" t="s">
        <v>336</v>
      </c>
      <c r="AJ91" s="507">
        <f t="shared" ref="AJ91:AK110" ca="1" si="42">L91-R91</f>
        <v>0</v>
      </c>
      <c r="AK91" s="507">
        <f t="shared" ca="1" si="42"/>
        <v>0.12692531801725379</v>
      </c>
      <c r="AL91" s="507">
        <f t="shared" ref="AL91:AM110" ca="1" si="43">O91-U91</f>
        <v>0</v>
      </c>
      <c r="AM91" s="507">
        <f t="shared" ca="1" si="43"/>
        <v>0.13856850168072743</v>
      </c>
      <c r="AN91" s="507">
        <f t="shared" ref="AN91:AO110" ca="1" si="44">X91-AD91</f>
        <v>0</v>
      </c>
      <c r="AO91" s="507">
        <f t="shared" ca="1" si="44"/>
        <v>3.4057234926055334E-4</v>
      </c>
      <c r="AP91" s="507">
        <f t="shared" ref="AP91:AQ110" ca="1" si="45">AA91-AG91</f>
        <v>0</v>
      </c>
      <c r="AQ91" s="507">
        <f t="shared" ca="1" si="45"/>
        <v>2.276164113798496E-4</v>
      </c>
      <c r="AR91" s="812" t="s">
        <v>137</v>
      </c>
      <c r="AS91" s="812">
        <v>2104008100</v>
      </c>
      <c r="AT91" s="507">
        <f t="shared" ref="AT91:AU100" ca="1" si="46">AJ91/$C40</f>
        <v>0</v>
      </c>
      <c r="AU91" s="507">
        <f t="shared" ca="1" si="46"/>
        <v>0.47992943807892913</v>
      </c>
      <c r="AV91" s="507">
        <f t="shared" ref="AV91:AW100" ca="1" si="47">AL91/$C60</f>
        <v>0</v>
      </c>
      <c r="AW91" s="507">
        <f t="shared" ca="1" si="47"/>
        <v>0.47992943807892918</v>
      </c>
      <c r="AX91" s="507">
        <f t="shared" ref="AX91:AY100" ca="1" si="48">AN91/$J40</f>
        <v>0</v>
      </c>
      <c r="AY91" s="507">
        <f t="shared" ca="1" si="48"/>
        <v>9.3641964199060512E-2</v>
      </c>
      <c r="AZ91" s="507">
        <f t="shared" ref="AZ91:BA100" ca="1" si="49">AP91/$J60</f>
        <v>0</v>
      </c>
      <c r="BA91" s="507">
        <f t="shared" ca="1" si="49"/>
        <v>9.3641964199060485E-2</v>
      </c>
      <c r="BB91" s="550">
        <f ca="1">1-((1-AT91))</f>
        <v>0</v>
      </c>
      <c r="BC91" s="550">
        <f ca="1">1-((1-AU91))</f>
        <v>0.47992943807892918</v>
      </c>
      <c r="BD91" s="550">
        <f ca="1">1-((1-AX91))</f>
        <v>0</v>
      </c>
      <c r="BE91" s="550">
        <f ca="1">1-((1-AY91))</f>
        <v>9.3641964199060457E-2</v>
      </c>
    </row>
    <row r="92" spans="1:57" x14ac:dyDescent="0.25">
      <c r="A92" s="60">
        <f t="shared" si="29"/>
        <v>0.4</v>
      </c>
      <c r="B92" s="812"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9.9072243300494748E-3</v>
      </c>
      <c r="M92" s="559">
        <f t="shared" ca="1" si="34"/>
        <v>9.9072243300494748E-3</v>
      </c>
      <c r="N92" s="557" t="s">
        <v>336</v>
      </c>
      <c r="O92" s="559">
        <f t="shared" ca="1" si="35"/>
        <v>1.0816039326710108E-2</v>
      </c>
      <c r="P92" s="559">
        <f t="shared" ca="1" si="35"/>
        <v>1.0816039326710108E-2</v>
      </c>
      <c r="Q92" s="557" t="s">
        <v>336</v>
      </c>
      <c r="R92" s="558">
        <f t="shared" ca="1" si="36"/>
        <v>9.4101767156049446E-6</v>
      </c>
      <c r="S92" s="558">
        <f t="shared" ca="1" si="36"/>
        <v>9.4101767156049446E-6</v>
      </c>
      <c r="T92" s="557" t="s">
        <v>336</v>
      </c>
      <c r="U92" s="558">
        <f t="shared" ca="1" si="37"/>
        <v>1.0273396264841271E-5</v>
      </c>
      <c r="V92" s="558">
        <f t="shared" ca="1" si="37"/>
        <v>1.0273396264841271E-5</v>
      </c>
      <c r="W92" s="557" t="s">
        <v>336</v>
      </c>
      <c r="X92" s="559">
        <f t="shared" ca="1" si="38"/>
        <v>1.5405459940378609E-4</v>
      </c>
      <c r="Y92" s="559">
        <f t="shared" ca="1" si="38"/>
        <v>1.5405459940378609E-4</v>
      </c>
      <c r="Z92" s="557" t="s">
        <v>336</v>
      </c>
      <c r="AA92" s="559">
        <f t="shared" ca="1" si="39"/>
        <v>1.0296007632147353E-4</v>
      </c>
      <c r="AB92" s="559">
        <f t="shared" ca="1" si="39"/>
        <v>1.0296007632147353E-4</v>
      </c>
      <c r="AC92" s="557" t="s">
        <v>336</v>
      </c>
      <c r="AD92" s="558">
        <f t="shared" ca="1" si="40"/>
        <v>7.085741956160403E-4</v>
      </c>
      <c r="AE92" s="558">
        <f t="shared" ca="1" si="40"/>
        <v>7.085741956160403E-4</v>
      </c>
      <c r="AF92" s="557" t="s">
        <v>336</v>
      </c>
      <c r="AG92" s="558">
        <f t="shared" ca="1" si="41"/>
        <v>4.735649149223731E-4</v>
      </c>
      <c r="AH92" s="558">
        <f t="shared" ca="1" si="41"/>
        <v>4.735649149223731E-4</v>
      </c>
      <c r="AI92" s="557" t="s">
        <v>336</v>
      </c>
      <c r="AJ92" s="507">
        <f t="shared" ca="1" si="42"/>
        <v>9.8978141533338695E-3</v>
      </c>
      <c r="AK92" s="507">
        <f t="shared" ca="1" si="42"/>
        <v>9.8978141533338695E-3</v>
      </c>
      <c r="AL92" s="507">
        <f t="shared" ca="1" si="43"/>
        <v>1.0805765930445266E-2</v>
      </c>
      <c r="AM92" s="507">
        <f t="shared" ca="1" si="43"/>
        <v>1.0805765930445266E-2</v>
      </c>
      <c r="AN92" s="507">
        <f t="shared" ca="1" si="44"/>
        <v>-5.5451959621225422E-4</v>
      </c>
      <c r="AO92" s="507">
        <f t="shared" ca="1" si="44"/>
        <v>-5.5451959621225422E-4</v>
      </c>
      <c r="AP92" s="507">
        <f t="shared" ca="1" si="45"/>
        <v>-3.7060483860089957E-4</v>
      </c>
      <c r="AQ92" s="507">
        <f t="shared" ca="1" si="45"/>
        <v>-3.7060483860089957E-4</v>
      </c>
      <c r="AR92" s="812" t="s">
        <v>138</v>
      </c>
      <c r="AS92" s="812">
        <v>2104008210</v>
      </c>
      <c r="AT92" s="507">
        <f t="shared" ca="1" si="46"/>
        <v>0.47954408170512602</v>
      </c>
      <c r="AU92" s="507">
        <f t="shared" ca="1" si="46"/>
        <v>0.47954408170512602</v>
      </c>
      <c r="AV92" s="507">
        <f t="shared" ca="1" si="47"/>
        <v>0.47954408170512597</v>
      </c>
      <c r="AW92" s="507">
        <f t="shared" ca="1" si="47"/>
        <v>0.47954408170512597</v>
      </c>
      <c r="AX92" s="507">
        <f t="shared" ca="1" si="48"/>
        <v>-1.7277602045767975</v>
      </c>
      <c r="AY92" s="507">
        <f t="shared" ca="1" si="48"/>
        <v>-1.7277602045767975</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2"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5.033805529787677E-3</v>
      </c>
      <c r="M93" s="559">
        <f t="shared" ca="1" si="34"/>
        <v>8.1799339859049743E-3</v>
      </c>
      <c r="N93" s="557" t="s">
        <v>336</v>
      </c>
      <c r="O93" s="559">
        <f t="shared" ca="1" si="35"/>
        <v>5.4955693703286155E-3</v>
      </c>
      <c r="P93" s="559">
        <f t="shared" ca="1" si="35"/>
        <v>8.9303002267839982E-3</v>
      </c>
      <c r="Q93" s="557" t="s">
        <v>336</v>
      </c>
      <c r="R93" s="558">
        <f t="shared" ca="1" si="36"/>
        <v>2.0117144734375198E-5</v>
      </c>
      <c r="S93" s="558">
        <f t="shared" ca="1" si="36"/>
        <v>3.269036019335969E-5</v>
      </c>
      <c r="T93" s="557" t="s">
        <v>336</v>
      </c>
      <c r="U93" s="558">
        <f t="shared" ca="1" si="37"/>
        <v>2.1962541811853244E-5</v>
      </c>
      <c r="V93" s="558">
        <f t="shared" ca="1" si="37"/>
        <v>3.5689130444261516E-5</v>
      </c>
      <c r="W93" s="557" t="s">
        <v>336</v>
      </c>
      <c r="X93" s="559">
        <f t="shared" ca="1" si="38"/>
        <v>1.9959942510240243E-4</v>
      </c>
      <c r="Y93" s="559">
        <f t="shared" ca="1" si="38"/>
        <v>3.2434906579140388E-4</v>
      </c>
      <c r="Z93" s="557" t="s">
        <v>336</v>
      </c>
      <c r="AA93" s="559">
        <f t="shared" ca="1" si="39"/>
        <v>1.3339927611249588E-4</v>
      </c>
      <c r="AB93" s="559">
        <f t="shared" ca="1" si="39"/>
        <v>2.1677382368280577E-4</v>
      </c>
      <c r="AC93" s="557" t="s">
        <v>336</v>
      </c>
      <c r="AD93" s="558">
        <f t="shared" ca="1" si="40"/>
        <v>1.5147951073663758E-3</v>
      </c>
      <c r="AE93" s="558">
        <f t="shared" ca="1" si="40"/>
        <v>2.4615420494703603E-3</v>
      </c>
      <c r="AF93" s="557" t="s">
        <v>336</v>
      </c>
      <c r="AG93" s="558">
        <f t="shared" ca="1" si="41"/>
        <v>1.0123905451017894E-3</v>
      </c>
      <c r="AH93" s="558">
        <f t="shared" ca="1" si="41"/>
        <v>1.6451346357904077E-3</v>
      </c>
      <c r="AI93" s="557" t="s">
        <v>336</v>
      </c>
      <c r="AJ93" s="507">
        <f t="shared" ca="1" si="42"/>
        <v>5.0136883850533014E-3</v>
      </c>
      <c r="AK93" s="507">
        <f t="shared" ca="1" si="42"/>
        <v>8.1472436257116147E-3</v>
      </c>
      <c r="AL93" s="507">
        <f t="shared" ca="1" si="43"/>
        <v>5.4736068285167619E-3</v>
      </c>
      <c r="AM93" s="507">
        <f t="shared" ca="1" si="43"/>
        <v>8.8946110963397367E-3</v>
      </c>
      <c r="AN93" s="507">
        <f t="shared" ca="1" si="44"/>
        <v>-1.3151956822639733E-3</v>
      </c>
      <c r="AO93" s="507">
        <f t="shared" ca="1" si="44"/>
        <v>-2.1371929836789564E-3</v>
      </c>
      <c r="AP93" s="507">
        <f t="shared" ca="1" si="45"/>
        <v>-8.7899126898929349E-4</v>
      </c>
      <c r="AQ93" s="507">
        <f t="shared" ca="1" si="45"/>
        <v>-1.4283608121076019E-3</v>
      </c>
      <c r="AR93" s="812" t="s">
        <v>139</v>
      </c>
      <c r="AS93" s="812">
        <v>2104008220</v>
      </c>
      <c r="AT93" s="507">
        <f t="shared" ca="1" si="46"/>
        <v>0.29420413770727238</v>
      </c>
      <c r="AU93" s="507">
        <f t="shared" ca="1" si="46"/>
        <v>0.47808172377431762</v>
      </c>
      <c r="AV93" s="507">
        <f t="shared" ca="1" si="47"/>
        <v>0.29420413770727238</v>
      </c>
      <c r="AW93" s="507">
        <f t="shared" ca="1" si="47"/>
        <v>0.47808172377431757</v>
      </c>
      <c r="AX93" s="507">
        <f t="shared" ca="1" si="48"/>
        <v>-1.9463411308010559</v>
      </c>
      <c r="AY93" s="507">
        <f t="shared" ca="1" si="48"/>
        <v>-3.1628043375517154</v>
      </c>
      <c r="AZ93" s="507">
        <f t="shared" ca="1" si="49"/>
        <v>-1.9463411308010559</v>
      </c>
      <c r="BA93" s="507">
        <f t="shared" ca="1" si="49"/>
        <v>-3.1628043375517159</v>
      </c>
      <c r="BB93" s="550">
        <f t="shared" ca="1" si="50"/>
        <v>0.29420413770727238</v>
      </c>
      <c r="BC93" s="550">
        <f t="shared" ca="1" si="50"/>
        <v>0.47808172377431757</v>
      </c>
      <c r="BD93" s="550">
        <f t="shared" ca="1" si="51"/>
        <v>-1.9463411308010556</v>
      </c>
      <c r="BE93" s="550">
        <f t="shared" ca="1" si="51"/>
        <v>-3.1628043375517159</v>
      </c>
    </row>
    <row r="94" spans="1:57" x14ac:dyDescent="0.25">
      <c r="A94" s="60">
        <f t="shared" si="29"/>
        <v>0.7</v>
      </c>
      <c r="B94" s="812"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3.2832794519809076E-3</v>
      </c>
      <c r="M94" s="559">
        <f t="shared" ca="1" si="34"/>
        <v>5.3353291094689736E-3</v>
      </c>
      <c r="N94" s="557" t="s">
        <v>336</v>
      </c>
      <c r="O94" s="559">
        <f t="shared" ca="1" si="35"/>
        <v>3.5844630635336965E-3</v>
      </c>
      <c r="P94" s="559">
        <f t="shared" ca="1" si="35"/>
        <v>5.8247524782422556E-3</v>
      </c>
      <c r="Q94" s="557" t="s">
        <v>336</v>
      </c>
      <c r="R94" s="558">
        <f t="shared" ca="1" si="36"/>
        <v>1.2846054313824202E-5</v>
      </c>
      <c r="S94" s="558">
        <f t="shared" ca="1" si="36"/>
        <v>2.0874838259964325E-5</v>
      </c>
      <c r="T94" s="557" t="s">
        <v>336</v>
      </c>
      <c r="U94" s="558">
        <f t="shared" ca="1" si="37"/>
        <v>1.4024455692392984E-5</v>
      </c>
      <c r="V94" s="558">
        <f t="shared" ca="1" si="37"/>
        <v>2.2789740500138595E-5</v>
      </c>
      <c r="W94" s="557" t="s">
        <v>336</v>
      </c>
      <c r="X94" s="559">
        <f t="shared" ca="1" si="38"/>
        <v>1.2017346818357317E-4</v>
      </c>
      <c r="Y94" s="559">
        <f t="shared" ca="1" si="38"/>
        <v>1.9528188579830637E-4</v>
      </c>
      <c r="Z94" s="557" t="s">
        <v>336</v>
      </c>
      <c r="AA94" s="559">
        <f t="shared" ca="1" si="39"/>
        <v>8.0316131448736127E-5</v>
      </c>
      <c r="AB94" s="559">
        <f t="shared" ca="1" si="39"/>
        <v>1.305137136041962E-4</v>
      </c>
      <c r="AC94" s="557" t="s">
        <v>336</v>
      </c>
      <c r="AD94" s="558">
        <f t="shared" ca="1" si="40"/>
        <v>9.6729135672483381E-4</v>
      </c>
      <c r="AE94" s="558">
        <f t="shared" ca="1" si="40"/>
        <v>1.5718484546778546E-3</v>
      </c>
      <c r="AF94" s="557" t="s">
        <v>336</v>
      </c>
      <c r="AG94" s="558">
        <f t="shared" ca="1" si="41"/>
        <v>6.4647464145132822E-4</v>
      </c>
      <c r="AH94" s="558">
        <f t="shared" ca="1" si="41"/>
        <v>1.0505212923584083E-3</v>
      </c>
      <c r="AI94" s="557" t="s">
        <v>336</v>
      </c>
      <c r="AJ94" s="507">
        <f t="shared" ca="1" si="42"/>
        <v>3.2704333976670834E-3</v>
      </c>
      <c r="AK94" s="507">
        <f t="shared" ca="1" si="42"/>
        <v>5.3144542712090089E-3</v>
      </c>
      <c r="AL94" s="507">
        <f t="shared" ca="1" si="43"/>
        <v>3.5704386078413033E-3</v>
      </c>
      <c r="AM94" s="507">
        <f t="shared" ca="1" si="43"/>
        <v>5.8019627377421173E-3</v>
      </c>
      <c r="AN94" s="507">
        <f t="shared" ca="1" si="44"/>
        <v>-8.4711788854126063E-4</v>
      </c>
      <c r="AO94" s="507">
        <f t="shared" ca="1" si="44"/>
        <v>-1.3765665688795484E-3</v>
      </c>
      <c r="AP94" s="507">
        <f t="shared" ca="1" si="45"/>
        <v>-5.6615851000259212E-4</v>
      </c>
      <c r="AQ94" s="507">
        <f t="shared" ca="1" si="45"/>
        <v>-9.2000757875421212E-4</v>
      </c>
      <c r="AR94" s="812" t="s">
        <v>140</v>
      </c>
      <c r="AS94" s="812">
        <v>2104008230</v>
      </c>
      <c r="AT94" s="507">
        <f t="shared" ca="1" si="46"/>
        <v>0.29422890297323068</v>
      </c>
      <c r="AU94" s="507">
        <f t="shared" ca="1" si="46"/>
        <v>0.4781219673314997</v>
      </c>
      <c r="AV94" s="507">
        <f t="shared" ca="1" si="47"/>
        <v>0.29422890297323068</v>
      </c>
      <c r="AW94" s="507">
        <f t="shared" ca="1" si="47"/>
        <v>0.47812196733149975</v>
      </c>
      <c r="AX94" s="507">
        <f t="shared" ca="1" si="48"/>
        <v>-2.0822032972365507</v>
      </c>
      <c r="AY94" s="507">
        <f t="shared" ca="1" si="48"/>
        <v>-3.3835803580093944</v>
      </c>
      <c r="AZ94" s="507">
        <f t="shared" ca="1" si="49"/>
        <v>-2.0822032972365512</v>
      </c>
      <c r="BA94" s="507">
        <f t="shared" ca="1" si="49"/>
        <v>-3.3835803580093953</v>
      </c>
      <c r="BB94" s="550">
        <f t="shared" ca="1" si="50"/>
        <v>0.29422890297323068</v>
      </c>
      <c r="BC94" s="550">
        <f t="shared" ca="1" si="50"/>
        <v>0.4781219673314997</v>
      </c>
      <c r="BD94" s="550">
        <f t="shared" ca="1" si="51"/>
        <v>-2.0822032972365507</v>
      </c>
      <c r="BE94" s="550">
        <f t="shared" ca="1" si="51"/>
        <v>-3.3835803580093948</v>
      </c>
    </row>
    <row r="95" spans="1:57" x14ac:dyDescent="0.25">
      <c r="A95" s="60">
        <f t="shared" si="29"/>
        <v>0.54</v>
      </c>
      <c r="B95" s="812"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7.9780036089656156E-2</v>
      </c>
      <c r="M95" s="559">
        <f t="shared" ca="1" si="34"/>
        <v>7.9780036089656156E-2</v>
      </c>
      <c r="N95" s="557" t="s">
        <v>336</v>
      </c>
      <c r="O95" s="559">
        <f t="shared" ca="1" si="35"/>
        <v>8.7098462605193036E-2</v>
      </c>
      <c r="P95" s="559">
        <f t="shared" ca="1" si="35"/>
        <v>8.7098462605193036E-2</v>
      </c>
      <c r="Q95" s="557" t="s">
        <v>336</v>
      </c>
      <c r="R95" s="558">
        <f t="shared" ca="1" si="36"/>
        <v>2.578124738381624E-4</v>
      </c>
      <c r="S95" s="558">
        <f t="shared" ca="1" si="36"/>
        <v>2.578124738381624E-4</v>
      </c>
      <c r="T95" s="557" t="s">
        <v>336</v>
      </c>
      <c r="U95" s="558">
        <f t="shared" ca="1" si="37"/>
        <v>2.8146227066769774E-4</v>
      </c>
      <c r="V95" s="558">
        <f t="shared" ca="1" si="37"/>
        <v>2.8146227066769774E-4</v>
      </c>
      <c r="W95" s="557" t="s">
        <v>336</v>
      </c>
      <c r="X95" s="559">
        <f t="shared" ca="1" si="38"/>
        <v>3.1264180360675038E-3</v>
      </c>
      <c r="Y95" s="559">
        <f t="shared" ca="1" si="38"/>
        <v>3.1264180360675038E-3</v>
      </c>
      <c r="Z95" s="557" t="s">
        <v>336</v>
      </c>
      <c r="AA95" s="559">
        <f t="shared" ca="1" si="39"/>
        <v>2.089494509428004E-3</v>
      </c>
      <c r="AB95" s="559">
        <f t="shared" ca="1" si="39"/>
        <v>2.089494509428004E-3</v>
      </c>
      <c r="AC95" s="557" t="s">
        <v>336</v>
      </c>
      <c r="AD95" s="558">
        <f t="shared" ca="1" si="40"/>
        <v>1.9412947470659008E-2</v>
      </c>
      <c r="AE95" s="558">
        <f t="shared" ca="1" si="40"/>
        <v>1.9412947470659008E-2</v>
      </c>
      <c r="AF95" s="557" t="s">
        <v>336</v>
      </c>
      <c r="AG95" s="558">
        <f t="shared" ca="1" si="41"/>
        <v>1.2974351696991184E-2</v>
      </c>
      <c r="AH95" s="558">
        <f t="shared" ca="1" si="41"/>
        <v>1.2974351696991184E-2</v>
      </c>
      <c r="AI95" s="557" t="s">
        <v>336</v>
      </c>
      <c r="AJ95" s="507">
        <f t="shared" ca="1" si="42"/>
        <v>7.9522223615817997E-2</v>
      </c>
      <c r="AK95" s="507">
        <f t="shared" ca="1" si="42"/>
        <v>7.9522223615817997E-2</v>
      </c>
      <c r="AL95" s="507">
        <f t="shared" ca="1" si="43"/>
        <v>8.6817000334525343E-2</v>
      </c>
      <c r="AM95" s="507">
        <f t="shared" ca="1" si="43"/>
        <v>8.6817000334525343E-2</v>
      </c>
      <c r="AN95" s="507">
        <f t="shared" ca="1" si="44"/>
        <v>-1.6286529434591503E-2</v>
      </c>
      <c r="AO95" s="507">
        <f t="shared" ca="1" si="44"/>
        <v>-1.6286529434591503E-2</v>
      </c>
      <c r="AP95" s="507">
        <f t="shared" ca="1" si="45"/>
        <v>-1.088485718756318E-2</v>
      </c>
      <c r="AQ95" s="507">
        <f t="shared" ca="1" si="45"/>
        <v>-1.088485718756318E-2</v>
      </c>
      <c r="AR95" s="812" t="s">
        <v>141</v>
      </c>
      <c r="AS95" s="812">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-2.5004762761786758</v>
      </c>
      <c r="AY95" s="507">
        <f t="shared" ca="1" si="48"/>
        <v>-2.5004762761786758</v>
      </c>
      <c r="AZ95" s="507">
        <f t="shared" ca="1" si="49"/>
        <v>-2.5004762761786767</v>
      </c>
      <c r="BA95" s="507">
        <f t="shared" ca="1" si="49"/>
        <v>-2.5004762761786767</v>
      </c>
      <c r="BB95" s="550">
        <f t="shared" ca="1" si="50"/>
        <v>0.47844886022233368</v>
      </c>
      <c r="BC95" s="550">
        <f t="shared" ca="1" si="50"/>
        <v>0.47844886022233368</v>
      </c>
      <c r="BD95" s="550">
        <f t="shared" ca="1" si="51"/>
        <v>-2.5004762761786758</v>
      </c>
      <c r="BE95" s="550">
        <f t="shared" ca="1" si="51"/>
        <v>-2.5004762761786758</v>
      </c>
    </row>
    <row r="96" spans="1:57" x14ac:dyDescent="0.25">
      <c r="A96" s="60">
        <f t="shared" si="29"/>
        <v>0.68</v>
      </c>
      <c r="B96" s="812"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6.7467357605604628E-2</v>
      </c>
      <c r="M96" s="559">
        <f t="shared" ca="1" si="34"/>
        <v>0.10963445610910751</v>
      </c>
      <c r="N96" s="557" t="s">
        <v>336</v>
      </c>
      <c r="O96" s="559">
        <f t="shared" ca="1" si="35"/>
        <v>7.3656310669992675E-2</v>
      </c>
      <c r="P96" s="559">
        <f t="shared" ca="1" si="35"/>
        <v>0.11969150483873808</v>
      </c>
      <c r="Q96" s="557" t="s">
        <v>336</v>
      </c>
      <c r="R96" s="558">
        <f t="shared" ca="1" si="36"/>
        <v>4.2063334348613711E-4</v>
      </c>
      <c r="S96" s="558">
        <f t="shared" ca="1" si="36"/>
        <v>6.8352918316497277E-4</v>
      </c>
      <c r="T96" s="557" t="s">
        <v>336</v>
      </c>
      <c r="U96" s="558">
        <f t="shared" ca="1" si="37"/>
        <v>4.592191146285371E-4</v>
      </c>
      <c r="V96" s="558">
        <f t="shared" ca="1" si="37"/>
        <v>7.4623106127137272E-4</v>
      </c>
      <c r="W96" s="557" t="s">
        <v>336</v>
      </c>
      <c r="X96" s="559">
        <f t="shared" ca="1" si="38"/>
        <v>4.0507147793311512E-3</v>
      </c>
      <c r="Y96" s="559">
        <f t="shared" ca="1" si="38"/>
        <v>6.5824115164131195E-3</v>
      </c>
      <c r="Z96" s="557" t="s">
        <v>336</v>
      </c>
      <c r="AA96" s="559">
        <f t="shared" ca="1" si="39"/>
        <v>2.7072343471116539E-3</v>
      </c>
      <c r="AB96" s="559">
        <f t="shared" ca="1" si="39"/>
        <v>4.3992558140564372E-3</v>
      </c>
      <c r="AC96" s="557" t="s">
        <v>336</v>
      </c>
      <c r="AD96" s="558">
        <f t="shared" ca="1" si="40"/>
        <v>3.1673149401723499E-2</v>
      </c>
      <c r="AE96" s="558">
        <f t="shared" ca="1" si="40"/>
        <v>5.1468867777800673E-2</v>
      </c>
      <c r="AF96" s="557" t="s">
        <v>336</v>
      </c>
      <c r="AG96" s="558">
        <f t="shared" ca="1" si="41"/>
        <v>2.1168273406725308E-2</v>
      </c>
      <c r="AH96" s="558">
        <f t="shared" ca="1" si="41"/>
        <v>3.4398444285928621E-2</v>
      </c>
      <c r="AI96" s="557" t="s">
        <v>336</v>
      </c>
      <c r="AJ96" s="507">
        <f t="shared" ca="1" si="42"/>
        <v>6.7046724262118496E-2</v>
      </c>
      <c r="AK96" s="507">
        <f t="shared" ca="1" si="42"/>
        <v>0.10895092692594253</v>
      </c>
      <c r="AL96" s="507">
        <f t="shared" ca="1" si="43"/>
        <v>7.3197091555364135E-2</v>
      </c>
      <c r="AM96" s="507">
        <f t="shared" ca="1" si="43"/>
        <v>0.11894527377746671</v>
      </c>
      <c r="AN96" s="507">
        <f t="shared" ca="1" si="44"/>
        <v>-2.7622434622392347E-2</v>
      </c>
      <c r="AO96" s="507">
        <f t="shared" ca="1" si="44"/>
        <v>-4.4886456261387556E-2</v>
      </c>
      <c r="AP96" s="507">
        <f t="shared" ca="1" si="45"/>
        <v>-1.8461039059613653E-2</v>
      </c>
      <c r="AQ96" s="507">
        <f t="shared" ca="1" si="45"/>
        <v>-2.9999188471872183E-2</v>
      </c>
      <c r="AR96" s="812" t="s">
        <v>142</v>
      </c>
      <c r="AS96" s="812">
        <v>2104008320</v>
      </c>
      <c r="AT96" s="507">
        <f t="shared" ca="1" si="46"/>
        <v>0.29354300452577731</v>
      </c>
      <c r="AU96" s="507">
        <f t="shared" ca="1" si="46"/>
        <v>0.47700738235438805</v>
      </c>
      <c r="AV96" s="507">
        <f t="shared" ca="1" si="47"/>
        <v>0.29354300452577725</v>
      </c>
      <c r="AW96" s="507">
        <f t="shared" ca="1" si="47"/>
        <v>0.477007382354388</v>
      </c>
      <c r="AX96" s="507">
        <f t="shared" ca="1" si="48"/>
        <v>-2.0142722140188041</v>
      </c>
      <c r="AY96" s="507">
        <f t="shared" ca="1" si="48"/>
        <v>-3.2731923477805558</v>
      </c>
      <c r="AZ96" s="507">
        <f t="shared" ca="1" si="49"/>
        <v>-2.0142722140188036</v>
      </c>
      <c r="BA96" s="507">
        <f t="shared" ca="1" si="49"/>
        <v>-3.2731923477805553</v>
      </c>
      <c r="BB96" s="550">
        <f t="shared" ca="1" si="50"/>
        <v>0.29354300452577731</v>
      </c>
      <c r="BC96" s="550">
        <f t="shared" ca="1" si="50"/>
        <v>0.47700738235438811</v>
      </c>
      <c r="BD96" s="550">
        <f t="shared" ca="1" si="51"/>
        <v>-2.0142722140188041</v>
      </c>
      <c r="BE96" s="550">
        <f t="shared" ca="1" si="51"/>
        <v>-3.2731923477805562</v>
      </c>
    </row>
    <row r="97" spans="1:57" x14ac:dyDescent="0.25">
      <c r="A97" s="60">
        <f t="shared" si="29"/>
        <v>0.72</v>
      </c>
      <c r="B97" s="812"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4.5071827635917959E-2</v>
      </c>
      <c r="M97" s="559">
        <f t="shared" ca="1" si="34"/>
        <v>7.3241719908366684E-2</v>
      </c>
      <c r="N97" s="557" t="s">
        <v>336</v>
      </c>
      <c r="O97" s="559">
        <f t="shared" ca="1" si="35"/>
        <v>4.9206381524859816E-2</v>
      </c>
      <c r="P97" s="559">
        <f t="shared" ca="1" si="35"/>
        <v>7.9960369977897197E-2</v>
      </c>
      <c r="Q97" s="557" t="s">
        <v>336</v>
      </c>
      <c r="R97" s="558">
        <f t="shared" ca="1" si="36"/>
        <v>2.6814925134356643E-4</v>
      </c>
      <c r="S97" s="558">
        <f t="shared" ca="1" si="36"/>
        <v>4.357425334332954E-4</v>
      </c>
      <c r="T97" s="557" t="s">
        <v>336</v>
      </c>
      <c r="U97" s="558">
        <f t="shared" ca="1" si="37"/>
        <v>2.9274726717986856E-4</v>
      </c>
      <c r="V97" s="558">
        <f t="shared" ca="1" si="37"/>
        <v>4.7571430916728636E-4</v>
      </c>
      <c r="W97" s="557" t="s">
        <v>336</v>
      </c>
      <c r="X97" s="559">
        <f t="shared" ca="1" si="38"/>
        <v>2.4388268824168187E-3</v>
      </c>
      <c r="Y97" s="559">
        <f t="shared" ca="1" si="38"/>
        <v>3.9630936839273297E-3</v>
      </c>
      <c r="Z97" s="557" t="s">
        <v>336</v>
      </c>
      <c r="AA97" s="559">
        <f t="shared" ca="1" si="39"/>
        <v>1.6299532952621855E-3</v>
      </c>
      <c r="AB97" s="559">
        <f t="shared" ca="1" si="39"/>
        <v>2.6486741048010513E-3</v>
      </c>
      <c r="AC97" s="557" t="s">
        <v>336</v>
      </c>
      <c r="AD97" s="558">
        <f t="shared" ca="1" si="40"/>
        <v>2.0191293513194805E-2</v>
      </c>
      <c r="AE97" s="558">
        <f t="shared" ca="1" si="40"/>
        <v>3.2810851958941553E-2</v>
      </c>
      <c r="AF97" s="557" t="s">
        <v>336</v>
      </c>
      <c r="AG97" s="558">
        <f t="shared" ca="1" si="41"/>
        <v>1.3494547577245003E-2</v>
      </c>
      <c r="AH97" s="558">
        <f t="shared" ca="1" si="41"/>
        <v>2.1928639813023128E-2</v>
      </c>
      <c r="AI97" s="557" t="s">
        <v>336</v>
      </c>
      <c r="AJ97" s="507">
        <f t="shared" ca="1" si="42"/>
        <v>4.4803678384574393E-2</v>
      </c>
      <c r="AK97" s="507">
        <f t="shared" ca="1" si="42"/>
        <v>7.2805977374933384E-2</v>
      </c>
      <c r="AL97" s="507">
        <f t="shared" ca="1" si="43"/>
        <v>4.8913634257679944E-2</v>
      </c>
      <c r="AM97" s="507">
        <f t="shared" ca="1" si="43"/>
        <v>7.9484655668729906E-2</v>
      </c>
      <c r="AN97" s="507">
        <f t="shared" ca="1" si="44"/>
        <v>-1.7752466630777987E-2</v>
      </c>
      <c r="AO97" s="507">
        <f t="shared" ca="1" si="44"/>
        <v>-2.8847758275014224E-2</v>
      </c>
      <c r="AP97" s="507">
        <f t="shared" ca="1" si="45"/>
        <v>-1.1864594281982816E-2</v>
      </c>
      <c r="AQ97" s="507">
        <f t="shared" ca="1" si="45"/>
        <v>-1.9279965708222078E-2</v>
      </c>
      <c r="AR97" s="812" t="s">
        <v>143</v>
      </c>
      <c r="AS97" s="812">
        <v>2104008330</v>
      </c>
      <c r="AT97" s="507">
        <f t="shared" ca="1" si="46"/>
        <v>0.29362726123173716</v>
      </c>
      <c r="AU97" s="507">
        <f t="shared" ca="1" si="46"/>
        <v>0.47714429950157289</v>
      </c>
      <c r="AV97" s="507">
        <f t="shared" ca="1" si="47"/>
        <v>0.29362726123173716</v>
      </c>
      <c r="AW97" s="507">
        <f t="shared" ca="1" si="47"/>
        <v>0.47714429950157283</v>
      </c>
      <c r="AX97" s="507">
        <f t="shared" ca="1" si="48"/>
        <v>-2.1501343804542987</v>
      </c>
      <c r="AY97" s="507">
        <f t="shared" ca="1" si="48"/>
        <v>-3.4939683682382348</v>
      </c>
      <c r="AZ97" s="507">
        <f t="shared" ca="1" si="49"/>
        <v>-2.1501343804542983</v>
      </c>
      <c r="BA97" s="507">
        <f t="shared" ca="1" si="49"/>
        <v>-3.4939683682382352</v>
      </c>
      <c r="BB97" s="550">
        <f t="shared" ca="1" si="50"/>
        <v>0.29362726123173721</v>
      </c>
      <c r="BC97" s="550">
        <f t="shared" ca="1" si="50"/>
        <v>0.47714429950157289</v>
      </c>
      <c r="BD97" s="550">
        <f t="shared" ca="1" si="51"/>
        <v>-2.1501343804542987</v>
      </c>
      <c r="BE97" s="550">
        <f t="shared" ca="1" si="51"/>
        <v>-3.4939683682382352</v>
      </c>
    </row>
    <row r="98" spans="1:57" x14ac:dyDescent="0.25">
      <c r="A98" s="60">
        <f t="shared" si="29"/>
        <v>0.56000000000000005</v>
      </c>
      <c r="B98" s="812"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2.7025237866783536E-3</v>
      </c>
      <c r="M98" s="559">
        <f t="shared" ca="1" si="34"/>
        <v>2.7025237866783536E-3</v>
      </c>
      <c r="N98" s="557" t="s">
        <v>336</v>
      </c>
      <c r="O98" s="559">
        <f t="shared" ca="1" si="35"/>
        <v>2.9504331974621418E-3</v>
      </c>
      <c r="P98" s="559">
        <f t="shared" ca="1" si="35"/>
        <v>2.9504331974621418E-3</v>
      </c>
      <c r="Q98" s="557" t="s">
        <v>336</v>
      </c>
      <c r="R98" s="558">
        <f t="shared" ca="1" si="36"/>
        <v>3.5492302051828663E-5</v>
      </c>
      <c r="S98" s="558">
        <f t="shared" ca="1" si="36"/>
        <v>3.5492302051828663E-5</v>
      </c>
      <c r="T98" s="557" t="s">
        <v>336</v>
      </c>
      <c r="U98" s="558">
        <f t="shared" ca="1" si="37"/>
        <v>3.8748101587211735E-5</v>
      </c>
      <c r="V98" s="558">
        <f t="shared" ca="1" si="37"/>
        <v>3.8748101587211735E-5</v>
      </c>
      <c r="W98" s="557" t="s">
        <v>336</v>
      </c>
      <c r="X98" s="559">
        <f t="shared" ca="1" si="38"/>
        <v>3.4754568408904951E-4</v>
      </c>
      <c r="Y98" s="559">
        <f t="shared" ca="1" si="38"/>
        <v>3.4754568408904951E-4</v>
      </c>
      <c r="Z98" s="557" t="s">
        <v>336</v>
      </c>
      <c r="AA98" s="559">
        <f t="shared" ca="1" si="39"/>
        <v>2.3227693491459538E-4</v>
      </c>
      <c r="AB98" s="559">
        <f t="shared" ca="1" si="39"/>
        <v>2.3227693491459538E-4</v>
      </c>
      <c r="AC98" s="557" t="s">
        <v>336</v>
      </c>
      <c r="AD98" s="558">
        <f t="shared" ca="1" si="40"/>
        <v>2.6725246652628126E-3</v>
      </c>
      <c r="AE98" s="558">
        <f t="shared" ca="1" si="40"/>
        <v>2.6725246652628126E-3</v>
      </c>
      <c r="AF98" s="557" t="s">
        <v>336</v>
      </c>
      <c r="AG98" s="558">
        <f t="shared" ca="1" si="41"/>
        <v>1.7861416963297582E-3</v>
      </c>
      <c r="AH98" s="558">
        <f t="shared" ca="1" si="41"/>
        <v>1.7861416963297582E-3</v>
      </c>
      <c r="AI98" s="557" t="s">
        <v>336</v>
      </c>
      <c r="AJ98" s="507">
        <f t="shared" ca="1" si="42"/>
        <v>2.6670314846265249E-3</v>
      </c>
      <c r="AK98" s="507">
        <f t="shared" ca="1" si="42"/>
        <v>2.6670314846265249E-3</v>
      </c>
      <c r="AL98" s="507">
        <f t="shared" ca="1" si="43"/>
        <v>2.9116850958749302E-3</v>
      </c>
      <c r="AM98" s="507">
        <f t="shared" ca="1" si="43"/>
        <v>2.9116850958749302E-3</v>
      </c>
      <c r="AN98" s="507">
        <f t="shared" ca="1" si="44"/>
        <v>-2.324978981173763E-3</v>
      </c>
      <c r="AO98" s="507">
        <f t="shared" ca="1" si="44"/>
        <v>-2.324978981173763E-3</v>
      </c>
      <c r="AP98" s="507">
        <f t="shared" ca="1" si="45"/>
        <v>-1.5538647614151628E-3</v>
      </c>
      <c r="AQ98" s="507">
        <f t="shared" ca="1" si="45"/>
        <v>-1.5538647614151628E-3</v>
      </c>
      <c r="AR98" s="812" t="s">
        <v>144</v>
      </c>
      <c r="AS98" s="812">
        <v>2104008410</v>
      </c>
      <c r="AT98" s="507">
        <f t="shared" ca="1" si="46"/>
        <v>0.4736961498474665</v>
      </c>
      <c r="AU98" s="507">
        <f t="shared" ca="1" si="46"/>
        <v>0.4736961498474665</v>
      </c>
      <c r="AV98" s="507">
        <f t="shared" ca="1" si="47"/>
        <v>0.47369614984746644</v>
      </c>
      <c r="AW98" s="507">
        <f t="shared" ca="1" si="47"/>
        <v>0.47369614984746644</v>
      </c>
      <c r="AX98" s="507">
        <f t="shared" ca="1" si="48"/>
        <v>-3.2110596162013132</v>
      </c>
      <c r="AY98" s="507">
        <f t="shared" ca="1" si="48"/>
        <v>-3.2110596162013132</v>
      </c>
      <c r="AZ98" s="507">
        <f t="shared" ca="1" si="49"/>
        <v>-3.2110596162013136</v>
      </c>
      <c r="BA98" s="507">
        <f t="shared" ca="1" si="49"/>
        <v>-3.2110596162013136</v>
      </c>
      <c r="BB98" s="550">
        <f t="shared" ca="1" si="50"/>
        <v>0.47369614984746655</v>
      </c>
      <c r="BC98" s="550">
        <f t="shared" ca="1" si="50"/>
        <v>0.47369614984746655</v>
      </c>
      <c r="BD98" s="550">
        <f t="shared" ca="1" si="51"/>
        <v>-3.2110596162013127</v>
      </c>
      <c r="BE98" s="550">
        <f t="shared" ca="1" si="51"/>
        <v>-3.2110596162013127</v>
      </c>
    </row>
    <row r="99" spans="1:57" x14ac:dyDescent="0.25">
      <c r="A99" s="60">
        <f t="shared" si="29"/>
        <v>0.78</v>
      </c>
      <c r="B99" s="812"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9.1156967231124948E-3</v>
      </c>
      <c r="M99" s="559">
        <f t="shared" ca="1" si="34"/>
        <v>9.1156967231124948E-3</v>
      </c>
      <c r="N99" s="557" t="s">
        <v>336</v>
      </c>
      <c r="O99" s="559">
        <f t="shared" ca="1" si="35"/>
        <v>9.95190287036277E-3</v>
      </c>
      <c r="P99" s="559">
        <f t="shared" ca="1" si="35"/>
        <v>9.95190287036277E-3</v>
      </c>
      <c r="Q99" s="557" t="s">
        <v>336</v>
      </c>
      <c r="R99" s="558">
        <f t="shared" ca="1" si="36"/>
        <v>1.6674817417851429E-4</v>
      </c>
      <c r="S99" s="558">
        <f t="shared" ca="1" si="36"/>
        <v>1.6674817417851429E-4</v>
      </c>
      <c r="T99" s="557" t="s">
        <v>336</v>
      </c>
      <c r="U99" s="558">
        <f t="shared" ca="1" si="37"/>
        <v>1.8204441016860586E-4</v>
      </c>
      <c r="V99" s="558">
        <f t="shared" ca="1" si="37"/>
        <v>1.8204441016860586E-4</v>
      </c>
      <c r="W99" s="557" t="s">
        <v>336</v>
      </c>
      <c r="X99" s="559">
        <f t="shared" ca="1" si="38"/>
        <v>1.1722823936644591E-3</v>
      </c>
      <c r="Y99" s="559">
        <f t="shared" ca="1" si="38"/>
        <v>1.1722823936644591E-3</v>
      </c>
      <c r="Z99" s="557" t="s">
        <v>336</v>
      </c>
      <c r="AA99" s="559">
        <f t="shared" ca="1" si="39"/>
        <v>7.8347732030807594E-4</v>
      </c>
      <c r="AB99" s="559">
        <f t="shared" ca="1" si="39"/>
        <v>7.8347732030807594E-4</v>
      </c>
      <c r="AC99" s="557" t="s">
        <v>336</v>
      </c>
      <c r="AD99" s="558">
        <f t="shared" ca="1" si="40"/>
        <v>1.2555922907701574E-2</v>
      </c>
      <c r="AE99" s="558">
        <f t="shared" ca="1" si="40"/>
        <v>1.2555922907701574E-2</v>
      </c>
      <c r="AF99" s="557" t="s">
        <v>336</v>
      </c>
      <c r="AG99" s="558">
        <f t="shared" ca="1" si="41"/>
        <v>8.391562380264261E-3</v>
      </c>
      <c r="AH99" s="558">
        <f t="shared" ca="1" si="41"/>
        <v>8.391562380264261E-3</v>
      </c>
      <c r="AI99" s="557" t="s">
        <v>336</v>
      </c>
      <c r="AJ99" s="507">
        <f t="shared" ca="1" si="42"/>
        <v>8.9489485489339798E-3</v>
      </c>
      <c r="AK99" s="507">
        <f t="shared" ca="1" si="42"/>
        <v>8.9489485489339798E-3</v>
      </c>
      <c r="AL99" s="507">
        <f t="shared" ca="1" si="43"/>
        <v>9.7698584601941633E-3</v>
      </c>
      <c r="AM99" s="507">
        <f t="shared" ca="1" si="43"/>
        <v>9.7698584601941633E-3</v>
      </c>
      <c r="AN99" s="507">
        <f t="shared" ca="1" si="44"/>
        <v>-1.1383640514037115E-2</v>
      </c>
      <c r="AO99" s="507">
        <f t="shared" ca="1" si="44"/>
        <v>-1.1383640514037115E-2</v>
      </c>
      <c r="AP99" s="507">
        <f t="shared" ca="1" si="45"/>
        <v>-7.6080850599561847E-3</v>
      </c>
      <c r="AQ99" s="507">
        <f t="shared" ca="1" si="45"/>
        <v>-7.6080850599561847E-3</v>
      </c>
      <c r="AR99" s="812" t="s">
        <v>145</v>
      </c>
      <c r="AS99" s="812">
        <v>2104008420</v>
      </c>
      <c r="AT99" s="507">
        <f t="shared" ca="1" si="46"/>
        <v>0.47121963728754257</v>
      </c>
      <c r="AU99" s="507">
        <f t="shared" ca="1" si="46"/>
        <v>0.47121963728754257</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2"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4.1821221794757731E-2</v>
      </c>
      <c r="M100" s="559">
        <f t="shared" ca="1" si="34"/>
        <v>4.5290263233954221E-2</v>
      </c>
      <c r="N100" s="557" t="s">
        <v>336</v>
      </c>
      <c r="O100" s="559">
        <f t="shared" ca="1" si="35"/>
        <v>4.565758930593497E-2</v>
      </c>
      <c r="P100" s="559">
        <f t="shared" ca="1" si="35"/>
        <v>4.9444854778316664E-2</v>
      </c>
      <c r="Q100" s="557" t="s">
        <v>336</v>
      </c>
      <c r="R100" s="558">
        <f t="shared" ca="1" si="36"/>
        <v>1.3238797680618605E-4</v>
      </c>
      <c r="S100" s="558">
        <f t="shared" ca="1" si="36"/>
        <v>1.4336946796983282E-4</v>
      </c>
      <c r="T100" s="557" t="s">
        <v>336</v>
      </c>
      <c r="U100" s="558">
        <f t="shared" ca="1" si="37"/>
        <v>1.4453226411520489E-4</v>
      </c>
      <c r="V100" s="558">
        <f t="shared" ca="1" si="37"/>
        <v>1.5652111551646609E-4</v>
      </c>
      <c r="W100" s="557" t="s">
        <v>336</v>
      </c>
      <c r="X100" s="559">
        <f t="shared" ca="1" si="38"/>
        <v>2.0161227522800095E-3</v>
      </c>
      <c r="Y100" s="559">
        <f t="shared" ca="1" si="38"/>
        <v>2.1833587409483971E-3</v>
      </c>
      <c r="Z100" s="557" t="s">
        <v>336</v>
      </c>
      <c r="AA100" s="559">
        <f t="shared" ca="1" si="39"/>
        <v>1.3474453424407629E-3</v>
      </c>
      <c r="AB100" s="559">
        <f t="shared" ca="1" si="39"/>
        <v>1.4592150021823928E-3</v>
      </c>
      <c r="AC100" s="557" t="s">
        <v>336</v>
      </c>
      <c r="AD100" s="558">
        <f t="shared" ca="1" si="40"/>
        <v>9.9686442677657753E-3</v>
      </c>
      <c r="AE100" s="558">
        <f t="shared" ca="1" si="40"/>
        <v>1.0795536419009016E-2</v>
      </c>
      <c r="AF100" s="557" t="s">
        <v>336</v>
      </c>
      <c r="AG100" s="558">
        <f t="shared" ca="1" si="41"/>
        <v>6.6623935838527101E-3</v>
      </c>
      <c r="AH100" s="558">
        <f t="shared" ca="1" si="41"/>
        <v>7.215034526292104E-3</v>
      </c>
      <c r="AI100" s="557" t="s">
        <v>336</v>
      </c>
      <c r="AJ100" s="507">
        <f t="shared" ca="1" si="42"/>
        <v>4.1688833817951541E-2</v>
      </c>
      <c r="AK100" s="507">
        <f t="shared" ca="1" si="42"/>
        <v>4.5146893765984387E-2</v>
      </c>
      <c r="AL100" s="507">
        <f t="shared" ca="1" si="43"/>
        <v>4.5513057041819766E-2</v>
      </c>
      <c r="AM100" s="507">
        <f t="shared" ca="1" si="43"/>
        <v>4.92883336628002E-2</v>
      </c>
      <c r="AN100" s="507">
        <f t="shared" ca="1" si="44"/>
        <v>-7.9525215154857658E-3</v>
      </c>
      <c r="AO100" s="507">
        <f t="shared" ca="1" si="44"/>
        <v>-8.6121776780606202E-3</v>
      </c>
      <c r="AP100" s="507">
        <f t="shared" ca="1" si="45"/>
        <v>-5.3149482414119476E-3</v>
      </c>
      <c r="AQ100" s="507">
        <f t="shared" ca="1" si="45"/>
        <v>-5.7558195241097111E-3</v>
      </c>
      <c r="AR100" s="812" t="s">
        <v>146</v>
      </c>
      <c r="AS100" s="812">
        <v>2104008610</v>
      </c>
      <c r="AT100" s="507">
        <f t="shared" ca="1" si="46"/>
        <v>0.44183095446472725</v>
      </c>
      <c r="AU100" s="507">
        <f t="shared" ca="1" si="46"/>
        <v>0.47848052672447422</v>
      </c>
      <c r="AV100" s="507">
        <f t="shared" ca="1" si="47"/>
        <v>0.44183095446472737</v>
      </c>
      <c r="AW100" s="507">
        <f t="shared" ca="1" si="47"/>
        <v>0.47848052672447428</v>
      </c>
      <c r="AX100" s="507">
        <f t="shared" ca="1" si="48"/>
        <v>-1.7483202626495844</v>
      </c>
      <c r="AY100" s="507">
        <f t="shared" ca="1" si="48"/>
        <v>-1.8933422199200565</v>
      </c>
      <c r="AZ100" s="507">
        <f t="shared" ca="1" si="49"/>
        <v>-1.7483202626495842</v>
      </c>
      <c r="BA100" s="507">
        <f t="shared" ca="1" si="49"/>
        <v>-1.893342219920056</v>
      </c>
      <c r="BB100" s="550">
        <f t="shared" ca="1" si="50"/>
        <v>0.4418309544647272</v>
      </c>
      <c r="BC100" s="550">
        <f t="shared" ca="1" si="50"/>
        <v>0.47848052672447428</v>
      </c>
      <c r="BD100" s="550">
        <f t="shared" ca="1" si="51"/>
        <v>-1.7483202626495844</v>
      </c>
      <c r="BE100" s="550">
        <f t="shared" ca="1" si="51"/>
        <v>-1.8933422199200565</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0.49828210592064909</v>
      </c>
      <c r="AU106" s="507">
        <f t="shared" ca="1" si="59"/>
        <v>0.49828210592064909</v>
      </c>
      <c r="AV106" s="507">
        <f t="shared" ca="1" si="60"/>
        <v>0.49828210592064909</v>
      </c>
      <c r="AW106" s="507">
        <f t="shared" ca="1" si="60"/>
        <v>0.49828210592064909</v>
      </c>
      <c r="AX106" s="507">
        <f t="shared" ca="1" si="61"/>
        <v>0.4103118857783955</v>
      </c>
      <c r="AY106" s="507">
        <f t="shared" ca="1" si="61"/>
        <v>0.4103118857783955</v>
      </c>
      <c r="AZ106" s="507">
        <f t="shared" ca="1" si="62"/>
        <v>0.406574881019162</v>
      </c>
      <c r="BA106" s="507">
        <f t="shared" ca="1" si="62"/>
        <v>0.406574881019162</v>
      </c>
      <c r="BB106" s="550">
        <f t="shared" ca="1" si="50"/>
        <v>0.49828210592064903</v>
      </c>
      <c r="BC106" s="550">
        <f t="shared" ca="1" si="50"/>
        <v>0.49828210592064903</v>
      </c>
      <c r="BD106" s="550">
        <f t="shared" ca="1" si="51"/>
        <v>0.4103118857783955</v>
      </c>
      <c r="BE106" s="550">
        <f t="shared" ca="1" si="51"/>
        <v>0.4103118857783955</v>
      </c>
    </row>
    <row r="107" spans="1:57" x14ac:dyDescent="0.25">
      <c r="A107" s="60">
        <f t="shared" si="29"/>
        <v>0.43</v>
      </c>
      <c r="B107" s="812"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1.829744027269789E-2</v>
      </c>
      <c r="M107" s="133">
        <f t="shared" ca="1" si="52"/>
        <v>1.829744027269789E-2</v>
      </c>
      <c r="N107" s="551" t="s">
        <v>336</v>
      </c>
      <c r="O107" s="133">
        <f t="shared" ca="1" si="53"/>
        <v>1.997591121131315E-2</v>
      </c>
      <c r="P107" s="133">
        <f t="shared" ca="1" si="53"/>
        <v>1.997591121131315E-2</v>
      </c>
      <c r="Q107" s="551" t="s">
        <v>336</v>
      </c>
      <c r="R107" s="58">
        <f t="shared" ca="1" si="54"/>
        <v>6.2866128623489007E-5</v>
      </c>
      <c r="S107" s="58">
        <f t="shared" ca="1" si="54"/>
        <v>6.2866128623489007E-5</v>
      </c>
      <c r="T107" s="551" t="s">
        <v>336</v>
      </c>
      <c r="U107" s="58">
        <f t="shared" ca="1" si="55"/>
        <v>6.8632999199108439E-5</v>
      </c>
      <c r="V107" s="58">
        <f t="shared" ca="1" si="55"/>
        <v>6.8632999199108439E-5</v>
      </c>
      <c r="W107" s="551" t="s">
        <v>336</v>
      </c>
      <c r="X107" s="133">
        <f t="shared" ca="1" si="56"/>
        <v>2.5334399501625662E-2</v>
      </c>
      <c r="Y107" s="133">
        <f t="shared" ca="1" si="56"/>
        <v>2.5334399501625662E-2</v>
      </c>
      <c r="Z107" s="551" t="s">
        <v>336</v>
      </c>
      <c r="AA107" s="133">
        <f t="shared" ca="1" si="57"/>
        <v>1.6931865172095436E-2</v>
      </c>
      <c r="AB107" s="133">
        <f t="shared" ca="1" si="57"/>
        <v>1.6931865172095436E-2</v>
      </c>
      <c r="AC107" s="551" t="s">
        <v>336</v>
      </c>
      <c r="AD107" s="58">
        <f t="shared" ca="1" si="40"/>
        <v>4.5443890324751244E-3</v>
      </c>
      <c r="AE107" s="58">
        <f t="shared" ca="1" si="40"/>
        <v>4.5443890324751244E-3</v>
      </c>
      <c r="AF107" s="551" t="s">
        <v>336</v>
      </c>
      <c r="AG107" s="58">
        <f t="shared" ca="1" si="58"/>
        <v>3.1637230365410465E-3</v>
      </c>
      <c r="AH107" s="58">
        <f t="shared" ca="1" si="58"/>
        <v>3.1637230365410465E-3</v>
      </c>
      <c r="AI107" s="551" t="s">
        <v>336</v>
      </c>
      <c r="AJ107" s="507">
        <f t="shared" ca="1" si="42"/>
        <v>1.8234574144074402E-2</v>
      </c>
      <c r="AK107" s="507">
        <f t="shared" ca="1" si="42"/>
        <v>1.8234574144074402E-2</v>
      </c>
      <c r="AL107" s="507">
        <f t="shared" ca="1" si="43"/>
        <v>1.9907278212114042E-2</v>
      </c>
      <c r="AM107" s="507">
        <f t="shared" ca="1" si="43"/>
        <v>1.9907278212114042E-2</v>
      </c>
      <c r="AN107" s="507">
        <f t="shared" ca="1" si="44"/>
        <v>2.0790010469150536E-2</v>
      </c>
      <c r="AO107" s="507">
        <f t="shared" ca="1" si="44"/>
        <v>2.0790010469150536E-2</v>
      </c>
      <c r="AP107" s="507">
        <f t="shared" ca="1" si="45"/>
        <v>1.3768142135554389E-2</v>
      </c>
      <c r="AQ107" s="507">
        <f t="shared" ca="1" si="45"/>
        <v>1.3768142135554389E-2</v>
      </c>
      <c r="AR107" s="812" t="s">
        <v>152</v>
      </c>
      <c r="AS107" s="812">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2"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4.9500282135022644E-5</v>
      </c>
      <c r="M108" s="133">
        <f t="shared" ca="1" si="52"/>
        <v>4.9500282135022644E-5</v>
      </c>
      <c r="N108" s="551" t="s">
        <v>336</v>
      </c>
      <c r="O108" s="133">
        <f t="shared" ca="1" si="53"/>
        <v>5.4041069468039102E-5</v>
      </c>
      <c r="P108" s="133">
        <f t="shared" ca="1" si="53"/>
        <v>5.4041069468039102E-5</v>
      </c>
      <c r="Q108" s="551" t="s">
        <v>336</v>
      </c>
      <c r="R108" s="58">
        <f t="shared" ca="1" si="54"/>
        <v>1.7007248321190951E-7</v>
      </c>
      <c r="S108" s="58">
        <f t="shared" ca="1" si="54"/>
        <v>1.7007248321190951E-7</v>
      </c>
      <c r="T108" s="551" t="s">
        <v>336</v>
      </c>
      <c r="U108" s="58">
        <f t="shared" ca="1" si="55"/>
        <v>1.8567366656187063E-7</v>
      </c>
      <c r="V108" s="58">
        <f t="shared" ca="1" si="55"/>
        <v>1.8567366656187063E-7</v>
      </c>
      <c r="W108" s="551" t="s">
        <v>336</v>
      </c>
      <c r="X108" s="133">
        <f t="shared" ca="1" si="56"/>
        <v>6.8537451379090705E-5</v>
      </c>
      <c r="Y108" s="133">
        <f t="shared" ca="1" si="56"/>
        <v>6.8537451379090705E-5</v>
      </c>
      <c r="Z108" s="551" t="s">
        <v>336</v>
      </c>
      <c r="AA108" s="133">
        <f t="shared" ca="1" si="57"/>
        <v>4.5805975622802713E-5</v>
      </c>
      <c r="AB108" s="133">
        <f t="shared" ca="1" si="57"/>
        <v>4.5805975622802713E-5</v>
      </c>
      <c r="AC108" s="551" t="s">
        <v>336</v>
      </c>
      <c r="AD108" s="58">
        <f t="shared" ca="1" si="40"/>
        <v>1.2293989535491101E-5</v>
      </c>
      <c r="AE108" s="58">
        <f t="shared" ca="1" si="40"/>
        <v>1.2293989535491101E-5</v>
      </c>
      <c r="AF108" s="551" t="s">
        <v>336</v>
      </c>
      <c r="AG108" s="58">
        <f t="shared" ca="1" si="58"/>
        <v>8.5588574451874179E-6</v>
      </c>
      <c r="AH108" s="58">
        <f t="shared" ca="1" si="58"/>
        <v>8.5588574451874179E-6</v>
      </c>
      <c r="AI108" s="551" t="s">
        <v>336</v>
      </c>
      <c r="AJ108" s="507">
        <f t="shared" ca="1" si="42"/>
        <v>4.9330209651810734E-5</v>
      </c>
      <c r="AK108" s="507">
        <f t="shared" ca="1" si="42"/>
        <v>4.9330209651810734E-5</v>
      </c>
      <c r="AL108" s="507">
        <f t="shared" ca="1" si="43"/>
        <v>5.3855395801477231E-5</v>
      </c>
      <c r="AM108" s="507">
        <f t="shared" ca="1" si="43"/>
        <v>5.3855395801477231E-5</v>
      </c>
      <c r="AN108" s="507">
        <f t="shared" ca="1" si="44"/>
        <v>5.6243461843599602E-5</v>
      </c>
      <c r="AO108" s="507">
        <f t="shared" ca="1" si="44"/>
        <v>5.6243461843599602E-5</v>
      </c>
      <c r="AP108" s="507">
        <f t="shared" ca="1" si="45"/>
        <v>3.7247118177615295E-5</v>
      </c>
      <c r="AQ108" s="507">
        <f t="shared" ca="1" si="45"/>
        <v>3.7247118177615295E-5</v>
      </c>
      <c r="AR108" s="812" t="s">
        <v>153</v>
      </c>
      <c r="AS108" s="812">
        <v>2103008000</v>
      </c>
      <c r="AT108" s="507">
        <f t="shared" ca="1" si="59"/>
        <v>0.49688268995248758</v>
      </c>
      <c r="AU108" s="507">
        <f t="shared" ca="1" si="59"/>
        <v>0.49688268995248758</v>
      </c>
      <c r="AV108" s="507">
        <f t="shared" ca="1" si="60"/>
        <v>0.49688268995248752</v>
      </c>
      <c r="AW108" s="507">
        <f t="shared" ca="1" si="60"/>
        <v>0.49688268995248752</v>
      </c>
      <c r="AX108" s="507">
        <f t="shared" ca="1" si="61"/>
        <v>-3.2531923477805558</v>
      </c>
      <c r="AY108" s="507">
        <f t="shared" ca="1" si="61"/>
        <v>-3.2531923477805558</v>
      </c>
      <c r="AZ108" s="507">
        <f t="shared" ca="1" si="62"/>
        <v>-3.4095753622714127</v>
      </c>
      <c r="BA108" s="507">
        <f t="shared" ca="1" si="62"/>
        <v>-3.4095753622714127</v>
      </c>
      <c r="BB108" s="550">
        <f t="shared" ca="1" si="50"/>
        <v>0.49688268995248763</v>
      </c>
      <c r="BC108" s="550">
        <f t="shared" ca="1" si="50"/>
        <v>0.49688268995248763</v>
      </c>
      <c r="BD108" s="550">
        <f t="shared" ca="1" si="51"/>
        <v>-3.2531923477805558</v>
      </c>
      <c r="BE108" s="550">
        <f t="shared" ca="1" si="51"/>
        <v>-3.2531923477805558</v>
      </c>
    </row>
    <row r="109" spans="1:57" ht="15.75" thickBot="1" x14ac:dyDescent="0.3">
      <c r="A109" s="112">
        <v>0.6</v>
      </c>
      <c r="B109" s="812"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4.8487383822936804E-5</v>
      </c>
      <c r="M109" s="133">
        <f t="shared" ca="1" si="52"/>
        <v>4.8487383822936804E-5</v>
      </c>
      <c r="N109" s="551" t="s">
        <v>336</v>
      </c>
      <c r="O109" s="133">
        <f t="shared" ca="1" si="53"/>
        <v>5.2935255406248905E-5</v>
      </c>
      <c r="P109" s="133">
        <f t="shared" ca="1" si="53"/>
        <v>5.2935255406248905E-5</v>
      </c>
      <c r="Q109" s="551" t="s">
        <v>336</v>
      </c>
      <c r="R109" s="58">
        <f t="shared" ca="1" si="54"/>
        <v>3.0230041753766955E-7</v>
      </c>
      <c r="S109" s="58">
        <f t="shared" ca="1" si="54"/>
        <v>3.0230041753766955E-7</v>
      </c>
      <c r="T109" s="551" t="s">
        <v>336</v>
      </c>
      <c r="U109" s="58">
        <f t="shared" ca="1" si="55"/>
        <v>3.3003120709107762E-7</v>
      </c>
      <c r="V109" s="58">
        <f t="shared" ca="1" si="55"/>
        <v>3.3003120709107762E-7</v>
      </c>
      <c r="W109" s="551" t="s">
        <v>336</v>
      </c>
      <c r="X109" s="133">
        <f t="shared" ca="1" si="56"/>
        <v>1.6871397285804749E-6</v>
      </c>
      <c r="Y109" s="133">
        <f t="shared" ca="1" si="56"/>
        <v>1.6871397285804749E-6</v>
      </c>
      <c r="Z109" s="551" t="s">
        <v>336</v>
      </c>
      <c r="AA109" s="133">
        <f t="shared" ca="1" si="57"/>
        <v>1.127574482630908E-6</v>
      </c>
      <c r="AB109" s="133">
        <f t="shared" ca="1" si="57"/>
        <v>1.127574482630908E-6</v>
      </c>
      <c r="AC109" s="551" t="s">
        <v>336</v>
      </c>
      <c r="AD109" s="58">
        <f t="shared" ca="1" si="40"/>
        <v>1.2664319837889605E-5</v>
      </c>
      <c r="AE109" s="58">
        <f t="shared" ca="1" si="40"/>
        <v>1.2664319837889605E-5</v>
      </c>
      <c r="AF109" s="551" t="s">
        <v>336</v>
      </c>
      <c r="AG109" s="58">
        <f t="shared" ca="1" si="58"/>
        <v>8.8166748328394655E-6</v>
      </c>
      <c r="AH109" s="58">
        <f t="shared" ca="1" si="58"/>
        <v>8.8166748328394655E-6</v>
      </c>
      <c r="AI109" s="551" t="s">
        <v>336</v>
      </c>
      <c r="AJ109" s="507">
        <f t="shared" ca="1" si="42"/>
        <v>4.8185083405399138E-5</v>
      </c>
      <c r="AK109" s="507">
        <f t="shared" ca="1" si="42"/>
        <v>4.8185083405399138E-5</v>
      </c>
      <c r="AL109" s="507">
        <f t="shared" ca="1" si="43"/>
        <v>5.260522419915783E-5</v>
      </c>
      <c r="AM109" s="507">
        <f t="shared" ca="1" si="43"/>
        <v>5.260522419915783E-5</v>
      </c>
      <c r="AN109" s="507">
        <f t="shared" ca="1" si="44"/>
        <v>-1.097718010930913E-5</v>
      </c>
      <c r="AO109" s="507">
        <f t="shared" ca="1" si="44"/>
        <v>-1.097718010930913E-5</v>
      </c>
      <c r="AP109" s="507">
        <f t="shared" ca="1" si="45"/>
        <v>-7.6891003502085577E-6</v>
      </c>
      <c r="AQ109" s="507">
        <f t="shared" ca="1" si="45"/>
        <v>-7.6891003502085577E-6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0.11270030278847694</v>
      </c>
      <c r="AY109" s="541">
        <f t="shared" ca="1" si="61"/>
        <v>0.11270030278847694</v>
      </c>
      <c r="AZ109" s="541">
        <f t="shared" ca="1" si="62"/>
        <v>9.6562815404663507E-2</v>
      </c>
      <c r="BA109" s="541">
        <f t="shared" ca="1" si="62"/>
        <v>9.6562815404663507E-2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4.4513880463795618E-4</v>
      </c>
      <c r="M110" s="544">
        <f t="shared" ca="1" si="52"/>
        <v>4.4513880463795618E-4</v>
      </c>
      <c r="N110" s="542" t="s">
        <v>336</v>
      </c>
      <c r="O110" s="544">
        <f t="shared" ca="1" si="53"/>
        <v>4.8597252433314173E-4</v>
      </c>
      <c r="P110" s="544">
        <f t="shared" ca="1" si="53"/>
        <v>4.8597252433314173E-4</v>
      </c>
      <c r="Q110" s="542" t="s">
        <v>336</v>
      </c>
      <c r="R110" s="543">
        <f t="shared" ca="1" si="54"/>
        <v>4.0303135203045716E-5</v>
      </c>
      <c r="S110" s="543">
        <f t="shared" ca="1" si="54"/>
        <v>4.0303135203045716E-5</v>
      </c>
      <c r="T110" s="542" t="s">
        <v>336</v>
      </c>
      <c r="U110" s="543">
        <f t="shared" ca="1" si="55"/>
        <v>4.4000244753081123E-5</v>
      </c>
      <c r="V110" s="543">
        <f t="shared" ca="1" si="55"/>
        <v>4.4000244753081123E-5</v>
      </c>
      <c r="W110" s="542" t="s">
        <v>336</v>
      </c>
      <c r="X110" s="544">
        <f t="shared" ca="1" si="56"/>
        <v>3.7611483593951215E-3</v>
      </c>
      <c r="Y110" s="544">
        <f t="shared" ca="1" si="56"/>
        <v>3.7611483593951215E-3</v>
      </c>
      <c r="Z110" s="542" t="s">
        <v>336</v>
      </c>
      <c r="AA110" s="544">
        <f t="shared" ca="1" si="57"/>
        <v>2.5137069820596976E-3</v>
      </c>
      <c r="AB110" s="544">
        <f t="shared" ca="1" si="57"/>
        <v>2.5137069820596976E-3</v>
      </c>
      <c r="AC110" s="542" t="s">
        <v>336</v>
      </c>
      <c r="AD110" s="543">
        <f t="shared" ca="1" si="40"/>
        <v>2.9133832415226945E-3</v>
      </c>
      <c r="AE110" s="543">
        <f t="shared" ca="1" si="40"/>
        <v>2.9133832415226945E-3</v>
      </c>
      <c r="AF110" s="542" t="s">
        <v>336</v>
      </c>
      <c r="AG110" s="543">
        <f t="shared" ca="1" si="58"/>
        <v>2.0282457354796088E-3</v>
      </c>
      <c r="AH110" s="543">
        <f t="shared" ca="1" si="58"/>
        <v>2.0282457354796088E-3</v>
      </c>
      <c r="AI110" s="542" t="s">
        <v>336</v>
      </c>
      <c r="AJ110" s="541">
        <f t="shared" ca="1" si="42"/>
        <v>4.0483566943491048E-4</v>
      </c>
      <c r="AK110" s="541">
        <f t="shared" ca="1" si="42"/>
        <v>4.0483566943491048E-4</v>
      </c>
      <c r="AL110" s="541">
        <f t="shared" ca="1" si="43"/>
        <v>4.419722795800606E-4</v>
      </c>
      <c r="AM110" s="541">
        <f t="shared" ca="1" si="43"/>
        <v>4.419722795800606E-4</v>
      </c>
      <c r="AN110" s="541">
        <f t="shared" ca="1" si="44"/>
        <v>8.4776511787242699E-4</v>
      </c>
      <c r="AO110" s="541">
        <f t="shared" ca="1" si="44"/>
        <v>8.4776511787242699E-4</v>
      </c>
      <c r="AP110" s="541">
        <f t="shared" ca="1" si="45"/>
        <v>4.8546124658008878E-4</v>
      </c>
      <c r="AQ110" s="541">
        <f t="shared" ca="1" si="45"/>
        <v>4.8546124658008878E-4</v>
      </c>
      <c r="AR110" s="810"/>
      <c r="AS110" s="810" t="s">
        <v>249</v>
      </c>
      <c r="AT110" s="506">
        <f ca="1">AJ111/SUM($C40:$C59)</f>
        <v>0.2684515353877403</v>
      </c>
      <c r="AU110" s="506">
        <f ca="1">AK111/SUM($C40:$C59)</f>
        <v>0.46432787942122777</v>
      </c>
      <c r="AV110" s="506">
        <f ca="1">AL111/SUM($C60:$C79)</f>
        <v>0.26845153538774025</v>
      </c>
      <c r="AW110" s="506">
        <f ca="1">AM111/SUM($C60:$C79)</f>
        <v>0.46432787942122766</v>
      </c>
      <c r="AX110" s="506">
        <f ca="1">AN111/SUM($J40:$J59)</f>
        <v>-3.3523990513963771E-2</v>
      </c>
      <c r="AY110" s="506">
        <f ca="1">AO111/SUM($J40:$J59)</f>
        <v>-4.9166890883334327E-2</v>
      </c>
      <c r="AZ110" s="506">
        <f ca="1">AP111/SUM($J60:$J79)</f>
        <v>-3.3686400632543301E-2</v>
      </c>
      <c r="BA110" s="506">
        <f ca="1">AQ111/SUM($J60:$J79)</f>
        <v>-4.9329301001913871E-2</v>
      </c>
      <c r="BB110" s="506"/>
      <c r="BC110" s="506"/>
      <c r="BD110" s="506"/>
      <c r="BE110" s="506"/>
    </row>
    <row r="111" spans="1:57" ht="15.75" thickTop="1" x14ac:dyDescent="0.25">
      <c r="K111" s="244" t="s">
        <v>784</v>
      </c>
      <c r="L111" s="137">
        <f ca="1">SUM(L91:L110)</f>
        <v>0.28302353969083927</v>
      </c>
      <c r="M111" s="137">
        <f ca="1">SUM(M91:M110)</f>
        <v>0.48897172930986132</v>
      </c>
      <c r="N111" s="540" t="s">
        <v>336</v>
      </c>
      <c r="O111" s="137">
        <f ca="1">SUM(O91:O110)</f>
        <v>0.30898601199489834</v>
      </c>
      <c r="P111" s="137">
        <f ca="1">SUM(P91:P110)</f>
        <v>0.53382635516021459</v>
      </c>
      <c r="Q111" s="540" t="s">
        <v>336</v>
      </c>
      <c r="R111" s="137">
        <f ca="1">SUM(R91:R110)</f>
        <v>1.4272385341954838E-3</v>
      </c>
      <c r="S111" s="137">
        <f ca="1">SUM(S91:S110)</f>
        <v>1.9079724195476017E-3</v>
      </c>
      <c r="T111" s="540" t="s">
        <v>336</v>
      </c>
      <c r="U111" s="137">
        <f ca="1">SUM(U91:U110)</f>
        <v>1.5581627709420559E-3</v>
      </c>
      <c r="V111" s="137">
        <f ca="1">SUM(V91:V110)</f>
        <v>2.0829956036739952E-3</v>
      </c>
      <c r="W111" s="540" t="s">
        <v>336</v>
      </c>
      <c r="X111" s="137">
        <f ca="1">SUM(X91:X110)</f>
        <v>4.2791510472667209E-2</v>
      </c>
      <c r="Y111" s="137">
        <f ca="1">SUM(Y91:Y110)</f>
        <v>4.8960310248106827E-2</v>
      </c>
      <c r="Z111" s="540" t="s">
        <v>336</v>
      </c>
      <c r="AA111" s="137">
        <f ca="1">SUM(AA91:AA110)</f>
        <v>2.8599062937608555E-2</v>
      </c>
      <c r="AB111" s="137">
        <f ca="1">SUM(AB91:AB110)</f>
        <v>3.2721887560497043E-2</v>
      </c>
      <c r="AC111" s="540" t="s">
        <v>336</v>
      </c>
      <c r="AD111" s="137">
        <f ca="1">SUM(AD91:AD110)</f>
        <v>0.10714787346938594</v>
      </c>
      <c r="AE111" s="137">
        <f ca="1">SUM(AE91:AE110)</f>
        <v>0.14334651632312453</v>
      </c>
      <c r="AF111" s="540" t="s">
        <v>336</v>
      </c>
      <c r="AG111" s="137">
        <f ca="1">SUM(AG91:AG110)</f>
        <v>7.1819044747182384E-2</v>
      </c>
      <c r="AH111" s="137">
        <f ca="1">SUM(AH91:AH110)</f>
        <v>9.6011863691756516E-2</v>
      </c>
      <c r="AI111" s="540" t="s">
        <v>336</v>
      </c>
      <c r="AJ111" s="506">
        <f t="shared" ref="AJ111:AQ111" ca="1" si="64">SUM(AJ91:AJ110)</f>
        <v>0.28159630115664364</v>
      </c>
      <c r="AK111" s="506">
        <f t="shared" ca="1" si="64"/>
        <v>0.48706375689031361</v>
      </c>
      <c r="AL111" s="506">
        <f t="shared" ca="1" si="64"/>
        <v>0.30742784922395633</v>
      </c>
      <c r="AM111" s="506">
        <f t="shared" ca="1" si="64"/>
        <v>0.53174335955654062</v>
      </c>
      <c r="AN111" s="506">
        <f t="shared" ca="1" si="64"/>
        <v>-6.4356362996718722E-2</v>
      </c>
      <c r="AO111" s="506">
        <f t="shared" ca="1" si="64"/>
        <v>-9.4386206075017742E-2</v>
      </c>
      <c r="AP111" s="506">
        <f t="shared" ca="1" si="64"/>
        <v>-4.3219981809573836E-2</v>
      </c>
      <c r="AQ111" s="506">
        <f t="shared" ca="1" si="64"/>
        <v>-6.3289976131259487E-2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0.58902415038059996</v>
      </c>
      <c r="AK113" s="506">
        <f ca="1">AK111+AM111</f>
        <v>1.0188071164468542</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1.0489651353638849</v>
      </c>
      <c r="D119" s="539">
        <f t="shared" ca="1" si="65"/>
        <v>1.0489651353638849</v>
      </c>
      <c r="E119" s="539">
        <f t="shared" ca="1" si="65"/>
        <v>1.0489651353638849</v>
      </c>
      <c r="F119" s="539" t="s">
        <v>336</v>
      </c>
      <c r="G119" s="539">
        <f ca="1">G32</f>
        <v>1.0489651353638849</v>
      </c>
      <c r="H119" s="539">
        <f ca="1">H32</f>
        <v>1.0489651353638849</v>
      </c>
      <c r="I119" s="539" t="s">
        <v>336</v>
      </c>
      <c r="J119" s="539">
        <f t="shared" ref="J119:L120" ca="1" si="66">J32</f>
        <v>1.9197106910620421</v>
      </c>
      <c r="K119" s="539">
        <f t="shared" ca="1" si="66"/>
        <v>1.9197106910620421</v>
      </c>
      <c r="L119" s="539">
        <f t="shared" ca="1" si="66"/>
        <v>1.9197106910620421</v>
      </c>
      <c r="M119" s="539" t="s">
        <v>336</v>
      </c>
      <c r="N119" s="539">
        <f ca="1">N32</f>
        <v>1.9197106910620421</v>
      </c>
      <c r="O119" s="539">
        <f ca="1">O32</f>
        <v>1.9197106910620421</v>
      </c>
      <c r="P119" s="539" t="s">
        <v>336</v>
      </c>
    </row>
    <row r="120" spans="1:39" x14ac:dyDescent="0.25">
      <c r="A120" s="812" t="s">
        <v>101</v>
      </c>
      <c r="B120" s="812" t="s">
        <v>754</v>
      </c>
      <c r="C120" s="539">
        <f t="shared" ca="1" si="65"/>
        <v>1.1451893869033765</v>
      </c>
      <c r="D120" s="539">
        <f t="shared" ca="1" si="65"/>
        <v>1.1451893869033765</v>
      </c>
      <c r="E120" s="539">
        <f t="shared" ca="1" si="65"/>
        <v>1.1451893869033765</v>
      </c>
      <c r="F120" s="539" t="s">
        <v>336</v>
      </c>
      <c r="G120" s="539">
        <f ca="1">G33</f>
        <v>1.1451893869033765</v>
      </c>
      <c r="H120" s="539">
        <f ca="1">H33</f>
        <v>1.1451893869033765</v>
      </c>
      <c r="I120" s="539" t="s">
        <v>336</v>
      </c>
      <c r="J120" s="539">
        <f t="shared" ca="1" si="66"/>
        <v>1.2830097902421926</v>
      </c>
      <c r="K120" s="539">
        <f t="shared" ca="1" si="66"/>
        <v>1.2830097902421926</v>
      </c>
      <c r="L120" s="539">
        <f t="shared" ca="1" si="66"/>
        <v>1.2830097902421926</v>
      </c>
      <c r="M120" s="539" t="s">
        <v>336</v>
      </c>
      <c r="N120" s="539">
        <f ca="1">N33</f>
        <v>1.2830097902421926</v>
      </c>
      <c r="O120" s="539">
        <f ca="1">O33</f>
        <v>1.2830097902421926</v>
      </c>
      <c r="P120" s="539" t="s">
        <v>336</v>
      </c>
    </row>
    <row r="121" spans="1:39" x14ac:dyDescent="0.25">
      <c r="A121" s="813" t="s">
        <v>101</v>
      </c>
      <c r="B121" s="813" t="s">
        <v>792</v>
      </c>
      <c r="C121" s="535">
        <f ca="1">IFERROR(C122-SUM(C119:C120),"-")</f>
        <v>0.59299920676520079</v>
      </c>
      <c r="D121" s="535">
        <f ca="1">IFERROR(D122-SUM(D119:D120),"-")</f>
        <v>0.59299920676520079</v>
      </c>
      <c r="E121" s="535">
        <f ca="1">IFERROR(E122-SUM(E119:E120),"-")</f>
        <v>0.59299920676520079</v>
      </c>
      <c r="F121" s="535" t="s">
        <v>336</v>
      </c>
      <c r="G121" s="535">
        <f ca="1">IFERROR(G122-SUM(G119:G120),"-")</f>
        <v>0.59299920676520079</v>
      </c>
      <c r="H121" s="535">
        <f ca="1">IFERROR(H122-SUM(H119:H120),"-")</f>
        <v>0.59299920676520079</v>
      </c>
      <c r="I121" s="535" t="s">
        <v>336</v>
      </c>
      <c r="J121" s="535">
        <f ca="1">IFERROR(J122-SUM(J119:J120),"-")</f>
        <v>1.0852476203830754</v>
      </c>
      <c r="K121" s="535">
        <f ca="1">IFERROR(K122-SUM(K119:K120),"-")</f>
        <v>1.0852476203830754</v>
      </c>
      <c r="L121" s="535">
        <f ca="1">IFERROR(L122-SUM(L119:L120),"-")</f>
        <v>1.0852476203830754</v>
      </c>
      <c r="M121" s="535" t="s">
        <v>336</v>
      </c>
      <c r="N121" s="535">
        <f ca="1">IFERROR(N122-SUM(N119:N120),"-")</f>
        <v>1.0852476203830754</v>
      </c>
      <c r="O121" s="535">
        <f ca="1">IFERROR(O122-SUM(O119:O120),"-")</f>
        <v>1.0852476203830754</v>
      </c>
      <c r="P121" s="535" t="s">
        <v>336</v>
      </c>
    </row>
    <row r="122" spans="1:39" x14ac:dyDescent="0.25">
      <c r="A122" s="348" t="s">
        <v>101</v>
      </c>
      <c r="B122" s="348" t="s">
        <v>793</v>
      </c>
      <c r="C122" s="534">
        <f ca="1">C26</f>
        <v>2.7871537290324624</v>
      </c>
      <c r="D122" s="534">
        <f ca="1">D26</f>
        <v>2.7871537290324624</v>
      </c>
      <c r="E122" s="534">
        <f ca="1">E26</f>
        <v>2.7871537290324624</v>
      </c>
      <c r="F122" s="534" t="s">
        <v>336</v>
      </c>
      <c r="G122" s="534">
        <f ca="1">G26</f>
        <v>2.7871537290324624</v>
      </c>
      <c r="H122" s="534">
        <f ca="1">H26</f>
        <v>2.7871537290324624</v>
      </c>
      <c r="I122" s="534" t="s">
        <v>336</v>
      </c>
      <c r="J122" s="534">
        <f ca="1">J26</f>
        <v>4.2879681016873104</v>
      </c>
      <c r="K122" s="534">
        <f ca="1">K26</f>
        <v>4.2879681016873104</v>
      </c>
      <c r="L122" s="534">
        <f ca="1">L26</f>
        <v>4.2879681016873104</v>
      </c>
      <c r="M122" s="534" t="s">
        <v>336</v>
      </c>
      <c r="N122" s="534">
        <f ca="1">N26</f>
        <v>4.2879681016873104</v>
      </c>
      <c r="O122" s="534">
        <f ca="1">O26</f>
        <v>4.2879681016873104</v>
      </c>
      <c r="P122" s="534" t="s">
        <v>336</v>
      </c>
    </row>
    <row r="123" spans="1:39" x14ac:dyDescent="0.25">
      <c r="A123" s="812" t="s">
        <v>722</v>
      </c>
      <c r="B123" s="812" t="s">
        <v>752</v>
      </c>
      <c r="C123" s="133">
        <f ca="1">C119</f>
        <v>1.0489651353638849</v>
      </c>
      <c r="D123" s="537">
        <f ca="1">D119-L$111+R$111</f>
        <v>0.76736883420724111</v>
      </c>
      <c r="E123" s="537">
        <f ca="1">E119-M$111+S$111</f>
        <v>0.56190137847357124</v>
      </c>
      <c r="F123" s="538" t="s">
        <v>336</v>
      </c>
      <c r="G123" s="521">
        <f ca="1">G119</f>
        <v>1.0489651353638849</v>
      </c>
      <c r="H123" s="521">
        <f ca="1">H119</f>
        <v>1.0489651353638849</v>
      </c>
      <c r="I123" s="538" t="s">
        <v>336</v>
      </c>
      <c r="J123" s="133">
        <f ca="1">J119</f>
        <v>1.9197106910620421</v>
      </c>
      <c r="K123" s="537">
        <f ca="1">K119-X$111+AD$111</f>
        <v>1.9840670540587608</v>
      </c>
      <c r="L123" s="537">
        <f ca="1">L119-Y$111+AE$111</f>
        <v>2.0140968971370596</v>
      </c>
      <c r="M123" s="538" t="s">
        <v>336</v>
      </c>
      <c r="N123" s="521">
        <f ca="1">N119</f>
        <v>1.9197106910620421</v>
      </c>
      <c r="O123" s="521">
        <f ca="1">O119</f>
        <v>1.9197106910620421</v>
      </c>
      <c r="P123" s="538" t="s">
        <v>336</v>
      </c>
    </row>
    <row r="124" spans="1:39" x14ac:dyDescent="0.25">
      <c r="A124" s="812" t="s">
        <v>722</v>
      </c>
      <c r="B124" s="812" t="s">
        <v>754</v>
      </c>
      <c r="C124" s="133">
        <f ca="1">C120</f>
        <v>1.1451893869033765</v>
      </c>
      <c r="D124" s="521">
        <f ca="1">D120</f>
        <v>1.1451893869033765</v>
      </c>
      <c r="E124" s="521">
        <f ca="1">E120</f>
        <v>1.1451893869033765</v>
      </c>
      <c r="F124" s="536" t="s">
        <v>336</v>
      </c>
      <c r="G124" s="537">
        <f ca="1">G120-O$111+U$111</f>
        <v>0.83776153767942008</v>
      </c>
      <c r="H124" s="537">
        <f ca="1">H120-P$111+V$111</f>
        <v>0.61344602734683584</v>
      </c>
      <c r="I124" s="536" t="s">
        <v>336</v>
      </c>
      <c r="J124" s="133">
        <f ca="1">J120</f>
        <v>1.2830097902421926</v>
      </c>
      <c r="K124" s="521">
        <f ca="1">K120</f>
        <v>1.2830097902421926</v>
      </c>
      <c r="L124" s="521">
        <f ca="1">L120</f>
        <v>1.2830097902421926</v>
      </c>
      <c r="M124" s="536" t="s">
        <v>336</v>
      </c>
      <c r="N124" s="537">
        <f ca="1">N120-AA$111+AG$111</f>
        <v>1.3262297720517666</v>
      </c>
      <c r="O124" s="537">
        <f ca="1">O120-AB$111+AH$111</f>
        <v>1.3462997663734519</v>
      </c>
      <c r="P124" s="536" t="s">
        <v>336</v>
      </c>
    </row>
    <row r="125" spans="1:39" x14ac:dyDescent="0.25">
      <c r="A125" s="813" t="s">
        <v>722</v>
      </c>
      <c r="B125" s="813" t="s">
        <v>792</v>
      </c>
      <c r="C125" s="527">
        <f ca="1">C121</f>
        <v>0.59299920676520079</v>
      </c>
      <c r="D125" s="527">
        <f ca="1">D121</f>
        <v>0.59299920676520079</v>
      </c>
      <c r="E125" s="527">
        <f ca="1">E121</f>
        <v>0.59299920676520079</v>
      </c>
      <c r="F125" s="535" t="s">
        <v>336</v>
      </c>
      <c r="G125" s="527">
        <f ca="1">G121</f>
        <v>0.59299920676520079</v>
      </c>
      <c r="H125" s="527">
        <f ca="1">H121</f>
        <v>0.59299920676520079</v>
      </c>
      <c r="I125" s="535" t="s">
        <v>336</v>
      </c>
      <c r="J125" s="527">
        <f ca="1">J121</f>
        <v>1.0852476203830754</v>
      </c>
      <c r="K125" s="527">
        <f ca="1">K121</f>
        <v>1.0852476203830754</v>
      </c>
      <c r="L125" s="527">
        <f ca="1">L121</f>
        <v>1.0852476203830754</v>
      </c>
      <c r="M125" s="535" t="s">
        <v>336</v>
      </c>
      <c r="N125" s="527">
        <f ca="1">N121</f>
        <v>1.0852476203830754</v>
      </c>
      <c r="O125" s="527">
        <f ca="1">O121</f>
        <v>1.0852476203830754</v>
      </c>
      <c r="P125" s="535" t="s">
        <v>336</v>
      </c>
    </row>
    <row r="126" spans="1:39" x14ac:dyDescent="0.25">
      <c r="A126" s="348" t="s">
        <v>722</v>
      </c>
      <c r="B126" s="348" t="s">
        <v>793</v>
      </c>
      <c r="C126" s="466">
        <f ca="1">SUM(C123:C125)</f>
        <v>2.7871537290324624</v>
      </c>
      <c r="D126" s="466">
        <f ca="1">SUM(D123:D125)</f>
        <v>2.5055574278758184</v>
      </c>
      <c r="E126" s="466">
        <f ca="1">SUM(E123:E125)</f>
        <v>2.3000899721421484</v>
      </c>
      <c r="F126" s="534" t="s">
        <v>336</v>
      </c>
      <c r="G126" s="466">
        <f ca="1">SUM(G123:G125)</f>
        <v>2.4797258798085058</v>
      </c>
      <c r="H126" s="466">
        <f ca="1">SUM(H123:H125)</f>
        <v>2.2554103694759213</v>
      </c>
      <c r="I126" s="534" t="s">
        <v>336</v>
      </c>
      <c r="J126" s="466">
        <f ca="1">SUM(J123:J125)</f>
        <v>4.2879681016873104</v>
      </c>
      <c r="K126" s="466">
        <f ca="1">SUM(K123:K125)</f>
        <v>4.3523244646840293</v>
      </c>
      <c r="L126" s="466">
        <f ca="1">SUM(L123:L125)</f>
        <v>4.3823543077623279</v>
      </c>
      <c r="M126" s="534" t="s">
        <v>336</v>
      </c>
      <c r="N126" s="466">
        <f ca="1">SUM(N123:N125)</f>
        <v>4.3311880834968841</v>
      </c>
      <c r="O126" s="466">
        <f ca="1">SUM(O123:O125)</f>
        <v>4.351258077818569</v>
      </c>
      <c r="P126" s="534" t="s">
        <v>336</v>
      </c>
    </row>
    <row r="127" spans="1:39" x14ac:dyDescent="0.25">
      <c r="A127" s="363" t="s">
        <v>794</v>
      </c>
      <c r="B127" s="363" t="s">
        <v>793</v>
      </c>
      <c r="C127" s="532">
        <f ca="1">C122-C126</f>
        <v>0</v>
      </c>
      <c r="D127" s="532">
        <f ca="1">D122-D126</f>
        <v>0.28159630115664402</v>
      </c>
      <c r="E127" s="532">
        <f ca="1">E122-E126</f>
        <v>0.487063756890314</v>
      </c>
      <c r="F127" s="533" t="s">
        <v>336</v>
      </c>
      <c r="G127" s="532">
        <f ca="1">G122-G126</f>
        <v>0.30742784922395661</v>
      </c>
      <c r="H127" s="532">
        <f ca="1">H122-H126</f>
        <v>0.53174335955654106</v>
      </c>
      <c r="I127" s="533" t="s">
        <v>336</v>
      </c>
      <c r="J127" s="532">
        <f ca="1">J122-J126</f>
        <v>0</v>
      </c>
      <c r="K127" s="532">
        <f ca="1">K122-K126</f>
        <v>-6.4356362996718985E-2</v>
      </c>
      <c r="L127" s="532">
        <f ca="1">L122-L126</f>
        <v>-9.4386206075017576E-2</v>
      </c>
      <c r="M127" s="533" t="s">
        <v>336</v>
      </c>
      <c r="N127" s="532">
        <f ca="1">N122-N126</f>
        <v>-4.321998180957376E-2</v>
      </c>
      <c r="O127" s="532">
        <f ca="1">O122-O126</f>
        <v>-6.3289976131258641E-2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872A-5F7D-46E6-B1F3-A153ADAFCFDA}">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2029</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2029 Baseline NA Area PM2.5 Emissions (tpd) by Curtailment Regime</v>
      </c>
      <c r="D4" s="840"/>
      <c r="E4" s="840"/>
      <c r="F4" s="840"/>
      <c r="G4" s="840"/>
      <c r="H4" s="840"/>
      <c r="I4" s="840"/>
      <c r="J4" s="840" t="str">
        <f>$B$2&amp;" Baseline NA Area SO2 Emissions (tpd) by Curtailment Regime"</f>
        <v>2029 Baseline NA Area SO2 Emissions (tpd) by Curtailment Regime</v>
      </c>
      <c r="K4" s="840"/>
      <c r="L4" s="840"/>
      <c r="M4" s="840"/>
      <c r="N4" s="840"/>
      <c r="O4" s="840"/>
      <c r="P4" s="840"/>
      <c r="Q4" s="840" t="str">
        <f>$B$2&amp;" Baseline NA Area Energy Use (mmBTU) by Curtailment Regime"</f>
        <v>2029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f ca="1">INDIRECT("'DevSumOut-"&amp;$B$2&amp;"BSR'!R50")</f>
        <v>0.70760873023590076</v>
      </c>
      <c r="D6" s="133">
        <f ca="1">INDIRECT("'DevSumOut-"&amp;$B$2&amp;"BSR'!R50")</f>
        <v>0.70760873023590076</v>
      </c>
      <c r="E6" s="133">
        <f ca="1">INDIRECT("'DevSumOut-"&amp;$B$2&amp;"BSR'!R50")</f>
        <v>0.70760873023590076</v>
      </c>
      <c r="F6" s="551" t="s">
        <v>336</v>
      </c>
      <c r="G6" s="133">
        <f ca="1">INDIRECT("'DevSumOut-"&amp;$B$2&amp;"BSR'!R50")</f>
        <v>0.70760873023590076</v>
      </c>
      <c r="H6" s="133">
        <f ca="1">INDIRECT("'DevSumOut-"&amp;$B$2&amp;"BSR'!R50")</f>
        <v>0.70760873023590076</v>
      </c>
      <c r="I6" s="551" t="s">
        <v>336</v>
      </c>
      <c r="J6" s="133">
        <f ca="1">INDIRECT("'DevSumOut-"&amp;$B$2&amp;"BSR'!P50")</f>
        <v>8.1804477483919183E-3</v>
      </c>
      <c r="K6" s="133">
        <f ca="1">INDIRECT("'DevSumOut-"&amp;$B$2&amp;"BSR'!P50")</f>
        <v>8.1804477483919183E-3</v>
      </c>
      <c r="L6" s="133">
        <f ca="1">INDIRECT("'DevSumOut-"&amp;$B$2&amp;"BSR'!P50")</f>
        <v>8.1804477483919183E-3</v>
      </c>
      <c r="M6" s="551" t="s">
        <v>336</v>
      </c>
      <c r="N6" s="133">
        <f ca="1">INDIRECT("'DevSumOut-"&amp;$B$2&amp;"BSR'!P50")</f>
        <v>8.1804477483919183E-3</v>
      </c>
      <c r="O6" s="133">
        <f ca="1">INDIRECT("'DevSumOut-"&amp;$B$2&amp;"BSR'!P50")</f>
        <v>8.1804477483919183E-3</v>
      </c>
      <c r="P6" s="551" t="s">
        <v>336</v>
      </c>
      <c r="Q6" s="45">
        <f ca="1">INDIRECT("'DevSumOut-"&amp;$B$2&amp;"BSR'!U50")</f>
        <v>656.80787728654434</v>
      </c>
      <c r="R6" s="45">
        <f ca="1">INDIRECT("'DevSumOut-"&amp;$B$2&amp;"BSR'!U50")</f>
        <v>656.80787728654434</v>
      </c>
      <c r="S6" s="45">
        <f ca="1">INDIRECT("'DevSumOut-"&amp;$B$2&amp;"BSR'!U50")</f>
        <v>656.80787728654434</v>
      </c>
      <c r="T6" s="581" t="s">
        <v>336</v>
      </c>
      <c r="U6" s="45">
        <f ca="1">INDIRECT("'DevSumOut-"&amp;$B$2&amp;"BSR'!U50")</f>
        <v>656.80787728654434</v>
      </c>
      <c r="V6" s="45">
        <f ca="1">INDIRECT("'DevSumOut-"&amp;$B$2&amp;"BSR'!U50")</f>
        <v>656.80787728654434</v>
      </c>
      <c r="W6" s="581" t="s">
        <v>336</v>
      </c>
      <c r="X6" s="133">
        <f t="shared" ref="X6:Z22" ca="1" si="0">C6*2000/Q6</f>
        <v>2.1546901451889671</v>
      </c>
      <c r="Y6" s="133">
        <f t="shared" ca="1" si="0"/>
        <v>2.1546901451889671</v>
      </c>
      <c r="Z6" s="133">
        <f t="shared" ca="1" si="0"/>
        <v>2.1546901451889671</v>
      </c>
      <c r="AA6" s="133"/>
      <c r="AB6" s="133">
        <f t="shared" ref="AB6:AC22" ca="1" si="1">G6*2000/U6</f>
        <v>2.1546901451889671</v>
      </c>
      <c r="AC6" s="133">
        <f t="shared" ca="1" si="1"/>
        <v>2.1546901451889671</v>
      </c>
    </row>
    <row r="7" spans="1:29" x14ac:dyDescent="0.25">
      <c r="A7" s="812">
        <v>2104008210</v>
      </c>
      <c r="B7" s="812" t="s">
        <v>138</v>
      </c>
      <c r="C7" s="133">
        <f ca="1">INDIRECT("'DevSumOut-"&amp;$B$2&amp;"BSR'!R51")</f>
        <v>5.5224662623176032E-2</v>
      </c>
      <c r="D7" s="133">
        <f ca="1">INDIRECT("'DevSumOut-"&amp;$B$2&amp;"BSR'!R51")</f>
        <v>5.5224662623176032E-2</v>
      </c>
      <c r="E7" s="133">
        <f ca="1">INDIRECT("'DevSumOut-"&amp;$B$2&amp;"BSR'!R51")</f>
        <v>5.5224662623176032E-2</v>
      </c>
      <c r="F7" s="551" t="s">
        <v>336</v>
      </c>
      <c r="G7" s="133">
        <f ca="1">INDIRECT("'DevSumOut-"&amp;$B$2&amp;"BSR'!R51")</f>
        <v>5.5224662623176032E-2</v>
      </c>
      <c r="H7" s="133">
        <f ca="1">INDIRECT("'DevSumOut-"&amp;$B$2&amp;"BSR'!R51")</f>
        <v>5.5224662623176032E-2</v>
      </c>
      <c r="I7" s="551" t="s">
        <v>336</v>
      </c>
      <c r="J7" s="133">
        <f ca="1">INDIRECT("'DevSumOut-"&amp;$B$2&amp;"BSR'!P51")</f>
        <v>7.2189101468203944E-4</v>
      </c>
      <c r="K7" s="133">
        <f ca="1">INDIRECT("'DevSumOut-"&amp;$B$2&amp;"BSR'!P51")</f>
        <v>7.2189101468203944E-4</v>
      </c>
      <c r="L7" s="133">
        <f ca="1">INDIRECT("'DevSumOut-"&amp;$B$2&amp;"BSR'!P51")</f>
        <v>7.2189101468203944E-4</v>
      </c>
      <c r="M7" s="551" t="s">
        <v>336</v>
      </c>
      <c r="N7" s="133">
        <f ca="1">INDIRECT("'DevSumOut-"&amp;$B$2&amp;"BSR'!P51")</f>
        <v>7.2189101468203944E-4</v>
      </c>
      <c r="O7" s="133">
        <f ca="1">INDIRECT("'DevSumOut-"&amp;$B$2&amp;"BSR'!P51")</f>
        <v>7.2189101468203944E-4</v>
      </c>
      <c r="P7" s="551" t="s">
        <v>336</v>
      </c>
      <c r="Q7" s="45">
        <f ca="1">INDIRECT("'DevSumOut-"&amp;$B$2&amp;"BSR'!U51")</f>
        <v>57.950279135419493</v>
      </c>
      <c r="R7" s="45">
        <f ca="1">INDIRECT("'DevSumOut-"&amp;$B$2&amp;"BSR'!U51")</f>
        <v>57.950279135419493</v>
      </c>
      <c r="S7" s="45">
        <f ca="1">INDIRECT("'DevSumOut-"&amp;$B$2&amp;"BSR'!U51")</f>
        <v>57.950279135419493</v>
      </c>
      <c r="T7" s="581" t="s">
        <v>336</v>
      </c>
      <c r="U7" s="45">
        <f ca="1">INDIRECT("'DevSumOut-"&amp;$B$2&amp;"BSR'!U51")</f>
        <v>57.950279135419493</v>
      </c>
      <c r="V7" s="45">
        <f ca="1">INDIRECT("'DevSumOut-"&amp;$B$2&amp;"BSR'!U51")</f>
        <v>57.950279135419493</v>
      </c>
      <c r="W7" s="581" t="s">
        <v>336</v>
      </c>
      <c r="X7" s="133">
        <f t="shared" ca="1" si="0"/>
        <v>1.905932583831937</v>
      </c>
      <c r="Y7" s="133">
        <f t="shared" ca="1" si="0"/>
        <v>1.905932583831937</v>
      </c>
      <c r="Z7" s="133">
        <f t="shared" ca="1" si="0"/>
        <v>1.905932583831937</v>
      </c>
      <c r="AA7" s="133"/>
      <c r="AB7" s="133">
        <f t="shared" ca="1" si="1"/>
        <v>1.905932583831937</v>
      </c>
      <c r="AC7" s="133">
        <f t="shared" ca="1" si="1"/>
        <v>1.905932583831937</v>
      </c>
    </row>
    <row r="8" spans="1:29" x14ac:dyDescent="0.25">
      <c r="A8" s="812">
        <v>2104008220</v>
      </c>
      <c r="B8" s="812" t="s">
        <v>139</v>
      </c>
      <c r="C8" s="133">
        <f ca="1">INDIRECT("'DevSumOut-"&amp;$B$2&amp;"BSR'!R52")</f>
        <v>4.5596433431037281E-2</v>
      </c>
      <c r="D8" s="133">
        <f ca="1">INDIRECT("'DevSumOut-"&amp;$B$2&amp;"BSR'!R52")</f>
        <v>4.5596433431037281E-2</v>
      </c>
      <c r="E8" s="133">
        <f ca="1">INDIRECT("'DevSumOut-"&amp;$B$2&amp;"BSR'!R52")</f>
        <v>4.5596433431037281E-2</v>
      </c>
      <c r="F8" s="551" t="s">
        <v>336</v>
      </c>
      <c r="G8" s="133">
        <f ca="1">INDIRECT("'DevSumOut-"&amp;$B$2&amp;"BSR'!R52")</f>
        <v>4.5596433431037281E-2</v>
      </c>
      <c r="H8" s="133">
        <f ca="1">INDIRECT("'DevSumOut-"&amp;$B$2&amp;"BSR'!R52")</f>
        <v>4.5596433431037281E-2</v>
      </c>
      <c r="I8" s="551" t="s">
        <v>336</v>
      </c>
      <c r="J8" s="133">
        <f ca="1">INDIRECT("'DevSumOut-"&amp;$B$2&amp;"BSR'!P52")</f>
        <v>1.5198811143679099E-3</v>
      </c>
      <c r="K8" s="133">
        <f ca="1">INDIRECT("'DevSumOut-"&amp;$B$2&amp;"BSR'!P52")</f>
        <v>1.5198811143679099E-3</v>
      </c>
      <c r="L8" s="133">
        <f ca="1">INDIRECT("'DevSumOut-"&amp;$B$2&amp;"BSR'!P52")</f>
        <v>1.5198811143679099E-3</v>
      </c>
      <c r="M8" s="551" t="s">
        <v>336</v>
      </c>
      <c r="N8" s="133">
        <f ca="1">INDIRECT("'DevSumOut-"&amp;$B$2&amp;"BSR'!P52")</f>
        <v>1.5198811143679099E-3</v>
      </c>
      <c r="O8" s="133">
        <f ca="1">INDIRECT("'DevSumOut-"&amp;$B$2&amp;"BSR'!P52")</f>
        <v>1.5198811143679099E-3</v>
      </c>
      <c r="P8" s="551" t="s">
        <v>336</v>
      </c>
      <c r="Q8" s="45">
        <f ca="1">INDIRECT("'DevSumOut-"&amp;$B$2&amp;"BSR'!U52")</f>
        <v>122.00946270132886</v>
      </c>
      <c r="R8" s="45">
        <f ca="1">INDIRECT("'DevSumOut-"&amp;$B$2&amp;"BSR'!U52")</f>
        <v>122.00946270132886</v>
      </c>
      <c r="S8" s="45">
        <f ca="1">INDIRECT("'DevSumOut-"&amp;$B$2&amp;"BSR'!U52")</f>
        <v>122.00946270132886</v>
      </c>
      <c r="T8" s="581" t="s">
        <v>336</v>
      </c>
      <c r="U8" s="45">
        <f ca="1">INDIRECT("'DevSumOut-"&amp;$B$2&amp;"BSR'!U52")</f>
        <v>122.00946270132886</v>
      </c>
      <c r="V8" s="45">
        <f ca="1">INDIRECT("'DevSumOut-"&amp;$B$2&amp;"BSR'!U52")</f>
        <v>122.00946270132886</v>
      </c>
      <c r="W8" s="581" t="s">
        <v>336</v>
      </c>
      <c r="X8" s="133">
        <f t="shared" ca="1" si="0"/>
        <v>0.74742454267919123</v>
      </c>
      <c r="Y8" s="133">
        <f t="shared" ca="1" si="0"/>
        <v>0.74742454267919123</v>
      </c>
      <c r="Z8" s="133">
        <f t="shared" ca="1" si="0"/>
        <v>0.74742454267919123</v>
      </c>
      <c r="AA8" s="133"/>
      <c r="AB8" s="133">
        <f t="shared" ca="1" si="1"/>
        <v>0.74742454267919123</v>
      </c>
      <c r="AC8" s="133">
        <f t="shared" ca="1" si="1"/>
        <v>0.74742454267919123</v>
      </c>
    </row>
    <row r="9" spans="1:29" x14ac:dyDescent="0.25">
      <c r="A9" s="812">
        <v>2104008230</v>
      </c>
      <c r="B9" s="812" t="s">
        <v>140</v>
      </c>
      <c r="C9" s="133">
        <f ca="1">INDIRECT("'DevSumOut-"&amp;$B$2&amp;"BSR'!R53")</f>
        <v>2.9740090689211549E-2</v>
      </c>
      <c r="D9" s="133">
        <f ca="1">INDIRECT("'DevSumOut-"&amp;$B$2&amp;"BSR'!R53")</f>
        <v>2.9740090689211549E-2</v>
      </c>
      <c r="E9" s="133">
        <f ca="1">INDIRECT("'DevSumOut-"&amp;$B$2&amp;"BSR'!R53")</f>
        <v>2.9740090689211549E-2</v>
      </c>
      <c r="F9" s="551" t="s">
        <v>336</v>
      </c>
      <c r="G9" s="133">
        <f ca="1">INDIRECT("'DevSumOut-"&amp;$B$2&amp;"BSR'!R53")</f>
        <v>2.9740090689211549E-2</v>
      </c>
      <c r="H9" s="133">
        <f ca="1">INDIRECT("'DevSumOut-"&amp;$B$2&amp;"BSR'!R53")</f>
        <v>2.9740090689211549E-2</v>
      </c>
      <c r="I9" s="551" t="s">
        <v>336</v>
      </c>
      <c r="J9" s="133">
        <f ca="1">INDIRECT("'DevSumOut-"&amp;$B$2&amp;"BSR'!P53")</f>
        <v>9.1507971351420146E-4</v>
      </c>
      <c r="K9" s="133">
        <f ca="1">INDIRECT("'DevSumOut-"&amp;$B$2&amp;"BSR'!P53")</f>
        <v>9.1507971351420146E-4</v>
      </c>
      <c r="L9" s="133">
        <f ca="1">INDIRECT("'DevSumOut-"&amp;$B$2&amp;"BSR'!P53")</f>
        <v>9.1507971351420146E-4</v>
      </c>
      <c r="M9" s="551" t="s">
        <v>336</v>
      </c>
      <c r="N9" s="133">
        <f ca="1">INDIRECT("'DevSumOut-"&amp;$B$2&amp;"BSR'!P53")</f>
        <v>9.1507971351420146E-4</v>
      </c>
      <c r="O9" s="133">
        <f ca="1">INDIRECT("'DevSumOut-"&amp;$B$2&amp;"BSR'!P53")</f>
        <v>9.1507971351420146E-4</v>
      </c>
      <c r="P9" s="551" t="s">
        <v>336</v>
      </c>
      <c r="Q9" s="45">
        <f ca="1">INDIRECT("'DevSumOut-"&amp;$B$2&amp;"BSR'!U53")</f>
        <v>73.458629835785672</v>
      </c>
      <c r="R9" s="45">
        <f ca="1">INDIRECT("'DevSumOut-"&amp;$B$2&amp;"BSR'!U53")</f>
        <v>73.458629835785672</v>
      </c>
      <c r="S9" s="45">
        <f ca="1">INDIRECT("'DevSumOut-"&amp;$B$2&amp;"BSR'!U53")</f>
        <v>73.458629835785672</v>
      </c>
      <c r="T9" s="581" t="s">
        <v>336</v>
      </c>
      <c r="U9" s="45">
        <f ca="1">INDIRECT("'DevSumOut-"&amp;$B$2&amp;"BSR'!U53")</f>
        <v>73.458629835785672</v>
      </c>
      <c r="V9" s="45">
        <f ca="1">INDIRECT("'DevSumOut-"&amp;$B$2&amp;"BSR'!U53")</f>
        <v>73.458629835785672</v>
      </c>
      <c r="W9" s="581" t="s">
        <v>336</v>
      </c>
      <c r="X9" s="133">
        <f t="shared" ca="1" si="0"/>
        <v>0.80970992123579033</v>
      </c>
      <c r="Y9" s="133">
        <f t="shared" ca="1" si="0"/>
        <v>0.80970992123579033</v>
      </c>
      <c r="Z9" s="133">
        <f t="shared" ca="1" si="0"/>
        <v>0.80970992123579033</v>
      </c>
      <c r="AA9" s="133"/>
      <c r="AB9" s="133">
        <f t="shared" ca="1" si="1"/>
        <v>0.80970992123579033</v>
      </c>
      <c r="AC9" s="133">
        <f t="shared" ca="1" si="1"/>
        <v>0.80970992123579033</v>
      </c>
    </row>
    <row r="10" spans="1:29" x14ac:dyDescent="0.25">
      <c r="A10" s="812">
        <v>2104008310</v>
      </c>
      <c r="B10" s="812" t="s">
        <v>141</v>
      </c>
      <c r="C10" s="133">
        <f ca="1">INDIRECT("'DevSumOut-"&amp;$B$2&amp;"BSR'!R54")</f>
        <v>0.44470836940199449</v>
      </c>
      <c r="D10" s="133">
        <f ca="1">INDIRECT("'DevSumOut-"&amp;$B$2&amp;"BSR'!R54")</f>
        <v>0.44470836940199449</v>
      </c>
      <c r="E10" s="133">
        <f ca="1">INDIRECT("'DevSumOut-"&amp;$B$2&amp;"BSR'!R54")</f>
        <v>0.44470836940199449</v>
      </c>
      <c r="F10" s="551" t="s">
        <v>336</v>
      </c>
      <c r="G10" s="133">
        <f ca="1">INDIRECT("'DevSumOut-"&amp;$B$2&amp;"BSR'!R54")</f>
        <v>0.44470836940199449</v>
      </c>
      <c r="H10" s="133">
        <f ca="1">INDIRECT("'DevSumOut-"&amp;$B$2&amp;"BSR'!R54")</f>
        <v>0.44470836940199449</v>
      </c>
      <c r="I10" s="551" t="s">
        <v>336</v>
      </c>
      <c r="J10" s="133">
        <f ca="1">INDIRECT("'DevSumOut-"&amp;$B$2&amp;"BSR'!P54")</f>
        <v>1.465021555417146E-2</v>
      </c>
      <c r="K10" s="133">
        <f ca="1">INDIRECT("'DevSumOut-"&amp;$B$2&amp;"BSR'!P54")</f>
        <v>1.465021555417146E-2</v>
      </c>
      <c r="L10" s="133">
        <f ca="1">INDIRECT("'DevSumOut-"&amp;$B$2&amp;"BSR'!P54")</f>
        <v>1.465021555417146E-2</v>
      </c>
      <c r="M10" s="551" t="s">
        <v>336</v>
      </c>
      <c r="N10" s="133">
        <f ca="1">INDIRECT("'DevSumOut-"&amp;$B$2&amp;"BSR'!P54")</f>
        <v>1.465021555417146E-2</v>
      </c>
      <c r="O10" s="133">
        <f ca="1">INDIRECT("'DevSumOut-"&amp;$B$2&amp;"BSR'!P54")</f>
        <v>1.465021555417146E-2</v>
      </c>
      <c r="P10" s="551" t="s">
        <v>336</v>
      </c>
      <c r="Q10" s="45">
        <f ca="1">INDIRECT("'DevSumOut-"&amp;$B$2&amp;"BSR'!U54")</f>
        <v>1176.0557528649106</v>
      </c>
      <c r="R10" s="45">
        <f ca="1">INDIRECT("'DevSumOut-"&amp;$B$2&amp;"BSR'!U54")</f>
        <v>1176.0557528649106</v>
      </c>
      <c r="S10" s="45">
        <f ca="1">INDIRECT("'DevSumOut-"&amp;$B$2&amp;"BSR'!U54")</f>
        <v>1176.0557528649106</v>
      </c>
      <c r="T10" s="581" t="s">
        <v>336</v>
      </c>
      <c r="U10" s="45">
        <f ca="1">INDIRECT("'DevSumOut-"&amp;$B$2&amp;"BSR'!U54")</f>
        <v>1176.0557528649106</v>
      </c>
      <c r="V10" s="45">
        <f ca="1">INDIRECT("'DevSumOut-"&amp;$B$2&amp;"BSR'!U54")</f>
        <v>1176.0557528649106</v>
      </c>
      <c r="W10" s="581" t="s">
        <v>336</v>
      </c>
      <c r="X10" s="133">
        <f t="shared" ca="1" si="0"/>
        <v>0.75627089671330672</v>
      </c>
      <c r="Y10" s="133">
        <f t="shared" ca="1" si="0"/>
        <v>0.75627089671330672</v>
      </c>
      <c r="Z10" s="133">
        <f t="shared" ca="1" si="0"/>
        <v>0.75627089671330672</v>
      </c>
      <c r="AA10" s="133"/>
      <c r="AB10" s="133">
        <f t="shared" ca="1" si="1"/>
        <v>0.75627089671330672</v>
      </c>
      <c r="AC10" s="133">
        <f t="shared" ca="1" si="1"/>
        <v>0.75627089671330672</v>
      </c>
    </row>
    <row r="11" spans="1:29" x14ac:dyDescent="0.25">
      <c r="A11" s="812">
        <v>2104008320</v>
      </c>
      <c r="B11" s="812" t="s">
        <v>142</v>
      </c>
      <c r="C11" s="133">
        <f ca="1">INDIRECT("'DevSumOut-"&amp;$B$2&amp;"BSR'!R55")</f>
        <v>0.61112231325346655</v>
      </c>
      <c r="D11" s="133">
        <f ca="1">INDIRECT("'DevSumOut-"&amp;$B$2&amp;"BSR'!R55")</f>
        <v>0.61112231325346655</v>
      </c>
      <c r="E11" s="133">
        <f ca="1">INDIRECT("'DevSumOut-"&amp;$B$2&amp;"BSR'!R55")</f>
        <v>0.61112231325346655</v>
      </c>
      <c r="F11" s="551" t="s">
        <v>336</v>
      </c>
      <c r="G11" s="133">
        <f ca="1">INDIRECT("'DevSumOut-"&amp;$B$2&amp;"BSR'!R55")</f>
        <v>0.61112231325346655</v>
      </c>
      <c r="H11" s="133">
        <f ca="1">INDIRECT("'DevSumOut-"&amp;$B$2&amp;"BSR'!R55")</f>
        <v>0.61112231325346655</v>
      </c>
      <c r="I11" s="551" t="s">
        <v>336</v>
      </c>
      <c r="J11" s="133">
        <f ca="1">INDIRECT("'DevSumOut-"&amp;$B$2&amp;"BSR'!P55")</f>
        <v>3.0844802732461808E-2</v>
      </c>
      <c r="K11" s="133">
        <f ca="1">INDIRECT("'DevSumOut-"&amp;$B$2&amp;"BSR'!P55")</f>
        <v>3.0844802732461808E-2</v>
      </c>
      <c r="L11" s="133">
        <f ca="1">INDIRECT("'DevSumOut-"&amp;$B$2&amp;"BSR'!P55")</f>
        <v>3.0844802732461808E-2</v>
      </c>
      <c r="M11" s="551" t="s">
        <v>336</v>
      </c>
      <c r="N11" s="133">
        <f ca="1">INDIRECT("'DevSumOut-"&amp;$B$2&amp;"BSR'!P55")</f>
        <v>3.0844802732461808E-2</v>
      </c>
      <c r="O11" s="133">
        <f ca="1">INDIRECT("'DevSumOut-"&amp;$B$2&amp;"BSR'!P55")</f>
        <v>3.0844802732461808E-2</v>
      </c>
      <c r="P11" s="551" t="s">
        <v>336</v>
      </c>
      <c r="Q11" s="45">
        <f ca="1">INDIRECT("'DevSumOut-"&amp;$B$2&amp;"BSR'!U55")</f>
        <v>2476.0869603154833</v>
      </c>
      <c r="R11" s="45">
        <f ca="1">INDIRECT("'DevSumOut-"&amp;$B$2&amp;"BSR'!U55")</f>
        <v>2476.0869603154833</v>
      </c>
      <c r="S11" s="45">
        <f ca="1">INDIRECT("'DevSumOut-"&amp;$B$2&amp;"BSR'!U55")</f>
        <v>2476.0869603154833</v>
      </c>
      <c r="T11" s="581" t="s">
        <v>336</v>
      </c>
      <c r="U11" s="45">
        <f ca="1">INDIRECT("'DevSumOut-"&amp;$B$2&amp;"BSR'!U55")</f>
        <v>2476.0869603154833</v>
      </c>
      <c r="V11" s="45">
        <f ca="1">INDIRECT("'DevSumOut-"&amp;$B$2&amp;"BSR'!U55")</f>
        <v>2476.0869603154833</v>
      </c>
      <c r="W11" s="581" t="s">
        <v>336</v>
      </c>
      <c r="X11" s="133">
        <f t="shared" ca="1" si="0"/>
        <v>0.49361942698135469</v>
      </c>
      <c r="Y11" s="133">
        <f t="shared" ca="1" si="0"/>
        <v>0.49361942698135469</v>
      </c>
      <c r="Z11" s="133">
        <f t="shared" ca="1" si="0"/>
        <v>0.49361942698135469</v>
      </c>
      <c r="AA11" s="133"/>
      <c r="AB11" s="133">
        <f t="shared" ca="1" si="1"/>
        <v>0.49361942698135469</v>
      </c>
      <c r="AC11" s="133">
        <f t="shared" ca="1" si="1"/>
        <v>0.49361942698135469</v>
      </c>
    </row>
    <row r="12" spans="1:29" x14ac:dyDescent="0.25">
      <c r="A12" s="812">
        <v>2104008330</v>
      </c>
      <c r="B12" s="812" t="s">
        <v>143</v>
      </c>
      <c r="C12" s="133">
        <f ca="1">INDIRECT("'DevSumOut-"&amp;$B$2&amp;"BSR'!R56")</f>
        <v>0.4082626109123853</v>
      </c>
      <c r="D12" s="133">
        <f ca="1">INDIRECT("'DevSumOut-"&amp;$B$2&amp;"BSR'!R56")</f>
        <v>0.4082626109123853</v>
      </c>
      <c r="E12" s="133">
        <f ca="1">INDIRECT("'DevSumOut-"&amp;$B$2&amp;"BSR'!R56")</f>
        <v>0.4082626109123853</v>
      </c>
      <c r="F12" s="551" t="s">
        <v>336</v>
      </c>
      <c r="G12" s="133">
        <f ca="1">INDIRECT("'DevSumOut-"&amp;$B$2&amp;"BSR'!R56")</f>
        <v>0.4082626109123853</v>
      </c>
      <c r="H12" s="133">
        <f ca="1">INDIRECT("'DevSumOut-"&amp;$B$2&amp;"BSR'!R56")</f>
        <v>0.4082626109123853</v>
      </c>
      <c r="I12" s="551" t="s">
        <v>336</v>
      </c>
      <c r="J12" s="133">
        <f ca="1">INDIRECT("'DevSumOut-"&amp;$B$2&amp;"BSR'!P56")</f>
        <v>1.8570829639896966E-2</v>
      </c>
      <c r="K12" s="133">
        <f ca="1">INDIRECT("'DevSumOut-"&amp;$B$2&amp;"BSR'!P56")</f>
        <v>1.8570829639896966E-2</v>
      </c>
      <c r="L12" s="133">
        <f ca="1">INDIRECT("'DevSumOut-"&amp;$B$2&amp;"BSR'!P56")</f>
        <v>1.8570829639896966E-2</v>
      </c>
      <c r="M12" s="551" t="s">
        <v>336</v>
      </c>
      <c r="N12" s="133">
        <f ca="1">INDIRECT("'DevSumOut-"&amp;$B$2&amp;"BSR'!P56")</f>
        <v>1.8570829639896966E-2</v>
      </c>
      <c r="O12" s="133">
        <f ca="1">INDIRECT("'DevSumOut-"&amp;$B$2&amp;"BSR'!P56")</f>
        <v>1.8570829639896966E-2</v>
      </c>
      <c r="P12" s="551" t="s">
        <v>336</v>
      </c>
      <c r="Q12" s="45">
        <f ca="1">INDIRECT("'DevSumOut-"&amp;$B$2&amp;"BSR'!U56")</f>
        <v>1490.7856442601123</v>
      </c>
      <c r="R12" s="45">
        <f ca="1">INDIRECT("'DevSumOut-"&amp;$B$2&amp;"BSR'!U56")</f>
        <v>1490.7856442601123</v>
      </c>
      <c r="S12" s="45">
        <f ca="1">INDIRECT("'DevSumOut-"&amp;$B$2&amp;"BSR'!U56")</f>
        <v>1490.7856442601123</v>
      </c>
      <c r="T12" s="581" t="s">
        <v>336</v>
      </c>
      <c r="U12" s="45">
        <f ca="1">INDIRECT("'DevSumOut-"&amp;$B$2&amp;"BSR'!U56")</f>
        <v>1490.7856442601123</v>
      </c>
      <c r="V12" s="45">
        <f ca="1">INDIRECT("'DevSumOut-"&amp;$B$2&amp;"BSR'!U56")</f>
        <v>1490.7856442601123</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2">
        <v>2104008410</v>
      </c>
      <c r="B13" s="812" t="s">
        <v>144</v>
      </c>
      <c r="C13" s="133">
        <f ca="1">INDIRECT("'DevSumOut-"&amp;$B$2&amp;"BSR'!R57")</f>
        <v>1.50643570165E-2</v>
      </c>
      <c r="D13" s="133">
        <f ca="1">INDIRECT("'DevSumOut-"&amp;$B$2&amp;"BSR'!R57")</f>
        <v>1.50643570165E-2</v>
      </c>
      <c r="E13" s="133">
        <f ca="1">INDIRECT("'DevSumOut-"&amp;$B$2&amp;"BSR'!R57")</f>
        <v>1.50643570165E-2</v>
      </c>
      <c r="F13" s="551" t="s">
        <v>336</v>
      </c>
      <c r="G13" s="133">
        <f ca="1">INDIRECT("'DevSumOut-"&amp;$B$2&amp;"BSR'!R57")</f>
        <v>1.50643570165E-2</v>
      </c>
      <c r="H13" s="133">
        <f ca="1">INDIRECT("'DevSumOut-"&amp;$B$2&amp;"BSR'!R57")</f>
        <v>1.50643570165E-2</v>
      </c>
      <c r="I13" s="551" t="s">
        <v>336</v>
      </c>
      <c r="J13" s="133">
        <f ca="1">INDIRECT("'DevSumOut-"&amp;$B$2&amp;"BSR'!P57")</f>
        <v>1.6285791369189189E-3</v>
      </c>
      <c r="K13" s="133">
        <f ca="1">INDIRECT("'DevSumOut-"&amp;$B$2&amp;"BSR'!P57")</f>
        <v>1.6285791369189189E-3</v>
      </c>
      <c r="L13" s="133">
        <f ca="1">INDIRECT("'DevSumOut-"&amp;$B$2&amp;"BSR'!P57")</f>
        <v>1.6285791369189189E-3</v>
      </c>
      <c r="M13" s="551" t="s">
        <v>336</v>
      </c>
      <c r="N13" s="133">
        <f ca="1">INDIRECT("'DevSumOut-"&amp;$B$2&amp;"BSR'!P57")</f>
        <v>1.6285791369189189E-3</v>
      </c>
      <c r="O13" s="133">
        <f ca="1">INDIRECT("'DevSumOut-"&amp;$B$2&amp;"BSR'!P57")</f>
        <v>1.6285791369189189E-3</v>
      </c>
      <c r="P13" s="551" t="s">
        <v>336</v>
      </c>
      <c r="Q13" s="45">
        <f ca="1">INDIRECT("'DevSumOut-"&amp;$B$2&amp;"BSR'!U57")</f>
        <v>156.12192092079189</v>
      </c>
      <c r="R13" s="45">
        <f ca="1">INDIRECT("'DevSumOut-"&amp;$B$2&amp;"BSR'!U57")</f>
        <v>156.12192092079189</v>
      </c>
      <c r="S13" s="45">
        <f ca="1">INDIRECT("'DevSumOut-"&amp;$B$2&amp;"BSR'!U57")</f>
        <v>156.12192092079189</v>
      </c>
      <c r="T13" s="581" t="s">
        <v>336</v>
      </c>
      <c r="U13" s="45">
        <f ca="1">INDIRECT("'DevSumOut-"&amp;$B$2&amp;"BSR'!U57")</f>
        <v>156.12192092079189</v>
      </c>
      <c r="V13" s="45">
        <f ca="1">INDIRECT("'DevSumOut-"&amp;$B$2&amp;"BSR'!U57")</f>
        <v>156.12192092079189</v>
      </c>
      <c r="W13" s="581" t="s">
        <v>336</v>
      </c>
      <c r="X13" s="133">
        <f t="shared" ca="1" si="0"/>
        <v>0.19298195830094694</v>
      </c>
      <c r="Y13" s="133">
        <f t="shared" ca="1" si="0"/>
        <v>0.19298195830094694</v>
      </c>
      <c r="Z13" s="133">
        <f t="shared" ca="1" si="0"/>
        <v>0.19298195830094694</v>
      </c>
      <c r="AA13" s="133"/>
      <c r="AB13" s="133">
        <f t="shared" ca="1" si="1"/>
        <v>0.19298195830094694</v>
      </c>
      <c r="AC13" s="133">
        <f t="shared" ca="1" si="1"/>
        <v>0.19298195830094694</v>
      </c>
    </row>
    <row r="14" spans="1:29" x14ac:dyDescent="0.25">
      <c r="A14" s="812">
        <v>2104008420</v>
      </c>
      <c r="B14" s="812" t="s">
        <v>145</v>
      </c>
      <c r="C14" s="133">
        <f ca="1">INDIRECT("'DevSumOut-"&amp;$B$2&amp;"BSR'!R58")</f>
        <v>5.0812544395728347E-2</v>
      </c>
      <c r="D14" s="133">
        <f ca="1">INDIRECT("'DevSumOut-"&amp;$B$2&amp;"BSR'!R58")</f>
        <v>5.0812544395728347E-2</v>
      </c>
      <c r="E14" s="133">
        <f ca="1">INDIRECT("'DevSumOut-"&amp;$B$2&amp;"BSR'!R58")</f>
        <v>5.0812544395728347E-2</v>
      </c>
      <c r="F14" s="551" t="s">
        <v>336</v>
      </c>
      <c r="G14" s="133">
        <f ca="1">INDIRECT("'DevSumOut-"&amp;$B$2&amp;"BSR'!R58")</f>
        <v>5.0812544395728347E-2</v>
      </c>
      <c r="H14" s="133">
        <f ca="1">INDIRECT("'DevSumOut-"&amp;$B$2&amp;"BSR'!R58")</f>
        <v>5.0812544395728347E-2</v>
      </c>
      <c r="I14" s="551" t="s">
        <v>336</v>
      </c>
      <c r="J14" s="133">
        <f ca="1">INDIRECT("'DevSumOut-"&amp;$B$2&amp;"BSR'!P58")</f>
        <v>5.4932480427814434E-3</v>
      </c>
      <c r="K14" s="133">
        <f ca="1">INDIRECT("'DevSumOut-"&amp;$B$2&amp;"BSR'!P58")</f>
        <v>5.4932480427814434E-3</v>
      </c>
      <c r="L14" s="133">
        <f ca="1">INDIRECT("'DevSumOut-"&amp;$B$2&amp;"BSR'!P58")</f>
        <v>5.4932480427814434E-3</v>
      </c>
      <c r="M14" s="551" t="s">
        <v>336</v>
      </c>
      <c r="N14" s="133">
        <f ca="1">INDIRECT("'DevSumOut-"&amp;$B$2&amp;"BSR'!P58")</f>
        <v>5.4932480427814434E-3</v>
      </c>
      <c r="O14" s="133">
        <f ca="1">INDIRECT("'DevSumOut-"&amp;$B$2&amp;"BSR'!P58")</f>
        <v>5.4932480427814434E-3</v>
      </c>
      <c r="P14" s="551" t="s">
        <v>336</v>
      </c>
      <c r="Q14" s="45">
        <f ca="1">INDIRECT("'DevSumOut-"&amp;$B$2&amp;"BSR'!U58")</f>
        <v>526.60409131602216</v>
      </c>
      <c r="R14" s="45">
        <f ca="1">INDIRECT("'DevSumOut-"&amp;$B$2&amp;"BSR'!U58")</f>
        <v>526.60409131602216</v>
      </c>
      <c r="S14" s="45">
        <f ca="1">INDIRECT("'DevSumOut-"&amp;$B$2&amp;"BSR'!U58")</f>
        <v>526.60409131602216</v>
      </c>
      <c r="T14" s="581" t="s">
        <v>336</v>
      </c>
      <c r="U14" s="45">
        <f ca="1">INDIRECT("'DevSumOut-"&amp;$B$2&amp;"BSR'!U58")</f>
        <v>526.60409131602216</v>
      </c>
      <c r="V14" s="45">
        <f ca="1">INDIRECT("'DevSumOut-"&amp;$B$2&amp;"BSR'!U58")</f>
        <v>526.60409131602216</v>
      </c>
      <c r="W14" s="581" t="s">
        <v>336</v>
      </c>
      <c r="X14" s="133">
        <f t="shared" ca="1" si="0"/>
        <v>0.19298195830094703</v>
      </c>
      <c r="Y14" s="133">
        <f t="shared" ca="1" si="0"/>
        <v>0.19298195830094703</v>
      </c>
      <c r="Z14" s="133">
        <f t="shared" ca="1" si="0"/>
        <v>0.19298195830094703</v>
      </c>
      <c r="AA14" s="133"/>
      <c r="AB14" s="133">
        <f t="shared" ca="1" si="1"/>
        <v>0.19298195830094703</v>
      </c>
      <c r="AC14" s="133">
        <f t="shared" ca="1" si="1"/>
        <v>0.19298195830094703</v>
      </c>
    </row>
    <row r="15" spans="1:29" x14ac:dyDescent="0.25">
      <c r="A15" s="812">
        <v>2104008610</v>
      </c>
      <c r="B15" s="812" t="s">
        <v>146</v>
      </c>
      <c r="C15" s="133">
        <f ca="1">INDIRECT("'DevSumOut-"&amp;$B$2&amp;"BSR'!R59")</f>
        <v>0.25245612937457973</v>
      </c>
      <c r="D15" s="133">
        <f ca="1">INDIRECT("'DevSumOut-"&amp;$B$2&amp;"BSR'!R59")</f>
        <v>0.25245612937457973</v>
      </c>
      <c r="E15" s="133">
        <f ca="1">INDIRECT("'DevSumOut-"&amp;$B$2&amp;"BSR'!R59")</f>
        <v>0.25245612937457973</v>
      </c>
      <c r="F15" s="551" t="s">
        <v>336</v>
      </c>
      <c r="G15" s="133">
        <f ca="1">INDIRECT("'DevSumOut-"&amp;$B$2&amp;"BSR'!R59")</f>
        <v>0.25245612937457973</v>
      </c>
      <c r="H15" s="133">
        <f ca="1">INDIRECT("'DevSumOut-"&amp;$B$2&amp;"BSR'!R59")</f>
        <v>0.25245612937457973</v>
      </c>
      <c r="I15" s="551" t="s">
        <v>336</v>
      </c>
      <c r="J15" s="133">
        <f ca="1">INDIRECT("'DevSumOut-"&amp;$B$2&amp;"BSR'!P59")</f>
        <v>1.0231093800626926E-2</v>
      </c>
      <c r="K15" s="133">
        <f ca="1">INDIRECT("'DevSumOut-"&amp;$B$2&amp;"BSR'!P59")</f>
        <v>1.0231093800626926E-2</v>
      </c>
      <c r="L15" s="133">
        <f ca="1">INDIRECT("'DevSumOut-"&amp;$B$2&amp;"BSR'!P59")</f>
        <v>1.0231093800626926E-2</v>
      </c>
      <c r="M15" s="551" t="s">
        <v>336</v>
      </c>
      <c r="N15" s="133">
        <f ca="1">INDIRECT("'DevSumOut-"&amp;$B$2&amp;"BSR'!P59")</f>
        <v>1.0231093800626926E-2</v>
      </c>
      <c r="O15" s="133">
        <f ca="1">INDIRECT("'DevSumOut-"&amp;$B$2&amp;"BSR'!P59")</f>
        <v>1.0231093800626926E-2</v>
      </c>
      <c r="P15" s="551" t="s">
        <v>336</v>
      </c>
      <c r="Q15" s="45">
        <f ca="1">INDIRECT("'DevSumOut-"&amp;$B$2&amp;"BSR'!U59")</f>
        <v>821.02589862504044</v>
      </c>
      <c r="R15" s="45">
        <f ca="1">INDIRECT("'DevSumOut-"&amp;$B$2&amp;"BSR'!U59")</f>
        <v>821.02589862504044</v>
      </c>
      <c r="S15" s="45">
        <f ca="1">INDIRECT("'DevSumOut-"&amp;$B$2&amp;"BSR'!U59")</f>
        <v>821.02589862504044</v>
      </c>
      <c r="T15" s="581" t="s">
        <v>336</v>
      </c>
      <c r="U15" s="45">
        <f ca="1">INDIRECT("'DevSumOut-"&amp;$B$2&amp;"BSR'!U59")</f>
        <v>821.02589862504044</v>
      </c>
      <c r="V15" s="45">
        <f ca="1">INDIRECT("'DevSumOut-"&amp;$B$2&amp;"BSR'!U59")</f>
        <v>821.02589862504044</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2">
        <v>2104004000</v>
      </c>
      <c r="B16" s="812" t="s">
        <v>568</v>
      </c>
      <c r="C16" s="133">
        <f ca="1">INDIRECT("'DevSumOut-"&amp;$B$2&amp;"BSR'!R60")</f>
        <v>5.4813819300693851E-2</v>
      </c>
      <c r="D16" s="133">
        <f ca="1">INDIRECT("'DevSumOut-"&amp;$B$2&amp;"BSR'!R60")</f>
        <v>5.4813819300693851E-2</v>
      </c>
      <c r="E16" s="133">
        <f ca="1">INDIRECT("'DevSumOut-"&amp;$B$2&amp;"BSR'!R60")</f>
        <v>5.4813819300693851E-2</v>
      </c>
      <c r="F16" s="551" t="s">
        <v>336</v>
      </c>
      <c r="G16" s="133">
        <f ca="1">INDIRECT("'DevSumOut-"&amp;$B$2&amp;"BSR'!R60")</f>
        <v>5.4813819300693851E-2</v>
      </c>
      <c r="H16" s="133">
        <f ca="1">INDIRECT("'DevSumOut-"&amp;$B$2&amp;"BSR'!R60")</f>
        <v>5.4813819300693851E-2</v>
      </c>
      <c r="I16" s="551" t="s">
        <v>336</v>
      </c>
      <c r="J16" s="133">
        <f ca="1">INDIRECT("'DevSumOut-"&amp;$B$2&amp;"BSR'!P60")</f>
        <v>3.4697126519638024</v>
      </c>
      <c r="K16" s="133">
        <f ca="1">INDIRECT("'DevSumOut-"&amp;$B$2&amp;"BSR'!P60")</f>
        <v>3.4697126519638024</v>
      </c>
      <c r="L16" s="133">
        <f ca="1">INDIRECT("'DevSumOut-"&amp;$B$2&amp;"BSR'!P60")</f>
        <v>3.4697126519638024</v>
      </c>
      <c r="M16" s="551" t="s">
        <v>336</v>
      </c>
      <c r="N16" s="133">
        <f ca="1">INDIRECT("'DevSumOut-"&amp;$B$2&amp;"BSR'!P60")</f>
        <v>3.4697126519638024</v>
      </c>
      <c r="O16" s="133">
        <f ca="1">INDIRECT("'DevSumOut-"&amp;$B$2&amp;"BSR'!P60")</f>
        <v>3.4697126519638024</v>
      </c>
      <c r="P16" s="551" t="s">
        <v>336</v>
      </c>
      <c r="Q16" s="45">
        <f ca="1">INDIRECT("'DevSumOut-"&amp;$B$2&amp;"BSR'!U60")</f>
        <v>32223.590227497069</v>
      </c>
      <c r="R16" s="45">
        <f ca="1">INDIRECT("'DevSumOut-"&amp;$B$2&amp;"BSR'!U60")</f>
        <v>32223.590227497069</v>
      </c>
      <c r="S16" s="45">
        <f ca="1">INDIRECT("'DevSumOut-"&amp;$B$2&amp;"BSR'!U60")</f>
        <v>32223.590227497069</v>
      </c>
      <c r="T16" s="581" t="s">
        <v>336</v>
      </c>
      <c r="U16" s="45">
        <f ca="1">INDIRECT("'DevSumOut-"&amp;$B$2&amp;"BSR'!U60")</f>
        <v>32223.590227497069</v>
      </c>
      <c r="V16" s="45">
        <f ca="1">INDIRECT("'DevSumOut-"&amp;$B$2&amp;"BSR'!U60")</f>
        <v>32223.590227497069</v>
      </c>
      <c r="W16" s="581" t="s">
        <v>336</v>
      </c>
      <c r="X16" s="133">
        <f t="shared" ca="1" si="0"/>
        <v>3.4020926230572571E-3</v>
      </c>
      <c r="Y16" s="133">
        <f t="shared" ca="1" si="0"/>
        <v>3.4020926230572571E-3</v>
      </c>
      <c r="Z16" s="133">
        <f t="shared" ca="1" si="0"/>
        <v>3.4020926230572571E-3</v>
      </c>
      <c r="AA16" s="133"/>
      <c r="AB16" s="133">
        <f t="shared" ca="1" si="1"/>
        <v>3.4020926230572571E-3</v>
      </c>
      <c r="AC16" s="133">
        <f t="shared" ca="1" si="1"/>
        <v>3.4020926230572571E-3</v>
      </c>
    </row>
    <row r="17" spans="1:29" x14ac:dyDescent="0.25">
      <c r="A17" s="812">
        <v>2103004001</v>
      </c>
      <c r="B17" s="812" t="s">
        <v>148</v>
      </c>
      <c r="C17" s="133">
        <f ca="1">INDIRECT("'DevSumOut-"&amp;$B$2&amp;"BSR'!R61")</f>
        <v>1.8739368230717493E-2</v>
      </c>
      <c r="D17" s="133">
        <f ca="1">INDIRECT("'DevSumOut-"&amp;$B$2&amp;"BSR'!R61")</f>
        <v>1.8739368230717493E-2</v>
      </c>
      <c r="E17" s="133">
        <f ca="1">INDIRECT("'DevSumOut-"&amp;$B$2&amp;"BSR'!R61")</f>
        <v>1.8739368230717493E-2</v>
      </c>
      <c r="F17" s="551" t="s">
        <v>336</v>
      </c>
      <c r="G17" s="133">
        <f ca="1">INDIRECT("'DevSumOut-"&amp;$B$2&amp;"BSR'!R61")</f>
        <v>1.8739368230717493E-2</v>
      </c>
      <c r="H17" s="133">
        <f ca="1">INDIRECT("'DevSumOut-"&amp;$B$2&amp;"BSR'!R61")</f>
        <v>1.8739368230717493E-2</v>
      </c>
      <c r="I17" s="551" t="s">
        <v>336</v>
      </c>
      <c r="J17" s="133">
        <f ca="1">INDIRECT("'DevSumOut-"&amp;$B$2&amp;"BSR'!P61")</f>
        <v>0.52217749537133507</v>
      </c>
      <c r="K17" s="133">
        <f ca="1">INDIRECT("'DevSumOut-"&amp;$B$2&amp;"BSR'!P61")</f>
        <v>0.52217749537133507</v>
      </c>
      <c r="L17" s="133">
        <f ca="1">INDIRECT("'DevSumOut-"&amp;$B$2&amp;"BSR'!P61")</f>
        <v>0.52217749537133507</v>
      </c>
      <c r="M17" s="551" t="s">
        <v>336</v>
      </c>
      <c r="N17" s="133">
        <f ca="1">INDIRECT("'DevSumOut-"&amp;$B$2&amp;"BSR'!P61")</f>
        <v>0.52217749537133507</v>
      </c>
      <c r="O17" s="133">
        <f ca="1">INDIRECT("'DevSumOut-"&amp;$B$2&amp;"BSR'!P61")</f>
        <v>0.52217749537133507</v>
      </c>
      <c r="P17" s="551" t="s">
        <v>336</v>
      </c>
      <c r="Q17" s="45">
        <f ca="1">INDIRECT("'DevSumOut-"&amp;$B$2&amp;"BSR'!U61")</f>
        <v>11368.458109426863</v>
      </c>
      <c r="R17" s="45">
        <f ca="1">INDIRECT("'DevSumOut-"&amp;$B$2&amp;"BSR'!U61")</f>
        <v>11368.458109426863</v>
      </c>
      <c r="S17" s="45">
        <f ca="1">INDIRECT("'DevSumOut-"&amp;$B$2&amp;"BSR'!U61")</f>
        <v>11368.458109426863</v>
      </c>
      <c r="T17" s="581" t="s">
        <v>336</v>
      </c>
      <c r="U17" s="45">
        <f ca="1">INDIRECT("'DevSumOut-"&amp;$B$2&amp;"BSR'!U61")</f>
        <v>11368.458109426863</v>
      </c>
      <c r="V17" s="45">
        <f ca="1">INDIRECT("'DevSumOut-"&amp;$B$2&amp;"BSR'!U61")</f>
        <v>11368.458109426863</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2">
        <v>2104004000</v>
      </c>
      <c r="B18" s="812" t="s">
        <v>746</v>
      </c>
      <c r="C18" s="133">
        <f ca="1">INDIRECT("'DevSumOut-"&amp;$B$2&amp;"BSR'!R62")</f>
        <v>3.2810126709225578E-4</v>
      </c>
      <c r="D18" s="133">
        <f ca="1">INDIRECT("'DevSumOut-"&amp;$B$2&amp;"BSR'!R62")</f>
        <v>3.2810126709225578E-4</v>
      </c>
      <c r="E18" s="133">
        <f ca="1">INDIRECT("'DevSumOut-"&amp;$B$2&amp;"BSR'!R62")</f>
        <v>3.2810126709225578E-4</v>
      </c>
      <c r="F18" s="551" t="s">
        <v>336</v>
      </c>
      <c r="G18" s="133">
        <f ca="1">INDIRECT("'DevSumOut-"&amp;$B$2&amp;"BSR'!R62")</f>
        <v>3.2810126709225578E-4</v>
      </c>
      <c r="H18" s="133">
        <f ca="1">INDIRECT("'DevSumOut-"&amp;$B$2&amp;"BSR'!R62")</f>
        <v>3.2810126709225578E-4</v>
      </c>
      <c r="I18" s="551" t="s">
        <v>336</v>
      </c>
      <c r="J18" s="133">
        <f ca="1">INDIRECT("'DevSumOut-"&amp;$B$2&amp;"BSR'!P62")</f>
        <v>2.3707431842203888E-2</v>
      </c>
      <c r="K18" s="133">
        <f ca="1">INDIRECT("'DevSumOut-"&amp;$B$2&amp;"BSR'!P62")</f>
        <v>2.3707431842203888E-2</v>
      </c>
      <c r="L18" s="133">
        <f ca="1">INDIRECT("'DevSumOut-"&amp;$B$2&amp;"BSR'!P62")</f>
        <v>2.3707431842203888E-2</v>
      </c>
      <c r="M18" s="551" t="s">
        <v>336</v>
      </c>
      <c r="N18" s="133">
        <f ca="1">INDIRECT("'DevSumOut-"&amp;$B$2&amp;"BSR'!P62")</f>
        <v>2.3707431842203888E-2</v>
      </c>
      <c r="O18" s="133">
        <f ca="1">INDIRECT("'DevSumOut-"&amp;$B$2&amp;"BSR'!P62")</f>
        <v>2.3707431842203888E-2</v>
      </c>
      <c r="P18" s="551" t="s">
        <v>336</v>
      </c>
      <c r="Q18" s="45">
        <f ca="1">INDIRECT("'DevSumOut-"&amp;$B$2&amp;"BSR'!U62")</f>
        <v>224.74116542651797</v>
      </c>
      <c r="R18" s="45">
        <f ca="1">INDIRECT("'DevSumOut-"&amp;$B$2&amp;"BSR'!U62")</f>
        <v>224.74116542651797</v>
      </c>
      <c r="S18" s="45">
        <f ca="1">INDIRECT("'DevSumOut-"&amp;$B$2&amp;"BSR'!U62")</f>
        <v>224.74116542651797</v>
      </c>
      <c r="T18" s="581" t="s">
        <v>336</v>
      </c>
      <c r="U18" s="45">
        <f ca="1">INDIRECT("'DevSumOut-"&amp;$B$2&amp;"BSR'!U62")</f>
        <v>224.74116542651797</v>
      </c>
      <c r="V18" s="45">
        <f ca="1">INDIRECT("'DevSumOut-"&amp;$B$2&amp;"BSR'!U62")</f>
        <v>224.74116542651797</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2">
        <v>2104007000</v>
      </c>
      <c r="B19" s="812" t="s">
        <v>747</v>
      </c>
      <c r="C19" s="133">
        <f ca="1">INDIRECT("'DevSumOut-"&amp;$B$2&amp;"BSR'!R63")</f>
        <v>1.2670894380049421E-3</v>
      </c>
      <c r="D19" s="133">
        <f ca="1">INDIRECT("'DevSumOut-"&amp;$B$2&amp;"BSR'!R63")</f>
        <v>1.2670894380049421E-3</v>
      </c>
      <c r="E19" s="133">
        <f ca="1">INDIRECT("'DevSumOut-"&amp;$B$2&amp;"BSR'!R63")</f>
        <v>1.2670894380049421E-3</v>
      </c>
      <c r="F19" s="551" t="s">
        <v>336</v>
      </c>
      <c r="G19" s="133">
        <f ca="1">INDIRECT("'DevSumOut-"&amp;$B$2&amp;"BSR'!R63")</f>
        <v>1.2670894380049421E-3</v>
      </c>
      <c r="H19" s="133">
        <f ca="1">INDIRECT("'DevSumOut-"&amp;$B$2&amp;"BSR'!R63")</f>
        <v>1.2670894380049421E-3</v>
      </c>
      <c r="I19" s="551" t="s">
        <v>336</v>
      </c>
      <c r="J19" s="133">
        <f ca="1">INDIRECT("'DevSumOut-"&amp;$B$2&amp;"BSR'!P63")</f>
        <v>8.020671265575903E-2</v>
      </c>
      <c r="K19" s="133">
        <f ca="1">INDIRECT("'DevSumOut-"&amp;$B$2&amp;"BSR'!P63")</f>
        <v>8.020671265575903E-2</v>
      </c>
      <c r="L19" s="133">
        <f ca="1">INDIRECT("'DevSumOut-"&amp;$B$2&amp;"BSR'!P63")</f>
        <v>8.020671265575903E-2</v>
      </c>
      <c r="M19" s="551" t="s">
        <v>336</v>
      </c>
      <c r="N19" s="133">
        <f ca="1">INDIRECT("'DevSumOut-"&amp;$B$2&amp;"BSR'!P63")</f>
        <v>8.020671265575903E-2</v>
      </c>
      <c r="O19" s="133">
        <f ca="1">INDIRECT("'DevSumOut-"&amp;$B$2&amp;"BSR'!P63")</f>
        <v>8.020671265575903E-2</v>
      </c>
      <c r="P19" s="551" t="s">
        <v>336</v>
      </c>
      <c r="Q19" s="45">
        <f ca="1">INDIRECT("'DevSumOut-"&amp;$B$2&amp;"BSR'!U63")</f>
        <v>693.76778732343269</v>
      </c>
      <c r="R19" s="45">
        <f ca="1">INDIRECT("'DevSumOut-"&amp;$B$2&amp;"BSR'!U63")</f>
        <v>693.76778732343269</v>
      </c>
      <c r="S19" s="45">
        <f ca="1">INDIRECT("'DevSumOut-"&amp;$B$2&amp;"BSR'!U63")</f>
        <v>693.76778732343269</v>
      </c>
      <c r="T19" s="581" t="s">
        <v>336</v>
      </c>
      <c r="U19" s="45">
        <f ca="1">INDIRECT("'DevSumOut-"&amp;$B$2&amp;"BSR'!U63")</f>
        <v>693.76778732343269</v>
      </c>
      <c r="V19" s="45">
        <f ca="1">INDIRECT("'DevSumOut-"&amp;$B$2&amp;"BSR'!U63")</f>
        <v>693.76778732343269</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2">
        <v>2104006010</v>
      </c>
      <c r="B20" s="812" t="s">
        <v>149</v>
      </c>
      <c r="C20" s="133">
        <f ca="1">INDIRECT("'DevSumOut-"&amp;$B$2&amp;"BSR'!R64")</f>
        <v>5.8529310125197298E-6</v>
      </c>
      <c r="D20" s="133">
        <f ca="1">INDIRECT("'DevSumOut-"&amp;$B$2&amp;"BSR'!R64")</f>
        <v>5.8529310125197298E-6</v>
      </c>
      <c r="E20" s="133">
        <f ca="1">INDIRECT("'DevSumOut-"&amp;$B$2&amp;"BSR'!R64")</f>
        <v>5.8529310125197298E-6</v>
      </c>
      <c r="F20" s="551" t="s">
        <v>336</v>
      </c>
      <c r="G20" s="133">
        <f ca="1">INDIRECT("'DevSumOut-"&amp;$B$2&amp;"BSR'!R64")</f>
        <v>5.8529310125197298E-6</v>
      </c>
      <c r="H20" s="133">
        <f ca="1">INDIRECT("'DevSumOut-"&amp;$B$2&amp;"BSR'!R64")</f>
        <v>5.8529310125197298E-6</v>
      </c>
      <c r="I20" s="551" t="s">
        <v>336</v>
      </c>
      <c r="J20" s="133">
        <f ca="1">INDIRECT("'DevSumOut-"&amp;$B$2&amp;"BSR'!P64")</f>
        <v>7.0898784775737665E-5</v>
      </c>
      <c r="K20" s="133">
        <f ca="1">INDIRECT("'DevSumOut-"&amp;$B$2&amp;"BSR'!P64")</f>
        <v>7.0898784775737665E-5</v>
      </c>
      <c r="L20" s="133">
        <f ca="1">INDIRECT("'DevSumOut-"&amp;$B$2&amp;"BSR'!P64")</f>
        <v>7.0898784775737665E-5</v>
      </c>
      <c r="M20" s="551" t="s">
        <v>336</v>
      </c>
      <c r="N20" s="133">
        <f ca="1">INDIRECT("'DevSumOut-"&amp;$B$2&amp;"BSR'!P64")</f>
        <v>7.0898784775737665E-5</v>
      </c>
      <c r="O20" s="133">
        <f ca="1">INDIRECT("'DevSumOut-"&amp;$B$2&amp;"BSR'!P64")</f>
        <v>7.0898784775737665E-5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4.0124456975701607E-5</v>
      </c>
      <c r="Y20" s="133">
        <f t="shared" ca="1" si="0"/>
        <v>4.0124456975701607E-5</v>
      </c>
      <c r="Z20" s="133">
        <f t="shared" ca="1" si="0"/>
        <v>4.0124456975701607E-5</v>
      </c>
      <c r="AA20" s="133"/>
      <c r="AB20" s="133">
        <f t="shared" ca="1" si="1"/>
        <v>4.0124456975701607E-5</v>
      </c>
      <c r="AC20" s="133">
        <f t="shared" ca="1" si="1"/>
        <v>4.0124456975701607E-5</v>
      </c>
    </row>
    <row r="21" spans="1:29" x14ac:dyDescent="0.25">
      <c r="A21" s="812">
        <v>2103006000</v>
      </c>
      <c r="B21" s="812"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7.9575146604215358E-4</v>
      </c>
      <c r="K21" s="133">
        <f ca="1">INDIRECT("'DevSumOut-"&amp;$B$2&amp;"BSR'!P65")</f>
        <v>7.9575146604215358E-4</v>
      </c>
      <c r="L21" s="133">
        <f ca="1">INDIRECT("'DevSumOut-"&amp;$B$2&amp;"BSR'!P65")</f>
        <v>7.9575146604215358E-4</v>
      </c>
      <c r="M21" s="551" t="s">
        <v>336</v>
      </c>
      <c r="N21" s="133">
        <f ca="1">INDIRECT("'DevSumOut-"&amp;$B$2&amp;"BSR'!P65")</f>
        <v>7.9575146604215358E-4</v>
      </c>
      <c r="O21" s="133">
        <f ca="1">INDIRECT("'DevSumOut-"&amp;$B$2&amp;"BSR'!P65")</f>
        <v>7.9575146604215358E-4</v>
      </c>
      <c r="P21" s="551" t="s">
        <v>336</v>
      </c>
      <c r="Q21" s="45">
        <f ca="1">INDIRECT("'DevSumOut-"&amp;$B$2&amp;"BSR'!U65")</f>
        <v>2692.2924601092891</v>
      </c>
      <c r="R21" s="45">
        <f ca="1">INDIRECT("'DevSumOut-"&amp;$B$2&amp;"BSR'!U65")</f>
        <v>2692.2924601092891</v>
      </c>
      <c r="S21" s="45">
        <f ca="1">INDIRECT("'DevSumOut-"&amp;$B$2&amp;"BSR'!U65")</f>
        <v>2692.2924601092891</v>
      </c>
      <c r="T21" s="581" t="s">
        <v>336</v>
      </c>
      <c r="U21" s="45">
        <f ca="1">INDIRECT("'DevSumOut-"&amp;$B$2&amp;"BSR'!U65")</f>
        <v>2692.2924601092891</v>
      </c>
      <c r="V21" s="45">
        <f ca="1">INDIRECT("'DevSumOut-"&amp;$B$2&amp;"BSR'!U65")</f>
        <v>2692.2924601092891</v>
      </c>
      <c r="W21" s="581" t="s">
        <v>336</v>
      </c>
      <c r="X21" s="133">
        <f t="shared" ca="1" si="0"/>
        <v>7.4876847290640406E-3</v>
      </c>
      <c r="Y21" s="133">
        <f t="shared" ca="1" si="0"/>
        <v>7.4876847290640406E-3</v>
      </c>
      <c r="Z21" s="133">
        <f t="shared" ca="1" si="0"/>
        <v>7.4876847290640406E-3</v>
      </c>
      <c r="AA21" s="133"/>
      <c r="AB21" s="133">
        <f t="shared" ca="1" si="1"/>
        <v>7.4876847290640406E-3</v>
      </c>
      <c r="AC21" s="133">
        <f t="shared" ca="1" si="1"/>
        <v>7.4876847290640406E-3</v>
      </c>
    </row>
    <row r="22" spans="1:29" x14ac:dyDescent="0.25">
      <c r="A22" s="812">
        <v>2104002000</v>
      </c>
      <c r="B22" s="812" t="s">
        <v>151</v>
      </c>
      <c r="C22" s="133">
        <f ca="1">INDIRECT("'DevSumOut-"&amp;$B$2&amp;"BSR'!R66")</f>
        <v>9.7907685155159352E-2</v>
      </c>
      <c r="D22" s="133">
        <f ca="1">INDIRECT("'DevSumOut-"&amp;$B$2&amp;"BSR'!R66")</f>
        <v>9.7907685155159352E-2</v>
      </c>
      <c r="E22" s="133">
        <f ca="1">INDIRECT("'DevSumOut-"&amp;$B$2&amp;"BSR'!R66")</f>
        <v>9.7907685155159352E-2</v>
      </c>
      <c r="F22" s="551" t="s">
        <v>336</v>
      </c>
      <c r="G22" s="133">
        <f ca="1">INDIRECT("'DevSumOut-"&amp;$B$2&amp;"BSR'!R66")</f>
        <v>9.7907685155159352E-2</v>
      </c>
      <c r="H22" s="133">
        <f ca="1">INDIRECT("'DevSumOut-"&amp;$B$2&amp;"BSR'!R66")</f>
        <v>9.7907685155159352E-2</v>
      </c>
      <c r="I22" s="551" t="s">
        <v>336</v>
      </c>
      <c r="J22" s="133">
        <f ca="1">INDIRECT("'DevSumOut-"&amp;$B$2&amp;"BSR'!P66")</f>
        <v>0.11396013416057345</v>
      </c>
      <c r="K22" s="133">
        <f ca="1">INDIRECT("'DevSumOut-"&amp;$B$2&amp;"BSR'!P66")</f>
        <v>0.11396013416057345</v>
      </c>
      <c r="L22" s="133">
        <f ca="1">INDIRECT("'DevSumOut-"&amp;$B$2&amp;"BSR'!P66")</f>
        <v>0.11396013416057345</v>
      </c>
      <c r="M22" s="551" t="s">
        <v>336</v>
      </c>
      <c r="N22" s="133">
        <f ca="1">INDIRECT("'DevSumOut-"&amp;$B$2&amp;"BSR'!P66")</f>
        <v>0.11396013416057345</v>
      </c>
      <c r="O22" s="133">
        <f ca="1">INDIRECT("'DevSumOut-"&amp;$B$2&amp;"BSR'!P66")</f>
        <v>0.11396013416057345</v>
      </c>
      <c r="P22" s="551" t="s">
        <v>336</v>
      </c>
      <c r="Q22" s="45">
        <f ca="1">INDIRECT("'DevSumOut-"&amp;$B$2&amp;"BSR'!U66")</f>
        <v>372.51484714854132</v>
      </c>
      <c r="R22" s="45">
        <f ca="1">INDIRECT("'DevSumOut-"&amp;$B$2&amp;"BSR'!U66")</f>
        <v>372.51484714854132</v>
      </c>
      <c r="S22" s="45">
        <f ca="1">INDIRECT("'DevSumOut-"&amp;$B$2&amp;"BSR'!U66")</f>
        <v>372.51484714854132</v>
      </c>
      <c r="T22" s="581" t="s">
        <v>336</v>
      </c>
      <c r="U22" s="45">
        <f ca="1">INDIRECT("'DevSumOut-"&amp;$B$2&amp;"BSR'!U66")</f>
        <v>372.51484714854132</v>
      </c>
      <c r="V22" s="45">
        <f ca="1">INDIRECT("'DevSumOut-"&amp;$B$2&amp;"BSR'!U66")</f>
        <v>372.51484714854132</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2">
        <v>2103002000</v>
      </c>
      <c r="B23" s="812"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2">
        <v>2103008000</v>
      </c>
      <c r="B24" s="812"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2.806623905552601</v>
      </c>
      <c r="D26" s="137">
        <f ca="1">SUM(D6:D25)</f>
        <v>2.806623905552601</v>
      </c>
      <c r="E26" s="137">
        <f ca="1">SUM(E6:E25)</f>
        <v>2.806623905552601</v>
      </c>
      <c r="F26" s="566" t="s">
        <v>336</v>
      </c>
      <c r="G26" s="137">
        <f t="shared" ref="G26:H26" ca="1" si="2">SUM(G6:G25)</f>
        <v>2.806623905552601</v>
      </c>
      <c r="H26" s="137">
        <f t="shared" ca="1" si="2"/>
        <v>2.806623905552601</v>
      </c>
      <c r="I26" s="566" t="s">
        <v>336</v>
      </c>
      <c r="J26" s="137">
        <f ca="1">SUM(J6:J25)</f>
        <v>4.320503062337508</v>
      </c>
      <c r="K26" s="137">
        <f ca="1">SUM(K6:K25)</f>
        <v>4.320503062337508</v>
      </c>
      <c r="L26" s="137">
        <f ca="1">SUM(L6:L25)</f>
        <v>4.320503062337508</v>
      </c>
      <c r="M26" s="566" t="s">
        <v>336</v>
      </c>
      <c r="N26" s="137">
        <f ca="1">SUM(N6:N25)</f>
        <v>4.320503062337508</v>
      </c>
      <c r="O26" s="137">
        <f ca="1">SUM(O6:O25)</f>
        <v>4.320503062337508</v>
      </c>
      <c r="P26" s="566" t="s">
        <v>336</v>
      </c>
      <c r="Q26" s="87">
        <f ca="1">SUM(Q6:Q25)</f>
        <v>55572.943262253139</v>
      </c>
      <c r="R26" s="87">
        <f ca="1">SUM(R6:R25)</f>
        <v>55572.943262253139</v>
      </c>
      <c r="S26" s="87">
        <f ca="1">SUM(S6:S25)</f>
        <v>55572.943262253139</v>
      </c>
      <c r="T26" s="566" t="s">
        <v>336</v>
      </c>
      <c r="U26" s="87">
        <f ca="1">SUM(U6:U25)</f>
        <v>55572.943262253139</v>
      </c>
      <c r="V26" s="87">
        <f ca="1">SUM(V6:V25)</f>
        <v>55572.943262253139</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2029 Baseline PM2.5 Emissions (tpd) by Curtailment Regime and AQCZ</v>
      </c>
      <c r="D30" s="840"/>
      <c r="E30" s="840"/>
      <c r="F30" s="840"/>
      <c r="G30" s="840"/>
      <c r="H30" s="840"/>
      <c r="I30" s="840"/>
      <c r="J30" s="840" t="str">
        <f>$B$2&amp;" Baseline SO2 Emissions (tpd) by Curtailment Regime and AQCZ"</f>
        <v>2029 Baseline SO2 Emissions (tpd) by Curtailment Regime and AQCZ</v>
      </c>
      <c r="K30" s="840"/>
      <c r="L30" s="840"/>
      <c r="M30" s="840"/>
      <c r="N30" s="840"/>
      <c r="O30" s="840"/>
      <c r="P30" s="840"/>
      <c r="Q30" s="840" t="str">
        <f>$B$2&amp;" Baseline Energy Use (mmBTU) by Curtailment Regime and AQCZ"</f>
        <v>2029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f ca="1">(C26-C33)*AQCZSplits!$F$5</f>
        <v>1.0562847242483104</v>
      </c>
      <c r="D32" s="133">
        <f ca="1">(D26-D33)*AQCZSplits!$F$5</f>
        <v>1.0562847242483104</v>
      </c>
      <c r="E32" s="133">
        <f ca="1">(E26-E33)*AQCZSplits!$F$5</f>
        <v>1.0562847242483104</v>
      </c>
      <c r="F32" s="551" t="s">
        <v>336</v>
      </c>
      <c r="G32" s="133">
        <f ca="1">(G26-G33)*AQCZSplits!$F$5</f>
        <v>1.0562847242483104</v>
      </c>
      <c r="H32" s="133">
        <f ca="1">(H26-H33)*AQCZSplits!$F$5</f>
        <v>1.0562847242483104</v>
      </c>
      <c r="I32" s="551" t="s">
        <v>336</v>
      </c>
      <c r="J32" s="133">
        <f ca="1">(J26-J33)*AQCZSplits!$F$5</f>
        <v>1.9343907280788533</v>
      </c>
      <c r="K32" s="133">
        <f ca="1">(K26-K33)*AQCZSplits!$F$5</f>
        <v>1.9343907280788533</v>
      </c>
      <c r="L32" s="133">
        <f ca="1">(L26-L33)*AQCZSplits!$F$5</f>
        <v>1.9343907280788533</v>
      </c>
      <c r="M32" s="551" t="s">
        <v>336</v>
      </c>
      <c r="N32" s="133">
        <f ca="1">(N26-N33)*AQCZSplits!$F$5</f>
        <v>1.9343907280788533</v>
      </c>
      <c r="O32" s="133">
        <f ca="1">(O26-O33)*AQCZSplits!$F$5</f>
        <v>1.9343907280788533</v>
      </c>
      <c r="P32" s="551" t="s">
        <v>336</v>
      </c>
      <c r="Q32" s="45">
        <f ca="1">(Q26-Q33)*AQCZSplits!$F$5</f>
        <v>25400.647236549121</v>
      </c>
      <c r="R32" s="45">
        <f ca="1">(R26-R33)*AQCZSplits!$F$5</f>
        <v>25400.647236549121</v>
      </c>
      <c r="S32" s="45">
        <f ca="1">(S26-S33)*AQCZSplits!$F$5</f>
        <v>25400.647236549121</v>
      </c>
      <c r="T32" s="551" t="s">
        <v>336</v>
      </c>
      <c r="U32" s="45">
        <f ca="1">(U26-U33)*AQCZSplits!$F$5</f>
        <v>25400.647236549121</v>
      </c>
      <c r="V32" s="45">
        <f ca="1">(V26-V33)*AQCZSplits!$F$5</f>
        <v>25400.647236549121</v>
      </c>
      <c r="W32" s="551" t="s">
        <v>336</v>
      </c>
    </row>
    <row r="33" spans="1:23" ht="15.75" thickBot="1" x14ac:dyDescent="0.3">
      <c r="A33" s="6" t="s">
        <v>754</v>
      </c>
      <c r="B33" s="6" t="s">
        <v>755</v>
      </c>
      <c r="C33" s="544">
        <f ca="1">SUMIFS(INDIRECT("'ZipOutNA-"&amp;$B$2&amp;"BSR'!$J$5:$J$669"),INDIRECT("'ZipOutNA-"&amp;$B$2&amp;"BSR'!$D$5:$D$669"),99705)/35</f>
        <v>1.1532020768569076</v>
      </c>
      <c r="D33" s="544">
        <f ca="1">SUMIFS(INDIRECT("'ZipOutNA-"&amp;$B$2&amp;"BSR'!$J$5:$J$669"),INDIRECT("'ZipOutNA-"&amp;$B$2&amp;"BSR'!$D$5:$D$669"),99705)/35</f>
        <v>1.1532020768569076</v>
      </c>
      <c r="E33" s="544">
        <f ca="1">SUMIFS(INDIRECT("'ZipOutNA-"&amp;$B$2&amp;"BSR'!$J$5:$J$669"),INDIRECT("'ZipOutNA-"&amp;$B$2&amp;"BSR'!$D$5:$D$669"),99705)/35</f>
        <v>1.1532020768569076</v>
      </c>
      <c r="F33" s="542" t="s">
        <v>336</v>
      </c>
      <c r="G33" s="544">
        <f ca="1">SUMIFS(INDIRECT("'ZipOutNA-"&amp;$B$2&amp;"BSR'!$J$5:$J$669"),INDIRECT("'ZipOutNA-"&amp;$B$2&amp;"BSR'!$D$5:$D$669"),99705)/35</f>
        <v>1.1532020768569076</v>
      </c>
      <c r="H33" s="544">
        <f ca="1">SUMIFS(INDIRECT("'ZipOutNA-"&amp;$B$2&amp;"BSR'!$J$5:$J$669"),INDIRECT("'ZipOutNA-"&amp;$B$2&amp;"BSR'!$D$5:$D$669"),99705)/35</f>
        <v>1.1532020768569076</v>
      </c>
      <c r="I33" s="542" t="s">
        <v>336</v>
      </c>
      <c r="J33" s="544">
        <f ca="1">SUMIFS(INDIRECT("'ZipOutNA-"&amp;$B$2&amp;"BSR'!$H$5:$H$669"),INDIRECT("'ZipOutNA-"&amp;$B$2&amp;"BSR'!$D$5:$D$669"),99705)/35</f>
        <v>1.2925658200298529</v>
      </c>
      <c r="K33" s="544">
        <f ca="1">SUMIFS(INDIRECT("'ZipOutNA-"&amp;$B$2&amp;"BSR'!$H$5:$H$669"),INDIRECT("'ZipOutNA-"&amp;$B$2&amp;"BSR'!$D$5:$D$669"),99705)/35</f>
        <v>1.2925658200298529</v>
      </c>
      <c r="L33" s="544">
        <f ca="1">SUMIFS(INDIRECT("'ZipOutNA-"&amp;$B$2&amp;"BSR'!$H$5:$H$669"),INDIRECT("'ZipOutNA-"&amp;$B$2&amp;"BSR'!$D$5:$D$669"),99705)/35</f>
        <v>1.2925658200298529</v>
      </c>
      <c r="M33" s="542" t="s">
        <v>336</v>
      </c>
      <c r="N33" s="544">
        <f ca="1">SUMIFS(INDIRECT("'ZipOutNA-"&amp;$B$2&amp;"BSR'!$H$5:$H$669"),INDIRECT("'ZipOutNA-"&amp;$B$2&amp;"BSR'!$D$5:$D$669"),99705)/35</f>
        <v>1.2925658200298529</v>
      </c>
      <c r="O33" s="544">
        <f ca="1">SUMIFS(INDIRECT("'ZipOutNA-"&amp;$B$2&amp;"BSR'!$H$5:$H$669"),INDIRECT("'ZipOutNA-"&amp;$B$2&amp;"BSR'!$D$5:$D$669"),99705)/35</f>
        <v>1.2925658200298529</v>
      </c>
      <c r="P33" s="542" t="s">
        <v>336</v>
      </c>
      <c r="Q33" s="567">
        <f ca="1">SUMIFS(INDIRECT("'ZipOutNA-"&amp;$B$2&amp;"BSR'!$M$5:$M$669"),INDIRECT("'ZipOutNA-"&amp;$B$2&amp;"BSR'!$D$5:$D$669"),99705)/35</f>
        <v>15812.844834439078</v>
      </c>
      <c r="R33" s="567">
        <f ca="1">SUMIFS(INDIRECT("'ZipOutNA-"&amp;$B$2&amp;"BSR'!$M$5:$M$669"),INDIRECT("'ZipOutNA-"&amp;$B$2&amp;"BSR'!$D$5:$D$669"),99705)/35</f>
        <v>15812.844834439078</v>
      </c>
      <c r="S33" s="567">
        <f ca="1">SUMIFS(INDIRECT("'ZipOutNA-"&amp;$B$2&amp;"BSR'!$M$5:$M$669"),INDIRECT("'ZipOutNA-"&amp;$B$2&amp;"BSR'!$D$5:$D$669"),99705)/35</f>
        <v>15812.844834439078</v>
      </c>
      <c r="T33" s="542" t="s">
        <v>336</v>
      </c>
      <c r="U33" s="567">
        <f ca="1">SUMIFS(INDIRECT("'ZipOutNA-"&amp;$B$2&amp;"BSR'!$M$5:$M$669"),INDIRECT("'ZipOutNA-"&amp;$B$2&amp;"BSR'!$D$5:$D$669"),99705)/35</f>
        <v>15812.844834439078</v>
      </c>
      <c r="V33" s="567">
        <f ca="1">SUMIFS(INDIRECT("'ZipOutNA-"&amp;$B$2&amp;"BSR'!$M$5:$M$669"),INDIRECT("'ZipOutNA-"&amp;$B$2&amp;"BSR'!$D$5:$D$669"),99705)/35</f>
        <v>15812.844834439078</v>
      </c>
      <c r="W33" s="542" t="s">
        <v>336</v>
      </c>
    </row>
    <row r="34" spans="1:23" ht="15.75" thickTop="1" x14ac:dyDescent="0.25">
      <c r="C34" s="137">
        <f ca="1">SUM(C32:C33)</f>
        <v>2.2094868011052178</v>
      </c>
      <c r="D34" s="137">
        <f ca="1">SUM(D32:D33)</f>
        <v>2.2094868011052178</v>
      </c>
      <c r="E34" s="137">
        <f ca="1">SUM(E32:E33)</f>
        <v>2.2094868011052178</v>
      </c>
      <c r="F34" s="566" t="s">
        <v>336</v>
      </c>
      <c r="G34" s="137">
        <f ca="1">SUM(G32:G33)</f>
        <v>2.2094868011052178</v>
      </c>
      <c r="H34" s="137">
        <f ca="1">SUM(H32:H33)</f>
        <v>2.2094868011052178</v>
      </c>
      <c r="I34" s="566" t="s">
        <v>336</v>
      </c>
      <c r="J34" s="137">
        <f ca="1">SUM(J32:J33)</f>
        <v>3.2269565481087064</v>
      </c>
      <c r="K34" s="137">
        <f ca="1">SUM(K32:K33)</f>
        <v>3.2269565481087064</v>
      </c>
      <c r="L34" s="137">
        <f ca="1">SUM(L32:L33)</f>
        <v>3.2269565481087064</v>
      </c>
      <c r="M34" s="566" t="s">
        <v>336</v>
      </c>
      <c r="N34" s="137">
        <f ca="1">SUM(N32:N33)</f>
        <v>3.2269565481087064</v>
      </c>
      <c r="O34" s="137">
        <f ca="1">SUM(O32:O33)</f>
        <v>3.2269565481087064</v>
      </c>
      <c r="P34" s="566" t="s">
        <v>336</v>
      </c>
      <c r="Q34" s="87">
        <f ca="1">SUM(Q32:Q33)</f>
        <v>41213.492070988199</v>
      </c>
      <c r="R34" s="87">
        <f ca="1">SUM(R32:R33)</f>
        <v>41213.492070988199</v>
      </c>
      <c r="S34" s="87">
        <f ca="1">SUM(S32:S33)</f>
        <v>41213.492070988199</v>
      </c>
      <c r="T34" s="566" t="s">
        <v>336</v>
      </c>
      <c r="U34" s="87">
        <f ca="1">SUM(U32:U33)</f>
        <v>41213.492070988199</v>
      </c>
      <c r="V34" s="87">
        <f ca="1">SUM(V32:V33)</f>
        <v>41213.492070988199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2029 Baseline NA Area PM2.5 Emissions (tpd) by Curtailment Regime</v>
      </c>
      <c r="D38" s="840"/>
      <c r="E38" s="840"/>
      <c r="F38" s="840"/>
      <c r="G38" s="840"/>
      <c r="H38" s="840"/>
      <c r="I38" s="840"/>
      <c r="J38" s="840" t="str">
        <f>J4</f>
        <v>2029 Baseline NA Area SO2 Emissions (tpd) by Curtailment Regime</v>
      </c>
      <c r="K38" s="840"/>
      <c r="L38" s="840"/>
      <c r="M38" s="840"/>
      <c r="N38" s="840"/>
      <c r="O38" s="840"/>
      <c r="P38" s="840"/>
      <c r="Q38" s="840" t="str">
        <f>Q4</f>
        <v>2029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f t="shared" ref="C40:E55" ca="1" si="3">C6*C$32/C$26</f>
        <v>0.26631152503696842</v>
      </c>
      <c r="D40" s="133">
        <f t="shared" ca="1" si="3"/>
        <v>0.26631152503696842</v>
      </c>
      <c r="E40" s="133">
        <f t="shared" ca="1" si="3"/>
        <v>0.26631152503696842</v>
      </c>
      <c r="F40" s="551" t="s">
        <v>336</v>
      </c>
      <c r="G40" s="575">
        <f t="shared" ref="G40:H55" ca="1" si="4">G6*G$32/G$26</f>
        <v>0.26631152503696842</v>
      </c>
      <c r="H40" s="575">
        <f t="shared" ca="1" si="4"/>
        <v>0.26631152503696842</v>
      </c>
      <c r="I40" s="574" t="s">
        <v>336</v>
      </c>
      <c r="J40" s="133">
        <f t="shared" ref="J40:L55" ca="1" si="5">J6*J$32/J$26</f>
        <v>3.6625786506124017E-3</v>
      </c>
      <c r="K40" s="133">
        <f t="shared" ca="1" si="5"/>
        <v>3.6625786506124017E-3</v>
      </c>
      <c r="L40" s="133">
        <f t="shared" ca="1" si="5"/>
        <v>3.6625786506124017E-3</v>
      </c>
      <c r="M40" s="551" t="s">
        <v>336</v>
      </c>
      <c r="N40" s="575">
        <f t="shared" ref="N40:O55" ca="1" si="6">N6*N$32/N$26</f>
        <v>3.6625786506124017E-3</v>
      </c>
      <c r="O40" s="575">
        <f t="shared" ca="1" si="6"/>
        <v>3.6625786506124017E-3</v>
      </c>
      <c r="P40" s="574" t="s">
        <v>336</v>
      </c>
      <c r="Q40" s="45">
        <f t="shared" ref="Q40:S55" ca="1" si="7">Q6*Q$32/Q$26</f>
        <v>300.20625530686982</v>
      </c>
      <c r="R40" s="45">
        <f t="shared" ca="1" si="7"/>
        <v>300.20625530686982</v>
      </c>
      <c r="S40" s="45">
        <f t="shared" ca="1" si="7"/>
        <v>300.20625530686982</v>
      </c>
      <c r="T40" s="581" t="s">
        <v>336</v>
      </c>
      <c r="U40" s="573">
        <f t="shared" ref="U40:V55" ca="1" si="8">U6*U$32/U$26</f>
        <v>300.20625530686982</v>
      </c>
      <c r="V40" s="573">
        <f t="shared" ca="1" si="8"/>
        <v>300.20625530686982</v>
      </c>
      <c r="W40" s="574" t="s">
        <v>336</v>
      </c>
    </row>
    <row r="41" spans="1:23" x14ac:dyDescent="0.25">
      <c r="A41" s="812" t="str">
        <f t="shared" ref="A41:A58" si="9">A40</f>
        <v>FB</v>
      </c>
      <c r="B41" s="812" t="s">
        <v>138</v>
      </c>
      <c r="C41" s="133">
        <f t="shared" ca="1" si="3"/>
        <v>2.0784034303713447E-2</v>
      </c>
      <c r="D41" s="133">
        <f t="shared" ca="1" si="3"/>
        <v>2.0784034303713447E-2</v>
      </c>
      <c r="E41" s="133">
        <f t="shared" ca="1" si="3"/>
        <v>2.0784034303713447E-2</v>
      </c>
      <c r="F41" s="551" t="s">
        <v>336</v>
      </c>
      <c r="G41" s="575">
        <f t="shared" ca="1" si="4"/>
        <v>2.0784034303713447E-2</v>
      </c>
      <c r="H41" s="575">
        <f t="shared" ca="1" si="4"/>
        <v>2.0784034303713447E-2</v>
      </c>
      <c r="I41" s="574" t="s">
        <v>336</v>
      </c>
      <c r="J41" s="133">
        <f t="shared" ca="1" si="5"/>
        <v>3.2320756757637202E-4</v>
      </c>
      <c r="K41" s="133">
        <f t="shared" ca="1" si="5"/>
        <v>3.2320756757637202E-4</v>
      </c>
      <c r="L41" s="133">
        <f t="shared" ca="1" si="5"/>
        <v>3.2320756757637202E-4</v>
      </c>
      <c r="M41" s="551" t="s">
        <v>336</v>
      </c>
      <c r="N41" s="575">
        <f t="shared" ca="1" si="6"/>
        <v>3.2320756757637202E-4</v>
      </c>
      <c r="O41" s="575">
        <f t="shared" ca="1" si="6"/>
        <v>3.2320756757637202E-4</v>
      </c>
      <c r="P41" s="574" t="s">
        <v>336</v>
      </c>
      <c r="Q41" s="45">
        <f t="shared" ca="1" si="7"/>
        <v>26.487252809914676</v>
      </c>
      <c r="R41" s="45">
        <f t="shared" ca="1" si="7"/>
        <v>26.487252809914676</v>
      </c>
      <c r="S41" s="45">
        <f t="shared" ca="1" si="7"/>
        <v>26.487252809914676</v>
      </c>
      <c r="T41" s="581" t="s">
        <v>336</v>
      </c>
      <c r="U41" s="573">
        <f t="shared" ca="1" si="8"/>
        <v>26.487252809914676</v>
      </c>
      <c r="V41" s="573">
        <f t="shared" ca="1" si="8"/>
        <v>26.487252809914676</v>
      </c>
      <c r="W41" s="574" t="s">
        <v>336</v>
      </c>
    </row>
    <row r="42" spans="1:23" x14ac:dyDescent="0.25">
      <c r="A42" s="812" t="str">
        <f t="shared" si="9"/>
        <v>FB</v>
      </c>
      <c r="B42" s="812" t="s">
        <v>139</v>
      </c>
      <c r="C42" s="133">
        <f t="shared" ca="1" si="3"/>
        <v>1.7160409707237492E-2</v>
      </c>
      <c r="D42" s="133">
        <f t="shared" ca="1" si="3"/>
        <v>1.7160409707237492E-2</v>
      </c>
      <c r="E42" s="133">
        <f t="shared" ca="1" si="3"/>
        <v>1.7160409707237492E-2</v>
      </c>
      <c r="F42" s="551" t="s">
        <v>336</v>
      </c>
      <c r="G42" s="575">
        <f t="shared" ca="1" si="4"/>
        <v>1.7160409707237492E-2</v>
      </c>
      <c r="H42" s="575">
        <f t="shared" ca="1" si="4"/>
        <v>1.7160409707237492E-2</v>
      </c>
      <c r="I42" s="574" t="s">
        <v>336</v>
      </c>
      <c r="J42" s="133">
        <f t="shared" ca="1" si="5"/>
        <v>6.8048648340149483E-4</v>
      </c>
      <c r="K42" s="133">
        <f t="shared" ca="1" si="5"/>
        <v>6.8048648340149483E-4</v>
      </c>
      <c r="L42" s="133">
        <f t="shared" ca="1" si="5"/>
        <v>6.8048648340149483E-4</v>
      </c>
      <c r="M42" s="551" t="s">
        <v>336</v>
      </c>
      <c r="N42" s="575">
        <f t="shared" ca="1" si="6"/>
        <v>6.8048648340149483E-4</v>
      </c>
      <c r="O42" s="575">
        <f t="shared" ca="1" si="6"/>
        <v>6.8048648340149483E-4</v>
      </c>
      <c r="P42" s="574" t="s">
        <v>336</v>
      </c>
      <c r="Q42" s="45">
        <f t="shared" ca="1" si="7"/>
        <v>55.766694000214478</v>
      </c>
      <c r="R42" s="45">
        <f t="shared" ca="1" si="7"/>
        <v>55.766694000214478</v>
      </c>
      <c r="S42" s="45">
        <f t="shared" ca="1" si="7"/>
        <v>55.766694000214478</v>
      </c>
      <c r="T42" s="581" t="s">
        <v>336</v>
      </c>
      <c r="U42" s="573">
        <f t="shared" ca="1" si="8"/>
        <v>55.766694000214478</v>
      </c>
      <c r="V42" s="573">
        <f t="shared" ca="1" si="8"/>
        <v>55.766694000214478</v>
      </c>
      <c r="W42" s="574" t="s">
        <v>336</v>
      </c>
    </row>
    <row r="43" spans="1:23" x14ac:dyDescent="0.25">
      <c r="A43" s="812" t="str">
        <f t="shared" si="9"/>
        <v>FB</v>
      </c>
      <c r="B43" s="812" t="s">
        <v>140</v>
      </c>
      <c r="C43" s="133">
        <f t="shared" ca="1" si="3"/>
        <v>1.1192808352634769E-2</v>
      </c>
      <c r="D43" s="133">
        <f t="shared" ca="1" si="3"/>
        <v>1.1192808352634769E-2</v>
      </c>
      <c r="E43" s="133">
        <f t="shared" ca="1" si="3"/>
        <v>1.1192808352634769E-2</v>
      </c>
      <c r="F43" s="551" t="s">
        <v>336</v>
      </c>
      <c r="G43" s="575">
        <f t="shared" ca="1" si="4"/>
        <v>1.1192808352634769E-2</v>
      </c>
      <c r="H43" s="575">
        <f t="shared" ca="1" si="4"/>
        <v>1.1192808352634769E-2</v>
      </c>
      <c r="I43" s="574" t="s">
        <v>336</v>
      </c>
      <c r="J43" s="133">
        <f t="shared" ca="1" si="5"/>
        <v>4.0970268687119996E-4</v>
      </c>
      <c r="K43" s="133">
        <f t="shared" ca="1" si="5"/>
        <v>4.0970268687119996E-4</v>
      </c>
      <c r="L43" s="133">
        <f t="shared" ca="1" si="5"/>
        <v>4.0970268687119996E-4</v>
      </c>
      <c r="M43" s="551" t="s">
        <v>336</v>
      </c>
      <c r="N43" s="575">
        <f t="shared" ca="1" si="6"/>
        <v>4.0970268687119996E-4</v>
      </c>
      <c r="O43" s="575">
        <f t="shared" ca="1" si="6"/>
        <v>4.0970268687119996E-4</v>
      </c>
      <c r="P43" s="574" t="s">
        <v>336</v>
      </c>
      <c r="Q43" s="45">
        <f t="shared" ca="1" si="7"/>
        <v>33.575632914271232</v>
      </c>
      <c r="R43" s="45">
        <f t="shared" ca="1" si="7"/>
        <v>33.575632914271232</v>
      </c>
      <c r="S43" s="45">
        <f t="shared" ca="1" si="7"/>
        <v>33.575632914271232</v>
      </c>
      <c r="T43" s="581" t="s">
        <v>336</v>
      </c>
      <c r="U43" s="573">
        <f t="shared" ca="1" si="8"/>
        <v>33.575632914271232</v>
      </c>
      <c r="V43" s="573">
        <f t="shared" ca="1" si="8"/>
        <v>33.575632914271232</v>
      </c>
      <c r="W43" s="574" t="s">
        <v>336</v>
      </c>
    </row>
    <row r="44" spans="1:23" x14ac:dyDescent="0.25">
      <c r="A44" s="812" t="str">
        <f t="shared" si="9"/>
        <v>FB</v>
      </c>
      <c r="B44" s="812" t="s">
        <v>141</v>
      </c>
      <c r="C44" s="133">
        <f t="shared" ca="1" si="3"/>
        <v>0.16736786728545086</v>
      </c>
      <c r="D44" s="133">
        <f t="shared" ca="1" si="3"/>
        <v>0.16736786728545086</v>
      </c>
      <c r="E44" s="133">
        <f t="shared" ca="1" si="3"/>
        <v>0.16736786728545086</v>
      </c>
      <c r="F44" s="551" t="s">
        <v>336</v>
      </c>
      <c r="G44" s="575">
        <f t="shared" ca="1" si="4"/>
        <v>0.16736786728545086</v>
      </c>
      <c r="H44" s="575">
        <f t="shared" ca="1" si="4"/>
        <v>0.16736786728545086</v>
      </c>
      <c r="I44" s="574" t="s">
        <v>336</v>
      </c>
      <c r="J44" s="133">
        <f t="shared" ca="1" si="5"/>
        <v>6.5592456997388589E-3</v>
      </c>
      <c r="K44" s="133">
        <f t="shared" ca="1" si="5"/>
        <v>6.5592456997388589E-3</v>
      </c>
      <c r="L44" s="133">
        <f t="shared" ca="1" si="5"/>
        <v>6.5592456997388589E-3</v>
      </c>
      <c r="M44" s="551" t="s">
        <v>336</v>
      </c>
      <c r="N44" s="575">
        <f t="shared" ca="1" si="6"/>
        <v>6.5592456997388589E-3</v>
      </c>
      <c r="O44" s="575">
        <f t="shared" ca="1" si="6"/>
        <v>6.5592456997388589E-3</v>
      </c>
      <c r="P44" s="574" t="s">
        <v>336</v>
      </c>
      <c r="Q44" s="45">
        <f t="shared" ca="1" si="7"/>
        <v>537.53815355909296</v>
      </c>
      <c r="R44" s="45">
        <f t="shared" ca="1" si="7"/>
        <v>537.53815355909296</v>
      </c>
      <c r="S44" s="45">
        <f t="shared" ca="1" si="7"/>
        <v>537.53815355909296</v>
      </c>
      <c r="T44" s="581" t="s">
        <v>336</v>
      </c>
      <c r="U44" s="573">
        <f t="shared" ca="1" si="8"/>
        <v>537.53815355909296</v>
      </c>
      <c r="V44" s="573">
        <f t="shared" ca="1" si="8"/>
        <v>537.53815355909296</v>
      </c>
      <c r="W44" s="574" t="s">
        <v>336</v>
      </c>
    </row>
    <row r="45" spans="1:23" x14ac:dyDescent="0.25">
      <c r="A45" s="812" t="str">
        <f t="shared" si="9"/>
        <v>FB</v>
      </c>
      <c r="B45" s="812" t="s">
        <v>142</v>
      </c>
      <c r="C45" s="133">
        <f t="shared" ca="1" si="3"/>
        <v>0.22999845574600783</v>
      </c>
      <c r="D45" s="133">
        <f t="shared" ca="1" si="3"/>
        <v>0.22999845574600783</v>
      </c>
      <c r="E45" s="133">
        <f t="shared" ca="1" si="3"/>
        <v>0.22999845574600783</v>
      </c>
      <c r="F45" s="551" t="s">
        <v>336</v>
      </c>
      <c r="G45" s="575">
        <f t="shared" ca="1" si="4"/>
        <v>0.22999845574600783</v>
      </c>
      <c r="H45" s="575">
        <f t="shared" ca="1" si="4"/>
        <v>0.22999845574600783</v>
      </c>
      <c r="I45" s="574" t="s">
        <v>336</v>
      </c>
      <c r="J45" s="133">
        <f t="shared" ca="1" si="5"/>
        <v>1.3809942859481401E-2</v>
      </c>
      <c r="K45" s="133">
        <f t="shared" ca="1" si="5"/>
        <v>1.3809942859481401E-2</v>
      </c>
      <c r="L45" s="133">
        <f t="shared" ca="1" si="5"/>
        <v>1.3809942859481401E-2</v>
      </c>
      <c r="M45" s="551" t="s">
        <v>336</v>
      </c>
      <c r="N45" s="575">
        <f t="shared" ca="1" si="6"/>
        <v>1.3809942859481401E-2</v>
      </c>
      <c r="O45" s="575">
        <f t="shared" ca="1" si="6"/>
        <v>1.3809942859481401E-2</v>
      </c>
      <c r="P45" s="574" t="s">
        <v>336</v>
      </c>
      <c r="Q45" s="45">
        <f t="shared" ca="1" si="7"/>
        <v>1131.7415942716946</v>
      </c>
      <c r="R45" s="45">
        <f t="shared" ca="1" si="7"/>
        <v>1131.7415942716946</v>
      </c>
      <c r="S45" s="45">
        <f t="shared" ca="1" si="7"/>
        <v>1131.7415942716946</v>
      </c>
      <c r="T45" s="581" t="s">
        <v>336</v>
      </c>
      <c r="U45" s="573">
        <f t="shared" ca="1" si="8"/>
        <v>1131.7415942716946</v>
      </c>
      <c r="V45" s="573">
        <f t="shared" ca="1" si="8"/>
        <v>1131.7415942716946</v>
      </c>
      <c r="W45" s="574" t="s">
        <v>336</v>
      </c>
    </row>
    <row r="46" spans="1:23" x14ac:dyDescent="0.25">
      <c r="A46" s="812" t="str">
        <f t="shared" si="9"/>
        <v>FB</v>
      </c>
      <c r="B46" s="812" t="s">
        <v>143</v>
      </c>
      <c r="C46" s="133">
        <f t="shared" ca="1" si="3"/>
        <v>0.15365135262167459</v>
      </c>
      <c r="D46" s="133">
        <f t="shared" ca="1" si="3"/>
        <v>0.15365135262167459</v>
      </c>
      <c r="E46" s="133">
        <f t="shared" ca="1" si="3"/>
        <v>0.15365135262167459</v>
      </c>
      <c r="F46" s="551" t="s">
        <v>336</v>
      </c>
      <c r="G46" s="575">
        <f t="shared" ca="1" si="4"/>
        <v>0.15365135262167459</v>
      </c>
      <c r="H46" s="575">
        <f t="shared" ca="1" si="4"/>
        <v>0.15365135262167459</v>
      </c>
      <c r="I46" s="574" t="s">
        <v>336</v>
      </c>
      <c r="J46" s="133">
        <f t="shared" ca="1" si="5"/>
        <v>8.3145967378884817E-3</v>
      </c>
      <c r="K46" s="133">
        <f t="shared" ca="1" si="5"/>
        <v>8.3145967378884817E-3</v>
      </c>
      <c r="L46" s="133">
        <f t="shared" ca="1" si="5"/>
        <v>8.3145967378884817E-3</v>
      </c>
      <c r="M46" s="551" t="s">
        <v>336</v>
      </c>
      <c r="N46" s="575">
        <f t="shared" ca="1" si="6"/>
        <v>8.3145967378884817E-3</v>
      </c>
      <c r="O46" s="575">
        <f t="shared" ca="1" si="6"/>
        <v>8.3145967378884817E-3</v>
      </c>
      <c r="P46" s="574" t="s">
        <v>336</v>
      </c>
      <c r="Q46" s="45">
        <f t="shared" ca="1" si="7"/>
        <v>681.39130361452544</v>
      </c>
      <c r="R46" s="45">
        <f t="shared" ca="1" si="7"/>
        <v>681.39130361452544</v>
      </c>
      <c r="S46" s="45">
        <f t="shared" ca="1" si="7"/>
        <v>681.39130361452544</v>
      </c>
      <c r="T46" s="581" t="s">
        <v>336</v>
      </c>
      <c r="U46" s="573">
        <f t="shared" ca="1" si="8"/>
        <v>681.39130361452544</v>
      </c>
      <c r="V46" s="573">
        <f t="shared" ca="1" si="8"/>
        <v>681.39130361452544</v>
      </c>
      <c r="W46" s="574" t="s">
        <v>336</v>
      </c>
    </row>
    <row r="47" spans="1:23" x14ac:dyDescent="0.25">
      <c r="A47" s="812" t="str">
        <f t="shared" si="9"/>
        <v>FB</v>
      </c>
      <c r="B47" s="812" t="s">
        <v>144</v>
      </c>
      <c r="C47" s="133">
        <f t="shared" ca="1" si="3"/>
        <v>5.6695341921912442E-3</v>
      </c>
      <c r="D47" s="133">
        <f t="shared" ca="1" si="3"/>
        <v>5.6695341921912442E-3</v>
      </c>
      <c r="E47" s="133">
        <f t="shared" ca="1" si="3"/>
        <v>5.6695341921912442E-3</v>
      </c>
      <c r="F47" s="551" t="s">
        <v>336</v>
      </c>
      <c r="G47" s="575">
        <f t="shared" ca="1" si="4"/>
        <v>5.6695341921912442E-3</v>
      </c>
      <c r="H47" s="575">
        <f t="shared" ca="1" si="4"/>
        <v>5.6695341921912442E-3</v>
      </c>
      <c r="I47" s="574" t="s">
        <v>336</v>
      </c>
      <c r="J47" s="133">
        <f t="shared" ca="1" si="5"/>
        <v>7.291531418783943E-4</v>
      </c>
      <c r="K47" s="133">
        <f t="shared" ca="1" si="5"/>
        <v>7.291531418783943E-4</v>
      </c>
      <c r="L47" s="133">
        <f t="shared" ca="1" si="5"/>
        <v>7.291531418783943E-4</v>
      </c>
      <c r="M47" s="551" t="s">
        <v>336</v>
      </c>
      <c r="N47" s="575">
        <f t="shared" ca="1" si="6"/>
        <v>7.291531418783943E-4</v>
      </c>
      <c r="O47" s="575">
        <f t="shared" ca="1" si="6"/>
        <v>7.291531418783943E-4</v>
      </c>
      <c r="P47" s="574" t="s">
        <v>336</v>
      </c>
      <c r="Q47" s="45">
        <f t="shared" ca="1" si="7"/>
        <v>71.358427436306215</v>
      </c>
      <c r="R47" s="45">
        <f t="shared" ca="1" si="7"/>
        <v>71.358427436306215</v>
      </c>
      <c r="S47" s="45">
        <f t="shared" ca="1" si="7"/>
        <v>71.358427436306215</v>
      </c>
      <c r="T47" s="581" t="s">
        <v>336</v>
      </c>
      <c r="U47" s="573">
        <f t="shared" ca="1" si="8"/>
        <v>71.358427436306215</v>
      </c>
      <c r="V47" s="573">
        <f t="shared" ca="1" si="8"/>
        <v>71.358427436306215</v>
      </c>
      <c r="W47" s="574" t="s">
        <v>336</v>
      </c>
    </row>
    <row r="48" spans="1:23" x14ac:dyDescent="0.25">
      <c r="A48" s="812" t="str">
        <f t="shared" si="9"/>
        <v>FB</v>
      </c>
      <c r="B48" s="812" t="s">
        <v>145</v>
      </c>
      <c r="C48" s="133">
        <f t="shared" ca="1" si="3"/>
        <v>1.9123515031426796E-2</v>
      </c>
      <c r="D48" s="133">
        <f t="shared" ca="1" si="3"/>
        <v>1.9123515031426796E-2</v>
      </c>
      <c r="E48" s="133">
        <f t="shared" ca="1" si="3"/>
        <v>1.9123515031426796E-2</v>
      </c>
      <c r="F48" s="551" t="s">
        <v>336</v>
      </c>
      <c r="G48" s="575">
        <f t="shared" ca="1" si="4"/>
        <v>1.9123515031426796E-2</v>
      </c>
      <c r="H48" s="575">
        <f t="shared" ca="1" si="4"/>
        <v>1.9123515031426796E-2</v>
      </c>
      <c r="I48" s="574" t="s">
        <v>336</v>
      </c>
      <c r="J48" s="133">
        <f t="shared" ca="1" si="5"/>
        <v>2.4594562086121363E-3</v>
      </c>
      <c r="K48" s="133">
        <f t="shared" ca="1" si="5"/>
        <v>2.4594562086121363E-3</v>
      </c>
      <c r="L48" s="133">
        <f t="shared" ca="1" si="5"/>
        <v>2.4594562086121363E-3</v>
      </c>
      <c r="M48" s="551" t="s">
        <v>336</v>
      </c>
      <c r="N48" s="575">
        <f t="shared" ca="1" si="6"/>
        <v>2.4594562086121363E-3</v>
      </c>
      <c r="O48" s="575">
        <f t="shared" ca="1" si="6"/>
        <v>2.4594562086121363E-3</v>
      </c>
      <c r="P48" s="574" t="s">
        <v>336</v>
      </c>
      <c r="Q48" s="45">
        <f t="shared" ca="1" si="7"/>
        <v>240.69419346243677</v>
      </c>
      <c r="R48" s="45">
        <f t="shared" ca="1" si="7"/>
        <v>240.69419346243677</v>
      </c>
      <c r="S48" s="45">
        <f t="shared" ca="1" si="7"/>
        <v>240.69419346243677</v>
      </c>
      <c r="T48" s="581" t="s">
        <v>336</v>
      </c>
      <c r="U48" s="573">
        <f t="shared" ca="1" si="8"/>
        <v>240.69419346243677</v>
      </c>
      <c r="V48" s="573">
        <f t="shared" ca="1" si="8"/>
        <v>240.69419346243677</v>
      </c>
      <c r="W48" s="574" t="s">
        <v>336</v>
      </c>
    </row>
    <row r="49" spans="1:23" x14ac:dyDescent="0.25">
      <c r="A49" s="812" t="str">
        <f t="shared" si="9"/>
        <v>FB</v>
      </c>
      <c r="B49" s="812" t="s">
        <v>146</v>
      </c>
      <c r="C49" s="133">
        <f t="shared" ca="1" si="3"/>
        <v>9.5012927265977765E-2</v>
      </c>
      <c r="D49" s="133">
        <f t="shared" ca="1" si="3"/>
        <v>9.5012927265977765E-2</v>
      </c>
      <c r="E49" s="133">
        <f t="shared" ca="1" si="3"/>
        <v>9.5012927265977765E-2</v>
      </c>
      <c r="F49" s="551" t="s">
        <v>336</v>
      </c>
      <c r="G49" s="575">
        <f t="shared" ca="1" si="4"/>
        <v>9.5012927265977765E-2</v>
      </c>
      <c r="H49" s="575">
        <f t="shared" ca="1" si="4"/>
        <v>9.5012927265977765E-2</v>
      </c>
      <c r="I49" s="574" t="s">
        <v>336</v>
      </c>
      <c r="J49" s="133">
        <f t="shared" ca="1" si="5"/>
        <v>4.5807010666323511E-3</v>
      </c>
      <c r="K49" s="133">
        <f t="shared" ca="1" si="5"/>
        <v>4.5807010666323511E-3</v>
      </c>
      <c r="L49" s="133">
        <f t="shared" ca="1" si="5"/>
        <v>4.5807010666323511E-3</v>
      </c>
      <c r="M49" s="551" t="s">
        <v>336</v>
      </c>
      <c r="N49" s="575">
        <f t="shared" ca="1" si="6"/>
        <v>4.5807010666323511E-3</v>
      </c>
      <c r="O49" s="575">
        <f t="shared" ca="1" si="6"/>
        <v>4.5807010666323511E-3</v>
      </c>
      <c r="P49" s="574" t="s">
        <v>336</v>
      </c>
      <c r="Q49" s="45">
        <f t="shared" ca="1" si="7"/>
        <v>375.26515600642074</v>
      </c>
      <c r="R49" s="45">
        <f t="shared" ca="1" si="7"/>
        <v>375.26515600642074</v>
      </c>
      <c r="S49" s="45">
        <f t="shared" ca="1" si="7"/>
        <v>375.26515600642074</v>
      </c>
      <c r="T49" s="581" t="s">
        <v>336</v>
      </c>
      <c r="U49" s="573">
        <f t="shared" ca="1" si="8"/>
        <v>375.26515600642074</v>
      </c>
      <c r="V49" s="573">
        <f t="shared" ca="1" si="8"/>
        <v>375.26515600642074</v>
      </c>
      <c r="W49" s="574" t="s">
        <v>336</v>
      </c>
    </row>
    <row r="50" spans="1:23" x14ac:dyDescent="0.25">
      <c r="A50" s="812" t="str">
        <f t="shared" si="9"/>
        <v>FB</v>
      </c>
      <c r="B50" s="812" t="s">
        <v>568</v>
      </c>
      <c r="C50" s="133">
        <f t="shared" ca="1" si="3"/>
        <v>2.0629411689426301E-2</v>
      </c>
      <c r="D50" s="133">
        <f t="shared" ca="1" si="3"/>
        <v>2.0629411689426301E-2</v>
      </c>
      <c r="E50" s="133">
        <f t="shared" ca="1" si="3"/>
        <v>2.0629411689426301E-2</v>
      </c>
      <c r="F50" s="551" t="s">
        <v>336</v>
      </c>
      <c r="G50" s="575">
        <f t="shared" ca="1" si="4"/>
        <v>2.0629411689426301E-2</v>
      </c>
      <c r="H50" s="575">
        <f t="shared" ca="1" si="4"/>
        <v>2.0629411689426301E-2</v>
      </c>
      <c r="I50" s="574" t="s">
        <v>336</v>
      </c>
      <c r="J50" s="133">
        <f t="shared" ca="1" si="5"/>
        <v>1.5534718726539718</v>
      </c>
      <c r="K50" s="133">
        <f t="shared" ca="1" si="5"/>
        <v>1.5534718726539718</v>
      </c>
      <c r="L50" s="133">
        <f t="shared" ca="1" si="5"/>
        <v>1.5534718726539718</v>
      </c>
      <c r="M50" s="551" t="s">
        <v>336</v>
      </c>
      <c r="N50" s="575">
        <f t="shared" ca="1" si="6"/>
        <v>1.5534718726539718</v>
      </c>
      <c r="O50" s="575">
        <f t="shared" ca="1" si="6"/>
        <v>1.5534718726539718</v>
      </c>
      <c r="P50" s="574" t="s">
        <v>336</v>
      </c>
      <c r="Q50" s="45">
        <f t="shared" ca="1" si="7"/>
        <v>14728.3911921166</v>
      </c>
      <c r="R50" s="45">
        <f t="shared" ca="1" si="7"/>
        <v>14728.3911921166</v>
      </c>
      <c r="S50" s="45">
        <f t="shared" ca="1" si="7"/>
        <v>14728.3911921166</v>
      </c>
      <c r="T50" s="581" t="s">
        <v>336</v>
      </c>
      <c r="U50" s="573">
        <f t="shared" ca="1" si="8"/>
        <v>14728.3911921166</v>
      </c>
      <c r="V50" s="573">
        <f t="shared" ca="1" si="8"/>
        <v>14728.3911921166</v>
      </c>
      <c r="W50" s="574" t="s">
        <v>336</v>
      </c>
    </row>
    <row r="51" spans="1:23" x14ac:dyDescent="0.25">
      <c r="A51" s="812" t="str">
        <f t="shared" si="9"/>
        <v>FB</v>
      </c>
      <c r="B51" s="812" t="s">
        <v>148</v>
      </c>
      <c r="C51" s="133">
        <f t="shared" ca="1" si="3"/>
        <v>7.0526401364324155E-3</v>
      </c>
      <c r="D51" s="133">
        <f t="shared" ca="1" si="3"/>
        <v>7.0526401364324155E-3</v>
      </c>
      <c r="E51" s="133">
        <f t="shared" ca="1" si="3"/>
        <v>7.0526401364324155E-3</v>
      </c>
      <c r="F51" s="551" t="s">
        <v>336</v>
      </c>
      <c r="G51" s="575">
        <f t="shared" ca="1" si="4"/>
        <v>7.0526401364324155E-3</v>
      </c>
      <c r="H51" s="575">
        <f t="shared" ca="1" si="4"/>
        <v>7.0526401364324155E-3</v>
      </c>
      <c r="I51" s="574" t="s">
        <v>336</v>
      </c>
      <c r="J51" s="133">
        <f t="shared" ca="1" si="5"/>
        <v>0.2337911328573993</v>
      </c>
      <c r="K51" s="133">
        <f t="shared" ca="1" si="5"/>
        <v>0.2337911328573993</v>
      </c>
      <c r="L51" s="133">
        <f t="shared" ca="1" si="5"/>
        <v>0.2337911328573993</v>
      </c>
      <c r="M51" s="551" t="s">
        <v>336</v>
      </c>
      <c r="N51" s="575">
        <f t="shared" ca="1" si="6"/>
        <v>0.2337911328573993</v>
      </c>
      <c r="O51" s="575">
        <f t="shared" ca="1" si="6"/>
        <v>0.2337911328573993</v>
      </c>
      <c r="P51" s="574" t="s">
        <v>336</v>
      </c>
      <c r="Q51" s="45">
        <f t="shared" ca="1" si="7"/>
        <v>5196.1652039613464</v>
      </c>
      <c r="R51" s="45">
        <f t="shared" ca="1" si="7"/>
        <v>5196.1652039613464</v>
      </c>
      <c r="S51" s="45">
        <f t="shared" ca="1" si="7"/>
        <v>5196.1652039613464</v>
      </c>
      <c r="T51" s="581" t="s">
        <v>336</v>
      </c>
      <c r="U51" s="573">
        <f t="shared" ca="1" si="8"/>
        <v>5196.1652039613464</v>
      </c>
      <c r="V51" s="573">
        <f t="shared" ca="1" si="8"/>
        <v>5196.1652039613464</v>
      </c>
      <c r="W51" s="574" t="s">
        <v>336</v>
      </c>
    </row>
    <row r="52" spans="1:23" x14ac:dyDescent="0.25">
      <c r="A52" s="812" t="str">
        <f t="shared" si="9"/>
        <v>FB</v>
      </c>
      <c r="B52" s="812" t="s">
        <v>746</v>
      </c>
      <c r="C52" s="133">
        <f t="shared" ca="1" si="3"/>
        <v>1.2348229335267069E-4</v>
      </c>
      <c r="D52" s="133">
        <f t="shared" ca="1" si="3"/>
        <v>1.2348229335267069E-4</v>
      </c>
      <c r="E52" s="133">
        <f t="shared" ca="1" si="3"/>
        <v>1.2348229335267069E-4</v>
      </c>
      <c r="F52" s="551" t="s">
        <v>336</v>
      </c>
      <c r="G52" s="575">
        <f t="shared" ca="1" si="4"/>
        <v>1.2348229335267069E-4</v>
      </c>
      <c r="H52" s="575">
        <f t="shared" ca="1" si="4"/>
        <v>1.2348229335267069E-4</v>
      </c>
      <c r="I52" s="574" t="s">
        <v>336</v>
      </c>
      <c r="J52" s="133">
        <f t="shared" ca="1" si="5"/>
        <v>1.0614374224586103E-2</v>
      </c>
      <c r="K52" s="133">
        <f t="shared" ca="1" si="5"/>
        <v>1.0614374224586103E-2</v>
      </c>
      <c r="L52" s="133">
        <f t="shared" ca="1" si="5"/>
        <v>1.0614374224586103E-2</v>
      </c>
      <c r="M52" s="551" t="s">
        <v>336</v>
      </c>
      <c r="N52" s="575">
        <f t="shared" ca="1" si="6"/>
        <v>1.0614374224586103E-2</v>
      </c>
      <c r="O52" s="575">
        <f t="shared" ca="1" si="6"/>
        <v>1.0614374224586103E-2</v>
      </c>
      <c r="P52" s="574" t="s">
        <v>336</v>
      </c>
      <c r="Q52" s="45">
        <f t="shared" ca="1" si="7"/>
        <v>102.72212928494199</v>
      </c>
      <c r="R52" s="45">
        <f t="shared" ca="1" si="7"/>
        <v>102.72212928494199</v>
      </c>
      <c r="S52" s="45">
        <f t="shared" ca="1" si="7"/>
        <v>102.72212928494199</v>
      </c>
      <c r="T52" s="581" t="s">
        <v>336</v>
      </c>
      <c r="U52" s="573">
        <f t="shared" ca="1" si="8"/>
        <v>102.72212928494199</v>
      </c>
      <c r="V52" s="573">
        <f t="shared" ca="1" si="8"/>
        <v>102.72212928494199</v>
      </c>
      <c r="W52" s="574" t="s">
        <v>336</v>
      </c>
    </row>
    <row r="53" spans="1:23" x14ac:dyDescent="0.25">
      <c r="A53" s="812" t="str">
        <f t="shared" si="9"/>
        <v>FB</v>
      </c>
      <c r="B53" s="812" t="s">
        <v>747</v>
      </c>
      <c r="C53" s="133">
        <f t="shared" ca="1" si="3"/>
        <v>4.7687444512002603E-4</v>
      </c>
      <c r="D53" s="133">
        <f t="shared" ca="1" si="3"/>
        <v>4.7687444512002603E-4</v>
      </c>
      <c r="E53" s="133">
        <f t="shared" ca="1" si="3"/>
        <v>4.7687444512002603E-4</v>
      </c>
      <c r="F53" s="551" t="s">
        <v>336</v>
      </c>
      <c r="G53" s="575">
        <f t="shared" ca="1" si="4"/>
        <v>4.7687444512002603E-4</v>
      </c>
      <c r="H53" s="575">
        <f t="shared" ca="1" si="4"/>
        <v>4.7687444512002603E-4</v>
      </c>
      <c r="I53" s="574" t="s">
        <v>336</v>
      </c>
      <c r="J53" s="133">
        <f t="shared" ca="1" si="5"/>
        <v>3.5910429654236645E-2</v>
      </c>
      <c r="K53" s="133">
        <f t="shared" ca="1" si="5"/>
        <v>3.5910429654236645E-2</v>
      </c>
      <c r="L53" s="133">
        <f t="shared" ca="1" si="5"/>
        <v>3.5910429654236645E-2</v>
      </c>
      <c r="M53" s="551" t="s">
        <v>336</v>
      </c>
      <c r="N53" s="575">
        <f t="shared" ca="1" si="6"/>
        <v>3.5910429654236645E-2</v>
      </c>
      <c r="O53" s="575">
        <f t="shared" ca="1" si="6"/>
        <v>3.5910429654236645E-2</v>
      </c>
      <c r="P53" s="574" t="s">
        <v>336</v>
      </c>
      <c r="Q53" s="45">
        <f t="shared" ca="1" si="7"/>
        <v>317.09946955163804</v>
      </c>
      <c r="R53" s="45">
        <f t="shared" ca="1" si="7"/>
        <v>317.09946955163804</v>
      </c>
      <c r="S53" s="45">
        <f t="shared" ca="1" si="7"/>
        <v>317.09946955163804</v>
      </c>
      <c r="T53" s="581" t="s">
        <v>336</v>
      </c>
      <c r="U53" s="573">
        <f t="shared" ca="1" si="8"/>
        <v>317.09946955163804</v>
      </c>
      <c r="V53" s="573">
        <f t="shared" ca="1" si="8"/>
        <v>317.09946955163804</v>
      </c>
      <c r="W53" s="574" t="s">
        <v>336</v>
      </c>
    </row>
    <row r="54" spans="1:23" x14ac:dyDescent="0.25">
      <c r="A54" s="812" t="str">
        <f t="shared" si="9"/>
        <v>FB</v>
      </c>
      <c r="B54" s="812" t="s">
        <v>149</v>
      </c>
      <c r="C54" s="133">
        <f t="shared" ca="1" si="3"/>
        <v>2.2027752305439485E-6</v>
      </c>
      <c r="D54" s="133">
        <f t="shared" ca="1" si="3"/>
        <v>2.2027752305439485E-6</v>
      </c>
      <c r="E54" s="133">
        <f t="shared" ca="1" si="3"/>
        <v>2.2027752305439485E-6</v>
      </c>
      <c r="F54" s="551" t="s">
        <v>336</v>
      </c>
      <c r="G54" s="575">
        <f t="shared" ca="1" si="4"/>
        <v>2.2027752305439485E-6</v>
      </c>
      <c r="H54" s="575">
        <f t="shared" ca="1" si="4"/>
        <v>2.2027752305439485E-6</v>
      </c>
      <c r="I54" s="574" t="s">
        <v>336</v>
      </c>
      <c r="J54" s="133">
        <f t="shared" ca="1" si="5"/>
        <v>3.174305165936984E-5</v>
      </c>
      <c r="K54" s="133">
        <f t="shared" ca="1" si="5"/>
        <v>3.174305165936984E-5</v>
      </c>
      <c r="L54" s="133">
        <f t="shared" ca="1" si="5"/>
        <v>3.174305165936984E-5</v>
      </c>
      <c r="M54" s="551" t="s">
        <v>336</v>
      </c>
      <c r="N54" s="575">
        <f t="shared" ca="1" si="6"/>
        <v>3.174305165936984E-5</v>
      </c>
      <c r="O54" s="575">
        <f t="shared" ca="1" si="6"/>
        <v>3.174305165936984E-5</v>
      </c>
      <c r="P54" s="574" t="s">
        <v>336</v>
      </c>
      <c r="Q54" s="45">
        <f t="shared" ca="1" si="7"/>
        <v>133.34465664434686</v>
      </c>
      <c r="R54" s="45">
        <f t="shared" ca="1" si="7"/>
        <v>133.34465664434686</v>
      </c>
      <c r="S54" s="45">
        <f t="shared" ca="1" si="7"/>
        <v>133.34465664434686</v>
      </c>
      <c r="T54" s="581" t="s">
        <v>336</v>
      </c>
      <c r="U54" s="573">
        <f t="shared" ca="1" si="8"/>
        <v>133.34465664434686</v>
      </c>
      <c r="V54" s="573">
        <f t="shared" ca="1" si="8"/>
        <v>133.34465664434686</v>
      </c>
      <c r="W54" s="574" t="s">
        <v>336</v>
      </c>
    </row>
    <row r="55" spans="1:23" x14ac:dyDescent="0.25">
      <c r="A55" s="812" t="str">
        <f t="shared" si="9"/>
        <v>FB</v>
      </c>
      <c r="B55" s="812" t="s">
        <v>150</v>
      </c>
      <c r="C55" s="133">
        <f t="shared" ca="1" si="3"/>
        <v>3.79346925395468E-3</v>
      </c>
      <c r="D55" s="133">
        <f t="shared" ca="1" si="3"/>
        <v>3.79346925395468E-3</v>
      </c>
      <c r="E55" s="133">
        <f t="shared" ca="1" si="3"/>
        <v>3.79346925395468E-3</v>
      </c>
      <c r="F55" s="551" t="s">
        <v>336</v>
      </c>
      <c r="G55" s="575">
        <f t="shared" ca="1" si="4"/>
        <v>3.79346925395468E-3</v>
      </c>
      <c r="H55" s="575">
        <f t="shared" ca="1" si="4"/>
        <v>3.79346925395468E-3</v>
      </c>
      <c r="I55" s="574" t="s">
        <v>336</v>
      </c>
      <c r="J55" s="133">
        <f t="shared" ca="1" si="5"/>
        <v>3.5627662694776496E-4</v>
      </c>
      <c r="K55" s="133">
        <f t="shared" ca="1" si="5"/>
        <v>3.5627662694776496E-4</v>
      </c>
      <c r="L55" s="133">
        <f t="shared" ca="1" si="5"/>
        <v>3.5627662694776496E-4</v>
      </c>
      <c r="M55" s="551" t="s">
        <v>336</v>
      </c>
      <c r="N55" s="575">
        <f t="shared" ca="1" si="6"/>
        <v>3.5627662694776496E-4</v>
      </c>
      <c r="O55" s="575">
        <f t="shared" ca="1" si="6"/>
        <v>3.5627662694776496E-4</v>
      </c>
      <c r="P55" s="574" t="s">
        <v>336</v>
      </c>
      <c r="Q55" s="45">
        <f t="shared" ca="1" si="7"/>
        <v>1230.5623388370527</v>
      </c>
      <c r="R55" s="45">
        <f t="shared" ca="1" si="7"/>
        <v>1230.5623388370527</v>
      </c>
      <c r="S55" s="45">
        <f t="shared" ca="1" si="7"/>
        <v>1230.5623388370527</v>
      </c>
      <c r="T55" s="581" t="s">
        <v>336</v>
      </c>
      <c r="U55" s="573">
        <f t="shared" ca="1" si="8"/>
        <v>1230.5623388370527</v>
      </c>
      <c r="V55" s="573">
        <f t="shared" ca="1" si="8"/>
        <v>1230.5623388370527</v>
      </c>
      <c r="W55" s="574" t="s">
        <v>336</v>
      </c>
    </row>
    <row r="56" spans="1:23" x14ac:dyDescent="0.25">
      <c r="A56" s="812" t="str">
        <f t="shared" si="9"/>
        <v>FB</v>
      </c>
      <c r="B56" s="812" t="s">
        <v>151</v>
      </c>
      <c r="C56" s="133">
        <f t="shared" ref="C56:E59" ca="1" si="10">C22*C$32/C$26</f>
        <v>3.6847969552067809E-2</v>
      </c>
      <c r="D56" s="133">
        <f t="shared" ca="1" si="10"/>
        <v>3.6847969552067809E-2</v>
      </c>
      <c r="E56" s="133">
        <f t="shared" ca="1" si="10"/>
        <v>3.6847969552067809E-2</v>
      </c>
      <c r="F56" s="551" t="s">
        <v>336</v>
      </c>
      <c r="G56" s="575">
        <f t="shared" ref="G56:H59" ca="1" si="11">G22*G$32/G$26</f>
        <v>3.6847969552067809E-2</v>
      </c>
      <c r="H56" s="575">
        <f t="shared" ca="1" si="11"/>
        <v>3.6847969552067809E-2</v>
      </c>
      <c r="I56" s="574" t="s">
        <v>336</v>
      </c>
      <c r="J56" s="133">
        <f t="shared" ref="J56:L59" ca="1" si="12">J22*J$32/J$26</f>
        <v>5.102262947397835E-2</v>
      </c>
      <c r="K56" s="133">
        <f t="shared" ca="1" si="12"/>
        <v>5.102262947397835E-2</v>
      </c>
      <c r="L56" s="133">
        <f t="shared" ca="1" si="12"/>
        <v>5.102262947397835E-2</v>
      </c>
      <c r="M56" s="551" t="s">
        <v>336</v>
      </c>
      <c r="N56" s="575">
        <f t="shared" ref="N56:O59" ca="1" si="13">N22*N$32/N$26</f>
        <v>5.102262947397835E-2</v>
      </c>
      <c r="O56" s="575">
        <f t="shared" ca="1" si="13"/>
        <v>5.102262947397835E-2</v>
      </c>
      <c r="P56" s="574" t="s">
        <v>336</v>
      </c>
      <c r="Q56" s="45">
        <f t="shared" ref="Q56:S59" ca="1" si="14">Q22*Q$32/Q$26</f>
        <v>170.26483873896379</v>
      </c>
      <c r="R56" s="45">
        <f t="shared" ca="1" si="14"/>
        <v>170.26483873896379</v>
      </c>
      <c r="S56" s="45">
        <f t="shared" ca="1" si="14"/>
        <v>170.26483873896379</v>
      </c>
      <c r="T56" s="581" t="s">
        <v>336</v>
      </c>
      <c r="U56" s="573">
        <f t="shared" ref="U56:V59" ca="1" si="15">U22*U$32/U$26</f>
        <v>170.26483873896379</v>
      </c>
      <c r="V56" s="573">
        <f t="shared" ca="1" si="15"/>
        <v>170.26483873896379</v>
      </c>
      <c r="W56" s="574" t="s">
        <v>336</v>
      </c>
    </row>
    <row r="57" spans="1:23" x14ac:dyDescent="0.25">
      <c r="A57" s="812" t="str">
        <f t="shared" si="9"/>
        <v>FB</v>
      </c>
      <c r="B57" s="812" t="s">
        <v>152</v>
      </c>
      <c r="C57" s="133">
        <f t="shared" ca="1" si="10"/>
        <v>9.899980036150921E-5</v>
      </c>
      <c r="D57" s="133">
        <f t="shared" ca="1" si="10"/>
        <v>9.899980036150921E-5</v>
      </c>
      <c r="E57" s="133">
        <f t="shared" ca="1" si="10"/>
        <v>9.899980036150921E-5</v>
      </c>
      <c r="F57" s="551" t="s">
        <v>336</v>
      </c>
      <c r="G57" s="575">
        <f t="shared" ca="1" si="11"/>
        <v>9.899980036150921E-5</v>
      </c>
      <c r="H57" s="575">
        <f t="shared" ca="1" si="11"/>
        <v>9.899980036150921E-5</v>
      </c>
      <c r="I57" s="574" t="s">
        <v>336</v>
      </c>
      <c r="J57" s="133">
        <f t="shared" ca="1" si="12"/>
        <v>1.3708299787605665E-4</v>
      </c>
      <c r="K57" s="133">
        <f t="shared" ca="1" si="12"/>
        <v>1.3708299787605665E-4</v>
      </c>
      <c r="L57" s="133">
        <f t="shared" ca="1" si="12"/>
        <v>1.3708299787605665E-4</v>
      </c>
      <c r="M57" s="551" t="s">
        <v>336</v>
      </c>
      <c r="N57" s="575">
        <f t="shared" ca="1" si="13"/>
        <v>1.3708299787605665E-4</v>
      </c>
      <c r="O57" s="575">
        <f t="shared" ca="1" si="13"/>
        <v>1.3708299787605665E-4</v>
      </c>
      <c r="P57" s="574" t="s">
        <v>336</v>
      </c>
      <c r="Q57" s="45">
        <f t="shared" ca="1" si="14"/>
        <v>6.9156848686084578</v>
      </c>
      <c r="R57" s="45">
        <f t="shared" ca="1" si="14"/>
        <v>6.9156848686084578</v>
      </c>
      <c r="S57" s="45">
        <f t="shared" ca="1" si="14"/>
        <v>6.9156848686084578</v>
      </c>
      <c r="T57" s="581" t="s">
        <v>336</v>
      </c>
      <c r="U57" s="573">
        <f t="shared" ca="1" si="15"/>
        <v>6.9156848686084578</v>
      </c>
      <c r="V57" s="573">
        <f t="shared" ca="1" si="15"/>
        <v>6.9156848686084578</v>
      </c>
      <c r="W57" s="574" t="s">
        <v>336</v>
      </c>
    </row>
    <row r="58" spans="1:23" x14ac:dyDescent="0.25">
      <c r="A58" s="812" t="str">
        <f t="shared" si="9"/>
        <v>FB</v>
      </c>
      <c r="B58" s="812" t="s">
        <v>153</v>
      </c>
      <c r="C58" s="133">
        <f t="shared" ca="1" si="10"/>
        <v>9.6974019368797253E-5</v>
      </c>
      <c r="D58" s="133">
        <f t="shared" ca="1" si="10"/>
        <v>9.6974019368797253E-5</v>
      </c>
      <c r="E58" s="133">
        <f t="shared" ca="1" si="10"/>
        <v>9.6974019368797253E-5</v>
      </c>
      <c r="F58" s="551" t="s">
        <v>336</v>
      </c>
      <c r="G58" s="575">
        <f t="shared" ca="1" si="11"/>
        <v>9.6974019368797253E-5</v>
      </c>
      <c r="H58" s="575">
        <f t="shared" ca="1" si="11"/>
        <v>9.6974019368797253E-5</v>
      </c>
      <c r="I58" s="574" t="s">
        <v>336</v>
      </c>
      <c r="J58" s="133">
        <f t="shared" ca="1" si="12"/>
        <v>3.3744787291604194E-6</v>
      </c>
      <c r="K58" s="133">
        <f t="shared" ca="1" si="12"/>
        <v>3.3744787291604194E-6</v>
      </c>
      <c r="L58" s="133">
        <f t="shared" ca="1" si="12"/>
        <v>3.3744787291604194E-6</v>
      </c>
      <c r="M58" s="551" t="s">
        <v>336</v>
      </c>
      <c r="N58" s="575">
        <f t="shared" ca="1" si="13"/>
        <v>3.3744787291604194E-6</v>
      </c>
      <c r="O58" s="575">
        <f t="shared" ca="1" si="13"/>
        <v>3.3744787291604194E-6</v>
      </c>
      <c r="P58" s="574" t="s">
        <v>336</v>
      </c>
      <c r="Q58" s="45">
        <f t="shared" ca="1" si="14"/>
        <v>3.6085677057066894</v>
      </c>
      <c r="R58" s="45">
        <f t="shared" ca="1" si="14"/>
        <v>3.6085677057066894</v>
      </c>
      <c r="S58" s="45">
        <f t="shared" ca="1" si="14"/>
        <v>3.6085677057066894</v>
      </c>
      <c r="T58" s="581" t="s">
        <v>336</v>
      </c>
      <c r="U58" s="573">
        <f t="shared" ca="1" si="15"/>
        <v>3.6085677057066894</v>
      </c>
      <c r="V58" s="573">
        <f t="shared" ca="1" si="15"/>
        <v>3.6085677057066894</v>
      </c>
      <c r="W58" s="574" t="s">
        <v>336</v>
      </c>
    </row>
    <row r="59" spans="1:23" x14ac:dyDescent="0.25">
      <c r="A59" s="813" t="str">
        <f>A56</f>
        <v>FB</v>
      </c>
      <c r="B59" s="813" t="s">
        <v>154</v>
      </c>
      <c r="C59" s="135">
        <f t="shared" ca="1" si="10"/>
        <v>8.9027073971238756E-4</v>
      </c>
      <c r="D59" s="135">
        <f t="shared" ca="1" si="10"/>
        <v>8.9027073971238756E-4</v>
      </c>
      <c r="E59" s="135">
        <f t="shared" ca="1" si="10"/>
        <v>8.9027073971238756E-4</v>
      </c>
      <c r="F59" s="580" t="s">
        <v>336</v>
      </c>
      <c r="G59" s="579">
        <f t="shared" ca="1" si="11"/>
        <v>8.9027073971238756E-4</v>
      </c>
      <c r="H59" s="579">
        <f t="shared" ca="1" si="11"/>
        <v>8.9027073971238756E-4</v>
      </c>
      <c r="I59" s="576" t="s">
        <v>336</v>
      </c>
      <c r="J59" s="135">
        <f t="shared" ca="1" si="12"/>
        <v>7.5227409567755052E-3</v>
      </c>
      <c r="K59" s="135">
        <f t="shared" ca="1" si="12"/>
        <v>7.5227409567755052E-3</v>
      </c>
      <c r="L59" s="135">
        <f t="shared" ca="1" si="12"/>
        <v>7.5227409567755052E-3</v>
      </c>
      <c r="M59" s="580" t="s">
        <v>336</v>
      </c>
      <c r="N59" s="579">
        <f t="shared" ca="1" si="13"/>
        <v>7.5227409567755052E-3</v>
      </c>
      <c r="O59" s="579">
        <f t="shared" ca="1" si="13"/>
        <v>7.5227409567755052E-3</v>
      </c>
      <c r="P59" s="576" t="s">
        <v>336</v>
      </c>
      <c r="Q59" s="88">
        <f t="shared" ca="1" si="14"/>
        <v>57.548491458166637</v>
      </c>
      <c r="R59" s="88">
        <f t="shared" ca="1" si="14"/>
        <v>57.548491458166637</v>
      </c>
      <c r="S59" s="88">
        <f t="shared" ca="1" si="14"/>
        <v>57.548491458166637</v>
      </c>
      <c r="T59" s="578" t="s">
        <v>336</v>
      </c>
      <c r="U59" s="577">
        <f t="shared" ca="1" si="15"/>
        <v>57.548491458166637</v>
      </c>
      <c r="V59" s="577">
        <f t="shared" ca="1" si="15"/>
        <v>57.548491458166637</v>
      </c>
      <c r="W59" s="576" t="s">
        <v>336</v>
      </c>
    </row>
    <row r="60" spans="1:23" x14ac:dyDescent="0.25">
      <c r="A60" s="82" t="s">
        <v>754</v>
      </c>
      <c r="B60" s="812" t="s">
        <v>137</v>
      </c>
      <c r="C60" s="133">
        <f t="shared" ref="C60:E75" ca="1" si="16">C6*C$33/C$26</f>
        <v>0.29074642159774994</v>
      </c>
      <c r="D60" s="575">
        <f t="shared" ca="1" si="16"/>
        <v>0.29074642159774994</v>
      </c>
      <c r="E60" s="575">
        <f t="shared" ca="1" si="16"/>
        <v>0.29074642159774994</v>
      </c>
      <c r="F60" s="574" t="s">
        <v>336</v>
      </c>
      <c r="G60" s="133">
        <f t="shared" ref="G60:H75" ca="1" si="17">G6*G$33/G$26</f>
        <v>0.29074642159774994</v>
      </c>
      <c r="H60" s="133">
        <f t="shared" ca="1" si="17"/>
        <v>0.29074642159774994</v>
      </c>
      <c r="I60" s="551" t="s">
        <v>336</v>
      </c>
      <c r="J60" s="575">
        <f t="shared" ref="J60:L75" ca="1" si="18">J6*J$33/J$26</f>
        <v>2.4473462926770553E-3</v>
      </c>
      <c r="K60" s="575">
        <f t="shared" ca="1" si="18"/>
        <v>2.4473462926770553E-3</v>
      </c>
      <c r="L60" s="575">
        <f t="shared" ca="1" si="18"/>
        <v>2.4473462926770553E-3</v>
      </c>
      <c r="M60" s="574" t="s">
        <v>336</v>
      </c>
      <c r="N60" s="133">
        <f t="shared" ref="N60:O75" ca="1" si="19">N6*N$33/N$26</f>
        <v>2.4473462926770553E-3</v>
      </c>
      <c r="O60" s="133">
        <f t="shared" ca="1" si="19"/>
        <v>2.4473462926770553E-3</v>
      </c>
      <c r="P60" s="551" t="s">
        <v>336</v>
      </c>
      <c r="Q60" s="573">
        <f t="shared" ref="Q60:S75" ca="1" si="20">Q6*Q$33/Q$26</f>
        <v>186.8895264473768</v>
      </c>
      <c r="R60" s="573">
        <f t="shared" ca="1" si="20"/>
        <v>186.8895264473768</v>
      </c>
      <c r="S60" s="573">
        <f t="shared" ca="1" si="20"/>
        <v>186.8895264473768</v>
      </c>
      <c r="T60" s="572" t="s">
        <v>336</v>
      </c>
      <c r="U60" s="45">
        <f t="shared" ref="U60:V75" ca="1" si="21">U6*U$33/U$26</f>
        <v>186.8895264473768</v>
      </c>
      <c r="V60" s="45">
        <f t="shared" ca="1" si="21"/>
        <v>186.8895264473768</v>
      </c>
      <c r="W60" s="551" t="s">
        <v>336</v>
      </c>
    </row>
    <row r="61" spans="1:23" x14ac:dyDescent="0.25">
      <c r="A61" s="812" t="str">
        <f t="shared" ref="A61:A78" si="22">A60</f>
        <v>NP</v>
      </c>
      <c r="B61" s="812" t="s">
        <v>138</v>
      </c>
      <c r="C61" s="133">
        <f t="shared" ca="1" si="16"/>
        <v>2.2691032989769089E-2</v>
      </c>
      <c r="D61" s="575">
        <f t="shared" ca="1" si="16"/>
        <v>2.2691032989769089E-2</v>
      </c>
      <c r="E61" s="575">
        <f t="shared" ca="1" si="16"/>
        <v>2.2691032989769089E-2</v>
      </c>
      <c r="F61" s="574" t="s">
        <v>336</v>
      </c>
      <c r="G61" s="133">
        <f t="shared" ca="1" si="17"/>
        <v>2.2691032989769089E-2</v>
      </c>
      <c r="H61" s="133">
        <f t="shared" ca="1" si="17"/>
        <v>2.2691032989769089E-2</v>
      </c>
      <c r="I61" s="551" t="s">
        <v>336</v>
      </c>
      <c r="J61" s="575">
        <f t="shared" ca="1" si="18"/>
        <v>2.1596828839182567E-4</v>
      </c>
      <c r="K61" s="575">
        <f t="shared" ca="1" si="18"/>
        <v>2.1596828839182567E-4</v>
      </c>
      <c r="L61" s="575">
        <f t="shared" ca="1" si="18"/>
        <v>2.1596828839182567E-4</v>
      </c>
      <c r="M61" s="574" t="s">
        <v>336</v>
      </c>
      <c r="N61" s="133">
        <f t="shared" ca="1" si="19"/>
        <v>2.1596828839182567E-4</v>
      </c>
      <c r="O61" s="133">
        <f t="shared" ca="1" si="19"/>
        <v>2.1596828839182567E-4</v>
      </c>
      <c r="P61" s="551" t="s">
        <v>336</v>
      </c>
      <c r="Q61" s="573">
        <f t="shared" ca="1" si="20"/>
        <v>16.489297098346057</v>
      </c>
      <c r="R61" s="573">
        <f t="shared" ca="1" si="20"/>
        <v>16.489297098346057</v>
      </c>
      <c r="S61" s="573">
        <f t="shared" ca="1" si="20"/>
        <v>16.489297098346057</v>
      </c>
      <c r="T61" s="572" t="s">
        <v>336</v>
      </c>
      <c r="U61" s="45">
        <f t="shared" ca="1" si="21"/>
        <v>16.489297098346057</v>
      </c>
      <c r="V61" s="45">
        <f t="shared" ca="1" si="21"/>
        <v>16.489297098346057</v>
      </c>
      <c r="W61" s="551" t="s">
        <v>336</v>
      </c>
    </row>
    <row r="62" spans="1:23" x14ac:dyDescent="0.25">
      <c r="A62" s="812" t="str">
        <f t="shared" si="22"/>
        <v>NP</v>
      </c>
      <c r="B62" s="812" t="s">
        <v>139</v>
      </c>
      <c r="C62" s="133">
        <f t="shared" ca="1" si="16"/>
        <v>1.8734929758815327E-2</v>
      </c>
      <c r="D62" s="575">
        <f t="shared" ca="1" si="16"/>
        <v>1.8734929758815327E-2</v>
      </c>
      <c r="E62" s="575">
        <f t="shared" ca="1" si="16"/>
        <v>1.8734929758815327E-2</v>
      </c>
      <c r="F62" s="574" t="s">
        <v>336</v>
      </c>
      <c r="G62" s="133">
        <f t="shared" ca="1" si="17"/>
        <v>1.8734929758815327E-2</v>
      </c>
      <c r="H62" s="133">
        <f t="shared" ca="1" si="17"/>
        <v>1.8734929758815327E-2</v>
      </c>
      <c r="I62" s="551" t="s">
        <v>336</v>
      </c>
      <c r="J62" s="575">
        <f t="shared" ca="1" si="18"/>
        <v>4.5470315622874987E-4</v>
      </c>
      <c r="K62" s="575">
        <f t="shared" ca="1" si="18"/>
        <v>4.5470315622874987E-4</v>
      </c>
      <c r="L62" s="575">
        <f t="shared" ca="1" si="18"/>
        <v>4.5470315622874987E-4</v>
      </c>
      <c r="M62" s="574" t="s">
        <v>336</v>
      </c>
      <c r="N62" s="133">
        <f t="shared" ca="1" si="19"/>
        <v>4.5470315622874987E-4</v>
      </c>
      <c r="O62" s="133">
        <f t="shared" ca="1" si="19"/>
        <v>4.5470315622874987E-4</v>
      </c>
      <c r="P62" s="551" t="s">
        <v>336</v>
      </c>
      <c r="Q62" s="573">
        <f t="shared" ca="1" si="20"/>
        <v>34.716835005927194</v>
      </c>
      <c r="R62" s="573">
        <f t="shared" ca="1" si="20"/>
        <v>34.716835005927194</v>
      </c>
      <c r="S62" s="573">
        <f t="shared" ca="1" si="20"/>
        <v>34.716835005927194</v>
      </c>
      <c r="T62" s="572" t="s">
        <v>336</v>
      </c>
      <c r="U62" s="45">
        <f t="shared" ca="1" si="21"/>
        <v>34.716835005927194</v>
      </c>
      <c r="V62" s="45">
        <f t="shared" ca="1" si="21"/>
        <v>34.716835005927194</v>
      </c>
      <c r="W62" s="551" t="s">
        <v>336</v>
      </c>
    </row>
    <row r="63" spans="1:23" x14ac:dyDescent="0.25">
      <c r="A63" s="812" t="str">
        <f t="shared" si="22"/>
        <v>NP</v>
      </c>
      <c r="B63" s="812" t="s">
        <v>140</v>
      </c>
      <c r="C63" s="133">
        <f t="shared" ca="1" si="16"/>
        <v>1.2219782736425768E-2</v>
      </c>
      <c r="D63" s="575">
        <f t="shared" ca="1" si="16"/>
        <v>1.2219782736425768E-2</v>
      </c>
      <c r="E63" s="575">
        <f t="shared" ca="1" si="16"/>
        <v>1.2219782736425768E-2</v>
      </c>
      <c r="F63" s="574" t="s">
        <v>336</v>
      </c>
      <c r="G63" s="133">
        <f t="shared" ca="1" si="17"/>
        <v>1.2219782736425768E-2</v>
      </c>
      <c r="H63" s="133">
        <f t="shared" ca="1" si="17"/>
        <v>1.2219782736425768E-2</v>
      </c>
      <c r="I63" s="551" t="s">
        <v>336</v>
      </c>
      <c r="J63" s="575">
        <f t="shared" ca="1" si="18"/>
        <v>2.7376459250817888E-4</v>
      </c>
      <c r="K63" s="575">
        <f t="shared" ca="1" si="18"/>
        <v>2.7376459250817888E-4</v>
      </c>
      <c r="L63" s="575">
        <f t="shared" ca="1" si="18"/>
        <v>2.7376459250817888E-4</v>
      </c>
      <c r="M63" s="574" t="s">
        <v>336</v>
      </c>
      <c r="N63" s="133">
        <f t="shared" ca="1" si="19"/>
        <v>2.7376459250817888E-4</v>
      </c>
      <c r="O63" s="133">
        <f t="shared" ca="1" si="19"/>
        <v>2.7376459250817888E-4</v>
      </c>
      <c r="P63" s="551" t="s">
        <v>336</v>
      </c>
      <c r="Q63" s="573">
        <f t="shared" ca="1" si="20"/>
        <v>20.9020765710058</v>
      </c>
      <c r="R63" s="573">
        <f t="shared" ca="1" si="20"/>
        <v>20.9020765710058</v>
      </c>
      <c r="S63" s="573">
        <f t="shared" ca="1" si="20"/>
        <v>20.9020765710058</v>
      </c>
      <c r="T63" s="572" t="s">
        <v>336</v>
      </c>
      <c r="U63" s="45">
        <f t="shared" ca="1" si="21"/>
        <v>20.9020765710058</v>
      </c>
      <c r="V63" s="45">
        <f t="shared" ca="1" si="21"/>
        <v>20.9020765710058</v>
      </c>
      <c r="W63" s="551" t="s">
        <v>336</v>
      </c>
    </row>
    <row r="64" spans="1:23" x14ac:dyDescent="0.25">
      <c r="A64" s="812" t="str">
        <f t="shared" si="22"/>
        <v>NP</v>
      </c>
      <c r="B64" s="812" t="s">
        <v>141</v>
      </c>
      <c r="C64" s="133">
        <f t="shared" ca="1" si="16"/>
        <v>0.18272438076773784</v>
      </c>
      <c r="D64" s="575">
        <f t="shared" ca="1" si="16"/>
        <v>0.18272438076773784</v>
      </c>
      <c r="E64" s="575">
        <f t="shared" ca="1" si="16"/>
        <v>0.18272438076773784</v>
      </c>
      <c r="F64" s="574" t="s">
        <v>336</v>
      </c>
      <c r="G64" s="133">
        <f t="shared" ca="1" si="17"/>
        <v>0.18272438076773784</v>
      </c>
      <c r="H64" s="133">
        <f t="shared" ca="1" si="17"/>
        <v>0.18272438076773784</v>
      </c>
      <c r="I64" s="551" t="s">
        <v>336</v>
      </c>
      <c r="J64" s="575">
        <f t="shared" ca="1" si="18"/>
        <v>4.3829081031009978E-3</v>
      </c>
      <c r="K64" s="575">
        <f t="shared" ca="1" si="18"/>
        <v>4.3829081031009978E-3</v>
      </c>
      <c r="L64" s="575">
        <f t="shared" ca="1" si="18"/>
        <v>4.3829081031009978E-3</v>
      </c>
      <c r="M64" s="574" t="s">
        <v>336</v>
      </c>
      <c r="N64" s="133">
        <f t="shared" ca="1" si="19"/>
        <v>4.3829081031009978E-3</v>
      </c>
      <c r="O64" s="133">
        <f t="shared" ca="1" si="19"/>
        <v>4.3829081031009978E-3</v>
      </c>
      <c r="P64" s="551" t="s">
        <v>336</v>
      </c>
      <c r="Q64" s="573">
        <f t="shared" ca="1" si="20"/>
        <v>334.63743406467682</v>
      </c>
      <c r="R64" s="573">
        <f t="shared" ca="1" si="20"/>
        <v>334.63743406467682</v>
      </c>
      <c r="S64" s="573">
        <f t="shared" ca="1" si="20"/>
        <v>334.63743406467682</v>
      </c>
      <c r="T64" s="572" t="s">
        <v>336</v>
      </c>
      <c r="U64" s="45">
        <f t="shared" ca="1" si="21"/>
        <v>334.63743406467682</v>
      </c>
      <c r="V64" s="45">
        <f t="shared" ca="1" si="21"/>
        <v>334.63743406467682</v>
      </c>
      <c r="W64" s="551" t="s">
        <v>336</v>
      </c>
    </row>
    <row r="65" spans="1:23" x14ac:dyDescent="0.25">
      <c r="A65" s="812" t="str">
        <f t="shared" si="22"/>
        <v>NP</v>
      </c>
      <c r="B65" s="812" t="s">
        <v>142</v>
      </c>
      <c r="C65" s="133">
        <f t="shared" ca="1" si="16"/>
        <v>0.25110151718697638</v>
      </c>
      <c r="D65" s="575">
        <f t="shared" ca="1" si="16"/>
        <v>0.25110151718697638</v>
      </c>
      <c r="E65" s="575">
        <f t="shared" ca="1" si="16"/>
        <v>0.25110151718697638</v>
      </c>
      <c r="F65" s="574" t="s">
        <v>336</v>
      </c>
      <c r="G65" s="133">
        <f t="shared" ca="1" si="17"/>
        <v>0.25110151718697638</v>
      </c>
      <c r="H65" s="133">
        <f t="shared" ca="1" si="17"/>
        <v>0.25110151718697638</v>
      </c>
      <c r="I65" s="551" t="s">
        <v>336</v>
      </c>
      <c r="J65" s="575">
        <f t="shared" ca="1" si="18"/>
        <v>9.2278461934415055E-3</v>
      </c>
      <c r="K65" s="575">
        <f t="shared" ca="1" si="18"/>
        <v>9.2278461934415055E-3</v>
      </c>
      <c r="L65" s="575">
        <f t="shared" ca="1" si="18"/>
        <v>9.2278461934415055E-3</v>
      </c>
      <c r="M65" s="574" t="s">
        <v>336</v>
      </c>
      <c r="N65" s="133">
        <f t="shared" ca="1" si="19"/>
        <v>9.2278461934415055E-3</v>
      </c>
      <c r="O65" s="133">
        <f t="shared" ca="1" si="19"/>
        <v>9.2278461934415055E-3</v>
      </c>
      <c r="P65" s="551" t="s">
        <v>336</v>
      </c>
      <c r="Q65" s="573">
        <f t="shared" ca="1" si="20"/>
        <v>704.55111069564748</v>
      </c>
      <c r="R65" s="573">
        <f t="shared" ca="1" si="20"/>
        <v>704.55111069564748</v>
      </c>
      <c r="S65" s="573">
        <f t="shared" ca="1" si="20"/>
        <v>704.55111069564748</v>
      </c>
      <c r="T65" s="572" t="s">
        <v>336</v>
      </c>
      <c r="U65" s="45">
        <f t="shared" ca="1" si="21"/>
        <v>704.55111069564748</v>
      </c>
      <c r="V65" s="45">
        <f t="shared" ca="1" si="21"/>
        <v>704.55111069564748</v>
      </c>
      <c r="W65" s="551" t="s">
        <v>336</v>
      </c>
    </row>
    <row r="66" spans="1:23" x14ac:dyDescent="0.25">
      <c r="A66" s="812" t="str">
        <f t="shared" si="22"/>
        <v>NP</v>
      </c>
      <c r="B66" s="812" t="s">
        <v>143</v>
      </c>
      <c r="C66" s="133">
        <f t="shared" ca="1" si="16"/>
        <v>0.16774933395092273</v>
      </c>
      <c r="D66" s="575">
        <f t="shared" ca="1" si="16"/>
        <v>0.16774933395092273</v>
      </c>
      <c r="E66" s="575">
        <f t="shared" ca="1" si="16"/>
        <v>0.16774933395092273</v>
      </c>
      <c r="F66" s="574" t="s">
        <v>336</v>
      </c>
      <c r="G66" s="133">
        <f t="shared" ca="1" si="17"/>
        <v>0.16774933395092273</v>
      </c>
      <c r="H66" s="133">
        <f t="shared" ca="1" si="17"/>
        <v>0.16774933395092273</v>
      </c>
      <c r="I66" s="551" t="s">
        <v>336</v>
      </c>
      <c r="J66" s="575">
        <f t="shared" ca="1" si="18"/>
        <v>5.5558390529507696E-3</v>
      </c>
      <c r="K66" s="575">
        <f t="shared" ca="1" si="18"/>
        <v>5.5558390529507696E-3</v>
      </c>
      <c r="L66" s="575">
        <f t="shared" ca="1" si="18"/>
        <v>5.5558390529507696E-3</v>
      </c>
      <c r="M66" s="574" t="s">
        <v>336</v>
      </c>
      <c r="N66" s="133">
        <f t="shared" ca="1" si="19"/>
        <v>5.5558390529507696E-3</v>
      </c>
      <c r="O66" s="133">
        <f t="shared" ca="1" si="19"/>
        <v>5.5558390529507696E-3</v>
      </c>
      <c r="P66" s="551" t="s">
        <v>336</v>
      </c>
      <c r="Q66" s="573">
        <f t="shared" ca="1" si="20"/>
        <v>424.19135446630816</v>
      </c>
      <c r="R66" s="573">
        <f t="shared" ca="1" si="20"/>
        <v>424.19135446630816</v>
      </c>
      <c r="S66" s="573">
        <f t="shared" ca="1" si="20"/>
        <v>424.19135446630816</v>
      </c>
      <c r="T66" s="572" t="s">
        <v>336</v>
      </c>
      <c r="U66" s="45">
        <f t="shared" ca="1" si="21"/>
        <v>424.19135446630816</v>
      </c>
      <c r="V66" s="45">
        <f t="shared" ca="1" si="21"/>
        <v>424.19135446630816</v>
      </c>
      <c r="W66" s="551" t="s">
        <v>336</v>
      </c>
    </row>
    <row r="67" spans="1:23" x14ac:dyDescent="0.25">
      <c r="A67" s="812" t="str">
        <f t="shared" si="22"/>
        <v>NP</v>
      </c>
      <c r="B67" s="812" t="s">
        <v>144</v>
      </c>
      <c r="C67" s="133">
        <f t="shared" ca="1" si="16"/>
        <v>6.1897312866083052E-3</v>
      </c>
      <c r="D67" s="575">
        <f t="shared" ca="1" si="16"/>
        <v>6.1897312866083052E-3</v>
      </c>
      <c r="E67" s="575">
        <f t="shared" ca="1" si="16"/>
        <v>6.1897312866083052E-3</v>
      </c>
      <c r="F67" s="574" t="s">
        <v>336</v>
      </c>
      <c r="G67" s="133">
        <f t="shared" ca="1" si="17"/>
        <v>6.1897312866083052E-3</v>
      </c>
      <c r="H67" s="133">
        <f t="shared" ca="1" si="17"/>
        <v>6.1897312866083052E-3</v>
      </c>
      <c r="I67" s="551" t="s">
        <v>336</v>
      </c>
      <c r="J67" s="575">
        <f t="shared" ca="1" si="18"/>
        <v>4.8722236675287215E-4</v>
      </c>
      <c r="K67" s="575">
        <f t="shared" ca="1" si="18"/>
        <v>4.8722236675287215E-4</v>
      </c>
      <c r="L67" s="575">
        <f t="shared" ca="1" si="18"/>
        <v>4.8722236675287215E-4</v>
      </c>
      <c r="M67" s="574" t="s">
        <v>336</v>
      </c>
      <c r="N67" s="133">
        <f t="shared" ca="1" si="19"/>
        <v>4.8722236675287215E-4</v>
      </c>
      <c r="O67" s="133">
        <f t="shared" ca="1" si="19"/>
        <v>4.8722236675287215E-4</v>
      </c>
      <c r="P67" s="551" t="s">
        <v>336</v>
      </c>
      <c r="Q67" s="573">
        <f t="shared" ca="1" si="20"/>
        <v>44.423267256601996</v>
      </c>
      <c r="R67" s="573">
        <f t="shared" ca="1" si="20"/>
        <v>44.423267256601996</v>
      </c>
      <c r="S67" s="573">
        <f t="shared" ca="1" si="20"/>
        <v>44.423267256601996</v>
      </c>
      <c r="T67" s="572" t="s">
        <v>336</v>
      </c>
      <c r="U67" s="45">
        <f t="shared" ca="1" si="21"/>
        <v>44.423267256601996</v>
      </c>
      <c r="V67" s="45">
        <f t="shared" ca="1" si="21"/>
        <v>44.423267256601996</v>
      </c>
      <c r="W67" s="551" t="s">
        <v>336</v>
      </c>
    </row>
    <row r="68" spans="1:23" x14ac:dyDescent="0.25">
      <c r="A68" s="812" t="str">
        <f t="shared" si="22"/>
        <v>NP</v>
      </c>
      <c r="B68" s="812" t="s">
        <v>145</v>
      </c>
      <c r="C68" s="133">
        <f t="shared" ca="1" si="16"/>
        <v>2.0878155997891161E-2</v>
      </c>
      <c r="D68" s="575">
        <f t="shared" ca="1" si="16"/>
        <v>2.0878155997891161E-2</v>
      </c>
      <c r="E68" s="575">
        <f t="shared" ca="1" si="16"/>
        <v>2.0878155997891161E-2</v>
      </c>
      <c r="F68" s="574" t="s">
        <v>336</v>
      </c>
      <c r="G68" s="133">
        <f t="shared" ca="1" si="17"/>
        <v>2.0878155997891161E-2</v>
      </c>
      <c r="H68" s="133">
        <f t="shared" ca="1" si="17"/>
        <v>2.0878155997891161E-2</v>
      </c>
      <c r="I68" s="551" t="s">
        <v>336</v>
      </c>
      <c r="J68" s="575">
        <f t="shared" ca="1" si="18"/>
        <v>1.6434161852447993E-3</v>
      </c>
      <c r="K68" s="575">
        <f t="shared" ca="1" si="18"/>
        <v>1.6434161852447993E-3</v>
      </c>
      <c r="L68" s="575">
        <f t="shared" ca="1" si="18"/>
        <v>1.6434161852447993E-3</v>
      </c>
      <c r="M68" s="574" t="s">
        <v>336</v>
      </c>
      <c r="N68" s="133">
        <f t="shared" ca="1" si="19"/>
        <v>1.6434161852447993E-3</v>
      </c>
      <c r="O68" s="133">
        <f t="shared" ca="1" si="19"/>
        <v>1.6434161852447993E-3</v>
      </c>
      <c r="P68" s="551" t="s">
        <v>336</v>
      </c>
      <c r="Q68" s="573">
        <f t="shared" ca="1" si="20"/>
        <v>149.84106106931853</v>
      </c>
      <c r="R68" s="573">
        <f t="shared" ca="1" si="20"/>
        <v>149.84106106931853</v>
      </c>
      <c r="S68" s="573">
        <f t="shared" ca="1" si="20"/>
        <v>149.84106106931853</v>
      </c>
      <c r="T68" s="572" t="s">
        <v>336</v>
      </c>
      <c r="U68" s="45">
        <f t="shared" ca="1" si="21"/>
        <v>149.84106106931853</v>
      </c>
      <c r="V68" s="45">
        <f t="shared" ca="1" si="21"/>
        <v>149.84106106931853</v>
      </c>
      <c r="W68" s="551" t="s">
        <v>336</v>
      </c>
    </row>
    <row r="69" spans="1:23" x14ac:dyDescent="0.25">
      <c r="A69" s="812" t="str">
        <f t="shared" si="22"/>
        <v>NP</v>
      </c>
      <c r="B69" s="812" t="s">
        <v>146</v>
      </c>
      <c r="C69" s="133">
        <f t="shared" ca="1" si="16"/>
        <v>0.10373065380582221</v>
      </c>
      <c r="D69" s="575">
        <f t="shared" ca="1" si="16"/>
        <v>0.10373065380582221</v>
      </c>
      <c r="E69" s="575">
        <f t="shared" ca="1" si="16"/>
        <v>0.10373065380582221</v>
      </c>
      <c r="F69" s="574" t="s">
        <v>336</v>
      </c>
      <c r="G69" s="133">
        <f t="shared" ca="1" si="17"/>
        <v>0.10373065380582221</v>
      </c>
      <c r="H69" s="133">
        <f t="shared" ca="1" si="17"/>
        <v>0.10373065380582221</v>
      </c>
      <c r="I69" s="551" t="s">
        <v>336</v>
      </c>
      <c r="J69" s="575">
        <f t="shared" ca="1" si="18"/>
        <v>3.0608385082488412E-3</v>
      </c>
      <c r="K69" s="575">
        <f t="shared" ca="1" si="18"/>
        <v>3.0608385082488412E-3</v>
      </c>
      <c r="L69" s="575">
        <f t="shared" ca="1" si="18"/>
        <v>3.0608385082488412E-3</v>
      </c>
      <c r="M69" s="574" t="s">
        <v>336</v>
      </c>
      <c r="N69" s="133">
        <f t="shared" ca="1" si="19"/>
        <v>3.0608385082488412E-3</v>
      </c>
      <c r="O69" s="133">
        <f t="shared" ca="1" si="19"/>
        <v>3.0608385082488412E-3</v>
      </c>
      <c r="P69" s="551" t="s">
        <v>336</v>
      </c>
      <c r="Q69" s="573">
        <f t="shared" ca="1" si="20"/>
        <v>233.61647553463234</v>
      </c>
      <c r="R69" s="573">
        <f t="shared" ca="1" si="20"/>
        <v>233.61647553463234</v>
      </c>
      <c r="S69" s="573">
        <f t="shared" ca="1" si="20"/>
        <v>233.61647553463234</v>
      </c>
      <c r="T69" s="572" t="s">
        <v>336</v>
      </c>
      <c r="U69" s="45">
        <f t="shared" ca="1" si="21"/>
        <v>233.61647553463234</v>
      </c>
      <c r="V69" s="45">
        <f t="shared" ca="1" si="21"/>
        <v>233.61647553463234</v>
      </c>
      <c r="W69" s="551" t="s">
        <v>336</v>
      </c>
    </row>
    <row r="70" spans="1:23" x14ac:dyDescent="0.25">
      <c r="A70" s="812" t="str">
        <f t="shared" si="22"/>
        <v>NP</v>
      </c>
      <c r="B70" s="812" t="s">
        <v>568</v>
      </c>
      <c r="C70" s="133">
        <f t="shared" ca="1" si="16"/>
        <v>2.2522223277925652E-2</v>
      </c>
      <c r="D70" s="575">
        <f t="shared" ca="1" si="16"/>
        <v>2.2522223277925652E-2</v>
      </c>
      <c r="E70" s="575">
        <f t="shared" ca="1" si="16"/>
        <v>2.2522223277925652E-2</v>
      </c>
      <c r="F70" s="574" t="s">
        <v>336</v>
      </c>
      <c r="G70" s="133">
        <f t="shared" ca="1" si="17"/>
        <v>2.2522223277925652E-2</v>
      </c>
      <c r="H70" s="133">
        <f t="shared" ca="1" si="17"/>
        <v>2.2522223277925652E-2</v>
      </c>
      <c r="I70" s="551" t="s">
        <v>336</v>
      </c>
      <c r="J70" s="575">
        <f t="shared" ca="1" si="18"/>
        <v>1.0380346720150531</v>
      </c>
      <c r="K70" s="575">
        <f t="shared" ca="1" si="18"/>
        <v>1.0380346720150531</v>
      </c>
      <c r="L70" s="575">
        <f t="shared" ca="1" si="18"/>
        <v>1.0380346720150531</v>
      </c>
      <c r="M70" s="574" t="s">
        <v>336</v>
      </c>
      <c r="N70" s="133">
        <f t="shared" ca="1" si="19"/>
        <v>1.0380346720150531</v>
      </c>
      <c r="O70" s="133">
        <f t="shared" ca="1" si="19"/>
        <v>1.0380346720150531</v>
      </c>
      <c r="P70" s="551" t="s">
        <v>336</v>
      </c>
      <c r="Q70" s="573">
        <f t="shared" ca="1" si="20"/>
        <v>9168.9696885653066</v>
      </c>
      <c r="R70" s="573">
        <f t="shared" ca="1" si="20"/>
        <v>9168.9696885653066</v>
      </c>
      <c r="S70" s="573">
        <f t="shared" ca="1" si="20"/>
        <v>9168.9696885653066</v>
      </c>
      <c r="T70" s="572" t="s">
        <v>336</v>
      </c>
      <c r="U70" s="45">
        <f t="shared" ca="1" si="21"/>
        <v>9168.9696885653066</v>
      </c>
      <c r="V70" s="45">
        <f t="shared" ca="1" si="21"/>
        <v>9168.9696885653066</v>
      </c>
      <c r="W70" s="551" t="s">
        <v>336</v>
      </c>
    </row>
    <row r="71" spans="1:23" x14ac:dyDescent="0.25">
      <c r="A71" s="812" t="str">
        <f t="shared" si="22"/>
        <v>NP</v>
      </c>
      <c r="B71" s="812" t="s">
        <v>148</v>
      </c>
      <c r="C71" s="133">
        <f t="shared" ca="1" si="16"/>
        <v>7.6997414295147193E-3</v>
      </c>
      <c r="D71" s="575">
        <f t="shared" ca="1" si="16"/>
        <v>7.6997414295147193E-3</v>
      </c>
      <c r="E71" s="575">
        <f t="shared" ca="1" si="16"/>
        <v>7.6997414295147193E-3</v>
      </c>
      <c r="F71" s="574" t="s">
        <v>336</v>
      </c>
      <c r="G71" s="133">
        <f t="shared" ca="1" si="17"/>
        <v>7.6997414295147193E-3</v>
      </c>
      <c r="H71" s="133">
        <f t="shared" ca="1" si="17"/>
        <v>7.6997414295147193E-3</v>
      </c>
      <c r="I71" s="551" t="s">
        <v>336</v>
      </c>
      <c r="J71" s="575">
        <f t="shared" ca="1" si="18"/>
        <v>0.15621995234522967</v>
      </c>
      <c r="K71" s="575">
        <f t="shared" ca="1" si="18"/>
        <v>0.15621995234522967</v>
      </c>
      <c r="L71" s="575">
        <f t="shared" ca="1" si="18"/>
        <v>0.15621995234522967</v>
      </c>
      <c r="M71" s="574" t="s">
        <v>336</v>
      </c>
      <c r="N71" s="133">
        <f t="shared" ca="1" si="19"/>
        <v>0.15621995234522967</v>
      </c>
      <c r="O71" s="133">
        <f t="shared" ca="1" si="19"/>
        <v>0.15621995234522967</v>
      </c>
      <c r="P71" s="551" t="s">
        <v>336</v>
      </c>
      <c r="Q71" s="573">
        <f t="shared" ca="1" si="20"/>
        <v>3234.8055283458666</v>
      </c>
      <c r="R71" s="573">
        <f t="shared" ca="1" si="20"/>
        <v>3234.8055283458666</v>
      </c>
      <c r="S71" s="573">
        <f t="shared" ca="1" si="20"/>
        <v>3234.8055283458666</v>
      </c>
      <c r="T71" s="572" t="s">
        <v>336</v>
      </c>
      <c r="U71" s="45">
        <f t="shared" ca="1" si="21"/>
        <v>3234.8055283458666</v>
      </c>
      <c r="V71" s="45">
        <f t="shared" ca="1" si="21"/>
        <v>3234.8055283458666</v>
      </c>
      <c r="W71" s="551" t="s">
        <v>336</v>
      </c>
    </row>
    <row r="72" spans="1:23" x14ac:dyDescent="0.25">
      <c r="A72" s="812" t="str">
        <f t="shared" si="22"/>
        <v>NP</v>
      </c>
      <c r="B72" s="812" t="s">
        <v>746</v>
      </c>
      <c r="C72" s="133">
        <f t="shared" ca="1" si="16"/>
        <v>1.3481217126441991E-4</v>
      </c>
      <c r="D72" s="575">
        <f t="shared" ca="1" si="16"/>
        <v>1.3481217126441991E-4</v>
      </c>
      <c r="E72" s="575">
        <f t="shared" ca="1" si="16"/>
        <v>1.3481217126441991E-4</v>
      </c>
      <c r="F72" s="574" t="s">
        <v>336</v>
      </c>
      <c r="G72" s="133">
        <f t="shared" ca="1" si="17"/>
        <v>1.3481217126441991E-4</v>
      </c>
      <c r="H72" s="133">
        <f t="shared" ca="1" si="17"/>
        <v>1.3481217126441991E-4</v>
      </c>
      <c r="I72" s="551" t="s">
        <v>336</v>
      </c>
      <c r="J72" s="575">
        <f t="shared" ca="1" si="18"/>
        <v>7.0925574262505446E-3</v>
      </c>
      <c r="K72" s="575">
        <f t="shared" ca="1" si="18"/>
        <v>7.0925574262505446E-3</v>
      </c>
      <c r="L72" s="575">
        <f t="shared" ca="1" si="18"/>
        <v>7.0925574262505446E-3</v>
      </c>
      <c r="M72" s="574" t="s">
        <v>336</v>
      </c>
      <c r="N72" s="133">
        <f t="shared" ca="1" si="19"/>
        <v>7.0925574262505446E-3</v>
      </c>
      <c r="O72" s="133">
        <f t="shared" ca="1" si="19"/>
        <v>7.0925574262505446E-3</v>
      </c>
      <c r="P72" s="551" t="s">
        <v>336</v>
      </c>
      <c r="Q72" s="573">
        <f t="shared" ca="1" si="20"/>
        <v>63.948334714428945</v>
      </c>
      <c r="R72" s="573">
        <f t="shared" ca="1" si="20"/>
        <v>63.948334714428945</v>
      </c>
      <c r="S72" s="573">
        <f t="shared" ca="1" si="20"/>
        <v>63.948334714428945</v>
      </c>
      <c r="T72" s="572" t="s">
        <v>336</v>
      </c>
      <c r="U72" s="45">
        <f t="shared" ca="1" si="21"/>
        <v>63.948334714428945</v>
      </c>
      <c r="V72" s="45">
        <f t="shared" ca="1" si="21"/>
        <v>63.948334714428945</v>
      </c>
      <c r="W72" s="551" t="s">
        <v>336</v>
      </c>
    </row>
    <row r="73" spans="1:23" x14ac:dyDescent="0.25">
      <c r="A73" s="812" t="str">
        <f t="shared" si="22"/>
        <v>NP</v>
      </c>
      <c r="B73" s="812" t="s">
        <v>747</v>
      </c>
      <c r="C73" s="133">
        <f t="shared" ca="1" si="16"/>
        <v>5.2062913330849401E-4</v>
      </c>
      <c r="D73" s="575">
        <f t="shared" ca="1" si="16"/>
        <v>5.2062913330849401E-4</v>
      </c>
      <c r="E73" s="575">
        <f t="shared" ca="1" si="16"/>
        <v>5.2062913330849401E-4</v>
      </c>
      <c r="F73" s="574" t="s">
        <v>336</v>
      </c>
      <c r="G73" s="133">
        <f t="shared" ca="1" si="17"/>
        <v>5.2062913330849401E-4</v>
      </c>
      <c r="H73" s="133">
        <f t="shared" ca="1" si="17"/>
        <v>5.2062913330849401E-4</v>
      </c>
      <c r="I73" s="551" t="s">
        <v>336</v>
      </c>
      <c r="J73" s="575">
        <f t="shared" ca="1" si="18"/>
        <v>2.3995459283322522E-2</v>
      </c>
      <c r="K73" s="575">
        <f t="shared" ca="1" si="18"/>
        <v>2.3995459283322522E-2</v>
      </c>
      <c r="L73" s="575">
        <f t="shared" ca="1" si="18"/>
        <v>2.3995459283322522E-2</v>
      </c>
      <c r="M73" s="574" t="s">
        <v>336</v>
      </c>
      <c r="N73" s="133">
        <f t="shared" ca="1" si="19"/>
        <v>2.3995459283322522E-2</v>
      </c>
      <c r="O73" s="133">
        <f t="shared" ca="1" si="19"/>
        <v>2.3995459283322522E-2</v>
      </c>
      <c r="P73" s="551" t="s">
        <v>336</v>
      </c>
      <c r="Q73" s="573">
        <f t="shared" ca="1" si="20"/>
        <v>197.40617876413674</v>
      </c>
      <c r="R73" s="573">
        <f t="shared" ca="1" si="20"/>
        <v>197.40617876413674</v>
      </c>
      <c r="S73" s="573">
        <f t="shared" ca="1" si="20"/>
        <v>197.40617876413674</v>
      </c>
      <c r="T73" s="572" t="s">
        <v>336</v>
      </c>
      <c r="U73" s="45">
        <f t="shared" ca="1" si="21"/>
        <v>197.40617876413674</v>
      </c>
      <c r="V73" s="45">
        <f t="shared" ca="1" si="21"/>
        <v>197.40617876413674</v>
      </c>
      <c r="W73" s="551" t="s">
        <v>336</v>
      </c>
    </row>
    <row r="74" spans="1:23" x14ac:dyDescent="0.25">
      <c r="A74" s="812" t="str">
        <f t="shared" si="22"/>
        <v>NP</v>
      </c>
      <c r="B74" s="812" t="s">
        <v>149</v>
      </c>
      <c r="C74" s="133">
        <f t="shared" ca="1" si="16"/>
        <v>2.4048865920312942E-6</v>
      </c>
      <c r="D74" s="575">
        <f t="shared" ca="1" si="16"/>
        <v>2.4048865920312942E-6</v>
      </c>
      <c r="E74" s="575">
        <f t="shared" ca="1" si="16"/>
        <v>2.4048865920312942E-6</v>
      </c>
      <c r="F74" s="574" t="s">
        <v>336</v>
      </c>
      <c r="G74" s="133">
        <f t="shared" ca="1" si="17"/>
        <v>2.4048865920312942E-6</v>
      </c>
      <c r="H74" s="133">
        <f t="shared" ca="1" si="17"/>
        <v>2.4048865920312942E-6</v>
      </c>
      <c r="I74" s="551" t="s">
        <v>336</v>
      </c>
      <c r="J74" s="575">
        <f t="shared" ca="1" si="18"/>
        <v>2.1210804519877132E-5</v>
      </c>
      <c r="K74" s="575">
        <f t="shared" ca="1" si="18"/>
        <v>2.1210804519877132E-5</v>
      </c>
      <c r="L74" s="575">
        <f t="shared" ca="1" si="18"/>
        <v>2.1210804519877132E-5</v>
      </c>
      <c r="M74" s="574" t="s">
        <v>336</v>
      </c>
      <c r="N74" s="133">
        <f t="shared" ca="1" si="19"/>
        <v>2.1210804519877132E-5</v>
      </c>
      <c r="O74" s="133">
        <f t="shared" ca="1" si="19"/>
        <v>2.1210804519877132E-5</v>
      </c>
      <c r="P74" s="551" t="s">
        <v>336</v>
      </c>
      <c r="Q74" s="573">
        <f t="shared" ca="1" si="20"/>
        <v>83.011993567809455</v>
      </c>
      <c r="R74" s="573">
        <f t="shared" ca="1" si="20"/>
        <v>83.011993567809455</v>
      </c>
      <c r="S74" s="573">
        <f t="shared" ca="1" si="20"/>
        <v>83.011993567809455</v>
      </c>
      <c r="T74" s="572" t="s">
        <v>336</v>
      </c>
      <c r="U74" s="45">
        <f t="shared" ca="1" si="21"/>
        <v>83.011993567809455</v>
      </c>
      <c r="V74" s="45">
        <f t="shared" ca="1" si="21"/>
        <v>83.011993567809455</v>
      </c>
      <c r="W74" s="551" t="s">
        <v>336</v>
      </c>
    </row>
    <row r="75" spans="1:23" x14ac:dyDescent="0.25">
      <c r="A75" s="812" t="str">
        <f t="shared" si="22"/>
        <v>NP</v>
      </c>
      <c r="B75" s="812" t="s">
        <v>150</v>
      </c>
      <c r="C75" s="133">
        <f t="shared" ca="1" si="16"/>
        <v>4.1415316549867813E-3</v>
      </c>
      <c r="D75" s="575">
        <f t="shared" ca="1" si="16"/>
        <v>4.1415316549867813E-3</v>
      </c>
      <c r="E75" s="575">
        <f t="shared" ca="1" si="16"/>
        <v>4.1415316549867813E-3</v>
      </c>
      <c r="F75" s="574" t="s">
        <v>336</v>
      </c>
      <c r="G75" s="133">
        <f t="shared" ca="1" si="17"/>
        <v>4.1415316549867813E-3</v>
      </c>
      <c r="H75" s="133">
        <f t="shared" ca="1" si="17"/>
        <v>4.1415316549867813E-3</v>
      </c>
      <c r="I75" s="551" t="s">
        <v>336</v>
      </c>
      <c r="J75" s="575">
        <f t="shared" ca="1" si="18"/>
        <v>2.3806513533362818E-4</v>
      </c>
      <c r="K75" s="575">
        <f t="shared" ca="1" si="18"/>
        <v>2.3806513533362818E-4</v>
      </c>
      <c r="L75" s="575">
        <f t="shared" ca="1" si="18"/>
        <v>2.3806513533362818E-4</v>
      </c>
      <c r="M75" s="574" t="s">
        <v>336</v>
      </c>
      <c r="N75" s="133">
        <f t="shared" ca="1" si="19"/>
        <v>2.3806513533362818E-4</v>
      </c>
      <c r="O75" s="133">
        <f t="shared" ca="1" si="19"/>
        <v>2.3806513533362818E-4</v>
      </c>
      <c r="P75" s="551" t="s">
        <v>336</v>
      </c>
      <c r="Q75" s="573">
        <f t="shared" ca="1" si="20"/>
        <v>766.0706887474721</v>
      </c>
      <c r="R75" s="573">
        <f t="shared" ca="1" si="20"/>
        <v>766.0706887474721</v>
      </c>
      <c r="S75" s="573">
        <f t="shared" ca="1" si="20"/>
        <v>766.0706887474721</v>
      </c>
      <c r="T75" s="572" t="s">
        <v>336</v>
      </c>
      <c r="U75" s="45">
        <f t="shared" ca="1" si="21"/>
        <v>766.0706887474721</v>
      </c>
      <c r="V75" s="45">
        <f t="shared" ca="1" si="21"/>
        <v>766.0706887474721</v>
      </c>
      <c r="W75" s="551" t="s">
        <v>336</v>
      </c>
    </row>
    <row r="76" spans="1:23" x14ac:dyDescent="0.25">
      <c r="A76" s="812" t="str">
        <f t="shared" si="22"/>
        <v>NP</v>
      </c>
      <c r="B76" s="812" t="s">
        <v>151</v>
      </c>
      <c r="C76" s="133">
        <f t="shared" ref="C76:E79" ca="1" si="23">C22*C$33/C$26</f>
        <v>4.0228883406076263E-2</v>
      </c>
      <c r="D76" s="575">
        <f t="shared" ca="1" si="23"/>
        <v>4.0228883406076263E-2</v>
      </c>
      <c r="E76" s="575">
        <f t="shared" ca="1" si="23"/>
        <v>4.0228883406076263E-2</v>
      </c>
      <c r="F76" s="574" t="s">
        <v>336</v>
      </c>
      <c r="G76" s="133">
        <f t="shared" ref="G76:H79" ca="1" si="24">G22*G$33/G$26</f>
        <v>4.0228883406076263E-2</v>
      </c>
      <c r="H76" s="133">
        <f t="shared" ca="1" si="24"/>
        <v>4.0228883406076263E-2</v>
      </c>
      <c r="I76" s="551" t="s">
        <v>336</v>
      </c>
      <c r="J76" s="575">
        <f t="shared" ref="J76:L79" ca="1" si="25">J22*J$33/J$26</f>
        <v>3.4093477573484209E-2</v>
      </c>
      <c r="K76" s="575">
        <f t="shared" ca="1" si="25"/>
        <v>3.4093477573484209E-2</v>
      </c>
      <c r="L76" s="575">
        <f t="shared" ca="1" si="25"/>
        <v>3.4093477573484209E-2</v>
      </c>
      <c r="M76" s="574" t="s">
        <v>336</v>
      </c>
      <c r="N76" s="133">
        <f t="shared" ref="N76:O79" ca="1" si="26">N22*N$33/N$26</f>
        <v>3.4093477573484209E-2</v>
      </c>
      <c r="O76" s="133">
        <f t="shared" ca="1" si="26"/>
        <v>3.4093477573484209E-2</v>
      </c>
      <c r="P76" s="551" t="s">
        <v>336</v>
      </c>
      <c r="Q76" s="573">
        <f t="shared" ref="Q76:S79" ca="1" si="27">Q22*Q$33/Q$26</f>
        <v>105.99617602916665</v>
      </c>
      <c r="R76" s="573">
        <f t="shared" ca="1" si="27"/>
        <v>105.99617602916665</v>
      </c>
      <c r="S76" s="573">
        <f t="shared" ca="1" si="27"/>
        <v>105.99617602916665</v>
      </c>
      <c r="T76" s="572" t="s">
        <v>336</v>
      </c>
      <c r="U76" s="45">
        <f t="shared" ref="U76:V79" ca="1" si="28">U22*U$33/U$26</f>
        <v>105.99617602916665</v>
      </c>
      <c r="V76" s="45">
        <f t="shared" ca="1" si="28"/>
        <v>105.99617602916665</v>
      </c>
      <c r="W76" s="551" t="s">
        <v>336</v>
      </c>
    </row>
    <row r="77" spans="1:23" x14ac:dyDescent="0.25">
      <c r="A77" s="812" t="str">
        <f t="shared" si="22"/>
        <v>NP</v>
      </c>
      <c r="B77" s="812" t="s">
        <v>152</v>
      </c>
      <c r="C77" s="133">
        <f t="shared" ca="1" si="23"/>
        <v>1.080833346961036E-4</v>
      </c>
      <c r="D77" s="575">
        <f t="shared" ca="1" si="23"/>
        <v>1.080833346961036E-4</v>
      </c>
      <c r="E77" s="575">
        <f t="shared" ca="1" si="23"/>
        <v>1.080833346961036E-4</v>
      </c>
      <c r="F77" s="574" t="s">
        <v>336</v>
      </c>
      <c r="G77" s="133">
        <f t="shared" ca="1" si="24"/>
        <v>1.080833346961036E-4</v>
      </c>
      <c r="H77" s="133">
        <f t="shared" ca="1" si="24"/>
        <v>1.080833346961036E-4</v>
      </c>
      <c r="I77" s="551" t="s">
        <v>336</v>
      </c>
      <c r="J77" s="575">
        <f t="shared" ca="1" si="25"/>
        <v>9.1599279809302764E-5</v>
      </c>
      <c r="K77" s="575">
        <f t="shared" ca="1" si="25"/>
        <v>9.1599279809302764E-5</v>
      </c>
      <c r="L77" s="575">
        <f t="shared" ca="1" si="25"/>
        <v>9.1599279809302764E-5</v>
      </c>
      <c r="M77" s="574" t="s">
        <v>336</v>
      </c>
      <c r="N77" s="133">
        <f t="shared" ca="1" si="26"/>
        <v>9.1599279809302764E-5</v>
      </c>
      <c r="O77" s="133">
        <f t="shared" ca="1" si="26"/>
        <v>9.1599279809302764E-5</v>
      </c>
      <c r="P77" s="551" t="s">
        <v>336</v>
      </c>
      <c r="Q77" s="573">
        <f t="shared" ca="1" si="27"/>
        <v>4.3052702843662143</v>
      </c>
      <c r="R77" s="573">
        <f t="shared" ca="1" si="27"/>
        <v>4.3052702843662143</v>
      </c>
      <c r="S77" s="573">
        <f t="shared" ca="1" si="27"/>
        <v>4.3052702843662143</v>
      </c>
      <c r="T77" s="572" t="s">
        <v>336</v>
      </c>
      <c r="U77" s="45">
        <f t="shared" ca="1" si="28"/>
        <v>4.3052702843662143</v>
      </c>
      <c r="V77" s="45">
        <f t="shared" ca="1" si="28"/>
        <v>4.3052702843662143</v>
      </c>
      <c r="W77" s="551" t="s">
        <v>336</v>
      </c>
    </row>
    <row r="78" spans="1:23" x14ac:dyDescent="0.25">
      <c r="A78" s="812" t="str">
        <f t="shared" si="22"/>
        <v>NP</v>
      </c>
      <c r="B78" s="812" t="s">
        <v>153</v>
      </c>
      <c r="C78" s="133">
        <f t="shared" ca="1" si="23"/>
        <v>1.0587168210431294E-4</v>
      </c>
      <c r="D78" s="575">
        <f t="shared" ca="1" si="23"/>
        <v>1.0587168210431294E-4</v>
      </c>
      <c r="E78" s="575">
        <f t="shared" ca="1" si="23"/>
        <v>1.0587168210431294E-4</v>
      </c>
      <c r="F78" s="574" t="s">
        <v>336</v>
      </c>
      <c r="G78" s="133">
        <f t="shared" ca="1" si="24"/>
        <v>1.0587168210431294E-4</v>
      </c>
      <c r="H78" s="133">
        <f t="shared" ca="1" si="24"/>
        <v>1.0587168210431294E-4</v>
      </c>
      <c r="I78" s="551" t="s">
        <v>336</v>
      </c>
      <c r="J78" s="575">
        <f t="shared" ca="1" si="25"/>
        <v>2.2548370411506296E-6</v>
      </c>
      <c r="K78" s="575">
        <f t="shared" ca="1" si="25"/>
        <v>2.2548370411506296E-6</v>
      </c>
      <c r="L78" s="575">
        <f t="shared" ca="1" si="25"/>
        <v>2.2548370411506296E-6</v>
      </c>
      <c r="M78" s="574" t="s">
        <v>336</v>
      </c>
      <c r="N78" s="133">
        <f t="shared" ca="1" si="26"/>
        <v>2.2548370411506296E-6</v>
      </c>
      <c r="O78" s="133">
        <f t="shared" ca="1" si="26"/>
        <v>2.2548370411506296E-6</v>
      </c>
      <c r="P78" s="551" t="s">
        <v>336</v>
      </c>
      <c r="Q78" s="573">
        <f t="shared" ca="1" si="27"/>
        <v>2.2464672129614596</v>
      </c>
      <c r="R78" s="573">
        <f t="shared" ca="1" si="27"/>
        <v>2.2464672129614596</v>
      </c>
      <c r="S78" s="573">
        <f t="shared" ca="1" si="27"/>
        <v>2.2464672129614596</v>
      </c>
      <c r="T78" s="572" t="s">
        <v>336</v>
      </c>
      <c r="U78" s="45">
        <f t="shared" ca="1" si="28"/>
        <v>2.2464672129614596</v>
      </c>
      <c r="V78" s="45">
        <f t="shared" ca="1" si="28"/>
        <v>2.2464672129614596</v>
      </c>
      <c r="W78" s="551" t="s">
        <v>336</v>
      </c>
    </row>
    <row r="79" spans="1:23" ht="15.75" thickBot="1" x14ac:dyDescent="0.3">
      <c r="A79" s="6" t="str">
        <f>A76</f>
        <v>NP</v>
      </c>
      <c r="B79" s="6" t="s">
        <v>154</v>
      </c>
      <c r="C79" s="544">
        <f t="shared" ca="1" si="23"/>
        <v>9.7195580171991023E-4</v>
      </c>
      <c r="D79" s="571">
        <f t="shared" ca="1" si="23"/>
        <v>9.7195580171991023E-4</v>
      </c>
      <c r="E79" s="571">
        <f t="shared" ca="1" si="23"/>
        <v>9.7195580171991023E-4</v>
      </c>
      <c r="F79" s="570" t="s">
        <v>336</v>
      </c>
      <c r="G79" s="544">
        <f t="shared" ca="1" si="24"/>
        <v>9.7195580171991023E-4</v>
      </c>
      <c r="H79" s="544">
        <f t="shared" ca="1" si="24"/>
        <v>9.7195580171991023E-4</v>
      </c>
      <c r="I79" s="542" t="s">
        <v>336</v>
      </c>
      <c r="J79" s="571">
        <f t="shared" ca="1" si="25"/>
        <v>5.0267185902631746E-3</v>
      </c>
      <c r="K79" s="571">
        <f t="shared" ca="1" si="25"/>
        <v>5.0267185902631746E-3</v>
      </c>
      <c r="L79" s="571">
        <f t="shared" ca="1" si="25"/>
        <v>5.0267185902631746E-3</v>
      </c>
      <c r="M79" s="570" t="s">
        <v>336</v>
      </c>
      <c r="N79" s="544">
        <f t="shared" ca="1" si="26"/>
        <v>5.0267185902631746E-3</v>
      </c>
      <c r="O79" s="544">
        <f t="shared" ca="1" si="26"/>
        <v>5.0267185902631746E-3</v>
      </c>
      <c r="P79" s="542" t="s">
        <v>336</v>
      </c>
      <c r="Q79" s="569">
        <f t="shared" ca="1" si="27"/>
        <v>35.826069997721177</v>
      </c>
      <c r="R79" s="569">
        <f t="shared" ca="1" si="27"/>
        <v>35.826069997721177</v>
      </c>
      <c r="S79" s="569">
        <f t="shared" ca="1" si="27"/>
        <v>35.826069997721177</v>
      </c>
      <c r="T79" s="568" t="s">
        <v>336</v>
      </c>
      <c r="U79" s="567">
        <f t="shared" ca="1" si="28"/>
        <v>35.826069997721177</v>
      </c>
      <c r="V79" s="567">
        <f t="shared" ca="1" si="28"/>
        <v>35.826069997721177</v>
      </c>
      <c r="W79" s="542" t="s">
        <v>336</v>
      </c>
    </row>
    <row r="80" spans="1:23" ht="15.75" thickTop="1" x14ac:dyDescent="0.25">
      <c r="C80" s="137">
        <f ca="1">SUM(C40:C79)</f>
        <v>2.2094868011052182</v>
      </c>
      <c r="D80" s="137">
        <f ca="1">SUM(D40:D79)</f>
        <v>2.2094868011052182</v>
      </c>
      <c r="E80" s="137">
        <f ca="1">SUM(E40:E79)</f>
        <v>2.2094868011052182</v>
      </c>
      <c r="F80" s="566" t="s">
        <v>336</v>
      </c>
      <c r="G80" s="137">
        <f ca="1">SUM(G40:G79)</f>
        <v>2.2094868011052182</v>
      </c>
      <c r="H80" s="137">
        <f ca="1">SUM(H40:H79)</f>
        <v>2.2094868011052182</v>
      </c>
      <c r="I80" s="566" t="s">
        <v>336</v>
      </c>
      <c r="J80" s="137">
        <f ca="1">SUM(J40:J79)</f>
        <v>3.2269565481087064</v>
      </c>
      <c r="K80" s="137">
        <f ca="1">SUM(K40:K79)</f>
        <v>3.2269565481087064</v>
      </c>
      <c r="L80" s="137">
        <f ca="1">SUM(L40:L79)</f>
        <v>3.2269565481087064</v>
      </c>
      <c r="M80" s="566" t="s">
        <v>336</v>
      </c>
      <c r="N80" s="137">
        <f ca="1">SUM(N40:N79)</f>
        <v>3.2269565481087064</v>
      </c>
      <c r="O80" s="137">
        <f ca="1">SUM(O40:O79)</f>
        <v>3.2269565481087064</v>
      </c>
      <c r="P80" s="566" t="s">
        <v>336</v>
      </c>
      <c r="Q80" s="87">
        <f ca="1">SUM(Q40:Q79)</f>
        <v>41213.492070988192</v>
      </c>
      <c r="R80" s="87">
        <f ca="1">SUM(R40:R79)</f>
        <v>41213.492070988192</v>
      </c>
      <c r="S80" s="87">
        <f ca="1">SUM(S40:S79)</f>
        <v>41213.492070988192</v>
      </c>
      <c r="T80" s="566" t="s">
        <v>336</v>
      </c>
      <c r="U80" s="87">
        <f ca="1">SUM(U40:U79)</f>
        <v>41213.492070988192</v>
      </c>
      <c r="V80" s="87">
        <f ca="1">SUM(V40:V79)</f>
        <v>41213.492070988192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2"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0.12782953201774483</v>
      </c>
      <c r="N91" s="557" t="s">
        <v>336</v>
      </c>
      <c r="O91" s="559">
        <f t="shared" ref="O91:P100" ca="1" si="35">(1-$N$84)*(1-G91)*G60</f>
        <v>0</v>
      </c>
      <c r="P91" s="559">
        <f t="shared" ca="1" si="35"/>
        <v>0.13955828236691997</v>
      </c>
      <c r="Q91" s="557" t="s">
        <v>336</v>
      </c>
      <c r="R91" s="558">
        <f t="shared" ref="R91:S100" ca="1" si="36">(1-$N$84)*(1-D91)*D40/$J91</f>
        <v>0</v>
      </c>
      <c r="S91" s="558">
        <f t="shared" ca="1" si="36"/>
        <v>1.8791452809907524E-5</v>
      </c>
      <c r="T91" s="557" t="s">
        <v>336</v>
      </c>
      <c r="U91" s="558">
        <f t="shared" ref="U91:V100" ca="1" si="37">(1-$N$84)*(1-G91)*G60/$J91</f>
        <v>0</v>
      </c>
      <c r="V91" s="558">
        <f t="shared" ca="1" si="37"/>
        <v>2.0515626052402976E-5</v>
      </c>
      <c r="W91" s="557" t="s">
        <v>336</v>
      </c>
      <c r="X91" s="559">
        <f t="shared" ref="X91:Y100" ca="1" si="38">(1-$N$84)*(1-D91)*K40</f>
        <v>0</v>
      </c>
      <c r="Y91" s="559">
        <f t="shared" ca="1" si="38"/>
        <v>1.7580377522939527E-3</v>
      </c>
      <c r="Z91" s="557" t="s">
        <v>336</v>
      </c>
      <c r="AA91" s="559">
        <f t="shared" ref="AA91:AB100" ca="1" si="39">(1-$N$84)*(1-G91)*N60</f>
        <v>0</v>
      </c>
      <c r="AB91" s="559">
        <f t="shared" ca="1" si="39"/>
        <v>1.1747262204849865E-3</v>
      </c>
      <c r="AC91" s="557" t="s">
        <v>336</v>
      </c>
      <c r="AD91" s="558">
        <f t="shared" ref="AD91:AE110" ca="1" si="40">(1-$N$84)*(1-D91)*K40/$K91</f>
        <v>0</v>
      </c>
      <c r="AE91" s="558">
        <f t="shared" ca="1" si="40"/>
        <v>1.4150666934170629E-3</v>
      </c>
      <c r="AF91" s="557" t="s">
        <v>336</v>
      </c>
      <c r="AG91" s="558">
        <f t="shared" ref="AG91:AH100" ca="1" si="41">(1-$N$84)*(1-G91)*N60/$K91</f>
        <v>0</v>
      </c>
      <c r="AH91" s="558">
        <f t="shared" ca="1" si="41"/>
        <v>9.4555190656341818E-4</v>
      </c>
      <c r="AI91" s="557" t="s">
        <v>336</v>
      </c>
      <c r="AJ91" s="507">
        <f t="shared" ref="AJ91:AK110" ca="1" si="42">L91-R91</f>
        <v>0</v>
      </c>
      <c r="AK91" s="507">
        <f t="shared" ca="1" si="42"/>
        <v>0.12781074056493491</v>
      </c>
      <c r="AL91" s="507">
        <f t="shared" ref="AL91:AM110" ca="1" si="43">O91-U91</f>
        <v>0</v>
      </c>
      <c r="AM91" s="507">
        <f t="shared" ca="1" si="43"/>
        <v>0.13953776674086757</v>
      </c>
      <c r="AN91" s="507">
        <f t="shared" ref="AN91:AO110" ca="1" si="44">X91-AD91</f>
        <v>0</v>
      </c>
      <c r="AO91" s="507">
        <f t="shared" ca="1" si="44"/>
        <v>3.4297105887688977E-4</v>
      </c>
      <c r="AP91" s="507">
        <f t="shared" ref="AP91:AQ110" ca="1" si="45">AA91-AG91</f>
        <v>0</v>
      </c>
      <c r="AQ91" s="507">
        <f t="shared" ca="1" si="45"/>
        <v>2.2917431392156828E-4</v>
      </c>
      <c r="AR91" s="812" t="s">
        <v>137</v>
      </c>
      <c r="AS91" s="812">
        <v>2104008100</v>
      </c>
      <c r="AT91" s="507">
        <f t="shared" ref="AT91:AU100" ca="1" si="46">AJ91/$C40</f>
        <v>0</v>
      </c>
      <c r="AU91" s="507">
        <f t="shared" ca="1" si="46"/>
        <v>0.47992943807892907</v>
      </c>
      <c r="AV91" s="507">
        <f t="shared" ref="AV91:AW100" ca="1" si="47">AL91/$C60</f>
        <v>0</v>
      </c>
      <c r="AW91" s="507">
        <f t="shared" ca="1" si="47"/>
        <v>0.47992943807892918</v>
      </c>
      <c r="AX91" s="507">
        <f t="shared" ref="AX91:AY100" ca="1" si="48">AN91/$J40</f>
        <v>0</v>
      </c>
      <c r="AY91" s="507">
        <f t="shared" ca="1" si="48"/>
        <v>9.3641964199060485E-2</v>
      </c>
      <c r="AZ91" s="507">
        <f t="shared" ref="AZ91:BA100" ca="1" si="49">AP91/$J60</f>
        <v>0</v>
      </c>
      <c r="BA91" s="507">
        <f t="shared" ca="1" si="49"/>
        <v>9.3641964199060512E-2</v>
      </c>
      <c r="BB91" s="550">
        <f ca="1">1-((1-AT91))</f>
        <v>0</v>
      </c>
      <c r="BC91" s="550">
        <f ca="1">1-((1-AU91))</f>
        <v>0.47992943807892907</v>
      </c>
      <c r="BD91" s="550">
        <f ca="1">1-((1-AX91))</f>
        <v>0</v>
      </c>
      <c r="BE91" s="550">
        <f ca="1">1-((1-AY91))</f>
        <v>9.3641964199060457E-2</v>
      </c>
    </row>
    <row r="92" spans="1:57" x14ac:dyDescent="0.25">
      <c r="A92" s="60">
        <f t="shared" si="29"/>
        <v>0.4</v>
      </c>
      <c r="B92" s="812"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9.9763364657824549E-3</v>
      </c>
      <c r="M92" s="559">
        <f t="shared" ca="1" si="34"/>
        <v>9.9763364657824549E-3</v>
      </c>
      <c r="N92" s="557" t="s">
        <v>336</v>
      </c>
      <c r="O92" s="559">
        <f t="shared" ca="1" si="35"/>
        <v>1.0891695835089163E-2</v>
      </c>
      <c r="P92" s="559">
        <f t="shared" ca="1" si="35"/>
        <v>1.0891695835089163E-2</v>
      </c>
      <c r="Q92" s="557" t="s">
        <v>336</v>
      </c>
      <c r="R92" s="558">
        <f t="shared" ca="1" si="36"/>
        <v>9.4758214803517787E-6</v>
      </c>
      <c r="S92" s="558">
        <f t="shared" ca="1" si="36"/>
        <v>9.4758214803517787E-6</v>
      </c>
      <c r="T92" s="557" t="s">
        <v>336</v>
      </c>
      <c r="U92" s="558">
        <f t="shared" ca="1" si="37"/>
        <v>1.0345257069625227E-5</v>
      </c>
      <c r="V92" s="558">
        <f t="shared" ca="1" si="37"/>
        <v>1.0345257069625227E-5</v>
      </c>
      <c r="W92" s="557" t="s">
        <v>336</v>
      </c>
      <c r="X92" s="559">
        <f t="shared" ca="1" si="38"/>
        <v>1.5513963243665856E-4</v>
      </c>
      <c r="Y92" s="559">
        <f t="shared" ca="1" si="38"/>
        <v>1.5513963243665856E-4</v>
      </c>
      <c r="Z92" s="557" t="s">
        <v>336</v>
      </c>
      <c r="AA92" s="559">
        <f t="shared" ca="1" si="39"/>
        <v>1.0366477842807631E-4</v>
      </c>
      <c r="AB92" s="559">
        <f t="shared" ca="1" si="39"/>
        <v>1.0366477842807631E-4</v>
      </c>
      <c r="AC92" s="557" t="s">
        <v>336</v>
      </c>
      <c r="AD92" s="558">
        <f t="shared" ca="1" si="40"/>
        <v>7.1356480551318011E-4</v>
      </c>
      <c r="AE92" s="558">
        <f t="shared" ca="1" si="40"/>
        <v>7.1356480551318011E-4</v>
      </c>
      <c r="AF92" s="557" t="s">
        <v>336</v>
      </c>
      <c r="AG92" s="558">
        <f t="shared" ca="1" si="41"/>
        <v>4.768061925620378E-4</v>
      </c>
      <c r="AH92" s="558">
        <f t="shared" ca="1" si="41"/>
        <v>4.768061925620378E-4</v>
      </c>
      <c r="AI92" s="557" t="s">
        <v>336</v>
      </c>
      <c r="AJ92" s="507">
        <f t="shared" ca="1" si="42"/>
        <v>9.9668606443021023E-3</v>
      </c>
      <c r="AK92" s="507">
        <f t="shared" ca="1" si="42"/>
        <v>9.9668606443021023E-3</v>
      </c>
      <c r="AL92" s="507">
        <f t="shared" ca="1" si="43"/>
        <v>1.0881350578019538E-2</v>
      </c>
      <c r="AM92" s="507">
        <f t="shared" ca="1" si="43"/>
        <v>1.0881350578019538E-2</v>
      </c>
      <c r="AN92" s="507">
        <f t="shared" ca="1" si="44"/>
        <v>-5.5842517307652152E-4</v>
      </c>
      <c r="AO92" s="507">
        <f t="shared" ca="1" si="44"/>
        <v>-5.5842517307652152E-4</v>
      </c>
      <c r="AP92" s="507">
        <f t="shared" ca="1" si="45"/>
        <v>-3.7314141413396151E-4</v>
      </c>
      <c r="AQ92" s="507">
        <f t="shared" ca="1" si="45"/>
        <v>-3.7314141413396151E-4</v>
      </c>
      <c r="AR92" s="812" t="s">
        <v>138</v>
      </c>
      <c r="AS92" s="812">
        <v>2104008210</v>
      </c>
      <c r="AT92" s="507">
        <f t="shared" ca="1" si="46"/>
        <v>0.47954408170512597</v>
      </c>
      <c r="AU92" s="507">
        <f t="shared" ca="1" si="46"/>
        <v>0.47954408170512597</v>
      </c>
      <c r="AV92" s="507">
        <f t="shared" ca="1" si="47"/>
        <v>0.47954408170512602</v>
      </c>
      <c r="AW92" s="507">
        <f t="shared" ca="1" si="47"/>
        <v>0.47954408170512602</v>
      </c>
      <c r="AX92" s="507">
        <f t="shared" ca="1" si="48"/>
        <v>-1.7277602045767972</v>
      </c>
      <c r="AY92" s="507">
        <f t="shared" ca="1" si="48"/>
        <v>-1.7277602045767972</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2"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5.0689210212147675E-3</v>
      </c>
      <c r="M93" s="559">
        <f t="shared" ca="1" si="34"/>
        <v>8.2369966594739961E-3</v>
      </c>
      <c r="N93" s="557" t="s">
        <v>336</v>
      </c>
      <c r="O93" s="559">
        <f t="shared" ca="1" si="35"/>
        <v>5.5340100210654513E-3</v>
      </c>
      <c r="P93" s="559">
        <f t="shared" ca="1" si="35"/>
        <v>8.9927662842313565E-3</v>
      </c>
      <c r="Q93" s="557" t="s">
        <v>336</v>
      </c>
      <c r="R93" s="558">
        <f t="shared" ca="1" si="36"/>
        <v>2.0257480593453823E-5</v>
      </c>
      <c r="S93" s="558">
        <f t="shared" ca="1" si="36"/>
        <v>3.291840596436246E-5</v>
      </c>
      <c r="T93" s="557" t="s">
        <v>336</v>
      </c>
      <c r="U93" s="558">
        <f t="shared" ca="1" si="37"/>
        <v>2.2116166366870394E-5</v>
      </c>
      <c r="V93" s="558">
        <f t="shared" ca="1" si="37"/>
        <v>3.5938770346164381E-5</v>
      </c>
      <c r="W93" s="557" t="s">
        <v>336</v>
      </c>
      <c r="X93" s="559">
        <f t="shared" ca="1" si="38"/>
        <v>2.0100523817398003E-4</v>
      </c>
      <c r="Y93" s="559">
        <f t="shared" ca="1" si="38"/>
        <v>3.266335120327175E-4</v>
      </c>
      <c r="Z93" s="557" t="s">
        <v>336</v>
      </c>
      <c r="AA93" s="559">
        <f t="shared" ca="1" si="39"/>
        <v>1.3431231691679997E-4</v>
      </c>
      <c r="AB93" s="559">
        <f t="shared" ca="1" si="39"/>
        <v>2.1825751498979993E-4</v>
      </c>
      <c r="AC93" s="557" t="s">
        <v>336</v>
      </c>
      <c r="AD93" s="558">
        <f t="shared" ca="1" si="40"/>
        <v>1.5254640697724795E-3</v>
      </c>
      <c r="AE93" s="558">
        <f t="shared" ca="1" si="40"/>
        <v>2.4788791133802789E-3</v>
      </c>
      <c r="AF93" s="557" t="s">
        <v>336</v>
      </c>
      <c r="AG93" s="558">
        <f t="shared" ca="1" si="41"/>
        <v>1.0193197721898742E-3</v>
      </c>
      <c r="AH93" s="558">
        <f t="shared" ca="1" si="41"/>
        <v>1.6563946298085454E-3</v>
      </c>
      <c r="AI93" s="557" t="s">
        <v>336</v>
      </c>
      <c r="AJ93" s="507">
        <f t="shared" ca="1" si="42"/>
        <v>5.0486635406213135E-3</v>
      </c>
      <c r="AK93" s="507">
        <f t="shared" ca="1" si="42"/>
        <v>8.2040782535096335E-3</v>
      </c>
      <c r="AL93" s="507">
        <f t="shared" ca="1" si="43"/>
        <v>5.5118938546985805E-3</v>
      </c>
      <c r="AM93" s="507">
        <f t="shared" ca="1" si="43"/>
        <v>8.9568275138851919E-3</v>
      </c>
      <c r="AN93" s="507">
        <f t="shared" ca="1" si="44"/>
        <v>-1.3244588315984994E-3</v>
      </c>
      <c r="AO93" s="507">
        <f t="shared" ca="1" si="44"/>
        <v>-2.1522456013475613E-3</v>
      </c>
      <c r="AP93" s="507">
        <f t="shared" ca="1" si="45"/>
        <v>-8.8500745527307417E-4</v>
      </c>
      <c r="AQ93" s="507">
        <f t="shared" ca="1" si="45"/>
        <v>-1.4381371148187456E-3</v>
      </c>
      <c r="AR93" s="812" t="s">
        <v>139</v>
      </c>
      <c r="AS93" s="812">
        <v>2104008220</v>
      </c>
      <c r="AT93" s="507">
        <f t="shared" ca="1" si="46"/>
        <v>0.29420413770727244</v>
      </c>
      <c r="AU93" s="507">
        <f t="shared" ca="1" si="46"/>
        <v>0.47808172377431762</v>
      </c>
      <c r="AV93" s="507">
        <f t="shared" ca="1" si="47"/>
        <v>0.29420413770727238</v>
      </c>
      <c r="AW93" s="507">
        <f t="shared" ca="1" si="47"/>
        <v>0.47808172377431757</v>
      </c>
      <c r="AX93" s="507">
        <f t="shared" ca="1" si="48"/>
        <v>-1.9463411308010559</v>
      </c>
      <c r="AY93" s="507">
        <f t="shared" ca="1" si="48"/>
        <v>-3.1628043375517154</v>
      </c>
      <c r="AZ93" s="507">
        <f t="shared" ca="1" si="49"/>
        <v>-1.9463411308010559</v>
      </c>
      <c r="BA93" s="507">
        <f t="shared" ca="1" si="49"/>
        <v>-3.1628043375517159</v>
      </c>
      <c r="BB93" s="550">
        <f t="shared" ca="1" si="50"/>
        <v>0.29420413770727238</v>
      </c>
      <c r="BC93" s="550">
        <f t="shared" ca="1" si="50"/>
        <v>0.47808172377431757</v>
      </c>
      <c r="BD93" s="550">
        <f t="shared" ca="1" si="51"/>
        <v>-1.9463411308010556</v>
      </c>
      <c r="BE93" s="550">
        <f t="shared" ca="1" si="51"/>
        <v>-3.1628043375517159</v>
      </c>
    </row>
    <row r="94" spans="1:57" x14ac:dyDescent="0.25">
      <c r="A94" s="60">
        <f t="shared" si="29"/>
        <v>0.7</v>
      </c>
      <c r="B94" s="812"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3.3061833903167319E-3</v>
      </c>
      <c r="M94" s="559">
        <f t="shared" ca="1" si="34"/>
        <v>5.3725480092646893E-3</v>
      </c>
      <c r="N94" s="557" t="s">
        <v>336</v>
      </c>
      <c r="O94" s="559">
        <f t="shared" ca="1" si="35"/>
        <v>3.6095358236826885E-3</v>
      </c>
      <c r="P94" s="559">
        <f t="shared" ca="1" si="35"/>
        <v>5.865495713484368E-3</v>
      </c>
      <c r="Q94" s="557" t="s">
        <v>336</v>
      </c>
      <c r="R94" s="558">
        <f t="shared" ca="1" si="36"/>
        <v>1.2935667531390853E-5</v>
      </c>
      <c r="S94" s="558">
        <f t="shared" ca="1" si="36"/>
        <v>2.1020459738510135E-5</v>
      </c>
      <c r="T94" s="557" t="s">
        <v>336</v>
      </c>
      <c r="U94" s="558">
        <f t="shared" ca="1" si="37"/>
        <v>1.4122554572912311E-5</v>
      </c>
      <c r="V94" s="558">
        <f t="shared" ca="1" si="37"/>
        <v>2.2949151180982504E-5</v>
      </c>
      <c r="W94" s="557" t="s">
        <v>336</v>
      </c>
      <c r="X94" s="559">
        <f t="shared" ca="1" si="38"/>
        <v>1.2101987058349292E-4</v>
      </c>
      <c r="Y94" s="559">
        <f t="shared" ca="1" si="38"/>
        <v>1.9665728969817597E-4</v>
      </c>
      <c r="Z94" s="557" t="s">
        <v>336</v>
      </c>
      <c r="AA94" s="559">
        <f t="shared" ca="1" si="39"/>
        <v>8.0865848863954381E-5</v>
      </c>
      <c r="AB94" s="559">
        <f t="shared" ca="1" si="39"/>
        <v>1.3140700440392584E-4</v>
      </c>
      <c r="AC94" s="557" t="s">
        <v>336</v>
      </c>
      <c r="AD94" s="558">
        <f t="shared" ca="1" si="40"/>
        <v>9.7410415607337964E-4</v>
      </c>
      <c r="AE94" s="558">
        <f t="shared" ca="1" si="40"/>
        <v>1.5829192536192416E-3</v>
      </c>
      <c r="AF94" s="557" t="s">
        <v>336</v>
      </c>
      <c r="AG94" s="558">
        <f t="shared" ca="1" si="41"/>
        <v>6.5089938605110518E-4</v>
      </c>
      <c r="AH94" s="558">
        <f t="shared" ca="1" si="41"/>
        <v>1.0577115023330456E-3</v>
      </c>
      <c r="AI94" s="557" t="s">
        <v>336</v>
      </c>
      <c r="AJ94" s="507">
        <f t="shared" ca="1" si="42"/>
        <v>3.2932477227853411E-3</v>
      </c>
      <c r="AK94" s="507">
        <f t="shared" ca="1" si="42"/>
        <v>5.3515275495261789E-3</v>
      </c>
      <c r="AL94" s="507">
        <f t="shared" ca="1" si="43"/>
        <v>3.5954132691097761E-3</v>
      </c>
      <c r="AM94" s="507">
        <f t="shared" ca="1" si="43"/>
        <v>5.8425465623033858E-3</v>
      </c>
      <c r="AN94" s="507">
        <f t="shared" ca="1" si="44"/>
        <v>-8.5308428548988677E-4</v>
      </c>
      <c r="AO94" s="507">
        <f t="shared" ca="1" si="44"/>
        <v>-1.3862619639210655E-3</v>
      </c>
      <c r="AP94" s="507">
        <f t="shared" ca="1" si="45"/>
        <v>-5.7003353718715084E-4</v>
      </c>
      <c r="AQ94" s="507">
        <f t="shared" ca="1" si="45"/>
        <v>-9.2630449792911978E-4</v>
      </c>
      <c r="AR94" s="812" t="s">
        <v>140</v>
      </c>
      <c r="AS94" s="812">
        <v>2104008230</v>
      </c>
      <c r="AT94" s="507">
        <f t="shared" ca="1" si="46"/>
        <v>0.29422890297323068</v>
      </c>
      <c r="AU94" s="507">
        <f t="shared" ca="1" si="46"/>
        <v>0.47812196733149981</v>
      </c>
      <c r="AV94" s="507">
        <f t="shared" ca="1" si="47"/>
        <v>0.29422890297323062</v>
      </c>
      <c r="AW94" s="507">
        <f t="shared" ca="1" si="47"/>
        <v>0.47812196733149975</v>
      </c>
      <c r="AX94" s="507">
        <f t="shared" ca="1" si="48"/>
        <v>-2.0822032972365512</v>
      </c>
      <c r="AY94" s="507">
        <f t="shared" ca="1" si="48"/>
        <v>-3.3835803580093944</v>
      </c>
      <c r="AZ94" s="507">
        <f t="shared" ca="1" si="49"/>
        <v>-2.0822032972365512</v>
      </c>
      <c r="BA94" s="507">
        <f t="shared" ca="1" si="49"/>
        <v>-3.3835803580093939</v>
      </c>
      <c r="BB94" s="550">
        <f t="shared" ca="1" si="50"/>
        <v>0.29422890297323068</v>
      </c>
      <c r="BC94" s="550">
        <f t="shared" ca="1" si="50"/>
        <v>0.47812196733149981</v>
      </c>
      <c r="BD94" s="550">
        <f t="shared" ca="1" si="51"/>
        <v>-2.0822032972365512</v>
      </c>
      <c r="BE94" s="550">
        <f t="shared" ca="1" si="51"/>
        <v>-3.3835803580093948</v>
      </c>
    </row>
    <row r="95" spans="1:57" x14ac:dyDescent="0.25">
      <c r="A95" s="60">
        <f t="shared" si="29"/>
        <v>0.54</v>
      </c>
      <c r="B95" s="812"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8.0336576297016404E-2</v>
      </c>
      <c r="M95" s="559">
        <f t="shared" ca="1" si="34"/>
        <v>8.0336576297016404E-2</v>
      </c>
      <c r="N95" s="557" t="s">
        <v>336</v>
      </c>
      <c r="O95" s="559">
        <f t="shared" ca="1" si="35"/>
        <v>8.7707702768514154E-2</v>
      </c>
      <c r="P95" s="559">
        <f t="shared" ca="1" si="35"/>
        <v>8.7707702768514154E-2</v>
      </c>
      <c r="Q95" s="557" t="s">
        <v>336</v>
      </c>
      <c r="R95" s="558">
        <f t="shared" ca="1" si="36"/>
        <v>2.5961095644963555E-4</v>
      </c>
      <c r="S95" s="558">
        <f t="shared" ca="1" si="36"/>
        <v>2.5961095644963555E-4</v>
      </c>
      <c r="T95" s="557" t="s">
        <v>336</v>
      </c>
      <c r="U95" s="558">
        <f t="shared" ca="1" si="37"/>
        <v>2.834310553582796E-4</v>
      </c>
      <c r="V95" s="558">
        <f t="shared" ca="1" si="37"/>
        <v>2.834310553582796E-4</v>
      </c>
      <c r="W95" s="557" t="s">
        <v>336</v>
      </c>
      <c r="X95" s="559">
        <f t="shared" ca="1" si="38"/>
        <v>3.1484379358746521E-3</v>
      </c>
      <c r="Y95" s="559">
        <f t="shared" ca="1" si="38"/>
        <v>3.1484379358746521E-3</v>
      </c>
      <c r="Z95" s="557" t="s">
        <v>336</v>
      </c>
      <c r="AA95" s="559">
        <f t="shared" ca="1" si="39"/>
        <v>2.1037958894884788E-3</v>
      </c>
      <c r="AB95" s="559">
        <f t="shared" ca="1" si="39"/>
        <v>2.1037958894884788E-3</v>
      </c>
      <c r="AC95" s="557" t="s">
        <v>336</v>
      </c>
      <c r="AD95" s="558">
        <f t="shared" ca="1" si="40"/>
        <v>1.9549676197698672E-2</v>
      </c>
      <c r="AE95" s="558">
        <f t="shared" ca="1" si="40"/>
        <v>1.9549676197698672E-2</v>
      </c>
      <c r="AF95" s="557" t="s">
        <v>336</v>
      </c>
      <c r="AG95" s="558">
        <f t="shared" ca="1" si="41"/>
        <v>1.3063153621963808E-2</v>
      </c>
      <c r="AH95" s="558">
        <f t="shared" ca="1" si="41"/>
        <v>1.3063153621963808E-2</v>
      </c>
      <c r="AI95" s="557" t="s">
        <v>336</v>
      </c>
      <c r="AJ95" s="507">
        <f t="shared" ca="1" si="42"/>
        <v>8.0076965340566769E-2</v>
      </c>
      <c r="AK95" s="507">
        <f t="shared" ca="1" si="42"/>
        <v>8.0076965340566769E-2</v>
      </c>
      <c r="AL95" s="507">
        <f t="shared" ca="1" si="43"/>
        <v>8.7424271713155879E-2</v>
      </c>
      <c r="AM95" s="507">
        <f t="shared" ca="1" si="43"/>
        <v>8.7424271713155879E-2</v>
      </c>
      <c r="AN95" s="507">
        <f t="shared" ca="1" si="44"/>
        <v>-1.6401238261824019E-2</v>
      </c>
      <c r="AO95" s="507">
        <f t="shared" ca="1" si="44"/>
        <v>-1.6401238261824019E-2</v>
      </c>
      <c r="AP95" s="507">
        <f t="shared" ca="1" si="45"/>
        <v>-1.095935773247533E-2</v>
      </c>
      <c r="AQ95" s="507">
        <f t="shared" ca="1" si="45"/>
        <v>-1.095935773247533E-2</v>
      </c>
      <c r="AR95" s="812" t="s">
        <v>141</v>
      </c>
      <c r="AS95" s="812">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-2.5004762761786767</v>
      </c>
      <c r="AY95" s="507">
        <f t="shared" ca="1" si="48"/>
        <v>-2.5004762761786767</v>
      </c>
      <c r="AZ95" s="507">
        <f t="shared" ca="1" si="49"/>
        <v>-2.5004762761786763</v>
      </c>
      <c r="BA95" s="507">
        <f t="shared" ca="1" si="49"/>
        <v>-2.5004762761786763</v>
      </c>
      <c r="BB95" s="550">
        <f t="shared" ca="1" si="50"/>
        <v>0.47844886022233368</v>
      </c>
      <c r="BC95" s="550">
        <f t="shared" ca="1" si="50"/>
        <v>0.47844886022233368</v>
      </c>
      <c r="BD95" s="550">
        <f t="shared" ca="1" si="51"/>
        <v>-2.5004762761786767</v>
      </c>
      <c r="BE95" s="550">
        <f t="shared" ca="1" si="51"/>
        <v>-2.5004762761786767</v>
      </c>
    </row>
    <row r="96" spans="1:57" x14ac:dyDescent="0.25">
      <c r="A96" s="60">
        <f t="shared" si="29"/>
        <v>0.68</v>
      </c>
      <c r="B96" s="812"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6.7938005389590009E-2</v>
      </c>
      <c r="M96" s="559">
        <f t="shared" ca="1" si="34"/>
        <v>0.11039925875808375</v>
      </c>
      <c r="N96" s="557" t="s">
        <v>336</v>
      </c>
      <c r="O96" s="559">
        <f t="shared" ca="1" si="35"/>
        <v>7.4171525076768413E-2</v>
      </c>
      <c r="P96" s="559">
        <f t="shared" ca="1" si="35"/>
        <v>0.12052872824974865</v>
      </c>
      <c r="Q96" s="557" t="s">
        <v>336</v>
      </c>
      <c r="R96" s="558">
        <f t="shared" ca="1" si="36"/>
        <v>4.2356765361785132E-4</v>
      </c>
      <c r="S96" s="558">
        <f t="shared" ca="1" si="36"/>
        <v>6.8829743712900838E-4</v>
      </c>
      <c r="T96" s="557" t="s">
        <v>336</v>
      </c>
      <c r="U96" s="558">
        <f t="shared" ca="1" si="37"/>
        <v>4.6243128072226744E-4</v>
      </c>
      <c r="V96" s="558">
        <f t="shared" ca="1" si="37"/>
        <v>7.5145083117368454E-4</v>
      </c>
      <c r="W96" s="557" t="s">
        <v>336</v>
      </c>
      <c r="X96" s="559">
        <f t="shared" ca="1" si="38"/>
        <v>4.0792446600314298E-3</v>
      </c>
      <c r="Y96" s="559">
        <f t="shared" ca="1" si="38"/>
        <v>6.6287725725510723E-3</v>
      </c>
      <c r="Z96" s="557" t="s">
        <v>336</v>
      </c>
      <c r="AA96" s="559">
        <f t="shared" ca="1" si="39"/>
        <v>2.7257637986781067E-3</v>
      </c>
      <c r="AB96" s="559">
        <f t="shared" ca="1" si="39"/>
        <v>4.4293661728519226E-3</v>
      </c>
      <c r="AC96" s="557" t="s">
        <v>336</v>
      </c>
      <c r="AD96" s="558">
        <f t="shared" ca="1" si="40"/>
        <v>3.1896228839072199E-2</v>
      </c>
      <c r="AE96" s="558">
        <f t="shared" ca="1" si="40"/>
        <v>5.183137186349232E-2</v>
      </c>
      <c r="AF96" s="557" t="s">
        <v>336</v>
      </c>
      <c r="AG96" s="558">
        <f t="shared" ca="1" si="41"/>
        <v>2.1313157981366519E-2</v>
      </c>
      <c r="AH96" s="558">
        <f t="shared" ca="1" si="41"/>
        <v>3.4633881719720587E-2</v>
      </c>
      <c r="AI96" s="557" t="s">
        <v>336</v>
      </c>
      <c r="AJ96" s="507">
        <f t="shared" ca="1" si="42"/>
        <v>6.7514437735972155E-2</v>
      </c>
      <c r="AK96" s="507">
        <f t="shared" ca="1" si="42"/>
        <v>0.10971096132095474</v>
      </c>
      <c r="AL96" s="507">
        <f t="shared" ca="1" si="43"/>
        <v>7.3709093796046149E-2</v>
      </c>
      <c r="AM96" s="507">
        <f t="shared" ca="1" si="43"/>
        <v>0.11977727741857497</v>
      </c>
      <c r="AN96" s="507">
        <f t="shared" ca="1" si="44"/>
        <v>-2.7816984179040771E-2</v>
      </c>
      <c r="AO96" s="507">
        <f t="shared" ca="1" si="44"/>
        <v>-4.5202599290941246E-2</v>
      </c>
      <c r="AP96" s="507">
        <f t="shared" ca="1" si="45"/>
        <v>-1.8587394182688413E-2</v>
      </c>
      <c r="AQ96" s="507">
        <f t="shared" ca="1" si="45"/>
        <v>-3.0204515546868663E-2</v>
      </c>
      <c r="AR96" s="812" t="s">
        <v>142</v>
      </c>
      <c r="AS96" s="812">
        <v>2104008320</v>
      </c>
      <c r="AT96" s="507">
        <f t="shared" ca="1" si="46"/>
        <v>0.29354300452577725</v>
      </c>
      <c r="AU96" s="507">
        <f t="shared" ca="1" si="46"/>
        <v>0.477007382354388</v>
      </c>
      <c r="AV96" s="507">
        <f t="shared" ca="1" si="47"/>
        <v>0.29354300452577731</v>
      </c>
      <c r="AW96" s="507">
        <f t="shared" ca="1" si="47"/>
        <v>0.477007382354388</v>
      </c>
      <c r="AX96" s="507">
        <f t="shared" ca="1" si="48"/>
        <v>-2.0142722140188036</v>
      </c>
      <c r="AY96" s="507">
        <f t="shared" ca="1" si="48"/>
        <v>-3.2731923477805553</v>
      </c>
      <c r="AZ96" s="507">
        <f t="shared" ca="1" si="49"/>
        <v>-2.0142722140188041</v>
      </c>
      <c r="BA96" s="507">
        <f t="shared" ca="1" si="49"/>
        <v>-3.2731923477805553</v>
      </c>
      <c r="BB96" s="550">
        <f t="shared" ca="1" si="50"/>
        <v>0.2935430045257772</v>
      </c>
      <c r="BC96" s="550">
        <f t="shared" ca="1" si="50"/>
        <v>0.477007382354388</v>
      </c>
      <c r="BD96" s="550">
        <f t="shared" ca="1" si="51"/>
        <v>-2.0142722140188036</v>
      </c>
      <c r="BE96" s="550">
        <f t="shared" ca="1" si="51"/>
        <v>-3.2731923477805553</v>
      </c>
    </row>
    <row r="97" spans="1:57" x14ac:dyDescent="0.25">
      <c r="A97" s="60">
        <f t="shared" si="29"/>
        <v>0.72</v>
      </c>
      <c r="B97" s="812"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4.5386245697479267E-2</v>
      </c>
      <c r="M97" s="559">
        <f t="shared" ca="1" si="34"/>
        <v>7.3752649258403802E-2</v>
      </c>
      <c r="N97" s="557" t="s">
        <v>336</v>
      </c>
      <c r="O97" s="559">
        <f t="shared" ca="1" si="35"/>
        <v>4.9550572490118718E-2</v>
      </c>
      <c r="P97" s="559">
        <f t="shared" ca="1" si="35"/>
        <v>8.0519680296442908E-2</v>
      </c>
      <c r="Q97" s="557" t="s">
        <v>336</v>
      </c>
      <c r="R97" s="558">
        <f t="shared" ca="1" si="36"/>
        <v>2.7001984262505624E-4</v>
      </c>
      <c r="S97" s="558">
        <f t="shared" ca="1" si="36"/>
        <v>4.3878224426571635E-4</v>
      </c>
      <c r="T97" s="557" t="s">
        <v>336</v>
      </c>
      <c r="U97" s="558">
        <f t="shared" ca="1" si="37"/>
        <v>2.9479498866121011E-4</v>
      </c>
      <c r="V97" s="558">
        <f t="shared" ca="1" si="37"/>
        <v>4.790418565744664E-4</v>
      </c>
      <c r="W97" s="557" t="s">
        <v>336</v>
      </c>
      <c r="X97" s="559">
        <f t="shared" ca="1" si="38"/>
        <v>2.4560039594993671E-3</v>
      </c>
      <c r="Y97" s="559">
        <f t="shared" ca="1" si="38"/>
        <v>3.9910064341864707E-3</v>
      </c>
      <c r="Z97" s="557" t="s">
        <v>336</v>
      </c>
      <c r="AA97" s="559">
        <f t="shared" ca="1" si="39"/>
        <v>1.6411093817946889E-3</v>
      </c>
      <c r="AB97" s="559">
        <f t="shared" ca="1" si="39"/>
        <v>2.6668027454163695E-3</v>
      </c>
      <c r="AC97" s="557" t="s">
        <v>336</v>
      </c>
      <c r="AD97" s="558">
        <f t="shared" ca="1" si="40"/>
        <v>2.0333504265246549E-2</v>
      </c>
      <c r="AE97" s="558">
        <f t="shared" ca="1" si="40"/>
        <v>3.3041944431025635E-2</v>
      </c>
      <c r="AF97" s="557" t="s">
        <v>336</v>
      </c>
      <c r="AG97" s="558">
        <f t="shared" ca="1" si="41"/>
        <v>1.3586909941814789E-2</v>
      </c>
      <c r="AH97" s="558">
        <f t="shared" ca="1" si="41"/>
        <v>2.2078728655449031E-2</v>
      </c>
      <c r="AI97" s="557" t="s">
        <v>336</v>
      </c>
      <c r="AJ97" s="507">
        <f t="shared" ca="1" si="42"/>
        <v>4.5116225854854211E-2</v>
      </c>
      <c r="AK97" s="507">
        <f t="shared" ca="1" si="42"/>
        <v>7.3313867014138084E-2</v>
      </c>
      <c r="AL97" s="507">
        <f t="shared" ca="1" si="43"/>
        <v>4.9255777501457508E-2</v>
      </c>
      <c r="AM97" s="507">
        <f t="shared" ca="1" si="43"/>
        <v>8.0040638439868445E-2</v>
      </c>
      <c r="AN97" s="507">
        <f t="shared" ca="1" si="44"/>
        <v>-1.7877500305747182E-2</v>
      </c>
      <c r="AO97" s="507">
        <f t="shared" ca="1" si="44"/>
        <v>-2.9050937996839166E-2</v>
      </c>
      <c r="AP97" s="507">
        <f t="shared" ca="1" si="45"/>
        <v>-1.1945800560020099E-2</v>
      </c>
      <c r="AQ97" s="507">
        <f t="shared" ca="1" si="45"/>
        <v>-1.941192591003266E-2</v>
      </c>
      <c r="AR97" s="812" t="s">
        <v>143</v>
      </c>
      <c r="AS97" s="812">
        <v>2104008330</v>
      </c>
      <c r="AT97" s="507">
        <f t="shared" ca="1" si="46"/>
        <v>0.29362726123173716</v>
      </c>
      <c r="AU97" s="507">
        <f t="shared" ca="1" si="46"/>
        <v>0.47714429950157289</v>
      </c>
      <c r="AV97" s="507">
        <f t="shared" ca="1" si="47"/>
        <v>0.29362726123173716</v>
      </c>
      <c r="AW97" s="507">
        <f t="shared" ca="1" si="47"/>
        <v>0.47714429950157289</v>
      </c>
      <c r="AX97" s="507">
        <f t="shared" ca="1" si="48"/>
        <v>-2.1501343804542987</v>
      </c>
      <c r="AY97" s="507">
        <f t="shared" ca="1" si="48"/>
        <v>-3.4939683682382343</v>
      </c>
      <c r="AZ97" s="507">
        <f t="shared" ca="1" si="49"/>
        <v>-2.1501343804542983</v>
      </c>
      <c r="BA97" s="507">
        <f t="shared" ca="1" si="49"/>
        <v>-3.4939683682382348</v>
      </c>
      <c r="BB97" s="550">
        <f t="shared" ca="1" si="50"/>
        <v>0.29362726123173721</v>
      </c>
      <c r="BC97" s="550">
        <f t="shared" ca="1" si="50"/>
        <v>0.47714429950157289</v>
      </c>
      <c r="BD97" s="550">
        <f t="shared" ca="1" si="51"/>
        <v>-2.1501343804542987</v>
      </c>
      <c r="BE97" s="550">
        <f t="shared" ca="1" si="51"/>
        <v>-3.4939683682382343</v>
      </c>
    </row>
    <row r="98" spans="1:57" x14ac:dyDescent="0.25">
      <c r="A98" s="60">
        <f t="shared" si="29"/>
        <v>0.56000000000000005</v>
      </c>
      <c r="B98" s="812"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2.7213764122517971E-3</v>
      </c>
      <c r="M98" s="559">
        <f t="shared" ca="1" si="34"/>
        <v>2.7213764122517971E-3</v>
      </c>
      <c r="N98" s="557" t="s">
        <v>336</v>
      </c>
      <c r="O98" s="559">
        <f t="shared" ca="1" si="35"/>
        <v>2.9710710175719864E-3</v>
      </c>
      <c r="P98" s="559">
        <f t="shared" ca="1" si="35"/>
        <v>2.9710710175719864E-3</v>
      </c>
      <c r="Q98" s="557" t="s">
        <v>336</v>
      </c>
      <c r="R98" s="558">
        <f t="shared" ca="1" si="36"/>
        <v>3.5739893982238678E-5</v>
      </c>
      <c r="S98" s="558">
        <f t="shared" ca="1" si="36"/>
        <v>3.5739893982238678E-5</v>
      </c>
      <c r="T98" s="557" t="s">
        <v>336</v>
      </c>
      <c r="U98" s="558">
        <f t="shared" ca="1" si="37"/>
        <v>3.9019138515227154E-5</v>
      </c>
      <c r="V98" s="558">
        <f t="shared" ca="1" si="37"/>
        <v>3.9019138515227154E-5</v>
      </c>
      <c r="W98" s="557" t="s">
        <v>336</v>
      </c>
      <c r="X98" s="559">
        <f t="shared" ca="1" si="38"/>
        <v>3.4999350810162923E-4</v>
      </c>
      <c r="Y98" s="559">
        <f t="shared" ca="1" si="38"/>
        <v>3.4999350810162923E-4</v>
      </c>
      <c r="Z98" s="557" t="s">
        <v>336</v>
      </c>
      <c r="AA98" s="559">
        <f t="shared" ca="1" si="39"/>
        <v>2.3386673604137862E-4</v>
      </c>
      <c r="AB98" s="559">
        <f t="shared" ca="1" si="39"/>
        <v>2.3386673604137862E-4</v>
      </c>
      <c r="AC98" s="557" t="s">
        <v>336</v>
      </c>
      <c r="AD98" s="558">
        <f t="shared" ca="1" si="40"/>
        <v>2.6913477160136479E-3</v>
      </c>
      <c r="AE98" s="558">
        <f t="shared" ca="1" si="40"/>
        <v>2.6913477160136479E-3</v>
      </c>
      <c r="AF98" s="557" t="s">
        <v>336</v>
      </c>
      <c r="AG98" s="558">
        <f t="shared" ca="1" si="41"/>
        <v>1.7983668020315519E-3</v>
      </c>
      <c r="AH98" s="558">
        <f t="shared" ca="1" si="41"/>
        <v>1.7983668020315519E-3</v>
      </c>
      <c r="AI98" s="557" t="s">
        <v>336</v>
      </c>
      <c r="AJ98" s="507">
        <f t="shared" ca="1" si="42"/>
        <v>2.6856365182695583E-3</v>
      </c>
      <c r="AK98" s="507">
        <f t="shared" ca="1" si="42"/>
        <v>2.6856365182695583E-3</v>
      </c>
      <c r="AL98" s="507">
        <f t="shared" ca="1" si="43"/>
        <v>2.9320518790567594E-3</v>
      </c>
      <c r="AM98" s="507">
        <f t="shared" ca="1" si="43"/>
        <v>2.9320518790567594E-3</v>
      </c>
      <c r="AN98" s="507">
        <f t="shared" ca="1" si="44"/>
        <v>-2.3413542079120187E-3</v>
      </c>
      <c r="AO98" s="507">
        <f t="shared" ca="1" si="44"/>
        <v>-2.3413542079120187E-3</v>
      </c>
      <c r="AP98" s="507">
        <f t="shared" ca="1" si="45"/>
        <v>-1.5645000659901733E-3</v>
      </c>
      <c r="AQ98" s="507">
        <f t="shared" ca="1" si="45"/>
        <v>-1.5645000659901733E-3</v>
      </c>
      <c r="AR98" s="812" t="s">
        <v>144</v>
      </c>
      <c r="AS98" s="812">
        <v>2104008410</v>
      </c>
      <c r="AT98" s="507">
        <f t="shared" ca="1" si="46"/>
        <v>0.47369614984746644</v>
      </c>
      <c r="AU98" s="507">
        <f t="shared" ca="1" si="46"/>
        <v>0.47369614984746644</v>
      </c>
      <c r="AV98" s="507">
        <f t="shared" ca="1" si="47"/>
        <v>0.4736961498474665</v>
      </c>
      <c r="AW98" s="507">
        <f t="shared" ca="1" si="47"/>
        <v>0.4736961498474665</v>
      </c>
      <c r="AX98" s="507">
        <f t="shared" ca="1" si="48"/>
        <v>-3.2110596162013136</v>
      </c>
      <c r="AY98" s="507">
        <f t="shared" ca="1" si="48"/>
        <v>-3.2110596162013136</v>
      </c>
      <c r="AZ98" s="507">
        <f t="shared" ca="1" si="49"/>
        <v>-3.2110596162013136</v>
      </c>
      <c r="BA98" s="507">
        <f t="shared" ca="1" si="49"/>
        <v>-3.2110596162013136</v>
      </c>
      <c r="BB98" s="550">
        <f t="shared" ca="1" si="50"/>
        <v>0.47369614984746644</v>
      </c>
      <c r="BC98" s="550">
        <f t="shared" ca="1" si="50"/>
        <v>0.47369614984746644</v>
      </c>
      <c r="BD98" s="550">
        <f t="shared" ca="1" si="51"/>
        <v>-3.2110596162013136</v>
      </c>
      <c r="BE98" s="550">
        <f t="shared" ca="1" si="51"/>
        <v>-3.2110596162013136</v>
      </c>
    </row>
    <row r="99" spans="1:57" x14ac:dyDescent="0.25">
      <c r="A99" s="60">
        <f t="shared" si="29"/>
        <v>0.78</v>
      </c>
      <c r="B99" s="812"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9.1792872150848609E-3</v>
      </c>
      <c r="M99" s="559">
        <f t="shared" ca="1" si="34"/>
        <v>9.1792872150848609E-3</v>
      </c>
      <c r="N99" s="557" t="s">
        <v>336</v>
      </c>
      <c r="O99" s="559">
        <f t="shared" ca="1" si="35"/>
        <v>1.0021514878987756E-2</v>
      </c>
      <c r="P99" s="559">
        <f t="shared" ca="1" si="35"/>
        <v>1.0021514878987756E-2</v>
      </c>
      <c r="Q99" s="557" t="s">
        <v>336</v>
      </c>
      <c r="R99" s="558">
        <f t="shared" ca="1" si="36"/>
        <v>1.6791139831305799E-4</v>
      </c>
      <c r="S99" s="558">
        <f t="shared" ca="1" si="36"/>
        <v>1.6791139831305799E-4</v>
      </c>
      <c r="T99" s="557" t="s">
        <v>336</v>
      </c>
      <c r="U99" s="558">
        <f t="shared" ca="1" si="37"/>
        <v>1.8331778242875187E-4</v>
      </c>
      <c r="V99" s="558">
        <f t="shared" ca="1" si="37"/>
        <v>1.8331778242875187E-4</v>
      </c>
      <c r="W99" s="557" t="s">
        <v>336</v>
      </c>
      <c r="X99" s="559">
        <f t="shared" ca="1" si="38"/>
        <v>1.1805389801338253E-3</v>
      </c>
      <c r="Y99" s="559">
        <f t="shared" ca="1" si="38"/>
        <v>1.1805389801338253E-3</v>
      </c>
      <c r="Z99" s="557" t="s">
        <v>336</v>
      </c>
      <c r="AA99" s="559">
        <f t="shared" ca="1" si="39"/>
        <v>7.8883976891750362E-4</v>
      </c>
      <c r="AB99" s="559">
        <f t="shared" ca="1" si="39"/>
        <v>7.8883976891750362E-4</v>
      </c>
      <c r="AC99" s="557" t="s">
        <v>336</v>
      </c>
      <c r="AD99" s="558">
        <f t="shared" ca="1" si="40"/>
        <v>1.2644356431697507E-2</v>
      </c>
      <c r="AE99" s="558">
        <f t="shared" ca="1" si="40"/>
        <v>1.2644356431697507E-2</v>
      </c>
      <c r="AF99" s="557" t="s">
        <v>336</v>
      </c>
      <c r="AG99" s="558">
        <f t="shared" ca="1" si="41"/>
        <v>8.4489977658849698E-3</v>
      </c>
      <c r="AH99" s="558">
        <f t="shared" ca="1" si="41"/>
        <v>8.4489977658849698E-3</v>
      </c>
      <c r="AI99" s="557" t="s">
        <v>336</v>
      </c>
      <c r="AJ99" s="507">
        <f t="shared" ca="1" si="42"/>
        <v>9.0113758167718033E-3</v>
      </c>
      <c r="AK99" s="507">
        <f t="shared" ca="1" si="42"/>
        <v>9.0113758167718033E-3</v>
      </c>
      <c r="AL99" s="507">
        <f t="shared" ca="1" si="43"/>
        <v>9.8381970965590038E-3</v>
      </c>
      <c r="AM99" s="507">
        <f t="shared" ca="1" si="43"/>
        <v>9.8381970965590038E-3</v>
      </c>
      <c r="AN99" s="507">
        <f t="shared" ca="1" si="44"/>
        <v>-1.1463817451563682E-2</v>
      </c>
      <c r="AO99" s="507">
        <f t="shared" ca="1" si="44"/>
        <v>-1.1463817451563682E-2</v>
      </c>
      <c r="AP99" s="507">
        <f t="shared" ca="1" si="45"/>
        <v>-7.660157996967466E-3</v>
      </c>
      <c r="AQ99" s="507">
        <f t="shared" ca="1" si="45"/>
        <v>-7.660157996967466E-3</v>
      </c>
      <c r="AR99" s="812" t="s">
        <v>145</v>
      </c>
      <c r="AS99" s="812">
        <v>2104008420</v>
      </c>
      <c r="AT99" s="507">
        <f t="shared" ca="1" si="46"/>
        <v>0.47121963728754257</v>
      </c>
      <c r="AU99" s="507">
        <f t="shared" ca="1" si="46"/>
        <v>0.47121963728754257</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2"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4.2112963846911683E-2</v>
      </c>
      <c r="M100" s="559">
        <f t="shared" ca="1" si="34"/>
        <v>4.5606205087669327E-2</v>
      </c>
      <c r="N100" s="557" t="s">
        <v>336</v>
      </c>
      <c r="O100" s="559">
        <f t="shared" ca="1" si="35"/>
        <v>4.597695702304018E-2</v>
      </c>
      <c r="P100" s="559">
        <f t="shared" ca="1" si="35"/>
        <v>4.9790713826794654E-2</v>
      </c>
      <c r="Q100" s="557" t="s">
        <v>336</v>
      </c>
      <c r="R100" s="558">
        <f t="shared" ca="1" si="36"/>
        <v>1.3331150649700891E-4</v>
      </c>
      <c r="S100" s="558">
        <f t="shared" ca="1" si="36"/>
        <v>1.4436960381012482E-4</v>
      </c>
      <c r="T100" s="557" t="s">
        <v>336</v>
      </c>
      <c r="U100" s="558">
        <f t="shared" ca="1" si="37"/>
        <v>1.4554324476355286E-4</v>
      </c>
      <c r="V100" s="558">
        <f t="shared" ca="1" si="37"/>
        <v>1.5761595631075999E-4</v>
      </c>
      <c r="W100" s="557" t="s">
        <v>336</v>
      </c>
      <c r="X100" s="559">
        <f t="shared" ca="1" si="38"/>
        <v>2.0303226514911733E-3</v>
      </c>
      <c r="Y100" s="559">
        <f t="shared" ca="1" si="38"/>
        <v>2.1987365119835282E-3</v>
      </c>
      <c r="Z100" s="557" t="s">
        <v>336</v>
      </c>
      <c r="AA100" s="559">
        <f t="shared" ca="1" si="39"/>
        <v>1.3566678256136141E-3</v>
      </c>
      <c r="AB100" s="559">
        <f t="shared" ca="1" si="39"/>
        <v>1.4692024839594437E-3</v>
      </c>
      <c r="AC100" s="557" t="s">
        <v>336</v>
      </c>
      <c r="AD100" s="558">
        <f t="shared" ca="1" si="40"/>
        <v>1.0038855143425075E-2</v>
      </c>
      <c r="AE100" s="558">
        <f t="shared" ca="1" si="40"/>
        <v>1.0871571238271394E-2</v>
      </c>
      <c r="AF100" s="557" t="s">
        <v>336</v>
      </c>
      <c r="AG100" s="558">
        <f t="shared" ca="1" si="41"/>
        <v>6.7079938102831893E-3</v>
      </c>
      <c r="AH100" s="558">
        <f t="shared" ca="1" si="41"/>
        <v>7.2644172599840981E-3</v>
      </c>
      <c r="AI100" s="557" t="s">
        <v>336</v>
      </c>
      <c r="AJ100" s="507">
        <f t="shared" ca="1" si="42"/>
        <v>4.1979652340414675E-2</v>
      </c>
      <c r="AK100" s="507">
        <f t="shared" ca="1" si="42"/>
        <v>4.5461835483859202E-2</v>
      </c>
      <c r="AL100" s="507">
        <f t="shared" ca="1" si="43"/>
        <v>4.5831413778276625E-2</v>
      </c>
      <c r="AM100" s="507">
        <f t="shared" ca="1" si="43"/>
        <v>4.9633097870483894E-2</v>
      </c>
      <c r="AN100" s="507">
        <f t="shared" ca="1" si="44"/>
        <v>-8.0085324919339021E-3</v>
      </c>
      <c r="AO100" s="507">
        <f t="shared" ca="1" si="44"/>
        <v>-8.6728347262878657E-3</v>
      </c>
      <c r="AP100" s="507">
        <f t="shared" ca="1" si="45"/>
        <v>-5.3513259846695756E-3</v>
      </c>
      <c r="AQ100" s="507">
        <f t="shared" ca="1" si="45"/>
        <v>-5.7952147760246542E-3</v>
      </c>
      <c r="AR100" s="812" t="s">
        <v>146</v>
      </c>
      <c r="AS100" s="812">
        <v>2104008610</v>
      </c>
      <c r="AT100" s="507">
        <f t="shared" ca="1" si="46"/>
        <v>0.44183095446472737</v>
      </c>
      <c r="AU100" s="507">
        <f t="shared" ca="1" si="46"/>
        <v>0.47848052672447428</v>
      </c>
      <c r="AV100" s="507">
        <f t="shared" ca="1" si="47"/>
        <v>0.44183095446472731</v>
      </c>
      <c r="AW100" s="507">
        <f t="shared" ca="1" si="47"/>
        <v>0.47848052672447422</v>
      </c>
      <c r="AX100" s="507">
        <f t="shared" ca="1" si="48"/>
        <v>-1.7483202626495842</v>
      </c>
      <c r="AY100" s="507">
        <f t="shared" ca="1" si="48"/>
        <v>-1.8933422199200565</v>
      </c>
      <c r="AZ100" s="507">
        <f t="shared" ca="1" si="49"/>
        <v>-1.7483202626495842</v>
      </c>
      <c r="BA100" s="507">
        <f t="shared" ca="1" si="49"/>
        <v>-1.8933422199200562</v>
      </c>
      <c r="BB100" s="550">
        <f t="shared" ca="1" si="50"/>
        <v>0.44183095446472742</v>
      </c>
      <c r="BC100" s="550">
        <f t="shared" ca="1" si="50"/>
        <v>0.47848052672447428</v>
      </c>
      <c r="BD100" s="550">
        <f t="shared" ca="1" si="51"/>
        <v>-1.7483202626495844</v>
      </c>
      <c r="BE100" s="550">
        <f t="shared" ca="1" si="51"/>
        <v>-1.8933422199200565</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2" t="s">
        <v>783</v>
      </c>
      <c r="AS101" s="812">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2" t="s">
        <v>148</v>
      </c>
      <c r="AS102" s="812">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2" t="s">
        <v>747</v>
      </c>
      <c r="AS103" s="812">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2" t="s">
        <v>149</v>
      </c>
      <c r="AS104" s="812">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2" t="s">
        <v>150</v>
      </c>
      <c r="AS105" s="812">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2" t="s">
        <v>151</v>
      </c>
      <c r="AS106" s="812">
        <v>2104002000</v>
      </c>
      <c r="AT106" s="507">
        <f t="shared" ca="1" si="59"/>
        <v>0.49828210592064909</v>
      </c>
      <c r="AU106" s="507">
        <f t="shared" ca="1" si="59"/>
        <v>0.49828210592064909</v>
      </c>
      <c r="AV106" s="507">
        <f t="shared" ca="1" si="60"/>
        <v>0.49828210592064914</v>
      </c>
      <c r="AW106" s="507">
        <f t="shared" ca="1" si="60"/>
        <v>0.49828210592064914</v>
      </c>
      <c r="AX106" s="507">
        <f t="shared" ca="1" si="61"/>
        <v>0.4103118857783955</v>
      </c>
      <c r="AY106" s="507">
        <f t="shared" ca="1" si="61"/>
        <v>0.4103118857783955</v>
      </c>
      <c r="AZ106" s="507">
        <f t="shared" ca="1" si="62"/>
        <v>0.40657488101916195</v>
      </c>
      <c r="BA106" s="507">
        <f t="shared" ca="1" si="62"/>
        <v>0.40657488101916195</v>
      </c>
      <c r="BB106" s="550">
        <f t="shared" ca="1" si="50"/>
        <v>0.49828210592064903</v>
      </c>
      <c r="BC106" s="550">
        <f t="shared" ca="1" si="50"/>
        <v>0.49828210592064903</v>
      </c>
      <c r="BD106" s="550">
        <f t="shared" ca="1" si="51"/>
        <v>0.4103118857783955</v>
      </c>
      <c r="BE106" s="550">
        <f t="shared" ca="1" si="51"/>
        <v>0.4103118857783955</v>
      </c>
    </row>
    <row r="107" spans="1:57" x14ac:dyDescent="0.25">
      <c r="A107" s="60">
        <f t="shared" si="29"/>
        <v>0.43</v>
      </c>
      <c r="B107" s="812"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1.8423984776033905E-2</v>
      </c>
      <c r="M107" s="133">
        <f t="shared" ca="1" si="52"/>
        <v>1.8423984776033905E-2</v>
      </c>
      <c r="N107" s="551" t="s">
        <v>336</v>
      </c>
      <c r="O107" s="133">
        <f t="shared" ca="1" si="53"/>
        <v>2.0114441703038131E-2</v>
      </c>
      <c r="P107" s="133">
        <f t="shared" ca="1" si="53"/>
        <v>2.0114441703038131E-2</v>
      </c>
      <c r="Q107" s="551" t="s">
        <v>336</v>
      </c>
      <c r="R107" s="58">
        <f t="shared" ca="1" si="54"/>
        <v>6.3300908729599687E-5</v>
      </c>
      <c r="S107" s="58">
        <f t="shared" ca="1" si="54"/>
        <v>6.3300908729599687E-5</v>
      </c>
      <c r="T107" s="551" t="s">
        <v>336</v>
      </c>
      <c r="U107" s="58">
        <f t="shared" ca="1" si="55"/>
        <v>6.9108960622196267E-5</v>
      </c>
      <c r="V107" s="58">
        <f t="shared" ca="1" si="55"/>
        <v>6.9108960622196267E-5</v>
      </c>
      <c r="W107" s="551" t="s">
        <v>336</v>
      </c>
      <c r="X107" s="133">
        <f t="shared" ca="1" si="56"/>
        <v>2.5511314736989175E-2</v>
      </c>
      <c r="Y107" s="133">
        <f t="shared" ca="1" si="56"/>
        <v>2.5511314736989175E-2</v>
      </c>
      <c r="Z107" s="551" t="s">
        <v>336</v>
      </c>
      <c r="AA107" s="133">
        <f t="shared" ca="1" si="57"/>
        <v>1.7046738786742104E-2</v>
      </c>
      <c r="AB107" s="133">
        <f t="shared" ca="1" si="57"/>
        <v>1.7046738786742104E-2</v>
      </c>
      <c r="AC107" s="551" t="s">
        <v>336</v>
      </c>
      <c r="AD107" s="58">
        <f t="shared" ca="1" si="40"/>
        <v>4.5761234201487739E-3</v>
      </c>
      <c r="AE107" s="58">
        <f t="shared" ca="1" si="40"/>
        <v>4.5761234201487739E-3</v>
      </c>
      <c r="AF107" s="551" t="s">
        <v>336</v>
      </c>
      <c r="AG107" s="58">
        <f t="shared" ca="1" si="58"/>
        <v>3.1851871987732946E-3</v>
      </c>
      <c r="AH107" s="58">
        <f t="shared" ca="1" si="58"/>
        <v>3.1851871987732946E-3</v>
      </c>
      <c r="AI107" s="551" t="s">
        <v>336</v>
      </c>
      <c r="AJ107" s="507">
        <f t="shared" ca="1" si="42"/>
        <v>1.8360683867304304E-2</v>
      </c>
      <c r="AK107" s="507">
        <f t="shared" ca="1" si="42"/>
        <v>1.8360683867304304E-2</v>
      </c>
      <c r="AL107" s="507">
        <f t="shared" ca="1" si="43"/>
        <v>2.0045332742415937E-2</v>
      </c>
      <c r="AM107" s="507">
        <f t="shared" ca="1" si="43"/>
        <v>2.0045332742415937E-2</v>
      </c>
      <c r="AN107" s="507">
        <f t="shared" ca="1" si="44"/>
        <v>2.09351913168404E-2</v>
      </c>
      <c r="AO107" s="507">
        <f t="shared" ca="1" si="44"/>
        <v>2.09351913168404E-2</v>
      </c>
      <c r="AP107" s="507">
        <f t="shared" ca="1" si="45"/>
        <v>1.3861551587968809E-2</v>
      </c>
      <c r="AQ107" s="507">
        <f t="shared" ca="1" si="45"/>
        <v>1.3861551587968809E-2</v>
      </c>
      <c r="AR107" s="812" t="s">
        <v>152</v>
      </c>
      <c r="AS107" s="812">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2"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4.9499900180754605E-5</v>
      </c>
      <c r="M108" s="133">
        <f t="shared" ca="1" si="52"/>
        <v>4.9499900180754605E-5</v>
      </c>
      <c r="N108" s="551" t="s">
        <v>336</v>
      </c>
      <c r="O108" s="133">
        <f t="shared" ca="1" si="53"/>
        <v>5.4041667348051799E-5</v>
      </c>
      <c r="P108" s="133">
        <f t="shared" ca="1" si="53"/>
        <v>5.4041667348051799E-5</v>
      </c>
      <c r="Q108" s="551" t="s">
        <v>336</v>
      </c>
      <c r="R108" s="58">
        <f t="shared" ca="1" si="54"/>
        <v>1.7007117089795821E-7</v>
      </c>
      <c r="S108" s="58">
        <f t="shared" ca="1" si="54"/>
        <v>1.7007117089795821E-7</v>
      </c>
      <c r="T108" s="551" t="s">
        <v>336</v>
      </c>
      <c r="U108" s="58">
        <f t="shared" ca="1" si="55"/>
        <v>1.8567572075093856E-7</v>
      </c>
      <c r="V108" s="58">
        <f t="shared" ca="1" si="55"/>
        <v>1.8567572075093856E-7</v>
      </c>
      <c r="W108" s="551" t="s">
        <v>336</v>
      </c>
      <c r="X108" s="133">
        <f t="shared" ca="1" si="56"/>
        <v>6.8541498938028323E-5</v>
      </c>
      <c r="Y108" s="133">
        <f t="shared" ca="1" si="56"/>
        <v>6.8541498938028323E-5</v>
      </c>
      <c r="Z108" s="551" t="s">
        <v>336</v>
      </c>
      <c r="AA108" s="133">
        <f t="shared" ca="1" si="57"/>
        <v>4.5799639904651382E-5</v>
      </c>
      <c r="AB108" s="133">
        <f t="shared" ca="1" si="57"/>
        <v>4.5799639904651382E-5</v>
      </c>
      <c r="AC108" s="551" t="s">
        <v>336</v>
      </c>
      <c r="AD108" s="58">
        <f t="shared" ca="1" si="40"/>
        <v>1.2294715571347733E-5</v>
      </c>
      <c r="AE108" s="58">
        <f t="shared" ca="1" si="40"/>
        <v>1.2294715571347733E-5</v>
      </c>
      <c r="AF108" s="551" t="s">
        <v>336</v>
      </c>
      <c r="AG108" s="58">
        <f t="shared" ca="1" si="58"/>
        <v>8.5576736147431829E-6</v>
      </c>
      <c r="AH108" s="58">
        <f t="shared" ca="1" si="58"/>
        <v>8.5576736147431829E-6</v>
      </c>
      <c r="AI108" s="551" t="s">
        <v>336</v>
      </c>
      <c r="AJ108" s="507">
        <f t="shared" ca="1" si="42"/>
        <v>4.9329829009856647E-5</v>
      </c>
      <c r="AK108" s="507">
        <f t="shared" ca="1" si="42"/>
        <v>4.9329829009856647E-5</v>
      </c>
      <c r="AL108" s="507">
        <f t="shared" ca="1" si="43"/>
        <v>5.385599162730086E-5</v>
      </c>
      <c r="AM108" s="507">
        <f t="shared" ca="1" si="43"/>
        <v>5.385599162730086E-5</v>
      </c>
      <c r="AN108" s="507">
        <f t="shared" ca="1" si="44"/>
        <v>5.6246783366680588E-5</v>
      </c>
      <c r="AO108" s="507">
        <f t="shared" ca="1" si="44"/>
        <v>5.6246783366680588E-5</v>
      </c>
      <c r="AP108" s="507">
        <f t="shared" ca="1" si="45"/>
        <v>3.7241966289908201E-5</v>
      </c>
      <c r="AQ108" s="507">
        <f t="shared" ca="1" si="45"/>
        <v>3.7241966289908201E-5</v>
      </c>
      <c r="AR108" s="812" t="s">
        <v>153</v>
      </c>
      <c r="AS108" s="812">
        <v>2103008000</v>
      </c>
      <c r="AT108" s="507">
        <f t="shared" ca="1" si="59"/>
        <v>0.49688268995248752</v>
      </c>
      <c r="AU108" s="507">
        <f t="shared" ca="1" si="59"/>
        <v>0.49688268995248752</v>
      </c>
      <c r="AV108" s="507">
        <f t="shared" ca="1" si="60"/>
        <v>0.49688268995248752</v>
      </c>
      <c r="AW108" s="507">
        <f t="shared" ca="1" si="60"/>
        <v>0.49688268995248752</v>
      </c>
      <c r="AX108" s="507">
        <f t="shared" ca="1" si="61"/>
        <v>-3.2531923477805558</v>
      </c>
      <c r="AY108" s="507">
        <f t="shared" ca="1" si="61"/>
        <v>-3.2531923477805558</v>
      </c>
      <c r="AZ108" s="507">
        <f t="shared" ca="1" si="62"/>
        <v>-3.4095753622714118</v>
      </c>
      <c r="BA108" s="507">
        <f t="shared" ca="1" si="62"/>
        <v>-3.4095753622714118</v>
      </c>
      <c r="BB108" s="550">
        <f t="shared" ca="1" si="50"/>
        <v>0.49688268995248752</v>
      </c>
      <c r="BC108" s="550">
        <f t="shared" ca="1" si="50"/>
        <v>0.49688268995248752</v>
      </c>
      <c r="BD108" s="550">
        <f t="shared" ca="1" si="51"/>
        <v>-3.2531923477805558</v>
      </c>
      <c r="BE108" s="550">
        <f t="shared" ca="1" si="51"/>
        <v>-3.2531923477805558</v>
      </c>
    </row>
    <row r="109" spans="1:57" ht="15.75" thickBot="1" x14ac:dyDescent="0.3">
      <c r="A109" s="112">
        <v>0.6</v>
      </c>
      <c r="B109" s="812"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4.8487009684398626E-5</v>
      </c>
      <c r="M109" s="133">
        <f t="shared" ca="1" si="52"/>
        <v>4.8487009684398626E-5</v>
      </c>
      <c r="N109" s="551" t="s">
        <v>336</v>
      </c>
      <c r="O109" s="133">
        <f t="shared" ca="1" si="53"/>
        <v>5.2935841052156468E-5</v>
      </c>
      <c r="P109" s="133">
        <f t="shared" ca="1" si="53"/>
        <v>5.2935841052156468E-5</v>
      </c>
      <c r="Q109" s="551" t="s">
        <v>336</v>
      </c>
      <c r="R109" s="58">
        <f t="shared" ca="1" si="54"/>
        <v>3.0229808492602114E-7</v>
      </c>
      <c r="S109" s="58">
        <f t="shared" ca="1" si="54"/>
        <v>3.0229808492602114E-7</v>
      </c>
      <c r="T109" s="551" t="s">
        <v>336</v>
      </c>
      <c r="U109" s="58">
        <f t="shared" ca="1" si="55"/>
        <v>3.3003485837082149E-7</v>
      </c>
      <c r="V109" s="58">
        <f t="shared" ca="1" si="55"/>
        <v>3.3003485837082149E-7</v>
      </c>
      <c r="W109" s="551" t="s">
        <v>336</v>
      </c>
      <c r="X109" s="133">
        <f t="shared" ca="1" si="56"/>
        <v>1.6872393645802097E-6</v>
      </c>
      <c r="Y109" s="133">
        <f t="shared" ca="1" si="56"/>
        <v>1.6872393645802097E-6</v>
      </c>
      <c r="Z109" s="551" t="s">
        <v>336</v>
      </c>
      <c r="AA109" s="133">
        <f t="shared" ca="1" si="57"/>
        <v>1.1274185205753148E-6</v>
      </c>
      <c r="AB109" s="133">
        <f t="shared" ca="1" si="57"/>
        <v>1.1274185205753148E-6</v>
      </c>
      <c r="AC109" s="551" t="s">
        <v>336</v>
      </c>
      <c r="AD109" s="58">
        <f t="shared" ca="1" si="40"/>
        <v>1.2665067744033139E-5</v>
      </c>
      <c r="AE109" s="58">
        <f t="shared" ca="1" si="40"/>
        <v>1.2665067744033139E-5</v>
      </c>
      <c r="AF109" s="551" t="s">
        <v>336</v>
      </c>
      <c r="AG109" s="58">
        <f t="shared" ca="1" si="58"/>
        <v>8.8154553420194721E-6</v>
      </c>
      <c r="AH109" s="58">
        <f t="shared" ca="1" si="58"/>
        <v>8.8154553420194721E-6</v>
      </c>
      <c r="AI109" s="551" t="s">
        <v>336</v>
      </c>
      <c r="AJ109" s="507">
        <f t="shared" ca="1" si="42"/>
        <v>4.8184711599472603E-5</v>
      </c>
      <c r="AK109" s="507">
        <f t="shared" ca="1" si="42"/>
        <v>4.8184711599472603E-5</v>
      </c>
      <c r="AL109" s="507">
        <f t="shared" ca="1" si="43"/>
        <v>5.2605806193785648E-5</v>
      </c>
      <c r="AM109" s="507">
        <f t="shared" ca="1" si="43"/>
        <v>5.2605806193785648E-5</v>
      </c>
      <c r="AN109" s="507">
        <f t="shared" ca="1" si="44"/>
        <v>-1.097782837945293E-5</v>
      </c>
      <c r="AO109" s="507">
        <f t="shared" ca="1" si="44"/>
        <v>-1.097782837945293E-5</v>
      </c>
      <c r="AP109" s="507">
        <f t="shared" ca="1" si="45"/>
        <v>-7.6880368214441565E-6</v>
      </c>
      <c r="AQ109" s="507">
        <f t="shared" ca="1" si="45"/>
        <v>-7.6880368214441565E-6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0.11270030278847697</v>
      </c>
      <c r="AY109" s="541">
        <f t="shared" ca="1" si="61"/>
        <v>0.11270030278847697</v>
      </c>
      <c r="AZ109" s="541">
        <f t="shared" ca="1" si="62"/>
        <v>9.656281540466348E-2</v>
      </c>
      <c r="BA109" s="541">
        <f t="shared" ca="1" si="62"/>
        <v>9.656281540466348E-2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4.4513536985619378E-4</v>
      </c>
      <c r="M110" s="544">
        <f t="shared" ca="1" si="52"/>
        <v>4.4513536985619378E-4</v>
      </c>
      <c r="N110" s="542" t="s">
        <v>336</v>
      </c>
      <c r="O110" s="544">
        <f t="shared" ca="1" si="53"/>
        <v>4.8597790085995511E-4</v>
      </c>
      <c r="P110" s="544">
        <f t="shared" ca="1" si="53"/>
        <v>4.8597790085995511E-4</v>
      </c>
      <c r="Q110" s="542" t="s">
        <v>336</v>
      </c>
      <c r="R110" s="543">
        <f t="shared" ca="1" si="54"/>
        <v>4.0302824215838309E-5</v>
      </c>
      <c r="S110" s="543">
        <f t="shared" ca="1" si="54"/>
        <v>4.0302824215838309E-5</v>
      </c>
      <c r="T110" s="542" t="s">
        <v>336</v>
      </c>
      <c r="U110" s="543">
        <f t="shared" ca="1" si="55"/>
        <v>4.4000731547053754E-5</v>
      </c>
      <c r="V110" s="543">
        <f t="shared" ca="1" si="55"/>
        <v>4.4000731547053754E-5</v>
      </c>
      <c r="W110" s="542" t="s">
        <v>336</v>
      </c>
      <c r="X110" s="544">
        <f t="shared" ca="1" si="56"/>
        <v>3.7613704783877526E-3</v>
      </c>
      <c r="Y110" s="544">
        <f t="shared" ca="1" si="56"/>
        <v>3.7613704783877526E-3</v>
      </c>
      <c r="Z110" s="542" t="s">
        <v>336</v>
      </c>
      <c r="AA110" s="544">
        <f t="shared" ca="1" si="57"/>
        <v>2.5133592951315873E-3</v>
      </c>
      <c r="AB110" s="544">
        <f t="shared" ca="1" si="57"/>
        <v>2.5133592951315873E-3</v>
      </c>
      <c r="AC110" s="542" t="s">
        <v>336</v>
      </c>
      <c r="AD110" s="543">
        <f t="shared" ca="1" si="40"/>
        <v>2.9135552947598762E-3</v>
      </c>
      <c r="AE110" s="543">
        <f t="shared" ca="1" si="40"/>
        <v>2.9135552947598762E-3</v>
      </c>
      <c r="AF110" s="542" t="s">
        <v>336</v>
      </c>
      <c r="AG110" s="543">
        <f t="shared" ca="1" si="58"/>
        <v>2.0279651958088141E-3</v>
      </c>
      <c r="AH110" s="543">
        <f t="shared" ca="1" si="58"/>
        <v>2.0279651958088141E-3</v>
      </c>
      <c r="AI110" s="542" t="s">
        <v>336</v>
      </c>
      <c r="AJ110" s="541">
        <f t="shared" ca="1" si="42"/>
        <v>4.0483254564035548E-4</v>
      </c>
      <c r="AK110" s="541">
        <f t="shared" ca="1" si="42"/>
        <v>4.0483254564035548E-4</v>
      </c>
      <c r="AL110" s="541">
        <f t="shared" ca="1" si="43"/>
        <v>4.4197716931290135E-4</v>
      </c>
      <c r="AM110" s="541">
        <f t="shared" ca="1" si="43"/>
        <v>4.4197716931290135E-4</v>
      </c>
      <c r="AN110" s="541">
        <f t="shared" ca="1" si="44"/>
        <v>8.4781518362787639E-4</v>
      </c>
      <c r="AO110" s="541">
        <f t="shared" ca="1" si="44"/>
        <v>8.4781518362787639E-4</v>
      </c>
      <c r="AP110" s="541">
        <f t="shared" ca="1" si="45"/>
        <v>4.853940993227732E-4</v>
      </c>
      <c r="AQ110" s="541">
        <f t="shared" ca="1" si="45"/>
        <v>4.853940993227732E-4</v>
      </c>
      <c r="AR110" s="810"/>
      <c r="AS110" s="810" t="s">
        <v>249</v>
      </c>
      <c r="AT110" s="506">
        <f ca="1">AJ111/SUM($C40:$C59)</f>
        <v>0.26844665075498508</v>
      </c>
      <c r="AU110" s="506">
        <f ca="1">AK111/SUM($C40:$C59)</f>
        <v>0.46432260942655718</v>
      </c>
      <c r="AV110" s="506">
        <f ca="1">AL111/SUM($C60:$C79)</f>
        <v>0.26844665075498519</v>
      </c>
      <c r="AW110" s="506">
        <f ca="1">AM111/SUM($C60:$C79)</f>
        <v>0.46432260942655745</v>
      </c>
      <c r="AX110" s="506">
        <f ca="1">AN111/SUM($J40:$J59)</f>
        <v>-3.3507770065205132E-2</v>
      </c>
      <c r="AY110" s="506">
        <f ca="1">AO111/SUM($J40:$J59)</f>
        <v>-4.9141296419358049E-2</v>
      </c>
      <c r="AZ110" s="506">
        <f ca="1">AP111/SUM($J60:$J79)</f>
        <v>-3.3669634952624747E-2</v>
      </c>
      <c r="BA110" s="506">
        <f ca="1">AQ111/SUM($J60:$J79)</f>
        <v>-4.9303161306777643E-2</v>
      </c>
      <c r="BB110" s="506"/>
      <c r="BC110" s="506"/>
      <c r="BD110" s="506"/>
      <c r="BE110" s="506"/>
    </row>
    <row r="111" spans="1:57" ht="15.75" thickTop="1" x14ac:dyDescent="0.25">
      <c r="K111" s="244" t="s">
        <v>784</v>
      </c>
      <c r="L111" s="137">
        <f ca="1">SUM(L91:L110)</f>
        <v>0.28499300279140322</v>
      </c>
      <c r="M111" s="137">
        <f ca="1">SUM(M91:M110)</f>
        <v>0.49237787323653115</v>
      </c>
      <c r="N111" s="540" t="s">
        <v>336</v>
      </c>
      <c r="O111" s="137">
        <f ca="1">SUM(O91:O110)</f>
        <v>0.31114198204713678</v>
      </c>
      <c r="P111" s="137">
        <f ca="1">SUM(P91:P110)</f>
        <v>0.53755504835008316</v>
      </c>
      <c r="Q111" s="540" t="s">
        <v>336</v>
      </c>
      <c r="R111" s="137">
        <f ca="1">SUM(R91:R110)</f>
        <v>1.4369063232913071E-3</v>
      </c>
      <c r="S111" s="137">
        <f ca="1">SUM(S91:S110)</f>
        <v>1.9209937761441756E-3</v>
      </c>
      <c r="T111" s="540" t="s">
        <v>336</v>
      </c>
      <c r="U111" s="137">
        <f ca="1">SUM(U91:U110)</f>
        <v>1.5687468712070689E-3</v>
      </c>
      <c r="V111" s="137">
        <f ca="1">SUM(V91:V110)</f>
        <v>2.0972508277587163E-3</v>
      </c>
      <c r="W111" s="540" t="s">
        <v>336</v>
      </c>
      <c r="X111" s="137">
        <f ca="1">SUM(X91:X110)</f>
        <v>4.3064620390005741E-2</v>
      </c>
      <c r="Y111" s="137">
        <f ca="1">SUM(Y91:Y110)</f>
        <v>4.9276868082972221E-2</v>
      </c>
      <c r="Z111" s="540" t="s">
        <v>336</v>
      </c>
      <c r="AA111" s="137">
        <f ca="1">SUM(AA91:AA110)</f>
        <v>2.8775911485041522E-2</v>
      </c>
      <c r="AB111" s="137">
        <f ca="1">SUM(AB91:AB110)</f>
        <v>3.2926954455280807E-2</v>
      </c>
      <c r="AC111" s="540" t="s">
        <v>336</v>
      </c>
      <c r="AD111" s="137">
        <f ca="1">SUM(AD91:AD110)</f>
        <v>0.10788174012273673</v>
      </c>
      <c r="AE111" s="137">
        <f ca="1">SUM(AE91:AE110)</f>
        <v>0.14433533624235295</v>
      </c>
      <c r="AF111" s="540" t="s">
        <v>336</v>
      </c>
      <c r="AG111" s="137">
        <f ca="1">SUM(AG91:AG110)</f>
        <v>7.2296130797686722E-2</v>
      </c>
      <c r="AH111" s="137">
        <f ca="1">SUM(AH91:AH110)</f>
        <v>9.6654535579839967E-2</v>
      </c>
      <c r="AI111" s="540" t="s">
        <v>336</v>
      </c>
      <c r="AJ111" s="506">
        <f t="shared" ref="AJ111:AQ111" ca="1" si="64">SUM(AJ91:AJ110)</f>
        <v>0.28355609646811192</v>
      </c>
      <c r="AK111" s="506">
        <f t="shared" ca="1" si="64"/>
        <v>0.49045687946038691</v>
      </c>
      <c r="AL111" s="506">
        <f t="shared" ca="1" si="64"/>
        <v>0.30957323517592972</v>
      </c>
      <c r="AM111" s="506">
        <f t="shared" ca="1" si="64"/>
        <v>0.53545779752232459</v>
      </c>
      <c r="AN111" s="506">
        <f t="shared" ca="1" si="64"/>
        <v>-6.4817119732730966E-2</v>
      </c>
      <c r="AO111" s="506">
        <f t="shared" ca="1" si="64"/>
        <v>-9.5058468159380766E-2</v>
      </c>
      <c r="AP111" s="506">
        <f t="shared" ca="1" si="64"/>
        <v>-4.35202193126452E-2</v>
      </c>
      <c r="AQ111" s="506">
        <f t="shared" ca="1" si="64"/>
        <v>-6.372758112455916E-2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0.59312933164404158</v>
      </c>
      <c r="AK113" s="506">
        <f ca="1">AK111+AM111</f>
        <v>1.0259146769827114</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2" t="s">
        <v>101</v>
      </c>
      <c r="B119" s="812" t="s">
        <v>752</v>
      </c>
      <c r="C119" s="539">
        <f t="shared" ref="C119:E120" ca="1" si="65">C32</f>
        <v>1.0562847242483104</v>
      </c>
      <c r="D119" s="539">
        <f t="shared" ca="1" si="65"/>
        <v>1.0562847242483104</v>
      </c>
      <c r="E119" s="539">
        <f t="shared" ca="1" si="65"/>
        <v>1.0562847242483104</v>
      </c>
      <c r="F119" s="539" t="s">
        <v>336</v>
      </c>
      <c r="G119" s="539">
        <f ca="1">G32</f>
        <v>1.0562847242483104</v>
      </c>
      <c r="H119" s="539">
        <f ca="1">H32</f>
        <v>1.0562847242483104</v>
      </c>
      <c r="I119" s="539" t="s">
        <v>336</v>
      </c>
      <c r="J119" s="539">
        <f t="shared" ref="J119:L120" ca="1" si="66">J32</f>
        <v>1.9343907280788533</v>
      </c>
      <c r="K119" s="539">
        <f t="shared" ca="1" si="66"/>
        <v>1.9343907280788533</v>
      </c>
      <c r="L119" s="539">
        <f t="shared" ca="1" si="66"/>
        <v>1.9343907280788533</v>
      </c>
      <c r="M119" s="539" t="s">
        <v>336</v>
      </c>
      <c r="N119" s="539">
        <f ca="1">N32</f>
        <v>1.9343907280788533</v>
      </c>
      <c r="O119" s="539">
        <f ca="1">O32</f>
        <v>1.9343907280788533</v>
      </c>
      <c r="P119" s="539" t="s">
        <v>336</v>
      </c>
    </row>
    <row r="120" spans="1:39" x14ac:dyDescent="0.25">
      <c r="A120" s="812" t="s">
        <v>101</v>
      </c>
      <c r="B120" s="812" t="s">
        <v>754</v>
      </c>
      <c r="C120" s="539">
        <f t="shared" ca="1" si="65"/>
        <v>1.1532020768569076</v>
      </c>
      <c r="D120" s="539">
        <f t="shared" ca="1" si="65"/>
        <v>1.1532020768569076</v>
      </c>
      <c r="E120" s="539">
        <f t="shared" ca="1" si="65"/>
        <v>1.1532020768569076</v>
      </c>
      <c r="F120" s="539" t="s">
        <v>336</v>
      </c>
      <c r="G120" s="539">
        <f ca="1">G33</f>
        <v>1.1532020768569076</v>
      </c>
      <c r="H120" s="539">
        <f ca="1">H33</f>
        <v>1.1532020768569076</v>
      </c>
      <c r="I120" s="539" t="s">
        <v>336</v>
      </c>
      <c r="J120" s="539">
        <f t="shared" ca="1" si="66"/>
        <v>1.2925658200298529</v>
      </c>
      <c r="K120" s="539">
        <f t="shared" ca="1" si="66"/>
        <v>1.2925658200298529</v>
      </c>
      <c r="L120" s="539">
        <f t="shared" ca="1" si="66"/>
        <v>1.2925658200298529</v>
      </c>
      <c r="M120" s="539" t="s">
        <v>336</v>
      </c>
      <c r="N120" s="539">
        <f ca="1">N33</f>
        <v>1.2925658200298529</v>
      </c>
      <c r="O120" s="539">
        <f ca="1">O33</f>
        <v>1.2925658200298529</v>
      </c>
      <c r="P120" s="539" t="s">
        <v>336</v>
      </c>
    </row>
    <row r="121" spans="1:39" x14ac:dyDescent="0.25">
      <c r="A121" s="813" t="s">
        <v>101</v>
      </c>
      <c r="B121" s="813" t="s">
        <v>792</v>
      </c>
      <c r="C121" s="535">
        <f ca="1">IFERROR(C122-SUM(C119:C120),"-")</f>
        <v>0.59713710444738322</v>
      </c>
      <c r="D121" s="535">
        <f ca="1">IFERROR(D122-SUM(D119:D120),"-")</f>
        <v>0.59713710444738322</v>
      </c>
      <c r="E121" s="535">
        <f ca="1">IFERROR(E122-SUM(E119:E120),"-")</f>
        <v>0.59713710444738322</v>
      </c>
      <c r="F121" s="535" t="s">
        <v>336</v>
      </c>
      <c r="G121" s="535">
        <f ca="1">IFERROR(G122-SUM(G119:G120),"-")</f>
        <v>0.59713710444738322</v>
      </c>
      <c r="H121" s="535">
        <f ca="1">IFERROR(H122-SUM(H119:H120),"-")</f>
        <v>0.59713710444738322</v>
      </c>
      <c r="I121" s="535" t="s">
        <v>336</v>
      </c>
      <c r="J121" s="535">
        <f ca="1">IFERROR(J122-SUM(J119:J120),"-")</f>
        <v>1.0935465142288017</v>
      </c>
      <c r="K121" s="535">
        <f ca="1">IFERROR(K122-SUM(K119:K120),"-")</f>
        <v>1.0935465142288017</v>
      </c>
      <c r="L121" s="535">
        <f ca="1">IFERROR(L122-SUM(L119:L120),"-")</f>
        <v>1.0935465142288017</v>
      </c>
      <c r="M121" s="535" t="s">
        <v>336</v>
      </c>
      <c r="N121" s="535">
        <f ca="1">IFERROR(N122-SUM(N119:N120),"-")</f>
        <v>1.0935465142288017</v>
      </c>
      <c r="O121" s="535">
        <f ca="1">IFERROR(O122-SUM(O119:O120),"-")</f>
        <v>1.0935465142288017</v>
      </c>
      <c r="P121" s="535" t="s">
        <v>336</v>
      </c>
    </row>
    <row r="122" spans="1:39" x14ac:dyDescent="0.25">
      <c r="A122" s="348" t="s">
        <v>101</v>
      </c>
      <c r="B122" s="348" t="s">
        <v>793</v>
      </c>
      <c r="C122" s="534">
        <f ca="1">C26</f>
        <v>2.806623905552601</v>
      </c>
      <c r="D122" s="534">
        <f ca="1">D26</f>
        <v>2.806623905552601</v>
      </c>
      <c r="E122" s="534">
        <f ca="1">E26</f>
        <v>2.806623905552601</v>
      </c>
      <c r="F122" s="534" t="s">
        <v>336</v>
      </c>
      <c r="G122" s="534">
        <f ca="1">G26</f>
        <v>2.806623905552601</v>
      </c>
      <c r="H122" s="534">
        <f ca="1">H26</f>
        <v>2.806623905552601</v>
      </c>
      <c r="I122" s="534" t="s">
        <v>336</v>
      </c>
      <c r="J122" s="534">
        <f ca="1">J26</f>
        <v>4.320503062337508</v>
      </c>
      <c r="K122" s="534">
        <f ca="1">K26</f>
        <v>4.320503062337508</v>
      </c>
      <c r="L122" s="534">
        <f ca="1">L26</f>
        <v>4.320503062337508</v>
      </c>
      <c r="M122" s="534" t="s">
        <v>336</v>
      </c>
      <c r="N122" s="534">
        <f ca="1">N26</f>
        <v>4.320503062337508</v>
      </c>
      <c r="O122" s="534">
        <f ca="1">O26</f>
        <v>4.320503062337508</v>
      </c>
      <c r="P122" s="534" t="s">
        <v>336</v>
      </c>
    </row>
    <row r="123" spans="1:39" x14ac:dyDescent="0.25">
      <c r="A123" s="812" t="s">
        <v>722</v>
      </c>
      <c r="B123" s="812" t="s">
        <v>752</v>
      </c>
      <c r="C123" s="133">
        <f ca="1">C119</f>
        <v>1.0562847242483104</v>
      </c>
      <c r="D123" s="537">
        <f ca="1">D119-L$111+R$111</f>
        <v>0.77272862778019857</v>
      </c>
      <c r="E123" s="537">
        <f ca="1">E119-M$111+S$111</f>
        <v>0.56582784478792347</v>
      </c>
      <c r="F123" s="538" t="s">
        <v>336</v>
      </c>
      <c r="G123" s="521">
        <f ca="1">G119</f>
        <v>1.0562847242483104</v>
      </c>
      <c r="H123" s="521">
        <f ca="1">H119</f>
        <v>1.0562847242483104</v>
      </c>
      <c r="I123" s="538" t="s">
        <v>336</v>
      </c>
      <c r="J123" s="133">
        <f ca="1">J119</f>
        <v>1.9343907280788533</v>
      </c>
      <c r="K123" s="537">
        <f ca="1">K119-X$111+AD$111</f>
        <v>1.9992078478115842</v>
      </c>
      <c r="L123" s="537">
        <f ca="1">L119-Y$111+AE$111</f>
        <v>2.0294491962382342</v>
      </c>
      <c r="M123" s="538" t="s">
        <v>336</v>
      </c>
      <c r="N123" s="521">
        <f ca="1">N119</f>
        <v>1.9343907280788533</v>
      </c>
      <c r="O123" s="521">
        <f ca="1">O119</f>
        <v>1.9343907280788533</v>
      </c>
      <c r="P123" s="538" t="s">
        <v>336</v>
      </c>
    </row>
    <row r="124" spans="1:39" x14ac:dyDescent="0.25">
      <c r="A124" s="812" t="s">
        <v>722</v>
      </c>
      <c r="B124" s="812" t="s">
        <v>754</v>
      </c>
      <c r="C124" s="133">
        <f ca="1">C120</f>
        <v>1.1532020768569076</v>
      </c>
      <c r="D124" s="521">
        <f ca="1">D120</f>
        <v>1.1532020768569076</v>
      </c>
      <c r="E124" s="521">
        <f ca="1">E120</f>
        <v>1.1532020768569076</v>
      </c>
      <c r="F124" s="536" t="s">
        <v>336</v>
      </c>
      <c r="G124" s="537">
        <f ca="1">G120-O$111+U$111</f>
        <v>0.84362884168097785</v>
      </c>
      <c r="H124" s="537">
        <f ca="1">H120-P$111+V$111</f>
        <v>0.61774427933458309</v>
      </c>
      <c r="I124" s="536" t="s">
        <v>336</v>
      </c>
      <c r="J124" s="133">
        <f ca="1">J120</f>
        <v>1.2925658200298529</v>
      </c>
      <c r="K124" s="521">
        <f ca="1">K120</f>
        <v>1.2925658200298529</v>
      </c>
      <c r="L124" s="521">
        <f ca="1">L120</f>
        <v>1.2925658200298529</v>
      </c>
      <c r="M124" s="536" t="s">
        <v>336</v>
      </c>
      <c r="N124" s="537">
        <f ca="1">N120-AA$111+AG$111</f>
        <v>1.3360860393424983</v>
      </c>
      <c r="O124" s="537">
        <f ca="1">O120-AB$111+AH$111</f>
        <v>1.3562934011544121</v>
      </c>
      <c r="P124" s="536" t="s">
        <v>336</v>
      </c>
    </row>
    <row r="125" spans="1:39" x14ac:dyDescent="0.25">
      <c r="A125" s="813" t="s">
        <v>722</v>
      </c>
      <c r="B125" s="813" t="s">
        <v>792</v>
      </c>
      <c r="C125" s="527">
        <f ca="1">C121</f>
        <v>0.59713710444738322</v>
      </c>
      <c r="D125" s="527">
        <f ca="1">D121</f>
        <v>0.59713710444738322</v>
      </c>
      <c r="E125" s="527">
        <f ca="1">E121</f>
        <v>0.59713710444738322</v>
      </c>
      <c r="F125" s="535" t="s">
        <v>336</v>
      </c>
      <c r="G125" s="527">
        <f ca="1">G121</f>
        <v>0.59713710444738322</v>
      </c>
      <c r="H125" s="527">
        <f ca="1">H121</f>
        <v>0.59713710444738322</v>
      </c>
      <c r="I125" s="535" t="s">
        <v>336</v>
      </c>
      <c r="J125" s="527">
        <f ca="1">J121</f>
        <v>1.0935465142288017</v>
      </c>
      <c r="K125" s="527">
        <f ca="1">K121</f>
        <v>1.0935465142288017</v>
      </c>
      <c r="L125" s="527">
        <f ca="1">L121</f>
        <v>1.0935465142288017</v>
      </c>
      <c r="M125" s="535" t="s">
        <v>336</v>
      </c>
      <c r="N125" s="527">
        <f ca="1">N121</f>
        <v>1.0935465142288017</v>
      </c>
      <c r="O125" s="527">
        <f ca="1">O121</f>
        <v>1.0935465142288017</v>
      </c>
      <c r="P125" s="535" t="s">
        <v>336</v>
      </c>
    </row>
    <row r="126" spans="1:39" x14ac:dyDescent="0.25">
      <c r="A126" s="348" t="s">
        <v>722</v>
      </c>
      <c r="B126" s="348" t="s">
        <v>793</v>
      </c>
      <c r="C126" s="466">
        <f ca="1">SUM(C123:C125)</f>
        <v>2.806623905552601</v>
      </c>
      <c r="D126" s="466">
        <f ca="1">SUM(D123:D125)</f>
        <v>2.5230678090844894</v>
      </c>
      <c r="E126" s="466">
        <f ca="1">SUM(E123:E125)</f>
        <v>2.3161670260922143</v>
      </c>
      <c r="F126" s="534" t="s">
        <v>336</v>
      </c>
      <c r="G126" s="466">
        <f ca="1">SUM(G123:G125)</f>
        <v>2.4970506703766713</v>
      </c>
      <c r="H126" s="466">
        <f ca="1">SUM(H123:H125)</f>
        <v>2.2711661080302767</v>
      </c>
      <c r="I126" s="534" t="s">
        <v>336</v>
      </c>
      <c r="J126" s="466">
        <f ca="1">SUM(J123:J125)</f>
        <v>4.320503062337508</v>
      </c>
      <c r="K126" s="466">
        <f ca="1">SUM(K123:K125)</f>
        <v>4.385320182070239</v>
      </c>
      <c r="L126" s="466">
        <f ca="1">SUM(L123:L125)</f>
        <v>4.4155615304968885</v>
      </c>
      <c r="M126" s="534" t="s">
        <v>336</v>
      </c>
      <c r="N126" s="466">
        <f ca="1">SUM(N123:N125)</f>
        <v>4.3640232816501534</v>
      </c>
      <c r="O126" s="466">
        <f ca="1">SUM(O123:O125)</f>
        <v>4.3842306434620673</v>
      </c>
      <c r="P126" s="534" t="s">
        <v>336</v>
      </c>
    </row>
    <row r="127" spans="1:39" x14ac:dyDescent="0.25">
      <c r="A127" s="363" t="s">
        <v>794</v>
      </c>
      <c r="B127" s="363" t="s">
        <v>793</v>
      </c>
      <c r="C127" s="532">
        <f ca="1">C122-C126</f>
        <v>0</v>
      </c>
      <c r="D127" s="532">
        <f ca="1">D122-D126</f>
        <v>0.28355609646811164</v>
      </c>
      <c r="E127" s="532">
        <f ca="1">E122-E126</f>
        <v>0.49045687946038674</v>
      </c>
      <c r="F127" s="533" t="s">
        <v>336</v>
      </c>
      <c r="G127" s="532">
        <f ca="1">G122-G126</f>
        <v>0.30957323517592972</v>
      </c>
      <c r="H127" s="532">
        <f ca="1">H122-H126</f>
        <v>0.53545779752232425</v>
      </c>
      <c r="I127" s="533" t="s">
        <v>336</v>
      </c>
      <c r="J127" s="532">
        <f ca="1">J122-J126</f>
        <v>0</v>
      </c>
      <c r="K127" s="532">
        <f ca="1">K122-K126</f>
        <v>-6.4817119732730966E-2</v>
      </c>
      <c r="L127" s="532">
        <f ca="1">L122-L126</f>
        <v>-9.505846815938046E-2</v>
      </c>
      <c r="M127" s="533" t="s">
        <v>336</v>
      </c>
      <c r="N127" s="532">
        <f ca="1">N122-N126</f>
        <v>-4.3520219312645381E-2</v>
      </c>
      <c r="O127" s="532">
        <f ca="1">O122-O126</f>
        <v>-6.3727581124559229E-2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CA08-DE93-4B69-86CA-5EB8451F4EEE}">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2032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2032</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2"/>
      <c r="B4" s="812" t="s">
        <v>122</v>
      </c>
      <c r="C4" s="840" t="str">
        <f>$B$2&amp;" Baseline NA Area PM2.5 Emissions (tpd) by Curtailment Regime"</f>
        <v>2032 Baseline NA Area PM2.5 Emissions (tpd) by Curtailment Regime</v>
      </c>
      <c r="D4" s="840"/>
      <c r="E4" s="840"/>
      <c r="F4" s="840"/>
      <c r="G4" s="840"/>
      <c r="H4" s="840"/>
      <c r="I4" s="840"/>
      <c r="J4" s="840" t="str">
        <f>$B$2&amp;" Baseline NA Area SO2 Emissions (tpd) by Curtailment Regime"</f>
        <v>2032 Baseline NA Area SO2 Emissions (tpd) by Curtailment Regime</v>
      </c>
      <c r="K4" s="840"/>
      <c r="L4" s="840"/>
      <c r="M4" s="840"/>
      <c r="N4" s="840"/>
      <c r="O4" s="840"/>
      <c r="P4" s="840"/>
      <c r="Q4" s="840" t="str">
        <f>$B$2&amp;" Baseline NA Area Energy Use (mmBTU) by Curtailment Regime"</f>
        <v>2032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2">
        <v>2104008100</v>
      </c>
      <c r="B6" s="812" t="s">
        <v>137</v>
      </c>
      <c r="C6" s="133" t="e">
        <f ca="1">INDIRECT("'DevSumOut-"&amp;$B$2&amp;"BSR'!R50")</f>
        <v>#REF!</v>
      </c>
      <c r="D6" s="133" t="e">
        <f ca="1">INDIRECT("'DevSumOut-"&amp;$B$2&amp;"BSR'!R50")</f>
        <v>#REF!</v>
      </c>
      <c r="E6" s="133" t="e">
        <f ca="1">INDIRECT("'DevSumOut-"&amp;$B$2&amp;"BSR'!R50")</f>
        <v>#REF!</v>
      </c>
      <c r="F6" s="551" t="s">
        <v>336</v>
      </c>
      <c r="G6" s="133" t="e">
        <f ca="1">INDIRECT("'DevSumOut-"&amp;$B$2&amp;"BSR'!R50")</f>
        <v>#REF!</v>
      </c>
      <c r="H6" s="133" t="e">
        <f ca="1">INDIRECT("'DevSumOut-"&amp;$B$2&amp;"BSR'!R50")</f>
        <v>#REF!</v>
      </c>
      <c r="I6" s="551" t="s">
        <v>336</v>
      </c>
      <c r="J6" s="133" t="e">
        <f ca="1">INDIRECT("'DevSumOut-"&amp;$B$2&amp;"BSR'!P50")</f>
        <v>#REF!</v>
      </c>
      <c r="K6" s="133" t="e">
        <f ca="1">INDIRECT("'DevSumOut-"&amp;$B$2&amp;"BSR'!P50")</f>
        <v>#REF!</v>
      </c>
      <c r="L6" s="133" t="e">
        <f ca="1">INDIRECT("'DevSumOut-"&amp;$B$2&amp;"BSR'!P50")</f>
        <v>#REF!</v>
      </c>
      <c r="M6" s="551" t="s">
        <v>336</v>
      </c>
      <c r="N6" s="133" t="e">
        <f ca="1">INDIRECT("'DevSumOut-"&amp;$B$2&amp;"BSR'!P50")</f>
        <v>#REF!</v>
      </c>
      <c r="O6" s="133" t="e">
        <f ca="1">INDIRECT("'DevSumOut-"&amp;$B$2&amp;"BSR'!P50")</f>
        <v>#REF!</v>
      </c>
      <c r="P6" s="551" t="s">
        <v>336</v>
      </c>
      <c r="Q6" s="45" t="e">
        <f ca="1">INDIRECT("'DevSumOut-"&amp;$B$2&amp;"BSR'!U50")</f>
        <v>#REF!</v>
      </c>
      <c r="R6" s="45" t="e">
        <f ca="1">INDIRECT("'DevSumOut-"&amp;$B$2&amp;"BSR'!U50")</f>
        <v>#REF!</v>
      </c>
      <c r="S6" s="45" t="e">
        <f ca="1">INDIRECT("'DevSumOut-"&amp;$B$2&amp;"BSR'!U50")</f>
        <v>#REF!</v>
      </c>
      <c r="T6" s="581" t="s">
        <v>336</v>
      </c>
      <c r="U6" s="45" t="e">
        <f ca="1">INDIRECT("'DevSumOut-"&amp;$B$2&amp;"BSR'!U50")</f>
        <v>#REF!</v>
      </c>
      <c r="V6" s="45" t="e">
        <f ca="1">INDIRECT("'DevSumOut-"&amp;$B$2&amp;"BSR'!U50")</f>
        <v>#REF!</v>
      </c>
      <c r="W6" s="581" t="s">
        <v>336</v>
      </c>
      <c r="X6" s="133" t="e">
        <f t="shared" ref="X6:Z22" ca="1" si="0">C6*2000/Q6</f>
        <v>#REF!</v>
      </c>
      <c r="Y6" s="133" t="e">
        <f t="shared" ca="1" si="0"/>
        <v>#REF!</v>
      </c>
      <c r="Z6" s="133" t="e">
        <f t="shared" ca="1" si="0"/>
        <v>#REF!</v>
      </c>
      <c r="AA6" s="133"/>
      <c r="AB6" s="133" t="e">
        <f t="shared" ref="AB6:AC22" ca="1" si="1">G6*2000/U6</f>
        <v>#REF!</v>
      </c>
      <c r="AC6" s="133" t="e">
        <f t="shared" ca="1" si="1"/>
        <v>#REF!</v>
      </c>
    </row>
    <row r="7" spans="1:29" x14ac:dyDescent="0.25">
      <c r="A7" s="812">
        <v>2104008210</v>
      </c>
      <c r="B7" s="812" t="s">
        <v>138</v>
      </c>
      <c r="C7" s="133" t="e">
        <f ca="1">INDIRECT("'DevSumOut-"&amp;$B$2&amp;"BSR'!R51")</f>
        <v>#REF!</v>
      </c>
      <c r="D7" s="133" t="e">
        <f ca="1">INDIRECT("'DevSumOut-"&amp;$B$2&amp;"BSR'!R51")</f>
        <v>#REF!</v>
      </c>
      <c r="E7" s="133" t="e">
        <f ca="1">INDIRECT("'DevSumOut-"&amp;$B$2&amp;"BSR'!R51")</f>
        <v>#REF!</v>
      </c>
      <c r="F7" s="551" t="s">
        <v>336</v>
      </c>
      <c r="G7" s="133" t="e">
        <f ca="1">INDIRECT("'DevSumOut-"&amp;$B$2&amp;"BSR'!R51")</f>
        <v>#REF!</v>
      </c>
      <c r="H7" s="133" t="e">
        <f ca="1">INDIRECT("'DevSumOut-"&amp;$B$2&amp;"BSR'!R51")</f>
        <v>#REF!</v>
      </c>
      <c r="I7" s="551" t="s">
        <v>336</v>
      </c>
      <c r="J7" s="133" t="e">
        <f ca="1">INDIRECT("'DevSumOut-"&amp;$B$2&amp;"BSR'!P51")</f>
        <v>#REF!</v>
      </c>
      <c r="K7" s="133" t="e">
        <f ca="1">INDIRECT("'DevSumOut-"&amp;$B$2&amp;"BSR'!P51")</f>
        <v>#REF!</v>
      </c>
      <c r="L7" s="133" t="e">
        <f ca="1">INDIRECT("'DevSumOut-"&amp;$B$2&amp;"BSR'!P51")</f>
        <v>#REF!</v>
      </c>
      <c r="M7" s="551" t="s">
        <v>336</v>
      </c>
      <c r="N7" s="133" t="e">
        <f ca="1">INDIRECT("'DevSumOut-"&amp;$B$2&amp;"BSR'!P51")</f>
        <v>#REF!</v>
      </c>
      <c r="O7" s="133" t="e">
        <f ca="1">INDIRECT("'DevSumOut-"&amp;$B$2&amp;"BSR'!P51")</f>
        <v>#REF!</v>
      </c>
      <c r="P7" s="551" t="s">
        <v>336</v>
      </c>
      <c r="Q7" s="45" t="e">
        <f ca="1">INDIRECT("'DevSumOut-"&amp;$B$2&amp;"BSR'!U51")</f>
        <v>#REF!</v>
      </c>
      <c r="R7" s="45" t="e">
        <f ca="1">INDIRECT("'DevSumOut-"&amp;$B$2&amp;"BSR'!U51")</f>
        <v>#REF!</v>
      </c>
      <c r="S7" s="45" t="e">
        <f ca="1">INDIRECT("'DevSumOut-"&amp;$B$2&amp;"BSR'!U51")</f>
        <v>#REF!</v>
      </c>
      <c r="T7" s="581" t="s">
        <v>336</v>
      </c>
      <c r="U7" s="45" t="e">
        <f ca="1">INDIRECT("'DevSumOut-"&amp;$B$2&amp;"BSR'!U51")</f>
        <v>#REF!</v>
      </c>
      <c r="V7" s="45" t="e">
        <f ca="1">INDIRECT("'DevSumOut-"&amp;$B$2&amp;"BSR'!U51")</f>
        <v>#REF!</v>
      </c>
      <c r="W7" s="581" t="s">
        <v>336</v>
      </c>
      <c r="X7" s="133" t="e">
        <f t="shared" ca="1" si="0"/>
        <v>#REF!</v>
      </c>
      <c r="Y7" s="133" t="e">
        <f t="shared" ca="1" si="0"/>
        <v>#REF!</v>
      </c>
      <c r="Z7" s="133" t="e">
        <f t="shared" ca="1" si="0"/>
        <v>#REF!</v>
      </c>
      <c r="AA7" s="133"/>
      <c r="AB7" s="133" t="e">
        <f t="shared" ca="1" si="1"/>
        <v>#REF!</v>
      </c>
      <c r="AC7" s="133" t="e">
        <f t="shared" ca="1" si="1"/>
        <v>#REF!</v>
      </c>
    </row>
    <row r="8" spans="1:29" x14ac:dyDescent="0.25">
      <c r="A8" s="812">
        <v>2104008220</v>
      </c>
      <c r="B8" s="812" t="s">
        <v>139</v>
      </c>
      <c r="C8" s="133" t="e">
        <f ca="1">INDIRECT("'DevSumOut-"&amp;$B$2&amp;"BSR'!R52")</f>
        <v>#REF!</v>
      </c>
      <c r="D8" s="133" t="e">
        <f ca="1">INDIRECT("'DevSumOut-"&amp;$B$2&amp;"BSR'!R52")</f>
        <v>#REF!</v>
      </c>
      <c r="E8" s="133" t="e">
        <f ca="1">INDIRECT("'DevSumOut-"&amp;$B$2&amp;"BSR'!R52")</f>
        <v>#REF!</v>
      </c>
      <c r="F8" s="551" t="s">
        <v>336</v>
      </c>
      <c r="G8" s="133" t="e">
        <f ca="1">INDIRECT("'DevSumOut-"&amp;$B$2&amp;"BSR'!R52")</f>
        <v>#REF!</v>
      </c>
      <c r="H8" s="133" t="e">
        <f ca="1">INDIRECT("'DevSumOut-"&amp;$B$2&amp;"BSR'!R52")</f>
        <v>#REF!</v>
      </c>
      <c r="I8" s="551" t="s">
        <v>336</v>
      </c>
      <c r="J8" s="133" t="e">
        <f ca="1">INDIRECT("'DevSumOut-"&amp;$B$2&amp;"BSR'!P52")</f>
        <v>#REF!</v>
      </c>
      <c r="K8" s="133" t="e">
        <f ca="1">INDIRECT("'DevSumOut-"&amp;$B$2&amp;"BSR'!P52")</f>
        <v>#REF!</v>
      </c>
      <c r="L8" s="133" t="e">
        <f ca="1">INDIRECT("'DevSumOut-"&amp;$B$2&amp;"BSR'!P52")</f>
        <v>#REF!</v>
      </c>
      <c r="M8" s="551" t="s">
        <v>336</v>
      </c>
      <c r="N8" s="133" t="e">
        <f ca="1">INDIRECT("'DevSumOut-"&amp;$B$2&amp;"BSR'!P52")</f>
        <v>#REF!</v>
      </c>
      <c r="O8" s="133" t="e">
        <f ca="1">INDIRECT("'DevSumOut-"&amp;$B$2&amp;"BSR'!P52")</f>
        <v>#REF!</v>
      </c>
      <c r="P8" s="551" t="s">
        <v>336</v>
      </c>
      <c r="Q8" s="45" t="e">
        <f ca="1">INDIRECT("'DevSumOut-"&amp;$B$2&amp;"BSR'!U52")</f>
        <v>#REF!</v>
      </c>
      <c r="R8" s="45" t="e">
        <f ca="1">INDIRECT("'DevSumOut-"&amp;$B$2&amp;"BSR'!U52")</f>
        <v>#REF!</v>
      </c>
      <c r="S8" s="45" t="e">
        <f ca="1">INDIRECT("'DevSumOut-"&amp;$B$2&amp;"BSR'!U52")</f>
        <v>#REF!</v>
      </c>
      <c r="T8" s="581" t="s">
        <v>336</v>
      </c>
      <c r="U8" s="45" t="e">
        <f ca="1">INDIRECT("'DevSumOut-"&amp;$B$2&amp;"BSR'!U52")</f>
        <v>#REF!</v>
      </c>
      <c r="V8" s="45" t="e">
        <f ca="1">INDIRECT("'DevSumOut-"&amp;$B$2&amp;"BSR'!U52")</f>
        <v>#REF!</v>
      </c>
      <c r="W8" s="581" t="s">
        <v>336</v>
      </c>
      <c r="X8" s="133" t="e">
        <f t="shared" ca="1" si="0"/>
        <v>#REF!</v>
      </c>
      <c r="Y8" s="133" t="e">
        <f t="shared" ca="1" si="0"/>
        <v>#REF!</v>
      </c>
      <c r="Z8" s="133" t="e">
        <f t="shared" ca="1" si="0"/>
        <v>#REF!</v>
      </c>
      <c r="AA8" s="133"/>
      <c r="AB8" s="133" t="e">
        <f t="shared" ca="1" si="1"/>
        <v>#REF!</v>
      </c>
      <c r="AC8" s="133" t="e">
        <f t="shared" ca="1" si="1"/>
        <v>#REF!</v>
      </c>
    </row>
    <row r="9" spans="1:29" x14ac:dyDescent="0.25">
      <c r="A9" s="812">
        <v>2104008230</v>
      </c>
      <c r="B9" s="812" t="s">
        <v>140</v>
      </c>
      <c r="C9" s="133" t="e">
        <f ca="1">INDIRECT("'DevSumOut-"&amp;$B$2&amp;"BSR'!R53")</f>
        <v>#REF!</v>
      </c>
      <c r="D9" s="133" t="e">
        <f ca="1">INDIRECT("'DevSumOut-"&amp;$B$2&amp;"BSR'!R53")</f>
        <v>#REF!</v>
      </c>
      <c r="E9" s="133" t="e">
        <f ca="1">INDIRECT("'DevSumOut-"&amp;$B$2&amp;"BSR'!R53")</f>
        <v>#REF!</v>
      </c>
      <c r="F9" s="551" t="s">
        <v>336</v>
      </c>
      <c r="G9" s="133" t="e">
        <f ca="1">INDIRECT("'DevSumOut-"&amp;$B$2&amp;"BSR'!R53")</f>
        <v>#REF!</v>
      </c>
      <c r="H9" s="133" t="e">
        <f ca="1">INDIRECT("'DevSumOut-"&amp;$B$2&amp;"BSR'!R53")</f>
        <v>#REF!</v>
      </c>
      <c r="I9" s="551" t="s">
        <v>336</v>
      </c>
      <c r="J9" s="133" t="e">
        <f ca="1">INDIRECT("'DevSumOut-"&amp;$B$2&amp;"BSR'!P53")</f>
        <v>#REF!</v>
      </c>
      <c r="K9" s="133" t="e">
        <f ca="1">INDIRECT("'DevSumOut-"&amp;$B$2&amp;"BSR'!P53")</f>
        <v>#REF!</v>
      </c>
      <c r="L9" s="133" t="e">
        <f ca="1">INDIRECT("'DevSumOut-"&amp;$B$2&amp;"BSR'!P53")</f>
        <v>#REF!</v>
      </c>
      <c r="M9" s="551" t="s">
        <v>336</v>
      </c>
      <c r="N9" s="133" t="e">
        <f ca="1">INDIRECT("'DevSumOut-"&amp;$B$2&amp;"BSR'!P53")</f>
        <v>#REF!</v>
      </c>
      <c r="O9" s="133" t="e">
        <f ca="1">INDIRECT("'DevSumOut-"&amp;$B$2&amp;"BSR'!P53")</f>
        <v>#REF!</v>
      </c>
      <c r="P9" s="551" t="s">
        <v>336</v>
      </c>
      <c r="Q9" s="45" t="e">
        <f ca="1">INDIRECT("'DevSumOut-"&amp;$B$2&amp;"BSR'!U53")</f>
        <v>#REF!</v>
      </c>
      <c r="R9" s="45" t="e">
        <f ca="1">INDIRECT("'DevSumOut-"&amp;$B$2&amp;"BSR'!U53")</f>
        <v>#REF!</v>
      </c>
      <c r="S9" s="45" t="e">
        <f ca="1">INDIRECT("'DevSumOut-"&amp;$B$2&amp;"BSR'!U53")</f>
        <v>#REF!</v>
      </c>
      <c r="T9" s="581" t="s">
        <v>336</v>
      </c>
      <c r="U9" s="45" t="e">
        <f ca="1">INDIRECT("'DevSumOut-"&amp;$B$2&amp;"BSR'!U53")</f>
        <v>#REF!</v>
      </c>
      <c r="V9" s="45" t="e">
        <f ca="1">INDIRECT("'DevSumOut-"&amp;$B$2&amp;"BSR'!U53")</f>
        <v>#REF!</v>
      </c>
      <c r="W9" s="581" t="s">
        <v>336</v>
      </c>
      <c r="X9" s="133" t="e">
        <f t="shared" ca="1" si="0"/>
        <v>#REF!</v>
      </c>
      <c r="Y9" s="133" t="e">
        <f t="shared" ca="1" si="0"/>
        <v>#REF!</v>
      </c>
      <c r="Z9" s="133" t="e">
        <f t="shared" ca="1" si="0"/>
        <v>#REF!</v>
      </c>
      <c r="AA9" s="133"/>
      <c r="AB9" s="133" t="e">
        <f t="shared" ca="1" si="1"/>
        <v>#REF!</v>
      </c>
      <c r="AC9" s="133" t="e">
        <f t="shared" ca="1" si="1"/>
        <v>#REF!</v>
      </c>
    </row>
    <row r="10" spans="1:29" x14ac:dyDescent="0.25">
      <c r="A10" s="812">
        <v>2104008310</v>
      </c>
      <c r="B10" s="812" t="s">
        <v>141</v>
      </c>
      <c r="C10" s="133" t="e">
        <f ca="1">INDIRECT("'DevSumOut-"&amp;$B$2&amp;"BSR'!R54")</f>
        <v>#REF!</v>
      </c>
      <c r="D10" s="133" t="e">
        <f ca="1">INDIRECT("'DevSumOut-"&amp;$B$2&amp;"BSR'!R54")</f>
        <v>#REF!</v>
      </c>
      <c r="E10" s="133" t="e">
        <f ca="1">INDIRECT("'DevSumOut-"&amp;$B$2&amp;"BSR'!R54")</f>
        <v>#REF!</v>
      </c>
      <c r="F10" s="551" t="s">
        <v>336</v>
      </c>
      <c r="G10" s="133" t="e">
        <f ca="1">INDIRECT("'DevSumOut-"&amp;$B$2&amp;"BSR'!R54")</f>
        <v>#REF!</v>
      </c>
      <c r="H10" s="133" t="e">
        <f ca="1">INDIRECT("'DevSumOut-"&amp;$B$2&amp;"BSR'!R54")</f>
        <v>#REF!</v>
      </c>
      <c r="I10" s="551" t="s">
        <v>336</v>
      </c>
      <c r="J10" s="133" t="e">
        <f ca="1">INDIRECT("'DevSumOut-"&amp;$B$2&amp;"BSR'!P54")</f>
        <v>#REF!</v>
      </c>
      <c r="K10" s="133" t="e">
        <f ca="1">INDIRECT("'DevSumOut-"&amp;$B$2&amp;"BSR'!P54")</f>
        <v>#REF!</v>
      </c>
      <c r="L10" s="133" t="e">
        <f ca="1">INDIRECT("'DevSumOut-"&amp;$B$2&amp;"BSR'!P54")</f>
        <v>#REF!</v>
      </c>
      <c r="M10" s="551" t="s">
        <v>336</v>
      </c>
      <c r="N10" s="133" t="e">
        <f ca="1">INDIRECT("'DevSumOut-"&amp;$B$2&amp;"BSR'!P54")</f>
        <v>#REF!</v>
      </c>
      <c r="O10" s="133" t="e">
        <f ca="1">INDIRECT("'DevSumOut-"&amp;$B$2&amp;"BSR'!P54")</f>
        <v>#REF!</v>
      </c>
      <c r="P10" s="551" t="s">
        <v>336</v>
      </c>
      <c r="Q10" s="45" t="e">
        <f ca="1">INDIRECT("'DevSumOut-"&amp;$B$2&amp;"BSR'!U54")</f>
        <v>#REF!</v>
      </c>
      <c r="R10" s="45" t="e">
        <f ca="1">INDIRECT("'DevSumOut-"&amp;$B$2&amp;"BSR'!U54")</f>
        <v>#REF!</v>
      </c>
      <c r="S10" s="45" t="e">
        <f ca="1">INDIRECT("'DevSumOut-"&amp;$B$2&amp;"BSR'!U54")</f>
        <v>#REF!</v>
      </c>
      <c r="T10" s="581" t="s">
        <v>336</v>
      </c>
      <c r="U10" s="45" t="e">
        <f ca="1">INDIRECT("'DevSumOut-"&amp;$B$2&amp;"BSR'!U54")</f>
        <v>#REF!</v>
      </c>
      <c r="V10" s="45" t="e">
        <f ca="1">INDIRECT("'DevSumOut-"&amp;$B$2&amp;"BSR'!U54")</f>
        <v>#REF!</v>
      </c>
      <c r="W10" s="581" t="s">
        <v>336</v>
      </c>
      <c r="X10" s="133" t="e">
        <f t="shared" ca="1" si="0"/>
        <v>#REF!</v>
      </c>
      <c r="Y10" s="133" t="e">
        <f t="shared" ca="1" si="0"/>
        <v>#REF!</v>
      </c>
      <c r="Z10" s="133" t="e">
        <f t="shared" ca="1" si="0"/>
        <v>#REF!</v>
      </c>
      <c r="AA10" s="133"/>
      <c r="AB10" s="133" t="e">
        <f t="shared" ca="1" si="1"/>
        <v>#REF!</v>
      </c>
      <c r="AC10" s="133" t="e">
        <f t="shared" ca="1" si="1"/>
        <v>#REF!</v>
      </c>
    </row>
    <row r="11" spans="1:29" x14ac:dyDescent="0.25">
      <c r="A11" s="812">
        <v>2104008320</v>
      </c>
      <c r="B11" s="812" t="s">
        <v>142</v>
      </c>
      <c r="C11" s="133" t="e">
        <f ca="1">INDIRECT("'DevSumOut-"&amp;$B$2&amp;"BSR'!R55")</f>
        <v>#REF!</v>
      </c>
      <c r="D11" s="133" t="e">
        <f ca="1">INDIRECT("'DevSumOut-"&amp;$B$2&amp;"BSR'!R55")</f>
        <v>#REF!</v>
      </c>
      <c r="E11" s="133" t="e">
        <f ca="1">INDIRECT("'DevSumOut-"&amp;$B$2&amp;"BSR'!R55")</f>
        <v>#REF!</v>
      </c>
      <c r="F11" s="551" t="s">
        <v>336</v>
      </c>
      <c r="G11" s="133" t="e">
        <f ca="1">INDIRECT("'DevSumOut-"&amp;$B$2&amp;"BSR'!R55")</f>
        <v>#REF!</v>
      </c>
      <c r="H11" s="133" t="e">
        <f ca="1">INDIRECT("'DevSumOut-"&amp;$B$2&amp;"BSR'!R55")</f>
        <v>#REF!</v>
      </c>
      <c r="I11" s="551" t="s">
        <v>336</v>
      </c>
      <c r="J11" s="133" t="e">
        <f ca="1">INDIRECT("'DevSumOut-"&amp;$B$2&amp;"BSR'!P55")</f>
        <v>#REF!</v>
      </c>
      <c r="K11" s="133" t="e">
        <f ca="1">INDIRECT("'DevSumOut-"&amp;$B$2&amp;"BSR'!P55")</f>
        <v>#REF!</v>
      </c>
      <c r="L11" s="133" t="e">
        <f ca="1">INDIRECT("'DevSumOut-"&amp;$B$2&amp;"BSR'!P55")</f>
        <v>#REF!</v>
      </c>
      <c r="M11" s="551" t="s">
        <v>336</v>
      </c>
      <c r="N11" s="133" t="e">
        <f ca="1">INDIRECT("'DevSumOut-"&amp;$B$2&amp;"BSR'!P55")</f>
        <v>#REF!</v>
      </c>
      <c r="O11" s="133" t="e">
        <f ca="1">INDIRECT("'DevSumOut-"&amp;$B$2&amp;"BSR'!P55")</f>
        <v>#REF!</v>
      </c>
      <c r="P11" s="551" t="s">
        <v>336</v>
      </c>
      <c r="Q11" s="45" t="e">
        <f ca="1">INDIRECT("'DevSumOut-"&amp;$B$2&amp;"BSR'!U55")</f>
        <v>#REF!</v>
      </c>
      <c r="R11" s="45" t="e">
        <f ca="1">INDIRECT("'DevSumOut-"&amp;$B$2&amp;"BSR'!U55")</f>
        <v>#REF!</v>
      </c>
      <c r="S11" s="45" t="e">
        <f ca="1">INDIRECT("'DevSumOut-"&amp;$B$2&amp;"BSR'!U55")</f>
        <v>#REF!</v>
      </c>
      <c r="T11" s="581" t="s">
        <v>336</v>
      </c>
      <c r="U11" s="45" t="e">
        <f ca="1">INDIRECT("'DevSumOut-"&amp;$B$2&amp;"BSR'!U55")</f>
        <v>#REF!</v>
      </c>
      <c r="V11" s="45" t="e">
        <f ca="1">INDIRECT("'DevSumOut-"&amp;$B$2&amp;"BSR'!U55")</f>
        <v>#REF!</v>
      </c>
      <c r="W11" s="581" t="s">
        <v>336</v>
      </c>
      <c r="X11" s="133" t="e">
        <f t="shared" ca="1" si="0"/>
        <v>#REF!</v>
      </c>
      <c r="Y11" s="133" t="e">
        <f t="shared" ca="1" si="0"/>
        <v>#REF!</v>
      </c>
      <c r="Z11" s="133" t="e">
        <f t="shared" ca="1" si="0"/>
        <v>#REF!</v>
      </c>
      <c r="AA11" s="133"/>
      <c r="AB11" s="133" t="e">
        <f t="shared" ca="1" si="1"/>
        <v>#REF!</v>
      </c>
      <c r="AC11" s="133" t="e">
        <f t="shared" ca="1" si="1"/>
        <v>#REF!</v>
      </c>
    </row>
    <row r="12" spans="1:29" x14ac:dyDescent="0.25">
      <c r="A12" s="812">
        <v>2104008330</v>
      </c>
      <c r="B12" s="812" t="s">
        <v>143</v>
      </c>
      <c r="C12" s="133" t="e">
        <f ca="1">INDIRECT("'DevSumOut-"&amp;$B$2&amp;"BSR'!R56")</f>
        <v>#REF!</v>
      </c>
      <c r="D12" s="133" t="e">
        <f ca="1">INDIRECT("'DevSumOut-"&amp;$B$2&amp;"BSR'!R56")</f>
        <v>#REF!</v>
      </c>
      <c r="E12" s="133" t="e">
        <f ca="1">INDIRECT("'DevSumOut-"&amp;$B$2&amp;"BSR'!R56")</f>
        <v>#REF!</v>
      </c>
      <c r="F12" s="551" t="s">
        <v>336</v>
      </c>
      <c r="G12" s="133" t="e">
        <f ca="1">INDIRECT("'DevSumOut-"&amp;$B$2&amp;"BSR'!R56")</f>
        <v>#REF!</v>
      </c>
      <c r="H12" s="133" t="e">
        <f ca="1">INDIRECT("'DevSumOut-"&amp;$B$2&amp;"BSR'!R56")</f>
        <v>#REF!</v>
      </c>
      <c r="I12" s="551" t="s">
        <v>336</v>
      </c>
      <c r="J12" s="133" t="e">
        <f ca="1">INDIRECT("'DevSumOut-"&amp;$B$2&amp;"BSR'!P56")</f>
        <v>#REF!</v>
      </c>
      <c r="K12" s="133" t="e">
        <f ca="1">INDIRECT("'DevSumOut-"&amp;$B$2&amp;"BSR'!P56")</f>
        <v>#REF!</v>
      </c>
      <c r="L12" s="133" t="e">
        <f ca="1">INDIRECT("'DevSumOut-"&amp;$B$2&amp;"BSR'!P56")</f>
        <v>#REF!</v>
      </c>
      <c r="M12" s="551" t="s">
        <v>336</v>
      </c>
      <c r="N12" s="133" t="e">
        <f ca="1">INDIRECT("'DevSumOut-"&amp;$B$2&amp;"BSR'!P56")</f>
        <v>#REF!</v>
      </c>
      <c r="O12" s="133" t="e">
        <f ca="1">INDIRECT("'DevSumOut-"&amp;$B$2&amp;"BSR'!P56")</f>
        <v>#REF!</v>
      </c>
      <c r="P12" s="551" t="s">
        <v>336</v>
      </c>
      <c r="Q12" s="45" t="e">
        <f ca="1">INDIRECT("'DevSumOut-"&amp;$B$2&amp;"BSR'!U56")</f>
        <v>#REF!</v>
      </c>
      <c r="R12" s="45" t="e">
        <f ca="1">INDIRECT("'DevSumOut-"&amp;$B$2&amp;"BSR'!U56")</f>
        <v>#REF!</v>
      </c>
      <c r="S12" s="45" t="e">
        <f ca="1">INDIRECT("'DevSumOut-"&amp;$B$2&amp;"BSR'!U56")</f>
        <v>#REF!</v>
      </c>
      <c r="T12" s="581" t="s">
        <v>336</v>
      </c>
      <c r="U12" s="45" t="e">
        <f ca="1">INDIRECT("'DevSumOut-"&amp;$B$2&amp;"BSR'!U56")</f>
        <v>#REF!</v>
      </c>
      <c r="V12" s="45" t="e">
        <f ca="1">INDIRECT("'DevSumOut-"&amp;$B$2&amp;"BSR'!U56")</f>
        <v>#REF!</v>
      </c>
      <c r="W12" s="581" t="s">
        <v>336</v>
      </c>
      <c r="X12" s="133" t="e">
        <f t="shared" ca="1" si="0"/>
        <v>#REF!</v>
      </c>
      <c r="Y12" s="133" t="e">
        <f t="shared" ca="1" si="0"/>
        <v>#REF!</v>
      </c>
      <c r="Z12" s="133" t="e">
        <f t="shared" ca="1" si="0"/>
        <v>#REF!</v>
      </c>
      <c r="AA12" s="133"/>
      <c r="AB12" s="133" t="e">
        <f t="shared" ca="1" si="1"/>
        <v>#REF!</v>
      </c>
      <c r="AC12" s="133" t="e">
        <f t="shared" ca="1" si="1"/>
        <v>#REF!</v>
      </c>
    </row>
    <row r="13" spans="1:29" x14ac:dyDescent="0.25">
      <c r="A13" s="812">
        <v>2104008410</v>
      </c>
      <c r="B13" s="812" t="s">
        <v>144</v>
      </c>
      <c r="C13" s="133" t="e">
        <f ca="1">INDIRECT("'DevSumOut-"&amp;$B$2&amp;"BSR'!R57")</f>
        <v>#REF!</v>
      </c>
      <c r="D13" s="133" t="e">
        <f ca="1">INDIRECT("'DevSumOut-"&amp;$B$2&amp;"BSR'!R57")</f>
        <v>#REF!</v>
      </c>
      <c r="E13" s="133" t="e">
        <f ca="1">INDIRECT("'DevSumOut-"&amp;$B$2&amp;"BSR'!R57")</f>
        <v>#REF!</v>
      </c>
      <c r="F13" s="551" t="s">
        <v>336</v>
      </c>
      <c r="G13" s="133" t="e">
        <f ca="1">INDIRECT("'DevSumOut-"&amp;$B$2&amp;"BSR'!R57")</f>
        <v>#REF!</v>
      </c>
      <c r="H13" s="133" t="e">
        <f ca="1">INDIRECT("'DevSumOut-"&amp;$B$2&amp;"BSR'!R57")</f>
        <v>#REF!</v>
      </c>
      <c r="I13" s="551" t="s">
        <v>336</v>
      </c>
      <c r="J13" s="133" t="e">
        <f ca="1">INDIRECT("'DevSumOut-"&amp;$B$2&amp;"BSR'!P57")</f>
        <v>#REF!</v>
      </c>
      <c r="K13" s="133" t="e">
        <f ca="1">INDIRECT("'DevSumOut-"&amp;$B$2&amp;"BSR'!P57")</f>
        <v>#REF!</v>
      </c>
      <c r="L13" s="133" t="e">
        <f ca="1">INDIRECT("'DevSumOut-"&amp;$B$2&amp;"BSR'!P57")</f>
        <v>#REF!</v>
      </c>
      <c r="M13" s="551" t="s">
        <v>336</v>
      </c>
      <c r="N13" s="133" t="e">
        <f ca="1">INDIRECT("'DevSumOut-"&amp;$B$2&amp;"BSR'!P57")</f>
        <v>#REF!</v>
      </c>
      <c r="O13" s="133" t="e">
        <f ca="1">INDIRECT("'DevSumOut-"&amp;$B$2&amp;"BSR'!P57")</f>
        <v>#REF!</v>
      </c>
      <c r="P13" s="551" t="s">
        <v>336</v>
      </c>
      <c r="Q13" s="45" t="e">
        <f ca="1">INDIRECT("'DevSumOut-"&amp;$B$2&amp;"BSR'!U57")</f>
        <v>#REF!</v>
      </c>
      <c r="R13" s="45" t="e">
        <f ca="1">INDIRECT("'DevSumOut-"&amp;$B$2&amp;"BSR'!U57")</f>
        <v>#REF!</v>
      </c>
      <c r="S13" s="45" t="e">
        <f ca="1">INDIRECT("'DevSumOut-"&amp;$B$2&amp;"BSR'!U57")</f>
        <v>#REF!</v>
      </c>
      <c r="T13" s="581" t="s">
        <v>336</v>
      </c>
      <c r="U13" s="45" t="e">
        <f ca="1">INDIRECT("'DevSumOut-"&amp;$B$2&amp;"BSR'!U57")</f>
        <v>#REF!</v>
      </c>
      <c r="V13" s="45" t="e">
        <f ca="1">INDIRECT("'DevSumOut-"&amp;$B$2&amp;"BSR'!U57")</f>
        <v>#REF!</v>
      </c>
      <c r="W13" s="581" t="s">
        <v>336</v>
      </c>
      <c r="X13" s="133" t="e">
        <f t="shared" ca="1" si="0"/>
        <v>#REF!</v>
      </c>
      <c r="Y13" s="133" t="e">
        <f t="shared" ca="1" si="0"/>
        <v>#REF!</v>
      </c>
      <c r="Z13" s="133" t="e">
        <f t="shared" ca="1" si="0"/>
        <v>#REF!</v>
      </c>
      <c r="AA13" s="133"/>
      <c r="AB13" s="133" t="e">
        <f t="shared" ca="1" si="1"/>
        <v>#REF!</v>
      </c>
      <c r="AC13" s="133" t="e">
        <f t="shared" ca="1" si="1"/>
        <v>#REF!</v>
      </c>
    </row>
    <row r="14" spans="1:29" x14ac:dyDescent="0.25">
      <c r="A14" s="812">
        <v>2104008420</v>
      </c>
      <c r="B14" s="812" t="s">
        <v>145</v>
      </c>
      <c r="C14" s="133" t="e">
        <f ca="1">INDIRECT("'DevSumOut-"&amp;$B$2&amp;"BSR'!R58")</f>
        <v>#REF!</v>
      </c>
      <c r="D14" s="133" t="e">
        <f ca="1">INDIRECT("'DevSumOut-"&amp;$B$2&amp;"BSR'!R58")</f>
        <v>#REF!</v>
      </c>
      <c r="E14" s="133" t="e">
        <f ca="1">INDIRECT("'DevSumOut-"&amp;$B$2&amp;"BSR'!R58")</f>
        <v>#REF!</v>
      </c>
      <c r="F14" s="551" t="s">
        <v>336</v>
      </c>
      <c r="G14" s="133" t="e">
        <f ca="1">INDIRECT("'DevSumOut-"&amp;$B$2&amp;"BSR'!R58")</f>
        <v>#REF!</v>
      </c>
      <c r="H14" s="133" t="e">
        <f ca="1">INDIRECT("'DevSumOut-"&amp;$B$2&amp;"BSR'!R58")</f>
        <v>#REF!</v>
      </c>
      <c r="I14" s="551" t="s">
        <v>336</v>
      </c>
      <c r="J14" s="133" t="e">
        <f ca="1">INDIRECT("'DevSumOut-"&amp;$B$2&amp;"BSR'!P58")</f>
        <v>#REF!</v>
      </c>
      <c r="K14" s="133" t="e">
        <f ca="1">INDIRECT("'DevSumOut-"&amp;$B$2&amp;"BSR'!P58")</f>
        <v>#REF!</v>
      </c>
      <c r="L14" s="133" t="e">
        <f ca="1">INDIRECT("'DevSumOut-"&amp;$B$2&amp;"BSR'!P58")</f>
        <v>#REF!</v>
      </c>
      <c r="M14" s="551" t="s">
        <v>336</v>
      </c>
      <c r="N14" s="133" t="e">
        <f ca="1">INDIRECT("'DevSumOut-"&amp;$B$2&amp;"BSR'!P58")</f>
        <v>#REF!</v>
      </c>
      <c r="O14" s="133" t="e">
        <f ca="1">INDIRECT("'DevSumOut-"&amp;$B$2&amp;"BSR'!P58")</f>
        <v>#REF!</v>
      </c>
      <c r="P14" s="551" t="s">
        <v>336</v>
      </c>
      <c r="Q14" s="45" t="e">
        <f ca="1">INDIRECT("'DevSumOut-"&amp;$B$2&amp;"BSR'!U58")</f>
        <v>#REF!</v>
      </c>
      <c r="R14" s="45" t="e">
        <f ca="1">INDIRECT("'DevSumOut-"&amp;$B$2&amp;"BSR'!U58")</f>
        <v>#REF!</v>
      </c>
      <c r="S14" s="45" t="e">
        <f ca="1">INDIRECT("'DevSumOut-"&amp;$B$2&amp;"BSR'!U58")</f>
        <v>#REF!</v>
      </c>
      <c r="T14" s="581" t="s">
        <v>336</v>
      </c>
      <c r="U14" s="45" t="e">
        <f ca="1">INDIRECT("'DevSumOut-"&amp;$B$2&amp;"BSR'!U58")</f>
        <v>#REF!</v>
      </c>
      <c r="V14" s="45" t="e">
        <f ca="1">INDIRECT("'DevSumOut-"&amp;$B$2&amp;"BSR'!U58")</f>
        <v>#REF!</v>
      </c>
      <c r="W14" s="581" t="s">
        <v>336</v>
      </c>
      <c r="X14" s="133" t="e">
        <f t="shared" ca="1" si="0"/>
        <v>#REF!</v>
      </c>
      <c r="Y14" s="133" t="e">
        <f t="shared" ca="1" si="0"/>
        <v>#REF!</v>
      </c>
      <c r="Z14" s="133" t="e">
        <f t="shared" ca="1" si="0"/>
        <v>#REF!</v>
      </c>
      <c r="AA14" s="133"/>
      <c r="AB14" s="133" t="e">
        <f t="shared" ca="1" si="1"/>
        <v>#REF!</v>
      </c>
      <c r="AC14" s="133" t="e">
        <f t="shared" ca="1" si="1"/>
        <v>#REF!</v>
      </c>
    </row>
    <row r="15" spans="1:29" x14ac:dyDescent="0.25">
      <c r="A15" s="812">
        <v>2104008610</v>
      </c>
      <c r="B15" s="812" t="s">
        <v>146</v>
      </c>
      <c r="C15" s="133" t="e">
        <f ca="1">INDIRECT("'DevSumOut-"&amp;$B$2&amp;"BSR'!R59")</f>
        <v>#REF!</v>
      </c>
      <c r="D15" s="133" t="e">
        <f ca="1">INDIRECT("'DevSumOut-"&amp;$B$2&amp;"BSR'!R59")</f>
        <v>#REF!</v>
      </c>
      <c r="E15" s="133" t="e">
        <f ca="1">INDIRECT("'DevSumOut-"&amp;$B$2&amp;"BSR'!R59")</f>
        <v>#REF!</v>
      </c>
      <c r="F15" s="551" t="s">
        <v>336</v>
      </c>
      <c r="G15" s="133" t="e">
        <f ca="1">INDIRECT("'DevSumOut-"&amp;$B$2&amp;"BSR'!R59")</f>
        <v>#REF!</v>
      </c>
      <c r="H15" s="133" t="e">
        <f ca="1">INDIRECT("'DevSumOut-"&amp;$B$2&amp;"BSR'!R59")</f>
        <v>#REF!</v>
      </c>
      <c r="I15" s="551" t="s">
        <v>336</v>
      </c>
      <c r="J15" s="133" t="e">
        <f ca="1">INDIRECT("'DevSumOut-"&amp;$B$2&amp;"BSR'!P59")</f>
        <v>#REF!</v>
      </c>
      <c r="K15" s="133" t="e">
        <f ca="1">INDIRECT("'DevSumOut-"&amp;$B$2&amp;"BSR'!P59")</f>
        <v>#REF!</v>
      </c>
      <c r="L15" s="133" t="e">
        <f ca="1">INDIRECT("'DevSumOut-"&amp;$B$2&amp;"BSR'!P59")</f>
        <v>#REF!</v>
      </c>
      <c r="M15" s="551" t="s">
        <v>336</v>
      </c>
      <c r="N15" s="133" t="e">
        <f ca="1">INDIRECT("'DevSumOut-"&amp;$B$2&amp;"BSR'!P59")</f>
        <v>#REF!</v>
      </c>
      <c r="O15" s="133" t="e">
        <f ca="1">INDIRECT("'DevSumOut-"&amp;$B$2&amp;"BSR'!P59")</f>
        <v>#REF!</v>
      </c>
      <c r="P15" s="551" t="s">
        <v>336</v>
      </c>
      <c r="Q15" s="45" t="e">
        <f ca="1">INDIRECT("'DevSumOut-"&amp;$B$2&amp;"BSR'!U59")</f>
        <v>#REF!</v>
      </c>
      <c r="R15" s="45" t="e">
        <f ca="1">INDIRECT("'DevSumOut-"&amp;$B$2&amp;"BSR'!U59")</f>
        <v>#REF!</v>
      </c>
      <c r="S15" s="45" t="e">
        <f ca="1">INDIRECT("'DevSumOut-"&amp;$B$2&amp;"BSR'!U59")</f>
        <v>#REF!</v>
      </c>
      <c r="T15" s="581" t="s">
        <v>336</v>
      </c>
      <c r="U15" s="45" t="e">
        <f ca="1">INDIRECT("'DevSumOut-"&amp;$B$2&amp;"BSR'!U59")</f>
        <v>#REF!</v>
      </c>
      <c r="V15" s="45" t="e">
        <f ca="1">INDIRECT("'DevSumOut-"&amp;$B$2&amp;"BSR'!U59")</f>
        <v>#REF!</v>
      </c>
      <c r="W15" s="581" t="s">
        <v>336</v>
      </c>
      <c r="X15" s="133" t="e">
        <f t="shared" ca="1" si="0"/>
        <v>#REF!</v>
      </c>
      <c r="Y15" s="133" t="e">
        <f t="shared" ca="1" si="0"/>
        <v>#REF!</v>
      </c>
      <c r="Z15" s="133" t="e">
        <f t="shared" ca="1" si="0"/>
        <v>#REF!</v>
      </c>
      <c r="AA15" s="133"/>
      <c r="AB15" s="133" t="e">
        <f t="shared" ca="1" si="1"/>
        <v>#REF!</v>
      </c>
      <c r="AC15" s="133" t="e">
        <f t="shared" ca="1" si="1"/>
        <v>#REF!</v>
      </c>
    </row>
    <row r="16" spans="1:29" x14ac:dyDescent="0.25">
      <c r="A16" s="812">
        <v>2104004000</v>
      </c>
      <c r="B16" s="812" t="s">
        <v>568</v>
      </c>
      <c r="C16" s="133" t="e">
        <f ca="1">INDIRECT("'DevSumOut-"&amp;$B$2&amp;"BSR'!R60")</f>
        <v>#REF!</v>
      </c>
      <c r="D16" s="133" t="e">
        <f ca="1">INDIRECT("'DevSumOut-"&amp;$B$2&amp;"BSR'!R60")</f>
        <v>#REF!</v>
      </c>
      <c r="E16" s="133" t="e">
        <f ca="1">INDIRECT("'DevSumOut-"&amp;$B$2&amp;"BSR'!R60")</f>
        <v>#REF!</v>
      </c>
      <c r="F16" s="551" t="s">
        <v>336</v>
      </c>
      <c r="G16" s="133" t="e">
        <f ca="1">INDIRECT("'DevSumOut-"&amp;$B$2&amp;"BSR'!R60")</f>
        <v>#REF!</v>
      </c>
      <c r="H16" s="133" t="e">
        <f ca="1">INDIRECT("'DevSumOut-"&amp;$B$2&amp;"BSR'!R60")</f>
        <v>#REF!</v>
      </c>
      <c r="I16" s="551" t="s">
        <v>336</v>
      </c>
      <c r="J16" s="133" t="e">
        <f ca="1">INDIRECT("'DevSumOut-"&amp;$B$2&amp;"BSR'!P60")</f>
        <v>#REF!</v>
      </c>
      <c r="K16" s="133" t="e">
        <f ca="1">INDIRECT("'DevSumOut-"&amp;$B$2&amp;"BSR'!P60")</f>
        <v>#REF!</v>
      </c>
      <c r="L16" s="133" t="e">
        <f ca="1">INDIRECT("'DevSumOut-"&amp;$B$2&amp;"BSR'!P60")</f>
        <v>#REF!</v>
      </c>
      <c r="M16" s="551" t="s">
        <v>336</v>
      </c>
      <c r="N16" s="133" t="e">
        <f ca="1">INDIRECT("'DevSumOut-"&amp;$B$2&amp;"BSR'!P60")</f>
        <v>#REF!</v>
      </c>
      <c r="O16" s="133" t="e">
        <f ca="1">INDIRECT("'DevSumOut-"&amp;$B$2&amp;"BSR'!P60")</f>
        <v>#REF!</v>
      </c>
      <c r="P16" s="551" t="s">
        <v>336</v>
      </c>
      <c r="Q16" s="45" t="e">
        <f ca="1">INDIRECT("'DevSumOut-"&amp;$B$2&amp;"BSR'!U60")</f>
        <v>#REF!</v>
      </c>
      <c r="R16" s="45" t="e">
        <f ca="1">INDIRECT("'DevSumOut-"&amp;$B$2&amp;"BSR'!U60")</f>
        <v>#REF!</v>
      </c>
      <c r="S16" s="45" t="e">
        <f ca="1">INDIRECT("'DevSumOut-"&amp;$B$2&amp;"BSR'!U60")</f>
        <v>#REF!</v>
      </c>
      <c r="T16" s="581" t="s">
        <v>336</v>
      </c>
      <c r="U16" s="45" t="e">
        <f ca="1">INDIRECT("'DevSumOut-"&amp;$B$2&amp;"BSR'!U60")</f>
        <v>#REF!</v>
      </c>
      <c r="V16" s="45" t="e">
        <f ca="1">INDIRECT("'DevSumOut-"&amp;$B$2&amp;"BSR'!U60")</f>
        <v>#REF!</v>
      </c>
      <c r="W16" s="581" t="s">
        <v>336</v>
      </c>
      <c r="X16" s="133" t="e">
        <f t="shared" ca="1" si="0"/>
        <v>#REF!</v>
      </c>
      <c r="Y16" s="133" t="e">
        <f t="shared" ca="1" si="0"/>
        <v>#REF!</v>
      </c>
      <c r="Z16" s="133" t="e">
        <f t="shared" ca="1" si="0"/>
        <v>#REF!</v>
      </c>
      <c r="AA16" s="133"/>
      <c r="AB16" s="133" t="e">
        <f t="shared" ca="1" si="1"/>
        <v>#REF!</v>
      </c>
      <c r="AC16" s="133" t="e">
        <f t="shared" ca="1" si="1"/>
        <v>#REF!</v>
      </c>
    </row>
    <row r="17" spans="1:29" x14ac:dyDescent="0.25">
      <c r="A17" s="812">
        <v>2103004001</v>
      </c>
      <c r="B17" s="812" t="s">
        <v>148</v>
      </c>
      <c r="C17" s="133" t="e">
        <f ca="1">INDIRECT("'DevSumOut-"&amp;$B$2&amp;"BSR'!R61")</f>
        <v>#REF!</v>
      </c>
      <c r="D17" s="133" t="e">
        <f ca="1">INDIRECT("'DevSumOut-"&amp;$B$2&amp;"BSR'!R61")</f>
        <v>#REF!</v>
      </c>
      <c r="E17" s="133" t="e">
        <f ca="1">INDIRECT("'DevSumOut-"&amp;$B$2&amp;"BSR'!R61")</f>
        <v>#REF!</v>
      </c>
      <c r="F17" s="551" t="s">
        <v>336</v>
      </c>
      <c r="G17" s="133" t="e">
        <f ca="1">INDIRECT("'DevSumOut-"&amp;$B$2&amp;"BSR'!R61")</f>
        <v>#REF!</v>
      </c>
      <c r="H17" s="133" t="e">
        <f ca="1">INDIRECT("'DevSumOut-"&amp;$B$2&amp;"BSR'!R61")</f>
        <v>#REF!</v>
      </c>
      <c r="I17" s="551" t="s">
        <v>336</v>
      </c>
      <c r="J17" s="133" t="e">
        <f ca="1">INDIRECT("'DevSumOut-"&amp;$B$2&amp;"BSR'!P61")</f>
        <v>#REF!</v>
      </c>
      <c r="K17" s="133" t="e">
        <f ca="1">INDIRECT("'DevSumOut-"&amp;$B$2&amp;"BSR'!P61")</f>
        <v>#REF!</v>
      </c>
      <c r="L17" s="133" t="e">
        <f ca="1">INDIRECT("'DevSumOut-"&amp;$B$2&amp;"BSR'!P61")</f>
        <v>#REF!</v>
      </c>
      <c r="M17" s="551" t="s">
        <v>336</v>
      </c>
      <c r="N17" s="133" t="e">
        <f ca="1">INDIRECT("'DevSumOut-"&amp;$B$2&amp;"BSR'!P61")</f>
        <v>#REF!</v>
      </c>
      <c r="O17" s="133" t="e">
        <f ca="1">INDIRECT("'DevSumOut-"&amp;$B$2&amp;"BSR'!P61")</f>
        <v>#REF!</v>
      </c>
      <c r="P17" s="551" t="s">
        <v>336</v>
      </c>
      <c r="Q17" s="45" t="e">
        <f ca="1">INDIRECT("'DevSumOut-"&amp;$B$2&amp;"BSR'!U61")</f>
        <v>#REF!</v>
      </c>
      <c r="R17" s="45" t="e">
        <f ca="1">INDIRECT("'DevSumOut-"&amp;$B$2&amp;"BSR'!U61")</f>
        <v>#REF!</v>
      </c>
      <c r="S17" s="45" t="e">
        <f ca="1">INDIRECT("'DevSumOut-"&amp;$B$2&amp;"BSR'!U61")</f>
        <v>#REF!</v>
      </c>
      <c r="T17" s="581" t="s">
        <v>336</v>
      </c>
      <c r="U17" s="45" t="e">
        <f ca="1">INDIRECT("'DevSumOut-"&amp;$B$2&amp;"BSR'!U61")</f>
        <v>#REF!</v>
      </c>
      <c r="V17" s="45" t="e">
        <f ca="1">INDIRECT("'DevSumOut-"&amp;$B$2&amp;"BSR'!U61")</f>
        <v>#REF!</v>
      </c>
      <c r="W17" s="581" t="s">
        <v>336</v>
      </c>
      <c r="X17" s="133" t="e">
        <f t="shared" ca="1" si="0"/>
        <v>#REF!</v>
      </c>
      <c r="Y17" s="133" t="e">
        <f t="shared" ca="1" si="0"/>
        <v>#REF!</v>
      </c>
      <c r="Z17" s="133" t="e">
        <f t="shared" ca="1" si="0"/>
        <v>#REF!</v>
      </c>
      <c r="AA17" s="133"/>
      <c r="AB17" s="133" t="e">
        <f t="shared" ca="1" si="1"/>
        <v>#REF!</v>
      </c>
      <c r="AC17" s="133" t="e">
        <f t="shared" ca="1" si="1"/>
        <v>#REF!</v>
      </c>
    </row>
    <row r="18" spans="1:29" x14ac:dyDescent="0.25">
      <c r="A18" s="812">
        <v>2104004000</v>
      </c>
      <c r="B18" s="812" t="s">
        <v>746</v>
      </c>
      <c r="C18" s="133" t="e">
        <f ca="1">INDIRECT("'DevSumOut-"&amp;$B$2&amp;"BSR'!R62")</f>
        <v>#REF!</v>
      </c>
      <c r="D18" s="133" t="e">
        <f ca="1">INDIRECT("'DevSumOut-"&amp;$B$2&amp;"BSR'!R62")</f>
        <v>#REF!</v>
      </c>
      <c r="E18" s="133" t="e">
        <f ca="1">INDIRECT("'DevSumOut-"&amp;$B$2&amp;"BSR'!R62")</f>
        <v>#REF!</v>
      </c>
      <c r="F18" s="551" t="s">
        <v>336</v>
      </c>
      <c r="G18" s="133" t="e">
        <f ca="1">INDIRECT("'DevSumOut-"&amp;$B$2&amp;"BSR'!R62")</f>
        <v>#REF!</v>
      </c>
      <c r="H18" s="133" t="e">
        <f ca="1">INDIRECT("'DevSumOut-"&amp;$B$2&amp;"BSR'!R62")</f>
        <v>#REF!</v>
      </c>
      <c r="I18" s="551" t="s">
        <v>336</v>
      </c>
      <c r="J18" s="133" t="e">
        <f ca="1">INDIRECT("'DevSumOut-"&amp;$B$2&amp;"BSR'!P62")</f>
        <v>#REF!</v>
      </c>
      <c r="K18" s="133" t="e">
        <f ca="1">INDIRECT("'DevSumOut-"&amp;$B$2&amp;"BSR'!P62")</f>
        <v>#REF!</v>
      </c>
      <c r="L18" s="133" t="e">
        <f ca="1">INDIRECT("'DevSumOut-"&amp;$B$2&amp;"BSR'!P62")</f>
        <v>#REF!</v>
      </c>
      <c r="M18" s="551" t="s">
        <v>336</v>
      </c>
      <c r="N18" s="133" t="e">
        <f ca="1">INDIRECT("'DevSumOut-"&amp;$B$2&amp;"BSR'!P62")</f>
        <v>#REF!</v>
      </c>
      <c r="O18" s="133" t="e">
        <f ca="1">INDIRECT("'DevSumOut-"&amp;$B$2&amp;"BSR'!P62")</f>
        <v>#REF!</v>
      </c>
      <c r="P18" s="551" t="s">
        <v>336</v>
      </c>
      <c r="Q18" s="45" t="e">
        <f ca="1">INDIRECT("'DevSumOut-"&amp;$B$2&amp;"BSR'!U62")</f>
        <v>#REF!</v>
      </c>
      <c r="R18" s="45" t="e">
        <f ca="1">INDIRECT("'DevSumOut-"&amp;$B$2&amp;"BSR'!U62")</f>
        <v>#REF!</v>
      </c>
      <c r="S18" s="45" t="e">
        <f ca="1">INDIRECT("'DevSumOut-"&amp;$B$2&amp;"BSR'!U62")</f>
        <v>#REF!</v>
      </c>
      <c r="T18" s="581" t="s">
        <v>336</v>
      </c>
      <c r="U18" s="45" t="e">
        <f ca="1">INDIRECT("'DevSumOut-"&amp;$B$2&amp;"BSR'!U62")</f>
        <v>#REF!</v>
      </c>
      <c r="V18" s="45" t="e">
        <f ca="1">INDIRECT("'DevSumOut-"&amp;$B$2&amp;"BSR'!U62")</f>
        <v>#REF!</v>
      </c>
      <c r="W18" s="581" t="s">
        <v>336</v>
      </c>
      <c r="X18" s="133" t="e">
        <f t="shared" ca="1" si="0"/>
        <v>#REF!</v>
      </c>
      <c r="Y18" s="133" t="e">
        <f t="shared" ca="1" si="0"/>
        <v>#REF!</v>
      </c>
      <c r="Z18" s="133" t="e">
        <f t="shared" ca="1" si="0"/>
        <v>#REF!</v>
      </c>
      <c r="AA18" s="133"/>
      <c r="AB18" s="133" t="e">
        <f t="shared" ca="1" si="1"/>
        <v>#REF!</v>
      </c>
      <c r="AC18" s="133" t="e">
        <f t="shared" ca="1" si="1"/>
        <v>#REF!</v>
      </c>
    </row>
    <row r="19" spans="1:29" x14ac:dyDescent="0.25">
      <c r="A19" s="812">
        <v>2104007000</v>
      </c>
      <c r="B19" s="812" t="s">
        <v>747</v>
      </c>
      <c r="C19" s="133" t="e">
        <f ca="1">INDIRECT("'DevSumOut-"&amp;$B$2&amp;"BSR'!R63")</f>
        <v>#REF!</v>
      </c>
      <c r="D19" s="133" t="e">
        <f ca="1">INDIRECT("'DevSumOut-"&amp;$B$2&amp;"BSR'!R63")</f>
        <v>#REF!</v>
      </c>
      <c r="E19" s="133" t="e">
        <f ca="1">INDIRECT("'DevSumOut-"&amp;$B$2&amp;"BSR'!R63")</f>
        <v>#REF!</v>
      </c>
      <c r="F19" s="551" t="s">
        <v>336</v>
      </c>
      <c r="G19" s="133" t="e">
        <f ca="1">INDIRECT("'DevSumOut-"&amp;$B$2&amp;"BSR'!R63")</f>
        <v>#REF!</v>
      </c>
      <c r="H19" s="133" t="e">
        <f ca="1">INDIRECT("'DevSumOut-"&amp;$B$2&amp;"BSR'!R63")</f>
        <v>#REF!</v>
      </c>
      <c r="I19" s="551" t="s">
        <v>336</v>
      </c>
      <c r="J19" s="133" t="e">
        <f ca="1">INDIRECT("'DevSumOut-"&amp;$B$2&amp;"BSR'!P63")</f>
        <v>#REF!</v>
      </c>
      <c r="K19" s="133" t="e">
        <f ca="1">INDIRECT("'DevSumOut-"&amp;$B$2&amp;"BSR'!P63")</f>
        <v>#REF!</v>
      </c>
      <c r="L19" s="133" t="e">
        <f ca="1">INDIRECT("'DevSumOut-"&amp;$B$2&amp;"BSR'!P63")</f>
        <v>#REF!</v>
      </c>
      <c r="M19" s="551" t="s">
        <v>336</v>
      </c>
      <c r="N19" s="133" t="e">
        <f ca="1">INDIRECT("'DevSumOut-"&amp;$B$2&amp;"BSR'!P63")</f>
        <v>#REF!</v>
      </c>
      <c r="O19" s="133" t="e">
        <f ca="1">INDIRECT("'DevSumOut-"&amp;$B$2&amp;"BSR'!P63")</f>
        <v>#REF!</v>
      </c>
      <c r="P19" s="551" t="s">
        <v>336</v>
      </c>
      <c r="Q19" s="45" t="e">
        <f ca="1">INDIRECT("'DevSumOut-"&amp;$B$2&amp;"BSR'!U63")</f>
        <v>#REF!</v>
      </c>
      <c r="R19" s="45" t="e">
        <f ca="1">INDIRECT("'DevSumOut-"&amp;$B$2&amp;"BSR'!U63")</f>
        <v>#REF!</v>
      </c>
      <c r="S19" s="45" t="e">
        <f ca="1">INDIRECT("'DevSumOut-"&amp;$B$2&amp;"BSR'!U63")</f>
        <v>#REF!</v>
      </c>
      <c r="T19" s="581" t="s">
        <v>336</v>
      </c>
      <c r="U19" s="45" t="e">
        <f ca="1">INDIRECT("'DevSumOut-"&amp;$B$2&amp;"BSR'!U63")</f>
        <v>#REF!</v>
      </c>
      <c r="V19" s="45" t="e">
        <f ca="1">INDIRECT("'DevSumOut-"&amp;$B$2&amp;"BSR'!U63")</f>
        <v>#REF!</v>
      </c>
      <c r="W19" s="581" t="s">
        <v>336</v>
      </c>
      <c r="X19" s="133" t="e">
        <f t="shared" ca="1" si="0"/>
        <v>#REF!</v>
      </c>
      <c r="Y19" s="133" t="e">
        <f t="shared" ca="1" si="0"/>
        <v>#REF!</v>
      </c>
      <c r="Z19" s="133" t="e">
        <f t="shared" ca="1" si="0"/>
        <v>#REF!</v>
      </c>
      <c r="AA19" s="133"/>
      <c r="AB19" s="133" t="e">
        <f t="shared" ca="1" si="1"/>
        <v>#REF!</v>
      </c>
      <c r="AC19" s="133" t="e">
        <f t="shared" ca="1" si="1"/>
        <v>#REF!</v>
      </c>
    </row>
    <row r="20" spans="1:29" x14ac:dyDescent="0.25">
      <c r="A20" s="812">
        <v>2104006010</v>
      </c>
      <c r="B20" s="812" t="s">
        <v>149</v>
      </c>
      <c r="C20" s="133" t="e">
        <f ca="1">INDIRECT("'DevSumOut-"&amp;$B$2&amp;"BSR'!R64")</f>
        <v>#REF!</v>
      </c>
      <c r="D20" s="133" t="e">
        <f ca="1">INDIRECT("'DevSumOut-"&amp;$B$2&amp;"BSR'!R64")</f>
        <v>#REF!</v>
      </c>
      <c r="E20" s="133" t="e">
        <f ca="1">INDIRECT("'DevSumOut-"&amp;$B$2&amp;"BSR'!R64")</f>
        <v>#REF!</v>
      </c>
      <c r="F20" s="551" t="s">
        <v>336</v>
      </c>
      <c r="G20" s="133" t="e">
        <f ca="1">INDIRECT("'DevSumOut-"&amp;$B$2&amp;"BSR'!R64")</f>
        <v>#REF!</v>
      </c>
      <c r="H20" s="133" t="e">
        <f ca="1">INDIRECT("'DevSumOut-"&amp;$B$2&amp;"BSR'!R64")</f>
        <v>#REF!</v>
      </c>
      <c r="I20" s="551" t="s">
        <v>336</v>
      </c>
      <c r="J20" s="133" t="e">
        <f ca="1">INDIRECT("'DevSumOut-"&amp;$B$2&amp;"BSR'!P64")</f>
        <v>#REF!</v>
      </c>
      <c r="K20" s="133" t="e">
        <f ca="1">INDIRECT("'DevSumOut-"&amp;$B$2&amp;"BSR'!P64")</f>
        <v>#REF!</v>
      </c>
      <c r="L20" s="133" t="e">
        <f ca="1">INDIRECT("'DevSumOut-"&amp;$B$2&amp;"BSR'!P64")</f>
        <v>#REF!</v>
      </c>
      <c r="M20" s="551" t="s">
        <v>336</v>
      </c>
      <c r="N20" s="133" t="e">
        <f ca="1">INDIRECT("'DevSumOut-"&amp;$B$2&amp;"BSR'!P64")</f>
        <v>#REF!</v>
      </c>
      <c r="O20" s="133" t="e">
        <f ca="1">INDIRECT("'DevSumOut-"&amp;$B$2&amp;"BSR'!P64")</f>
        <v>#REF!</v>
      </c>
      <c r="P20" s="551" t="s">
        <v>336</v>
      </c>
      <c r="Q20" s="45" t="e">
        <f ca="1">INDIRECT("'DevSumOut-"&amp;$B$2&amp;"BSR'!U64")</f>
        <v>#REF!</v>
      </c>
      <c r="R20" s="45" t="e">
        <f ca="1">INDIRECT("'DevSumOut-"&amp;$B$2&amp;"BSR'!U64")</f>
        <v>#REF!</v>
      </c>
      <c r="S20" s="45" t="e">
        <f ca="1">INDIRECT("'DevSumOut-"&amp;$B$2&amp;"BSR'!U64")</f>
        <v>#REF!</v>
      </c>
      <c r="T20" s="581" t="s">
        <v>336</v>
      </c>
      <c r="U20" s="45" t="e">
        <f ca="1">INDIRECT("'DevSumOut-"&amp;$B$2&amp;"BSR'!U64")</f>
        <v>#REF!</v>
      </c>
      <c r="V20" s="45" t="e">
        <f ca="1">INDIRECT("'DevSumOut-"&amp;$B$2&amp;"BSR'!U64")</f>
        <v>#REF!</v>
      </c>
      <c r="W20" s="581" t="s">
        <v>336</v>
      </c>
      <c r="X20" s="133" t="e">
        <f t="shared" ca="1" si="0"/>
        <v>#REF!</v>
      </c>
      <c r="Y20" s="133" t="e">
        <f t="shared" ca="1" si="0"/>
        <v>#REF!</v>
      </c>
      <c r="Z20" s="133" t="e">
        <f t="shared" ca="1" si="0"/>
        <v>#REF!</v>
      </c>
      <c r="AA20" s="133"/>
      <c r="AB20" s="133" t="e">
        <f t="shared" ca="1" si="1"/>
        <v>#REF!</v>
      </c>
      <c r="AC20" s="133" t="e">
        <f t="shared" ca="1" si="1"/>
        <v>#REF!</v>
      </c>
    </row>
    <row r="21" spans="1:29" x14ac:dyDescent="0.25">
      <c r="A21" s="812">
        <v>2103006000</v>
      </c>
      <c r="B21" s="812" t="s">
        <v>150</v>
      </c>
      <c r="C21" s="133" t="e">
        <f ca="1">INDIRECT("'DevSumOut-"&amp;$B$2&amp;"BSR'!R65")</f>
        <v>#REF!</v>
      </c>
      <c r="D21" s="133" t="e">
        <f ca="1">INDIRECT("'DevSumOut-"&amp;$B$2&amp;"BSR'!R65")</f>
        <v>#REF!</v>
      </c>
      <c r="E21" s="133" t="e">
        <f ca="1">INDIRECT("'DevSumOut-"&amp;$B$2&amp;"BSR'!R65")</f>
        <v>#REF!</v>
      </c>
      <c r="F21" s="551" t="s">
        <v>336</v>
      </c>
      <c r="G21" s="133" t="e">
        <f ca="1">INDIRECT("'DevSumOut-"&amp;$B$2&amp;"BSR'!R65")</f>
        <v>#REF!</v>
      </c>
      <c r="H21" s="133" t="e">
        <f ca="1">INDIRECT("'DevSumOut-"&amp;$B$2&amp;"BSR'!R65")</f>
        <v>#REF!</v>
      </c>
      <c r="I21" s="551" t="s">
        <v>336</v>
      </c>
      <c r="J21" s="133" t="e">
        <f ca="1">INDIRECT("'DevSumOut-"&amp;$B$2&amp;"BSR'!P65")</f>
        <v>#REF!</v>
      </c>
      <c r="K21" s="133" t="e">
        <f ca="1">INDIRECT("'DevSumOut-"&amp;$B$2&amp;"BSR'!P65")</f>
        <v>#REF!</v>
      </c>
      <c r="L21" s="133" t="e">
        <f ca="1">INDIRECT("'DevSumOut-"&amp;$B$2&amp;"BSR'!P65")</f>
        <v>#REF!</v>
      </c>
      <c r="M21" s="551" t="s">
        <v>336</v>
      </c>
      <c r="N21" s="133" t="e">
        <f ca="1">INDIRECT("'DevSumOut-"&amp;$B$2&amp;"BSR'!P65")</f>
        <v>#REF!</v>
      </c>
      <c r="O21" s="133" t="e">
        <f ca="1">INDIRECT("'DevSumOut-"&amp;$B$2&amp;"BSR'!P65")</f>
        <v>#REF!</v>
      </c>
      <c r="P21" s="551" t="s">
        <v>336</v>
      </c>
      <c r="Q21" s="45" t="e">
        <f ca="1">INDIRECT("'DevSumOut-"&amp;$B$2&amp;"BSR'!U65")</f>
        <v>#REF!</v>
      </c>
      <c r="R21" s="45" t="e">
        <f ca="1">INDIRECT("'DevSumOut-"&amp;$B$2&amp;"BSR'!U65")</f>
        <v>#REF!</v>
      </c>
      <c r="S21" s="45" t="e">
        <f ca="1">INDIRECT("'DevSumOut-"&amp;$B$2&amp;"BSR'!U65")</f>
        <v>#REF!</v>
      </c>
      <c r="T21" s="581" t="s">
        <v>336</v>
      </c>
      <c r="U21" s="45" t="e">
        <f ca="1">INDIRECT("'DevSumOut-"&amp;$B$2&amp;"BSR'!U65")</f>
        <v>#REF!</v>
      </c>
      <c r="V21" s="45" t="e">
        <f ca="1">INDIRECT("'DevSumOut-"&amp;$B$2&amp;"BSR'!U65")</f>
        <v>#REF!</v>
      </c>
      <c r="W21" s="581" t="s">
        <v>336</v>
      </c>
      <c r="X21" s="133" t="e">
        <f t="shared" ca="1" si="0"/>
        <v>#REF!</v>
      </c>
      <c r="Y21" s="133" t="e">
        <f t="shared" ca="1" si="0"/>
        <v>#REF!</v>
      </c>
      <c r="Z21" s="133" t="e">
        <f t="shared" ca="1" si="0"/>
        <v>#REF!</v>
      </c>
      <c r="AA21" s="133"/>
      <c r="AB21" s="133" t="e">
        <f t="shared" ca="1" si="1"/>
        <v>#REF!</v>
      </c>
      <c r="AC21" s="133" t="e">
        <f t="shared" ca="1" si="1"/>
        <v>#REF!</v>
      </c>
    </row>
    <row r="22" spans="1:29" x14ac:dyDescent="0.25">
      <c r="A22" s="812">
        <v>2104002000</v>
      </c>
      <c r="B22" s="812" t="s">
        <v>151</v>
      </c>
      <c r="C22" s="133" t="e">
        <f ca="1">INDIRECT("'DevSumOut-"&amp;$B$2&amp;"BSR'!R66")</f>
        <v>#REF!</v>
      </c>
      <c r="D22" s="133" t="e">
        <f ca="1">INDIRECT("'DevSumOut-"&amp;$B$2&amp;"BSR'!R66")</f>
        <v>#REF!</v>
      </c>
      <c r="E22" s="133" t="e">
        <f ca="1">INDIRECT("'DevSumOut-"&amp;$B$2&amp;"BSR'!R66")</f>
        <v>#REF!</v>
      </c>
      <c r="F22" s="551" t="s">
        <v>336</v>
      </c>
      <c r="G22" s="133" t="e">
        <f ca="1">INDIRECT("'DevSumOut-"&amp;$B$2&amp;"BSR'!R66")</f>
        <v>#REF!</v>
      </c>
      <c r="H22" s="133" t="e">
        <f ca="1">INDIRECT("'DevSumOut-"&amp;$B$2&amp;"BSR'!R66")</f>
        <v>#REF!</v>
      </c>
      <c r="I22" s="551" t="s">
        <v>336</v>
      </c>
      <c r="J22" s="133" t="e">
        <f ca="1">INDIRECT("'DevSumOut-"&amp;$B$2&amp;"BSR'!P66")</f>
        <v>#REF!</v>
      </c>
      <c r="K22" s="133" t="e">
        <f ca="1">INDIRECT("'DevSumOut-"&amp;$B$2&amp;"BSR'!P66")</f>
        <v>#REF!</v>
      </c>
      <c r="L22" s="133" t="e">
        <f ca="1">INDIRECT("'DevSumOut-"&amp;$B$2&amp;"BSR'!P66")</f>
        <v>#REF!</v>
      </c>
      <c r="M22" s="551" t="s">
        <v>336</v>
      </c>
      <c r="N22" s="133" t="e">
        <f ca="1">INDIRECT("'DevSumOut-"&amp;$B$2&amp;"BSR'!P66")</f>
        <v>#REF!</v>
      </c>
      <c r="O22" s="133" t="e">
        <f ca="1">INDIRECT("'DevSumOut-"&amp;$B$2&amp;"BSR'!P66")</f>
        <v>#REF!</v>
      </c>
      <c r="P22" s="551" t="s">
        <v>336</v>
      </c>
      <c r="Q22" s="45" t="e">
        <f ca="1">INDIRECT("'DevSumOut-"&amp;$B$2&amp;"BSR'!U66")</f>
        <v>#REF!</v>
      </c>
      <c r="R22" s="45" t="e">
        <f ca="1">INDIRECT("'DevSumOut-"&amp;$B$2&amp;"BSR'!U66")</f>
        <v>#REF!</v>
      </c>
      <c r="S22" s="45" t="e">
        <f ca="1">INDIRECT("'DevSumOut-"&amp;$B$2&amp;"BSR'!U66")</f>
        <v>#REF!</v>
      </c>
      <c r="T22" s="581" t="s">
        <v>336</v>
      </c>
      <c r="U22" s="45" t="e">
        <f ca="1">INDIRECT("'DevSumOut-"&amp;$B$2&amp;"BSR'!U66")</f>
        <v>#REF!</v>
      </c>
      <c r="V22" s="45" t="e">
        <f ca="1">INDIRECT("'DevSumOut-"&amp;$B$2&amp;"BSR'!U66")</f>
        <v>#REF!</v>
      </c>
      <c r="W22" s="581" t="s">
        <v>336</v>
      </c>
      <c r="X22" s="133" t="e">
        <f t="shared" ca="1" si="0"/>
        <v>#REF!</v>
      </c>
      <c r="Y22" s="133" t="e">
        <f t="shared" ca="1" si="0"/>
        <v>#REF!</v>
      </c>
      <c r="Z22" s="133" t="e">
        <f t="shared" ca="1" si="0"/>
        <v>#REF!</v>
      </c>
      <c r="AA22" s="133"/>
      <c r="AB22" s="133" t="e">
        <f t="shared" ca="1" si="1"/>
        <v>#REF!</v>
      </c>
      <c r="AC22" s="133" t="e">
        <f t="shared" ca="1" si="1"/>
        <v>#REF!</v>
      </c>
    </row>
    <row r="23" spans="1:29" x14ac:dyDescent="0.25">
      <c r="A23" s="812">
        <v>2103002000</v>
      </c>
      <c r="B23" s="812" t="s">
        <v>152</v>
      </c>
      <c r="C23" s="133" t="e">
        <f ca="1">INDIRECT("'DevSumOut-"&amp;$B$2&amp;"BSR'!R67")</f>
        <v>#REF!</v>
      </c>
      <c r="D23" s="133" t="e">
        <f ca="1">INDIRECT("'DevSumOut-"&amp;$B$2&amp;"BSR'!R67")</f>
        <v>#REF!</v>
      </c>
      <c r="E23" s="133" t="e">
        <f ca="1">INDIRECT("'DevSumOut-"&amp;$B$2&amp;"BSR'!R67")</f>
        <v>#REF!</v>
      </c>
      <c r="F23" s="551"/>
      <c r="G23" s="133" t="e">
        <f ca="1">INDIRECT("'DevSumOut-"&amp;$B$2&amp;"BSR'!R67")</f>
        <v>#REF!</v>
      </c>
      <c r="H23" s="133" t="e">
        <f ca="1">INDIRECT("'DevSumOut-"&amp;$B$2&amp;"BSR'!R67")</f>
        <v>#REF!</v>
      </c>
      <c r="I23" s="551"/>
      <c r="J23" s="133" t="e">
        <f ca="1">INDIRECT("'DevSumOut-"&amp;$B$2&amp;"BSR'!P67")</f>
        <v>#REF!</v>
      </c>
      <c r="K23" s="133" t="e">
        <f ca="1">INDIRECT("'DevSumOut-"&amp;$B$2&amp;"BSR'!P67")</f>
        <v>#REF!</v>
      </c>
      <c r="L23" s="133" t="e">
        <f ca="1">INDIRECT("'DevSumOut-"&amp;$B$2&amp;"BSR'!P67")</f>
        <v>#REF!</v>
      </c>
      <c r="M23" s="551"/>
      <c r="N23" s="133" t="e">
        <f ca="1">INDIRECT("'DevSumOut-"&amp;$B$2&amp;"BSR'!P67")</f>
        <v>#REF!</v>
      </c>
      <c r="O23" s="133" t="e">
        <f ca="1">INDIRECT("'DevSumOut-"&amp;$B$2&amp;"BSR'!P67")</f>
        <v>#REF!</v>
      </c>
      <c r="P23" s="551"/>
      <c r="Q23" s="45" t="e">
        <f ca="1">INDIRECT("'DevSumOut-"&amp;$B$2&amp;"BSR'!U67")</f>
        <v>#REF!</v>
      </c>
      <c r="R23" s="45" t="e">
        <f ca="1">INDIRECT("'DevSumOut-"&amp;$B$2&amp;"BSR'!U67")</f>
        <v>#REF!</v>
      </c>
      <c r="S23" s="45" t="e">
        <f ca="1">INDIRECT("'DevSumOut-"&amp;$B$2&amp;"BSR'!U67")</f>
        <v>#REF!</v>
      </c>
      <c r="T23" s="581"/>
      <c r="U23" s="45" t="e">
        <f ca="1">INDIRECT("'DevSumOut-"&amp;$B$2&amp;"BSR'!U67")</f>
        <v>#REF!</v>
      </c>
      <c r="V23" s="45" t="e">
        <f ca="1">INDIRECT("'DevSumOut-"&amp;$B$2&amp;"BSR'!U67")</f>
        <v>#REF!</v>
      </c>
      <c r="W23" s="581"/>
      <c r="X23" s="133"/>
      <c r="Y23" s="133"/>
      <c r="Z23" s="133"/>
      <c r="AA23" s="133"/>
      <c r="AB23" s="133"/>
      <c r="AC23" s="133"/>
    </row>
    <row r="24" spans="1:29" x14ac:dyDescent="0.25">
      <c r="A24" s="812">
        <v>2103008000</v>
      </c>
      <c r="B24" s="812" t="s">
        <v>153</v>
      </c>
      <c r="C24" s="133" t="e">
        <f ca="1">INDIRECT("'DevSumOut-"&amp;$B$2&amp;"BSR'!R68")</f>
        <v>#REF!</v>
      </c>
      <c r="D24" s="133" t="e">
        <f ca="1">INDIRECT("'DevSumOut-"&amp;$B$2&amp;"BSR'!R68")</f>
        <v>#REF!</v>
      </c>
      <c r="E24" s="133" t="e">
        <f ca="1">INDIRECT("'DevSumOut-"&amp;$B$2&amp;"BSR'!R68")</f>
        <v>#REF!</v>
      </c>
      <c r="F24" s="551"/>
      <c r="G24" s="133" t="e">
        <f ca="1">INDIRECT("'DevSumOut-"&amp;$B$2&amp;"BSR'!R68")</f>
        <v>#REF!</v>
      </c>
      <c r="H24" s="133" t="e">
        <f ca="1">INDIRECT("'DevSumOut-"&amp;$B$2&amp;"BSR'!R68")</f>
        <v>#REF!</v>
      </c>
      <c r="I24" s="551"/>
      <c r="J24" s="133" t="e">
        <f ca="1">INDIRECT("'DevSumOut-"&amp;$B$2&amp;"BSR'!P68")</f>
        <v>#REF!</v>
      </c>
      <c r="K24" s="133" t="e">
        <f ca="1">INDIRECT("'DevSumOut-"&amp;$B$2&amp;"BSR'!P68")</f>
        <v>#REF!</v>
      </c>
      <c r="L24" s="133" t="e">
        <f ca="1">INDIRECT("'DevSumOut-"&amp;$B$2&amp;"BSR'!P68")</f>
        <v>#REF!</v>
      </c>
      <c r="M24" s="551"/>
      <c r="N24" s="133" t="e">
        <f ca="1">INDIRECT("'DevSumOut-"&amp;$B$2&amp;"BSR'!P68")</f>
        <v>#REF!</v>
      </c>
      <c r="O24" s="133" t="e">
        <f ca="1">INDIRECT("'DevSumOut-"&amp;$B$2&amp;"BSR'!P68")</f>
        <v>#REF!</v>
      </c>
      <c r="P24" s="551"/>
      <c r="Q24" s="45" t="e">
        <f ca="1">INDIRECT("'DevSumOut-"&amp;$B$2&amp;"BSR'!U68")</f>
        <v>#REF!</v>
      </c>
      <c r="R24" s="45" t="e">
        <f ca="1">INDIRECT("'DevSumOut-"&amp;$B$2&amp;"BSR'!U68")</f>
        <v>#REF!</v>
      </c>
      <c r="S24" s="45" t="e">
        <f ca="1">INDIRECT("'DevSumOut-"&amp;$B$2&amp;"BSR'!U68")</f>
        <v>#REF!</v>
      </c>
      <c r="T24" s="581"/>
      <c r="U24" s="45" t="e">
        <f ca="1">INDIRECT("'DevSumOut-"&amp;$B$2&amp;"BSR'!U68")</f>
        <v>#REF!</v>
      </c>
      <c r="V24" s="45" t="e">
        <f ca="1">INDIRECT("'DevSumOut-"&amp;$B$2&amp;"BSR'!U68")</f>
        <v>#REF!</v>
      </c>
      <c r="W24" s="581"/>
      <c r="X24" s="133"/>
      <c r="Y24" s="133"/>
      <c r="Z24" s="133"/>
      <c r="AA24" s="133"/>
      <c r="AB24" s="133"/>
      <c r="AC24" s="133"/>
    </row>
    <row r="25" spans="1:29" ht="15.75" thickBot="1" x14ac:dyDescent="0.3">
      <c r="A25" s="6">
        <v>2102012000</v>
      </c>
      <c r="B25" s="6" t="s">
        <v>154</v>
      </c>
      <c r="C25" s="544" t="e">
        <f ca="1">INDIRECT("'DevSumOut-"&amp;$B$2&amp;"BSR'!R69")</f>
        <v>#REF!</v>
      </c>
      <c r="D25" s="544" t="e">
        <f ca="1">INDIRECT("'DevSumOut-"&amp;$B$2&amp;"BSR'!R69")</f>
        <v>#REF!</v>
      </c>
      <c r="E25" s="544" t="e">
        <f ca="1">INDIRECT("'DevSumOut-"&amp;$B$2&amp;"BSR'!R69")</f>
        <v>#REF!</v>
      </c>
      <c r="F25" s="542" t="s">
        <v>336</v>
      </c>
      <c r="G25" s="544" t="e">
        <f ca="1">INDIRECT("'DevSumOut-"&amp;$B$2&amp;"BSR'!R69")</f>
        <v>#REF!</v>
      </c>
      <c r="H25" s="544" t="e">
        <f ca="1">INDIRECT("'DevSumOut-"&amp;$B$2&amp;"BSR'!R69")</f>
        <v>#REF!</v>
      </c>
      <c r="I25" s="542" t="s">
        <v>336</v>
      </c>
      <c r="J25" s="544" t="e">
        <f ca="1">INDIRECT("'DevSumOut-"&amp;$B$2&amp;"BSR'!P69")</f>
        <v>#REF!</v>
      </c>
      <c r="K25" s="544" t="e">
        <f ca="1">INDIRECT("'DevSumOut-"&amp;$B$2&amp;"BSR'!P69")</f>
        <v>#REF!</v>
      </c>
      <c r="L25" s="544" t="e">
        <f ca="1">INDIRECT("'DevSumOut-"&amp;$B$2&amp;"BSR'!P69")</f>
        <v>#REF!</v>
      </c>
      <c r="M25" s="542" t="s">
        <v>336</v>
      </c>
      <c r="N25" s="544" t="e">
        <f ca="1">INDIRECT("'DevSumOut-"&amp;$B$2&amp;"BSR'!P69")</f>
        <v>#REF!</v>
      </c>
      <c r="O25" s="544" t="e">
        <f ca="1">INDIRECT("'DevSumOut-"&amp;$B$2&amp;"BSR'!P69")</f>
        <v>#REF!</v>
      </c>
      <c r="P25" s="542" t="s">
        <v>336</v>
      </c>
      <c r="Q25" s="567" t="e">
        <f ca="1">INDIRECT("'DevSumOut-"&amp;$B$2&amp;"BSR'!U69")</f>
        <v>#REF!</v>
      </c>
      <c r="R25" s="567" t="e">
        <f ca="1">INDIRECT("'DevSumOut-"&amp;$B$2&amp;"BSR'!U69")</f>
        <v>#REF!</v>
      </c>
      <c r="S25" s="567" t="e">
        <f ca="1">INDIRECT("'DevSumOut-"&amp;$B$2&amp;"BSR'!U69")</f>
        <v>#REF!</v>
      </c>
      <c r="T25" s="582" t="s">
        <v>336</v>
      </c>
      <c r="U25" s="567" t="e">
        <f ca="1">INDIRECT("'DevSumOut-"&amp;$B$2&amp;"BSR'!U69")</f>
        <v>#REF!</v>
      </c>
      <c r="V25" s="567" t="e">
        <f ca="1">INDIRECT("'DevSumOut-"&amp;$B$2&amp;"BSR'!U69")</f>
        <v>#REF!</v>
      </c>
      <c r="W25" s="582" t="s">
        <v>336</v>
      </c>
      <c r="X25" s="133" t="e">
        <f ca="1">C25*2000/Q25</f>
        <v>#REF!</v>
      </c>
      <c r="Y25" s="133" t="e">
        <f ca="1">D25*2000/R25</f>
        <v>#REF!</v>
      </c>
      <c r="Z25" s="133" t="e">
        <f ca="1">E25*2000/S25</f>
        <v>#REF!</v>
      </c>
      <c r="AA25" s="133"/>
      <c r="AB25" s="133" t="e">
        <f ca="1">G25*2000/U25</f>
        <v>#REF!</v>
      </c>
      <c r="AC25" s="133" t="e">
        <f ca="1">H25*2000/V25</f>
        <v>#REF!</v>
      </c>
    </row>
    <row r="26" spans="1:29" ht="15.75" thickTop="1" x14ac:dyDescent="0.25">
      <c r="A26" s="810" t="s">
        <v>249</v>
      </c>
      <c r="C26" s="137" t="e">
        <f ca="1">SUM(C6:C25)</f>
        <v>#REF!</v>
      </c>
      <c r="D26" s="137" t="e">
        <f ca="1">SUM(D6:D25)</f>
        <v>#REF!</v>
      </c>
      <c r="E26" s="137" t="e">
        <f ca="1">SUM(E6:E25)</f>
        <v>#REF!</v>
      </c>
      <c r="F26" s="566" t="s">
        <v>336</v>
      </c>
      <c r="G26" s="137" t="e">
        <f t="shared" ref="G26:H26" ca="1" si="2">SUM(G6:G25)</f>
        <v>#REF!</v>
      </c>
      <c r="H26" s="137" t="e">
        <f t="shared" ca="1" si="2"/>
        <v>#REF!</v>
      </c>
      <c r="I26" s="566" t="s">
        <v>336</v>
      </c>
      <c r="J26" s="137" t="e">
        <f ca="1">SUM(J6:J25)</f>
        <v>#REF!</v>
      </c>
      <c r="K26" s="137" t="e">
        <f ca="1">SUM(K6:K25)</f>
        <v>#REF!</v>
      </c>
      <c r="L26" s="137" t="e">
        <f ca="1">SUM(L6:L25)</f>
        <v>#REF!</v>
      </c>
      <c r="M26" s="566" t="s">
        <v>336</v>
      </c>
      <c r="N26" s="137" t="e">
        <f ca="1">SUM(N6:N25)</f>
        <v>#REF!</v>
      </c>
      <c r="O26" s="137" t="e">
        <f ca="1">SUM(O6:O25)</f>
        <v>#REF!</v>
      </c>
      <c r="P26" s="566" t="s">
        <v>336</v>
      </c>
      <c r="Q26" s="87" t="e">
        <f ca="1">SUM(Q6:Q25)</f>
        <v>#REF!</v>
      </c>
      <c r="R26" s="87" t="e">
        <f ca="1">SUM(R6:R25)</f>
        <v>#REF!</v>
      </c>
      <c r="S26" s="87" t="e">
        <f ca="1">SUM(S6:S25)</f>
        <v>#REF!</v>
      </c>
      <c r="T26" s="566" t="s">
        <v>336</v>
      </c>
      <c r="U26" s="87" t="e">
        <f ca="1">SUM(U6:U25)</f>
        <v>#REF!</v>
      </c>
      <c r="V26" s="87" t="e">
        <f ca="1">SUM(V6:V25)</f>
        <v>#REF!</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2" t="s">
        <v>749</v>
      </c>
      <c r="B30" s="812"/>
      <c r="C30" s="840" t="str">
        <f>$B$2&amp;" Baseline PM2.5 Emissions (tpd) by Curtailment Regime and AQCZ"</f>
        <v>2032 Baseline PM2.5 Emissions (tpd) by Curtailment Regime and AQCZ</v>
      </c>
      <c r="D30" s="840"/>
      <c r="E30" s="840"/>
      <c r="F30" s="840"/>
      <c r="G30" s="840"/>
      <c r="H30" s="840"/>
      <c r="I30" s="840"/>
      <c r="J30" s="840" t="str">
        <f>$B$2&amp;" Baseline SO2 Emissions (tpd) by Curtailment Regime and AQCZ"</f>
        <v>2032 Baseline SO2 Emissions (tpd) by Curtailment Regime and AQCZ</v>
      </c>
      <c r="K30" s="840"/>
      <c r="L30" s="840"/>
      <c r="M30" s="840"/>
      <c r="N30" s="840"/>
      <c r="O30" s="840"/>
      <c r="P30" s="840"/>
      <c r="Q30" s="840" t="str">
        <f>$B$2&amp;" Baseline Energy Use (mmBTU) by Curtailment Regime and AQCZ"</f>
        <v>2032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2" t="s">
        <v>752</v>
      </c>
      <c r="B32" s="812" t="s">
        <v>753</v>
      </c>
      <c r="C32" s="133" t="e">
        <f ca="1">(C26-C33)*AQCZSplits!$F$5</f>
        <v>#REF!</v>
      </c>
      <c r="D32" s="133" t="e">
        <f ca="1">(D26-D33)*AQCZSplits!$F$5</f>
        <v>#REF!</v>
      </c>
      <c r="E32" s="133" t="e">
        <f ca="1">(E26-E33)*AQCZSplits!$F$5</f>
        <v>#REF!</v>
      </c>
      <c r="F32" s="551" t="s">
        <v>336</v>
      </c>
      <c r="G32" s="133" t="e">
        <f ca="1">(G26-G33)*AQCZSplits!$F$5</f>
        <v>#REF!</v>
      </c>
      <c r="H32" s="133" t="e">
        <f ca="1">(H26-H33)*AQCZSplits!$F$5</f>
        <v>#REF!</v>
      </c>
      <c r="I32" s="551" t="s">
        <v>336</v>
      </c>
      <c r="J32" s="133" t="e">
        <f ca="1">(J26-J33)*AQCZSplits!$F$5</f>
        <v>#REF!</v>
      </c>
      <c r="K32" s="133" t="e">
        <f ca="1">(K26-K33)*AQCZSplits!$F$5</f>
        <v>#REF!</v>
      </c>
      <c r="L32" s="133" t="e">
        <f ca="1">(L26-L33)*AQCZSplits!$F$5</f>
        <v>#REF!</v>
      </c>
      <c r="M32" s="551" t="s">
        <v>336</v>
      </c>
      <c r="N32" s="133" t="e">
        <f ca="1">(N26-N33)*AQCZSplits!$F$5</f>
        <v>#REF!</v>
      </c>
      <c r="O32" s="133" t="e">
        <f ca="1">(O26-O33)*AQCZSplits!$F$5</f>
        <v>#REF!</v>
      </c>
      <c r="P32" s="551" t="s">
        <v>336</v>
      </c>
      <c r="Q32" s="45" t="e">
        <f ca="1">(Q26-Q33)*AQCZSplits!$F$5</f>
        <v>#REF!</v>
      </c>
      <c r="R32" s="45" t="e">
        <f ca="1">(R26-R33)*AQCZSplits!$F$5</f>
        <v>#REF!</v>
      </c>
      <c r="S32" s="45" t="e">
        <f ca="1">(S26-S33)*AQCZSplits!$F$5</f>
        <v>#REF!</v>
      </c>
      <c r="T32" s="551" t="s">
        <v>336</v>
      </c>
      <c r="U32" s="45" t="e">
        <f ca="1">(U26-U33)*AQCZSplits!$F$5</f>
        <v>#REF!</v>
      </c>
      <c r="V32" s="45" t="e">
        <f ca="1">(V26-V33)*AQCZSplits!$F$5</f>
        <v>#REF!</v>
      </c>
      <c r="W32" s="551" t="s">
        <v>336</v>
      </c>
    </row>
    <row r="33" spans="1:23" ht="15.75" thickBot="1" x14ac:dyDescent="0.3">
      <c r="A33" s="6" t="s">
        <v>754</v>
      </c>
      <c r="B33" s="6" t="s">
        <v>755</v>
      </c>
      <c r="C33" s="544" t="e">
        <f ca="1">SUMIFS(INDIRECT("'ZipOutNA-"&amp;$B$2&amp;"BSR'!$J$5:$J$669"),INDIRECT("'ZipOutNA-"&amp;$B$2&amp;"BSR'!$D$5:$D$669"),99705)/35</f>
        <v>#REF!</v>
      </c>
      <c r="D33" s="544" t="e">
        <f ca="1">SUMIFS(INDIRECT("'ZipOutNA-"&amp;$B$2&amp;"BSR'!$J$5:$J$669"),INDIRECT("'ZipOutNA-"&amp;$B$2&amp;"BSR'!$D$5:$D$669"),99705)/35</f>
        <v>#REF!</v>
      </c>
      <c r="E33" s="544" t="e">
        <f ca="1">SUMIFS(INDIRECT("'ZipOutNA-"&amp;$B$2&amp;"BSR'!$J$5:$J$669"),INDIRECT("'ZipOutNA-"&amp;$B$2&amp;"BSR'!$D$5:$D$669"),99705)/35</f>
        <v>#REF!</v>
      </c>
      <c r="F33" s="542" t="s">
        <v>336</v>
      </c>
      <c r="G33" s="544" t="e">
        <f ca="1">SUMIFS(INDIRECT("'ZipOutNA-"&amp;$B$2&amp;"BSR'!$J$5:$J$669"),INDIRECT("'ZipOutNA-"&amp;$B$2&amp;"BSR'!$D$5:$D$669"),99705)/35</f>
        <v>#REF!</v>
      </c>
      <c r="H33" s="544" t="e">
        <f ca="1">SUMIFS(INDIRECT("'ZipOutNA-"&amp;$B$2&amp;"BSR'!$J$5:$J$669"),INDIRECT("'ZipOutNA-"&amp;$B$2&amp;"BSR'!$D$5:$D$669"),99705)/35</f>
        <v>#REF!</v>
      </c>
      <c r="I33" s="542" t="s">
        <v>336</v>
      </c>
      <c r="J33" s="544" t="e">
        <f ca="1">SUMIFS(INDIRECT("'ZipOutNA-"&amp;$B$2&amp;"BSR'!$H$5:$H$669"),INDIRECT("'ZipOutNA-"&amp;$B$2&amp;"BSR'!$D$5:$D$669"),99705)/35</f>
        <v>#REF!</v>
      </c>
      <c r="K33" s="544" t="e">
        <f ca="1">SUMIFS(INDIRECT("'ZipOutNA-"&amp;$B$2&amp;"BSR'!$H$5:$H$669"),INDIRECT("'ZipOutNA-"&amp;$B$2&amp;"BSR'!$D$5:$D$669"),99705)/35</f>
        <v>#REF!</v>
      </c>
      <c r="L33" s="544" t="e">
        <f ca="1">SUMIFS(INDIRECT("'ZipOutNA-"&amp;$B$2&amp;"BSR'!$H$5:$H$669"),INDIRECT("'ZipOutNA-"&amp;$B$2&amp;"BSR'!$D$5:$D$669"),99705)/35</f>
        <v>#REF!</v>
      </c>
      <c r="M33" s="542" t="s">
        <v>336</v>
      </c>
      <c r="N33" s="544" t="e">
        <f ca="1">SUMIFS(INDIRECT("'ZipOutNA-"&amp;$B$2&amp;"BSR'!$H$5:$H$669"),INDIRECT("'ZipOutNA-"&amp;$B$2&amp;"BSR'!$D$5:$D$669"),99705)/35</f>
        <v>#REF!</v>
      </c>
      <c r="O33" s="544" t="e">
        <f ca="1">SUMIFS(INDIRECT("'ZipOutNA-"&amp;$B$2&amp;"BSR'!$H$5:$H$669"),INDIRECT("'ZipOutNA-"&amp;$B$2&amp;"BSR'!$D$5:$D$669"),99705)/35</f>
        <v>#REF!</v>
      </c>
      <c r="P33" s="542" t="s">
        <v>336</v>
      </c>
      <c r="Q33" s="567" t="e">
        <f ca="1">SUMIFS(INDIRECT("'ZipOutNA-"&amp;$B$2&amp;"BSR'!$M$5:$M$669"),INDIRECT("'ZipOutNA-"&amp;$B$2&amp;"BSR'!$D$5:$D$669"),99705)/35</f>
        <v>#REF!</v>
      </c>
      <c r="R33" s="567" t="e">
        <f ca="1">SUMIFS(INDIRECT("'ZipOutNA-"&amp;$B$2&amp;"BSR'!$M$5:$M$669"),INDIRECT("'ZipOutNA-"&amp;$B$2&amp;"BSR'!$D$5:$D$669"),99705)/35</f>
        <v>#REF!</v>
      </c>
      <c r="S33" s="567" t="e">
        <f ca="1">SUMIFS(INDIRECT("'ZipOutNA-"&amp;$B$2&amp;"BSR'!$M$5:$M$669"),INDIRECT("'ZipOutNA-"&amp;$B$2&amp;"BSR'!$D$5:$D$669"),99705)/35</f>
        <v>#REF!</v>
      </c>
      <c r="T33" s="542" t="s">
        <v>336</v>
      </c>
      <c r="U33" s="567" t="e">
        <f ca="1">SUMIFS(INDIRECT("'ZipOutNA-"&amp;$B$2&amp;"BSR'!$M$5:$M$669"),INDIRECT("'ZipOutNA-"&amp;$B$2&amp;"BSR'!$D$5:$D$669"),99705)/35</f>
        <v>#REF!</v>
      </c>
      <c r="V33" s="567" t="e">
        <f ca="1">SUMIFS(INDIRECT("'ZipOutNA-"&amp;$B$2&amp;"BSR'!$M$5:$M$669"),INDIRECT("'ZipOutNA-"&amp;$B$2&amp;"BSR'!$D$5:$D$669"),99705)/35</f>
        <v>#REF!</v>
      </c>
      <c r="W33" s="542" t="s">
        <v>336</v>
      </c>
    </row>
    <row r="34" spans="1:23" ht="15.75" thickTop="1" x14ac:dyDescent="0.25">
      <c r="C34" s="137" t="e">
        <f ca="1">SUM(C32:C33)</f>
        <v>#REF!</v>
      </c>
      <c r="D34" s="137" t="e">
        <f ca="1">SUM(D32:D33)</f>
        <v>#REF!</v>
      </c>
      <c r="E34" s="137" t="e">
        <f ca="1">SUM(E32:E33)</f>
        <v>#REF!</v>
      </c>
      <c r="F34" s="566" t="s">
        <v>336</v>
      </c>
      <c r="G34" s="137" t="e">
        <f ca="1">SUM(G32:G33)</f>
        <v>#REF!</v>
      </c>
      <c r="H34" s="137" t="e">
        <f ca="1">SUM(H32:H33)</f>
        <v>#REF!</v>
      </c>
      <c r="I34" s="566" t="s">
        <v>336</v>
      </c>
      <c r="J34" s="137" t="e">
        <f ca="1">SUM(J32:J33)</f>
        <v>#REF!</v>
      </c>
      <c r="K34" s="137" t="e">
        <f ca="1">SUM(K32:K33)</f>
        <v>#REF!</v>
      </c>
      <c r="L34" s="137" t="e">
        <f ca="1">SUM(L32:L33)</f>
        <v>#REF!</v>
      </c>
      <c r="M34" s="566" t="s">
        <v>336</v>
      </c>
      <c r="N34" s="137" t="e">
        <f ca="1">SUM(N32:N33)</f>
        <v>#REF!</v>
      </c>
      <c r="O34" s="137" t="e">
        <f ca="1">SUM(O32:O33)</f>
        <v>#REF!</v>
      </c>
      <c r="P34" s="566" t="s">
        <v>336</v>
      </c>
      <c r="Q34" s="87" t="e">
        <f ca="1">SUM(Q32:Q33)</f>
        <v>#REF!</v>
      </c>
      <c r="R34" s="87" t="e">
        <f ca="1">SUM(R32:R33)</f>
        <v>#REF!</v>
      </c>
      <c r="S34" s="87" t="e">
        <f ca="1">SUM(S32:S33)</f>
        <v>#REF!</v>
      </c>
      <c r="T34" s="566" t="s">
        <v>336</v>
      </c>
      <c r="U34" s="87" t="e">
        <f ca="1">SUM(U32:U33)</f>
        <v>#REF!</v>
      </c>
      <c r="V34" s="87" t="e">
        <f ca="1">SUM(V32:V33)</f>
        <v>#REF!</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2"/>
      <c r="B38" s="812" t="s">
        <v>122</v>
      </c>
      <c r="C38" s="840" t="str">
        <f>C4</f>
        <v>2032 Baseline NA Area PM2.5 Emissions (tpd) by Curtailment Regime</v>
      </c>
      <c r="D38" s="840"/>
      <c r="E38" s="840"/>
      <c r="F38" s="840"/>
      <c r="G38" s="840"/>
      <c r="H38" s="840"/>
      <c r="I38" s="840"/>
      <c r="J38" s="840" t="str">
        <f>J4</f>
        <v>2032 Baseline NA Area SO2 Emissions (tpd) by Curtailment Regime</v>
      </c>
      <c r="K38" s="840"/>
      <c r="L38" s="840"/>
      <c r="M38" s="840"/>
      <c r="N38" s="840"/>
      <c r="O38" s="840"/>
      <c r="P38" s="840"/>
      <c r="Q38" s="840" t="str">
        <f>Q4</f>
        <v>2032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2" t="s">
        <v>137</v>
      </c>
      <c r="C40" s="133" t="e">
        <f t="shared" ref="C40:E55" ca="1" si="3">C6*C$32/C$26</f>
        <v>#REF!</v>
      </c>
      <c r="D40" s="133" t="e">
        <f t="shared" ca="1" si="3"/>
        <v>#REF!</v>
      </c>
      <c r="E40" s="133" t="e">
        <f t="shared" ca="1" si="3"/>
        <v>#REF!</v>
      </c>
      <c r="F40" s="551" t="s">
        <v>336</v>
      </c>
      <c r="G40" s="575" t="e">
        <f t="shared" ref="G40:H55" ca="1" si="4">G6*G$32/G$26</f>
        <v>#REF!</v>
      </c>
      <c r="H40" s="575" t="e">
        <f t="shared" ca="1" si="4"/>
        <v>#REF!</v>
      </c>
      <c r="I40" s="574" t="s">
        <v>336</v>
      </c>
      <c r="J40" s="133" t="e">
        <f t="shared" ref="J40:L55" ca="1" si="5">J6*J$32/J$26</f>
        <v>#REF!</v>
      </c>
      <c r="K40" s="133" t="e">
        <f t="shared" ca="1" si="5"/>
        <v>#REF!</v>
      </c>
      <c r="L40" s="133" t="e">
        <f t="shared" ca="1" si="5"/>
        <v>#REF!</v>
      </c>
      <c r="M40" s="551" t="s">
        <v>336</v>
      </c>
      <c r="N40" s="575" t="e">
        <f t="shared" ref="N40:O55" ca="1" si="6">N6*N$32/N$26</f>
        <v>#REF!</v>
      </c>
      <c r="O40" s="575" t="e">
        <f t="shared" ca="1" si="6"/>
        <v>#REF!</v>
      </c>
      <c r="P40" s="574" t="s">
        <v>336</v>
      </c>
      <c r="Q40" s="45" t="e">
        <f t="shared" ref="Q40:S55" ca="1" si="7">Q6*Q$32/Q$26</f>
        <v>#REF!</v>
      </c>
      <c r="R40" s="45" t="e">
        <f t="shared" ca="1" si="7"/>
        <v>#REF!</v>
      </c>
      <c r="S40" s="45" t="e">
        <f t="shared" ca="1" si="7"/>
        <v>#REF!</v>
      </c>
      <c r="T40" s="581" t="s">
        <v>336</v>
      </c>
      <c r="U40" s="573" t="e">
        <f t="shared" ref="U40:V55" ca="1" si="8">U6*U$32/U$26</f>
        <v>#REF!</v>
      </c>
      <c r="V40" s="573" t="e">
        <f t="shared" ca="1" si="8"/>
        <v>#REF!</v>
      </c>
      <c r="W40" s="574" t="s">
        <v>336</v>
      </c>
    </row>
    <row r="41" spans="1:23" x14ac:dyDescent="0.25">
      <c r="A41" s="812" t="str">
        <f t="shared" ref="A41:A58" si="9">A40</f>
        <v>FB</v>
      </c>
      <c r="B41" s="812" t="s">
        <v>138</v>
      </c>
      <c r="C41" s="133" t="e">
        <f t="shared" ca="1" si="3"/>
        <v>#REF!</v>
      </c>
      <c r="D41" s="133" t="e">
        <f t="shared" ca="1" si="3"/>
        <v>#REF!</v>
      </c>
      <c r="E41" s="133" t="e">
        <f t="shared" ca="1" si="3"/>
        <v>#REF!</v>
      </c>
      <c r="F41" s="551" t="s">
        <v>336</v>
      </c>
      <c r="G41" s="575" t="e">
        <f t="shared" ca="1" si="4"/>
        <v>#REF!</v>
      </c>
      <c r="H41" s="575" t="e">
        <f t="shared" ca="1" si="4"/>
        <v>#REF!</v>
      </c>
      <c r="I41" s="574" t="s">
        <v>336</v>
      </c>
      <c r="J41" s="133" t="e">
        <f t="shared" ca="1" si="5"/>
        <v>#REF!</v>
      </c>
      <c r="K41" s="133" t="e">
        <f t="shared" ca="1" si="5"/>
        <v>#REF!</v>
      </c>
      <c r="L41" s="133" t="e">
        <f t="shared" ca="1" si="5"/>
        <v>#REF!</v>
      </c>
      <c r="M41" s="551" t="s">
        <v>336</v>
      </c>
      <c r="N41" s="575" t="e">
        <f t="shared" ca="1" si="6"/>
        <v>#REF!</v>
      </c>
      <c r="O41" s="575" t="e">
        <f t="shared" ca="1" si="6"/>
        <v>#REF!</v>
      </c>
      <c r="P41" s="574" t="s">
        <v>336</v>
      </c>
      <c r="Q41" s="45" t="e">
        <f t="shared" ca="1" si="7"/>
        <v>#REF!</v>
      </c>
      <c r="R41" s="45" t="e">
        <f t="shared" ca="1" si="7"/>
        <v>#REF!</v>
      </c>
      <c r="S41" s="45" t="e">
        <f t="shared" ca="1" si="7"/>
        <v>#REF!</v>
      </c>
      <c r="T41" s="581" t="s">
        <v>336</v>
      </c>
      <c r="U41" s="573" t="e">
        <f t="shared" ca="1" si="8"/>
        <v>#REF!</v>
      </c>
      <c r="V41" s="573" t="e">
        <f t="shared" ca="1" si="8"/>
        <v>#REF!</v>
      </c>
      <c r="W41" s="574" t="s">
        <v>336</v>
      </c>
    </row>
    <row r="42" spans="1:23" x14ac:dyDescent="0.25">
      <c r="A42" s="812" t="str">
        <f t="shared" si="9"/>
        <v>FB</v>
      </c>
      <c r="B42" s="812" t="s">
        <v>139</v>
      </c>
      <c r="C42" s="133" t="e">
        <f t="shared" ca="1" si="3"/>
        <v>#REF!</v>
      </c>
      <c r="D42" s="133" t="e">
        <f t="shared" ca="1" si="3"/>
        <v>#REF!</v>
      </c>
      <c r="E42" s="133" t="e">
        <f t="shared" ca="1" si="3"/>
        <v>#REF!</v>
      </c>
      <c r="F42" s="551" t="s">
        <v>336</v>
      </c>
      <c r="G42" s="575" t="e">
        <f t="shared" ca="1" si="4"/>
        <v>#REF!</v>
      </c>
      <c r="H42" s="575" t="e">
        <f t="shared" ca="1" si="4"/>
        <v>#REF!</v>
      </c>
      <c r="I42" s="574" t="s">
        <v>336</v>
      </c>
      <c r="J42" s="133" t="e">
        <f t="shared" ca="1" si="5"/>
        <v>#REF!</v>
      </c>
      <c r="K42" s="133" t="e">
        <f t="shared" ca="1" si="5"/>
        <v>#REF!</v>
      </c>
      <c r="L42" s="133" t="e">
        <f t="shared" ca="1" si="5"/>
        <v>#REF!</v>
      </c>
      <c r="M42" s="551" t="s">
        <v>336</v>
      </c>
      <c r="N42" s="575" t="e">
        <f t="shared" ca="1" si="6"/>
        <v>#REF!</v>
      </c>
      <c r="O42" s="575" t="e">
        <f t="shared" ca="1" si="6"/>
        <v>#REF!</v>
      </c>
      <c r="P42" s="574" t="s">
        <v>336</v>
      </c>
      <c r="Q42" s="45" t="e">
        <f t="shared" ca="1" si="7"/>
        <v>#REF!</v>
      </c>
      <c r="R42" s="45" t="e">
        <f t="shared" ca="1" si="7"/>
        <v>#REF!</v>
      </c>
      <c r="S42" s="45" t="e">
        <f t="shared" ca="1" si="7"/>
        <v>#REF!</v>
      </c>
      <c r="T42" s="581" t="s">
        <v>336</v>
      </c>
      <c r="U42" s="573" t="e">
        <f t="shared" ca="1" si="8"/>
        <v>#REF!</v>
      </c>
      <c r="V42" s="573" t="e">
        <f t="shared" ca="1" si="8"/>
        <v>#REF!</v>
      </c>
      <c r="W42" s="574" t="s">
        <v>336</v>
      </c>
    </row>
    <row r="43" spans="1:23" x14ac:dyDescent="0.25">
      <c r="A43" s="812" t="str">
        <f t="shared" si="9"/>
        <v>FB</v>
      </c>
      <c r="B43" s="812" t="s">
        <v>140</v>
      </c>
      <c r="C43" s="133" t="e">
        <f t="shared" ca="1" si="3"/>
        <v>#REF!</v>
      </c>
      <c r="D43" s="133" t="e">
        <f t="shared" ca="1" si="3"/>
        <v>#REF!</v>
      </c>
      <c r="E43" s="133" t="e">
        <f t="shared" ca="1" si="3"/>
        <v>#REF!</v>
      </c>
      <c r="F43" s="551" t="s">
        <v>336</v>
      </c>
      <c r="G43" s="575" t="e">
        <f t="shared" ca="1" si="4"/>
        <v>#REF!</v>
      </c>
      <c r="H43" s="575" t="e">
        <f t="shared" ca="1" si="4"/>
        <v>#REF!</v>
      </c>
      <c r="I43" s="574" t="s">
        <v>336</v>
      </c>
      <c r="J43" s="133" t="e">
        <f t="shared" ca="1" si="5"/>
        <v>#REF!</v>
      </c>
      <c r="K43" s="133" t="e">
        <f t="shared" ca="1" si="5"/>
        <v>#REF!</v>
      </c>
      <c r="L43" s="133" t="e">
        <f t="shared" ca="1" si="5"/>
        <v>#REF!</v>
      </c>
      <c r="M43" s="551" t="s">
        <v>336</v>
      </c>
      <c r="N43" s="575" t="e">
        <f t="shared" ca="1" si="6"/>
        <v>#REF!</v>
      </c>
      <c r="O43" s="575" t="e">
        <f t="shared" ca="1" si="6"/>
        <v>#REF!</v>
      </c>
      <c r="P43" s="574" t="s">
        <v>336</v>
      </c>
      <c r="Q43" s="45" t="e">
        <f t="shared" ca="1" si="7"/>
        <v>#REF!</v>
      </c>
      <c r="R43" s="45" t="e">
        <f t="shared" ca="1" si="7"/>
        <v>#REF!</v>
      </c>
      <c r="S43" s="45" t="e">
        <f t="shared" ca="1" si="7"/>
        <v>#REF!</v>
      </c>
      <c r="T43" s="581" t="s">
        <v>336</v>
      </c>
      <c r="U43" s="573" t="e">
        <f t="shared" ca="1" si="8"/>
        <v>#REF!</v>
      </c>
      <c r="V43" s="573" t="e">
        <f t="shared" ca="1" si="8"/>
        <v>#REF!</v>
      </c>
      <c r="W43" s="574" t="s">
        <v>336</v>
      </c>
    </row>
    <row r="44" spans="1:23" x14ac:dyDescent="0.25">
      <c r="A44" s="812" t="str">
        <f t="shared" si="9"/>
        <v>FB</v>
      </c>
      <c r="B44" s="812" t="s">
        <v>141</v>
      </c>
      <c r="C44" s="133" t="e">
        <f t="shared" ca="1" si="3"/>
        <v>#REF!</v>
      </c>
      <c r="D44" s="133" t="e">
        <f t="shared" ca="1" si="3"/>
        <v>#REF!</v>
      </c>
      <c r="E44" s="133" t="e">
        <f t="shared" ca="1" si="3"/>
        <v>#REF!</v>
      </c>
      <c r="F44" s="551" t="s">
        <v>336</v>
      </c>
      <c r="G44" s="575" t="e">
        <f t="shared" ca="1" si="4"/>
        <v>#REF!</v>
      </c>
      <c r="H44" s="575" t="e">
        <f t="shared" ca="1" si="4"/>
        <v>#REF!</v>
      </c>
      <c r="I44" s="574" t="s">
        <v>336</v>
      </c>
      <c r="J44" s="133" t="e">
        <f t="shared" ca="1" si="5"/>
        <v>#REF!</v>
      </c>
      <c r="K44" s="133" t="e">
        <f t="shared" ca="1" si="5"/>
        <v>#REF!</v>
      </c>
      <c r="L44" s="133" t="e">
        <f t="shared" ca="1" si="5"/>
        <v>#REF!</v>
      </c>
      <c r="M44" s="551" t="s">
        <v>336</v>
      </c>
      <c r="N44" s="575" t="e">
        <f t="shared" ca="1" si="6"/>
        <v>#REF!</v>
      </c>
      <c r="O44" s="575" t="e">
        <f t="shared" ca="1" si="6"/>
        <v>#REF!</v>
      </c>
      <c r="P44" s="574" t="s">
        <v>336</v>
      </c>
      <c r="Q44" s="45" t="e">
        <f t="shared" ca="1" si="7"/>
        <v>#REF!</v>
      </c>
      <c r="R44" s="45" t="e">
        <f t="shared" ca="1" si="7"/>
        <v>#REF!</v>
      </c>
      <c r="S44" s="45" t="e">
        <f t="shared" ca="1" si="7"/>
        <v>#REF!</v>
      </c>
      <c r="T44" s="581" t="s">
        <v>336</v>
      </c>
      <c r="U44" s="573" t="e">
        <f t="shared" ca="1" si="8"/>
        <v>#REF!</v>
      </c>
      <c r="V44" s="573" t="e">
        <f t="shared" ca="1" si="8"/>
        <v>#REF!</v>
      </c>
      <c r="W44" s="574" t="s">
        <v>336</v>
      </c>
    </row>
    <row r="45" spans="1:23" x14ac:dyDescent="0.25">
      <c r="A45" s="812" t="str">
        <f t="shared" si="9"/>
        <v>FB</v>
      </c>
      <c r="B45" s="812" t="s">
        <v>142</v>
      </c>
      <c r="C45" s="133" t="e">
        <f t="shared" ca="1" si="3"/>
        <v>#REF!</v>
      </c>
      <c r="D45" s="133" t="e">
        <f t="shared" ca="1" si="3"/>
        <v>#REF!</v>
      </c>
      <c r="E45" s="133" t="e">
        <f t="shared" ca="1" si="3"/>
        <v>#REF!</v>
      </c>
      <c r="F45" s="551" t="s">
        <v>336</v>
      </c>
      <c r="G45" s="575" t="e">
        <f t="shared" ca="1" si="4"/>
        <v>#REF!</v>
      </c>
      <c r="H45" s="575" t="e">
        <f t="shared" ca="1" si="4"/>
        <v>#REF!</v>
      </c>
      <c r="I45" s="574" t="s">
        <v>336</v>
      </c>
      <c r="J45" s="133" t="e">
        <f t="shared" ca="1" si="5"/>
        <v>#REF!</v>
      </c>
      <c r="K45" s="133" t="e">
        <f t="shared" ca="1" si="5"/>
        <v>#REF!</v>
      </c>
      <c r="L45" s="133" t="e">
        <f t="shared" ca="1" si="5"/>
        <v>#REF!</v>
      </c>
      <c r="M45" s="551" t="s">
        <v>336</v>
      </c>
      <c r="N45" s="575" t="e">
        <f t="shared" ca="1" si="6"/>
        <v>#REF!</v>
      </c>
      <c r="O45" s="575" t="e">
        <f t="shared" ca="1" si="6"/>
        <v>#REF!</v>
      </c>
      <c r="P45" s="574" t="s">
        <v>336</v>
      </c>
      <c r="Q45" s="45" t="e">
        <f t="shared" ca="1" si="7"/>
        <v>#REF!</v>
      </c>
      <c r="R45" s="45" t="e">
        <f t="shared" ca="1" si="7"/>
        <v>#REF!</v>
      </c>
      <c r="S45" s="45" t="e">
        <f t="shared" ca="1" si="7"/>
        <v>#REF!</v>
      </c>
      <c r="T45" s="581" t="s">
        <v>336</v>
      </c>
      <c r="U45" s="573" t="e">
        <f t="shared" ca="1" si="8"/>
        <v>#REF!</v>
      </c>
      <c r="V45" s="573" t="e">
        <f t="shared" ca="1" si="8"/>
        <v>#REF!</v>
      </c>
      <c r="W45" s="574" t="s">
        <v>336</v>
      </c>
    </row>
    <row r="46" spans="1:23" x14ac:dyDescent="0.25">
      <c r="A46" s="812" t="str">
        <f t="shared" si="9"/>
        <v>FB</v>
      </c>
      <c r="B46" s="812" t="s">
        <v>143</v>
      </c>
      <c r="C46" s="133" t="e">
        <f t="shared" ca="1" si="3"/>
        <v>#REF!</v>
      </c>
      <c r="D46" s="133" t="e">
        <f t="shared" ca="1" si="3"/>
        <v>#REF!</v>
      </c>
      <c r="E46" s="133" t="e">
        <f t="shared" ca="1" si="3"/>
        <v>#REF!</v>
      </c>
      <c r="F46" s="551" t="s">
        <v>336</v>
      </c>
      <c r="G46" s="575" t="e">
        <f t="shared" ca="1" si="4"/>
        <v>#REF!</v>
      </c>
      <c r="H46" s="575" t="e">
        <f t="shared" ca="1" si="4"/>
        <v>#REF!</v>
      </c>
      <c r="I46" s="574" t="s">
        <v>336</v>
      </c>
      <c r="J46" s="133" t="e">
        <f t="shared" ca="1" si="5"/>
        <v>#REF!</v>
      </c>
      <c r="K46" s="133" t="e">
        <f t="shared" ca="1" si="5"/>
        <v>#REF!</v>
      </c>
      <c r="L46" s="133" t="e">
        <f t="shared" ca="1" si="5"/>
        <v>#REF!</v>
      </c>
      <c r="M46" s="551" t="s">
        <v>336</v>
      </c>
      <c r="N46" s="575" t="e">
        <f t="shared" ca="1" si="6"/>
        <v>#REF!</v>
      </c>
      <c r="O46" s="575" t="e">
        <f t="shared" ca="1" si="6"/>
        <v>#REF!</v>
      </c>
      <c r="P46" s="574" t="s">
        <v>336</v>
      </c>
      <c r="Q46" s="45" t="e">
        <f t="shared" ca="1" si="7"/>
        <v>#REF!</v>
      </c>
      <c r="R46" s="45" t="e">
        <f t="shared" ca="1" si="7"/>
        <v>#REF!</v>
      </c>
      <c r="S46" s="45" t="e">
        <f t="shared" ca="1" si="7"/>
        <v>#REF!</v>
      </c>
      <c r="T46" s="581" t="s">
        <v>336</v>
      </c>
      <c r="U46" s="573" t="e">
        <f t="shared" ca="1" si="8"/>
        <v>#REF!</v>
      </c>
      <c r="V46" s="573" t="e">
        <f t="shared" ca="1" si="8"/>
        <v>#REF!</v>
      </c>
      <c r="W46" s="574" t="s">
        <v>336</v>
      </c>
    </row>
    <row r="47" spans="1:23" x14ac:dyDescent="0.25">
      <c r="A47" s="812" t="str">
        <f t="shared" si="9"/>
        <v>FB</v>
      </c>
      <c r="B47" s="812" t="s">
        <v>144</v>
      </c>
      <c r="C47" s="133" t="e">
        <f t="shared" ca="1" si="3"/>
        <v>#REF!</v>
      </c>
      <c r="D47" s="133" t="e">
        <f t="shared" ca="1" si="3"/>
        <v>#REF!</v>
      </c>
      <c r="E47" s="133" t="e">
        <f t="shared" ca="1" si="3"/>
        <v>#REF!</v>
      </c>
      <c r="F47" s="551" t="s">
        <v>336</v>
      </c>
      <c r="G47" s="575" t="e">
        <f t="shared" ca="1" si="4"/>
        <v>#REF!</v>
      </c>
      <c r="H47" s="575" t="e">
        <f t="shared" ca="1" si="4"/>
        <v>#REF!</v>
      </c>
      <c r="I47" s="574" t="s">
        <v>336</v>
      </c>
      <c r="J47" s="133" t="e">
        <f t="shared" ca="1" si="5"/>
        <v>#REF!</v>
      </c>
      <c r="K47" s="133" t="e">
        <f t="shared" ca="1" si="5"/>
        <v>#REF!</v>
      </c>
      <c r="L47" s="133" t="e">
        <f t="shared" ca="1" si="5"/>
        <v>#REF!</v>
      </c>
      <c r="M47" s="551" t="s">
        <v>336</v>
      </c>
      <c r="N47" s="575" t="e">
        <f t="shared" ca="1" si="6"/>
        <v>#REF!</v>
      </c>
      <c r="O47" s="575" t="e">
        <f t="shared" ca="1" si="6"/>
        <v>#REF!</v>
      </c>
      <c r="P47" s="574" t="s">
        <v>336</v>
      </c>
      <c r="Q47" s="45" t="e">
        <f t="shared" ca="1" si="7"/>
        <v>#REF!</v>
      </c>
      <c r="R47" s="45" t="e">
        <f t="shared" ca="1" si="7"/>
        <v>#REF!</v>
      </c>
      <c r="S47" s="45" t="e">
        <f t="shared" ca="1" si="7"/>
        <v>#REF!</v>
      </c>
      <c r="T47" s="581" t="s">
        <v>336</v>
      </c>
      <c r="U47" s="573" t="e">
        <f t="shared" ca="1" si="8"/>
        <v>#REF!</v>
      </c>
      <c r="V47" s="573" t="e">
        <f t="shared" ca="1" si="8"/>
        <v>#REF!</v>
      </c>
      <c r="W47" s="574" t="s">
        <v>336</v>
      </c>
    </row>
    <row r="48" spans="1:23" x14ac:dyDescent="0.25">
      <c r="A48" s="812" t="str">
        <f t="shared" si="9"/>
        <v>FB</v>
      </c>
      <c r="B48" s="812" t="s">
        <v>145</v>
      </c>
      <c r="C48" s="133" t="e">
        <f t="shared" ca="1" si="3"/>
        <v>#REF!</v>
      </c>
      <c r="D48" s="133" t="e">
        <f t="shared" ca="1" si="3"/>
        <v>#REF!</v>
      </c>
      <c r="E48" s="133" t="e">
        <f t="shared" ca="1" si="3"/>
        <v>#REF!</v>
      </c>
      <c r="F48" s="551" t="s">
        <v>336</v>
      </c>
      <c r="G48" s="575" t="e">
        <f t="shared" ca="1" si="4"/>
        <v>#REF!</v>
      </c>
      <c r="H48" s="575" t="e">
        <f t="shared" ca="1" si="4"/>
        <v>#REF!</v>
      </c>
      <c r="I48" s="574" t="s">
        <v>336</v>
      </c>
      <c r="J48" s="133" t="e">
        <f t="shared" ca="1" si="5"/>
        <v>#REF!</v>
      </c>
      <c r="K48" s="133" t="e">
        <f t="shared" ca="1" si="5"/>
        <v>#REF!</v>
      </c>
      <c r="L48" s="133" t="e">
        <f t="shared" ca="1" si="5"/>
        <v>#REF!</v>
      </c>
      <c r="M48" s="551" t="s">
        <v>336</v>
      </c>
      <c r="N48" s="575" t="e">
        <f t="shared" ca="1" si="6"/>
        <v>#REF!</v>
      </c>
      <c r="O48" s="575" t="e">
        <f t="shared" ca="1" si="6"/>
        <v>#REF!</v>
      </c>
      <c r="P48" s="574" t="s">
        <v>336</v>
      </c>
      <c r="Q48" s="45" t="e">
        <f t="shared" ca="1" si="7"/>
        <v>#REF!</v>
      </c>
      <c r="R48" s="45" t="e">
        <f t="shared" ca="1" si="7"/>
        <v>#REF!</v>
      </c>
      <c r="S48" s="45" t="e">
        <f t="shared" ca="1" si="7"/>
        <v>#REF!</v>
      </c>
      <c r="T48" s="581" t="s">
        <v>336</v>
      </c>
      <c r="U48" s="573" t="e">
        <f t="shared" ca="1" si="8"/>
        <v>#REF!</v>
      </c>
      <c r="V48" s="573" t="e">
        <f t="shared" ca="1" si="8"/>
        <v>#REF!</v>
      </c>
      <c r="W48" s="574" t="s">
        <v>336</v>
      </c>
    </row>
    <row r="49" spans="1:23" x14ac:dyDescent="0.25">
      <c r="A49" s="812" t="str">
        <f t="shared" si="9"/>
        <v>FB</v>
      </c>
      <c r="B49" s="812" t="s">
        <v>146</v>
      </c>
      <c r="C49" s="133" t="e">
        <f t="shared" ca="1" si="3"/>
        <v>#REF!</v>
      </c>
      <c r="D49" s="133" t="e">
        <f t="shared" ca="1" si="3"/>
        <v>#REF!</v>
      </c>
      <c r="E49" s="133" t="e">
        <f t="shared" ca="1" si="3"/>
        <v>#REF!</v>
      </c>
      <c r="F49" s="551" t="s">
        <v>336</v>
      </c>
      <c r="G49" s="575" t="e">
        <f t="shared" ca="1" si="4"/>
        <v>#REF!</v>
      </c>
      <c r="H49" s="575" t="e">
        <f t="shared" ca="1" si="4"/>
        <v>#REF!</v>
      </c>
      <c r="I49" s="574" t="s">
        <v>336</v>
      </c>
      <c r="J49" s="133" t="e">
        <f t="shared" ca="1" si="5"/>
        <v>#REF!</v>
      </c>
      <c r="K49" s="133" t="e">
        <f t="shared" ca="1" si="5"/>
        <v>#REF!</v>
      </c>
      <c r="L49" s="133" t="e">
        <f t="shared" ca="1" si="5"/>
        <v>#REF!</v>
      </c>
      <c r="M49" s="551" t="s">
        <v>336</v>
      </c>
      <c r="N49" s="575" t="e">
        <f t="shared" ca="1" si="6"/>
        <v>#REF!</v>
      </c>
      <c r="O49" s="575" t="e">
        <f t="shared" ca="1" si="6"/>
        <v>#REF!</v>
      </c>
      <c r="P49" s="574" t="s">
        <v>336</v>
      </c>
      <c r="Q49" s="45" t="e">
        <f t="shared" ca="1" si="7"/>
        <v>#REF!</v>
      </c>
      <c r="R49" s="45" t="e">
        <f t="shared" ca="1" si="7"/>
        <v>#REF!</v>
      </c>
      <c r="S49" s="45" t="e">
        <f t="shared" ca="1" si="7"/>
        <v>#REF!</v>
      </c>
      <c r="T49" s="581" t="s">
        <v>336</v>
      </c>
      <c r="U49" s="573" t="e">
        <f t="shared" ca="1" si="8"/>
        <v>#REF!</v>
      </c>
      <c r="V49" s="573" t="e">
        <f t="shared" ca="1" si="8"/>
        <v>#REF!</v>
      </c>
      <c r="W49" s="574" t="s">
        <v>336</v>
      </c>
    </row>
    <row r="50" spans="1:23" x14ac:dyDescent="0.25">
      <c r="A50" s="812" t="str">
        <f t="shared" si="9"/>
        <v>FB</v>
      </c>
      <c r="B50" s="812" t="s">
        <v>568</v>
      </c>
      <c r="C50" s="133" t="e">
        <f t="shared" ca="1" si="3"/>
        <v>#REF!</v>
      </c>
      <c r="D50" s="133" t="e">
        <f t="shared" ca="1" si="3"/>
        <v>#REF!</v>
      </c>
      <c r="E50" s="133" t="e">
        <f t="shared" ca="1" si="3"/>
        <v>#REF!</v>
      </c>
      <c r="F50" s="551" t="s">
        <v>336</v>
      </c>
      <c r="G50" s="575" t="e">
        <f t="shared" ca="1" si="4"/>
        <v>#REF!</v>
      </c>
      <c r="H50" s="575" t="e">
        <f t="shared" ca="1" si="4"/>
        <v>#REF!</v>
      </c>
      <c r="I50" s="574" t="s">
        <v>336</v>
      </c>
      <c r="J50" s="133" t="e">
        <f t="shared" ca="1" si="5"/>
        <v>#REF!</v>
      </c>
      <c r="K50" s="133" t="e">
        <f t="shared" ca="1" si="5"/>
        <v>#REF!</v>
      </c>
      <c r="L50" s="133" t="e">
        <f t="shared" ca="1" si="5"/>
        <v>#REF!</v>
      </c>
      <c r="M50" s="551" t="s">
        <v>336</v>
      </c>
      <c r="N50" s="575" t="e">
        <f t="shared" ca="1" si="6"/>
        <v>#REF!</v>
      </c>
      <c r="O50" s="575" t="e">
        <f t="shared" ca="1" si="6"/>
        <v>#REF!</v>
      </c>
      <c r="P50" s="574" t="s">
        <v>336</v>
      </c>
      <c r="Q50" s="45" t="e">
        <f t="shared" ca="1" si="7"/>
        <v>#REF!</v>
      </c>
      <c r="R50" s="45" t="e">
        <f t="shared" ca="1" si="7"/>
        <v>#REF!</v>
      </c>
      <c r="S50" s="45" t="e">
        <f t="shared" ca="1" si="7"/>
        <v>#REF!</v>
      </c>
      <c r="T50" s="581" t="s">
        <v>336</v>
      </c>
      <c r="U50" s="573" t="e">
        <f t="shared" ca="1" si="8"/>
        <v>#REF!</v>
      </c>
      <c r="V50" s="573" t="e">
        <f t="shared" ca="1" si="8"/>
        <v>#REF!</v>
      </c>
      <c r="W50" s="574" t="s">
        <v>336</v>
      </c>
    </row>
    <row r="51" spans="1:23" x14ac:dyDescent="0.25">
      <c r="A51" s="812" t="str">
        <f t="shared" si="9"/>
        <v>FB</v>
      </c>
      <c r="B51" s="812" t="s">
        <v>148</v>
      </c>
      <c r="C51" s="133" t="e">
        <f t="shared" ca="1" si="3"/>
        <v>#REF!</v>
      </c>
      <c r="D51" s="133" t="e">
        <f t="shared" ca="1" si="3"/>
        <v>#REF!</v>
      </c>
      <c r="E51" s="133" t="e">
        <f t="shared" ca="1" si="3"/>
        <v>#REF!</v>
      </c>
      <c r="F51" s="551" t="s">
        <v>336</v>
      </c>
      <c r="G51" s="575" t="e">
        <f t="shared" ca="1" si="4"/>
        <v>#REF!</v>
      </c>
      <c r="H51" s="575" t="e">
        <f t="shared" ca="1" si="4"/>
        <v>#REF!</v>
      </c>
      <c r="I51" s="574" t="s">
        <v>336</v>
      </c>
      <c r="J51" s="133" t="e">
        <f t="shared" ca="1" si="5"/>
        <v>#REF!</v>
      </c>
      <c r="K51" s="133" t="e">
        <f t="shared" ca="1" si="5"/>
        <v>#REF!</v>
      </c>
      <c r="L51" s="133" t="e">
        <f t="shared" ca="1" si="5"/>
        <v>#REF!</v>
      </c>
      <c r="M51" s="551" t="s">
        <v>336</v>
      </c>
      <c r="N51" s="575" t="e">
        <f t="shared" ca="1" si="6"/>
        <v>#REF!</v>
      </c>
      <c r="O51" s="575" t="e">
        <f t="shared" ca="1" si="6"/>
        <v>#REF!</v>
      </c>
      <c r="P51" s="574" t="s">
        <v>336</v>
      </c>
      <c r="Q51" s="45" t="e">
        <f t="shared" ca="1" si="7"/>
        <v>#REF!</v>
      </c>
      <c r="R51" s="45" t="e">
        <f t="shared" ca="1" si="7"/>
        <v>#REF!</v>
      </c>
      <c r="S51" s="45" t="e">
        <f t="shared" ca="1" si="7"/>
        <v>#REF!</v>
      </c>
      <c r="T51" s="581" t="s">
        <v>336</v>
      </c>
      <c r="U51" s="573" t="e">
        <f t="shared" ca="1" si="8"/>
        <v>#REF!</v>
      </c>
      <c r="V51" s="573" t="e">
        <f t="shared" ca="1" si="8"/>
        <v>#REF!</v>
      </c>
      <c r="W51" s="574" t="s">
        <v>336</v>
      </c>
    </row>
    <row r="52" spans="1:23" x14ac:dyDescent="0.25">
      <c r="A52" s="812" t="str">
        <f t="shared" si="9"/>
        <v>FB</v>
      </c>
      <c r="B52" s="812" t="s">
        <v>746</v>
      </c>
      <c r="C52" s="133" t="e">
        <f t="shared" ca="1" si="3"/>
        <v>#REF!</v>
      </c>
      <c r="D52" s="133" t="e">
        <f t="shared" ca="1" si="3"/>
        <v>#REF!</v>
      </c>
      <c r="E52" s="133" t="e">
        <f t="shared" ca="1" si="3"/>
        <v>#REF!</v>
      </c>
      <c r="F52" s="551" t="s">
        <v>336</v>
      </c>
      <c r="G52" s="575" t="e">
        <f t="shared" ca="1" si="4"/>
        <v>#REF!</v>
      </c>
      <c r="H52" s="575" t="e">
        <f t="shared" ca="1" si="4"/>
        <v>#REF!</v>
      </c>
      <c r="I52" s="574" t="s">
        <v>336</v>
      </c>
      <c r="J52" s="133" t="e">
        <f t="shared" ca="1" si="5"/>
        <v>#REF!</v>
      </c>
      <c r="K52" s="133" t="e">
        <f t="shared" ca="1" si="5"/>
        <v>#REF!</v>
      </c>
      <c r="L52" s="133" t="e">
        <f t="shared" ca="1" si="5"/>
        <v>#REF!</v>
      </c>
      <c r="M52" s="551" t="s">
        <v>336</v>
      </c>
      <c r="N52" s="575" t="e">
        <f t="shared" ca="1" si="6"/>
        <v>#REF!</v>
      </c>
      <c r="O52" s="575" t="e">
        <f t="shared" ca="1" si="6"/>
        <v>#REF!</v>
      </c>
      <c r="P52" s="574" t="s">
        <v>336</v>
      </c>
      <c r="Q52" s="45" t="e">
        <f t="shared" ca="1" si="7"/>
        <v>#REF!</v>
      </c>
      <c r="R52" s="45" t="e">
        <f t="shared" ca="1" si="7"/>
        <v>#REF!</v>
      </c>
      <c r="S52" s="45" t="e">
        <f t="shared" ca="1" si="7"/>
        <v>#REF!</v>
      </c>
      <c r="T52" s="581" t="s">
        <v>336</v>
      </c>
      <c r="U52" s="573" t="e">
        <f t="shared" ca="1" si="8"/>
        <v>#REF!</v>
      </c>
      <c r="V52" s="573" t="e">
        <f t="shared" ca="1" si="8"/>
        <v>#REF!</v>
      </c>
      <c r="W52" s="574" t="s">
        <v>336</v>
      </c>
    </row>
    <row r="53" spans="1:23" x14ac:dyDescent="0.25">
      <c r="A53" s="812" t="str">
        <f t="shared" si="9"/>
        <v>FB</v>
      </c>
      <c r="B53" s="812" t="s">
        <v>747</v>
      </c>
      <c r="C53" s="133" t="e">
        <f t="shared" ca="1" si="3"/>
        <v>#REF!</v>
      </c>
      <c r="D53" s="133" t="e">
        <f t="shared" ca="1" si="3"/>
        <v>#REF!</v>
      </c>
      <c r="E53" s="133" t="e">
        <f t="shared" ca="1" si="3"/>
        <v>#REF!</v>
      </c>
      <c r="F53" s="551" t="s">
        <v>336</v>
      </c>
      <c r="G53" s="575" t="e">
        <f t="shared" ca="1" si="4"/>
        <v>#REF!</v>
      </c>
      <c r="H53" s="575" t="e">
        <f t="shared" ca="1" si="4"/>
        <v>#REF!</v>
      </c>
      <c r="I53" s="574" t="s">
        <v>336</v>
      </c>
      <c r="J53" s="133" t="e">
        <f t="shared" ca="1" si="5"/>
        <v>#REF!</v>
      </c>
      <c r="K53" s="133" t="e">
        <f t="shared" ca="1" si="5"/>
        <v>#REF!</v>
      </c>
      <c r="L53" s="133" t="e">
        <f t="shared" ca="1" si="5"/>
        <v>#REF!</v>
      </c>
      <c r="M53" s="551" t="s">
        <v>336</v>
      </c>
      <c r="N53" s="575" t="e">
        <f t="shared" ca="1" si="6"/>
        <v>#REF!</v>
      </c>
      <c r="O53" s="575" t="e">
        <f t="shared" ca="1" si="6"/>
        <v>#REF!</v>
      </c>
      <c r="P53" s="574" t="s">
        <v>336</v>
      </c>
      <c r="Q53" s="45" t="e">
        <f t="shared" ca="1" si="7"/>
        <v>#REF!</v>
      </c>
      <c r="R53" s="45" t="e">
        <f t="shared" ca="1" si="7"/>
        <v>#REF!</v>
      </c>
      <c r="S53" s="45" t="e">
        <f t="shared" ca="1" si="7"/>
        <v>#REF!</v>
      </c>
      <c r="T53" s="581" t="s">
        <v>336</v>
      </c>
      <c r="U53" s="573" t="e">
        <f t="shared" ca="1" si="8"/>
        <v>#REF!</v>
      </c>
      <c r="V53" s="573" t="e">
        <f t="shared" ca="1" si="8"/>
        <v>#REF!</v>
      </c>
      <c r="W53" s="574" t="s">
        <v>336</v>
      </c>
    </row>
    <row r="54" spans="1:23" x14ac:dyDescent="0.25">
      <c r="A54" s="812" t="str">
        <f t="shared" si="9"/>
        <v>FB</v>
      </c>
      <c r="B54" s="812" t="s">
        <v>149</v>
      </c>
      <c r="C54" s="133" t="e">
        <f t="shared" ca="1" si="3"/>
        <v>#REF!</v>
      </c>
      <c r="D54" s="133" t="e">
        <f t="shared" ca="1" si="3"/>
        <v>#REF!</v>
      </c>
      <c r="E54" s="133" t="e">
        <f t="shared" ca="1" si="3"/>
        <v>#REF!</v>
      </c>
      <c r="F54" s="551" t="s">
        <v>336</v>
      </c>
      <c r="G54" s="575" t="e">
        <f t="shared" ca="1" si="4"/>
        <v>#REF!</v>
      </c>
      <c r="H54" s="575" t="e">
        <f t="shared" ca="1" si="4"/>
        <v>#REF!</v>
      </c>
      <c r="I54" s="574" t="s">
        <v>336</v>
      </c>
      <c r="J54" s="133" t="e">
        <f t="shared" ca="1" si="5"/>
        <v>#REF!</v>
      </c>
      <c r="K54" s="133" t="e">
        <f t="shared" ca="1" si="5"/>
        <v>#REF!</v>
      </c>
      <c r="L54" s="133" t="e">
        <f t="shared" ca="1" si="5"/>
        <v>#REF!</v>
      </c>
      <c r="M54" s="551" t="s">
        <v>336</v>
      </c>
      <c r="N54" s="575" t="e">
        <f t="shared" ca="1" si="6"/>
        <v>#REF!</v>
      </c>
      <c r="O54" s="575" t="e">
        <f t="shared" ca="1" si="6"/>
        <v>#REF!</v>
      </c>
      <c r="P54" s="574" t="s">
        <v>336</v>
      </c>
      <c r="Q54" s="45" t="e">
        <f t="shared" ca="1" si="7"/>
        <v>#REF!</v>
      </c>
      <c r="R54" s="45" t="e">
        <f t="shared" ca="1" si="7"/>
        <v>#REF!</v>
      </c>
      <c r="S54" s="45" t="e">
        <f t="shared" ca="1" si="7"/>
        <v>#REF!</v>
      </c>
      <c r="T54" s="581" t="s">
        <v>336</v>
      </c>
      <c r="U54" s="573" t="e">
        <f t="shared" ca="1" si="8"/>
        <v>#REF!</v>
      </c>
      <c r="V54" s="573" t="e">
        <f t="shared" ca="1" si="8"/>
        <v>#REF!</v>
      </c>
      <c r="W54" s="574" t="s">
        <v>336</v>
      </c>
    </row>
    <row r="55" spans="1:23" x14ac:dyDescent="0.25">
      <c r="A55" s="812" t="str">
        <f t="shared" si="9"/>
        <v>FB</v>
      </c>
      <c r="B55" s="812" t="s">
        <v>150</v>
      </c>
      <c r="C55" s="133" t="e">
        <f t="shared" ca="1" si="3"/>
        <v>#REF!</v>
      </c>
      <c r="D55" s="133" t="e">
        <f t="shared" ca="1" si="3"/>
        <v>#REF!</v>
      </c>
      <c r="E55" s="133" t="e">
        <f t="shared" ca="1" si="3"/>
        <v>#REF!</v>
      </c>
      <c r="F55" s="551" t="s">
        <v>336</v>
      </c>
      <c r="G55" s="575" t="e">
        <f t="shared" ca="1" si="4"/>
        <v>#REF!</v>
      </c>
      <c r="H55" s="575" t="e">
        <f t="shared" ca="1" si="4"/>
        <v>#REF!</v>
      </c>
      <c r="I55" s="574" t="s">
        <v>336</v>
      </c>
      <c r="J55" s="133" t="e">
        <f t="shared" ca="1" si="5"/>
        <v>#REF!</v>
      </c>
      <c r="K55" s="133" t="e">
        <f t="shared" ca="1" si="5"/>
        <v>#REF!</v>
      </c>
      <c r="L55" s="133" t="e">
        <f t="shared" ca="1" si="5"/>
        <v>#REF!</v>
      </c>
      <c r="M55" s="551" t="s">
        <v>336</v>
      </c>
      <c r="N55" s="575" t="e">
        <f t="shared" ca="1" si="6"/>
        <v>#REF!</v>
      </c>
      <c r="O55" s="575" t="e">
        <f t="shared" ca="1" si="6"/>
        <v>#REF!</v>
      </c>
      <c r="P55" s="574" t="s">
        <v>336</v>
      </c>
      <c r="Q55" s="45" t="e">
        <f t="shared" ca="1" si="7"/>
        <v>#REF!</v>
      </c>
      <c r="R55" s="45" t="e">
        <f t="shared" ca="1" si="7"/>
        <v>#REF!</v>
      </c>
      <c r="S55" s="45" t="e">
        <f t="shared" ca="1" si="7"/>
        <v>#REF!</v>
      </c>
      <c r="T55" s="581" t="s">
        <v>336</v>
      </c>
      <c r="U55" s="573" t="e">
        <f t="shared" ca="1" si="8"/>
        <v>#REF!</v>
      </c>
      <c r="V55" s="573" t="e">
        <f t="shared" ca="1" si="8"/>
        <v>#REF!</v>
      </c>
      <c r="W55" s="574" t="s">
        <v>336</v>
      </c>
    </row>
    <row r="56" spans="1:23" x14ac:dyDescent="0.25">
      <c r="A56" s="812" t="str">
        <f t="shared" si="9"/>
        <v>FB</v>
      </c>
      <c r="B56" s="812" t="s">
        <v>151</v>
      </c>
      <c r="C56" s="133" t="e">
        <f t="shared" ref="C56:E59" ca="1" si="10">C22*C$32/C$26</f>
        <v>#REF!</v>
      </c>
      <c r="D56" s="133" t="e">
        <f t="shared" ca="1" si="10"/>
        <v>#REF!</v>
      </c>
      <c r="E56" s="133" t="e">
        <f t="shared" ca="1" si="10"/>
        <v>#REF!</v>
      </c>
      <c r="F56" s="551" t="s">
        <v>336</v>
      </c>
      <c r="G56" s="575" t="e">
        <f t="shared" ref="G56:H59" ca="1" si="11">G22*G$32/G$26</f>
        <v>#REF!</v>
      </c>
      <c r="H56" s="575" t="e">
        <f t="shared" ca="1" si="11"/>
        <v>#REF!</v>
      </c>
      <c r="I56" s="574" t="s">
        <v>336</v>
      </c>
      <c r="J56" s="133" t="e">
        <f t="shared" ref="J56:L59" ca="1" si="12">J22*J$32/J$26</f>
        <v>#REF!</v>
      </c>
      <c r="K56" s="133" t="e">
        <f t="shared" ca="1" si="12"/>
        <v>#REF!</v>
      </c>
      <c r="L56" s="133" t="e">
        <f t="shared" ca="1" si="12"/>
        <v>#REF!</v>
      </c>
      <c r="M56" s="551" t="s">
        <v>336</v>
      </c>
      <c r="N56" s="575" t="e">
        <f t="shared" ref="N56:O59" ca="1" si="13">N22*N$32/N$26</f>
        <v>#REF!</v>
      </c>
      <c r="O56" s="575" t="e">
        <f t="shared" ca="1" si="13"/>
        <v>#REF!</v>
      </c>
      <c r="P56" s="574" t="s">
        <v>336</v>
      </c>
      <c r="Q56" s="45" t="e">
        <f t="shared" ref="Q56:S59" ca="1" si="14">Q22*Q$32/Q$26</f>
        <v>#REF!</v>
      </c>
      <c r="R56" s="45" t="e">
        <f t="shared" ca="1" si="14"/>
        <v>#REF!</v>
      </c>
      <c r="S56" s="45" t="e">
        <f t="shared" ca="1" si="14"/>
        <v>#REF!</v>
      </c>
      <c r="T56" s="581" t="s">
        <v>336</v>
      </c>
      <c r="U56" s="573" t="e">
        <f t="shared" ref="U56:V59" ca="1" si="15">U22*U$32/U$26</f>
        <v>#REF!</v>
      </c>
      <c r="V56" s="573" t="e">
        <f t="shared" ca="1" si="15"/>
        <v>#REF!</v>
      </c>
      <c r="W56" s="574" t="s">
        <v>336</v>
      </c>
    </row>
    <row r="57" spans="1:23" x14ac:dyDescent="0.25">
      <c r="A57" s="812" t="str">
        <f t="shared" si="9"/>
        <v>FB</v>
      </c>
      <c r="B57" s="812" t="s">
        <v>152</v>
      </c>
      <c r="C57" s="133" t="e">
        <f t="shared" ca="1" si="10"/>
        <v>#REF!</v>
      </c>
      <c r="D57" s="133" t="e">
        <f t="shared" ca="1" si="10"/>
        <v>#REF!</v>
      </c>
      <c r="E57" s="133" t="e">
        <f t="shared" ca="1" si="10"/>
        <v>#REF!</v>
      </c>
      <c r="F57" s="551" t="s">
        <v>336</v>
      </c>
      <c r="G57" s="575" t="e">
        <f t="shared" ca="1" si="11"/>
        <v>#REF!</v>
      </c>
      <c r="H57" s="575" t="e">
        <f t="shared" ca="1" si="11"/>
        <v>#REF!</v>
      </c>
      <c r="I57" s="574" t="s">
        <v>336</v>
      </c>
      <c r="J57" s="133" t="e">
        <f t="shared" ca="1" si="12"/>
        <v>#REF!</v>
      </c>
      <c r="K57" s="133" t="e">
        <f t="shared" ca="1" si="12"/>
        <v>#REF!</v>
      </c>
      <c r="L57" s="133" t="e">
        <f t="shared" ca="1" si="12"/>
        <v>#REF!</v>
      </c>
      <c r="M57" s="551" t="s">
        <v>336</v>
      </c>
      <c r="N57" s="575" t="e">
        <f t="shared" ca="1" si="13"/>
        <v>#REF!</v>
      </c>
      <c r="O57" s="575" t="e">
        <f t="shared" ca="1" si="13"/>
        <v>#REF!</v>
      </c>
      <c r="P57" s="574" t="s">
        <v>336</v>
      </c>
      <c r="Q57" s="45" t="e">
        <f t="shared" ca="1" si="14"/>
        <v>#REF!</v>
      </c>
      <c r="R57" s="45" t="e">
        <f t="shared" ca="1" si="14"/>
        <v>#REF!</v>
      </c>
      <c r="S57" s="45" t="e">
        <f t="shared" ca="1" si="14"/>
        <v>#REF!</v>
      </c>
      <c r="T57" s="581" t="s">
        <v>336</v>
      </c>
      <c r="U57" s="573" t="e">
        <f t="shared" ca="1" si="15"/>
        <v>#REF!</v>
      </c>
      <c r="V57" s="573" t="e">
        <f t="shared" ca="1" si="15"/>
        <v>#REF!</v>
      </c>
      <c r="W57" s="574" t="s">
        <v>336</v>
      </c>
    </row>
    <row r="58" spans="1:23" x14ac:dyDescent="0.25">
      <c r="A58" s="812" t="str">
        <f t="shared" si="9"/>
        <v>FB</v>
      </c>
      <c r="B58" s="812" t="s">
        <v>153</v>
      </c>
      <c r="C58" s="133" t="e">
        <f t="shared" ca="1" si="10"/>
        <v>#REF!</v>
      </c>
      <c r="D58" s="133" t="e">
        <f t="shared" ca="1" si="10"/>
        <v>#REF!</v>
      </c>
      <c r="E58" s="133" t="e">
        <f t="shared" ca="1" si="10"/>
        <v>#REF!</v>
      </c>
      <c r="F58" s="551" t="s">
        <v>336</v>
      </c>
      <c r="G58" s="575" t="e">
        <f t="shared" ca="1" si="11"/>
        <v>#REF!</v>
      </c>
      <c r="H58" s="575" t="e">
        <f t="shared" ca="1" si="11"/>
        <v>#REF!</v>
      </c>
      <c r="I58" s="574" t="s">
        <v>336</v>
      </c>
      <c r="J58" s="133" t="e">
        <f t="shared" ca="1" si="12"/>
        <v>#REF!</v>
      </c>
      <c r="K58" s="133" t="e">
        <f t="shared" ca="1" si="12"/>
        <v>#REF!</v>
      </c>
      <c r="L58" s="133" t="e">
        <f t="shared" ca="1" si="12"/>
        <v>#REF!</v>
      </c>
      <c r="M58" s="551" t="s">
        <v>336</v>
      </c>
      <c r="N58" s="575" t="e">
        <f t="shared" ca="1" si="13"/>
        <v>#REF!</v>
      </c>
      <c r="O58" s="575" t="e">
        <f t="shared" ca="1" si="13"/>
        <v>#REF!</v>
      </c>
      <c r="P58" s="574" t="s">
        <v>336</v>
      </c>
      <c r="Q58" s="45" t="e">
        <f t="shared" ca="1" si="14"/>
        <v>#REF!</v>
      </c>
      <c r="R58" s="45" t="e">
        <f t="shared" ca="1" si="14"/>
        <v>#REF!</v>
      </c>
      <c r="S58" s="45" t="e">
        <f t="shared" ca="1" si="14"/>
        <v>#REF!</v>
      </c>
      <c r="T58" s="581" t="s">
        <v>336</v>
      </c>
      <c r="U58" s="573" t="e">
        <f t="shared" ca="1" si="15"/>
        <v>#REF!</v>
      </c>
      <c r="V58" s="573" t="e">
        <f t="shared" ca="1" si="15"/>
        <v>#REF!</v>
      </c>
      <c r="W58" s="574" t="s">
        <v>336</v>
      </c>
    </row>
    <row r="59" spans="1:23" x14ac:dyDescent="0.25">
      <c r="A59" s="813" t="str">
        <f>A56</f>
        <v>FB</v>
      </c>
      <c r="B59" s="813" t="s">
        <v>154</v>
      </c>
      <c r="C59" s="135" t="e">
        <f t="shared" ca="1" si="10"/>
        <v>#REF!</v>
      </c>
      <c r="D59" s="135" t="e">
        <f t="shared" ca="1" si="10"/>
        <v>#REF!</v>
      </c>
      <c r="E59" s="135" t="e">
        <f t="shared" ca="1" si="10"/>
        <v>#REF!</v>
      </c>
      <c r="F59" s="580" t="s">
        <v>336</v>
      </c>
      <c r="G59" s="579" t="e">
        <f t="shared" ca="1" si="11"/>
        <v>#REF!</v>
      </c>
      <c r="H59" s="579" t="e">
        <f t="shared" ca="1" si="11"/>
        <v>#REF!</v>
      </c>
      <c r="I59" s="576" t="s">
        <v>336</v>
      </c>
      <c r="J59" s="135" t="e">
        <f t="shared" ca="1" si="12"/>
        <v>#REF!</v>
      </c>
      <c r="K59" s="135" t="e">
        <f t="shared" ca="1" si="12"/>
        <v>#REF!</v>
      </c>
      <c r="L59" s="135" t="e">
        <f t="shared" ca="1" si="12"/>
        <v>#REF!</v>
      </c>
      <c r="M59" s="580" t="s">
        <v>336</v>
      </c>
      <c r="N59" s="579" t="e">
        <f t="shared" ca="1" si="13"/>
        <v>#REF!</v>
      </c>
      <c r="O59" s="579" t="e">
        <f t="shared" ca="1" si="13"/>
        <v>#REF!</v>
      </c>
      <c r="P59" s="576" t="s">
        <v>336</v>
      </c>
      <c r="Q59" s="88" t="e">
        <f t="shared" ca="1" si="14"/>
        <v>#REF!</v>
      </c>
      <c r="R59" s="88" t="e">
        <f t="shared" ca="1" si="14"/>
        <v>#REF!</v>
      </c>
      <c r="S59" s="88" t="e">
        <f t="shared" ca="1" si="14"/>
        <v>#REF!</v>
      </c>
      <c r="T59" s="578" t="s">
        <v>336</v>
      </c>
      <c r="U59" s="577" t="e">
        <f t="shared" ca="1" si="15"/>
        <v>#REF!</v>
      </c>
      <c r="V59" s="577" t="e">
        <f t="shared" ca="1" si="15"/>
        <v>#REF!</v>
      </c>
      <c r="W59" s="576" t="s">
        <v>336</v>
      </c>
    </row>
    <row r="60" spans="1:23" x14ac:dyDescent="0.25">
      <c r="A60" s="82" t="s">
        <v>754</v>
      </c>
      <c r="B60" s="812" t="s">
        <v>137</v>
      </c>
      <c r="C60" s="133" t="e">
        <f t="shared" ref="C60:E75" ca="1" si="16">C6*C$33/C$26</f>
        <v>#REF!</v>
      </c>
      <c r="D60" s="575" t="e">
        <f t="shared" ca="1" si="16"/>
        <v>#REF!</v>
      </c>
      <c r="E60" s="575" t="e">
        <f t="shared" ca="1" si="16"/>
        <v>#REF!</v>
      </c>
      <c r="F60" s="574" t="s">
        <v>336</v>
      </c>
      <c r="G60" s="133" t="e">
        <f t="shared" ref="G60:H75" ca="1" si="17">G6*G$33/G$26</f>
        <v>#REF!</v>
      </c>
      <c r="H60" s="133" t="e">
        <f t="shared" ca="1" si="17"/>
        <v>#REF!</v>
      </c>
      <c r="I60" s="551" t="s">
        <v>336</v>
      </c>
      <c r="J60" s="575" t="e">
        <f t="shared" ref="J60:L75" ca="1" si="18">J6*J$33/J$26</f>
        <v>#REF!</v>
      </c>
      <c r="K60" s="575" t="e">
        <f t="shared" ca="1" si="18"/>
        <v>#REF!</v>
      </c>
      <c r="L60" s="575" t="e">
        <f t="shared" ca="1" si="18"/>
        <v>#REF!</v>
      </c>
      <c r="M60" s="574" t="s">
        <v>336</v>
      </c>
      <c r="N60" s="133" t="e">
        <f t="shared" ref="N60:O75" ca="1" si="19">N6*N$33/N$26</f>
        <v>#REF!</v>
      </c>
      <c r="O60" s="133" t="e">
        <f t="shared" ca="1" si="19"/>
        <v>#REF!</v>
      </c>
      <c r="P60" s="551" t="s">
        <v>336</v>
      </c>
      <c r="Q60" s="573" t="e">
        <f t="shared" ref="Q60:S75" ca="1" si="20">Q6*Q$33/Q$26</f>
        <v>#REF!</v>
      </c>
      <c r="R60" s="573" t="e">
        <f t="shared" ca="1" si="20"/>
        <v>#REF!</v>
      </c>
      <c r="S60" s="573" t="e">
        <f t="shared" ca="1" si="20"/>
        <v>#REF!</v>
      </c>
      <c r="T60" s="572" t="s">
        <v>336</v>
      </c>
      <c r="U60" s="45" t="e">
        <f t="shared" ref="U60:V75" ca="1" si="21">U6*U$33/U$26</f>
        <v>#REF!</v>
      </c>
      <c r="V60" s="45" t="e">
        <f t="shared" ca="1" si="21"/>
        <v>#REF!</v>
      </c>
      <c r="W60" s="551" t="s">
        <v>336</v>
      </c>
    </row>
    <row r="61" spans="1:23" x14ac:dyDescent="0.25">
      <c r="A61" s="812" t="str">
        <f t="shared" ref="A61:A78" si="22">A60</f>
        <v>NP</v>
      </c>
      <c r="B61" s="812" t="s">
        <v>138</v>
      </c>
      <c r="C61" s="133" t="e">
        <f t="shared" ca="1" si="16"/>
        <v>#REF!</v>
      </c>
      <c r="D61" s="575" t="e">
        <f t="shared" ca="1" si="16"/>
        <v>#REF!</v>
      </c>
      <c r="E61" s="575" t="e">
        <f t="shared" ca="1" si="16"/>
        <v>#REF!</v>
      </c>
      <c r="F61" s="574" t="s">
        <v>336</v>
      </c>
      <c r="G61" s="133" t="e">
        <f t="shared" ca="1" si="17"/>
        <v>#REF!</v>
      </c>
      <c r="H61" s="133" t="e">
        <f t="shared" ca="1" si="17"/>
        <v>#REF!</v>
      </c>
      <c r="I61" s="551" t="s">
        <v>336</v>
      </c>
      <c r="J61" s="575" t="e">
        <f t="shared" ca="1" si="18"/>
        <v>#REF!</v>
      </c>
      <c r="K61" s="575" t="e">
        <f t="shared" ca="1" si="18"/>
        <v>#REF!</v>
      </c>
      <c r="L61" s="575" t="e">
        <f t="shared" ca="1" si="18"/>
        <v>#REF!</v>
      </c>
      <c r="M61" s="574" t="s">
        <v>336</v>
      </c>
      <c r="N61" s="133" t="e">
        <f t="shared" ca="1" si="19"/>
        <v>#REF!</v>
      </c>
      <c r="O61" s="133" t="e">
        <f t="shared" ca="1" si="19"/>
        <v>#REF!</v>
      </c>
      <c r="P61" s="551" t="s">
        <v>336</v>
      </c>
      <c r="Q61" s="573" t="e">
        <f t="shared" ca="1" si="20"/>
        <v>#REF!</v>
      </c>
      <c r="R61" s="573" t="e">
        <f t="shared" ca="1" si="20"/>
        <v>#REF!</v>
      </c>
      <c r="S61" s="573" t="e">
        <f t="shared" ca="1" si="20"/>
        <v>#REF!</v>
      </c>
      <c r="T61" s="572" t="s">
        <v>336</v>
      </c>
      <c r="U61" s="45" t="e">
        <f t="shared" ca="1" si="21"/>
        <v>#REF!</v>
      </c>
      <c r="V61" s="45" t="e">
        <f t="shared" ca="1" si="21"/>
        <v>#REF!</v>
      </c>
      <c r="W61" s="551" t="s">
        <v>336</v>
      </c>
    </row>
    <row r="62" spans="1:23" x14ac:dyDescent="0.25">
      <c r="A62" s="812" t="str">
        <f t="shared" si="22"/>
        <v>NP</v>
      </c>
      <c r="B62" s="812" t="s">
        <v>139</v>
      </c>
      <c r="C62" s="133" t="e">
        <f t="shared" ca="1" si="16"/>
        <v>#REF!</v>
      </c>
      <c r="D62" s="575" t="e">
        <f t="shared" ca="1" si="16"/>
        <v>#REF!</v>
      </c>
      <c r="E62" s="575" t="e">
        <f t="shared" ca="1" si="16"/>
        <v>#REF!</v>
      </c>
      <c r="F62" s="574" t="s">
        <v>336</v>
      </c>
      <c r="G62" s="133" t="e">
        <f t="shared" ca="1" si="17"/>
        <v>#REF!</v>
      </c>
      <c r="H62" s="133" t="e">
        <f t="shared" ca="1" si="17"/>
        <v>#REF!</v>
      </c>
      <c r="I62" s="551" t="s">
        <v>336</v>
      </c>
      <c r="J62" s="575" t="e">
        <f t="shared" ca="1" si="18"/>
        <v>#REF!</v>
      </c>
      <c r="K62" s="575" t="e">
        <f t="shared" ca="1" si="18"/>
        <v>#REF!</v>
      </c>
      <c r="L62" s="575" t="e">
        <f t="shared" ca="1" si="18"/>
        <v>#REF!</v>
      </c>
      <c r="M62" s="574" t="s">
        <v>336</v>
      </c>
      <c r="N62" s="133" t="e">
        <f t="shared" ca="1" si="19"/>
        <v>#REF!</v>
      </c>
      <c r="O62" s="133" t="e">
        <f t="shared" ca="1" si="19"/>
        <v>#REF!</v>
      </c>
      <c r="P62" s="551" t="s">
        <v>336</v>
      </c>
      <c r="Q62" s="573" t="e">
        <f t="shared" ca="1" si="20"/>
        <v>#REF!</v>
      </c>
      <c r="R62" s="573" t="e">
        <f t="shared" ca="1" si="20"/>
        <v>#REF!</v>
      </c>
      <c r="S62" s="573" t="e">
        <f t="shared" ca="1" si="20"/>
        <v>#REF!</v>
      </c>
      <c r="T62" s="572" t="s">
        <v>336</v>
      </c>
      <c r="U62" s="45" t="e">
        <f t="shared" ca="1" si="21"/>
        <v>#REF!</v>
      </c>
      <c r="V62" s="45" t="e">
        <f t="shared" ca="1" si="21"/>
        <v>#REF!</v>
      </c>
      <c r="W62" s="551" t="s">
        <v>336</v>
      </c>
    </row>
    <row r="63" spans="1:23" x14ac:dyDescent="0.25">
      <c r="A63" s="812" t="str">
        <f t="shared" si="22"/>
        <v>NP</v>
      </c>
      <c r="B63" s="812" t="s">
        <v>140</v>
      </c>
      <c r="C63" s="133" t="e">
        <f t="shared" ca="1" si="16"/>
        <v>#REF!</v>
      </c>
      <c r="D63" s="575" t="e">
        <f t="shared" ca="1" si="16"/>
        <v>#REF!</v>
      </c>
      <c r="E63" s="575" t="e">
        <f t="shared" ca="1" si="16"/>
        <v>#REF!</v>
      </c>
      <c r="F63" s="574" t="s">
        <v>336</v>
      </c>
      <c r="G63" s="133" t="e">
        <f t="shared" ca="1" si="17"/>
        <v>#REF!</v>
      </c>
      <c r="H63" s="133" t="e">
        <f t="shared" ca="1" si="17"/>
        <v>#REF!</v>
      </c>
      <c r="I63" s="551" t="s">
        <v>336</v>
      </c>
      <c r="J63" s="575" t="e">
        <f t="shared" ca="1" si="18"/>
        <v>#REF!</v>
      </c>
      <c r="K63" s="575" t="e">
        <f t="shared" ca="1" si="18"/>
        <v>#REF!</v>
      </c>
      <c r="L63" s="575" t="e">
        <f t="shared" ca="1" si="18"/>
        <v>#REF!</v>
      </c>
      <c r="M63" s="574" t="s">
        <v>336</v>
      </c>
      <c r="N63" s="133" t="e">
        <f t="shared" ca="1" si="19"/>
        <v>#REF!</v>
      </c>
      <c r="O63" s="133" t="e">
        <f t="shared" ca="1" si="19"/>
        <v>#REF!</v>
      </c>
      <c r="P63" s="551" t="s">
        <v>336</v>
      </c>
      <c r="Q63" s="573" t="e">
        <f t="shared" ca="1" si="20"/>
        <v>#REF!</v>
      </c>
      <c r="R63" s="573" t="e">
        <f t="shared" ca="1" si="20"/>
        <v>#REF!</v>
      </c>
      <c r="S63" s="573" t="e">
        <f t="shared" ca="1" si="20"/>
        <v>#REF!</v>
      </c>
      <c r="T63" s="572" t="s">
        <v>336</v>
      </c>
      <c r="U63" s="45" t="e">
        <f t="shared" ca="1" si="21"/>
        <v>#REF!</v>
      </c>
      <c r="V63" s="45" t="e">
        <f t="shared" ca="1" si="21"/>
        <v>#REF!</v>
      </c>
      <c r="W63" s="551" t="s">
        <v>336</v>
      </c>
    </row>
    <row r="64" spans="1:23" x14ac:dyDescent="0.25">
      <c r="A64" s="812" t="str">
        <f t="shared" si="22"/>
        <v>NP</v>
      </c>
      <c r="B64" s="812" t="s">
        <v>141</v>
      </c>
      <c r="C64" s="133" t="e">
        <f t="shared" ca="1" si="16"/>
        <v>#REF!</v>
      </c>
      <c r="D64" s="575" t="e">
        <f t="shared" ca="1" si="16"/>
        <v>#REF!</v>
      </c>
      <c r="E64" s="575" t="e">
        <f t="shared" ca="1" si="16"/>
        <v>#REF!</v>
      </c>
      <c r="F64" s="574" t="s">
        <v>336</v>
      </c>
      <c r="G64" s="133" t="e">
        <f t="shared" ca="1" si="17"/>
        <v>#REF!</v>
      </c>
      <c r="H64" s="133" t="e">
        <f t="shared" ca="1" si="17"/>
        <v>#REF!</v>
      </c>
      <c r="I64" s="551" t="s">
        <v>336</v>
      </c>
      <c r="J64" s="575" t="e">
        <f t="shared" ca="1" si="18"/>
        <v>#REF!</v>
      </c>
      <c r="K64" s="575" t="e">
        <f t="shared" ca="1" si="18"/>
        <v>#REF!</v>
      </c>
      <c r="L64" s="575" t="e">
        <f t="shared" ca="1" si="18"/>
        <v>#REF!</v>
      </c>
      <c r="M64" s="574" t="s">
        <v>336</v>
      </c>
      <c r="N64" s="133" t="e">
        <f t="shared" ca="1" si="19"/>
        <v>#REF!</v>
      </c>
      <c r="O64" s="133" t="e">
        <f t="shared" ca="1" si="19"/>
        <v>#REF!</v>
      </c>
      <c r="P64" s="551" t="s">
        <v>336</v>
      </c>
      <c r="Q64" s="573" t="e">
        <f t="shared" ca="1" si="20"/>
        <v>#REF!</v>
      </c>
      <c r="R64" s="573" t="e">
        <f t="shared" ca="1" si="20"/>
        <v>#REF!</v>
      </c>
      <c r="S64" s="573" t="e">
        <f t="shared" ca="1" si="20"/>
        <v>#REF!</v>
      </c>
      <c r="T64" s="572" t="s">
        <v>336</v>
      </c>
      <c r="U64" s="45" t="e">
        <f t="shared" ca="1" si="21"/>
        <v>#REF!</v>
      </c>
      <c r="V64" s="45" t="e">
        <f t="shared" ca="1" si="21"/>
        <v>#REF!</v>
      </c>
      <c r="W64" s="551" t="s">
        <v>336</v>
      </c>
    </row>
    <row r="65" spans="1:23" x14ac:dyDescent="0.25">
      <c r="A65" s="812" t="str">
        <f t="shared" si="22"/>
        <v>NP</v>
      </c>
      <c r="B65" s="812" t="s">
        <v>142</v>
      </c>
      <c r="C65" s="133" t="e">
        <f t="shared" ca="1" si="16"/>
        <v>#REF!</v>
      </c>
      <c r="D65" s="575" t="e">
        <f t="shared" ca="1" si="16"/>
        <v>#REF!</v>
      </c>
      <c r="E65" s="575" t="e">
        <f t="shared" ca="1" si="16"/>
        <v>#REF!</v>
      </c>
      <c r="F65" s="574" t="s">
        <v>336</v>
      </c>
      <c r="G65" s="133" t="e">
        <f t="shared" ca="1" si="17"/>
        <v>#REF!</v>
      </c>
      <c r="H65" s="133" t="e">
        <f t="shared" ca="1" si="17"/>
        <v>#REF!</v>
      </c>
      <c r="I65" s="551" t="s">
        <v>336</v>
      </c>
      <c r="J65" s="575" t="e">
        <f t="shared" ca="1" si="18"/>
        <v>#REF!</v>
      </c>
      <c r="K65" s="575" t="e">
        <f t="shared" ca="1" si="18"/>
        <v>#REF!</v>
      </c>
      <c r="L65" s="575" t="e">
        <f t="shared" ca="1" si="18"/>
        <v>#REF!</v>
      </c>
      <c r="M65" s="574" t="s">
        <v>336</v>
      </c>
      <c r="N65" s="133" t="e">
        <f t="shared" ca="1" si="19"/>
        <v>#REF!</v>
      </c>
      <c r="O65" s="133" t="e">
        <f t="shared" ca="1" si="19"/>
        <v>#REF!</v>
      </c>
      <c r="P65" s="551" t="s">
        <v>336</v>
      </c>
      <c r="Q65" s="573" t="e">
        <f t="shared" ca="1" si="20"/>
        <v>#REF!</v>
      </c>
      <c r="R65" s="573" t="e">
        <f t="shared" ca="1" si="20"/>
        <v>#REF!</v>
      </c>
      <c r="S65" s="573" t="e">
        <f t="shared" ca="1" si="20"/>
        <v>#REF!</v>
      </c>
      <c r="T65" s="572" t="s">
        <v>336</v>
      </c>
      <c r="U65" s="45" t="e">
        <f t="shared" ca="1" si="21"/>
        <v>#REF!</v>
      </c>
      <c r="V65" s="45" t="e">
        <f t="shared" ca="1" si="21"/>
        <v>#REF!</v>
      </c>
      <c r="W65" s="551" t="s">
        <v>336</v>
      </c>
    </row>
    <row r="66" spans="1:23" x14ac:dyDescent="0.25">
      <c r="A66" s="812" t="str">
        <f t="shared" si="22"/>
        <v>NP</v>
      </c>
      <c r="B66" s="812" t="s">
        <v>143</v>
      </c>
      <c r="C66" s="133" t="e">
        <f t="shared" ca="1" si="16"/>
        <v>#REF!</v>
      </c>
      <c r="D66" s="575" t="e">
        <f t="shared" ca="1" si="16"/>
        <v>#REF!</v>
      </c>
      <c r="E66" s="575" t="e">
        <f t="shared" ca="1" si="16"/>
        <v>#REF!</v>
      </c>
      <c r="F66" s="574" t="s">
        <v>336</v>
      </c>
      <c r="G66" s="133" t="e">
        <f t="shared" ca="1" si="17"/>
        <v>#REF!</v>
      </c>
      <c r="H66" s="133" t="e">
        <f t="shared" ca="1" si="17"/>
        <v>#REF!</v>
      </c>
      <c r="I66" s="551" t="s">
        <v>336</v>
      </c>
      <c r="J66" s="575" t="e">
        <f t="shared" ca="1" si="18"/>
        <v>#REF!</v>
      </c>
      <c r="K66" s="575" t="e">
        <f t="shared" ca="1" si="18"/>
        <v>#REF!</v>
      </c>
      <c r="L66" s="575" t="e">
        <f t="shared" ca="1" si="18"/>
        <v>#REF!</v>
      </c>
      <c r="M66" s="574" t="s">
        <v>336</v>
      </c>
      <c r="N66" s="133" t="e">
        <f t="shared" ca="1" si="19"/>
        <v>#REF!</v>
      </c>
      <c r="O66" s="133" t="e">
        <f t="shared" ca="1" si="19"/>
        <v>#REF!</v>
      </c>
      <c r="P66" s="551" t="s">
        <v>336</v>
      </c>
      <c r="Q66" s="573" t="e">
        <f t="shared" ca="1" si="20"/>
        <v>#REF!</v>
      </c>
      <c r="R66" s="573" t="e">
        <f t="shared" ca="1" si="20"/>
        <v>#REF!</v>
      </c>
      <c r="S66" s="573" t="e">
        <f t="shared" ca="1" si="20"/>
        <v>#REF!</v>
      </c>
      <c r="T66" s="572" t="s">
        <v>336</v>
      </c>
      <c r="U66" s="45" t="e">
        <f t="shared" ca="1" si="21"/>
        <v>#REF!</v>
      </c>
      <c r="V66" s="45" t="e">
        <f t="shared" ca="1" si="21"/>
        <v>#REF!</v>
      </c>
      <c r="W66" s="551" t="s">
        <v>336</v>
      </c>
    </row>
    <row r="67" spans="1:23" x14ac:dyDescent="0.25">
      <c r="A67" s="812" t="str">
        <f t="shared" si="22"/>
        <v>NP</v>
      </c>
      <c r="B67" s="812" t="s">
        <v>144</v>
      </c>
      <c r="C67" s="133" t="e">
        <f t="shared" ca="1" si="16"/>
        <v>#REF!</v>
      </c>
      <c r="D67" s="575" t="e">
        <f t="shared" ca="1" si="16"/>
        <v>#REF!</v>
      </c>
      <c r="E67" s="575" t="e">
        <f t="shared" ca="1" si="16"/>
        <v>#REF!</v>
      </c>
      <c r="F67" s="574" t="s">
        <v>336</v>
      </c>
      <c r="G67" s="133" t="e">
        <f t="shared" ca="1" si="17"/>
        <v>#REF!</v>
      </c>
      <c r="H67" s="133" t="e">
        <f t="shared" ca="1" si="17"/>
        <v>#REF!</v>
      </c>
      <c r="I67" s="551" t="s">
        <v>336</v>
      </c>
      <c r="J67" s="575" t="e">
        <f t="shared" ca="1" si="18"/>
        <v>#REF!</v>
      </c>
      <c r="K67" s="575" t="e">
        <f t="shared" ca="1" si="18"/>
        <v>#REF!</v>
      </c>
      <c r="L67" s="575" t="e">
        <f t="shared" ca="1" si="18"/>
        <v>#REF!</v>
      </c>
      <c r="M67" s="574" t="s">
        <v>336</v>
      </c>
      <c r="N67" s="133" t="e">
        <f t="shared" ca="1" si="19"/>
        <v>#REF!</v>
      </c>
      <c r="O67" s="133" t="e">
        <f t="shared" ca="1" si="19"/>
        <v>#REF!</v>
      </c>
      <c r="P67" s="551" t="s">
        <v>336</v>
      </c>
      <c r="Q67" s="573" t="e">
        <f t="shared" ca="1" si="20"/>
        <v>#REF!</v>
      </c>
      <c r="R67" s="573" t="e">
        <f t="shared" ca="1" si="20"/>
        <v>#REF!</v>
      </c>
      <c r="S67" s="573" t="e">
        <f t="shared" ca="1" si="20"/>
        <v>#REF!</v>
      </c>
      <c r="T67" s="572" t="s">
        <v>336</v>
      </c>
      <c r="U67" s="45" t="e">
        <f t="shared" ca="1" si="21"/>
        <v>#REF!</v>
      </c>
      <c r="V67" s="45" t="e">
        <f t="shared" ca="1" si="21"/>
        <v>#REF!</v>
      </c>
      <c r="W67" s="551" t="s">
        <v>336</v>
      </c>
    </row>
    <row r="68" spans="1:23" x14ac:dyDescent="0.25">
      <c r="A68" s="812" t="str">
        <f t="shared" si="22"/>
        <v>NP</v>
      </c>
      <c r="B68" s="812" t="s">
        <v>145</v>
      </c>
      <c r="C68" s="133" t="e">
        <f t="shared" ca="1" si="16"/>
        <v>#REF!</v>
      </c>
      <c r="D68" s="575" t="e">
        <f t="shared" ca="1" si="16"/>
        <v>#REF!</v>
      </c>
      <c r="E68" s="575" t="e">
        <f t="shared" ca="1" si="16"/>
        <v>#REF!</v>
      </c>
      <c r="F68" s="574" t="s">
        <v>336</v>
      </c>
      <c r="G68" s="133" t="e">
        <f t="shared" ca="1" si="17"/>
        <v>#REF!</v>
      </c>
      <c r="H68" s="133" t="e">
        <f t="shared" ca="1" si="17"/>
        <v>#REF!</v>
      </c>
      <c r="I68" s="551" t="s">
        <v>336</v>
      </c>
      <c r="J68" s="575" t="e">
        <f t="shared" ca="1" si="18"/>
        <v>#REF!</v>
      </c>
      <c r="K68" s="575" t="e">
        <f t="shared" ca="1" si="18"/>
        <v>#REF!</v>
      </c>
      <c r="L68" s="575" t="e">
        <f t="shared" ca="1" si="18"/>
        <v>#REF!</v>
      </c>
      <c r="M68" s="574" t="s">
        <v>336</v>
      </c>
      <c r="N68" s="133" t="e">
        <f t="shared" ca="1" si="19"/>
        <v>#REF!</v>
      </c>
      <c r="O68" s="133" t="e">
        <f t="shared" ca="1" si="19"/>
        <v>#REF!</v>
      </c>
      <c r="P68" s="551" t="s">
        <v>336</v>
      </c>
      <c r="Q68" s="573" t="e">
        <f t="shared" ca="1" si="20"/>
        <v>#REF!</v>
      </c>
      <c r="R68" s="573" t="e">
        <f t="shared" ca="1" si="20"/>
        <v>#REF!</v>
      </c>
      <c r="S68" s="573" t="e">
        <f t="shared" ca="1" si="20"/>
        <v>#REF!</v>
      </c>
      <c r="T68" s="572" t="s">
        <v>336</v>
      </c>
      <c r="U68" s="45" t="e">
        <f t="shared" ca="1" si="21"/>
        <v>#REF!</v>
      </c>
      <c r="V68" s="45" t="e">
        <f t="shared" ca="1" si="21"/>
        <v>#REF!</v>
      </c>
      <c r="W68" s="551" t="s">
        <v>336</v>
      </c>
    </row>
    <row r="69" spans="1:23" x14ac:dyDescent="0.25">
      <c r="A69" s="812" t="str">
        <f t="shared" si="22"/>
        <v>NP</v>
      </c>
      <c r="B69" s="812" t="s">
        <v>146</v>
      </c>
      <c r="C69" s="133" t="e">
        <f t="shared" ca="1" si="16"/>
        <v>#REF!</v>
      </c>
      <c r="D69" s="575" t="e">
        <f t="shared" ca="1" si="16"/>
        <v>#REF!</v>
      </c>
      <c r="E69" s="575" t="e">
        <f t="shared" ca="1" si="16"/>
        <v>#REF!</v>
      </c>
      <c r="F69" s="574" t="s">
        <v>336</v>
      </c>
      <c r="G69" s="133" t="e">
        <f t="shared" ca="1" si="17"/>
        <v>#REF!</v>
      </c>
      <c r="H69" s="133" t="e">
        <f t="shared" ca="1" si="17"/>
        <v>#REF!</v>
      </c>
      <c r="I69" s="551" t="s">
        <v>336</v>
      </c>
      <c r="J69" s="575" t="e">
        <f t="shared" ca="1" si="18"/>
        <v>#REF!</v>
      </c>
      <c r="K69" s="575" t="e">
        <f t="shared" ca="1" si="18"/>
        <v>#REF!</v>
      </c>
      <c r="L69" s="575" t="e">
        <f t="shared" ca="1" si="18"/>
        <v>#REF!</v>
      </c>
      <c r="M69" s="574" t="s">
        <v>336</v>
      </c>
      <c r="N69" s="133" t="e">
        <f t="shared" ca="1" si="19"/>
        <v>#REF!</v>
      </c>
      <c r="O69" s="133" t="e">
        <f t="shared" ca="1" si="19"/>
        <v>#REF!</v>
      </c>
      <c r="P69" s="551" t="s">
        <v>336</v>
      </c>
      <c r="Q69" s="573" t="e">
        <f t="shared" ca="1" si="20"/>
        <v>#REF!</v>
      </c>
      <c r="R69" s="573" t="e">
        <f t="shared" ca="1" si="20"/>
        <v>#REF!</v>
      </c>
      <c r="S69" s="573" t="e">
        <f t="shared" ca="1" si="20"/>
        <v>#REF!</v>
      </c>
      <c r="T69" s="572" t="s">
        <v>336</v>
      </c>
      <c r="U69" s="45" t="e">
        <f t="shared" ca="1" si="21"/>
        <v>#REF!</v>
      </c>
      <c r="V69" s="45" t="e">
        <f t="shared" ca="1" si="21"/>
        <v>#REF!</v>
      </c>
      <c r="W69" s="551" t="s">
        <v>336</v>
      </c>
    </row>
    <row r="70" spans="1:23" x14ac:dyDescent="0.25">
      <c r="A70" s="812" t="str">
        <f t="shared" si="22"/>
        <v>NP</v>
      </c>
      <c r="B70" s="812" t="s">
        <v>568</v>
      </c>
      <c r="C70" s="133" t="e">
        <f t="shared" ca="1" si="16"/>
        <v>#REF!</v>
      </c>
      <c r="D70" s="575" t="e">
        <f t="shared" ca="1" si="16"/>
        <v>#REF!</v>
      </c>
      <c r="E70" s="575" t="e">
        <f t="shared" ca="1" si="16"/>
        <v>#REF!</v>
      </c>
      <c r="F70" s="574" t="s">
        <v>336</v>
      </c>
      <c r="G70" s="133" t="e">
        <f t="shared" ca="1" si="17"/>
        <v>#REF!</v>
      </c>
      <c r="H70" s="133" t="e">
        <f t="shared" ca="1" si="17"/>
        <v>#REF!</v>
      </c>
      <c r="I70" s="551" t="s">
        <v>336</v>
      </c>
      <c r="J70" s="575" t="e">
        <f t="shared" ca="1" si="18"/>
        <v>#REF!</v>
      </c>
      <c r="K70" s="575" t="e">
        <f t="shared" ca="1" si="18"/>
        <v>#REF!</v>
      </c>
      <c r="L70" s="575" t="e">
        <f t="shared" ca="1" si="18"/>
        <v>#REF!</v>
      </c>
      <c r="M70" s="574" t="s">
        <v>336</v>
      </c>
      <c r="N70" s="133" t="e">
        <f t="shared" ca="1" si="19"/>
        <v>#REF!</v>
      </c>
      <c r="O70" s="133" t="e">
        <f t="shared" ca="1" si="19"/>
        <v>#REF!</v>
      </c>
      <c r="P70" s="551" t="s">
        <v>336</v>
      </c>
      <c r="Q70" s="573" t="e">
        <f t="shared" ca="1" si="20"/>
        <v>#REF!</v>
      </c>
      <c r="R70" s="573" t="e">
        <f t="shared" ca="1" si="20"/>
        <v>#REF!</v>
      </c>
      <c r="S70" s="573" t="e">
        <f t="shared" ca="1" si="20"/>
        <v>#REF!</v>
      </c>
      <c r="T70" s="572" t="s">
        <v>336</v>
      </c>
      <c r="U70" s="45" t="e">
        <f t="shared" ca="1" si="21"/>
        <v>#REF!</v>
      </c>
      <c r="V70" s="45" t="e">
        <f t="shared" ca="1" si="21"/>
        <v>#REF!</v>
      </c>
      <c r="W70" s="551" t="s">
        <v>336</v>
      </c>
    </row>
    <row r="71" spans="1:23" x14ac:dyDescent="0.25">
      <c r="A71" s="812" t="str">
        <f t="shared" si="22"/>
        <v>NP</v>
      </c>
      <c r="B71" s="812" t="s">
        <v>148</v>
      </c>
      <c r="C71" s="133" t="e">
        <f t="shared" ca="1" si="16"/>
        <v>#REF!</v>
      </c>
      <c r="D71" s="575" t="e">
        <f t="shared" ca="1" si="16"/>
        <v>#REF!</v>
      </c>
      <c r="E71" s="575" t="e">
        <f t="shared" ca="1" si="16"/>
        <v>#REF!</v>
      </c>
      <c r="F71" s="574" t="s">
        <v>336</v>
      </c>
      <c r="G71" s="133" t="e">
        <f t="shared" ca="1" si="17"/>
        <v>#REF!</v>
      </c>
      <c r="H71" s="133" t="e">
        <f t="shared" ca="1" si="17"/>
        <v>#REF!</v>
      </c>
      <c r="I71" s="551" t="s">
        <v>336</v>
      </c>
      <c r="J71" s="575" t="e">
        <f t="shared" ca="1" si="18"/>
        <v>#REF!</v>
      </c>
      <c r="K71" s="575" t="e">
        <f t="shared" ca="1" si="18"/>
        <v>#REF!</v>
      </c>
      <c r="L71" s="575" t="e">
        <f t="shared" ca="1" si="18"/>
        <v>#REF!</v>
      </c>
      <c r="M71" s="574" t="s">
        <v>336</v>
      </c>
      <c r="N71" s="133" t="e">
        <f t="shared" ca="1" si="19"/>
        <v>#REF!</v>
      </c>
      <c r="O71" s="133" t="e">
        <f t="shared" ca="1" si="19"/>
        <v>#REF!</v>
      </c>
      <c r="P71" s="551" t="s">
        <v>336</v>
      </c>
      <c r="Q71" s="573" t="e">
        <f t="shared" ca="1" si="20"/>
        <v>#REF!</v>
      </c>
      <c r="R71" s="573" t="e">
        <f t="shared" ca="1" si="20"/>
        <v>#REF!</v>
      </c>
      <c r="S71" s="573" t="e">
        <f t="shared" ca="1" si="20"/>
        <v>#REF!</v>
      </c>
      <c r="T71" s="572" t="s">
        <v>336</v>
      </c>
      <c r="U71" s="45" t="e">
        <f t="shared" ca="1" si="21"/>
        <v>#REF!</v>
      </c>
      <c r="V71" s="45" t="e">
        <f t="shared" ca="1" si="21"/>
        <v>#REF!</v>
      </c>
      <c r="W71" s="551" t="s">
        <v>336</v>
      </c>
    </row>
    <row r="72" spans="1:23" x14ac:dyDescent="0.25">
      <c r="A72" s="812" t="str">
        <f t="shared" si="22"/>
        <v>NP</v>
      </c>
      <c r="B72" s="812" t="s">
        <v>746</v>
      </c>
      <c r="C72" s="133" t="e">
        <f t="shared" ca="1" si="16"/>
        <v>#REF!</v>
      </c>
      <c r="D72" s="575" t="e">
        <f t="shared" ca="1" si="16"/>
        <v>#REF!</v>
      </c>
      <c r="E72" s="575" t="e">
        <f t="shared" ca="1" si="16"/>
        <v>#REF!</v>
      </c>
      <c r="F72" s="574" t="s">
        <v>336</v>
      </c>
      <c r="G72" s="133" t="e">
        <f t="shared" ca="1" si="17"/>
        <v>#REF!</v>
      </c>
      <c r="H72" s="133" t="e">
        <f t="shared" ca="1" si="17"/>
        <v>#REF!</v>
      </c>
      <c r="I72" s="551" t="s">
        <v>336</v>
      </c>
      <c r="J72" s="575" t="e">
        <f t="shared" ca="1" si="18"/>
        <v>#REF!</v>
      </c>
      <c r="K72" s="575" t="e">
        <f t="shared" ca="1" si="18"/>
        <v>#REF!</v>
      </c>
      <c r="L72" s="575" t="e">
        <f t="shared" ca="1" si="18"/>
        <v>#REF!</v>
      </c>
      <c r="M72" s="574" t="s">
        <v>336</v>
      </c>
      <c r="N72" s="133" t="e">
        <f t="shared" ca="1" si="19"/>
        <v>#REF!</v>
      </c>
      <c r="O72" s="133" t="e">
        <f t="shared" ca="1" si="19"/>
        <v>#REF!</v>
      </c>
      <c r="P72" s="551" t="s">
        <v>336</v>
      </c>
      <c r="Q72" s="573" t="e">
        <f t="shared" ca="1" si="20"/>
        <v>#REF!</v>
      </c>
      <c r="R72" s="573" t="e">
        <f t="shared" ca="1" si="20"/>
        <v>#REF!</v>
      </c>
      <c r="S72" s="573" t="e">
        <f t="shared" ca="1" si="20"/>
        <v>#REF!</v>
      </c>
      <c r="T72" s="572" t="s">
        <v>336</v>
      </c>
      <c r="U72" s="45" t="e">
        <f t="shared" ca="1" si="21"/>
        <v>#REF!</v>
      </c>
      <c r="V72" s="45" t="e">
        <f t="shared" ca="1" si="21"/>
        <v>#REF!</v>
      </c>
      <c r="W72" s="551" t="s">
        <v>336</v>
      </c>
    </row>
    <row r="73" spans="1:23" x14ac:dyDescent="0.25">
      <c r="A73" s="812" t="str">
        <f t="shared" si="22"/>
        <v>NP</v>
      </c>
      <c r="B73" s="812" t="s">
        <v>747</v>
      </c>
      <c r="C73" s="133" t="e">
        <f t="shared" ca="1" si="16"/>
        <v>#REF!</v>
      </c>
      <c r="D73" s="575" t="e">
        <f t="shared" ca="1" si="16"/>
        <v>#REF!</v>
      </c>
      <c r="E73" s="575" t="e">
        <f t="shared" ca="1" si="16"/>
        <v>#REF!</v>
      </c>
      <c r="F73" s="574" t="s">
        <v>336</v>
      </c>
      <c r="G73" s="133" t="e">
        <f t="shared" ca="1" si="17"/>
        <v>#REF!</v>
      </c>
      <c r="H73" s="133" t="e">
        <f t="shared" ca="1" si="17"/>
        <v>#REF!</v>
      </c>
      <c r="I73" s="551" t="s">
        <v>336</v>
      </c>
      <c r="J73" s="575" t="e">
        <f t="shared" ca="1" si="18"/>
        <v>#REF!</v>
      </c>
      <c r="K73" s="575" t="e">
        <f t="shared" ca="1" si="18"/>
        <v>#REF!</v>
      </c>
      <c r="L73" s="575" t="e">
        <f t="shared" ca="1" si="18"/>
        <v>#REF!</v>
      </c>
      <c r="M73" s="574" t="s">
        <v>336</v>
      </c>
      <c r="N73" s="133" t="e">
        <f t="shared" ca="1" si="19"/>
        <v>#REF!</v>
      </c>
      <c r="O73" s="133" t="e">
        <f t="shared" ca="1" si="19"/>
        <v>#REF!</v>
      </c>
      <c r="P73" s="551" t="s">
        <v>336</v>
      </c>
      <c r="Q73" s="573" t="e">
        <f t="shared" ca="1" si="20"/>
        <v>#REF!</v>
      </c>
      <c r="R73" s="573" t="e">
        <f t="shared" ca="1" si="20"/>
        <v>#REF!</v>
      </c>
      <c r="S73" s="573" t="e">
        <f t="shared" ca="1" si="20"/>
        <v>#REF!</v>
      </c>
      <c r="T73" s="572" t="s">
        <v>336</v>
      </c>
      <c r="U73" s="45" t="e">
        <f t="shared" ca="1" si="21"/>
        <v>#REF!</v>
      </c>
      <c r="V73" s="45" t="e">
        <f t="shared" ca="1" si="21"/>
        <v>#REF!</v>
      </c>
      <c r="W73" s="551" t="s">
        <v>336</v>
      </c>
    </row>
    <row r="74" spans="1:23" x14ac:dyDescent="0.25">
      <c r="A74" s="812" t="str">
        <f t="shared" si="22"/>
        <v>NP</v>
      </c>
      <c r="B74" s="812" t="s">
        <v>149</v>
      </c>
      <c r="C74" s="133" t="e">
        <f t="shared" ca="1" si="16"/>
        <v>#REF!</v>
      </c>
      <c r="D74" s="575" t="e">
        <f t="shared" ca="1" si="16"/>
        <v>#REF!</v>
      </c>
      <c r="E74" s="575" t="e">
        <f t="shared" ca="1" si="16"/>
        <v>#REF!</v>
      </c>
      <c r="F74" s="574" t="s">
        <v>336</v>
      </c>
      <c r="G74" s="133" t="e">
        <f t="shared" ca="1" si="17"/>
        <v>#REF!</v>
      </c>
      <c r="H74" s="133" t="e">
        <f t="shared" ca="1" si="17"/>
        <v>#REF!</v>
      </c>
      <c r="I74" s="551" t="s">
        <v>336</v>
      </c>
      <c r="J74" s="575" t="e">
        <f t="shared" ca="1" si="18"/>
        <v>#REF!</v>
      </c>
      <c r="K74" s="575" t="e">
        <f t="shared" ca="1" si="18"/>
        <v>#REF!</v>
      </c>
      <c r="L74" s="575" t="e">
        <f t="shared" ca="1" si="18"/>
        <v>#REF!</v>
      </c>
      <c r="M74" s="574" t="s">
        <v>336</v>
      </c>
      <c r="N74" s="133" t="e">
        <f t="shared" ca="1" si="19"/>
        <v>#REF!</v>
      </c>
      <c r="O74" s="133" t="e">
        <f t="shared" ca="1" si="19"/>
        <v>#REF!</v>
      </c>
      <c r="P74" s="551" t="s">
        <v>336</v>
      </c>
      <c r="Q74" s="573" t="e">
        <f t="shared" ca="1" si="20"/>
        <v>#REF!</v>
      </c>
      <c r="R74" s="573" t="e">
        <f t="shared" ca="1" si="20"/>
        <v>#REF!</v>
      </c>
      <c r="S74" s="573" t="e">
        <f t="shared" ca="1" si="20"/>
        <v>#REF!</v>
      </c>
      <c r="T74" s="572" t="s">
        <v>336</v>
      </c>
      <c r="U74" s="45" t="e">
        <f t="shared" ca="1" si="21"/>
        <v>#REF!</v>
      </c>
      <c r="V74" s="45" t="e">
        <f t="shared" ca="1" si="21"/>
        <v>#REF!</v>
      </c>
      <c r="W74" s="551" t="s">
        <v>336</v>
      </c>
    </row>
    <row r="75" spans="1:23" x14ac:dyDescent="0.25">
      <c r="A75" s="812" t="str">
        <f t="shared" si="22"/>
        <v>NP</v>
      </c>
      <c r="B75" s="812" t="s">
        <v>150</v>
      </c>
      <c r="C75" s="133" t="e">
        <f t="shared" ca="1" si="16"/>
        <v>#REF!</v>
      </c>
      <c r="D75" s="575" t="e">
        <f t="shared" ca="1" si="16"/>
        <v>#REF!</v>
      </c>
      <c r="E75" s="575" t="e">
        <f t="shared" ca="1" si="16"/>
        <v>#REF!</v>
      </c>
      <c r="F75" s="574" t="s">
        <v>336</v>
      </c>
      <c r="G75" s="133" t="e">
        <f t="shared" ca="1" si="17"/>
        <v>#REF!</v>
      </c>
      <c r="H75" s="133" t="e">
        <f t="shared" ca="1" si="17"/>
        <v>#REF!</v>
      </c>
      <c r="I75" s="551" t="s">
        <v>336</v>
      </c>
      <c r="J75" s="575" t="e">
        <f t="shared" ca="1" si="18"/>
        <v>#REF!</v>
      </c>
      <c r="K75" s="575" t="e">
        <f t="shared" ca="1" si="18"/>
        <v>#REF!</v>
      </c>
      <c r="L75" s="575" t="e">
        <f t="shared" ca="1" si="18"/>
        <v>#REF!</v>
      </c>
      <c r="M75" s="574" t="s">
        <v>336</v>
      </c>
      <c r="N75" s="133" t="e">
        <f t="shared" ca="1" si="19"/>
        <v>#REF!</v>
      </c>
      <c r="O75" s="133" t="e">
        <f t="shared" ca="1" si="19"/>
        <v>#REF!</v>
      </c>
      <c r="P75" s="551" t="s">
        <v>336</v>
      </c>
      <c r="Q75" s="573" t="e">
        <f t="shared" ca="1" si="20"/>
        <v>#REF!</v>
      </c>
      <c r="R75" s="573" t="e">
        <f t="shared" ca="1" si="20"/>
        <v>#REF!</v>
      </c>
      <c r="S75" s="573" t="e">
        <f t="shared" ca="1" si="20"/>
        <v>#REF!</v>
      </c>
      <c r="T75" s="572" t="s">
        <v>336</v>
      </c>
      <c r="U75" s="45" t="e">
        <f t="shared" ca="1" si="21"/>
        <v>#REF!</v>
      </c>
      <c r="V75" s="45" t="e">
        <f t="shared" ca="1" si="21"/>
        <v>#REF!</v>
      </c>
      <c r="W75" s="551" t="s">
        <v>336</v>
      </c>
    </row>
    <row r="76" spans="1:23" x14ac:dyDescent="0.25">
      <c r="A76" s="812" t="str">
        <f t="shared" si="22"/>
        <v>NP</v>
      </c>
      <c r="B76" s="812" t="s">
        <v>151</v>
      </c>
      <c r="C76" s="133" t="e">
        <f t="shared" ref="C76:E79" ca="1" si="23">C22*C$33/C$26</f>
        <v>#REF!</v>
      </c>
      <c r="D76" s="575" t="e">
        <f t="shared" ca="1" si="23"/>
        <v>#REF!</v>
      </c>
      <c r="E76" s="575" t="e">
        <f t="shared" ca="1" si="23"/>
        <v>#REF!</v>
      </c>
      <c r="F76" s="574" t="s">
        <v>336</v>
      </c>
      <c r="G76" s="133" t="e">
        <f t="shared" ref="G76:H79" ca="1" si="24">G22*G$33/G$26</f>
        <v>#REF!</v>
      </c>
      <c r="H76" s="133" t="e">
        <f t="shared" ca="1" si="24"/>
        <v>#REF!</v>
      </c>
      <c r="I76" s="551" t="s">
        <v>336</v>
      </c>
      <c r="J76" s="575" t="e">
        <f t="shared" ref="J76:L79" ca="1" si="25">J22*J$33/J$26</f>
        <v>#REF!</v>
      </c>
      <c r="K76" s="575" t="e">
        <f t="shared" ca="1" si="25"/>
        <v>#REF!</v>
      </c>
      <c r="L76" s="575" t="e">
        <f t="shared" ca="1" si="25"/>
        <v>#REF!</v>
      </c>
      <c r="M76" s="574" t="s">
        <v>336</v>
      </c>
      <c r="N76" s="133" t="e">
        <f t="shared" ref="N76:O79" ca="1" si="26">N22*N$33/N$26</f>
        <v>#REF!</v>
      </c>
      <c r="O76" s="133" t="e">
        <f t="shared" ca="1" si="26"/>
        <v>#REF!</v>
      </c>
      <c r="P76" s="551" t="s">
        <v>336</v>
      </c>
      <c r="Q76" s="573" t="e">
        <f t="shared" ref="Q76:S79" ca="1" si="27">Q22*Q$33/Q$26</f>
        <v>#REF!</v>
      </c>
      <c r="R76" s="573" t="e">
        <f t="shared" ca="1" si="27"/>
        <v>#REF!</v>
      </c>
      <c r="S76" s="573" t="e">
        <f t="shared" ca="1" si="27"/>
        <v>#REF!</v>
      </c>
      <c r="T76" s="572" t="s">
        <v>336</v>
      </c>
      <c r="U76" s="45" t="e">
        <f t="shared" ref="U76:V79" ca="1" si="28">U22*U$33/U$26</f>
        <v>#REF!</v>
      </c>
      <c r="V76" s="45" t="e">
        <f t="shared" ca="1" si="28"/>
        <v>#REF!</v>
      </c>
      <c r="W76" s="551" t="s">
        <v>336</v>
      </c>
    </row>
    <row r="77" spans="1:23" x14ac:dyDescent="0.25">
      <c r="A77" s="812" t="str">
        <f t="shared" si="22"/>
        <v>NP</v>
      </c>
      <c r="B77" s="812" t="s">
        <v>152</v>
      </c>
      <c r="C77" s="133" t="e">
        <f t="shared" ca="1" si="23"/>
        <v>#REF!</v>
      </c>
      <c r="D77" s="575" t="e">
        <f t="shared" ca="1" si="23"/>
        <v>#REF!</v>
      </c>
      <c r="E77" s="575" t="e">
        <f t="shared" ca="1" si="23"/>
        <v>#REF!</v>
      </c>
      <c r="F77" s="574" t="s">
        <v>336</v>
      </c>
      <c r="G77" s="133" t="e">
        <f t="shared" ca="1" si="24"/>
        <v>#REF!</v>
      </c>
      <c r="H77" s="133" t="e">
        <f t="shared" ca="1" si="24"/>
        <v>#REF!</v>
      </c>
      <c r="I77" s="551" t="s">
        <v>336</v>
      </c>
      <c r="J77" s="575" t="e">
        <f t="shared" ca="1" si="25"/>
        <v>#REF!</v>
      </c>
      <c r="K77" s="575" t="e">
        <f t="shared" ca="1" si="25"/>
        <v>#REF!</v>
      </c>
      <c r="L77" s="575" t="e">
        <f t="shared" ca="1" si="25"/>
        <v>#REF!</v>
      </c>
      <c r="M77" s="574" t="s">
        <v>336</v>
      </c>
      <c r="N77" s="133" t="e">
        <f t="shared" ca="1" si="26"/>
        <v>#REF!</v>
      </c>
      <c r="O77" s="133" t="e">
        <f t="shared" ca="1" si="26"/>
        <v>#REF!</v>
      </c>
      <c r="P77" s="551" t="s">
        <v>336</v>
      </c>
      <c r="Q77" s="573" t="e">
        <f t="shared" ca="1" si="27"/>
        <v>#REF!</v>
      </c>
      <c r="R77" s="573" t="e">
        <f t="shared" ca="1" si="27"/>
        <v>#REF!</v>
      </c>
      <c r="S77" s="573" t="e">
        <f t="shared" ca="1" si="27"/>
        <v>#REF!</v>
      </c>
      <c r="T77" s="572" t="s">
        <v>336</v>
      </c>
      <c r="U77" s="45" t="e">
        <f t="shared" ca="1" si="28"/>
        <v>#REF!</v>
      </c>
      <c r="V77" s="45" t="e">
        <f t="shared" ca="1" si="28"/>
        <v>#REF!</v>
      </c>
      <c r="W77" s="551" t="s">
        <v>336</v>
      </c>
    </row>
    <row r="78" spans="1:23" x14ac:dyDescent="0.25">
      <c r="A78" s="812" t="str">
        <f t="shared" si="22"/>
        <v>NP</v>
      </c>
      <c r="B78" s="812" t="s">
        <v>153</v>
      </c>
      <c r="C78" s="133" t="e">
        <f t="shared" ca="1" si="23"/>
        <v>#REF!</v>
      </c>
      <c r="D78" s="575" t="e">
        <f t="shared" ca="1" si="23"/>
        <v>#REF!</v>
      </c>
      <c r="E78" s="575" t="e">
        <f t="shared" ca="1" si="23"/>
        <v>#REF!</v>
      </c>
      <c r="F78" s="574" t="s">
        <v>336</v>
      </c>
      <c r="G78" s="133" t="e">
        <f t="shared" ca="1" si="24"/>
        <v>#REF!</v>
      </c>
      <c r="H78" s="133" t="e">
        <f t="shared" ca="1" si="24"/>
        <v>#REF!</v>
      </c>
      <c r="I78" s="551" t="s">
        <v>336</v>
      </c>
      <c r="J78" s="575" t="e">
        <f t="shared" ca="1" si="25"/>
        <v>#REF!</v>
      </c>
      <c r="K78" s="575" t="e">
        <f t="shared" ca="1" si="25"/>
        <v>#REF!</v>
      </c>
      <c r="L78" s="575" t="e">
        <f t="shared" ca="1" si="25"/>
        <v>#REF!</v>
      </c>
      <c r="M78" s="574" t="s">
        <v>336</v>
      </c>
      <c r="N78" s="133" t="e">
        <f t="shared" ca="1" si="26"/>
        <v>#REF!</v>
      </c>
      <c r="O78" s="133" t="e">
        <f t="shared" ca="1" si="26"/>
        <v>#REF!</v>
      </c>
      <c r="P78" s="551" t="s">
        <v>336</v>
      </c>
      <c r="Q78" s="573" t="e">
        <f t="shared" ca="1" si="27"/>
        <v>#REF!</v>
      </c>
      <c r="R78" s="573" t="e">
        <f t="shared" ca="1" si="27"/>
        <v>#REF!</v>
      </c>
      <c r="S78" s="573" t="e">
        <f t="shared" ca="1" si="27"/>
        <v>#REF!</v>
      </c>
      <c r="T78" s="572" t="s">
        <v>336</v>
      </c>
      <c r="U78" s="45" t="e">
        <f t="shared" ca="1" si="28"/>
        <v>#REF!</v>
      </c>
      <c r="V78" s="45" t="e">
        <f t="shared" ca="1" si="28"/>
        <v>#REF!</v>
      </c>
      <c r="W78" s="551" t="s">
        <v>336</v>
      </c>
    </row>
    <row r="79" spans="1:23" ht="15.75" thickBot="1" x14ac:dyDescent="0.3">
      <c r="A79" s="6" t="str">
        <f>A76</f>
        <v>NP</v>
      </c>
      <c r="B79" s="6" t="s">
        <v>154</v>
      </c>
      <c r="C79" s="544" t="e">
        <f t="shared" ca="1" si="23"/>
        <v>#REF!</v>
      </c>
      <c r="D79" s="571" t="e">
        <f t="shared" ca="1" si="23"/>
        <v>#REF!</v>
      </c>
      <c r="E79" s="571" t="e">
        <f t="shared" ca="1" si="23"/>
        <v>#REF!</v>
      </c>
      <c r="F79" s="570" t="s">
        <v>336</v>
      </c>
      <c r="G79" s="544" t="e">
        <f t="shared" ca="1" si="24"/>
        <v>#REF!</v>
      </c>
      <c r="H79" s="544" t="e">
        <f t="shared" ca="1" si="24"/>
        <v>#REF!</v>
      </c>
      <c r="I79" s="542" t="s">
        <v>336</v>
      </c>
      <c r="J79" s="571" t="e">
        <f t="shared" ca="1" si="25"/>
        <v>#REF!</v>
      </c>
      <c r="K79" s="571" t="e">
        <f t="shared" ca="1" si="25"/>
        <v>#REF!</v>
      </c>
      <c r="L79" s="571" t="e">
        <f t="shared" ca="1" si="25"/>
        <v>#REF!</v>
      </c>
      <c r="M79" s="570" t="s">
        <v>336</v>
      </c>
      <c r="N79" s="544" t="e">
        <f t="shared" ca="1" si="26"/>
        <v>#REF!</v>
      </c>
      <c r="O79" s="544" t="e">
        <f t="shared" ca="1" si="26"/>
        <v>#REF!</v>
      </c>
      <c r="P79" s="542" t="s">
        <v>336</v>
      </c>
      <c r="Q79" s="569" t="e">
        <f t="shared" ca="1" si="27"/>
        <v>#REF!</v>
      </c>
      <c r="R79" s="569" t="e">
        <f t="shared" ca="1" si="27"/>
        <v>#REF!</v>
      </c>
      <c r="S79" s="569" t="e">
        <f t="shared" ca="1" si="27"/>
        <v>#REF!</v>
      </c>
      <c r="T79" s="568" t="s">
        <v>336</v>
      </c>
      <c r="U79" s="567" t="e">
        <f t="shared" ca="1" si="28"/>
        <v>#REF!</v>
      </c>
      <c r="V79" s="567" t="e">
        <f t="shared" ca="1" si="28"/>
        <v>#REF!</v>
      </c>
      <c r="W79" s="542" t="s">
        <v>336</v>
      </c>
    </row>
    <row r="80" spans="1:23" ht="15.75" thickTop="1" x14ac:dyDescent="0.25">
      <c r="C80" s="137" t="e">
        <f ca="1">SUM(C40:C79)</f>
        <v>#REF!</v>
      </c>
      <c r="D80" s="137" t="e">
        <f ca="1">SUM(D40:D79)</f>
        <v>#REF!</v>
      </c>
      <c r="E80" s="137" t="e">
        <f ca="1">SUM(E40:E79)</f>
        <v>#REF!</v>
      </c>
      <c r="F80" s="566" t="s">
        <v>336</v>
      </c>
      <c r="G80" s="137" t="e">
        <f ca="1">SUM(G40:G79)</f>
        <v>#REF!</v>
      </c>
      <c r="H80" s="137" t="e">
        <f ca="1">SUM(H40:H79)</f>
        <v>#REF!</v>
      </c>
      <c r="I80" s="566" t="s">
        <v>336</v>
      </c>
      <c r="J80" s="137" t="e">
        <f ca="1">SUM(J40:J79)</f>
        <v>#REF!</v>
      </c>
      <c r="K80" s="137" t="e">
        <f ca="1">SUM(K40:K79)</f>
        <v>#REF!</v>
      </c>
      <c r="L80" s="137" t="e">
        <f ca="1">SUM(L40:L79)</f>
        <v>#REF!</v>
      </c>
      <c r="M80" s="566" t="s">
        <v>336</v>
      </c>
      <c r="N80" s="137" t="e">
        <f ca="1">SUM(N40:N79)</f>
        <v>#REF!</v>
      </c>
      <c r="O80" s="137" t="e">
        <f ca="1">SUM(O40:O79)</f>
        <v>#REF!</v>
      </c>
      <c r="P80" s="566" t="s">
        <v>336</v>
      </c>
      <c r="Q80" s="87" t="e">
        <f ca="1">SUM(Q40:Q79)</f>
        <v>#REF!</v>
      </c>
      <c r="R80" s="87" t="e">
        <f ca="1">SUM(R40:R79)</f>
        <v>#REF!</v>
      </c>
      <c r="S80" s="87" t="e">
        <f ca="1">SUM(S40:S79)</f>
        <v>#REF!</v>
      </c>
      <c r="T80" s="566" t="s">
        <v>336</v>
      </c>
      <c r="U80" s="87" t="e">
        <f ca="1">SUM(U40:U79)</f>
        <v>#REF!</v>
      </c>
      <c r="V80" s="87" t="e">
        <f ca="1">SUM(V40:V79)</f>
        <v>#REF!</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2" t="s">
        <v>379</v>
      </c>
      <c r="B89" s="812" t="s">
        <v>122</v>
      </c>
      <c r="D89" s="812" t="s">
        <v>768</v>
      </c>
      <c r="E89" s="812" t="s">
        <v>769</v>
      </c>
      <c r="F89" s="812"/>
      <c r="G89" s="812" t="s">
        <v>768</v>
      </c>
      <c r="H89" s="812" t="s">
        <v>769</v>
      </c>
      <c r="I89" s="812"/>
      <c r="J89" s="845" t="s">
        <v>770</v>
      </c>
      <c r="K89" s="845"/>
      <c r="L89" s="845" t="s">
        <v>771</v>
      </c>
      <c r="M89" s="845"/>
      <c r="N89" s="845"/>
      <c r="O89" s="845"/>
      <c r="P89" s="845"/>
      <c r="Q89" s="845"/>
      <c r="R89" s="845" t="s">
        <v>772</v>
      </c>
      <c r="S89" s="845"/>
      <c r="T89" s="845"/>
      <c r="U89" s="845"/>
      <c r="V89" s="845"/>
      <c r="W89" s="845"/>
      <c r="X89" s="845" t="s">
        <v>773</v>
      </c>
      <c r="Y89" s="845"/>
      <c r="Z89" s="845"/>
      <c r="AA89" s="845"/>
      <c r="AB89" s="845"/>
      <c r="AC89" s="845"/>
      <c r="AD89" s="845" t="s">
        <v>774</v>
      </c>
      <c r="AE89" s="845"/>
      <c r="AF89" s="845"/>
      <c r="AG89" s="845"/>
      <c r="AH89" s="845"/>
      <c r="AI89" s="845"/>
      <c r="AJ89" s="845" t="s">
        <v>775</v>
      </c>
      <c r="AK89" s="845"/>
      <c r="AL89" s="845"/>
      <c r="AM89" s="845"/>
      <c r="AN89" s="845" t="s">
        <v>776</v>
      </c>
      <c r="AO89" s="845"/>
      <c r="AP89" s="845"/>
      <c r="AQ89" s="845"/>
      <c r="AR89" s="812" t="s">
        <v>122</v>
      </c>
      <c r="AS89" s="812"/>
      <c r="AT89" s="845" t="s">
        <v>777</v>
      </c>
      <c r="AU89" s="845"/>
      <c r="AV89" s="845"/>
      <c r="AW89" s="845"/>
      <c r="AX89" s="845" t="s">
        <v>778</v>
      </c>
      <c r="AY89" s="845"/>
      <c r="AZ89" s="845"/>
      <c r="BA89" s="845"/>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2"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t="e">
        <f t="shared" ref="L91:M100" ca="1" si="34">(1-$N$84)*(1-D91)*D40</f>
        <v>#REF!</v>
      </c>
      <c r="M91" s="559" t="e">
        <f t="shared" ca="1" si="34"/>
        <v>#REF!</v>
      </c>
      <c r="N91" s="557" t="s">
        <v>336</v>
      </c>
      <c r="O91" s="559" t="e">
        <f t="shared" ref="O91:P100" ca="1" si="35">(1-$N$84)*(1-G91)*G60</f>
        <v>#REF!</v>
      </c>
      <c r="P91" s="559" t="e">
        <f t="shared" ca="1" si="35"/>
        <v>#REF!</v>
      </c>
      <c r="Q91" s="557" t="s">
        <v>336</v>
      </c>
      <c r="R91" s="558" t="e">
        <f t="shared" ref="R91:S100" ca="1" si="36">(1-$N$84)*(1-D91)*D40/$J91</f>
        <v>#REF!</v>
      </c>
      <c r="S91" s="558" t="e">
        <f t="shared" ca="1" si="36"/>
        <v>#REF!</v>
      </c>
      <c r="T91" s="557" t="s">
        <v>336</v>
      </c>
      <c r="U91" s="558" t="e">
        <f t="shared" ref="U91:V100" ca="1" si="37">(1-$N$84)*(1-G91)*G60/$J91</f>
        <v>#REF!</v>
      </c>
      <c r="V91" s="558" t="e">
        <f t="shared" ca="1" si="37"/>
        <v>#REF!</v>
      </c>
      <c r="W91" s="557" t="s">
        <v>336</v>
      </c>
      <c r="X91" s="559" t="e">
        <f t="shared" ref="X91:Y100" ca="1" si="38">(1-$N$84)*(1-D91)*K40</f>
        <v>#REF!</v>
      </c>
      <c r="Y91" s="559" t="e">
        <f t="shared" ca="1" si="38"/>
        <v>#REF!</v>
      </c>
      <c r="Z91" s="557" t="s">
        <v>336</v>
      </c>
      <c r="AA91" s="559" t="e">
        <f t="shared" ref="AA91:AB100" ca="1" si="39">(1-$N$84)*(1-G91)*N60</f>
        <v>#REF!</v>
      </c>
      <c r="AB91" s="559" t="e">
        <f t="shared" ca="1" si="39"/>
        <v>#REF!</v>
      </c>
      <c r="AC91" s="557" t="s">
        <v>336</v>
      </c>
      <c r="AD91" s="558" t="e">
        <f t="shared" ref="AD91:AE110" ca="1" si="40">(1-$N$84)*(1-D91)*K40/$K91</f>
        <v>#REF!</v>
      </c>
      <c r="AE91" s="558" t="e">
        <f t="shared" ca="1" si="40"/>
        <v>#REF!</v>
      </c>
      <c r="AF91" s="557" t="s">
        <v>336</v>
      </c>
      <c r="AG91" s="558" t="e">
        <f t="shared" ref="AG91:AH100" ca="1" si="41">(1-$N$84)*(1-G91)*N60/$K91</f>
        <v>#REF!</v>
      </c>
      <c r="AH91" s="558" t="e">
        <f t="shared" ca="1" si="41"/>
        <v>#REF!</v>
      </c>
      <c r="AI91" s="557" t="s">
        <v>336</v>
      </c>
      <c r="AJ91" s="507" t="e">
        <f t="shared" ref="AJ91:AK110" ca="1" si="42">L91-R91</f>
        <v>#REF!</v>
      </c>
      <c r="AK91" s="507" t="e">
        <f t="shared" ca="1" si="42"/>
        <v>#REF!</v>
      </c>
      <c r="AL91" s="507" t="e">
        <f t="shared" ref="AL91:AM110" ca="1" si="43">O91-U91</f>
        <v>#REF!</v>
      </c>
      <c r="AM91" s="507" t="e">
        <f t="shared" ca="1" si="43"/>
        <v>#REF!</v>
      </c>
      <c r="AN91" s="507" t="e">
        <f t="shared" ref="AN91:AO110" ca="1" si="44">X91-AD91</f>
        <v>#REF!</v>
      </c>
      <c r="AO91" s="507" t="e">
        <f t="shared" ca="1" si="44"/>
        <v>#REF!</v>
      </c>
      <c r="AP91" s="507" t="e">
        <f t="shared" ref="AP91:AQ110" ca="1" si="45">AA91-AG91</f>
        <v>#REF!</v>
      </c>
      <c r="AQ91" s="507" t="e">
        <f t="shared" ca="1" si="45"/>
        <v>#REF!</v>
      </c>
      <c r="AR91" s="812" t="s">
        <v>137</v>
      </c>
      <c r="AS91" s="812">
        <v>2104008100</v>
      </c>
      <c r="AT91" s="507" t="e">
        <f t="shared" ref="AT91:AU100" ca="1" si="46">AJ91/$C40</f>
        <v>#REF!</v>
      </c>
      <c r="AU91" s="507" t="e">
        <f t="shared" ca="1" si="46"/>
        <v>#REF!</v>
      </c>
      <c r="AV91" s="507" t="e">
        <f t="shared" ref="AV91:AW100" ca="1" si="47">AL91/$C60</f>
        <v>#REF!</v>
      </c>
      <c r="AW91" s="507" t="e">
        <f t="shared" ca="1" si="47"/>
        <v>#REF!</v>
      </c>
      <c r="AX91" s="507" t="e">
        <f t="shared" ref="AX91:AY100" ca="1" si="48">AN91/$J40</f>
        <v>#REF!</v>
      </c>
      <c r="AY91" s="507" t="e">
        <f t="shared" ca="1" si="48"/>
        <v>#REF!</v>
      </c>
      <c r="AZ91" s="507" t="e">
        <f t="shared" ref="AZ91:BA100" ca="1" si="49">AP91/$J60</f>
        <v>#REF!</v>
      </c>
      <c r="BA91" s="507" t="e">
        <f t="shared" ca="1" si="49"/>
        <v>#REF!</v>
      </c>
      <c r="BB91" s="550" t="e">
        <f ca="1">1-((1-AT91))</f>
        <v>#REF!</v>
      </c>
      <c r="BC91" s="550" t="e">
        <f ca="1">1-((1-AU91))</f>
        <v>#REF!</v>
      </c>
      <c r="BD91" s="550" t="e">
        <f ca="1">1-((1-AX91))</f>
        <v>#REF!</v>
      </c>
      <c r="BE91" s="550" t="e">
        <f ca="1">1-((1-AY91))</f>
        <v>#REF!</v>
      </c>
    </row>
    <row r="92" spans="1:57" x14ac:dyDescent="0.25">
      <c r="A92" s="60">
        <f t="shared" si="29"/>
        <v>0.4</v>
      </c>
      <c r="B92" s="812"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t="e">
        <f t="shared" ca="1" si="34"/>
        <v>#REF!</v>
      </c>
      <c r="M92" s="559" t="e">
        <f t="shared" ca="1" si="34"/>
        <v>#REF!</v>
      </c>
      <c r="N92" s="557" t="s">
        <v>336</v>
      </c>
      <c r="O92" s="559" t="e">
        <f t="shared" ca="1" si="35"/>
        <v>#REF!</v>
      </c>
      <c r="P92" s="559" t="e">
        <f t="shared" ca="1" si="35"/>
        <v>#REF!</v>
      </c>
      <c r="Q92" s="557" t="s">
        <v>336</v>
      </c>
      <c r="R92" s="558" t="e">
        <f t="shared" ca="1" si="36"/>
        <v>#REF!</v>
      </c>
      <c r="S92" s="558" t="e">
        <f t="shared" ca="1" si="36"/>
        <v>#REF!</v>
      </c>
      <c r="T92" s="557" t="s">
        <v>336</v>
      </c>
      <c r="U92" s="558" t="e">
        <f t="shared" ca="1" si="37"/>
        <v>#REF!</v>
      </c>
      <c r="V92" s="558" t="e">
        <f t="shared" ca="1" si="37"/>
        <v>#REF!</v>
      </c>
      <c r="W92" s="557" t="s">
        <v>336</v>
      </c>
      <c r="X92" s="559" t="e">
        <f t="shared" ca="1" si="38"/>
        <v>#REF!</v>
      </c>
      <c r="Y92" s="559" t="e">
        <f t="shared" ca="1" si="38"/>
        <v>#REF!</v>
      </c>
      <c r="Z92" s="557" t="s">
        <v>336</v>
      </c>
      <c r="AA92" s="559" t="e">
        <f t="shared" ca="1" si="39"/>
        <v>#REF!</v>
      </c>
      <c r="AB92" s="559" t="e">
        <f t="shared" ca="1" si="39"/>
        <v>#REF!</v>
      </c>
      <c r="AC92" s="557" t="s">
        <v>336</v>
      </c>
      <c r="AD92" s="558" t="e">
        <f t="shared" ca="1" si="40"/>
        <v>#REF!</v>
      </c>
      <c r="AE92" s="558" t="e">
        <f t="shared" ca="1" si="40"/>
        <v>#REF!</v>
      </c>
      <c r="AF92" s="557" t="s">
        <v>336</v>
      </c>
      <c r="AG92" s="558" t="e">
        <f t="shared" ca="1" si="41"/>
        <v>#REF!</v>
      </c>
      <c r="AH92" s="558" t="e">
        <f t="shared" ca="1" si="41"/>
        <v>#REF!</v>
      </c>
      <c r="AI92" s="557" t="s">
        <v>336</v>
      </c>
      <c r="AJ92" s="507" t="e">
        <f t="shared" ca="1" si="42"/>
        <v>#REF!</v>
      </c>
      <c r="AK92" s="507" t="e">
        <f t="shared" ca="1" si="42"/>
        <v>#REF!</v>
      </c>
      <c r="AL92" s="507" t="e">
        <f t="shared" ca="1" si="43"/>
        <v>#REF!</v>
      </c>
      <c r="AM92" s="507" t="e">
        <f t="shared" ca="1" si="43"/>
        <v>#REF!</v>
      </c>
      <c r="AN92" s="507" t="e">
        <f t="shared" ca="1" si="44"/>
        <v>#REF!</v>
      </c>
      <c r="AO92" s="507" t="e">
        <f t="shared" ca="1" si="44"/>
        <v>#REF!</v>
      </c>
      <c r="AP92" s="507" t="e">
        <f t="shared" ca="1" si="45"/>
        <v>#REF!</v>
      </c>
      <c r="AQ92" s="507" t="e">
        <f t="shared" ca="1" si="45"/>
        <v>#REF!</v>
      </c>
      <c r="AR92" s="812" t="s">
        <v>138</v>
      </c>
      <c r="AS92" s="812">
        <v>2104008210</v>
      </c>
      <c r="AT92" s="507" t="e">
        <f t="shared" ca="1" si="46"/>
        <v>#REF!</v>
      </c>
      <c r="AU92" s="507" t="e">
        <f t="shared" ca="1" si="46"/>
        <v>#REF!</v>
      </c>
      <c r="AV92" s="507" t="e">
        <f t="shared" ca="1" si="47"/>
        <v>#REF!</v>
      </c>
      <c r="AW92" s="507" t="e">
        <f t="shared" ca="1" si="47"/>
        <v>#REF!</v>
      </c>
      <c r="AX92" s="507" t="e">
        <f t="shared" ca="1" si="48"/>
        <v>#REF!</v>
      </c>
      <c r="AY92" s="507" t="e">
        <f t="shared" ca="1" si="48"/>
        <v>#REF!</v>
      </c>
      <c r="AZ92" s="507" t="e">
        <f t="shared" ca="1" si="49"/>
        <v>#REF!</v>
      </c>
      <c r="BA92" s="507" t="e">
        <f t="shared" ca="1" si="49"/>
        <v>#REF!</v>
      </c>
      <c r="BB92" s="550" t="e">
        <f t="shared" ref="BB92:BC109" ca="1" si="50">1-((1-AT92))</f>
        <v>#REF!</v>
      </c>
      <c r="BC92" s="550" t="e">
        <f t="shared" ca="1" si="50"/>
        <v>#REF!</v>
      </c>
      <c r="BD92" s="550" t="e">
        <f t="shared" ref="BD92:BE109" ca="1" si="51">1-((1-AX92))</f>
        <v>#REF!</v>
      </c>
      <c r="BE92" s="550" t="e">
        <f t="shared" ca="1" si="51"/>
        <v>#REF!</v>
      </c>
    </row>
    <row r="93" spans="1:57" x14ac:dyDescent="0.25">
      <c r="A93" s="60">
        <f t="shared" si="29"/>
        <v>0.66</v>
      </c>
      <c r="B93" s="812"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t="e">
        <f t="shared" ca="1" si="34"/>
        <v>#REF!</v>
      </c>
      <c r="M93" s="559" t="e">
        <f t="shared" ca="1" si="34"/>
        <v>#REF!</v>
      </c>
      <c r="N93" s="557" t="s">
        <v>336</v>
      </c>
      <c r="O93" s="559" t="e">
        <f t="shared" ca="1" si="35"/>
        <v>#REF!</v>
      </c>
      <c r="P93" s="559" t="e">
        <f t="shared" ca="1" si="35"/>
        <v>#REF!</v>
      </c>
      <c r="Q93" s="557" t="s">
        <v>336</v>
      </c>
      <c r="R93" s="558" t="e">
        <f t="shared" ca="1" si="36"/>
        <v>#REF!</v>
      </c>
      <c r="S93" s="558" t="e">
        <f t="shared" ca="1" si="36"/>
        <v>#REF!</v>
      </c>
      <c r="T93" s="557" t="s">
        <v>336</v>
      </c>
      <c r="U93" s="558" t="e">
        <f t="shared" ca="1" si="37"/>
        <v>#REF!</v>
      </c>
      <c r="V93" s="558" t="e">
        <f t="shared" ca="1" si="37"/>
        <v>#REF!</v>
      </c>
      <c r="W93" s="557" t="s">
        <v>336</v>
      </c>
      <c r="X93" s="559" t="e">
        <f t="shared" ca="1" si="38"/>
        <v>#REF!</v>
      </c>
      <c r="Y93" s="559" t="e">
        <f t="shared" ca="1" si="38"/>
        <v>#REF!</v>
      </c>
      <c r="Z93" s="557" t="s">
        <v>336</v>
      </c>
      <c r="AA93" s="559" t="e">
        <f t="shared" ca="1" si="39"/>
        <v>#REF!</v>
      </c>
      <c r="AB93" s="559" t="e">
        <f t="shared" ca="1" si="39"/>
        <v>#REF!</v>
      </c>
      <c r="AC93" s="557" t="s">
        <v>336</v>
      </c>
      <c r="AD93" s="558" t="e">
        <f t="shared" ca="1" si="40"/>
        <v>#REF!</v>
      </c>
      <c r="AE93" s="558" t="e">
        <f t="shared" ca="1" si="40"/>
        <v>#REF!</v>
      </c>
      <c r="AF93" s="557" t="s">
        <v>336</v>
      </c>
      <c r="AG93" s="558" t="e">
        <f t="shared" ca="1" si="41"/>
        <v>#REF!</v>
      </c>
      <c r="AH93" s="558" t="e">
        <f t="shared" ca="1" si="41"/>
        <v>#REF!</v>
      </c>
      <c r="AI93" s="557" t="s">
        <v>336</v>
      </c>
      <c r="AJ93" s="507" t="e">
        <f t="shared" ca="1" si="42"/>
        <v>#REF!</v>
      </c>
      <c r="AK93" s="507" t="e">
        <f t="shared" ca="1" si="42"/>
        <v>#REF!</v>
      </c>
      <c r="AL93" s="507" t="e">
        <f t="shared" ca="1" si="43"/>
        <v>#REF!</v>
      </c>
      <c r="AM93" s="507" t="e">
        <f t="shared" ca="1" si="43"/>
        <v>#REF!</v>
      </c>
      <c r="AN93" s="507" t="e">
        <f t="shared" ca="1" si="44"/>
        <v>#REF!</v>
      </c>
      <c r="AO93" s="507" t="e">
        <f t="shared" ca="1" si="44"/>
        <v>#REF!</v>
      </c>
      <c r="AP93" s="507" t="e">
        <f t="shared" ca="1" si="45"/>
        <v>#REF!</v>
      </c>
      <c r="AQ93" s="507" t="e">
        <f t="shared" ca="1" si="45"/>
        <v>#REF!</v>
      </c>
      <c r="AR93" s="812" t="s">
        <v>139</v>
      </c>
      <c r="AS93" s="812">
        <v>2104008220</v>
      </c>
      <c r="AT93" s="507" t="e">
        <f t="shared" ca="1" si="46"/>
        <v>#REF!</v>
      </c>
      <c r="AU93" s="507" t="e">
        <f t="shared" ca="1" si="46"/>
        <v>#REF!</v>
      </c>
      <c r="AV93" s="507" t="e">
        <f t="shared" ca="1" si="47"/>
        <v>#REF!</v>
      </c>
      <c r="AW93" s="507" t="e">
        <f t="shared" ca="1" si="47"/>
        <v>#REF!</v>
      </c>
      <c r="AX93" s="507" t="e">
        <f t="shared" ca="1" si="48"/>
        <v>#REF!</v>
      </c>
      <c r="AY93" s="507" t="e">
        <f t="shared" ca="1" si="48"/>
        <v>#REF!</v>
      </c>
      <c r="AZ93" s="507" t="e">
        <f t="shared" ca="1" si="49"/>
        <v>#REF!</v>
      </c>
      <c r="BA93" s="507" t="e">
        <f t="shared" ca="1" si="49"/>
        <v>#REF!</v>
      </c>
      <c r="BB93" s="550" t="e">
        <f t="shared" ca="1" si="50"/>
        <v>#REF!</v>
      </c>
      <c r="BC93" s="550" t="e">
        <f t="shared" ca="1" si="50"/>
        <v>#REF!</v>
      </c>
      <c r="BD93" s="550" t="e">
        <f t="shared" ca="1" si="51"/>
        <v>#REF!</v>
      </c>
      <c r="BE93" s="550" t="e">
        <f t="shared" ca="1" si="51"/>
        <v>#REF!</v>
      </c>
    </row>
    <row r="94" spans="1:57" x14ac:dyDescent="0.25">
      <c r="A94" s="60">
        <f t="shared" si="29"/>
        <v>0.7</v>
      </c>
      <c r="B94" s="812"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t="e">
        <f t="shared" ca="1" si="34"/>
        <v>#REF!</v>
      </c>
      <c r="M94" s="559" t="e">
        <f t="shared" ca="1" si="34"/>
        <v>#REF!</v>
      </c>
      <c r="N94" s="557" t="s">
        <v>336</v>
      </c>
      <c r="O94" s="559" t="e">
        <f t="shared" ca="1" si="35"/>
        <v>#REF!</v>
      </c>
      <c r="P94" s="559" t="e">
        <f t="shared" ca="1" si="35"/>
        <v>#REF!</v>
      </c>
      <c r="Q94" s="557" t="s">
        <v>336</v>
      </c>
      <c r="R94" s="558" t="e">
        <f t="shared" ca="1" si="36"/>
        <v>#REF!</v>
      </c>
      <c r="S94" s="558" t="e">
        <f t="shared" ca="1" si="36"/>
        <v>#REF!</v>
      </c>
      <c r="T94" s="557" t="s">
        <v>336</v>
      </c>
      <c r="U94" s="558" t="e">
        <f t="shared" ca="1" si="37"/>
        <v>#REF!</v>
      </c>
      <c r="V94" s="558" t="e">
        <f t="shared" ca="1" si="37"/>
        <v>#REF!</v>
      </c>
      <c r="W94" s="557" t="s">
        <v>336</v>
      </c>
      <c r="X94" s="559" t="e">
        <f t="shared" ca="1" si="38"/>
        <v>#REF!</v>
      </c>
      <c r="Y94" s="559" t="e">
        <f t="shared" ca="1" si="38"/>
        <v>#REF!</v>
      </c>
      <c r="Z94" s="557" t="s">
        <v>336</v>
      </c>
      <c r="AA94" s="559" t="e">
        <f t="shared" ca="1" si="39"/>
        <v>#REF!</v>
      </c>
      <c r="AB94" s="559" t="e">
        <f t="shared" ca="1" si="39"/>
        <v>#REF!</v>
      </c>
      <c r="AC94" s="557" t="s">
        <v>336</v>
      </c>
      <c r="AD94" s="558" t="e">
        <f t="shared" ca="1" si="40"/>
        <v>#REF!</v>
      </c>
      <c r="AE94" s="558" t="e">
        <f t="shared" ca="1" si="40"/>
        <v>#REF!</v>
      </c>
      <c r="AF94" s="557" t="s">
        <v>336</v>
      </c>
      <c r="AG94" s="558" t="e">
        <f t="shared" ca="1" si="41"/>
        <v>#REF!</v>
      </c>
      <c r="AH94" s="558" t="e">
        <f t="shared" ca="1" si="41"/>
        <v>#REF!</v>
      </c>
      <c r="AI94" s="557" t="s">
        <v>336</v>
      </c>
      <c r="AJ94" s="507" t="e">
        <f t="shared" ca="1" si="42"/>
        <v>#REF!</v>
      </c>
      <c r="AK94" s="507" t="e">
        <f t="shared" ca="1" si="42"/>
        <v>#REF!</v>
      </c>
      <c r="AL94" s="507" t="e">
        <f t="shared" ca="1" si="43"/>
        <v>#REF!</v>
      </c>
      <c r="AM94" s="507" t="e">
        <f t="shared" ca="1" si="43"/>
        <v>#REF!</v>
      </c>
      <c r="AN94" s="507" t="e">
        <f t="shared" ca="1" si="44"/>
        <v>#REF!</v>
      </c>
      <c r="AO94" s="507" t="e">
        <f t="shared" ca="1" si="44"/>
        <v>#REF!</v>
      </c>
      <c r="AP94" s="507" t="e">
        <f t="shared" ca="1" si="45"/>
        <v>#REF!</v>
      </c>
      <c r="AQ94" s="507" t="e">
        <f t="shared" ca="1" si="45"/>
        <v>#REF!</v>
      </c>
      <c r="AR94" s="812" t="s">
        <v>140</v>
      </c>
      <c r="AS94" s="812">
        <v>2104008230</v>
      </c>
      <c r="AT94" s="507" t="e">
        <f t="shared" ca="1" si="46"/>
        <v>#REF!</v>
      </c>
      <c r="AU94" s="507" t="e">
        <f t="shared" ca="1" si="46"/>
        <v>#REF!</v>
      </c>
      <c r="AV94" s="507" t="e">
        <f t="shared" ca="1" si="47"/>
        <v>#REF!</v>
      </c>
      <c r="AW94" s="507" t="e">
        <f t="shared" ca="1" si="47"/>
        <v>#REF!</v>
      </c>
      <c r="AX94" s="507" t="e">
        <f t="shared" ca="1" si="48"/>
        <v>#REF!</v>
      </c>
      <c r="AY94" s="507" t="e">
        <f t="shared" ca="1" si="48"/>
        <v>#REF!</v>
      </c>
      <c r="AZ94" s="507" t="e">
        <f t="shared" ca="1" si="49"/>
        <v>#REF!</v>
      </c>
      <c r="BA94" s="507" t="e">
        <f t="shared" ca="1" si="49"/>
        <v>#REF!</v>
      </c>
      <c r="BB94" s="550" t="e">
        <f t="shared" ca="1" si="50"/>
        <v>#REF!</v>
      </c>
      <c r="BC94" s="550" t="e">
        <f t="shared" ca="1" si="50"/>
        <v>#REF!</v>
      </c>
      <c r="BD94" s="550" t="e">
        <f t="shared" ca="1" si="51"/>
        <v>#REF!</v>
      </c>
      <c r="BE94" s="550" t="e">
        <f t="shared" ca="1" si="51"/>
        <v>#REF!</v>
      </c>
    </row>
    <row r="95" spans="1:57" x14ac:dyDescent="0.25">
      <c r="A95" s="60">
        <f t="shared" si="29"/>
        <v>0.54</v>
      </c>
      <c r="B95" s="812"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t="e">
        <f t="shared" ca="1" si="34"/>
        <v>#REF!</v>
      </c>
      <c r="M95" s="559" t="e">
        <f t="shared" ca="1" si="34"/>
        <v>#REF!</v>
      </c>
      <c r="N95" s="557" t="s">
        <v>336</v>
      </c>
      <c r="O95" s="559" t="e">
        <f t="shared" ca="1" si="35"/>
        <v>#REF!</v>
      </c>
      <c r="P95" s="559" t="e">
        <f t="shared" ca="1" si="35"/>
        <v>#REF!</v>
      </c>
      <c r="Q95" s="557" t="s">
        <v>336</v>
      </c>
      <c r="R95" s="558" t="e">
        <f t="shared" ca="1" si="36"/>
        <v>#REF!</v>
      </c>
      <c r="S95" s="558" t="e">
        <f t="shared" ca="1" si="36"/>
        <v>#REF!</v>
      </c>
      <c r="T95" s="557" t="s">
        <v>336</v>
      </c>
      <c r="U95" s="558" t="e">
        <f t="shared" ca="1" si="37"/>
        <v>#REF!</v>
      </c>
      <c r="V95" s="558" t="e">
        <f t="shared" ca="1" si="37"/>
        <v>#REF!</v>
      </c>
      <c r="W95" s="557" t="s">
        <v>336</v>
      </c>
      <c r="X95" s="559" t="e">
        <f t="shared" ca="1" si="38"/>
        <v>#REF!</v>
      </c>
      <c r="Y95" s="559" t="e">
        <f t="shared" ca="1" si="38"/>
        <v>#REF!</v>
      </c>
      <c r="Z95" s="557" t="s">
        <v>336</v>
      </c>
      <c r="AA95" s="559" t="e">
        <f t="shared" ca="1" si="39"/>
        <v>#REF!</v>
      </c>
      <c r="AB95" s="559" t="e">
        <f t="shared" ca="1" si="39"/>
        <v>#REF!</v>
      </c>
      <c r="AC95" s="557" t="s">
        <v>336</v>
      </c>
      <c r="AD95" s="558" t="e">
        <f t="shared" ca="1" si="40"/>
        <v>#REF!</v>
      </c>
      <c r="AE95" s="558" t="e">
        <f t="shared" ca="1" si="40"/>
        <v>#REF!</v>
      </c>
      <c r="AF95" s="557" t="s">
        <v>336</v>
      </c>
      <c r="AG95" s="558" t="e">
        <f t="shared" ca="1" si="41"/>
        <v>#REF!</v>
      </c>
      <c r="AH95" s="558" t="e">
        <f t="shared" ca="1" si="41"/>
        <v>#REF!</v>
      </c>
      <c r="AI95" s="557" t="s">
        <v>336</v>
      </c>
      <c r="AJ95" s="507" t="e">
        <f t="shared" ca="1" si="42"/>
        <v>#REF!</v>
      </c>
      <c r="AK95" s="507" t="e">
        <f t="shared" ca="1" si="42"/>
        <v>#REF!</v>
      </c>
      <c r="AL95" s="507" t="e">
        <f t="shared" ca="1" si="43"/>
        <v>#REF!</v>
      </c>
      <c r="AM95" s="507" t="e">
        <f t="shared" ca="1" si="43"/>
        <v>#REF!</v>
      </c>
      <c r="AN95" s="507" t="e">
        <f t="shared" ca="1" si="44"/>
        <v>#REF!</v>
      </c>
      <c r="AO95" s="507" t="e">
        <f t="shared" ca="1" si="44"/>
        <v>#REF!</v>
      </c>
      <c r="AP95" s="507" t="e">
        <f t="shared" ca="1" si="45"/>
        <v>#REF!</v>
      </c>
      <c r="AQ95" s="507" t="e">
        <f t="shared" ca="1" si="45"/>
        <v>#REF!</v>
      </c>
      <c r="AR95" s="812" t="s">
        <v>141</v>
      </c>
      <c r="AS95" s="812">
        <v>2104008310</v>
      </c>
      <c r="AT95" s="507" t="e">
        <f t="shared" ca="1" si="46"/>
        <v>#REF!</v>
      </c>
      <c r="AU95" s="507" t="e">
        <f t="shared" ca="1" si="46"/>
        <v>#REF!</v>
      </c>
      <c r="AV95" s="507" t="e">
        <f t="shared" ca="1" si="47"/>
        <v>#REF!</v>
      </c>
      <c r="AW95" s="507" t="e">
        <f t="shared" ca="1" si="47"/>
        <v>#REF!</v>
      </c>
      <c r="AX95" s="507" t="e">
        <f t="shared" ca="1" si="48"/>
        <v>#REF!</v>
      </c>
      <c r="AY95" s="507" t="e">
        <f t="shared" ca="1" si="48"/>
        <v>#REF!</v>
      </c>
      <c r="AZ95" s="507" t="e">
        <f t="shared" ca="1" si="49"/>
        <v>#REF!</v>
      </c>
      <c r="BA95" s="507" t="e">
        <f t="shared" ca="1" si="49"/>
        <v>#REF!</v>
      </c>
      <c r="BB95" s="550" t="e">
        <f t="shared" ca="1" si="50"/>
        <v>#REF!</v>
      </c>
      <c r="BC95" s="550" t="e">
        <f t="shared" ca="1" si="50"/>
        <v>#REF!</v>
      </c>
      <c r="BD95" s="550" t="e">
        <f t="shared" ca="1" si="51"/>
        <v>#REF!</v>
      </c>
      <c r="BE95" s="550" t="e">
        <f t="shared" ca="1" si="51"/>
        <v>#REF!</v>
      </c>
    </row>
    <row r="96" spans="1:57" x14ac:dyDescent="0.25">
      <c r="A96" s="60">
        <f t="shared" si="29"/>
        <v>0.68</v>
      </c>
      <c r="B96" s="812"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t="e">
        <f t="shared" ca="1" si="34"/>
        <v>#REF!</v>
      </c>
      <c r="M96" s="559" t="e">
        <f t="shared" ca="1" si="34"/>
        <v>#REF!</v>
      </c>
      <c r="N96" s="557" t="s">
        <v>336</v>
      </c>
      <c r="O96" s="559" t="e">
        <f t="shared" ca="1" si="35"/>
        <v>#REF!</v>
      </c>
      <c r="P96" s="559" t="e">
        <f t="shared" ca="1" si="35"/>
        <v>#REF!</v>
      </c>
      <c r="Q96" s="557" t="s">
        <v>336</v>
      </c>
      <c r="R96" s="558" t="e">
        <f t="shared" ca="1" si="36"/>
        <v>#REF!</v>
      </c>
      <c r="S96" s="558" t="e">
        <f t="shared" ca="1" si="36"/>
        <v>#REF!</v>
      </c>
      <c r="T96" s="557" t="s">
        <v>336</v>
      </c>
      <c r="U96" s="558" t="e">
        <f t="shared" ca="1" si="37"/>
        <v>#REF!</v>
      </c>
      <c r="V96" s="558" t="e">
        <f t="shared" ca="1" si="37"/>
        <v>#REF!</v>
      </c>
      <c r="W96" s="557" t="s">
        <v>336</v>
      </c>
      <c r="X96" s="559" t="e">
        <f t="shared" ca="1" si="38"/>
        <v>#REF!</v>
      </c>
      <c r="Y96" s="559" t="e">
        <f t="shared" ca="1" si="38"/>
        <v>#REF!</v>
      </c>
      <c r="Z96" s="557" t="s">
        <v>336</v>
      </c>
      <c r="AA96" s="559" t="e">
        <f t="shared" ca="1" si="39"/>
        <v>#REF!</v>
      </c>
      <c r="AB96" s="559" t="e">
        <f t="shared" ca="1" si="39"/>
        <v>#REF!</v>
      </c>
      <c r="AC96" s="557" t="s">
        <v>336</v>
      </c>
      <c r="AD96" s="558" t="e">
        <f t="shared" ca="1" si="40"/>
        <v>#REF!</v>
      </c>
      <c r="AE96" s="558" t="e">
        <f t="shared" ca="1" si="40"/>
        <v>#REF!</v>
      </c>
      <c r="AF96" s="557" t="s">
        <v>336</v>
      </c>
      <c r="AG96" s="558" t="e">
        <f t="shared" ca="1" si="41"/>
        <v>#REF!</v>
      </c>
      <c r="AH96" s="558" t="e">
        <f t="shared" ca="1" si="41"/>
        <v>#REF!</v>
      </c>
      <c r="AI96" s="557" t="s">
        <v>336</v>
      </c>
      <c r="AJ96" s="507" t="e">
        <f t="shared" ca="1" si="42"/>
        <v>#REF!</v>
      </c>
      <c r="AK96" s="507" t="e">
        <f t="shared" ca="1" si="42"/>
        <v>#REF!</v>
      </c>
      <c r="AL96" s="507" t="e">
        <f t="shared" ca="1" si="43"/>
        <v>#REF!</v>
      </c>
      <c r="AM96" s="507" t="e">
        <f t="shared" ca="1" si="43"/>
        <v>#REF!</v>
      </c>
      <c r="AN96" s="507" t="e">
        <f t="shared" ca="1" si="44"/>
        <v>#REF!</v>
      </c>
      <c r="AO96" s="507" t="e">
        <f t="shared" ca="1" si="44"/>
        <v>#REF!</v>
      </c>
      <c r="AP96" s="507" t="e">
        <f t="shared" ca="1" si="45"/>
        <v>#REF!</v>
      </c>
      <c r="AQ96" s="507" t="e">
        <f t="shared" ca="1" si="45"/>
        <v>#REF!</v>
      </c>
      <c r="AR96" s="812" t="s">
        <v>142</v>
      </c>
      <c r="AS96" s="812">
        <v>2104008320</v>
      </c>
      <c r="AT96" s="507" t="e">
        <f t="shared" ca="1" si="46"/>
        <v>#REF!</v>
      </c>
      <c r="AU96" s="507" t="e">
        <f t="shared" ca="1" si="46"/>
        <v>#REF!</v>
      </c>
      <c r="AV96" s="507" t="e">
        <f t="shared" ca="1" si="47"/>
        <v>#REF!</v>
      </c>
      <c r="AW96" s="507" t="e">
        <f t="shared" ca="1" si="47"/>
        <v>#REF!</v>
      </c>
      <c r="AX96" s="507" t="e">
        <f t="shared" ca="1" si="48"/>
        <v>#REF!</v>
      </c>
      <c r="AY96" s="507" t="e">
        <f t="shared" ca="1" si="48"/>
        <v>#REF!</v>
      </c>
      <c r="AZ96" s="507" t="e">
        <f t="shared" ca="1" si="49"/>
        <v>#REF!</v>
      </c>
      <c r="BA96" s="507" t="e">
        <f t="shared" ca="1" si="49"/>
        <v>#REF!</v>
      </c>
      <c r="BB96" s="550" t="e">
        <f t="shared" ca="1" si="50"/>
        <v>#REF!</v>
      </c>
      <c r="BC96" s="550" t="e">
        <f t="shared" ca="1" si="50"/>
        <v>#REF!</v>
      </c>
      <c r="BD96" s="550" t="e">
        <f t="shared" ca="1" si="51"/>
        <v>#REF!</v>
      </c>
      <c r="BE96" s="550" t="e">
        <f t="shared" ca="1" si="51"/>
        <v>#REF!</v>
      </c>
    </row>
    <row r="97" spans="1:57" x14ac:dyDescent="0.25">
      <c r="A97" s="60">
        <f t="shared" si="29"/>
        <v>0.72</v>
      </c>
      <c r="B97" s="812"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t="e">
        <f t="shared" ca="1" si="34"/>
        <v>#REF!</v>
      </c>
      <c r="M97" s="559" t="e">
        <f t="shared" ca="1" si="34"/>
        <v>#REF!</v>
      </c>
      <c r="N97" s="557" t="s">
        <v>336</v>
      </c>
      <c r="O97" s="559" t="e">
        <f t="shared" ca="1" si="35"/>
        <v>#REF!</v>
      </c>
      <c r="P97" s="559" t="e">
        <f t="shared" ca="1" si="35"/>
        <v>#REF!</v>
      </c>
      <c r="Q97" s="557" t="s">
        <v>336</v>
      </c>
      <c r="R97" s="558" t="e">
        <f t="shared" ca="1" si="36"/>
        <v>#REF!</v>
      </c>
      <c r="S97" s="558" t="e">
        <f t="shared" ca="1" si="36"/>
        <v>#REF!</v>
      </c>
      <c r="T97" s="557" t="s">
        <v>336</v>
      </c>
      <c r="U97" s="558" t="e">
        <f t="shared" ca="1" si="37"/>
        <v>#REF!</v>
      </c>
      <c r="V97" s="558" t="e">
        <f t="shared" ca="1" si="37"/>
        <v>#REF!</v>
      </c>
      <c r="W97" s="557" t="s">
        <v>336</v>
      </c>
      <c r="X97" s="559" t="e">
        <f t="shared" ca="1" si="38"/>
        <v>#REF!</v>
      </c>
      <c r="Y97" s="559" t="e">
        <f t="shared" ca="1" si="38"/>
        <v>#REF!</v>
      </c>
      <c r="Z97" s="557" t="s">
        <v>336</v>
      </c>
      <c r="AA97" s="559" t="e">
        <f t="shared" ca="1" si="39"/>
        <v>#REF!</v>
      </c>
      <c r="AB97" s="559" t="e">
        <f t="shared" ca="1" si="39"/>
        <v>#REF!</v>
      </c>
      <c r="AC97" s="557" t="s">
        <v>336</v>
      </c>
      <c r="AD97" s="558" t="e">
        <f t="shared" ca="1" si="40"/>
        <v>#REF!</v>
      </c>
      <c r="AE97" s="558" t="e">
        <f t="shared" ca="1" si="40"/>
        <v>#REF!</v>
      </c>
      <c r="AF97" s="557" t="s">
        <v>336</v>
      </c>
      <c r="AG97" s="558" t="e">
        <f t="shared" ca="1" si="41"/>
        <v>#REF!</v>
      </c>
      <c r="AH97" s="558" t="e">
        <f t="shared" ca="1" si="41"/>
        <v>#REF!</v>
      </c>
      <c r="AI97" s="557" t="s">
        <v>336</v>
      </c>
      <c r="AJ97" s="507" t="e">
        <f t="shared" ca="1" si="42"/>
        <v>#REF!</v>
      </c>
      <c r="AK97" s="507" t="e">
        <f t="shared" ca="1" si="42"/>
        <v>#REF!</v>
      </c>
      <c r="AL97" s="507" t="e">
        <f t="shared" ca="1" si="43"/>
        <v>#REF!</v>
      </c>
      <c r="AM97" s="507" t="e">
        <f t="shared" ca="1" si="43"/>
        <v>#REF!</v>
      </c>
      <c r="AN97" s="507" t="e">
        <f t="shared" ca="1" si="44"/>
        <v>#REF!</v>
      </c>
      <c r="AO97" s="507" t="e">
        <f t="shared" ca="1" si="44"/>
        <v>#REF!</v>
      </c>
      <c r="AP97" s="507" t="e">
        <f t="shared" ca="1" si="45"/>
        <v>#REF!</v>
      </c>
      <c r="AQ97" s="507" t="e">
        <f t="shared" ca="1" si="45"/>
        <v>#REF!</v>
      </c>
      <c r="AR97" s="812" t="s">
        <v>143</v>
      </c>
      <c r="AS97" s="812">
        <v>2104008330</v>
      </c>
      <c r="AT97" s="507" t="e">
        <f t="shared" ca="1" si="46"/>
        <v>#REF!</v>
      </c>
      <c r="AU97" s="507" t="e">
        <f t="shared" ca="1" si="46"/>
        <v>#REF!</v>
      </c>
      <c r="AV97" s="507" t="e">
        <f t="shared" ca="1" si="47"/>
        <v>#REF!</v>
      </c>
      <c r="AW97" s="507" t="e">
        <f t="shared" ca="1" si="47"/>
        <v>#REF!</v>
      </c>
      <c r="AX97" s="507" t="e">
        <f t="shared" ca="1" si="48"/>
        <v>#REF!</v>
      </c>
      <c r="AY97" s="507" t="e">
        <f t="shared" ca="1" si="48"/>
        <v>#REF!</v>
      </c>
      <c r="AZ97" s="507" t="e">
        <f t="shared" ca="1" si="49"/>
        <v>#REF!</v>
      </c>
      <c r="BA97" s="507" t="e">
        <f t="shared" ca="1" si="49"/>
        <v>#REF!</v>
      </c>
      <c r="BB97" s="550" t="e">
        <f t="shared" ca="1" si="50"/>
        <v>#REF!</v>
      </c>
      <c r="BC97" s="550" t="e">
        <f t="shared" ca="1" si="50"/>
        <v>#REF!</v>
      </c>
      <c r="BD97" s="550" t="e">
        <f t="shared" ca="1" si="51"/>
        <v>#REF!</v>
      </c>
      <c r="BE97" s="550" t="e">
        <f t="shared" ca="1" si="51"/>
        <v>#REF!</v>
      </c>
    </row>
    <row r="98" spans="1:57" x14ac:dyDescent="0.25">
      <c r="A98" s="60">
        <f t="shared" si="29"/>
        <v>0.56000000000000005</v>
      </c>
      <c r="B98" s="812"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t="e">
        <f t="shared" ca="1" si="34"/>
        <v>#REF!</v>
      </c>
      <c r="M98" s="559" t="e">
        <f t="shared" ca="1" si="34"/>
        <v>#REF!</v>
      </c>
      <c r="N98" s="557" t="s">
        <v>336</v>
      </c>
      <c r="O98" s="559" t="e">
        <f t="shared" ca="1" si="35"/>
        <v>#REF!</v>
      </c>
      <c r="P98" s="559" t="e">
        <f t="shared" ca="1" si="35"/>
        <v>#REF!</v>
      </c>
      <c r="Q98" s="557" t="s">
        <v>336</v>
      </c>
      <c r="R98" s="558" t="e">
        <f t="shared" ca="1" si="36"/>
        <v>#REF!</v>
      </c>
      <c r="S98" s="558" t="e">
        <f t="shared" ca="1" si="36"/>
        <v>#REF!</v>
      </c>
      <c r="T98" s="557" t="s">
        <v>336</v>
      </c>
      <c r="U98" s="558" t="e">
        <f t="shared" ca="1" si="37"/>
        <v>#REF!</v>
      </c>
      <c r="V98" s="558" t="e">
        <f t="shared" ca="1" si="37"/>
        <v>#REF!</v>
      </c>
      <c r="W98" s="557" t="s">
        <v>336</v>
      </c>
      <c r="X98" s="559" t="e">
        <f t="shared" ca="1" si="38"/>
        <v>#REF!</v>
      </c>
      <c r="Y98" s="559" t="e">
        <f t="shared" ca="1" si="38"/>
        <v>#REF!</v>
      </c>
      <c r="Z98" s="557" t="s">
        <v>336</v>
      </c>
      <c r="AA98" s="559" t="e">
        <f t="shared" ca="1" si="39"/>
        <v>#REF!</v>
      </c>
      <c r="AB98" s="559" t="e">
        <f t="shared" ca="1" si="39"/>
        <v>#REF!</v>
      </c>
      <c r="AC98" s="557" t="s">
        <v>336</v>
      </c>
      <c r="AD98" s="558" t="e">
        <f t="shared" ca="1" si="40"/>
        <v>#REF!</v>
      </c>
      <c r="AE98" s="558" t="e">
        <f t="shared" ca="1" si="40"/>
        <v>#REF!</v>
      </c>
      <c r="AF98" s="557" t="s">
        <v>336</v>
      </c>
      <c r="AG98" s="558" t="e">
        <f t="shared" ca="1" si="41"/>
        <v>#REF!</v>
      </c>
      <c r="AH98" s="558" t="e">
        <f t="shared" ca="1" si="41"/>
        <v>#REF!</v>
      </c>
      <c r="AI98" s="557" t="s">
        <v>336</v>
      </c>
      <c r="AJ98" s="507" t="e">
        <f t="shared" ca="1" si="42"/>
        <v>#REF!</v>
      </c>
      <c r="AK98" s="507" t="e">
        <f t="shared" ca="1" si="42"/>
        <v>#REF!</v>
      </c>
      <c r="AL98" s="507" t="e">
        <f t="shared" ca="1" si="43"/>
        <v>#REF!</v>
      </c>
      <c r="AM98" s="507" t="e">
        <f t="shared" ca="1" si="43"/>
        <v>#REF!</v>
      </c>
      <c r="AN98" s="507" t="e">
        <f t="shared" ca="1" si="44"/>
        <v>#REF!</v>
      </c>
      <c r="AO98" s="507" t="e">
        <f t="shared" ca="1" si="44"/>
        <v>#REF!</v>
      </c>
      <c r="AP98" s="507" t="e">
        <f t="shared" ca="1" si="45"/>
        <v>#REF!</v>
      </c>
      <c r="AQ98" s="507" t="e">
        <f t="shared" ca="1" si="45"/>
        <v>#REF!</v>
      </c>
      <c r="AR98" s="812" t="s">
        <v>144</v>
      </c>
      <c r="AS98" s="812">
        <v>2104008410</v>
      </c>
      <c r="AT98" s="507" t="e">
        <f t="shared" ca="1" si="46"/>
        <v>#REF!</v>
      </c>
      <c r="AU98" s="507" t="e">
        <f t="shared" ca="1" si="46"/>
        <v>#REF!</v>
      </c>
      <c r="AV98" s="507" t="e">
        <f t="shared" ca="1" si="47"/>
        <v>#REF!</v>
      </c>
      <c r="AW98" s="507" t="e">
        <f t="shared" ca="1" si="47"/>
        <v>#REF!</v>
      </c>
      <c r="AX98" s="507" t="e">
        <f t="shared" ca="1" si="48"/>
        <v>#REF!</v>
      </c>
      <c r="AY98" s="507" t="e">
        <f t="shared" ca="1" si="48"/>
        <v>#REF!</v>
      </c>
      <c r="AZ98" s="507" t="e">
        <f t="shared" ca="1" si="49"/>
        <v>#REF!</v>
      </c>
      <c r="BA98" s="507" t="e">
        <f t="shared" ca="1" si="49"/>
        <v>#REF!</v>
      </c>
      <c r="BB98" s="550" t="e">
        <f t="shared" ca="1" si="50"/>
        <v>#REF!</v>
      </c>
      <c r="BC98" s="550" t="e">
        <f t="shared" ca="1" si="50"/>
        <v>#REF!</v>
      </c>
      <c r="BD98" s="550" t="e">
        <f t="shared" ca="1" si="51"/>
        <v>#REF!</v>
      </c>
      <c r="BE98" s="550" t="e">
        <f t="shared" ca="1" si="51"/>
        <v>#REF!</v>
      </c>
    </row>
    <row r="99" spans="1:57" x14ac:dyDescent="0.25">
      <c r="A99" s="60">
        <f t="shared" si="29"/>
        <v>0.78</v>
      </c>
      <c r="B99" s="812"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t="e">
        <f t="shared" ca="1" si="34"/>
        <v>#REF!</v>
      </c>
      <c r="M99" s="559" t="e">
        <f t="shared" ca="1" si="34"/>
        <v>#REF!</v>
      </c>
      <c r="N99" s="557" t="s">
        <v>336</v>
      </c>
      <c r="O99" s="559" t="e">
        <f t="shared" ca="1" si="35"/>
        <v>#REF!</v>
      </c>
      <c r="P99" s="559" t="e">
        <f t="shared" ca="1" si="35"/>
        <v>#REF!</v>
      </c>
      <c r="Q99" s="557" t="s">
        <v>336</v>
      </c>
      <c r="R99" s="558" t="e">
        <f t="shared" ca="1" si="36"/>
        <v>#REF!</v>
      </c>
      <c r="S99" s="558" t="e">
        <f t="shared" ca="1" si="36"/>
        <v>#REF!</v>
      </c>
      <c r="T99" s="557" t="s">
        <v>336</v>
      </c>
      <c r="U99" s="558" t="e">
        <f t="shared" ca="1" si="37"/>
        <v>#REF!</v>
      </c>
      <c r="V99" s="558" t="e">
        <f t="shared" ca="1" si="37"/>
        <v>#REF!</v>
      </c>
      <c r="W99" s="557" t="s">
        <v>336</v>
      </c>
      <c r="X99" s="559" t="e">
        <f t="shared" ca="1" si="38"/>
        <v>#REF!</v>
      </c>
      <c r="Y99" s="559" t="e">
        <f t="shared" ca="1" si="38"/>
        <v>#REF!</v>
      </c>
      <c r="Z99" s="557" t="s">
        <v>336</v>
      </c>
      <c r="AA99" s="559" t="e">
        <f t="shared" ca="1" si="39"/>
        <v>#REF!</v>
      </c>
      <c r="AB99" s="559" t="e">
        <f t="shared" ca="1" si="39"/>
        <v>#REF!</v>
      </c>
      <c r="AC99" s="557" t="s">
        <v>336</v>
      </c>
      <c r="AD99" s="558" t="e">
        <f t="shared" ca="1" si="40"/>
        <v>#REF!</v>
      </c>
      <c r="AE99" s="558" t="e">
        <f t="shared" ca="1" si="40"/>
        <v>#REF!</v>
      </c>
      <c r="AF99" s="557" t="s">
        <v>336</v>
      </c>
      <c r="AG99" s="558" t="e">
        <f t="shared" ca="1" si="41"/>
        <v>#REF!</v>
      </c>
      <c r="AH99" s="558" t="e">
        <f t="shared" ca="1" si="41"/>
        <v>#REF!</v>
      </c>
      <c r="AI99" s="557" t="s">
        <v>336</v>
      </c>
      <c r="AJ99" s="507" t="e">
        <f t="shared" ca="1" si="42"/>
        <v>#REF!</v>
      </c>
      <c r="AK99" s="507" t="e">
        <f t="shared" ca="1" si="42"/>
        <v>#REF!</v>
      </c>
      <c r="AL99" s="507" t="e">
        <f t="shared" ca="1" si="43"/>
        <v>#REF!</v>
      </c>
      <c r="AM99" s="507" t="e">
        <f t="shared" ca="1" si="43"/>
        <v>#REF!</v>
      </c>
      <c r="AN99" s="507" t="e">
        <f t="shared" ca="1" si="44"/>
        <v>#REF!</v>
      </c>
      <c r="AO99" s="507" t="e">
        <f t="shared" ca="1" si="44"/>
        <v>#REF!</v>
      </c>
      <c r="AP99" s="507" t="e">
        <f t="shared" ca="1" si="45"/>
        <v>#REF!</v>
      </c>
      <c r="AQ99" s="507" t="e">
        <f t="shared" ca="1" si="45"/>
        <v>#REF!</v>
      </c>
      <c r="AR99" s="812" t="s">
        <v>145</v>
      </c>
      <c r="AS99" s="812">
        <v>2104008420</v>
      </c>
      <c r="AT99" s="507" t="e">
        <f t="shared" ca="1" si="46"/>
        <v>#REF!</v>
      </c>
      <c r="AU99" s="507" t="e">
        <f t="shared" ca="1" si="46"/>
        <v>#REF!</v>
      </c>
      <c r="AV99" s="507" t="e">
        <f t="shared" ca="1" si="47"/>
        <v>#REF!</v>
      </c>
      <c r="AW99" s="507" t="e">
        <f t="shared" ca="1" si="47"/>
        <v>#REF!</v>
      </c>
      <c r="AX99" s="507" t="e">
        <f t="shared" ca="1" si="48"/>
        <v>#REF!</v>
      </c>
      <c r="AY99" s="507" t="e">
        <f t="shared" ca="1" si="48"/>
        <v>#REF!</v>
      </c>
      <c r="AZ99" s="507" t="e">
        <f t="shared" ca="1" si="49"/>
        <v>#REF!</v>
      </c>
      <c r="BA99" s="507" t="e">
        <f t="shared" ca="1" si="49"/>
        <v>#REF!</v>
      </c>
      <c r="BB99" s="550" t="e">
        <f t="shared" ca="1" si="50"/>
        <v>#REF!</v>
      </c>
      <c r="BC99" s="550" t="e">
        <f t="shared" ca="1" si="50"/>
        <v>#REF!</v>
      </c>
      <c r="BD99" s="550" t="e">
        <f t="shared" ca="1" si="51"/>
        <v>#REF!</v>
      </c>
      <c r="BE99" s="550" t="e">
        <f t="shared" ca="1" si="51"/>
        <v>#REF!</v>
      </c>
    </row>
    <row r="100" spans="1:57" x14ac:dyDescent="0.25">
      <c r="A100" s="60">
        <f t="shared" si="29"/>
        <v>0.43</v>
      </c>
      <c r="B100" s="812"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t="e">
        <f t="shared" ca="1" si="34"/>
        <v>#REF!</v>
      </c>
      <c r="M100" s="559" t="e">
        <f t="shared" ca="1" si="34"/>
        <v>#REF!</v>
      </c>
      <c r="N100" s="557" t="s">
        <v>336</v>
      </c>
      <c r="O100" s="559" t="e">
        <f t="shared" ca="1" si="35"/>
        <v>#REF!</v>
      </c>
      <c r="P100" s="559" t="e">
        <f t="shared" ca="1" si="35"/>
        <v>#REF!</v>
      </c>
      <c r="Q100" s="557" t="s">
        <v>336</v>
      </c>
      <c r="R100" s="558" t="e">
        <f t="shared" ca="1" si="36"/>
        <v>#REF!</v>
      </c>
      <c r="S100" s="558" t="e">
        <f t="shared" ca="1" si="36"/>
        <v>#REF!</v>
      </c>
      <c r="T100" s="557" t="s">
        <v>336</v>
      </c>
      <c r="U100" s="558" t="e">
        <f t="shared" ca="1" si="37"/>
        <v>#REF!</v>
      </c>
      <c r="V100" s="558" t="e">
        <f t="shared" ca="1" si="37"/>
        <v>#REF!</v>
      </c>
      <c r="W100" s="557" t="s">
        <v>336</v>
      </c>
      <c r="X100" s="559" t="e">
        <f t="shared" ca="1" si="38"/>
        <v>#REF!</v>
      </c>
      <c r="Y100" s="559" t="e">
        <f t="shared" ca="1" si="38"/>
        <v>#REF!</v>
      </c>
      <c r="Z100" s="557" t="s">
        <v>336</v>
      </c>
      <c r="AA100" s="559" t="e">
        <f t="shared" ca="1" si="39"/>
        <v>#REF!</v>
      </c>
      <c r="AB100" s="559" t="e">
        <f t="shared" ca="1" si="39"/>
        <v>#REF!</v>
      </c>
      <c r="AC100" s="557" t="s">
        <v>336</v>
      </c>
      <c r="AD100" s="558" t="e">
        <f t="shared" ca="1" si="40"/>
        <v>#REF!</v>
      </c>
      <c r="AE100" s="558" t="e">
        <f t="shared" ca="1" si="40"/>
        <v>#REF!</v>
      </c>
      <c r="AF100" s="557" t="s">
        <v>336</v>
      </c>
      <c r="AG100" s="558" t="e">
        <f t="shared" ca="1" si="41"/>
        <v>#REF!</v>
      </c>
      <c r="AH100" s="558" t="e">
        <f t="shared" ca="1" si="41"/>
        <v>#REF!</v>
      </c>
      <c r="AI100" s="557" t="s">
        <v>336</v>
      </c>
      <c r="AJ100" s="507" t="e">
        <f t="shared" ca="1" si="42"/>
        <v>#REF!</v>
      </c>
      <c r="AK100" s="507" t="e">
        <f t="shared" ca="1" si="42"/>
        <v>#REF!</v>
      </c>
      <c r="AL100" s="507" t="e">
        <f t="shared" ca="1" si="43"/>
        <v>#REF!</v>
      </c>
      <c r="AM100" s="507" t="e">
        <f t="shared" ca="1" si="43"/>
        <v>#REF!</v>
      </c>
      <c r="AN100" s="507" t="e">
        <f t="shared" ca="1" si="44"/>
        <v>#REF!</v>
      </c>
      <c r="AO100" s="507" t="e">
        <f t="shared" ca="1" si="44"/>
        <v>#REF!</v>
      </c>
      <c r="AP100" s="507" t="e">
        <f t="shared" ca="1" si="45"/>
        <v>#REF!</v>
      </c>
      <c r="AQ100" s="507" t="e">
        <f t="shared" ca="1" si="45"/>
        <v>#REF!</v>
      </c>
      <c r="AR100" s="812" t="s">
        <v>146</v>
      </c>
      <c r="AS100" s="812">
        <v>2104008610</v>
      </c>
      <c r="AT100" s="507" t="e">
        <f t="shared" ca="1" si="46"/>
        <v>#REF!</v>
      </c>
      <c r="AU100" s="507" t="e">
        <f t="shared" ca="1" si="46"/>
        <v>#REF!</v>
      </c>
      <c r="AV100" s="507" t="e">
        <f t="shared" ca="1" si="47"/>
        <v>#REF!</v>
      </c>
      <c r="AW100" s="507" t="e">
        <f t="shared" ca="1" si="47"/>
        <v>#REF!</v>
      </c>
      <c r="AX100" s="507" t="e">
        <f t="shared" ca="1" si="48"/>
        <v>#REF!</v>
      </c>
      <c r="AY100" s="507" t="e">
        <f t="shared" ca="1" si="48"/>
        <v>#REF!</v>
      </c>
      <c r="AZ100" s="507" t="e">
        <f t="shared" ca="1" si="49"/>
        <v>#REF!</v>
      </c>
      <c r="BA100" s="507" t="e">
        <f t="shared" ca="1" si="49"/>
        <v>#REF!</v>
      </c>
      <c r="BB100" s="550" t="e">
        <f t="shared" ca="1" si="50"/>
        <v>#REF!</v>
      </c>
      <c r="BC100" s="550" t="e">
        <f t="shared" ca="1" si="50"/>
        <v>#REF!</v>
      </c>
      <c r="BD100" s="550" t="e">
        <f t="shared" ca="1" si="51"/>
        <v>#REF!</v>
      </c>
      <c r="BE100" s="550" t="e">
        <f t="shared" ca="1" si="51"/>
        <v>#REF!</v>
      </c>
    </row>
    <row r="101" spans="1:57" x14ac:dyDescent="0.25">
      <c r="A101" s="60">
        <f t="shared" si="29"/>
        <v>0.81</v>
      </c>
      <c r="B101" s="812" t="s">
        <v>568</v>
      </c>
      <c r="C101" s="554"/>
      <c r="D101" s="556">
        <v>1</v>
      </c>
      <c r="E101" s="556">
        <v>1</v>
      </c>
      <c r="F101" s="264"/>
      <c r="G101" s="556">
        <f t="shared" si="31"/>
        <v>1</v>
      </c>
      <c r="H101" s="556">
        <f t="shared" si="31"/>
        <v>1</v>
      </c>
      <c r="I101" s="264"/>
      <c r="J101" s="555">
        <f t="shared" si="32"/>
        <v>1</v>
      </c>
      <c r="K101" s="70">
        <f t="shared" si="33"/>
        <v>1</v>
      </c>
      <c r="L101" s="133" t="e">
        <f t="shared" ref="L101:M110" ca="1" si="52">(1-D101)*D50</f>
        <v>#REF!</v>
      </c>
      <c r="M101" s="133" t="e">
        <f t="shared" ca="1" si="52"/>
        <v>#REF!</v>
      </c>
      <c r="N101" s="551" t="s">
        <v>336</v>
      </c>
      <c r="O101" s="133" t="e">
        <f t="shared" ref="O101:P110" ca="1" si="53">(1-G101)*G70</f>
        <v>#REF!</v>
      </c>
      <c r="P101" s="133" t="e">
        <f t="shared" ca="1" si="53"/>
        <v>#REF!</v>
      </c>
      <c r="Q101" s="551" t="s">
        <v>336</v>
      </c>
      <c r="R101" s="58" t="e">
        <f t="shared" ref="R101:S110" ca="1" si="54">(1-D101)*D50/$J101</f>
        <v>#REF!</v>
      </c>
      <c r="S101" s="58" t="e">
        <f t="shared" ca="1" si="54"/>
        <v>#REF!</v>
      </c>
      <c r="T101" s="551" t="s">
        <v>336</v>
      </c>
      <c r="U101" s="58" t="e">
        <f t="shared" ref="U101:V110" ca="1" si="55">(1-G101)*G70/$J101</f>
        <v>#REF!</v>
      </c>
      <c r="V101" s="58" t="e">
        <f t="shared" ca="1" si="55"/>
        <v>#REF!</v>
      </c>
      <c r="W101" s="551" t="s">
        <v>336</v>
      </c>
      <c r="X101" s="133" t="e">
        <f t="shared" ref="X101:Y110" ca="1" si="56">(1-D101)*K50</f>
        <v>#REF!</v>
      </c>
      <c r="Y101" s="133" t="e">
        <f t="shared" ca="1" si="56"/>
        <v>#REF!</v>
      </c>
      <c r="Z101" s="551" t="s">
        <v>336</v>
      </c>
      <c r="AA101" s="133" t="e">
        <f t="shared" ref="AA101:AB110" ca="1" si="57">(1-G101)*N70</f>
        <v>#REF!</v>
      </c>
      <c r="AB101" s="133" t="e">
        <f t="shared" ca="1" si="57"/>
        <v>#REF!</v>
      </c>
      <c r="AC101" s="551" t="s">
        <v>336</v>
      </c>
      <c r="AD101" s="58" t="e">
        <f t="shared" ca="1" si="40"/>
        <v>#REF!</v>
      </c>
      <c r="AE101" s="58" t="e">
        <f t="shared" ca="1" si="40"/>
        <v>#REF!</v>
      </c>
      <c r="AF101" s="551" t="s">
        <v>336</v>
      </c>
      <c r="AG101" s="58" t="e">
        <f t="shared" ref="AG101:AH110" ca="1" si="58">(1-G101)*N70/$K101</f>
        <v>#REF!</v>
      </c>
      <c r="AH101" s="58" t="e">
        <f t="shared" ca="1" si="58"/>
        <v>#REF!</v>
      </c>
      <c r="AI101" s="551" t="s">
        <v>336</v>
      </c>
      <c r="AJ101" s="507" t="e">
        <f t="shared" ca="1" si="42"/>
        <v>#REF!</v>
      </c>
      <c r="AK101" s="507" t="e">
        <f t="shared" ca="1" si="42"/>
        <v>#REF!</v>
      </c>
      <c r="AL101" s="507" t="e">
        <f t="shared" ca="1" si="43"/>
        <v>#REF!</v>
      </c>
      <c r="AM101" s="507" t="e">
        <f t="shared" ca="1" si="43"/>
        <v>#REF!</v>
      </c>
      <c r="AN101" s="507" t="e">
        <f t="shared" ca="1" si="44"/>
        <v>#REF!</v>
      </c>
      <c r="AO101" s="507" t="e">
        <f t="shared" ca="1" si="44"/>
        <v>#REF!</v>
      </c>
      <c r="AP101" s="507" t="e">
        <f t="shared" ca="1" si="45"/>
        <v>#REF!</v>
      </c>
      <c r="AQ101" s="507" t="e">
        <f t="shared" ca="1" si="45"/>
        <v>#REF!</v>
      </c>
      <c r="AR101" s="812" t="s">
        <v>783</v>
      </c>
      <c r="AS101" s="812">
        <v>2104004000</v>
      </c>
      <c r="AT101" s="507" t="e">
        <f ca="1">(AJ101+AJ103)/($C50+$C52)</f>
        <v>#REF!</v>
      </c>
      <c r="AU101" s="507" t="e">
        <f ca="1">(AK101+AK103)/($C50+$C52)</f>
        <v>#REF!</v>
      </c>
      <c r="AV101" s="507" t="e">
        <f ca="1">(AL101+AL103)/($C70+$C72)</f>
        <v>#REF!</v>
      </c>
      <c r="AW101" s="507" t="e">
        <f ca="1">(AM101+AM103)/($C70+$C72)</f>
        <v>#REF!</v>
      </c>
      <c r="AX101" s="507" t="e">
        <f ca="1">(AN101+AN103)/($J50+$J52)</f>
        <v>#REF!</v>
      </c>
      <c r="AY101" s="507" t="e">
        <f ca="1">(AO101+AO103)/($J50+$J52)</f>
        <v>#REF!</v>
      </c>
      <c r="AZ101" s="507" t="e">
        <f ca="1">(AP101+AP103)/($J70+$J72)</f>
        <v>#REF!</v>
      </c>
      <c r="BA101" s="507" t="e">
        <f ca="1">(AQ101+AQ103)/($J70+$J72)</f>
        <v>#REF!</v>
      </c>
      <c r="BB101" s="550" t="e">
        <f t="shared" ca="1" si="50"/>
        <v>#REF!</v>
      </c>
      <c r="BC101" s="550" t="e">
        <f t="shared" ca="1" si="50"/>
        <v>#REF!</v>
      </c>
      <c r="BD101" s="550" t="e">
        <f t="shared" ca="1" si="51"/>
        <v>#REF!</v>
      </c>
      <c r="BE101" s="550" t="e">
        <f t="shared" ca="1" si="51"/>
        <v>#REF!</v>
      </c>
    </row>
    <row r="102" spans="1:57" x14ac:dyDescent="0.25">
      <c r="A102" s="60">
        <f t="shared" si="29"/>
        <v>0.81</v>
      </c>
      <c r="B102" s="812" t="s">
        <v>148</v>
      </c>
      <c r="C102" s="554"/>
      <c r="D102" s="556">
        <v>1</v>
      </c>
      <c r="E102" s="556">
        <v>1</v>
      </c>
      <c r="F102" s="264"/>
      <c r="G102" s="556">
        <f t="shared" si="31"/>
        <v>1</v>
      </c>
      <c r="H102" s="556">
        <f t="shared" si="31"/>
        <v>1</v>
      </c>
      <c r="I102" s="264"/>
      <c r="J102" s="555">
        <f t="shared" si="32"/>
        <v>0.96903004309982488</v>
      </c>
      <c r="K102" s="70">
        <f t="shared" si="33"/>
        <v>0.42657657353703521</v>
      </c>
      <c r="L102" s="133" t="e">
        <f t="shared" ca="1" si="52"/>
        <v>#REF!</v>
      </c>
      <c r="M102" s="133" t="e">
        <f t="shared" ca="1" si="52"/>
        <v>#REF!</v>
      </c>
      <c r="N102" s="551" t="s">
        <v>336</v>
      </c>
      <c r="O102" s="133" t="e">
        <f t="shared" ca="1" si="53"/>
        <v>#REF!</v>
      </c>
      <c r="P102" s="133" t="e">
        <f t="shared" ca="1" si="53"/>
        <v>#REF!</v>
      </c>
      <c r="Q102" s="551" t="s">
        <v>336</v>
      </c>
      <c r="R102" s="58" t="e">
        <f t="shared" ca="1" si="54"/>
        <v>#REF!</v>
      </c>
      <c r="S102" s="58" t="e">
        <f t="shared" ca="1" si="54"/>
        <v>#REF!</v>
      </c>
      <c r="T102" s="551" t="s">
        <v>336</v>
      </c>
      <c r="U102" s="58" t="e">
        <f t="shared" ca="1" si="55"/>
        <v>#REF!</v>
      </c>
      <c r="V102" s="58" t="e">
        <f t="shared" ca="1" si="55"/>
        <v>#REF!</v>
      </c>
      <c r="W102" s="551" t="s">
        <v>336</v>
      </c>
      <c r="X102" s="133" t="e">
        <f t="shared" ca="1" si="56"/>
        <v>#REF!</v>
      </c>
      <c r="Y102" s="133" t="e">
        <f t="shared" ca="1" si="56"/>
        <v>#REF!</v>
      </c>
      <c r="Z102" s="551" t="s">
        <v>336</v>
      </c>
      <c r="AA102" s="133" t="e">
        <f t="shared" ca="1" si="57"/>
        <v>#REF!</v>
      </c>
      <c r="AB102" s="133" t="e">
        <f t="shared" ca="1" si="57"/>
        <v>#REF!</v>
      </c>
      <c r="AC102" s="551" t="s">
        <v>336</v>
      </c>
      <c r="AD102" s="58" t="e">
        <f t="shared" ca="1" si="40"/>
        <v>#REF!</v>
      </c>
      <c r="AE102" s="58" t="e">
        <f t="shared" ca="1" si="40"/>
        <v>#REF!</v>
      </c>
      <c r="AF102" s="551" t="s">
        <v>336</v>
      </c>
      <c r="AG102" s="58" t="e">
        <f t="shared" ca="1" si="58"/>
        <v>#REF!</v>
      </c>
      <c r="AH102" s="58" t="e">
        <f t="shared" ca="1" si="58"/>
        <v>#REF!</v>
      </c>
      <c r="AI102" s="551" t="s">
        <v>336</v>
      </c>
      <c r="AJ102" s="507" t="e">
        <f t="shared" ca="1" si="42"/>
        <v>#REF!</v>
      </c>
      <c r="AK102" s="507" t="e">
        <f t="shared" ca="1" si="42"/>
        <v>#REF!</v>
      </c>
      <c r="AL102" s="507" t="e">
        <f t="shared" ca="1" si="43"/>
        <v>#REF!</v>
      </c>
      <c r="AM102" s="507" t="e">
        <f t="shared" ca="1" si="43"/>
        <v>#REF!</v>
      </c>
      <c r="AN102" s="507" t="e">
        <f t="shared" ca="1" si="44"/>
        <v>#REF!</v>
      </c>
      <c r="AO102" s="507" t="e">
        <f t="shared" ca="1" si="44"/>
        <v>#REF!</v>
      </c>
      <c r="AP102" s="507" t="e">
        <f t="shared" ca="1" si="45"/>
        <v>#REF!</v>
      </c>
      <c r="AQ102" s="507" t="e">
        <f t="shared" ca="1" si="45"/>
        <v>#REF!</v>
      </c>
      <c r="AR102" s="812" t="s">
        <v>148</v>
      </c>
      <c r="AS102" s="812">
        <v>2103004001</v>
      </c>
      <c r="AT102" s="507" t="e">
        <f ca="1">AJ102/$C51</f>
        <v>#REF!</v>
      </c>
      <c r="AU102" s="507" t="e">
        <f ca="1">AK102/$C51</f>
        <v>#REF!</v>
      </c>
      <c r="AV102" s="507" t="e">
        <f ca="1">AL102/$C71</f>
        <v>#REF!</v>
      </c>
      <c r="AW102" s="507" t="e">
        <f ca="1">AM102/$C71</f>
        <v>#REF!</v>
      </c>
      <c r="AX102" s="507" t="e">
        <f ca="1">AN102/$J51</f>
        <v>#REF!</v>
      </c>
      <c r="AY102" s="507" t="e">
        <f ca="1">AO102/$J51</f>
        <v>#REF!</v>
      </c>
      <c r="AZ102" s="507" t="e">
        <f ca="1">AP102/$J71</f>
        <v>#REF!</v>
      </c>
      <c r="BA102" s="507" t="e">
        <f ca="1">AQ102/$J71</f>
        <v>#REF!</v>
      </c>
      <c r="BB102" s="550" t="e">
        <f t="shared" ca="1" si="50"/>
        <v>#REF!</v>
      </c>
      <c r="BC102" s="550" t="e">
        <f t="shared" ca="1" si="50"/>
        <v>#REF!</v>
      </c>
      <c r="BD102" s="550" t="e">
        <f t="shared" ca="1" si="51"/>
        <v>#REF!</v>
      </c>
      <c r="BE102" s="550" t="e">
        <f t="shared" ca="1" si="51"/>
        <v>#REF!</v>
      </c>
    </row>
    <row r="103" spans="1:57" x14ac:dyDescent="0.25">
      <c r="A103" s="60">
        <f t="shared" si="29"/>
        <v>0.81</v>
      </c>
      <c r="B103" s="812" t="s">
        <v>746</v>
      </c>
      <c r="C103" s="554"/>
      <c r="D103" s="556">
        <v>1</v>
      </c>
      <c r="E103" s="556">
        <v>1</v>
      </c>
      <c r="F103" s="264"/>
      <c r="G103" s="556">
        <f t="shared" si="31"/>
        <v>1</v>
      </c>
      <c r="H103" s="556">
        <f t="shared" si="31"/>
        <v>1</v>
      </c>
      <c r="I103" s="264"/>
      <c r="J103" s="555">
        <f t="shared" si="32"/>
        <v>0.85824076980877695</v>
      </c>
      <c r="K103" s="70">
        <f t="shared" si="33"/>
        <v>0.97967561567448258</v>
      </c>
      <c r="L103" s="133" t="e">
        <f t="shared" ca="1" si="52"/>
        <v>#REF!</v>
      </c>
      <c r="M103" s="133" t="e">
        <f t="shared" ca="1" si="52"/>
        <v>#REF!</v>
      </c>
      <c r="N103" s="551" t="s">
        <v>336</v>
      </c>
      <c r="O103" s="133" t="e">
        <f t="shared" ca="1" si="53"/>
        <v>#REF!</v>
      </c>
      <c r="P103" s="133" t="e">
        <f t="shared" ca="1" si="53"/>
        <v>#REF!</v>
      </c>
      <c r="Q103" s="551" t="s">
        <v>336</v>
      </c>
      <c r="R103" s="58" t="e">
        <f t="shared" ca="1" si="54"/>
        <v>#REF!</v>
      </c>
      <c r="S103" s="58" t="e">
        <f t="shared" ca="1" si="54"/>
        <v>#REF!</v>
      </c>
      <c r="T103" s="551" t="s">
        <v>336</v>
      </c>
      <c r="U103" s="58" t="e">
        <f t="shared" ca="1" si="55"/>
        <v>#REF!</v>
      </c>
      <c r="V103" s="58" t="e">
        <f t="shared" ca="1" si="55"/>
        <v>#REF!</v>
      </c>
      <c r="W103" s="551" t="s">
        <v>336</v>
      </c>
      <c r="X103" s="133" t="e">
        <f t="shared" ca="1" si="56"/>
        <v>#REF!</v>
      </c>
      <c r="Y103" s="133" t="e">
        <f t="shared" ca="1" si="56"/>
        <v>#REF!</v>
      </c>
      <c r="Z103" s="551" t="s">
        <v>336</v>
      </c>
      <c r="AA103" s="133" t="e">
        <f t="shared" ca="1" si="57"/>
        <v>#REF!</v>
      </c>
      <c r="AB103" s="133" t="e">
        <f t="shared" ca="1" si="57"/>
        <v>#REF!</v>
      </c>
      <c r="AC103" s="551" t="s">
        <v>336</v>
      </c>
      <c r="AD103" s="58" t="e">
        <f t="shared" ca="1" si="40"/>
        <v>#REF!</v>
      </c>
      <c r="AE103" s="58" t="e">
        <f t="shared" ca="1" si="40"/>
        <v>#REF!</v>
      </c>
      <c r="AF103" s="551" t="s">
        <v>336</v>
      </c>
      <c r="AG103" s="58" t="e">
        <f t="shared" ca="1" si="58"/>
        <v>#REF!</v>
      </c>
      <c r="AH103" s="58" t="e">
        <f t="shared" ca="1" si="58"/>
        <v>#REF!</v>
      </c>
      <c r="AI103" s="551" t="s">
        <v>336</v>
      </c>
      <c r="AJ103" s="507" t="e">
        <f t="shared" ca="1" si="42"/>
        <v>#REF!</v>
      </c>
      <c r="AK103" s="507" t="e">
        <f t="shared" ca="1" si="42"/>
        <v>#REF!</v>
      </c>
      <c r="AL103" s="507" t="e">
        <f t="shared" ca="1" si="43"/>
        <v>#REF!</v>
      </c>
      <c r="AM103" s="507" t="e">
        <f t="shared" ca="1" si="43"/>
        <v>#REF!</v>
      </c>
      <c r="AN103" s="507" t="e">
        <f t="shared" ca="1" si="44"/>
        <v>#REF!</v>
      </c>
      <c r="AO103" s="507" t="e">
        <f t="shared" ca="1" si="44"/>
        <v>#REF!</v>
      </c>
      <c r="AP103" s="507" t="e">
        <f t="shared" ca="1" si="45"/>
        <v>#REF!</v>
      </c>
      <c r="AQ103" s="507" t="e">
        <f t="shared" ca="1" si="45"/>
        <v>#REF!</v>
      </c>
      <c r="AR103" s="812" t="s">
        <v>747</v>
      </c>
      <c r="AS103" s="812">
        <v>2104007000</v>
      </c>
      <c r="AT103" s="507" t="e">
        <f t="shared" ref="AT103:AU109" ca="1" si="59">AJ104/$C53</f>
        <v>#REF!</v>
      </c>
      <c r="AU103" s="507" t="e">
        <f t="shared" ca="1" si="59"/>
        <v>#REF!</v>
      </c>
      <c r="AV103" s="507" t="e">
        <f t="shared" ref="AV103:AW109" ca="1" si="60">AL104/$C73</f>
        <v>#REF!</v>
      </c>
      <c r="AW103" s="507" t="e">
        <f t="shared" ca="1" si="60"/>
        <v>#REF!</v>
      </c>
      <c r="AX103" s="507" t="e">
        <f t="shared" ref="AX103:AY109" ca="1" si="61">AN104/$J53</f>
        <v>#REF!</v>
      </c>
      <c r="AY103" s="507" t="e">
        <f t="shared" ca="1" si="61"/>
        <v>#REF!</v>
      </c>
      <c r="AZ103" s="507" t="e">
        <f t="shared" ref="AZ103:BA109" ca="1" si="62">AP104/$J73</f>
        <v>#REF!</v>
      </c>
      <c r="BA103" s="507" t="e">
        <f t="shared" ca="1" si="62"/>
        <v>#REF!</v>
      </c>
      <c r="BB103" s="550" t="e">
        <f t="shared" ca="1" si="50"/>
        <v>#REF!</v>
      </c>
      <c r="BC103" s="550" t="e">
        <f t="shared" ca="1" si="50"/>
        <v>#REF!</v>
      </c>
      <c r="BD103" s="550" t="e">
        <f t="shared" ca="1" si="51"/>
        <v>#REF!</v>
      </c>
      <c r="BE103" s="550" t="e">
        <f t="shared" ca="1" si="51"/>
        <v>#REF!</v>
      </c>
    </row>
    <row r="104" spans="1:57" x14ac:dyDescent="0.25">
      <c r="A104" s="60">
        <f t="shared" si="29"/>
        <v>0.81</v>
      </c>
      <c r="B104" s="812" t="s">
        <v>747</v>
      </c>
      <c r="C104" s="554"/>
      <c r="D104" s="556">
        <v>1</v>
      </c>
      <c r="E104" s="556">
        <v>1</v>
      </c>
      <c r="F104" s="264"/>
      <c r="G104" s="556">
        <f t="shared" si="31"/>
        <v>1</v>
      </c>
      <c r="H104" s="556">
        <f t="shared" si="31"/>
        <v>1</v>
      </c>
      <c r="I104" s="264"/>
      <c r="J104" s="555">
        <f t="shared" si="32"/>
        <v>1.0736852877546061</v>
      </c>
      <c r="K104" s="70">
        <f t="shared" si="33"/>
        <v>1.0736852877546061</v>
      </c>
      <c r="L104" s="133" t="e">
        <f t="shared" ca="1" si="52"/>
        <v>#REF!</v>
      </c>
      <c r="M104" s="133" t="e">
        <f t="shared" ca="1" si="52"/>
        <v>#REF!</v>
      </c>
      <c r="N104" s="551" t="s">
        <v>336</v>
      </c>
      <c r="O104" s="133" t="e">
        <f t="shared" ca="1" si="53"/>
        <v>#REF!</v>
      </c>
      <c r="P104" s="133" t="e">
        <f t="shared" ca="1" si="53"/>
        <v>#REF!</v>
      </c>
      <c r="Q104" s="551" t="s">
        <v>336</v>
      </c>
      <c r="R104" s="58" t="e">
        <f t="shared" ca="1" si="54"/>
        <v>#REF!</v>
      </c>
      <c r="S104" s="58" t="e">
        <f t="shared" ca="1" si="54"/>
        <v>#REF!</v>
      </c>
      <c r="T104" s="551" t="s">
        <v>336</v>
      </c>
      <c r="U104" s="58" t="e">
        <f t="shared" ca="1" si="55"/>
        <v>#REF!</v>
      </c>
      <c r="V104" s="58" t="e">
        <f t="shared" ca="1" si="55"/>
        <v>#REF!</v>
      </c>
      <c r="W104" s="551" t="s">
        <v>336</v>
      </c>
      <c r="X104" s="133" t="e">
        <f t="shared" ca="1" si="56"/>
        <v>#REF!</v>
      </c>
      <c r="Y104" s="133" t="e">
        <f t="shared" ca="1" si="56"/>
        <v>#REF!</v>
      </c>
      <c r="Z104" s="551" t="s">
        <v>336</v>
      </c>
      <c r="AA104" s="133" t="e">
        <f t="shared" ca="1" si="57"/>
        <v>#REF!</v>
      </c>
      <c r="AB104" s="133" t="e">
        <f t="shared" ca="1" si="57"/>
        <v>#REF!</v>
      </c>
      <c r="AC104" s="551" t="s">
        <v>336</v>
      </c>
      <c r="AD104" s="58" t="e">
        <f t="shared" ca="1" si="40"/>
        <v>#REF!</v>
      </c>
      <c r="AE104" s="58" t="e">
        <f t="shared" ca="1" si="40"/>
        <v>#REF!</v>
      </c>
      <c r="AF104" s="551" t="s">
        <v>336</v>
      </c>
      <c r="AG104" s="58" t="e">
        <f t="shared" ca="1" si="58"/>
        <v>#REF!</v>
      </c>
      <c r="AH104" s="58" t="e">
        <f t="shared" ca="1" si="58"/>
        <v>#REF!</v>
      </c>
      <c r="AI104" s="551" t="s">
        <v>336</v>
      </c>
      <c r="AJ104" s="507" t="e">
        <f t="shared" ca="1" si="42"/>
        <v>#REF!</v>
      </c>
      <c r="AK104" s="507" t="e">
        <f t="shared" ca="1" si="42"/>
        <v>#REF!</v>
      </c>
      <c r="AL104" s="507" t="e">
        <f t="shared" ca="1" si="43"/>
        <v>#REF!</v>
      </c>
      <c r="AM104" s="507" t="e">
        <f t="shared" ca="1" si="43"/>
        <v>#REF!</v>
      </c>
      <c r="AN104" s="507" t="e">
        <f t="shared" ca="1" si="44"/>
        <v>#REF!</v>
      </c>
      <c r="AO104" s="507" t="e">
        <f t="shared" ca="1" si="44"/>
        <v>#REF!</v>
      </c>
      <c r="AP104" s="507" t="e">
        <f t="shared" ca="1" si="45"/>
        <v>#REF!</v>
      </c>
      <c r="AQ104" s="507" t="e">
        <f t="shared" ca="1" si="45"/>
        <v>#REF!</v>
      </c>
      <c r="AR104" s="812" t="s">
        <v>149</v>
      </c>
      <c r="AS104" s="812">
        <v>2104006010</v>
      </c>
      <c r="AT104" s="507" t="e">
        <f t="shared" ca="1" si="59"/>
        <v>#REF!</v>
      </c>
      <c r="AU104" s="507" t="e">
        <f t="shared" ca="1" si="59"/>
        <v>#REF!</v>
      </c>
      <c r="AV104" s="507" t="e">
        <f t="shared" ca="1" si="60"/>
        <v>#REF!</v>
      </c>
      <c r="AW104" s="507" t="e">
        <f t="shared" ca="1" si="60"/>
        <v>#REF!</v>
      </c>
      <c r="AX104" s="507" t="e">
        <f t="shared" ca="1" si="61"/>
        <v>#REF!</v>
      </c>
      <c r="AY104" s="507" t="e">
        <f t="shared" ca="1" si="61"/>
        <v>#REF!</v>
      </c>
      <c r="AZ104" s="507" t="e">
        <f t="shared" ca="1" si="62"/>
        <v>#REF!</v>
      </c>
      <c r="BA104" s="507" t="e">
        <f t="shared" ca="1" si="62"/>
        <v>#REF!</v>
      </c>
      <c r="BB104" s="550" t="e">
        <f t="shared" ca="1" si="50"/>
        <v>#REF!</v>
      </c>
      <c r="BC104" s="550" t="e">
        <f t="shared" ca="1" si="50"/>
        <v>#REF!</v>
      </c>
      <c r="BD104" s="550" t="e">
        <f t="shared" ca="1" si="51"/>
        <v>#REF!</v>
      </c>
      <c r="BE104" s="550" t="e">
        <f t="shared" ca="1" si="51"/>
        <v>#REF!</v>
      </c>
    </row>
    <row r="105" spans="1:57" x14ac:dyDescent="0.25">
      <c r="A105" s="60">
        <f t="shared" si="29"/>
        <v>0.81</v>
      </c>
      <c r="B105" s="812" t="s">
        <v>149</v>
      </c>
      <c r="C105" s="554"/>
      <c r="D105" s="556">
        <v>1</v>
      </c>
      <c r="E105" s="556">
        <v>1</v>
      </c>
      <c r="F105" s="264"/>
      <c r="G105" s="556">
        <f t="shared" si="31"/>
        <v>1</v>
      </c>
      <c r="H105" s="556">
        <f t="shared" si="31"/>
        <v>1</v>
      </c>
      <c r="I105" s="264"/>
      <c r="J105" s="555">
        <f t="shared" si="32"/>
        <v>1.4344112699714315E-2</v>
      </c>
      <c r="K105" s="70">
        <f t="shared" si="33"/>
        <v>2.7449575269448915E-3</v>
      </c>
      <c r="L105" s="133" t="e">
        <f t="shared" ca="1" si="52"/>
        <v>#REF!</v>
      </c>
      <c r="M105" s="133" t="e">
        <f t="shared" ca="1" si="52"/>
        <v>#REF!</v>
      </c>
      <c r="N105" s="551" t="s">
        <v>336</v>
      </c>
      <c r="O105" s="133" t="e">
        <f t="shared" ca="1" si="53"/>
        <v>#REF!</v>
      </c>
      <c r="P105" s="133" t="e">
        <f t="shared" ca="1" si="53"/>
        <v>#REF!</v>
      </c>
      <c r="Q105" s="551" t="s">
        <v>336</v>
      </c>
      <c r="R105" s="58" t="e">
        <f t="shared" ca="1" si="54"/>
        <v>#REF!</v>
      </c>
      <c r="S105" s="58" t="e">
        <f t="shared" ca="1" si="54"/>
        <v>#REF!</v>
      </c>
      <c r="T105" s="551" t="s">
        <v>336</v>
      </c>
      <c r="U105" s="58" t="e">
        <f t="shared" ca="1" si="55"/>
        <v>#REF!</v>
      </c>
      <c r="V105" s="58" t="e">
        <f t="shared" ca="1" si="55"/>
        <v>#REF!</v>
      </c>
      <c r="W105" s="551" t="s">
        <v>336</v>
      </c>
      <c r="X105" s="133" t="e">
        <f t="shared" ca="1" si="56"/>
        <v>#REF!</v>
      </c>
      <c r="Y105" s="133" t="e">
        <f t="shared" ca="1" si="56"/>
        <v>#REF!</v>
      </c>
      <c r="Z105" s="551" t="s">
        <v>336</v>
      </c>
      <c r="AA105" s="133" t="e">
        <f t="shared" ca="1" si="57"/>
        <v>#REF!</v>
      </c>
      <c r="AB105" s="133" t="e">
        <f t="shared" ca="1" si="57"/>
        <v>#REF!</v>
      </c>
      <c r="AC105" s="551" t="s">
        <v>336</v>
      </c>
      <c r="AD105" s="58" t="e">
        <f t="shared" ca="1" si="40"/>
        <v>#REF!</v>
      </c>
      <c r="AE105" s="58" t="e">
        <f t="shared" ca="1" si="40"/>
        <v>#REF!</v>
      </c>
      <c r="AF105" s="551" t="s">
        <v>336</v>
      </c>
      <c r="AG105" s="58" t="e">
        <f t="shared" ca="1" si="58"/>
        <v>#REF!</v>
      </c>
      <c r="AH105" s="58" t="e">
        <f t="shared" ca="1" si="58"/>
        <v>#REF!</v>
      </c>
      <c r="AI105" s="551" t="s">
        <v>336</v>
      </c>
      <c r="AJ105" s="507" t="e">
        <f t="shared" ca="1" si="42"/>
        <v>#REF!</v>
      </c>
      <c r="AK105" s="507" t="e">
        <f t="shared" ca="1" si="42"/>
        <v>#REF!</v>
      </c>
      <c r="AL105" s="507" t="e">
        <f t="shared" ca="1" si="43"/>
        <v>#REF!</v>
      </c>
      <c r="AM105" s="507" t="e">
        <f t="shared" ca="1" si="43"/>
        <v>#REF!</v>
      </c>
      <c r="AN105" s="507" t="e">
        <f t="shared" ca="1" si="44"/>
        <v>#REF!</v>
      </c>
      <c r="AO105" s="507" t="e">
        <f t="shared" ca="1" si="44"/>
        <v>#REF!</v>
      </c>
      <c r="AP105" s="507" t="e">
        <f t="shared" ca="1" si="45"/>
        <v>#REF!</v>
      </c>
      <c r="AQ105" s="507" t="e">
        <f t="shared" ca="1" si="45"/>
        <v>#REF!</v>
      </c>
      <c r="AR105" s="812" t="s">
        <v>150</v>
      </c>
      <c r="AS105" s="812">
        <v>2103006000</v>
      </c>
      <c r="AT105" s="507" t="e">
        <f t="shared" ca="1" si="59"/>
        <v>#REF!</v>
      </c>
      <c r="AU105" s="507" t="e">
        <f t="shared" ca="1" si="59"/>
        <v>#REF!</v>
      </c>
      <c r="AV105" s="507" t="e">
        <f t="shared" ca="1" si="60"/>
        <v>#REF!</v>
      </c>
      <c r="AW105" s="507" t="e">
        <f t="shared" ca="1" si="60"/>
        <v>#REF!</v>
      </c>
      <c r="AX105" s="507" t="e">
        <f t="shared" ca="1" si="61"/>
        <v>#REF!</v>
      </c>
      <c r="AY105" s="507" t="e">
        <f t="shared" ca="1" si="61"/>
        <v>#REF!</v>
      </c>
      <c r="AZ105" s="507" t="e">
        <f t="shared" ca="1" si="62"/>
        <v>#REF!</v>
      </c>
      <c r="BA105" s="507" t="e">
        <f t="shared" ca="1" si="62"/>
        <v>#REF!</v>
      </c>
      <c r="BB105" s="550" t="e">
        <f t="shared" ca="1" si="50"/>
        <v>#REF!</v>
      </c>
      <c r="BC105" s="550" t="e">
        <f t="shared" ca="1" si="50"/>
        <v>#REF!</v>
      </c>
      <c r="BD105" s="550" t="e">
        <f t="shared" ca="1" si="51"/>
        <v>#REF!</v>
      </c>
      <c r="BE105" s="550" t="e">
        <f t="shared" ca="1" si="51"/>
        <v>#REF!</v>
      </c>
    </row>
    <row r="106" spans="1:57" x14ac:dyDescent="0.25">
      <c r="A106" s="60">
        <f t="shared" si="29"/>
        <v>0.81</v>
      </c>
      <c r="B106" s="812" t="s">
        <v>150</v>
      </c>
      <c r="C106" s="554"/>
      <c r="D106" s="556">
        <v>1</v>
      </c>
      <c r="E106" s="556">
        <v>1</v>
      </c>
      <c r="F106" s="264"/>
      <c r="G106" s="556">
        <f t="shared" si="31"/>
        <v>1</v>
      </c>
      <c r="H106" s="556">
        <f t="shared" si="31"/>
        <v>1</v>
      </c>
      <c r="I106" s="264"/>
      <c r="J106" s="555">
        <f t="shared" si="32"/>
        <v>2.200905606836566</v>
      </c>
      <c r="K106" s="70">
        <f t="shared" si="33"/>
        <v>2.7449575269448915E-3</v>
      </c>
      <c r="L106" s="133" t="e">
        <f t="shared" ca="1" si="52"/>
        <v>#REF!</v>
      </c>
      <c r="M106" s="133" t="e">
        <f t="shared" ca="1" si="52"/>
        <v>#REF!</v>
      </c>
      <c r="N106" s="551" t="s">
        <v>336</v>
      </c>
      <c r="O106" s="133" t="e">
        <f t="shared" ca="1" si="53"/>
        <v>#REF!</v>
      </c>
      <c r="P106" s="133" t="e">
        <f t="shared" ca="1" si="53"/>
        <v>#REF!</v>
      </c>
      <c r="Q106" s="551" t="s">
        <v>336</v>
      </c>
      <c r="R106" s="58" t="e">
        <f t="shared" ca="1" si="54"/>
        <v>#REF!</v>
      </c>
      <c r="S106" s="58" t="e">
        <f t="shared" ca="1" si="54"/>
        <v>#REF!</v>
      </c>
      <c r="T106" s="551" t="s">
        <v>336</v>
      </c>
      <c r="U106" s="58" t="e">
        <f t="shared" ca="1" si="55"/>
        <v>#REF!</v>
      </c>
      <c r="V106" s="58" t="e">
        <f t="shared" ca="1" si="55"/>
        <v>#REF!</v>
      </c>
      <c r="W106" s="551" t="s">
        <v>336</v>
      </c>
      <c r="X106" s="133" t="e">
        <f t="shared" ca="1" si="56"/>
        <v>#REF!</v>
      </c>
      <c r="Y106" s="133" t="e">
        <f t="shared" ca="1" si="56"/>
        <v>#REF!</v>
      </c>
      <c r="Z106" s="551" t="s">
        <v>336</v>
      </c>
      <c r="AA106" s="133" t="e">
        <f t="shared" ca="1" si="57"/>
        <v>#REF!</v>
      </c>
      <c r="AB106" s="133" t="e">
        <f t="shared" ca="1" si="57"/>
        <v>#REF!</v>
      </c>
      <c r="AC106" s="551" t="s">
        <v>336</v>
      </c>
      <c r="AD106" s="58" t="e">
        <f t="shared" ca="1" si="40"/>
        <v>#REF!</v>
      </c>
      <c r="AE106" s="58" t="e">
        <f t="shared" ca="1" si="40"/>
        <v>#REF!</v>
      </c>
      <c r="AF106" s="551" t="s">
        <v>336</v>
      </c>
      <c r="AG106" s="58" t="e">
        <f t="shared" ca="1" si="58"/>
        <v>#REF!</v>
      </c>
      <c r="AH106" s="58" t="e">
        <f t="shared" ca="1" si="58"/>
        <v>#REF!</v>
      </c>
      <c r="AI106" s="551" t="s">
        <v>336</v>
      </c>
      <c r="AJ106" s="507" t="e">
        <f t="shared" ca="1" si="42"/>
        <v>#REF!</v>
      </c>
      <c r="AK106" s="507" t="e">
        <f t="shared" ca="1" si="42"/>
        <v>#REF!</v>
      </c>
      <c r="AL106" s="507" t="e">
        <f t="shared" ca="1" si="43"/>
        <v>#REF!</v>
      </c>
      <c r="AM106" s="507" t="e">
        <f t="shared" ca="1" si="43"/>
        <v>#REF!</v>
      </c>
      <c r="AN106" s="507" t="e">
        <f t="shared" ca="1" si="44"/>
        <v>#REF!</v>
      </c>
      <c r="AO106" s="507" t="e">
        <f t="shared" ca="1" si="44"/>
        <v>#REF!</v>
      </c>
      <c r="AP106" s="507" t="e">
        <f t="shared" ca="1" si="45"/>
        <v>#REF!</v>
      </c>
      <c r="AQ106" s="507" t="e">
        <f t="shared" ca="1" si="45"/>
        <v>#REF!</v>
      </c>
      <c r="AR106" s="812" t="s">
        <v>151</v>
      </c>
      <c r="AS106" s="812">
        <v>2104002000</v>
      </c>
      <c r="AT106" s="507" t="e">
        <f t="shared" ca="1" si="59"/>
        <v>#REF!</v>
      </c>
      <c r="AU106" s="507" t="e">
        <f t="shared" ca="1" si="59"/>
        <v>#REF!</v>
      </c>
      <c r="AV106" s="507" t="e">
        <f t="shared" ca="1" si="60"/>
        <v>#REF!</v>
      </c>
      <c r="AW106" s="507" t="e">
        <f t="shared" ca="1" si="60"/>
        <v>#REF!</v>
      </c>
      <c r="AX106" s="507" t="e">
        <f t="shared" ca="1" si="61"/>
        <v>#REF!</v>
      </c>
      <c r="AY106" s="507" t="e">
        <f t="shared" ca="1" si="61"/>
        <v>#REF!</v>
      </c>
      <c r="AZ106" s="507" t="e">
        <f t="shared" ca="1" si="62"/>
        <v>#REF!</v>
      </c>
      <c r="BA106" s="507" t="e">
        <f t="shared" ca="1" si="62"/>
        <v>#REF!</v>
      </c>
      <c r="BB106" s="550" t="e">
        <f t="shared" ca="1" si="50"/>
        <v>#REF!</v>
      </c>
      <c r="BC106" s="550" t="e">
        <f t="shared" ca="1" si="50"/>
        <v>#REF!</v>
      </c>
      <c r="BD106" s="550" t="e">
        <f t="shared" ca="1" si="51"/>
        <v>#REF!</v>
      </c>
      <c r="BE106" s="550" t="e">
        <f t="shared" ca="1" si="51"/>
        <v>#REF!</v>
      </c>
    </row>
    <row r="107" spans="1:57" x14ac:dyDescent="0.25">
      <c r="A107" s="60">
        <f t="shared" si="29"/>
        <v>0.43</v>
      </c>
      <c r="B107" s="812"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t="e">
        <f t="shared" ca="1" si="52"/>
        <v>#REF!</v>
      </c>
      <c r="M107" s="133" t="e">
        <f t="shared" ca="1" si="52"/>
        <v>#REF!</v>
      </c>
      <c r="N107" s="551" t="s">
        <v>336</v>
      </c>
      <c r="O107" s="133" t="e">
        <f t="shared" ca="1" si="53"/>
        <v>#REF!</v>
      </c>
      <c r="P107" s="133" t="e">
        <f t="shared" ca="1" si="53"/>
        <v>#REF!</v>
      </c>
      <c r="Q107" s="551" t="s">
        <v>336</v>
      </c>
      <c r="R107" s="58" t="e">
        <f t="shared" ca="1" si="54"/>
        <v>#REF!</v>
      </c>
      <c r="S107" s="58" t="e">
        <f t="shared" ca="1" si="54"/>
        <v>#REF!</v>
      </c>
      <c r="T107" s="551" t="s">
        <v>336</v>
      </c>
      <c r="U107" s="58" t="e">
        <f t="shared" ca="1" si="55"/>
        <v>#REF!</v>
      </c>
      <c r="V107" s="58" t="e">
        <f t="shared" ca="1" si="55"/>
        <v>#REF!</v>
      </c>
      <c r="W107" s="551" t="s">
        <v>336</v>
      </c>
      <c r="X107" s="133" t="e">
        <f t="shared" ca="1" si="56"/>
        <v>#REF!</v>
      </c>
      <c r="Y107" s="133" t="e">
        <f t="shared" ca="1" si="56"/>
        <v>#REF!</v>
      </c>
      <c r="Z107" s="551" t="s">
        <v>336</v>
      </c>
      <c r="AA107" s="133" t="e">
        <f t="shared" ca="1" si="57"/>
        <v>#REF!</v>
      </c>
      <c r="AB107" s="133" t="e">
        <f t="shared" ca="1" si="57"/>
        <v>#REF!</v>
      </c>
      <c r="AC107" s="551" t="s">
        <v>336</v>
      </c>
      <c r="AD107" s="58" t="e">
        <f t="shared" ca="1" si="40"/>
        <v>#REF!</v>
      </c>
      <c r="AE107" s="58" t="e">
        <f t="shared" ca="1" si="40"/>
        <v>#REF!</v>
      </c>
      <c r="AF107" s="551" t="s">
        <v>336</v>
      </c>
      <c r="AG107" s="58" t="e">
        <f t="shared" ca="1" si="58"/>
        <v>#REF!</v>
      </c>
      <c r="AH107" s="58" t="e">
        <f t="shared" ca="1" si="58"/>
        <v>#REF!</v>
      </c>
      <c r="AI107" s="551" t="s">
        <v>336</v>
      </c>
      <c r="AJ107" s="507" t="e">
        <f t="shared" ca="1" si="42"/>
        <v>#REF!</v>
      </c>
      <c r="AK107" s="507" t="e">
        <f t="shared" ca="1" si="42"/>
        <v>#REF!</v>
      </c>
      <c r="AL107" s="507" t="e">
        <f t="shared" ca="1" si="43"/>
        <v>#REF!</v>
      </c>
      <c r="AM107" s="507" t="e">
        <f t="shared" ca="1" si="43"/>
        <v>#REF!</v>
      </c>
      <c r="AN107" s="507" t="e">
        <f t="shared" ca="1" si="44"/>
        <v>#REF!</v>
      </c>
      <c r="AO107" s="507" t="e">
        <f t="shared" ca="1" si="44"/>
        <v>#REF!</v>
      </c>
      <c r="AP107" s="507" t="e">
        <f t="shared" ca="1" si="45"/>
        <v>#REF!</v>
      </c>
      <c r="AQ107" s="507" t="e">
        <f t="shared" ca="1" si="45"/>
        <v>#REF!</v>
      </c>
      <c r="AR107" s="812" t="s">
        <v>152</v>
      </c>
      <c r="AS107" s="812">
        <v>2103002000</v>
      </c>
      <c r="AT107" s="507" t="e">
        <f t="shared" ca="1" si="59"/>
        <v>#REF!</v>
      </c>
      <c r="AU107" s="507" t="e">
        <f t="shared" ca="1" si="59"/>
        <v>#REF!</v>
      </c>
      <c r="AV107" s="507" t="e">
        <f t="shared" ca="1" si="60"/>
        <v>#REF!</v>
      </c>
      <c r="AW107" s="507" t="e">
        <f t="shared" ca="1" si="60"/>
        <v>#REF!</v>
      </c>
      <c r="AX107" s="507" t="e">
        <f t="shared" ca="1" si="61"/>
        <v>#REF!</v>
      </c>
      <c r="AY107" s="507" t="e">
        <f t="shared" ca="1" si="61"/>
        <v>#REF!</v>
      </c>
      <c r="AZ107" s="507" t="e">
        <f t="shared" ca="1" si="62"/>
        <v>#REF!</v>
      </c>
      <c r="BA107" s="507" t="e">
        <f t="shared" ca="1" si="62"/>
        <v>#REF!</v>
      </c>
      <c r="BB107" s="550" t="e">
        <f t="shared" ca="1" si="50"/>
        <v>#REF!</v>
      </c>
      <c r="BC107" s="550" t="e">
        <f t="shared" ca="1" si="50"/>
        <v>#REF!</v>
      </c>
      <c r="BD107" s="550" t="e">
        <f t="shared" ca="1" si="51"/>
        <v>#REF!</v>
      </c>
      <c r="BE107" s="550" t="e">
        <f t="shared" ca="1" si="51"/>
        <v>#REF!</v>
      </c>
    </row>
    <row r="108" spans="1:57" x14ac:dyDescent="0.25">
      <c r="A108" s="60">
        <f>A107</f>
        <v>0.43</v>
      </c>
      <c r="B108" s="812"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t="e">
        <f t="shared" ca="1" si="52"/>
        <v>#REF!</v>
      </c>
      <c r="M108" s="133" t="e">
        <f t="shared" ca="1" si="52"/>
        <v>#REF!</v>
      </c>
      <c r="N108" s="551" t="s">
        <v>336</v>
      </c>
      <c r="O108" s="133" t="e">
        <f t="shared" ca="1" si="53"/>
        <v>#REF!</v>
      </c>
      <c r="P108" s="133" t="e">
        <f t="shared" ca="1" si="53"/>
        <v>#REF!</v>
      </c>
      <c r="Q108" s="551" t="s">
        <v>336</v>
      </c>
      <c r="R108" s="58" t="e">
        <f t="shared" ca="1" si="54"/>
        <v>#REF!</v>
      </c>
      <c r="S108" s="58" t="e">
        <f t="shared" ca="1" si="54"/>
        <v>#REF!</v>
      </c>
      <c r="T108" s="551" t="s">
        <v>336</v>
      </c>
      <c r="U108" s="58" t="e">
        <f t="shared" ca="1" si="55"/>
        <v>#REF!</v>
      </c>
      <c r="V108" s="58" t="e">
        <f t="shared" ca="1" si="55"/>
        <v>#REF!</v>
      </c>
      <c r="W108" s="551" t="s">
        <v>336</v>
      </c>
      <c r="X108" s="133" t="e">
        <f t="shared" ca="1" si="56"/>
        <v>#REF!</v>
      </c>
      <c r="Y108" s="133" t="e">
        <f t="shared" ca="1" si="56"/>
        <v>#REF!</v>
      </c>
      <c r="Z108" s="551" t="s">
        <v>336</v>
      </c>
      <c r="AA108" s="133" t="e">
        <f t="shared" ca="1" si="57"/>
        <v>#REF!</v>
      </c>
      <c r="AB108" s="133" t="e">
        <f t="shared" ca="1" si="57"/>
        <v>#REF!</v>
      </c>
      <c r="AC108" s="551" t="s">
        <v>336</v>
      </c>
      <c r="AD108" s="58" t="e">
        <f t="shared" ca="1" si="40"/>
        <v>#REF!</v>
      </c>
      <c r="AE108" s="58" t="e">
        <f t="shared" ca="1" si="40"/>
        <v>#REF!</v>
      </c>
      <c r="AF108" s="551" t="s">
        <v>336</v>
      </c>
      <c r="AG108" s="58" t="e">
        <f t="shared" ca="1" si="58"/>
        <v>#REF!</v>
      </c>
      <c r="AH108" s="58" t="e">
        <f t="shared" ca="1" si="58"/>
        <v>#REF!</v>
      </c>
      <c r="AI108" s="551" t="s">
        <v>336</v>
      </c>
      <c r="AJ108" s="507" t="e">
        <f t="shared" ca="1" si="42"/>
        <v>#REF!</v>
      </c>
      <c r="AK108" s="507" t="e">
        <f t="shared" ca="1" si="42"/>
        <v>#REF!</v>
      </c>
      <c r="AL108" s="507" t="e">
        <f t="shared" ca="1" si="43"/>
        <v>#REF!</v>
      </c>
      <c r="AM108" s="507" t="e">
        <f t="shared" ca="1" si="43"/>
        <v>#REF!</v>
      </c>
      <c r="AN108" s="507" t="e">
        <f t="shared" ca="1" si="44"/>
        <v>#REF!</v>
      </c>
      <c r="AO108" s="507" t="e">
        <f t="shared" ca="1" si="44"/>
        <v>#REF!</v>
      </c>
      <c r="AP108" s="507" t="e">
        <f t="shared" ca="1" si="45"/>
        <v>#REF!</v>
      </c>
      <c r="AQ108" s="507" t="e">
        <f t="shared" ca="1" si="45"/>
        <v>#REF!</v>
      </c>
      <c r="AR108" s="812" t="s">
        <v>153</v>
      </c>
      <c r="AS108" s="812">
        <v>2103008000</v>
      </c>
      <c r="AT108" s="507" t="e">
        <f t="shared" ca="1" si="59"/>
        <v>#REF!</v>
      </c>
      <c r="AU108" s="507" t="e">
        <f t="shared" ca="1" si="59"/>
        <v>#REF!</v>
      </c>
      <c r="AV108" s="507" t="e">
        <f t="shared" ca="1" si="60"/>
        <v>#REF!</v>
      </c>
      <c r="AW108" s="507" t="e">
        <f t="shared" ca="1" si="60"/>
        <v>#REF!</v>
      </c>
      <c r="AX108" s="507" t="e">
        <f t="shared" ca="1" si="61"/>
        <v>#REF!</v>
      </c>
      <c r="AY108" s="507" t="e">
        <f t="shared" ca="1" si="61"/>
        <v>#REF!</v>
      </c>
      <c r="AZ108" s="507" t="e">
        <f t="shared" ca="1" si="62"/>
        <v>#REF!</v>
      </c>
      <c r="BA108" s="507" t="e">
        <f t="shared" ca="1" si="62"/>
        <v>#REF!</v>
      </c>
      <c r="BB108" s="550" t="e">
        <f t="shared" ca="1" si="50"/>
        <v>#REF!</v>
      </c>
      <c r="BC108" s="550" t="e">
        <f t="shared" ca="1" si="50"/>
        <v>#REF!</v>
      </c>
      <c r="BD108" s="550" t="e">
        <f t="shared" ca="1" si="51"/>
        <v>#REF!</v>
      </c>
      <c r="BE108" s="550" t="e">
        <f t="shared" ca="1" si="51"/>
        <v>#REF!</v>
      </c>
    </row>
    <row r="109" spans="1:57" x14ac:dyDescent="0.25">
      <c r="A109" s="112">
        <v>0.6</v>
      </c>
      <c r="B109" s="812"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t="e">
        <f t="shared" ca="1" si="52"/>
        <v>#REF!</v>
      </c>
      <c r="M109" s="133" t="e">
        <f t="shared" ca="1" si="52"/>
        <v>#REF!</v>
      </c>
      <c r="N109" s="551" t="s">
        <v>336</v>
      </c>
      <c r="O109" s="133" t="e">
        <f t="shared" ca="1" si="53"/>
        <v>#REF!</v>
      </c>
      <c r="P109" s="133" t="e">
        <f t="shared" ca="1" si="53"/>
        <v>#REF!</v>
      </c>
      <c r="Q109" s="551" t="s">
        <v>336</v>
      </c>
      <c r="R109" s="58" t="e">
        <f t="shared" ca="1" si="54"/>
        <v>#REF!</v>
      </c>
      <c r="S109" s="58" t="e">
        <f t="shared" ca="1" si="54"/>
        <v>#REF!</v>
      </c>
      <c r="T109" s="551" t="s">
        <v>336</v>
      </c>
      <c r="U109" s="58" t="e">
        <f t="shared" ca="1" si="55"/>
        <v>#REF!</v>
      </c>
      <c r="V109" s="58" t="e">
        <f t="shared" ca="1" si="55"/>
        <v>#REF!</v>
      </c>
      <c r="W109" s="551" t="s">
        <v>336</v>
      </c>
      <c r="X109" s="133" t="e">
        <f t="shared" ca="1" si="56"/>
        <v>#REF!</v>
      </c>
      <c r="Y109" s="133" t="e">
        <f t="shared" ca="1" si="56"/>
        <v>#REF!</v>
      </c>
      <c r="Z109" s="551" t="s">
        <v>336</v>
      </c>
      <c r="AA109" s="133" t="e">
        <f t="shared" ca="1" si="57"/>
        <v>#REF!</v>
      </c>
      <c r="AB109" s="133" t="e">
        <f t="shared" ca="1" si="57"/>
        <v>#REF!</v>
      </c>
      <c r="AC109" s="551" t="s">
        <v>336</v>
      </c>
      <c r="AD109" s="58" t="e">
        <f t="shared" ca="1" si="40"/>
        <v>#REF!</v>
      </c>
      <c r="AE109" s="58" t="e">
        <f t="shared" ca="1" si="40"/>
        <v>#REF!</v>
      </c>
      <c r="AF109" s="551" t="s">
        <v>336</v>
      </c>
      <c r="AG109" s="58" t="e">
        <f t="shared" ca="1" si="58"/>
        <v>#REF!</v>
      </c>
      <c r="AH109" s="58" t="e">
        <f t="shared" ca="1" si="58"/>
        <v>#REF!</v>
      </c>
      <c r="AI109" s="551" t="s">
        <v>336</v>
      </c>
      <c r="AJ109" s="507" t="e">
        <f t="shared" ca="1" si="42"/>
        <v>#REF!</v>
      </c>
      <c r="AK109" s="507" t="e">
        <f t="shared" ca="1" si="42"/>
        <v>#REF!</v>
      </c>
      <c r="AL109" s="507" t="e">
        <f t="shared" ca="1" si="43"/>
        <v>#REF!</v>
      </c>
      <c r="AM109" s="507" t="e">
        <f t="shared" ca="1" si="43"/>
        <v>#REF!</v>
      </c>
      <c r="AN109" s="507" t="e">
        <f t="shared" ca="1" si="44"/>
        <v>#REF!</v>
      </c>
      <c r="AO109" s="507" t="e">
        <f t="shared" ca="1" si="44"/>
        <v>#REF!</v>
      </c>
      <c r="AP109" s="507" t="e">
        <f t="shared" ca="1" si="45"/>
        <v>#REF!</v>
      </c>
      <c r="AQ109" s="507" t="e">
        <f t="shared" ca="1" si="45"/>
        <v>#REF!</v>
      </c>
      <c r="AR109" s="6" t="s">
        <v>154</v>
      </c>
      <c r="AS109" s="6">
        <v>2102012000</v>
      </c>
      <c r="AT109" s="541" t="e">
        <f t="shared" ca="1" si="59"/>
        <v>#REF!</v>
      </c>
      <c r="AU109" s="541" t="e">
        <f t="shared" ca="1" si="59"/>
        <v>#REF!</v>
      </c>
      <c r="AV109" s="541" t="e">
        <f t="shared" ca="1" si="60"/>
        <v>#REF!</v>
      </c>
      <c r="AW109" s="541" t="e">
        <f t="shared" ca="1" si="60"/>
        <v>#REF!</v>
      </c>
      <c r="AX109" s="541" t="e">
        <f t="shared" ca="1" si="61"/>
        <v>#REF!</v>
      </c>
      <c r="AY109" s="541" t="e">
        <f t="shared" ca="1" si="61"/>
        <v>#REF!</v>
      </c>
      <c r="AZ109" s="541" t="e">
        <f t="shared" ca="1" si="62"/>
        <v>#REF!</v>
      </c>
      <c r="BA109" s="541" t="e">
        <f t="shared" ca="1" si="62"/>
        <v>#REF!</v>
      </c>
      <c r="BB109" s="550" t="e">
        <f t="shared" ca="1" si="50"/>
        <v>#REF!</v>
      </c>
      <c r="BC109" s="550" t="e">
        <f t="shared" ca="1" si="50"/>
        <v>#REF!</v>
      </c>
      <c r="BD109" s="550" t="e">
        <f t="shared" ca="1" si="51"/>
        <v>#REF!</v>
      </c>
      <c r="BE109" s="550" t="e">
        <f t="shared" ca="1" si="51"/>
        <v>#REF!</v>
      </c>
    </row>
    <row r="110" spans="1:57" x14ac:dyDescent="0.25">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t="e">
        <f t="shared" ca="1" si="52"/>
        <v>#REF!</v>
      </c>
      <c r="M110" s="544" t="e">
        <f t="shared" ca="1" si="52"/>
        <v>#REF!</v>
      </c>
      <c r="N110" s="542" t="s">
        <v>336</v>
      </c>
      <c r="O110" s="544" t="e">
        <f t="shared" ca="1" si="53"/>
        <v>#REF!</v>
      </c>
      <c r="P110" s="544" t="e">
        <f t="shared" ca="1" si="53"/>
        <v>#REF!</v>
      </c>
      <c r="Q110" s="542" t="s">
        <v>336</v>
      </c>
      <c r="R110" s="543" t="e">
        <f t="shared" ca="1" si="54"/>
        <v>#REF!</v>
      </c>
      <c r="S110" s="543" t="e">
        <f t="shared" ca="1" si="54"/>
        <v>#REF!</v>
      </c>
      <c r="T110" s="542" t="s">
        <v>336</v>
      </c>
      <c r="U110" s="543" t="e">
        <f t="shared" ca="1" si="55"/>
        <v>#REF!</v>
      </c>
      <c r="V110" s="543" t="e">
        <f t="shared" ca="1" si="55"/>
        <v>#REF!</v>
      </c>
      <c r="W110" s="542" t="s">
        <v>336</v>
      </c>
      <c r="X110" s="544" t="e">
        <f t="shared" ca="1" si="56"/>
        <v>#REF!</v>
      </c>
      <c r="Y110" s="544" t="e">
        <f t="shared" ca="1" si="56"/>
        <v>#REF!</v>
      </c>
      <c r="Z110" s="542" t="s">
        <v>336</v>
      </c>
      <c r="AA110" s="544" t="e">
        <f t="shared" ca="1" si="57"/>
        <v>#REF!</v>
      </c>
      <c r="AB110" s="544" t="e">
        <f t="shared" ca="1" si="57"/>
        <v>#REF!</v>
      </c>
      <c r="AC110" s="542" t="s">
        <v>336</v>
      </c>
      <c r="AD110" s="543" t="e">
        <f t="shared" ca="1" si="40"/>
        <v>#REF!</v>
      </c>
      <c r="AE110" s="543" t="e">
        <f t="shared" ca="1" si="40"/>
        <v>#REF!</v>
      </c>
      <c r="AF110" s="542" t="s">
        <v>336</v>
      </c>
      <c r="AG110" s="543" t="e">
        <f t="shared" ca="1" si="58"/>
        <v>#REF!</v>
      </c>
      <c r="AH110" s="543" t="e">
        <f t="shared" ca="1" si="58"/>
        <v>#REF!</v>
      </c>
      <c r="AI110" s="542" t="s">
        <v>336</v>
      </c>
      <c r="AJ110" s="541" t="e">
        <f t="shared" ca="1" si="42"/>
        <v>#REF!</v>
      </c>
      <c r="AK110" s="541" t="e">
        <f t="shared" ca="1" si="42"/>
        <v>#REF!</v>
      </c>
      <c r="AL110" s="541" t="e">
        <f t="shared" ca="1" si="43"/>
        <v>#REF!</v>
      </c>
      <c r="AM110" s="541" t="e">
        <f t="shared" ca="1" si="43"/>
        <v>#REF!</v>
      </c>
      <c r="AN110" s="541" t="e">
        <f t="shared" ca="1" si="44"/>
        <v>#REF!</v>
      </c>
      <c r="AO110" s="541" t="e">
        <f t="shared" ca="1" si="44"/>
        <v>#REF!</v>
      </c>
      <c r="AP110" s="541" t="e">
        <f t="shared" ca="1" si="45"/>
        <v>#REF!</v>
      </c>
      <c r="AQ110" s="541" t="e">
        <f t="shared" ca="1" si="45"/>
        <v>#REF!</v>
      </c>
      <c r="AR110" s="810"/>
      <c r="AS110" s="810" t="s">
        <v>249</v>
      </c>
      <c r="AT110" s="506" t="e">
        <f ca="1">AJ111/SUM($C40:$C59)</f>
        <v>#REF!</v>
      </c>
      <c r="AU110" s="506" t="e">
        <f ca="1">AK111/SUM($C40:$C59)</f>
        <v>#REF!</v>
      </c>
      <c r="AV110" s="506" t="e">
        <f ca="1">AL111/SUM($C60:$C79)</f>
        <v>#REF!</v>
      </c>
      <c r="AW110" s="506" t="e">
        <f ca="1">AM111/SUM($C60:$C79)</f>
        <v>#REF!</v>
      </c>
      <c r="AX110" s="506" t="e">
        <f ca="1">AN111/SUM($J40:$J59)</f>
        <v>#REF!</v>
      </c>
      <c r="AY110" s="506" t="e">
        <f ca="1">AO111/SUM($J40:$J59)</f>
        <v>#REF!</v>
      </c>
      <c r="AZ110" s="506" t="e">
        <f ca="1">AP111/SUM($J60:$J79)</f>
        <v>#REF!</v>
      </c>
      <c r="BA110" s="506" t="e">
        <f ca="1">AQ111/SUM($J60:$J79)</f>
        <v>#REF!</v>
      </c>
      <c r="BB110" s="506"/>
      <c r="BC110" s="506"/>
      <c r="BD110" s="506"/>
      <c r="BE110" s="506"/>
    </row>
    <row r="111" spans="1:57" x14ac:dyDescent="0.25">
      <c r="K111" s="244" t="s">
        <v>784</v>
      </c>
      <c r="L111" s="137" t="e">
        <f ca="1">SUM(L91:L110)</f>
        <v>#REF!</v>
      </c>
      <c r="M111" s="137" t="e">
        <f ca="1">SUM(M91:M110)</f>
        <v>#REF!</v>
      </c>
      <c r="N111" s="540" t="s">
        <v>336</v>
      </c>
      <c r="O111" s="137" t="e">
        <f ca="1">SUM(O91:O110)</f>
        <v>#REF!</v>
      </c>
      <c r="P111" s="137" t="e">
        <f ca="1">SUM(P91:P110)</f>
        <v>#REF!</v>
      </c>
      <c r="Q111" s="540" t="s">
        <v>336</v>
      </c>
      <c r="R111" s="137" t="e">
        <f ca="1">SUM(R91:R110)</f>
        <v>#REF!</v>
      </c>
      <c r="S111" s="137" t="e">
        <f ca="1">SUM(S91:S110)</f>
        <v>#REF!</v>
      </c>
      <c r="T111" s="540" t="s">
        <v>336</v>
      </c>
      <c r="U111" s="137" t="e">
        <f ca="1">SUM(U91:U110)</f>
        <v>#REF!</v>
      </c>
      <c r="V111" s="137" t="e">
        <f ca="1">SUM(V91:V110)</f>
        <v>#REF!</v>
      </c>
      <c r="W111" s="540" t="s">
        <v>336</v>
      </c>
      <c r="X111" s="137" t="e">
        <f ca="1">SUM(X91:X110)</f>
        <v>#REF!</v>
      </c>
      <c r="Y111" s="137" t="e">
        <f ca="1">SUM(Y91:Y110)</f>
        <v>#REF!</v>
      </c>
      <c r="Z111" s="540" t="s">
        <v>336</v>
      </c>
      <c r="AA111" s="137" t="e">
        <f ca="1">SUM(AA91:AA110)</f>
        <v>#REF!</v>
      </c>
      <c r="AB111" s="137" t="e">
        <f ca="1">SUM(AB91:AB110)</f>
        <v>#REF!</v>
      </c>
      <c r="AC111" s="540" t="s">
        <v>336</v>
      </c>
      <c r="AD111" s="137" t="e">
        <f ca="1">SUM(AD91:AD110)</f>
        <v>#REF!</v>
      </c>
      <c r="AE111" s="137" t="e">
        <f ca="1">SUM(AE91:AE110)</f>
        <v>#REF!</v>
      </c>
      <c r="AF111" s="540" t="s">
        <v>336</v>
      </c>
      <c r="AG111" s="137" t="e">
        <f ca="1">SUM(AG91:AG110)</f>
        <v>#REF!</v>
      </c>
      <c r="AH111" s="137" t="e">
        <f ca="1">SUM(AH91:AH110)</f>
        <v>#REF!</v>
      </c>
      <c r="AI111" s="540" t="s">
        <v>336</v>
      </c>
      <c r="AJ111" s="506" t="e">
        <f t="shared" ref="AJ111:AQ111" ca="1" si="64">SUM(AJ91:AJ110)</f>
        <v>#REF!</v>
      </c>
      <c r="AK111" s="506" t="e">
        <f t="shared" ca="1" si="64"/>
        <v>#REF!</v>
      </c>
      <c r="AL111" s="506" t="e">
        <f t="shared" ca="1" si="64"/>
        <v>#REF!</v>
      </c>
      <c r="AM111" s="506" t="e">
        <f t="shared" ca="1" si="64"/>
        <v>#REF!</v>
      </c>
      <c r="AN111" s="506" t="e">
        <f t="shared" ca="1" si="64"/>
        <v>#REF!</v>
      </c>
      <c r="AO111" s="506" t="e">
        <f t="shared" ca="1" si="64"/>
        <v>#REF!</v>
      </c>
      <c r="AP111" s="506" t="e">
        <f t="shared" ca="1" si="64"/>
        <v>#REF!</v>
      </c>
      <c r="AQ111" s="506" t="e">
        <f t="shared" ca="1" si="64"/>
        <v>#REF!</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t="e">
        <f ca="1">AJ111+AL111</f>
        <v>#REF!</v>
      </c>
      <c r="AK113" s="506" t="e">
        <f ca="1">AK111+AM111</f>
        <v>#REF!</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2"/>
      <c r="B117" s="812"/>
      <c r="C117" s="845" t="s">
        <v>788</v>
      </c>
      <c r="D117" s="845"/>
      <c r="E117" s="845"/>
      <c r="F117" s="845"/>
      <c r="G117" s="845"/>
      <c r="H117" s="845"/>
      <c r="I117" s="845"/>
      <c r="J117" s="845" t="s">
        <v>789</v>
      </c>
      <c r="K117" s="845"/>
      <c r="L117" s="845"/>
      <c r="M117" s="845"/>
      <c r="N117" s="845"/>
      <c r="O117" s="845"/>
      <c r="P117" s="845"/>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2" t="s">
        <v>101</v>
      </c>
      <c r="B119" s="812" t="s">
        <v>752</v>
      </c>
      <c r="C119" s="539" t="e">
        <f t="shared" ref="C119:E120" ca="1" si="65">C32</f>
        <v>#REF!</v>
      </c>
      <c r="D119" s="539" t="e">
        <f t="shared" ca="1" si="65"/>
        <v>#REF!</v>
      </c>
      <c r="E119" s="539" t="e">
        <f t="shared" ca="1" si="65"/>
        <v>#REF!</v>
      </c>
      <c r="F119" s="539" t="s">
        <v>336</v>
      </c>
      <c r="G119" s="539" t="e">
        <f ca="1">G32</f>
        <v>#REF!</v>
      </c>
      <c r="H119" s="539" t="e">
        <f ca="1">H32</f>
        <v>#REF!</v>
      </c>
      <c r="I119" s="539" t="s">
        <v>336</v>
      </c>
      <c r="J119" s="539" t="e">
        <f t="shared" ref="J119:L120" ca="1" si="66">J32</f>
        <v>#REF!</v>
      </c>
      <c r="K119" s="539" t="e">
        <f t="shared" ca="1" si="66"/>
        <v>#REF!</v>
      </c>
      <c r="L119" s="539" t="e">
        <f t="shared" ca="1" si="66"/>
        <v>#REF!</v>
      </c>
      <c r="M119" s="539" t="s">
        <v>336</v>
      </c>
      <c r="N119" s="539" t="e">
        <f ca="1">N32</f>
        <v>#REF!</v>
      </c>
      <c r="O119" s="539" t="e">
        <f ca="1">O32</f>
        <v>#REF!</v>
      </c>
      <c r="P119" s="539" t="s">
        <v>336</v>
      </c>
    </row>
    <row r="120" spans="1:39" x14ac:dyDescent="0.25">
      <c r="A120" s="812" t="s">
        <v>101</v>
      </c>
      <c r="B120" s="812" t="s">
        <v>754</v>
      </c>
      <c r="C120" s="539" t="e">
        <f t="shared" ca="1" si="65"/>
        <v>#REF!</v>
      </c>
      <c r="D120" s="539" t="e">
        <f t="shared" ca="1" si="65"/>
        <v>#REF!</v>
      </c>
      <c r="E120" s="539" t="e">
        <f t="shared" ca="1" si="65"/>
        <v>#REF!</v>
      </c>
      <c r="F120" s="539" t="s">
        <v>336</v>
      </c>
      <c r="G120" s="539" t="e">
        <f ca="1">G33</f>
        <v>#REF!</v>
      </c>
      <c r="H120" s="539" t="e">
        <f ca="1">H33</f>
        <v>#REF!</v>
      </c>
      <c r="I120" s="539" t="s">
        <v>336</v>
      </c>
      <c r="J120" s="539" t="e">
        <f t="shared" ca="1" si="66"/>
        <v>#REF!</v>
      </c>
      <c r="K120" s="539" t="e">
        <f t="shared" ca="1" si="66"/>
        <v>#REF!</v>
      </c>
      <c r="L120" s="539" t="e">
        <f t="shared" ca="1" si="66"/>
        <v>#REF!</v>
      </c>
      <c r="M120" s="539" t="s">
        <v>336</v>
      </c>
      <c r="N120" s="539" t="e">
        <f ca="1">N33</f>
        <v>#REF!</v>
      </c>
      <c r="O120" s="539" t="e">
        <f ca="1">O33</f>
        <v>#REF!</v>
      </c>
      <c r="P120" s="539" t="s">
        <v>336</v>
      </c>
    </row>
    <row r="121" spans="1:39" x14ac:dyDescent="0.25">
      <c r="A121" s="813" t="s">
        <v>101</v>
      </c>
      <c r="B121" s="813" t="s">
        <v>792</v>
      </c>
      <c r="C121" s="535" t="str">
        <f ca="1">IFERROR(C122-SUM(C119:C120),"-")</f>
        <v>-</v>
      </c>
      <c r="D121" s="535" t="str">
        <f ca="1">IFERROR(D122-SUM(D119:D120),"-")</f>
        <v>-</v>
      </c>
      <c r="E121" s="535" t="str">
        <f ca="1">IFERROR(E122-SUM(E119:E120),"-")</f>
        <v>-</v>
      </c>
      <c r="F121" s="535" t="s">
        <v>336</v>
      </c>
      <c r="G121" s="535" t="str">
        <f ca="1">IFERROR(G122-SUM(G119:G120),"-")</f>
        <v>-</v>
      </c>
      <c r="H121" s="535" t="str">
        <f ca="1">IFERROR(H122-SUM(H119:H120),"-")</f>
        <v>-</v>
      </c>
      <c r="I121" s="535" t="s">
        <v>336</v>
      </c>
      <c r="J121" s="535" t="str">
        <f ca="1">IFERROR(J122-SUM(J119:J120),"-")</f>
        <v>-</v>
      </c>
      <c r="K121" s="535" t="str">
        <f ca="1">IFERROR(K122-SUM(K119:K120),"-")</f>
        <v>-</v>
      </c>
      <c r="L121" s="535" t="str">
        <f ca="1">IFERROR(L122-SUM(L119:L120),"-")</f>
        <v>-</v>
      </c>
      <c r="M121" s="535" t="s">
        <v>336</v>
      </c>
      <c r="N121" s="535" t="str">
        <f ca="1">IFERROR(N122-SUM(N119:N120),"-")</f>
        <v>-</v>
      </c>
      <c r="O121" s="535" t="str">
        <f ca="1">IFERROR(O122-SUM(O119:O120),"-")</f>
        <v>-</v>
      </c>
      <c r="P121" s="535" t="s">
        <v>336</v>
      </c>
    </row>
    <row r="122" spans="1:39" x14ac:dyDescent="0.25">
      <c r="A122" s="348" t="s">
        <v>101</v>
      </c>
      <c r="B122" s="348" t="s">
        <v>793</v>
      </c>
      <c r="C122" s="534" t="e">
        <f ca="1">C26</f>
        <v>#REF!</v>
      </c>
      <c r="D122" s="534" t="e">
        <f ca="1">D26</f>
        <v>#REF!</v>
      </c>
      <c r="E122" s="534" t="e">
        <f ca="1">E26</f>
        <v>#REF!</v>
      </c>
      <c r="F122" s="534" t="s">
        <v>336</v>
      </c>
      <c r="G122" s="534" t="e">
        <f ca="1">G26</f>
        <v>#REF!</v>
      </c>
      <c r="H122" s="534" t="e">
        <f ca="1">H26</f>
        <v>#REF!</v>
      </c>
      <c r="I122" s="534" t="s">
        <v>336</v>
      </c>
      <c r="J122" s="534" t="e">
        <f ca="1">J26</f>
        <v>#REF!</v>
      </c>
      <c r="K122" s="534" t="e">
        <f ca="1">K26</f>
        <v>#REF!</v>
      </c>
      <c r="L122" s="534" t="e">
        <f ca="1">L26</f>
        <v>#REF!</v>
      </c>
      <c r="M122" s="534" t="s">
        <v>336</v>
      </c>
      <c r="N122" s="534" t="e">
        <f ca="1">N26</f>
        <v>#REF!</v>
      </c>
      <c r="O122" s="534" t="e">
        <f ca="1">O26</f>
        <v>#REF!</v>
      </c>
      <c r="P122" s="534" t="s">
        <v>336</v>
      </c>
    </row>
    <row r="123" spans="1:39" x14ac:dyDescent="0.25">
      <c r="A123" s="812" t="s">
        <v>722</v>
      </c>
      <c r="B123" s="812" t="s">
        <v>752</v>
      </c>
      <c r="C123" s="133" t="e">
        <f ca="1">C119</f>
        <v>#REF!</v>
      </c>
      <c r="D123" s="537" t="e">
        <f ca="1">D119-L$111+R$111</f>
        <v>#REF!</v>
      </c>
      <c r="E123" s="537" t="e">
        <f ca="1">E119-M$111+S$111</f>
        <v>#REF!</v>
      </c>
      <c r="F123" s="538" t="s">
        <v>336</v>
      </c>
      <c r="G123" s="521" t="e">
        <f ca="1">G119</f>
        <v>#REF!</v>
      </c>
      <c r="H123" s="521" t="e">
        <f ca="1">H119</f>
        <v>#REF!</v>
      </c>
      <c r="I123" s="538" t="s">
        <v>336</v>
      </c>
      <c r="J123" s="133" t="e">
        <f ca="1">J119</f>
        <v>#REF!</v>
      </c>
      <c r="K123" s="537" t="e">
        <f ca="1">K119-X$111+AD$111</f>
        <v>#REF!</v>
      </c>
      <c r="L123" s="537" t="e">
        <f ca="1">L119-Y$111+AE$111</f>
        <v>#REF!</v>
      </c>
      <c r="M123" s="538" t="s">
        <v>336</v>
      </c>
      <c r="N123" s="521" t="e">
        <f ca="1">N119</f>
        <v>#REF!</v>
      </c>
      <c r="O123" s="521" t="e">
        <f ca="1">O119</f>
        <v>#REF!</v>
      </c>
      <c r="P123" s="538" t="s">
        <v>336</v>
      </c>
    </row>
    <row r="124" spans="1:39" x14ac:dyDescent="0.25">
      <c r="A124" s="812" t="s">
        <v>722</v>
      </c>
      <c r="B124" s="812" t="s">
        <v>754</v>
      </c>
      <c r="C124" s="133" t="e">
        <f ca="1">C120</f>
        <v>#REF!</v>
      </c>
      <c r="D124" s="521" t="e">
        <f ca="1">D120</f>
        <v>#REF!</v>
      </c>
      <c r="E124" s="521" t="e">
        <f ca="1">E120</f>
        <v>#REF!</v>
      </c>
      <c r="F124" s="536" t="s">
        <v>336</v>
      </c>
      <c r="G124" s="537" t="e">
        <f ca="1">G120-O$111+U$111</f>
        <v>#REF!</v>
      </c>
      <c r="H124" s="537" t="e">
        <f ca="1">H120-P$111+V$111</f>
        <v>#REF!</v>
      </c>
      <c r="I124" s="536" t="s">
        <v>336</v>
      </c>
      <c r="J124" s="133" t="e">
        <f ca="1">J120</f>
        <v>#REF!</v>
      </c>
      <c r="K124" s="521" t="e">
        <f ca="1">K120</f>
        <v>#REF!</v>
      </c>
      <c r="L124" s="521" t="e">
        <f ca="1">L120</f>
        <v>#REF!</v>
      </c>
      <c r="M124" s="536" t="s">
        <v>336</v>
      </c>
      <c r="N124" s="537" t="e">
        <f ca="1">N120-AA$111+AG$111</f>
        <v>#REF!</v>
      </c>
      <c r="O124" s="537" t="e">
        <f ca="1">O120-AB$111+AH$111</f>
        <v>#REF!</v>
      </c>
      <c r="P124" s="536" t="s">
        <v>336</v>
      </c>
    </row>
    <row r="125" spans="1:39" x14ac:dyDescent="0.25">
      <c r="A125" s="813" t="s">
        <v>722</v>
      </c>
      <c r="B125" s="813" t="s">
        <v>792</v>
      </c>
      <c r="C125" s="527" t="str">
        <f ca="1">C121</f>
        <v>-</v>
      </c>
      <c r="D125" s="527" t="str">
        <f ca="1">D121</f>
        <v>-</v>
      </c>
      <c r="E125" s="527" t="str">
        <f ca="1">E121</f>
        <v>-</v>
      </c>
      <c r="F125" s="535" t="s">
        <v>336</v>
      </c>
      <c r="G125" s="527" t="str">
        <f ca="1">G121</f>
        <v>-</v>
      </c>
      <c r="H125" s="527" t="str">
        <f ca="1">H121</f>
        <v>-</v>
      </c>
      <c r="I125" s="535" t="s">
        <v>336</v>
      </c>
      <c r="J125" s="527" t="str">
        <f ca="1">J121</f>
        <v>-</v>
      </c>
      <c r="K125" s="527" t="str">
        <f ca="1">K121</f>
        <v>-</v>
      </c>
      <c r="L125" s="527" t="str">
        <f ca="1">L121</f>
        <v>-</v>
      </c>
      <c r="M125" s="535" t="s">
        <v>336</v>
      </c>
      <c r="N125" s="527" t="str">
        <f ca="1">N121</f>
        <v>-</v>
      </c>
      <c r="O125" s="527" t="str">
        <f ca="1">O121</f>
        <v>-</v>
      </c>
      <c r="P125" s="535" t="s">
        <v>336</v>
      </c>
    </row>
    <row r="126" spans="1:39" x14ac:dyDescent="0.25">
      <c r="A126" s="348" t="s">
        <v>722</v>
      </c>
      <c r="B126" s="348" t="s">
        <v>793</v>
      </c>
      <c r="C126" s="466" t="e">
        <f ca="1">SUM(C123:C125)</f>
        <v>#REF!</v>
      </c>
      <c r="D126" s="466" t="e">
        <f ca="1">SUM(D123:D125)</f>
        <v>#REF!</v>
      </c>
      <c r="E126" s="466" t="e">
        <f ca="1">SUM(E123:E125)</f>
        <v>#REF!</v>
      </c>
      <c r="F126" s="534" t="s">
        <v>336</v>
      </c>
      <c r="G126" s="466" t="e">
        <f ca="1">SUM(G123:G125)</f>
        <v>#REF!</v>
      </c>
      <c r="H126" s="466" t="e">
        <f ca="1">SUM(H123:H125)</f>
        <v>#REF!</v>
      </c>
      <c r="I126" s="534" t="s">
        <v>336</v>
      </c>
      <c r="J126" s="466" t="e">
        <f ca="1">SUM(J123:J125)</f>
        <v>#REF!</v>
      </c>
      <c r="K126" s="466" t="e">
        <f ca="1">SUM(K123:K125)</f>
        <v>#REF!</v>
      </c>
      <c r="L126" s="466" t="e">
        <f ca="1">SUM(L123:L125)</f>
        <v>#REF!</v>
      </c>
      <c r="M126" s="534" t="s">
        <v>336</v>
      </c>
      <c r="N126" s="466" t="e">
        <f ca="1">SUM(N123:N125)</f>
        <v>#REF!</v>
      </c>
      <c r="O126" s="466" t="e">
        <f ca="1">SUM(O123:O125)</f>
        <v>#REF!</v>
      </c>
      <c r="P126" s="534" t="s">
        <v>336</v>
      </c>
    </row>
    <row r="127" spans="1:39" x14ac:dyDescent="0.25">
      <c r="A127" s="363" t="s">
        <v>794</v>
      </c>
      <c r="B127" s="363" t="s">
        <v>793</v>
      </c>
      <c r="C127" s="532" t="e">
        <f ca="1">C122-C126</f>
        <v>#REF!</v>
      </c>
      <c r="D127" s="532" t="e">
        <f ca="1">D122-D126</f>
        <v>#REF!</v>
      </c>
      <c r="E127" s="532" t="e">
        <f ca="1">E122-E126</f>
        <v>#REF!</v>
      </c>
      <c r="F127" s="533" t="s">
        <v>336</v>
      </c>
      <c r="G127" s="532" t="e">
        <f ca="1">G122-G126</f>
        <v>#REF!</v>
      </c>
      <c r="H127" s="532" t="e">
        <f ca="1">H122-H126</f>
        <v>#REF!</v>
      </c>
      <c r="I127" s="533" t="s">
        <v>336</v>
      </c>
      <c r="J127" s="532" t="e">
        <f ca="1">J122-J126</f>
        <v>#REF!</v>
      </c>
      <c r="K127" s="532" t="e">
        <f ca="1">K122-K126</f>
        <v>#REF!</v>
      </c>
      <c r="L127" s="532" t="e">
        <f ca="1">L122-L126</f>
        <v>#REF!</v>
      </c>
      <c r="M127" s="533" t="s">
        <v>336</v>
      </c>
      <c r="N127" s="532" t="e">
        <f ca="1">N122-N126</f>
        <v>#REF!</v>
      </c>
      <c r="O127" s="532" t="e">
        <f ca="1">O122-O126</f>
        <v>#REF!</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CG92"/>
  <sheetViews>
    <sheetView zoomScale="90" zoomScaleNormal="90" workbookViewId="0">
      <selection sqref="A1:BF1"/>
    </sheetView>
  </sheetViews>
  <sheetFormatPr defaultRowHeight="15" x14ac:dyDescent="0.25"/>
  <cols>
    <col min="1" max="1" width="47.5703125" customWidth="1"/>
  </cols>
  <sheetData>
    <row r="1" spans="1:85" ht="15.75" x14ac:dyDescent="0.25">
      <c r="A1" s="831" t="s">
        <v>797</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H1" s="86" t="s">
        <v>798</v>
      </c>
      <c r="BI1" s="86"/>
      <c r="BJ1" s="86"/>
      <c r="BK1" s="86"/>
      <c r="BL1" s="86"/>
      <c r="BM1" s="86"/>
      <c r="BN1" s="86"/>
    </row>
    <row r="2" spans="1:85" x14ac:dyDescent="0.25">
      <c r="A2" s="44"/>
      <c r="B2" s="89"/>
      <c r="C2" s="89"/>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H2" s="829" t="s">
        <v>799</v>
      </c>
      <c r="BI2" s="829"/>
      <c r="BJ2" s="829"/>
      <c r="BK2" s="829"/>
      <c r="BL2" s="829"/>
      <c r="BM2" s="829"/>
    </row>
    <row r="3" spans="1:85" ht="15.75" x14ac:dyDescent="0.25">
      <c r="B3" s="870" t="s">
        <v>800</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90"/>
      <c r="AU3" s="90"/>
      <c r="AV3" s="90"/>
      <c r="AW3" s="90"/>
      <c r="AX3" s="90"/>
      <c r="AY3" s="90"/>
      <c r="AZ3" s="90"/>
      <c r="BA3" s="90"/>
      <c r="BB3" s="90"/>
      <c r="BC3" s="90"/>
      <c r="BD3" s="90" t="s">
        <v>801</v>
      </c>
      <c r="BF3" s="90"/>
      <c r="BH3" s="86"/>
      <c r="BN3" s="86"/>
    </row>
    <row r="4" spans="1:85" x14ac:dyDescent="0.25">
      <c r="B4" s="869" t="s">
        <v>802</v>
      </c>
      <c r="C4" s="869"/>
      <c r="D4" s="869"/>
      <c r="E4" s="869"/>
      <c r="F4" s="869"/>
      <c r="G4" s="869"/>
      <c r="H4" s="869"/>
      <c r="I4" s="869"/>
      <c r="J4" s="869"/>
      <c r="K4" s="869"/>
      <c r="L4" s="869"/>
      <c r="M4" s="869"/>
      <c r="N4" s="869"/>
      <c r="O4" s="869"/>
      <c r="P4" s="869"/>
      <c r="Q4" s="869"/>
      <c r="R4" s="869"/>
      <c r="S4" s="821"/>
      <c r="T4" s="821"/>
      <c r="U4" s="821"/>
      <c r="V4" s="821"/>
      <c r="W4" s="821"/>
      <c r="X4" s="821"/>
      <c r="Y4" s="821"/>
      <c r="Z4" s="821"/>
      <c r="AA4" s="821"/>
      <c r="AB4" s="821"/>
      <c r="AC4" s="869" t="s">
        <v>803</v>
      </c>
      <c r="AD4" s="869"/>
      <c r="AE4" s="869"/>
      <c r="AF4" s="869"/>
      <c r="AG4" s="869"/>
      <c r="AH4" s="869"/>
      <c r="AI4" s="869"/>
      <c r="AJ4" s="869"/>
      <c r="AK4" s="869"/>
      <c r="AL4" s="869"/>
      <c r="AM4" s="869"/>
      <c r="AN4" s="869"/>
      <c r="AO4" s="869"/>
      <c r="AP4" s="869"/>
      <c r="AQ4" s="869"/>
      <c r="AR4" s="869"/>
      <c r="AS4" s="869"/>
      <c r="AT4" s="869"/>
      <c r="AU4" s="869"/>
      <c r="AV4" s="869"/>
      <c r="AW4" s="869"/>
      <c r="AX4" s="869"/>
      <c r="AY4" s="869"/>
      <c r="AZ4" s="821"/>
      <c r="BA4" s="821"/>
      <c r="BB4" s="90"/>
      <c r="BC4" s="90"/>
      <c r="BD4" s="811" t="s">
        <v>804</v>
      </c>
      <c r="BF4" s="90"/>
      <c r="BH4" s="812" t="s">
        <v>616</v>
      </c>
      <c r="BN4" s="869" t="s">
        <v>805</v>
      </c>
      <c r="BO4" s="869"/>
      <c r="BP4" s="869"/>
      <c r="BQ4" s="869"/>
      <c r="BR4" s="869"/>
      <c r="BS4" s="869"/>
      <c r="BT4" s="869"/>
      <c r="BU4" s="869"/>
      <c r="BV4" s="869"/>
      <c r="BW4" s="869"/>
      <c r="BX4" s="869"/>
      <c r="BY4" s="869"/>
      <c r="BZ4" s="869"/>
      <c r="CA4" s="869"/>
      <c r="CB4" s="869"/>
      <c r="CC4" s="869"/>
      <c r="CD4" s="869"/>
      <c r="CE4" s="869"/>
      <c r="CF4" s="869"/>
      <c r="CG4" s="869"/>
    </row>
    <row r="5" spans="1:85" ht="15.75" thickBot="1" x14ac:dyDescent="0.3">
      <c r="A5" s="91" t="s">
        <v>356</v>
      </c>
      <c r="B5" s="6" t="s">
        <v>806</v>
      </c>
      <c r="C5" s="6">
        <v>2011</v>
      </c>
      <c r="D5" s="6">
        <v>2012</v>
      </c>
      <c r="E5" s="6">
        <v>2013</v>
      </c>
      <c r="F5" s="6">
        <v>2014</v>
      </c>
      <c r="G5" s="6">
        <v>2015</v>
      </c>
      <c r="H5" s="6">
        <v>2016</v>
      </c>
      <c r="I5" s="6">
        <v>2017</v>
      </c>
      <c r="J5" s="6">
        <v>2018</v>
      </c>
      <c r="K5" s="6">
        <v>2019</v>
      </c>
      <c r="L5" s="6">
        <v>2020</v>
      </c>
      <c r="M5" s="6">
        <v>2021</v>
      </c>
      <c r="N5" s="6">
        <v>2022</v>
      </c>
      <c r="O5" s="6">
        <v>2023</v>
      </c>
      <c r="P5" s="6">
        <v>2024</v>
      </c>
      <c r="Q5" s="6">
        <v>2025</v>
      </c>
      <c r="R5" s="6">
        <v>2026</v>
      </c>
      <c r="S5" s="6">
        <v>2027</v>
      </c>
      <c r="T5" s="6">
        <v>2028</v>
      </c>
      <c r="U5" s="6">
        <v>2029</v>
      </c>
      <c r="V5" s="6">
        <v>2030</v>
      </c>
      <c r="W5" s="6">
        <v>2031</v>
      </c>
      <c r="X5" s="6">
        <v>2032</v>
      </c>
      <c r="Y5" s="6">
        <v>2033</v>
      </c>
      <c r="Z5" s="6">
        <v>2034</v>
      </c>
      <c r="AA5" s="6">
        <v>2035</v>
      </c>
      <c r="AB5" s="821"/>
      <c r="AC5" s="6" t="s">
        <v>806</v>
      </c>
      <c r="AD5" s="6">
        <v>2011</v>
      </c>
      <c r="AE5" s="6">
        <v>2012</v>
      </c>
      <c r="AF5" s="6">
        <v>2013</v>
      </c>
      <c r="AG5" s="6">
        <v>2014</v>
      </c>
      <c r="AH5" s="6">
        <v>2015</v>
      </c>
      <c r="AI5" s="6">
        <v>2016</v>
      </c>
      <c r="AJ5" s="6">
        <v>2017</v>
      </c>
      <c r="AK5" s="6">
        <v>2018</v>
      </c>
      <c r="AL5" s="6">
        <v>2019</v>
      </c>
      <c r="AM5" s="6">
        <v>2020</v>
      </c>
      <c r="AN5" s="6">
        <v>2021</v>
      </c>
      <c r="AO5" s="6">
        <v>2022</v>
      </c>
      <c r="AP5" s="6">
        <v>2023</v>
      </c>
      <c r="AQ5" s="6">
        <v>2024</v>
      </c>
      <c r="AR5" s="6">
        <v>2025</v>
      </c>
      <c r="AS5" s="6">
        <v>2026</v>
      </c>
      <c r="AT5" s="6">
        <v>2027</v>
      </c>
      <c r="AU5" s="6">
        <v>2028</v>
      </c>
      <c r="AV5" s="6">
        <v>2029</v>
      </c>
      <c r="AW5" s="6">
        <v>2030</v>
      </c>
      <c r="AX5" s="6">
        <v>2031</v>
      </c>
      <c r="AY5" s="6">
        <v>2032</v>
      </c>
      <c r="AZ5" s="6">
        <v>2033</v>
      </c>
      <c r="BA5" s="6">
        <v>2034</v>
      </c>
      <c r="BB5" s="6">
        <v>2035</v>
      </c>
      <c r="BC5" s="90"/>
      <c r="BD5" s="6">
        <v>2008</v>
      </c>
      <c r="BE5" s="6">
        <v>2011</v>
      </c>
      <c r="BF5" s="90"/>
      <c r="BH5" s="6" t="s">
        <v>806</v>
      </c>
      <c r="BI5" s="6">
        <v>2011</v>
      </c>
      <c r="BJ5" s="6">
        <v>2012</v>
      </c>
      <c r="BK5" s="6">
        <v>2013</v>
      </c>
      <c r="BL5" s="6">
        <v>2014</v>
      </c>
      <c r="BM5" s="6">
        <v>2015</v>
      </c>
      <c r="BN5" s="6">
        <v>2016</v>
      </c>
      <c r="BO5" s="6">
        <v>2017</v>
      </c>
      <c r="BP5" s="6">
        <v>2018</v>
      </c>
      <c r="BQ5" s="6">
        <v>2019</v>
      </c>
      <c r="BR5" s="6">
        <v>2020</v>
      </c>
      <c r="BS5" s="6">
        <v>2021</v>
      </c>
      <c r="BT5" s="6">
        <v>2022</v>
      </c>
      <c r="BU5" s="6">
        <v>2023</v>
      </c>
      <c r="BV5" s="6">
        <v>2024</v>
      </c>
      <c r="BW5" s="6">
        <v>2025</v>
      </c>
      <c r="BX5" s="6">
        <v>2026</v>
      </c>
      <c r="BY5" s="6">
        <v>2027</v>
      </c>
      <c r="BZ5" s="6">
        <v>2028</v>
      </c>
      <c r="CA5" s="6">
        <v>2029</v>
      </c>
      <c r="CB5" s="6">
        <v>2030</v>
      </c>
      <c r="CC5" s="6">
        <v>2031</v>
      </c>
      <c r="CD5" s="6">
        <v>2032</v>
      </c>
      <c r="CE5" s="6">
        <v>2033</v>
      </c>
      <c r="CF5" s="6">
        <v>2034</v>
      </c>
      <c r="CG5" s="6">
        <v>2035</v>
      </c>
    </row>
    <row r="6" spans="1:85" ht="15.75" thickTop="1" x14ac:dyDescent="0.25">
      <c r="A6" s="93" t="s">
        <v>807</v>
      </c>
      <c r="B6" s="94">
        <f>BH6</f>
        <v>12537.290211874006</v>
      </c>
      <c r="C6" s="94">
        <f t="shared" ref="C6:G21" si="0">BI6</f>
        <v>10816.796003240108</v>
      </c>
      <c r="D6" s="94">
        <f t="shared" si="0"/>
        <v>11790.264604476739</v>
      </c>
      <c r="E6" s="94">
        <f t="shared" si="0"/>
        <v>13376.78359229661</v>
      </c>
      <c r="F6" s="94">
        <f t="shared" si="0"/>
        <v>13898.348899353254</v>
      </c>
      <c r="G6" s="94">
        <f t="shared" si="0"/>
        <v>12899.275677203046</v>
      </c>
      <c r="H6" s="94">
        <f t="shared" ref="H6:H36" si="1">BN6</f>
        <v>12871.467359388909</v>
      </c>
      <c r="I6" s="94">
        <f t="shared" ref="I6:I36" si="2">BO6</f>
        <v>12973.267942330145</v>
      </c>
      <c r="J6" s="94">
        <f t="shared" ref="J6:J36" si="3">BP6</f>
        <v>13195.831497921294</v>
      </c>
      <c r="K6" s="94">
        <f t="shared" ref="K6:K36" si="4">BQ6</f>
        <v>13418.395053512446</v>
      </c>
      <c r="L6" s="94">
        <f t="shared" ref="L6:L36" si="5">BR6</f>
        <v>13708.555588099951</v>
      </c>
      <c r="M6" s="94">
        <f t="shared" ref="M6:M36" si="6">BS6</f>
        <v>13782.556639823573</v>
      </c>
      <c r="N6" s="94">
        <f t="shared" ref="N6:N36" si="7">BT6</f>
        <v>14032.427757673047</v>
      </c>
      <c r="O6" s="94">
        <f t="shared" ref="O6:O36" si="8">BU6</f>
        <v>14002.00451005926</v>
      </c>
      <c r="P6" s="94">
        <f t="shared" ref="P6:P36" si="9">BV6</f>
        <v>14087.799817168885</v>
      </c>
      <c r="Q6" s="94">
        <f t="shared" ref="Q6:Q36" si="10">BW6</f>
        <v>14175.696919565409</v>
      </c>
      <c r="R6" s="94">
        <f t="shared" ref="R6:R36" si="11">BX6</f>
        <v>14335.367758103273</v>
      </c>
      <c r="S6" s="94">
        <f t="shared" ref="S6:S36" si="12">BY6</f>
        <v>14495.038596641138</v>
      </c>
      <c r="T6" s="94">
        <f t="shared" ref="T6:T36" si="13">BZ6</f>
        <v>14654.709435179002</v>
      </c>
      <c r="U6" s="94">
        <f t="shared" ref="U6:U36" si="14">CA6</f>
        <v>14814.380273716868</v>
      </c>
      <c r="V6" s="94">
        <f t="shared" ref="V6:V36" si="15">CB6</f>
        <v>14974.051112254732</v>
      </c>
      <c r="W6" s="94">
        <f t="shared" ref="W6:W36" si="16">CC6</f>
        <v>15051.439224783067</v>
      </c>
      <c r="X6" s="94">
        <f t="shared" ref="X6:X36" si="17">CD6</f>
        <v>15128.827337311399</v>
      </c>
      <c r="Y6" s="94">
        <f t="shared" ref="Y6:Y36" si="18">CE6</f>
        <v>15206.215449839736</v>
      </c>
      <c r="Z6" s="94">
        <f t="shared" ref="Z6:Z36" si="19">CF6</f>
        <v>15283.603562368067</v>
      </c>
      <c r="AA6" s="94">
        <f t="shared" ref="AA6:AA36" si="20">CG6</f>
        <v>15360.991674896404</v>
      </c>
      <c r="AB6" s="821"/>
      <c r="AC6" s="96">
        <f t="shared" ref="AC6:AS6" si="21">B6/B$36</f>
        <v>0.25331063185773739</v>
      </c>
      <c r="AD6" s="96">
        <f t="shared" si="21"/>
        <v>0.2247191011235955</v>
      </c>
      <c r="AE6" s="96">
        <f t="shared" si="21"/>
        <v>0.25024630541871923</v>
      </c>
      <c r="AF6" s="96">
        <f t="shared" si="21"/>
        <v>0.25583482944344699</v>
      </c>
      <c r="AG6" s="96">
        <f t="shared" si="21"/>
        <v>0.27213420316868592</v>
      </c>
      <c r="AH6" s="96">
        <f t="shared" si="21"/>
        <v>0.26377952755905509</v>
      </c>
      <c r="AI6" s="96">
        <f t="shared" si="21"/>
        <v>0.25331063185773739</v>
      </c>
      <c r="AJ6" s="96">
        <f t="shared" si="21"/>
        <v>0.25331063185773739</v>
      </c>
      <c r="AK6" s="96">
        <f t="shared" si="21"/>
        <v>0.25331063185773739</v>
      </c>
      <c r="AL6" s="96">
        <f t="shared" si="21"/>
        <v>0.25331063185773744</v>
      </c>
      <c r="AM6" s="96">
        <f t="shared" si="21"/>
        <v>0.25331063185773744</v>
      </c>
      <c r="AN6" s="96">
        <f t="shared" si="21"/>
        <v>0.25331063185773744</v>
      </c>
      <c r="AO6" s="96">
        <f t="shared" si="21"/>
        <v>0.25331063185773739</v>
      </c>
      <c r="AP6" s="96">
        <f t="shared" si="21"/>
        <v>0.25331063185773744</v>
      </c>
      <c r="AQ6" s="96">
        <f t="shared" si="21"/>
        <v>0.25331063185773739</v>
      </c>
      <c r="AR6" s="96">
        <f t="shared" si="21"/>
        <v>0.25331063185773739</v>
      </c>
      <c r="AS6" s="96">
        <f t="shared" si="21"/>
        <v>0.25331063185773739</v>
      </c>
      <c r="AT6" s="96">
        <f t="shared" ref="AT6:BB6" si="22">S6/S$36</f>
        <v>0.25331063185773739</v>
      </c>
      <c r="AU6" s="96">
        <f t="shared" si="22"/>
        <v>0.25331063185773739</v>
      </c>
      <c r="AV6" s="96">
        <f t="shared" si="22"/>
        <v>0.25331063185773739</v>
      </c>
      <c r="AW6" s="96">
        <f t="shared" si="22"/>
        <v>0.25331063185773744</v>
      </c>
      <c r="AX6" s="96">
        <f t="shared" si="22"/>
        <v>0.25331063185773744</v>
      </c>
      <c r="AY6" s="96">
        <f t="shared" si="22"/>
        <v>0.25331063185773739</v>
      </c>
      <c r="AZ6" s="96">
        <f t="shared" si="22"/>
        <v>0.25331063185773744</v>
      </c>
      <c r="BA6" s="96">
        <f t="shared" si="22"/>
        <v>0.25331063185773739</v>
      </c>
      <c r="BB6" s="96">
        <f t="shared" si="22"/>
        <v>0.25331063185773739</v>
      </c>
      <c r="BD6" s="97">
        <v>0.22358479519125557</v>
      </c>
      <c r="BE6" s="97">
        <v>0.22358479519125557</v>
      </c>
      <c r="BF6" s="90"/>
      <c r="BH6" s="468">
        <v>12537.290211874006</v>
      </c>
      <c r="BI6" s="468">
        <v>10816.796003240108</v>
      </c>
      <c r="BJ6" s="468">
        <v>11790.264604476739</v>
      </c>
      <c r="BK6" s="468">
        <v>13376.78359229661</v>
      </c>
      <c r="BL6" s="468">
        <v>13898.348899353254</v>
      </c>
      <c r="BM6" s="468">
        <v>12899.275677203046</v>
      </c>
      <c r="BN6" s="468">
        <f t="shared" ref="BN6:CC19" si="23">$BH6*BN$40/$BH$40</f>
        <v>12871.467359388909</v>
      </c>
      <c r="BO6" s="468">
        <f t="shared" si="23"/>
        <v>12973.267942330145</v>
      </c>
      <c r="BP6" s="468">
        <f t="shared" si="23"/>
        <v>13195.831497921294</v>
      </c>
      <c r="BQ6" s="468">
        <f t="shared" si="23"/>
        <v>13418.395053512446</v>
      </c>
      <c r="BR6" s="468">
        <f t="shared" si="23"/>
        <v>13708.555588099951</v>
      </c>
      <c r="BS6" s="468">
        <f t="shared" si="23"/>
        <v>13782.556639823573</v>
      </c>
      <c r="BT6" s="468">
        <f t="shared" si="23"/>
        <v>14032.427757673047</v>
      </c>
      <c r="BU6" s="468">
        <f t="shared" si="23"/>
        <v>14002.00451005926</v>
      </c>
      <c r="BV6" s="468">
        <f t="shared" si="23"/>
        <v>14087.799817168885</v>
      </c>
      <c r="BW6" s="468">
        <f t="shared" si="23"/>
        <v>14175.696919565409</v>
      </c>
      <c r="BX6" s="468">
        <f t="shared" si="23"/>
        <v>14335.367758103273</v>
      </c>
      <c r="BY6" s="468">
        <f t="shared" si="23"/>
        <v>14495.038596641138</v>
      </c>
      <c r="BZ6" s="468">
        <f t="shared" si="23"/>
        <v>14654.709435179002</v>
      </c>
      <c r="CA6" s="468">
        <f t="shared" si="23"/>
        <v>14814.380273716868</v>
      </c>
      <c r="CB6" s="468">
        <f t="shared" si="23"/>
        <v>14974.051112254732</v>
      </c>
      <c r="CC6" s="468">
        <f t="shared" si="23"/>
        <v>15051.439224783067</v>
      </c>
      <c r="CD6" s="468">
        <f t="shared" ref="BY6:CG19" si="24">$BH6*CD$40/$BH$40</f>
        <v>15128.827337311399</v>
      </c>
      <c r="CE6" s="468">
        <f t="shared" si="24"/>
        <v>15206.215449839736</v>
      </c>
      <c r="CF6" s="468">
        <f t="shared" si="24"/>
        <v>15283.603562368067</v>
      </c>
      <c r="CG6" s="468">
        <f t="shared" si="24"/>
        <v>15360.991674896404</v>
      </c>
    </row>
    <row r="7" spans="1:85" x14ac:dyDescent="0.25">
      <c r="A7" s="98" t="s">
        <v>808</v>
      </c>
      <c r="B7" s="99">
        <f t="shared" ref="B7:B36" si="25">BH7</f>
        <v>759.26057301280878</v>
      </c>
      <c r="C7" s="99">
        <f t="shared" si="0"/>
        <v>571.8130045765696</v>
      </c>
      <c r="D7" s="99">
        <f t="shared" si="0"/>
        <v>557.02037501464906</v>
      </c>
      <c r="E7" s="99">
        <f t="shared" si="0"/>
        <v>894.9256628649141</v>
      </c>
      <c r="F7" s="99">
        <f t="shared" si="0"/>
        <v>916.90496211011043</v>
      </c>
      <c r="G7" s="99">
        <f t="shared" si="0"/>
        <v>866.36926190169709</v>
      </c>
      <c r="H7" s="99">
        <f t="shared" si="1"/>
        <v>779.49840177979752</v>
      </c>
      <c r="I7" s="99">
        <f t="shared" si="2"/>
        <v>785.66346357790428</v>
      </c>
      <c r="J7" s="99">
        <f t="shared" si="3"/>
        <v>799.14195293997227</v>
      </c>
      <c r="K7" s="99">
        <f t="shared" si="4"/>
        <v>812.62044230204049</v>
      </c>
      <c r="L7" s="99">
        <f t="shared" si="5"/>
        <v>830.19261699318383</v>
      </c>
      <c r="M7" s="99">
        <f t="shared" si="6"/>
        <v>834.67413413011798</v>
      </c>
      <c r="N7" s="99">
        <f t="shared" si="7"/>
        <v>849.80637442380294</v>
      </c>
      <c r="O7" s="99">
        <f t="shared" si="8"/>
        <v>847.96393702099977</v>
      </c>
      <c r="P7" s="99">
        <f t="shared" si="9"/>
        <v>853.15971640689679</v>
      </c>
      <c r="Q7" s="99">
        <f t="shared" si="10"/>
        <v>858.48278089722385</v>
      </c>
      <c r="R7" s="99">
        <f t="shared" si="11"/>
        <v>868.1524758881618</v>
      </c>
      <c r="S7" s="99">
        <f t="shared" si="12"/>
        <v>877.82217087909987</v>
      </c>
      <c r="T7" s="99">
        <f t="shared" si="13"/>
        <v>887.49186587003794</v>
      </c>
      <c r="U7" s="99">
        <f t="shared" si="14"/>
        <v>897.16156086097601</v>
      </c>
      <c r="V7" s="99">
        <f t="shared" si="15"/>
        <v>906.83125585191397</v>
      </c>
      <c r="W7" s="99">
        <f t="shared" si="16"/>
        <v>911.51789400654445</v>
      </c>
      <c r="X7" s="99">
        <f t="shared" si="17"/>
        <v>916.20453216117471</v>
      </c>
      <c r="Y7" s="99">
        <f t="shared" si="18"/>
        <v>920.8911703158052</v>
      </c>
      <c r="Z7" s="99">
        <f t="shared" si="19"/>
        <v>925.57780847043546</v>
      </c>
      <c r="AA7" s="99">
        <f t="shared" si="20"/>
        <v>930.26444662506594</v>
      </c>
      <c r="AB7" s="821"/>
      <c r="AC7" s="100">
        <f t="shared" ref="AC7:AC27" si="26">B7/B$6</f>
        <v>6.0560181680545035E-2</v>
      </c>
      <c r="AD7" s="100">
        <f t="shared" ref="AD7:AD21" si="27">C7/C$6</f>
        <v>5.2863436123348019E-2</v>
      </c>
      <c r="AE7" s="100">
        <f t="shared" ref="AE7:AE21" si="28">D7/D$6</f>
        <v>4.7244094488188976E-2</v>
      </c>
      <c r="AF7" s="100">
        <f t="shared" ref="AF7:AF21" si="29">E7/E$6</f>
        <v>6.6901408450704233E-2</v>
      </c>
      <c r="AG7" s="100">
        <f t="shared" ref="AG7:AG21" si="30">F7/F$6</f>
        <v>6.5972222222222224E-2</v>
      </c>
      <c r="AH7" s="100">
        <f t="shared" ref="AH7:AH21" si="31">G7/G$6</f>
        <v>6.7164179104477612E-2</v>
      </c>
      <c r="AI7" s="100">
        <f t="shared" ref="AI7:AI21" si="32">H7/H$6</f>
        <v>6.0560181680545028E-2</v>
      </c>
      <c r="AJ7" s="100">
        <f t="shared" ref="AJ7:AJ21" si="33">I7/I$6</f>
        <v>6.0560181680545042E-2</v>
      </c>
      <c r="AK7" s="100">
        <f t="shared" ref="AK7:AK21" si="34">J7/J$6</f>
        <v>6.0560181680545035E-2</v>
      </c>
      <c r="AL7" s="100">
        <f t="shared" ref="AL7:AL21" si="35">K7/K$6</f>
        <v>6.0560181680545028E-2</v>
      </c>
      <c r="AM7" s="100">
        <f t="shared" ref="AM7:AM21" si="36">L7/L$6</f>
        <v>6.0560181680545028E-2</v>
      </c>
      <c r="AN7" s="100">
        <f t="shared" ref="AN7:AN21" si="37">M7/M$6</f>
        <v>6.0560181680545042E-2</v>
      </c>
      <c r="AO7" s="100">
        <f t="shared" ref="AO7:AO21" si="38">N7/N$6</f>
        <v>6.0560181680545035E-2</v>
      </c>
      <c r="AP7" s="100">
        <f t="shared" ref="AP7:AP21" si="39">O7/O$6</f>
        <v>6.0560181680545035E-2</v>
      </c>
      <c r="AQ7" s="100">
        <f t="shared" ref="AQ7:AQ21" si="40">P7/P$6</f>
        <v>6.0560181680545035E-2</v>
      </c>
      <c r="AR7" s="100">
        <f t="shared" ref="AR7:AR21" si="41">Q7/Q$6</f>
        <v>6.0560181680545042E-2</v>
      </c>
      <c r="AS7" s="100">
        <f t="shared" ref="AS7:AS21" si="42">R7/R$6</f>
        <v>6.0560181680545035E-2</v>
      </c>
      <c r="AT7" s="100">
        <f t="shared" ref="AT7:BB22" si="43">S7/S$6</f>
        <v>6.0560181680545035E-2</v>
      </c>
      <c r="AU7" s="100">
        <f t="shared" si="43"/>
        <v>6.0560181680545042E-2</v>
      </c>
      <c r="AV7" s="100">
        <f t="shared" si="43"/>
        <v>6.0560181680545035E-2</v>
      </c>
      <c r="AW7" s="100">
        <f t="shared" si="43"/>
        <v>6.0560181680545028E-2</v>
      </c>
      <c r="AX7" s="100">
        <f t="shared" si="43"/>
        <v>6.0560181680545035E-2</v>
      </c>
      <c r="AY7" s="100">
        <f t="shared" si="43"/>
        <v>6.0560181680545035E-2</v>
      </c>
      <c r="AZ7" s="100">
        <f t="shared" si="43"/>
        <v>6.0560181680545035E-2</v>
      </c>
      <c r="BA7" s="100">
        <f t="shared" si="43"/>
        <v>6.0560181680545035E-2</v>
      </c>
      <c r="BB7" s="100">
        <f t="shared" si="43"/>
        <v>6.0560181680545028E-2</v>
      </c>
      <c r="BE7" s="97">
        <v>2.9129729705276653E-2</v>
      </c>
      <c r="BF7" s="97"/>
      <c r="BH7" s="469">
        <v>759.26057301280878</v>
      </c>
      <c r="BI7" s="469">
        <v>571.8130045765696</v>
      </c>
      <c r="BJ7" s="469">
        <v>557.02037501464906</v>
      </c>
      <c r="BK7" s="469">
        <v>894.9256628649141</v>
      </c>
      <c r="BL7" s="469">
        <v>916.90496211011043</v>
      </c>
      <c r="BM7" s="469">
        <v>866.36926190169709</v>
      </c>
      <c r="BN7" s="469">
        <f t="shared" si="23"/>
        <v>779.49840177979752</v>
      </c>
      <c r="BO7" s="469">
        <f t="shared" si="23"/>
        <v>785.66346357790428</v>
      </c>
      <c r="BP7" s="469">
        <f t="shared" si="23"/>
        <v>799.14195293997227</v>
      </c>
      <c r="BQ7" s="469">
        <f t="shared" si="23"/>
        <v>812.62044230204049</v>
      </c>
      <c r="BR7" s="469">
        <f t="shared" si="23"/>
        <v>830.19261699318383</v>
      </c>
      <c r="BS7" s="469">
        <f t="shared" si="23"/>
        <v>834.67413413011798</v>
      </c>
      <c r="BT7" s="469">
        <f t="shared" si="23"/>
        <v>849.80637442380294</v>
      </c>
      <c r="BU7" s="469">
        <f t="shared" si="23"/>
        <v>847.96393702099977</v>
      </c>
      <c r="BV7" s="469">
        <f t="shared" si="23"/>
        <v>853.15971640689679</v>
      </c>
      <c r="BW7" s="469">
        <f t="shared" si="23"/>
        <v>858.48278089722385</v>
      </c>
      <c r="BX7" s="469">
        <f t="shared" si="23"/>
        <v>868.1524758881618</v>
      </c>
      <c r="BY7" s="469">
        <f t="shared" si="24"/>
        <v>877.82217087909987</v>
      </c>
      <c r="BZ7" s="469">
        <f t="shared" si="24"/>
        <v>887.49186587003794</v>
      </c>
      <c r="CA7" s="469">
        <f t="shared" si="24"/>
        <v>897.16156086097601</v>
      </c>
      <c r="CB7" s="469">
        <f t="shared" si="24"/>
        <v>906.83125585191397</v>
      </c>
      <c r="CC7" s="469">
        <f t="shared" si="24"/>
        <v>911.51789400654445</v>
      </c>
      <c r="CD7" s="469">
        <f t="shared" si="24"/>
        <v>916.20453216117471</v>
      </c>
      <c r="CE7" s="469">
        <f t="shared" si="24"/>
        <v>920.8911703158052</v>
      </c>
      <c r="CF7" s="469">
        <f t="shared" si="24"/>
        <v>925.57780847043546</v>
      </c>
      <c r="CG7" s="469">
        <f t="shared" si="24"/>
        <v>930.26444662506594</v>
      </c>
    </row>
    <row r="8" spans="1:85" x14ac:dyDescent="0.25">
      <c r="A8" s="98" t="s">
        <v>809</v>
      </c>
      <c r="B8" s="99">
        <f t="shared" si="25"/>
        <v>721.29754436216854</v>
      </c>
      <c r="C8" s="99">
        <f t="shared" si="0"/>
        <v>619.46408829128382</v>
      </c>
      <c r="D8" s="99">
        <f t="shared" si="0"/>
        <v>557.02037501464906</v>
      </c>
      <c r="E8" s="99">
        <f t="shared" si="0"/>
        <v>565.21620812520882</v>
      </c>
      <c r="F8" s="99">
        <f t="shared" si="0"/>
        <v>820.38865030904617</v>
      </c>
      <c r="G8" s="99">
        <f t="shared" si="0"/>
        <v>1058.8957645465186</v>
      </c>
      <c r="H8" s="99">
        <f t="shared" si="1"/>
        <v>740.5234816908079</v>
      </c>
      <c r="I8" s="99">
        <f t="shared" si="2"/>
        <v>746.38029039900925</v>
      </c>
      <c r="J8" s="99">
        <f t="shared" si="3"/>
        <v>759.18485529297391</v>
      </c>
      <c r="K8" s="99">
        <f t="shared" si="4"/>
        <v>771.98942018693879</v>
      </c>
      <c r="L8" s="99">
        <f t="shared" si="5"/>
        <v>788.68298614352489</v>
      </c>
      <c r="M8" s="99">
        <f t="shared" si="6"/>
        <v>792.94042742361228</v>
      </c>
      <c r="N8" s="99">
        <f t="shared" si="7"/>
        <v>807.31605570261297</v>
      </c>
      <c r="O8" s="99">
        <f t="shared" si="8"/>
        <v>805.56574016995</v>
      </c>
      <c r="P8" s="99">
        <f t="shared" si="9"/>
        <v>810.5017305865523</v>
      </c>
      <c r="Q8" s="99">
        <f t="shared" si="10"/>
        <v>815.55864185236271</v>
      </c>
      <c r="R8" s="99">
        <f t="shared" si="11"/>
        <v>824.74485209375393</v>
      </c>
      <c r="S8" s="99">
        <f t="shared" si="12"/>
        <v>833.93106233514516</v>
      </c>
      <c r="T8" s="99">
        <f t="shared" si="13"/>
        <v>843.11727257653615</v>
      </c>
      <c r="U8" s="99">
        <f t="shared" si="14"/>
        <v>852.30348281792737</v>
      </c>
      <c r="V8" s="99">
        <f t="shared" si="15"/>
        <v>861.4896930593186</v>
      </c>
      <c r="W8" s="99">
        <f t="shared" si="16"/>
        <v>865.94199930621744</v>
      </c>
      <c r="X8" s="99">
        <f t="shared" si="17"/>
        <v>870.39430555311617</v>
      </c>
      <c r="Y8" s="99">
        <f t="shared" si="18"/>
        <v>874.84661180001524</v>
      </c>
      <c r="Z8" s="99">
        <f t="shared" si="19"/>
        <v>879.29891804691397</v>
      </c>
      <c r="AA8" s="99">
        <f t="shared" si="20"/>
        <v>883.75122429381292</v>
      </c>
      <c r="AB8" s="821"/>
      <c r="AC8" s="101">
        <f t="shared" si="26"/>
        <v>5.75321725965178E-2</v>
      </c>
      <c r="AD8" s="101">
        <f t="shared" si="27"/>
        <v>5.726872246696036E-2</v>
      </c>
      <c r="AE8" s="101">
        <f t="shared" si="28"/>
        <v>4.7244094488188976E-2</v>
      </c>
      <c r="AF8" s="101">
        <f t="shared" si="29"/>
        <v>4.2253521126760563E-2</v>
      </c>
      <c r="AG8" s="101">
        <f t="shared" si="30"/>
        <v>5.9027777777777776E-2</v>
      </c>
      <c r="AH8" s="101">
        <f t="shared" si="31"/>
        <v>8.2089552238805971E-2</v>
      </c>
      <c r="AI8" s="101">
        <f t="shared" si="32"/>
        <v>5.75321725965178E-2</v>
      </c>
      <c r="AJ8" s="101">
        <f t="shared" si="33"/>
        <v>5.75321725965178E-2</v>
      </c>
      <c r="AK8" s="101">
        <f t="shared" si="34"/>
        <v>5.75321725965178E-2</v>
      </c>
      <c r="AL8" s="101">
        <f t="shared" si="35"/>
        <v>5.7532172596517807E-2</v>
      </c>
      <c r="AM8" s="101">
        <f t="shared" si="36"/>
        <v>5.7532172596517793E-2</v>
      </c>
      <c r="AN8" s="101">
        <f t="shared" si="37"/>
        <v>5.75321725965178E-2</v>
      </c>
      <c r="AO8" s="101">
        <f t="shared" si="38"/>
        <v>5.75321725965178E-2</v>
      </c>
      <c r="AP8" s="101">
        <f t="shared" si="39"/>
        <v>5.75321725965178E-2</v>
      </c>
      <c r="AQ8" s="101">
        <f t="shared" si="40"/>
        <v>5.7532172596517807E-2</v>
      </c>
      <c r="AR8" s="101">
        <f t="shared" si="41"/>
        <v>5.7532172596517793E-2</v>
      </c>
      <c r="AS8" s="101">
        <f t="shared" si="42"/>
        <v>5.75321725965178E-2</v>
      </c>
      <c r="AT8" s="101">
        <f t="shared" si="43"/>
        <v>5.7532172596517807E-2</v>
      </c>
      <c r="AU8" s="101">
        <f t="shared" si="43"/>
        <v>5.7532172596517793E-2</v>
      </c>
      <c r="AV8" s="101">
        <f t="shared" si="43"/>
        <v>5.7532172596517793E-2</v>
      </c>
      <c r="AW8" s="101">
        <f t="shared" si="43"/>
        <v>5.75321725965178E-2</v>
      </c>
      <c r="AX8" s="101">
        <f t="shared" si="43"/>
        <v>5.7532172596517793E-2</v>
      </c>
      <c r="AY8" s="101">
        <f t="shared" si="43"/>
        <v>5.75321725965178E-2</v>
      </c>
      <c r="AZ8" s="101">
        <f t="shared" si="43"/>
        <v>5.75321725965178E-2</v>
      </c>
      <c r="BA8" s="101">
        <f t="shared" si="43"/>
        <v>5.75321725965178E-2</v>
      </c>
      <c r="BB8" s="101">
        <f t="shared" si="43"/>
        <v>5.75321725965178E-2</v>
      </c>
      <c r="BE8" s="97">
        <v>5.9031914988817734E-2</v>
      </c>
      <c r="BF8" s="97"/>
      <c r="BH8" s="469">
        <v>721.29754436216854</v>
      </c>
      <c r="BI8" s="469">
        <v>619.46408829128382</v>
      </c>
      <c r="BJ8" s="469">
        <v>557.02037501464906</v>
      </c>
      <c r="BK8" s="469">
        <v>565.21620812520882</v>
      </c>
      <c r="BL8" s="469">
        <v>820.38865030904617</v>
      </c>
      <c r="BM8" s="469">
        <v>1058.8957645465186</v>
      </c>
      <c r="BN8" s="469">
        <f t="shared" si="23"/>
        <v>740.5234816908079</v>
      </c>
      <c r="BO8" s="469">
        <f t="shared" si="23"/>
        <v>746.38029039900925</v>
      </c>
      <c r="BP8" s="469">
        <f t="shared" si="23"/>
        <v>759.18485529297391</v>
      </c>
      <c r="BQ8" s="469">
        <f t="shared" si="23"/>
        <v>771.98942018693879</v>
      </c>
      <c r="BR8" s="469">
        <f t="shared" si="23"/>
        <v>788.68298614352489</v>
      </c>
      <c r="BS8" s="469">
        <f t="shared" si="23"/>
        <v>792.94042742361228</v>
      </c>
      <c r="BT8" s="469">
        <f t="shared" si="23"/>
        <v>807.31605570261297</v>
      </c>
      <c r="BU8" s="469">
        <f t="shared" si="23"/>
        <v>805.56574016995</v>
      </c>
      <c r="BV8" s="469">
        <f t="shared" si="23"/>
        <v>810.5017305865523</v>
      </c>
      <c r="BW8" s="469">
        <f t="shared" si="23"/>
        <v>815.55864185236271</v>
      </c>
      <c r="BX8" s="469">
        <f t="shared" si="23"/>
        <v>824.74485209375393</v>
      </c>
      <c r="BY8" s="469">
        <f t="shared" si="24"/>
        <v>833.93106233514516</v>
      </c>
      <c r="BZ8" s="469">
        <f t="shared" si="24"/>
        <v>843.11727257653615</v>
      </c>
      <c r="CA8" s="469">
        <f t="shared" si="24"/>
        <v>852.30348281792737</v>
      </c>
      <c r="CB8" s="469">
        <f t="shared" si="24"/>
        <v>861.4896930593186</v>
      </c>
      <c r="CC8" s="469">
        <f t="shared" si="24"/>
        <v>865.94199930621744</v>
      </c>
      <c r="CD8" s="469">
        <f t="shared" si="24"/>
        <v>870.39430555311617</v>
      </c>
      <c r="CE8" s="469">
        <f t="shared" si="24"/>
        <v>874.84661180001524</v>
      </c>
      <c r="CF8" s="469">
        <f t="shared" si="24"/>
        <v>879.29891804691397</v>
      </c>
      <c r="CG8" s="469">
        <f t="shared" si="24"/>
        <v>883.75122429381292</v>
      </c>
    </row>
    <row r="9" spans="1:85" x14ac:dyDescent="0.25">
      <c r="A9" s="102" t="s">
        <v>810</v>
      </c>
      <c r="B9" s="104">
        <f t="shared" si="25"/>
        <v>209.59611866408963</v>
      </c>
      <c r="C9" s="104">
        <f t="shared" si="0"/>
        <v>230.22939481074576</v>
      </c>
      <c r="D9" s="104">
        <f t="shared" si="0"/>
        <v>188.86102558462829</v>
      </c>
      <c r="E9" s="104">
        <f t="shared" si="0"/>
        <v>164.92707124655959</v>
      </c>
      <c r="F9" s="104">
        <f t="shared" si="0"/>
        <v>191.92635419677183</v>
      </c>
      <c r="G9" s="104">
        <f t="shared" si="0"/>
        <v>250.62449435366139</v>
      </c>
      <c r="H9" s="104">
        <f t="shared" si="1"/>
        <v>215.18283093457882</v>
      </c>
      <c r="I9" s="104">
        <f t="shared" si="2"/>
        <v>216.88471441192041</v>
      </c>
      <c r="J9" s="104">
        <f t="shared" si="3"/>
        <v>220.60549112041551</v>
      </c>
      <c r="K9" s="104">
        <f t="shared" si="4"/>
        <v>224.32626782891063</v>
      </c>
      <c r="L9" s="104">
        <f t="shared" si="5"/>
        <v>229.17711843628027</v>
      </c>
      <c r="M9" s="104">
        <f t="shared" si="6"/>
        <v>230.41425444862543</v>
      </c>
      <c r="N9" s="104">
        <f t="shared" si="7"/>
        <v>234.5915539752732</v>
      </c>
      <c r="O9" s="104">
        <f t="shared" si="8"/>
        <v>234.0829437007047</v>
      </c>
      <c r="P9" s="104">
        <f t="shared" si="9"/>
        <v>235.51725391175333</v>
      </c>
      <c r="Q9" s="104">
        <f t="shared" si="10"/>
        <v>236.98670155097946</v>
      </c>
      <c r="R9" s="104">
        <f t="shared" si="11"/>
        <v>239.65604934909305</v>
      </c>
      <c r="S9" s="104">
        <f t="shared" si="12"/>
        <v>242.32539714720664</v>
      </c>
      <c r="T9" s="104">
        <f t="shared" si="13"/>
        <v>244.99474494532024</v>
      </c>
      <c r="U9" s="104">
        <f t="shared" si="14"/>
        <v>247.66409274343386</v>
      </c>
      <c r="V9" s="104">
        <f t="shared" si="15"/>
        <v>250.33344054154742</v>
      </c>
      <c r="W9" s="104">
        <f t="shared" si="16"/>
        <v>251.62720081530392</v>
      </c>
      <c r="X9" s="104">
        <f t="shared" si="17"/>
        <v>252.92096108906037</v>
      </c>
      <c r="Y9" s="104">
        <f t="shared" si="18"/>
        <v>254.2147213628169</v>
      </c>
      <c r="Z9" s="104">
        <f t="shared" si="19"/>
        <v>255.50848163657335</v>
      </c>
      <c r="AA9" s="104">
        <f t="shared" si="20"/>
        <v>256.80224191032988</v>
      </c>
      <c r="AB9" s="821"/>
      <c r="AC9" s="105">
        <f t="shared" si="26"/>
        <v>1.6717816619223041E-2</v>
      </c>
      <c r="AD9" s="105">
        <f t="shared" si="27"/>
        <v>2.1284435311693214E-2</v>
      </c>
      <c r="AE9" s="105">
        <f t="shared" si="28"/>
        <v>1.6018387366210439E-2</v>
      </c>
      <c r="AF9" s="105">
        <f t="shared" si="29"/>
        <v>1.2329351828756309E-2</v>
      </c>
      <c r="AG9" s="105">
        <f t="shared" si="30"/>
        <v>1.3809291706995708E-2</v>
      </c>
      <c r="AH9" s="105">
        <f t="shared" si="31"/>
        <v>1.9429346315668818E-2</v>
      </c>
      <c r="AI9" s="105">
        <f t="shared" si="32"/>
        <v>1.6717816619223041E-2</v>
      </c>
      <c r="AJ9" s="105">
        <f t="shared" si="33"/>
        <v>1.6717816619223041E-2</v>
      </c>
      <c r="AK9" s="105">
        <f t="shared" si="34"/>
        <v>1.6717816619223044E-2</v>
      </c>
      <c r="AL9" s="105">
        <f t="shared" si="35"/>
        <v>1.6717816619223041E-2</v>
      </c>
      <c r="AM9" s="105">
        <f t="shared" si="36"/>
        <v>1.6717816619223041E-2</v>
      </c>
      <c r="AN9" s="105">
        <f t="shared" si="37"/>
        <v>1.6717816619223044E-2</v>
      </c>
      <c r="AO9" s="105">
        <f t="shared" si="38"/>
        <v>1.6717816619223041E-2</v>
      </c>
      <c r="AP9" s="105">
        <f t="shared" si="39"/>
        <v>1.6717816619223044E-2</v>
      </c>
      <c r="AQ9" s="105">
        <f t="shared" si="40"/>
        <v>1.6717816619223044E-2</v>
      </c>
      <c r="AR9" s="105">
        <f t="shared" si="41"/>
        <v>1.6717816619223041E-2</v>
      </c>
      <c r="AS9" s="105">
        <f t="shared" si="42"/>
        <v>1.6717816619223041E-2</v>
      </c>
      <c r="AT9" s="105">
        <f t="shared" si="43"/>
        <v>1.6717816619223041E-2</v>
      </c>
      <c r="AU9" s="105">
        <f t="shared" si="43"/>
        <v>1.6717816619223041E-2</v>
      </c>
      <c r="AV9" s="105">
        <f t="shared" si="43"/>
        <v>1.6717816619223041E-2</v>
      </c>
      <c r="AW9" s="105">
        <f t="shared" si="43"/>
        <v>1.6717816619223041E-2</v>
      </c>
      <c r="AX9" s="105">
        <f t="shared" si="43"/>
        <v>1.6717816619223041E-2</v>
      </c>
      <c r="AY9" s="105">
        <f t="shared" si="43"/>
        <v>1.6717816619223041E-2</v>
      </c>
      <c r="AZ9" s="105">
        <f t="shared" si="43"/>
        <v>1.6717816619223041E-2</v>
      </c>
      <c r="BA9" s="105">
        <f t="shared" si="43"/>
        <v>1.6717816619223041E-2</v>
      </c>
      <c r="BB9" s="105">
        <f t="shared" si="43"/>
        <v>1.6717816619223041E-2</v>
      </c>
      <c r="BE9" s="97">
        <v>2.0760278302529116E-2</v>
      </c>
      <c r="BF9" s="97"/>
      <c r="BH9" s="470">
        <v>209.59611866408963</v>
      </c>
      <c r="BI9" s="470">
        <v>230.22939481074576</v>
      </c>
      <c r="BJ9" s="470">
        <v>188.86102558462829</v>
      </c>
      <c r="BK9" s="470">
        <v>164.92707124655959</v>
      </c>
      <c r="BL9" s="470">
        <v>191.92635419677183</v>
      </c>
      <c r="BM9" s="470">
        <v>250.62449435366139</v>
      </c>
      <c r="BN9" s="470">
        <f t="shared" si="23"/>
        <v>215.18283093457882</v>
      </c>
      <c r="BO9" s="470">
        <f t="shared" si="23"/>
        <v>216.88471441192041</v>
      </c>
      <c r="BP9" s="470">
        <f t="shared" si="23"/>
        <v>220.60549112041551</v>
      </c>
      <c r="BQ9" s="470">
        <f t="shared" si="23"/>
        <v>224.32626782891063</v>
      </c>
      <c r="BR9" s="470">
        <f t="shared" si="23"/>
        <v>229.17711843628027</v>
      </c>
      <c r="BS9" s="470">
        <f t="shared" si="23"/>
        <v>230.41425444862543</v>
      </c>
      <c r="BT9" s="470">
        <f t="shared" si="23"/>
        <v>234.5915539752732</v>
      </c>
      <c r="BU9" s="470">
        <f t="shared" si="23"/>
        <v>234.0829437007047</v>
      </c>
      <c r="BV9" s="470">
        <f t="shared" si="23"/>
        <v>235.51725391175333</v>
      </c>
      <c r="BW9" s="470">
        <f t="shared" si="23"/>
        <v>236.98670155097946</v>
      </c>
      <c r="BX9" s="470">
        <f t="shared" si="23"/>
        <v>239.65604934909305</v>
      </c>
      <c r="BY9" s="470">
        <f t="shared" si="24"/>
        <v>242.32539714720664</v>
      </c>
      <c r="BZ9" s="470">
        <f t="shared" si="24"/>
        <v>244.99474494532024</v>
      </c>
      <c r="CA9" s="470">
        <f t="shared" si="24"/>
        <v>247.66409274343386</v>
      </c>
      <c r="CB9" s="470">
        <f t="shared" si="24"/>
        <v>250.33344054154742</v>
      </c>
      <c r="CC9" s="470">
        <f t="shared" si="24"/>
        <v>251.62720081530392</v>
      </c>
      <c r="CD9" s="470">
        <f t="shared" si="24"/>
        <v>252.92096108906037</v>
      </c>
      <c r="CE9" s="470">
        <f t="shared" si="24"/>
        <v>254.2147213628169</v>
      </c>
      <c r="CF9" s="470">
        <f t="shared" si="24"/>
        <v>255.50848163657335</v>
      </c>
      <c r="CG9" s="470">
        <f t="shared" si="24"/>
        <v>256.80224191032988</v>
      </c>
    </row>
    <row r="10" spans="1:85" x14ac:dyDescent="0.25">
      <c r="A10" s="102" t="s">
        <v>811</v>
      </c>
      <c r="B10" s="104">
        <f t="shared" si="25"/>
        <v>260.88428660863048</v>
      </c>
      <c r="C10" s="104">
        <f t="shared" si="0"/>
        <v>224.57542376601722</v>
      </c>
      <c r="D10" s="104">
        <f t="shared" si="0"/>
        <v>215.52259521380904</v>
      </c>
      <c r="E10" s="104">
        <f t="shared" si="0"/>
        <v>183.67890678647785</v>
      </c>
      <c r="F10" s="104">
        <f t="shared" si="0"/>
        <v>285.51469385112068</v>
      </c>
      <c r="G10" s="104">
        <f t="shared" si="0"/>
        <v>399.05955763199086</v>
      </c>
      <c r="H10" s="104">
        <f t="shared" si="1"/>
        <v>267.83806731060093</v>
      </c>
      <c r="I10" s="104">
        <f t="shared" si="2"/>
        <v>269.9564016562328</v>
      </c>
      <c r="J10" s="104">
        <f t="shared" si="3"/>
        <v>274.58765238459875</v>
      </c>
      <c r="K10" s="104">
        <f t="shared" si="4"/>
        <v>279.21890311296482</v>
      </c>
      <c r="L10" s="104">
        <f t="shared" si="5"/>
        <v>285.25675681089916</v>
      </c>
      <c r="M10" s="104">
        <f t="shared" si="6"/>
        <v>286.79661999193343</v>
      </c>
      <c r="N10" s="104">
        <f t="shared" si="7"/>
        <v>291.99610466706065</v>
      </c>
      <c r="O10" s="104">
        <f t="shared" si="8"/>
        <v>291.36303746386841</v>
      </c>
      <c r="P10" s="104">
        <f t="shared" si="9"/>
        <v>293.14832336787219</v>
      </c>
      <c r="Q10" s="104">
        <f t="shared" si="10"/>
        <v>294.97734482834409</v>
      </c>
      <c r="R10" s="104">
        <f t="shared" si="11"/>
        <v>298.29988200345883</v>
      </c>
      <c r="S10" s="104">
        <f t="shared" si="12"/>
        <v>301.62241917857347</v>
      </c>
      <c r="T10" s="104">
        <f t="shared" si="13"/>
        <v>304.94495635368816</v>
      </c>
      <c r="U10" s="104">
        <f t="shared" si="14"/>
        <v>308.26749352880279</v>
      </c>
      <c r="V10" s="104">
        <f t="shared" si="15"/>
        <v>311.59003070391748</v>
      </c>
      <c r="W10" s="104">
        <f t="shared" si="16"/>
        <v>313.20037410251103</v>
      </c>
      <c r="X10" s="104">
        <f t="shared" si="17"/>
        <v>314.81071750110459</v>
      </c>
      <c r="Y10" s="104">
        <f t="shared" si="18"/>
        <v>316.42106089969815</v>
      </c>
      <c r="Z10" s="104">
        <f t="shared" si="19"/>
        <v>318.03140429829165</v>
      </c>
      <c r="AA10" s="104">
        <f t="shared" si="20"/>
        <v>319.6417476968852</v>
      </c>
      <c r="AB10" s="821"/>
      <c r="AC10" s="105">
        <f t="shared" si="26"/>
        <v>2.0808666163087478E-2</v>
      </c>
      <c r="AD10" s="105">
        <f t="shared" si="27"/>
        <v>2.0761732374239745E-2</v>
      </c>
      <c r="AE10" s="105">
        <f t="shared" si="28"/>
        <v>1.8279708084920805E-2</v>
      </c>
      <c r="AF10" s="105">
        <f t="shared" si="29"/>
        <v>1.3731171287861338E-2</v>
      </c>
      <c r="AG10" s="105">
        <f t="shared" si="30"/>
        <v>2.0543065648928042E-2</v>
      </c>
      <c r="AH10" s="105">
        <f t="shared" si="31"/>
        <v>3.0936586488902691E-2</v>
      </c>
      <c r="AI10" s="105">
        <f t="shared" si="32"/>
        <v>2.0808666163087478E-2</v>
      </c>
      <c r="AJ10" s="105">
        <f t="shared" si="33"/>
        <v>2.0808666163087478E-2</v>
      </c>
      <c r="AK10" s="105">
        <f t="shared" si="34"/>
        <v>2.0808666163087478E-2</v>
      </c>
      <c r="AL10" s="105">
        <f t="shared" si="35"/>
        <v>2.0808666163087478E-2</v>
      </c>
      <c r="AM10" s="105">
        <f t="shared" si="36"/>
        <v>2.0808666163087474E-2</v>
      </c>
      <c r="AN10" s="105">
        <f t="shared" si="37"/>
        <v>2.0808666163087478E-2</v>
      </c>
      <c r="AO10" s="105">
        <f t="shared" si="38"/>
        <v>2.0808666163087478E-2</v>
      </c>
      <c r="AP10" s="105">
        <f t="shared" si="39"/>
        <v>2.0808666163087481E-2</v>
      </c>
      <c r="AQ10" s="105">
        <f t="shared" si="40"/>
        <v>2.0808666163087481E-2</v>
      </c>
      <c r="AR10" s="105">
        <f t="shared" si="41"/>
        <v>2.0808666163087474E-2</v>
      </c>
      <c r="AS10" s="105">
        <f t="shared" si="42"/>
        <v>2.0808666163087481E-2</v>
      </c>
      <c r="AT10" s="105">
        <f t="shared" si="43"/>
        <v>2.0808666163087481E-2</v>
      </c>
      <c r="AU10" s="105">
        <f t="shared" si="43"/>
        <v>2.0808666163087481E-2</v>
      </c>
      <c r="AV10" s="105">
        <f t="shared" si="43"/>
        <v>2.0808666163087478E-2</v>
      </c>
      <c r="AW10" s="105">
        <f t="shared" si="43"/>
        <v>2.0808666163087478E-2</v>
      </c>
      <c r="AX10" s="105">
        <f t="shared" si="43"/>
        <v>2.0808666163087478E-2</v>
      </c>
      <c r="AY10" s="105">
        <f t="shared" si="43"/>
        <v>2.0808666163087481E-2</v>
      </c>
      <c r="AZ10" s="105">
        <f t="shared" si="43"/>
        <v>2.0808666163087478E-2</v>
      </c>
      <c r="BA10" s="105">
        <f t="shared" si="43"/>
        <v>2.0808666163087478E-2</v>
      </c>
      <c r="BB10" s="105">
        <f t="shared" si="43"/>
        <v>2.0808666163087474E-2</v>
      </c>
      <c r="BE10" s="97">
        <v>2.1704545584334847E-2</v>
      </c>
      <c r="BF10" s="97"/>
      <c r="BH10" s="470">
        <v>260.88428660863048</v>
      </c>
      <c r="BI10" s="470">
        <v>224.57542376601722</v>
      </c>
      <c r="BJ10" s="470">
        <v>215.52259521380904</v>
      </c>
      <c r="BK10" s="470">
        <v>183.67890678647785</v>
      </c>
      <c r="BL10" s="470">
        <v>285.51469385112068</v>
      </c>
      <c r="BM10" s="470">
        <v>399.05955763199086</v>
      </c>
      <c r="BN10" s="470">
        <f t="shared" si="23"/>
        <v>267.83806731060093</v>
      </c>
      <c r="BO10" s="470">
        <f t="shared" si="23"/>
        <v>269.9564016562328</v>
      </c>
      <c r="BP10" s="470">
        <f t="shared" si="23"/>
        <v>274.58765238459875</v>
      </c>
      <c r="BQ10" s="470">
        <f t="shared" si="23"/>
        <v>279.21890311296482</v>
      </c>
      <c r="BR10" s="470">
        <f t="shared" si="23"/>
        <v>285.25675681089916</v>
      </c>
      <c r="BS10" s="470">
        <f t="shared" si="23"/>
        <v>286.79661999193343</v>
      </c>
      <c r="BT10" s="470">
        <f t="shared" si="23"/>
        <v>291.99610466706065</v>
      </c>
      <c r="BU10" s="470">
        <f t="shared" si="23"/>
        <v>291.36303746386841</v>
      </c>
      <c r="BV10" s="470">
        <f t="shared" si="23"/>
        <v>293.14832336787219</v>
      </c>
      <c r="BW10" s="470">
        <f t="shared" si="23"/>
        <v>294.97734482834409</v>
      </c>
      <c r="BX10" s="470">
        <f t="shared" si="23"/>
        <v>298.29988200345883</v>
      </c>
      <c r="BY10" s="470">
        <f t="shared" si="24"/>
        <v>301.62241917857347</v>
      </c>
      <c r="BZ10" s="470">
        <f t="shared" si="24"/>
        <v>304.94495635368816</v>
      </c>
      <c r="CA10" s="470">
        <f t="shared" si="24"/>
        <v>308.26749352880279</v>
      </c>
      <c r="CB10" s="470">
        <f t="shared" si="24"/>
        <v>311.59003070391748</v>
      </c>
      <c r="CC10" s="470">
        <f t="shared" si="24"/>
        <v>313.20037410251103</v>
      </c>
      <c r="CD10" s="470">
        <f t="shared" si="24"/>
        <v>314.81071750110459</v>
      </c>
      <c r="CE10" s="470">
        <f t="shared" si="24"/>
        <v>316.42106089969815</v>
      </c>
      <c r="CF10" s="470">
        <f t="shared" si="24"/>
        <v>318.03140429829165</v>
      </c>
      <c r="CG10" s="470">
        <f t="shared" si="24"/>
        <v>319.6417476968852</v>
      </c>
    </row>
    <row r="11" spans="1:85" x14ac:dyDescent="0.25">
      <c r="A11" s="103" t="s">
        <v>812</v>
      </c>
      <c r="B11" s="104">
        <f t="shared" si="25"/>
        <v>188.72342268329149</v>
      </c>
      <c r="C11" s="104">
        <f t="shared" si="0"/>
        <v>145.24154995733812</v>
      </c>
      <c r="D11" s="104">
        <f t="shared" si="0"/>
        <v>129.76038245340646</v>
      </c>
      <c r="E11" s="104">
        <f t="shared" si="0"/>
        <v>153.92131221663237</v>
      </c>
      <c r="F11" s="104">
        <f t="shared" si="0"/>
        <v>230.77289554457514</v>
      </c>
      <c r="G11" s="104">
        <f t="shared" si="0"/>
        <v>294.13498265821187</v>
      </c>
      <c r="H11" s="104">
        <f t="shared" si="1"/>
        <v>193.75378043969258</v>
      </c>
      <c r="I11" s="104">
        <f t="shared" si="2"/>
        <v>195.28618131094532</v>
      </c>
      <c r="J11" s="104">
        <f t="shared" si="3"/>
        <v>198.636423290344</v>
      </c>
      <c r="K11" s="104">
        <f t="shared" si="4"/>
        <v>201.98666526974276</v>
      </c>
      <c r="L11" s="104">
        <f t="shared" si="5"/>
        <v>206.35444238023064</v>
      </c>
      <c r="M11" s="104">
        <f t="shared" si="6"/>
        <v>207.46837781025036</v>
      </c>
      <c r="N11" s="104">
        <f t="shared" si="7"/>
        <v>211.22967963810396</v>
      </c>
      <c r="O11" s="104">
        <f t="shared" si="8"/>
        <v>210.77171947910745</v>
      </c>
      <c r="P11" s="104">
        <f t="shared" si="9"/>
        <v>212.06319345269048</v>
      </c>
      <c r="Q11" s="104">
        <f t="shared" si="10"/>
        <v>213.38630568251708</v>
      </c>
      <c r="R11" s="104">
        <f t="shared" si="11"/>
        <v>215.78982563318692</v>
      </c>
      <c r="S11" s="104">
        <f t="shared" si="12"/>
        <v>218.19334558385674</v>
      </c>
      <c r="T11" s="104">
        <f t="shared" si="13"/>
        <v>220.59686553452659</v>
      </c>
      <c r="U11" s="104">
        <f t="shared" si="14"/>
        <v>223.00038548519646</v>
      </c>
      <c r="V11" s="104">
        <f t="shared" si="15"/>
        <v>225.40390543586631</v>
      </c>
      <c r="W11" s="104">
        <f t="shared" si="16"/>
        <v>226.56882618225814</v>
      </c>
      <c r="X11" s="104">
        <f t="shared" si="17"/>
        <v>227.73374692864991</v>
      </c>
      <c r="Y11" s="104">
        <f t="shared" si="18"/>
        <v>228.89866767504174</v>
      </c>
      <c r="Z11" s="104">
        <f t="shared" si="19"/>
        <v>230.06358842143351</v>
      </c>
      <c r="AA11" s="104">
        <f t="shared" si="20"/>
        <v>231.22850916782537</v>
      </c>
      <c r="AB11" s="821"/>
      <c r="AC11" s="105">
        <f t="shared" si="26"/>
        <v>1.5052967546731308E-2</v>
      </c>
      <c r="AD11" s="105">
        <f t="shared" si="27"/>
        <v>1.3427409550280127E-2</v>
      </c>
      <c r="AE11" s="105">
        <f t="shared" si="28"/>
        <v>1.1005722670900593E-2</v>
      </c>
      <c r="AF11" s="105">
        <f t="shared" si="29"/>
        <v>1.1506601056570297E-2</v>
      </c>
      <c r="AG11" s="105">
        <f t="shared" si="30"/>
        <v>1.6604338919374368E-2</v>
      </c>
      <c r="AH11" s="105">
        <f t="shared" si="31"/>
        <v>2.2802441781908583E-2</v>
      </c>
      <c r="AI11" s="105">
        <f t="shared" si="32"/>
        <v>1.5052967546731308E-2</v>
      </c>
      <c r="AJ11" s="105">
        <f t="shared" si="33"/>
        <v>1.5052967546731308E-2</v>
      </c>
      <c r="AK11" s="105">
        <f t="shared" si="34"/>
        <v>1.5052967546731306E-2</v>
      </c>
      <c r="AL11" s="105">
        <f t="shared" si="35"/>
        <v>1.5052967546731308E-2</v>
      </c>
      <c r="AM11" s="105">
        <f t="shared" si="36"/>
        <v>1.5052967546731305E-2</v>
      </c>
      <c r="AN11" s="105">
        <f t="shared" si="37"/>
        <v>1.5052967546731308E-2</v>
      </c>
      <c r="AO11" s="105">
        <f t="shared" si="38"/>
        <v>1.5052967546731308E-2</v>
      </c>
      <c r="AP11" s="105">
        <f t="shared" si="39"/>
        <v>1.5052967546731308E-2</v>
      </c>
      <c r="AQ11" s="105">
        <f t="shared" si="40"/>
        <v>1.5052967546731308E-2</v>
      </c>
      <c r="AR11" s="105">
        <f t="shared" si="41"/>
        <v>1.5052967546731308E-2</v>
      </c>
      <c r="AS11" s="105">
        <f t="shared" si="42"/>
        <v>1.5052967546731308E-2</v>
      </c>
      <c r="AT11" s="105">
        <f t="shared" si="43"/>
        <v>1.5052967546731306E-2</v>
      </c>
      <c r="AU11" s="105">
        <f t="shared" si="43"/>
        <v>1.5052967546731306E-2</v>
      </c>
      <c r="AV11" s="105">
        <f t="shared" si="43"/>
        <v>1.5052967546731306E-2</v>
      </c>
      <c r="AW11" s="105">
        <f t="shared" si="43"/>
        <v>1.5052967546731306E-2</v>
      </c>
      <c r="AX11" s="105">
        <f t="shared" si="43"/>
        <v>1.5052967546731306E-2</v>
      </c>
      <c r="AY11" s="105">
        <f t="shared" si="43"/>
        <v>1.5052967546731308E-2</v>
      </c>
      <c r="AZ11" s="105">
        <f t="shared" si="43"/>
        <v>1.5052967546731306E-2</v>
      </c>
      <c r="BA11" s="105">
        <f t="shared" si="43"/>
        <v>1.5052967546731306E-2</v>
      </c>
      <c r="BB11" s="105">
        <f t="shared" si="43"/>
        <v>1.5052967546731308E-2</v>
      </c>
      <c r="BE11" s="97">
        <v>1.4218802641575441E-2</v>
      </c>
      <c r="BF11" s="97"/>
      <c r="BH11" s="470">
        <v>188.72342268329149</v>
      </c>
      <c r="BI11" s="470">
        <v>145.24154995733812</v>
      </c>
      <c r="BJ11" s="470">
        <v>129.76038245340646</v>
      </c>
      <c r="BK11" s="470">
        <v>153.92131221663237</v>
      </c>
      <c r="BL11" s="470">
        <v>230.77289554457514</v>
      </c>
      <c r="BM11" s="470">
        <v>294.13498265821187</v>
      </c>
      <c r="BN11" s="470">
        <f t="shared" si="23"/>
        <v>193.75378043969258</v>
      </c>
      <c r="BO11" s="470">
        <f t="shared" si="23"/>
        <v>195.28618131094532</v>
      </c>
      <c r="BP11" s="470">
        <f t="shared" si="23"/>
        <v>198.636423290344</v>
      </c>
      <c r="BQ11" s="470">
        <f t="shared" si="23"/>
        <v>201.98666526974276</v>
      </c>
      <c r="BR11" s="470">
        <f t="shared" si="23"/>
        <v>206.35444238023064</v>
      </c>
      <c r="BS11" s="470">
        <f t="shared" si="23"/>
        <v>207.46837781025036</v>
      </c>
      <c r="BT11" s="470">
        <f t="shared" si="23"/>
        <v>211.22967963810396</v>
      </c>
      <c r="BU11" s="470">
        <f t="shared" si="23"/>
        <v>210.77171947910745</v>
      </c>
      <c r="BV11" s="470">
        <f t="shared" si="23"/>
        <v>212.06319345269048</v>
      </c>
      <c r="BW11" s="470">
        <f t="shared" si="23"/>
        <v>213.38630568251708</v>
      </c>
      <c r="BX11" s="470">
        <f t="shared" si="23"/>
        <v>215.78982563318692</v>
      </c>
      <c r="BY11" s="470">
        <f t="shared" si="24"/>
        <v>218.19334558385674</v>
      </c>
      <c r="BZ11" s="470">
        <f t="shared" si="24"/>
        <v>220.59686553452659</v>
      </c>
      <c r="CA11" s="470">
        <f t="shared" si="24"/>
        <v>223.00038548519646</v>
      </c>
      <c r="CB11" s="470">
        <f t="shared" si="24"/>
        <v>225.40390543586631</v>
      </c>
      <c r="CC11" s="470">
        <f t="shared" si="24"/>
        <v>226.56882618225814</v>
      </c>
      <c r="CD11" s="470">
        <f t="shared" si="24"/>
        <v>227.73374692864991</v>
      </c>
      <c r="CE11" s="470">
        <f t="shared" si="24"/>
        <v>228.89866767504174</v>
      </c>
      <c r="CF11" s="470">
        <f t="shared" si="24"/>
        <v>230.06358842143351</v>
      </c>
      <c r="CG11" s="470">
        <f t="shared" si="24"/>
        <v>231.22850916782537</v>
      </c>
    </row>
    <row r="12" spans="1:85" x14ac:dyDescent="0.25">
      <c r="A12" s="102" t="s">
        <v>813</v>
      </c>
      <c r="B12" s="104">
        <f t="shared" si="25"/>
        <v>19.742910159538155</v>
      </c>
      <c r="C12" s="104">
        <f t="shared" si="0"/>
        <v>7.4503073474508801</v>
      </c>
      <c r="D12" s="104">
        <f t="shared" si="0"/>
        <v>8.0885585281794743</v>
      </c>
      <c r="E12" s="104">
        <f t="shared" si="0"/>
        <v>20.574205272895714</v>
      </c>
      <c r="F12" s="104">
        <f t="shared" si="0"/>
        <v>30.399404993350206</v>
      </c>
      <c r="G12" s="104">
        <f t="shared" si="0"/>
        <v>30.557814777075723</v>
      </c>
      <c r="H12" s="104">
        <f t="shared" si="1"/>
        <v>20.269150622131011</v>
      </c>
      <c r="I12" s="104">
        <f t="shared" si="2"/>
        <v>20.42945956682577</v>
      </c>
      <c r="J12" s="104">
        <f t="shared" si="3"/>
        <v>20.779938195665505</v>
      </c>
      <c r="K12" s="104">
        <f t="shared" si="4"/>
        <v>21.130416824505243</v>
      </c>
      <c r="L12" s="104">
        <f t="shared" si="5"/>
        <v>21.587342784532801</v>
      </c>
      <c r="M12" s="104">
        <f t="shared" si="6"/>
        <v>21.70387483342062</v>
      </c>
      <c r="N12" s="104">
        <f t="shared" si="7"/>
        <v>22.097355637310226</v>
      </c>
      <c r="O12" s="104">
        <f t="shared" si="8"/>
        <v>22.049447083368364</v>
      </c>
      <c r="P12" s="104">
        <f t="shared" si="9"/>
        <v>22.184551959442068</v>
      </c>
      <c r="Q12" s="104">
        <f t="shared" si="10"/>
        <v>22.322966606193628</v>
      </c>
      <c r="R12" s="104">
        <f t="shared" si="11"/>
        <v>22.574405869948212</v>
      </c>
      <c r="S12" s="104">
        <f t="shared" si="12"/>
        <v>22.825845133702796</v>
      </c>
      <c r="T12" s="104">
        <f t="shared" si="13"/>
        <v>23.077284397457387</v>
      </c>
      <c r="U12" s="104">
        <f t="shared" si="14"/>
        <v>23.328723661211971</v>
      </c>
      <c r="V12" s="104">
        <f t="shared" si="15"/>
        <v>23.580162924966558</v>
      </c>
      <c r="W12" s="104">
        <f t="shared" si="16"/>
        <v>23.702028697174345</v>
      </c>
      <c r="X12" s="104">
        <f t="shared" si="17"/>
        <v>23.823894469382125</v>
      </c>
      <c r="Y12" s="104">
        <f t="shared" si="18"/>
        <v>23.945760241589912</v>
      </c>
      <c r="Z12" s="104">
        <f t="shared" si="19"/>
        <v>24.067626013797696</v>
      </c>
      <c r="AA12" s="104">
        <f t="shared" si="20"/>
        <v>24.189491786005483</v>
      </c>
      <c r="AB12" s="821"/>
      <c r="AC12" s="105">
        <f t="shared" si="26"/>
        <v>1.5747350365105006E-3</v>
      </c>
      <c r="AD12" s="105">
        <f t="shared" si="27"/>
        <v>6.8877210453254217E-4</v>
      </c>
      <c r="AE12" s="105">
        <f t="shared" si="28"/>
        <v>6.8603706528420623E-4</v>
      </c>
      <c r="AF12" s="105">
        <f t="shared" si="29"/>
        <v>1.5380532346164243E-3</v>
      </c>
      <c r="AG12" s="105">
        <f t="shared" si="30"/>
        <v>2.1872673663247016E-3</v>
      </c>
      <c r="AH12" s="105">
        <f t="shared" si="31"/>
        <v>2.3689558655669869E-3</v>
      </c>
      <c r="AI12" s="105">
        <f t="shared" si="32"/>
        <v>1.5747350365105006E-3</v>
      </c>
      <c r="AJ12" s="105">
        <f t="shared" si="33"/>
        <v>1.5747350365105006E-3</v>
      </c>
      <c r="AK12" s="105">
        <f t="shared" si="34"/>
        <v>1.5747350365105009E-3</v>
      </c>
      <c r="AL12" s="105">
        <f t="shared" si="35"/>
        <v>1.5747350365105006E-3</v>
      </c>
      <c r="AM12" s="105">
        <f t="shared" si="36"/>
        <v>1.5747350365105004E-3</v>
      </c>
      <c r="AN12" s="105">
        <f t="shared" si="37"/>
        <v>1.5747350365105009E-3</v>
      </c>
      <c r="AO12" s="105">
        <f t="shared" si="38"/>
        <v>1.5747350365105004E-3</v>
      </c>
      <c r="AP12" s="105">
        <f t="shared" si="39"/>
        <v>1.5747350365105006E-3</v>
      </c>
      <c r="AQ12" s="105">
        <f t="shared" si="40"/>
        <v>1.5747350365105006E-3</v>
      </c>
      <c r="AR12" s="105">
        <f t="shared" si="41"/>
        <v>1.5747350365105009E-3</v>
      </c>
      <c r="AS12" s="105">
        <f t="shared" si="42"/>
        <v>1.5747350365105006E-3</v>
      </c>
      <c r="AT12" s="105">
        <f t="shared" si="43"/>
        <v>1.5747350365105004E-3</v>
      </c>
      <c r="AU12" s="105">
        <f t="shared" si="43"/>
        <v>1.5747350365105009E-3</v>
      </c>
      <c r="AV12" s="105">
        <f t="shared" si="43"/>
        <v>1.5747350365105004E-3</v>
      </c>
      <c r="AW12" s="105">
        <f t="shared" si="43"/>
        <v>1.5747350365105006E-3</v>
      </c>
      <c r="AX12" s="105">
        <f t="shared" si="43"/>
        <v>1.5747350365105006E-3</v>
      </c>
      <c r="AY12" s="105">
        <f t="shared" si="43"/>
        <v>1.5747350365105006E-3</v>
      </c>
      <c r="AZ12" s="105">
        <f t="shared" si="43"/>
        <v>1.5747350365105004E-3</v>
      </c>
      <c r="BA12" s="105">
        <f t="shared" si="43"/>
        <v>1.5747350365105006E-3</v>
      </c>
      <c r="BB12" s="105">
        <f t="shared" si="43"/>
        <v>1.5747350365105004E-3</v>
      </c>
      <c r="BE12" s="97">
        <v>8.6005650939804197E-4</v>
      </c>
      <c r="BF12" s="97"/>
      <c r="BH12" s="470">
        <v>19.742910159538155</v>
      </c>
      <c r="BI12" s="470">
        <v>7.4503073474508801</v>
      </c>
      <c r="BJ12" s="470">
        <v>8.0885585281794743</v>
      </c>
      <c r="BK12" s="470">
        <v>20.574205272895714</v>
      </c>
      <c r="BL12" s="470">
        <v>30.399404993350206</v>
      </c>
      <c r="BM12" s="470">
        <v>30.557814777075723</v>
      </c>
      <c r="BN12" s="470">
        <f t="shared" si="23"/>
        <v>20.269150622131011</v>
      </c>
      <c r="BO12" s="470">
        <f t="shared" si="23"/>
        <v>20.42945956682577</v>
      </c>
      <c r="BP12" s="470">
        <f t="shared" si="23"/>
        <v>20.779938195665505</v>
      </c>
      <c r="BQ12" s="470">
        <f t="shared" si="23"/>
        <v>21.130416824505243</v>
      </c>
      <c r="BR12" s="470">
        <f t="shared" si="23"/>
        <v>21.587342784532801</v>
      </c>
      <c r="BS12" s="470">
        <f t="shared" si="23"/>
        <v>21.70387483342062</v>
      </c>
      <c r="BT12" s="470">
        <f t="shared" si="23"/>
        <v>22.097355637310226</v>
      </c>
      <c r="BU12" s="470">
        <f t="shared" si="23"/>
        <v>22.049447083368364</v>
      </c>
      <c r="BV12" s="470">
        <f t="shared" si="23"/>
        <v>22.184551959442068</v>
      </c>
      <c r="BW12" s="470">
        <f t="shared" si="23"/>
        <v>22.322966606193628</v>
      </c>
      <c r="BX12" s="470">
        <f t="shared" si="23"/>
        <v>22.574405869948212</v>
      </c>
      <c r="BY12" s="470">
        <f t="shared" si="24"/>
        <v>22.825845133702796</v>
      </c>
      <c r="BZ12" s="470">
        <f t="shared" si="24"/>
        <v>23.077284397457387</v>
      </c>
      <c r="CA12" s="470">
        <f t="shared" si="24"/>
        <v>23.328723661211971</v>
      </c>
      <c r="CB12" s="470">
        <f t="shared" si="24"/>
        <v>23.580162924966558</v>
      </c>
      <c r="CC12" s="470">
        <f t="shared" si="24"/>
        <v>23.702028697174345</v>
      </c>
      <c r="CD12" s="470">
        <f t="shared" si="24"/>
        <v>23.823894469382125</v>
      </c>
      <c r="CE12" s="470">
        <f t="shared" si="24"/>
        <v>23.945760241589912</v>
      </c>
      <c r="CF12" s="470">
        <f t="shared" si="24"/>
        <v>24.067626013797696</v>
      </c>
      <c r="CG12" s="470">
        <f t="shared" si="24"/>
        <v>24.189491786005483</v>
      </c>
    </row>
    <row r="13" spans="1:85" x14ac:dyDescent="0.25">
      <c r="A13" s="106" t="s">
        <v>814</v>
      </c>
      <c r="B13" s="107">
        <f t="shared" si="25"/>
        <v>42.350806246618717</v>
      </c>
      <c r="C13" s="107">
        <f t="shared" si="0"/>
        <v>11.967412409731811</v>
      </c>
      <c r="D13" s="107">
        <f t="shared" si="0"/>
        <v>14.787813234625753</v>
      </c>
      <c r="E13" s="107">
        <f t="shared" si="0"/>
        <v>42.114712602643337</v>
      </c>
      <c r="F13" s="107">
        <f t="shared" si="0"/>
        <v>81.77530172322858</v>
      </c>
      <c r="G13" s="107">
        <f t="shared" si="0"/>
        <v>84.518915125578644</v>
      </c>
      <c r="H13" s="107">
        <f t="shared" si="1"/>
        <v>43.47965238380452</v>
      </c>
      <c r="I13" s="107">
        <f t="shared" si="2"/>
        <v>43.823533453084863</v>
      </c>
      <c r="J13" s="107">
        <f t="shared" si="3"/>
        <v>44.575350301950031</v>
      </c>
      <c r="K13" s="107">
        <f t="shared" si="4"/>
        <v>45.327167150815214</v>
      </c>
      <c r="L13" s="107">
        <f t="shared" si="5"/>
        <v>46.307325731581919</v>
      </c>
      <c r="M13" s="107">
        <f t="shared" si="6"/>
        <v>46.557300339382337</v>
      </c>
      <c r="N13" s="107">
        <f t="shared" si="7"/>
        <v>47.401361784864925</v>
      </c>
      <c r="O13" s="107">
        <f t="shared" si="8"/>
        <v>47.298592442901054</v>
      </c>
      <c r="P13" s="107">
        <f t="shared" si="9"/>
        <v>47.58840789479413</v>
      </c>
      <c r="Q13" s="107">
        <f t="shared" si="10"/>
        <v>47.885323184328449</v>
      </c>
      <c r="R13" s="107">
        <f t="shared" si="11"/>
        <v>48.424689238066897</v>
      </c>
      <c r="S13" s="107">
        <f t="shared" si="12"/>
        <v>48.964055291805352</v>
      </c>
      <c r="T13" s="107">
        <f t="shared" si="13"/>
        <v>49.503421345543813</v>
      </c>
      <c r="U13" s="107">
        <f t="shared" si="14"/>
        <v>50.042787399282268</v>
      </c>
      <c r="V13" s="107">
        <f t="shared" si="15"/>
        <v>50.582153453020716</v>
      </c>
      <c r="W13" s="107">
        <f t="shared" si="16"/>
        <v>50.843569508969956</v>
      </c>
      <c r="X13" s="107">
        <f t="shared" si="17"/>
        <v>51.104985564919183</v>
      </c>
      <c r="Y13" s="107">
        <f t="shared" si="18"/>
        <v>51.366401620868416</v>
      </c>
      <c r="Z13" s="107">
        <f t="shared" si="19"/>
        <v>51.627817676817642</v>
      </c>
      <c r="AA13" s="107">
        <f t="shared" si="20"/>
        <v>51.889233732766883</v>
      </c>
      <c r="AB13" s="821"/>
      <c r="AC13" s="108">
        <f t="shared" si="26"/>
        <v>3.3779872309654662E-3</v>
      </c>
      <c r="AD13" s="108">
        <f t="shared" si="27"/>
        <v>1.1063731262147352E-3</v>
      </c>
      <c r="AE13" s="108">
        <f t="shared" si="28"/>
        <v>1.2542393008729297E-3</v>
      </c>
      <c r="AF13" s="108">
        <f t="shared" si="29"/>
        <v>3.1483437189561963E-3</v>
      </c>
      <c r="AG13" s="108">
        <f t="shared" si="30"/>
        <v>5.8838141361549729E-3</v>
      </c>
      <c r="AH13" s="108">
        <f t="shared" si="31"/>
        <v>6.5522217867588755E-3</v>
      </c>
      <c r="AI13" s="108">
        <f t="shared" si="32"/>
        <v>3.3779872309654662E-3</v>
      </c>
      <c r="AJ13" s="108">
        <f t="shared" si="33"/>
        <v>3.3779872309654666E-3</v>
      </c>
      <c r="AK13" s="108">
        <f t="shared" si="34"/>
        <v>3.3779872309654662E-3</v>
      </c>
      <c r="AL13" s="108">
        <f t="shared" si="35"/>
        <v>3.3779872309654662E-3</v>
      </c>
      <c r="AM13" s="108">
        <f t="shared" si="36"/>
        <v>3.3779872309654662E-3</v>
      </c>
      <c r="AN13" s="108">
        <f t="shared" si="37"/>
        <v>3.3779872309654666E-3</v>
      </c>
      <c r="AO13" s="108">
        <f t="shared" si="38"/>
        <v>3.3779872309654662E-3</v>
      </c>
      <c r="AP13" s="108">
        <f t="shared" si="39"/>
        <v>3.3779872309654666E-3</v>
      </c>
      <c r="AQ13" s="108">
        <f t="shared" si="40"/>
        <v>3.3779872309654666E-3</v>
      </c>
      <c r="AR13" s="108">
        <f t="shared" si="41"/>
        <v>3.3779872309654666E-3</v>
      </c>
      <c r="AS13" s="108">
        <f t="shared" si="42"/>
        <v>3.3779872309654662E-3</v>
      </c>
      <c r="AT13" s="108">
        <f t="shared" si="43"/>
        <v>3.3779872309654662E-3</v>
      </c>
      <c r="AU13" s="108">
        <f t="shared" si="43"/>
        <v>3.3779872309654666E-3</v>
      </c>
      <c r="AV13" s="108">
        <f t="shared" si="43"/>
        <v>3.3779872309654662E-3</v>
      </c>
      <c r="AW13" s="108">
        <f t="shared" si="43"/>
        <v>3.3779872309654658E-3</v>
      </c>
      <c r="AX13" s="108">
        <f t="shared" si="43"/>
        <v>3.3779872309654662E-3</v>
      </c>
      <c r="AY13" s="108">
        <f t="shared" si="43"/>
        <v>3.3779872309654662E-3</v>
      </c>
      <c r="AZ13" s="108">
        <f t="shared" si="43"/>
        <v>3.3779872309654658E-3</v>
      </c>
      <c r="BA13" s="108">
        <f t="shared" si="43"/>
        <v>3.3779872309654662E-3</v>
      </c>
      <c r="BB13" s="108">
        <f t="shared" si="43"/>
        <v>3.3779872309654662E-3</v>
      </c>
      <c r="BE13" s="97">
        <v>1.4882319509802924E-3</v>
      </c>
      <c r="BF13" s="97"/>
      <c r="BH13" s="471">
        <v>42.350806246618717</v>
      </c>
      <c r="BI13" s="471">
        <v>11.967412409731811</v>
      </c>
      <c r="BJ13" s="471">
        <v>14.787813234625753</v>
      </c>
      <c r="BK13" s="471">
        <v>42.114712602643337</v>
      </c>
      <c r="BL13" s="471">
        <v>81.77530172322858</v>
      </c>
      <c r="BM13" s="471">
        <v>84.518915125578644</v>
      </c>
      <c r="BN13" s="471">
        <f t="shared" si="23"/>
        <v>43.47965238380452</v>
      </c>
      <c r="BO13" s="471">
        <f t="shared" si="23"/>
        <v>43.823533453084863</v>
      </c>
      <c r="BP13" s="471">
        <f t="shared" si="23"/>
        <v>44.575350301950031</v>
      </c>
      <c r="BQ13" s="471">
        <f t="shared" si="23"/>
        <v>45.327167150815214</v>
      </c>
      <c r="BR13" s="471">
        <f t="shared" si="23"/>
        <v>46.307325731581919</v>
      </c>
      <c r="BS13" s="471">
        <f t="shared" si="23"/>
        <v>46.557300339382337</v>
      </c>
      <c r="BT13" s="471">
        <f t="shared" si="23"/>
        <v>47.401361784864925</v>
      </c>
      <c r="BU13" s="471">
        <f t="shared" si="23"/>
        <v>47.298592442901054</v>
      </c>
      <c r="BV13" s="471">
        <f t="shared" si="23"/>
        <v>47.58840789479413</v>
      </c>
      <c r="BW13" s="471">
        <f t="shared" si="23"/>
        <v>47.885323184328449</v>
      </c>
      <c r="BX13" s="471">
        <f t="shared" si="23"/>
        <v>48.424689238066897</v>
      </c>
      <c r="BY13" s="471">
        <f t="shared" si="24"/>
        <v>48.964055291805352</v>
      </c>
      <c r="BZ13" s="471">
        <f t="shared" si="24"/>
        <v>49.503421345543813</v>
      </c>
      <c r="CA13" s="471">
        <f t="shared" si="24"/>
        <v>50.042787399282268</v>
      </c>
      <c r="CB13" s="471">
        <f t="shared" si="24"/>
        <v>50.582153453020716</v>
      </c>
      <c r="CC13" s="471">
        <f t="shared" si="24"/>
        <v>50.843569508969956</v>
      </c>
      <c r="CD13" s="471">
        <f t="shared" si="24"/>
        <v>51.104985564919183</v>
      </c>
      <c r="CE13" s="471">
        <f t="shared" si="24"/>
        <v>51.366401620868416</v>
      </c>
      <c r="CF13" s="471">
        <f t="shared" si="24"/>
        <v>51.627817676817642</v>
      </c>
      <c r="CG13" s="471">
        <f t="shared" si="24"/>
        <v>51.889233732766883</v>
      </c>
    </row>
    <row r="14" spans="1:85" x14ac:dyDescent="0.25">
      <c r="A14" s="98" t="s">
        <v>815</v>
      </c>
      <c r="B14" s="99">
        <f t="shared" si="25"/>
        <v>10610.666507854005</v>
      </c>
      <c r="C14" s="99">
        <f t="shared" si="0"/>
        <v>9196.6591569398279</v>
      </c>
      <c r="D14" s="99">
        <f t="shared" si="0"/>
        <v>10304.876937771009</v>
      </c>
      <c r="E14" s="99">
        <f t="shared" si="0"/>
        <v>11681.134967920983</v>
      </c>
      <c r="F14" s="99">
        <f t="shared" si="0"/>
        <v>11533.69926022718</v>
      </c>
      <c r="G14" s="99">
        <f t="shared" si="0"/>
        <v>10396.431142820365</v>
      </c>
      <c r="H14" s="99">
        <f t="shared" si="1"/>
        <v>10893.490164872674</v>
      </c>
      <c r="I14" s="99">
        <f t="shared" si="2"/>
        <v>10979.646903501214</v>
      </c>
      <c r="J14" s="99">
        <f t="shared" si="3"/>
        <v>11168.008792336115</v>
      </c>
      <c r="K14" s="99">
        <f t="shared" si="4"/>
        <v>11356.370681171018</v>
      </c>
      <c r="L14" s="99">
        <f t="shared" si="5"/>
        <v>11601.941822479746</v>
      </c>
      <c r="M14" s="99">
        <f t="shared" si="6"/>
        <v>11664.5710244684</v>
      </c>
      <c r="N14" s="99">
        <f t="shared" si="7"/>
        <v>11876.044082572649</v>
      </c>
      <c r="O14" s="99">
        <f t="shared" si="8"/>
        <v>11850.296019868474</v>
      </c>
      <c r="P14" s="99">
        <f t="shared" si="9"/>
        <v>11922.907036786386</v>
      </c>
      <c r="Q14" s="99">
        <f t="shared" si="10"/>
        <v>11997.296863038704</v>
      </c>
      <c r="R14" s="99">
        <f t="shared" si="11"/>
        <v>12132.430850537063</v>
      </c>
      <c r="S14" s="99">
        <f t="shared" si="12"/>
        <v>12267.564838035423</v>
      </c>
      <c r="T14" s="99">
        <f t="shared" si="13"/>
        <v>12402.698825533782</v>
      </c>
      <c r="U14" s="99">
        <f t="shared" si="14"/>
        <v>12537.832813032141</v>
      </c>
      <c r="V14" s="99">
        <f t="shared" si="15"/>
        <v>12672.966800530499</v>
      </c>
      <c r="W14" s="99">
        <f t="shared" si="16"/>
        <v>12738.462568741461</v>
      </c>
      <c r="X14" s="99">
        <f t="shared" si="17"/>
        <v>12803.958336952421</v>
      </c>
      <c r="Y14" s="99">
        <f t="shared" si="18"/>
        <v>12869.454105163379</v>
      </c>
      <c r="Z14" s="99">
        <f t="shared" si="19"/>
        <v>12934.949873374338</v>
      </c>
      <c r="AA14" s="99">
        <f t="shared" si="20"/>
        <v>13000.4456415853</v>
      </c>
      <c r="AB14" s="821"/>
      <c r="AC14" s="101">
        <f t="shared" si="26"/>
        <v>0.846328538985617</v>
      </c>
      <c r="AD14" s="101">
        <f t="shared" si="27"/>
        <v>0.85022026431718067</v>
      </c>
      <c r="AE14" s="101">
        <f t="shared" si="28"/>
        <v>0.87401574803149606</v>
      </c>
      <c r="AF14" s="101">
        <f t="shared" si="29"/>
        <v>0.87323943661971837</v>
      </c>
      <c r="AG14" s="101">
        <f t="shared" si="30"/>
        <v>0.82986111111111116</v>
      </c>
      <c r="AH14" s="101">
        <f t="shared" si="31"/>
        <v>0.80597014925373134</v>
      </c>
      <c r="AI14" s="101">
        <f t="shared" si="32"/>
        <v>0.846328538985617</v>
      </c>
      <c r="AJ14" s="101">
        <f t="shared" si="33"/>
        <v>0.84632853898561711</v>
      </c>
      <c r="AK14" s="101">
        <f t="shared" si="34"/>
        <v>0.84632853898561711</v>
      </c>
      <c r="AL14" s="101">
        <f t="shared" si="35"/>
        <v>0.846328538985617</v>
      </c>
      <c r="AM14" s="101">
        <f t="shared" si="36"/>
        <v>0.846328538985617</v>
      </c>
      <c r="AN14" s="101">
        <f t="shared" si="37"/>
        <v>0.846328538985617</v>
      </c>
      <c r="AO14" s="101">
        <f t="shared" si="38"/>
        <v>0.84632853898561711</v>
      </c>
      <c r="AP14" s="101">
        <f t="shared" si="39"/>
        <v>0.84632853898561711</v>
      </c>
      <c r="AQ14" s="101">
        <f t="shared" si="40"/>
        <v>0.84632853898561711</v>
      </c>
      <c r="AR14" s="101">
        <f t="shared" si="41"/>
        <v>0.846328538985617</v>
      </c>
      <c r="AS14" s="101">
        <f t="shared" si="42"/>
        <v>0.846328538985617</v>
      </c>
      <c r="AT14" s="101">
        <f t="shared" si="43"/>
        <v>0.84632853898561711</v>
      </c>
      <c r="AU14" s="101">
        <f t="shared" si="43"/>
        <v>0.846328538985617</v>
      </c>
      <c r="AV14" s="101">
        <f t="shared" si="43"/>
        <v>0.84632853898561688</v>
      </c>
      <c r="AW14" s="101">
        <f t="shared" si="43"/>
        <v>0.84632853898561688</v>
      </c>
      <c r="AX14" s="101">
        <f t="shared" si="43"/>
        <v>0.846328538985617</v>
      </c>
      <c r="AY14" s="101">
        <f t="shared" si="43"/>
        <v>0.84632853898561711</v>
      </c>
      <c r="AZ14" s="101">
        <f t="shared" si="43"/>
        <v>0.84632853898561688</v>
      </c>
      <c r="BA14" s="101">
        <f t="shared" si="43"/>
        <v>0.84632853898561711</v>
      </c>
      <c r="BB14" s="101">
        <f t="shared" si="43"/>
        <v>0.846328538985617</v>
      </c>
      <c r="BE14" s="97">
        <v>0.74143260370824005</v>
      </c>
      <c r="BF14" s="97"/>
      <c r="BH14" s="472">
        <v>10610.666507854005</v>
      </c>
      <c r="BI14" s="472">
        <v>9196.6591569398279</v>
      </c>
      <c r="BJ14" s="472">
        <v>10304.876937771009</v>
      </c>
      <c r="BK14" s="472">
        <v>11681.134967920983</v>
      </c>
      <c r="BL14" s="472">
        <v>11533.69926022718</v>
      </c>
      <c r="BM14" s="472">
        <v>10396.431142820365</v>
      </c>
      <c r="BN14" s="472">
        <f t="shared" si="23"/>
        <v>10893.490164872674</v>
      </c>
      <c r="BO14" s="472">
        <f t="shared" si="23"/>
        <v>10979.646903501214</v>
      </c>
      <c r="BP14" s="472">
        <f t="shared" si="23"/>
        <v>11168.008792336115</v>
      </c>
      <c r="BQ14" s="472">
        <f t="shared" si="23"/>
        <v>11356.370681171018</v>
      </c>
      <c r="BR14" s="472">
        <f t="shared" si="23"/>
        <v>11601.941822479746</v>
      </c>
      <c r="BS14" s="472">
        <f t="shared" si="23"/>
        <v>11664.5710244684</v>
      </c>
      <c r="BT14" s="472">
        <f t="shared" si="23"/>
        <v>11876.044082572649</v>
      </c>
      <c r="BU14" s="472">
        <f t="shared" si="23"/>
        <v>11850.296019868474</v>
      </c>
      <c r="BV14" s="472">
        <f t="shared" si="23"/>
        <v>11922.907036786386</v>
      </c>
      <c r="BW14" s="472">
        <f t="shared" si="23"/>
        <v>11997.296863038704</v>
      </c>
      <c r="BX14" s="472">
        <f t="shared" si="23"/>
        <v>12132.430850537063</v>
      </c>
      <c r="BY14" s="472">
        <f t="shared" si="24"/>
        <v>12267.564838035423</v>
      </c>
      <c r="BZ14" s="472">
        <f t="shared" si="24"/>
        <v>12402.698825533782</v>
      </c>
      <c r="CA14" s="472">
        <f t="shared" si="24"/>
        <v>12537.832813032141</v>
      </c>
      <c r="CB14" s="472">
        <f t="shared" si="24"/>
        <v>12672.966800530499</v>
      </c>
      <c r="CC14" s="472">
        <f t="shared" si="24"/>
        <v>12738.462568741461</v>
      </c>
      <c r="CD14" s="472">
        <f t="shared" si="24"/>
        <v>12803.958336952421</v>
      </c>
      <c r="CE14" s="472">
        <f t="shared" si="24"/>
        <v>12869.454105163379</v>
      </c>
      <c r="CF14" s="472">
        <f t="shared" si="24"/>
        <v>12934.949873374338</v>
      </c>
      <c r="CG14" s="472">
        <f t="shared" si="24"/>
        <v>13000.4456415853</v>
      </c>
    </row>
    <row r="15" spans="1:85" x14ac:dyDescent="0.25">
      <c r="A15" s="102" t="s">
        <v>816</v>
      </c>
      <c r="B15" s="104">
        <f t="shared" si="25"/>
        <v>3083.2692192954237</v>
      </c>
      <c r="C15" s="104">
        <f t="shared" si="0"/>
        <v>3418.0210152672248</v>
      </c>
      <c r="D15" s="104">
        <f t="shared" si="0"/>
        <v>3493.9289733156238</v>
      </c>
      <c r="E15" s="104">
        <f t="shared" si="0"/>
        <v>3408.4928057622315</v>
      </c>
      <c r="F15" s="104">
        <f t="shared" si="0"/>
        <v>2698.2587442957924</v>
      </c>
      <c r="G15" s="104">
        <f t="shared" si="0"/>
        <v>2460.6768536541304</v>
      </c>
      <c r="H15" s="104">
        <f t="shared" si="1"/>
        <v>3165.4526971691989</v>
      </c>
      <c r="I15" s="104">
        <f t="shared" si="2"/>
        <v>3190.4882988490399</v>
      </c>
      <c r="J15" s="104">
        <f t="shared" si="3"/>
        <v>3245.2228825345333</v>
      </c>
      <c r="K15" s="104">
        <f t="shared" si="4"/>
        <v>3299.9574662200271</v>
      </c>
      <c r="L15" s="104">
        <f t="shared" si="5"/>
        <v>3371.3160317337015</v>
      </c>
      <c r="M15" s="104">
        <f t="shared" si="6"/>
        <v>3389.514953599516</v>
      </c>
      <c r="N15" s="104">
        <f t="shared" si="7"/>
        <v>3450.9652282152028</v>
      </c>
      <c r="O15" s="104">
        <f t="shared" si="8"/>
        <v>3443.4833033866821</v>
      </c>
      <c r="P15" s="104">
        <f t="shared" si="9"/>
        <v>3464.5827614913187</v>
      </c>
      <c r="Q15" s="104">
        <f t="shared" si="10"/>
        <v>3486.1991096578295</v>
      </c>
      <c r="R15" s="104">
        <f t="shared" si="11"/>
        <v>3525.4666206879742</v>
      </c>
      <c r="S15" s="104">
        <f t="shared" si="12"/>
        <v>3564.734131718119</v>
      </c>
      <c r="T15" s="104">
        <f t="shared" si="13"/>
        <v>3604.0016427482633</v>
      </c>
      <c r="U15" s="104">
        <f t="shared" si="14"/>
        <v>3643.2691537784081</v>
      </c>
      <c r="V15" s="104">
        <f t="shared" si="15"/>
        <v>3682.5366648085528</v>
      </c>
      <c r="W15" s="104">
        <f t="shared" si="16"/>
        <v>3701.568559361971</v>
      </c>
      <c r="X15" s="104">
        <f t="shared" si="17"/>
        <v>3720.6004539153882</v>
      </c>
      <c r="Y15" s="104">
        <f t="shared" si="18"/>
        <v>3739.6323484688064</v>
      </c>
      <c r="Z15" s="104">
        <f t="shared" si="19"/>
        <v>3758.6642430222237</v>
      </c>
      <c r="AA15" s="104">
        <f t="shared" si="20"/>
        <v>3777.6961375756418</v>
      </c>
      <c r="AB15" s="821"/>
      <c r="AC15" s="105">
        <f t="shared" si="26"/>
        <v>0.24592788131962318</v>
      </c>
      <c r="AD15" s="105">
        <f t="shared" si="27"/>
        <v>0.31599200116590687</v>
      </c>
      <c r="AE15" s="105">
        <f t="shared" si="28"/>
        <v>0.29634016627489312</v>
      </c>
      <c r="AF15" s="105">
        <f t="shared" si="29"/>
        <v>0.2548066044609637</v>
      </c>
      <c r="AG15" s="105">
        <f t="shared" si="30"/>
        <v>0.19414239517482204</v>
      </c>
      <c r="AH15" s="105">
        <f t="shared" si="31"/>
        <v>0.19076085473565751</v>
      </c>
      <c r="AI15" s="105">
        <f t="shared" si="32"/>
        <v>0.24592788131962315</v>
      </c>
      <c r="AJ15" s="105">
        <f t="shared" si="33"/>
        <v>0.24592788131962318</v>
      </c>
      <c r="AK15" s="105">
        <f t="shared" si="34"/>
        <v>0.24592788131962318</v>
      </c>
      <c r="AL15" s="105">
        <f t="shared" si="35"/>
        <v>0.24592788131962315</v>
      </c>
      <c r="AM15" s="105">
        <f t="shared" si="36"/>
        <v>0.24592788131962315</v>
      </c>
      <c r="AN15" s="105">
        <f t="shared" si="37"/>
        <v>0.24592788131962318</v>
      </c>
      <c r="AO15" s="105">
        <f t="shared" si="38"/>
        <v>0.24592788131962315</v>
      </c>
      <c r="AP15" s="105">
        <f t="shared" si="39"/>
        <v>0.24592788131962318</v>
      </c>
      <c r="AQ15" s="105">
        <f t="shared" si="40"/>
        <v>0.24592788131962318</v>
      </c>
      <c r="AR15" s="105">
        <f t="shared" si="41"/>
        <v>0.24592788131962315</v>
      </c>
      <c r="AS15" s="105">
        <f t="shared" si="42"/>
        <v>0.24592788131962318</v>
      </c>
      <c r="AT15" s="105">
        <f t="shared" si="43"/>
        <v>0.24592788131962318</v>
      </c>
      <c r="AU15" s="105">
        <f t="shared" si="43"/>
        <v>0.24592788131962315</v>
      </c>
      <c r="AV15" s="105">
        <f t="shared" si="43"/>
        <v>0.24592788131962315</v>
      </c>
      <c r="AW15" s="105">
        <f t="shared" si="43"/>
        <v>0.24592788131962315</v>
      </c>
      <c r="AX15" s="105">
        <f t="shared" si="43"/>
        <v>0.24592788131962315</v>
      </c>
      <c r="AY15" s="105">
        <f t="shared" si="43"/>
        <v>0.24592788131962318</v>
      </c>
      <c r="AZ15" s="105">
        <f t="shared" si="43"/>
        <v>0.24592788131962315</v>
      </c>
      <c r="BA15" s="105">
        <f t="shared" si="43"/>
        <v>0.24592788131962315</v>
      </c>
      <c r="BB15" s="105">
        <f t="shared" si="43"/>
        <v>0.24592788131962312</v>
      </c>
      <c r="BE15" s="97">
        <v>0.26074619463840165</v>
      </c>
      <c r="BF15" s="97"/>
      <c r="BH15" s="470">
        <v>3083.2692192954237</v>
      </c>
      <c r="BI15" s="470">
        <v>3418.0210152672248</v>
      </c>
      <c r="BJ15" s="470">
        <v>3493.9289733156238</v>
      </c>
      <c r="BK15" s="470">
        <v>3408.4928057622315</v>
      </c>
      <c r="BL15" s="470">
        <v>2698.2587442957924</v>
      </c>
      <c r="BM15" s="470">
        <v>2460.6768536541304</v>
      </c>
      <c r="BN15" s="470">
        <f t="shared" si="23"/>
        <v>3165.4526971691989</v>
      </c>
      <c r="BO15" s="470">
        <f t="shared" si="23"/>
        <v>3190.4882988490399</v>
      </c>
      <c r="BP15" s="470">
        <f t="shared" si="23"/>
        <v>3245.2228825345333</v>
      </c>
      <c r="BQ15" s="470">
        <f t="shared" si="23"/>
        <v>3299.9574662200271</v>
      </c>
      <c r="BR15" s="470">
        <f t="shared" si="23"/>
        <v>3371.3160317337015</v>
      </c>
      <c r="BS15" s="470">
        <f t="shared" si="23"/>
        <v>3389.514953599516</v>
      </c>
      <c r="BT15" s="470">
        <f t="shared" si="23"/>
        <v>3450.9652282152028</v>
      </c>
      <c r="BU15" s="470">
        <f t="shared" si="23"/>
        <v>3443.4833033866821</v>
      </c>
      <c r="BV15" s="470">
        <f t="shared" si="23"/>
        <v>3464.5827614913187</v>
      </c>
      <c r="BW15" s="470">
        <f t="shared" si="23"/>
        <v>3486.1991096578295</v>
      </c>
      <c r="BX15" s="470">
        <f t="shared" si="23"/>
        <v>3525.4666206879742</v>
      </c>
      <c r="BY15" s="470">
        <f t="shared" si="24"/>
        <v>3564.734131718119</v>
      </c>
      <c r="BZ15" s="470">
        <f t="shared" si="24"/>
        <v>3604.0016427482633</v>
      </c>
      <c r="CA15" s="470">
        <f t="shared" si="24"/>
        <v>3643.2691537784081</v>
      </c>
      <c r="CB15" s="470">
        <f t="shared" si="24"/>
        <v>3682.5366648085528</v>
      </c>
      <c r="CC15" s="470">
        <f t="shared" si="24"/>
        <v>3701.568559361971</v>
      </c>
      <c r="CD15" s="470">
        <f t="shared" si="24"/>
        <v>3720.6004539153882</v>
      </c>
      <c r="CE15" s="470">
        <f t="shared" si="24"/>
        <v>3739.6323484688064</v>
      </c>
      <c r="CF15" s="470">
        <f t="shared" si="24"/>
        <v>3758.6642430222237</v>
      </c>
      <c r="CG15" s="470">
        <f t="shared" si="24"/>
        <v>3777.6961375756418</v>
      </c>
    </row>
    <row r="16" spans="1:85" x14ac:dyDescent="0.25">
      <c r="A16" s="102" t="s">
        <v>817</v>
      </c>
      <c r="B16" s="104">
        <f t="shared" si="25"/>
        <v>3837.7451635322213</v>
      </c>
      <c r="C16" s="104">
        <f t="shared" si="0"/>
        <v>3334.0812912954862</v>
      </c>
      <c r="D16" s="104">
        <f t="shared" si="0"/>
        <v>3987.1680114554683</v>
      </c>
      <c r="E16" s="104">
        <f t="shared" si="0"/>
        <v>3796.030740253876</v>
      </c>
      <c r="F16" s="104">
        <f t="shared" si="0"/>
        <v>4014.0006959069315</v>
      </c>
      <c r="G16" s="104">
        <f t="shared" si="0"/>
        <v>3918.0392931140923</v>
      </c>
      <c r="H16" s="104">
        <f t="shared" si="1"/>
        <v>3940.0389375427867</v>
      </c>
      <c r="I16" s="104">
        <f t="shared" si="2"/>
        <v>3971.2007506798454</v>
      </c>
      <c r="J16" s="104">
        <f t="shared" si="3"/>
        <v>4039.3288863944917</v>
      </c>
      <c r="K16" s="104">
        <f t="shared" si="4"/>
        <v>4107.4570221091399</v>
      </c>
      <c r="L16" s="104">
        <f t="shared" si="5"/>
        <v>4196.2770278234902</v>
      </c>
      <c r="M16" s="104">
        <f t="shared" si="6"/>
        <v>4218.9292256708095</v>
      </c>
      <c r="N16" s="104">
        <f t="shared" si="7"/>
        <v>4295.4163818128127</v>
      </c>
      <c r="O16" s="104">
        <f t="shared" si="8"/>
        <v>4286.1036300605892</v>
      </c>
      <c r="P16" s="104">
        <f t="shared" si="9"/>
        <v>4312.3661253326454</v>
      </c>
      <c r="Q16" s="104">
        <f t="shared" si="10"/>
        <v>4339.2719936590611</v>
      </c>
      <c r="R16" s="104">
        <f t="shared" si="11"/>
        <v>4388.1482642087749</v>
      </c>
      <c r="S16" s="104">
        <f t="shared" si="12"/>
        <v>4437.0245347584878</v>
      </c>
      <c r="T16" s="104">
        <f t="shared" si="13"/>
        <v>4485.9008053082007</v>
      </c>
      <c r="U16" s="104">
        <f t="shared" si="14"/>
        <v>4534.7770758579136</v>
      </c>
      <c r="V16" s="104">
        <f t="shared" si="15"/>
        <v>4583.6533464076274</v>
      </c>
      <c r="W16" s="104">
        <f t="shared" si="16"/>
        <v>4607.3423453500964</v>
      </c>
      <c r="X16" s="104">
        <f t="shared" si="17"/>
        <v>4631.0313442925635</v>
      </c>
      <c r="Y16" s="104">
        <f t="shared" si="18"/>
        <v>4654.7203432350325</v>
      </c>
      <c r="Z16" s="104">
        <f t="shared" si="19"/>
        <v>4678.4093421775005</v>
      </c>
      <c r="AA16" s="104">
        <f t="shared" si="20"/>
        <v>4702.0983411199686</v>
      </c>
      <c r="AB16" s="821"/>
      <c r="AC16" s="105">
        <f t="shared" si="26"/>
        <v>0.30610643118857628</v>
      </c>
      <c r="AD16" s="105">
        <f t="shared" si="27"/>
        <v>0.3082318729406362</v>
      </c>
      <c r="AE16" s="105">
        <f t="shared" si="28"/>
        <v>0.33817459957103496</v>
      </c>
      <c r="AF16" s="105">
        <f t="shared" si="29"/>
        <v>0.28377753994913435</v>
      </c>
      <c r="AG16" s="105">
        <f t="shared" si="30"/>
        <v>0.28881133471140008</v>
      </c>
      <c r="AH16" s="105">
        <f t="shared" si="31"/>
        <v>0.30374103098195371</v>
      </c>
      <c r="AI16" s="105">
        <f t="shared" si="32"/>
        <v>0.30610643118857628</v>
      </c>
      <c r="AJ16" s="105">
        <f t="shared" si="33"/>
        <v>0.30610643118857628</v>
      </c>
      <c r="AK16" s="105">
        <f t="shared" si="34"/>
        <v>0.30610643118857628</v>
      </c>
      <c r="AL16" s="105">
        <f t="shared" si="35"/>
        <v>0.30610643118857628</v>
      </c>
      <c r="AM16" s="105">
        <f t="shared" si="36"/>
        <v>0.30610643118857628</v>
      </c>
      <c r="AN16" s="105">
        <f t="shared" si="37"/>
        <v>0.30610643118857628</v>
      </c>
      <c r="AO16" s="105">
        <f t="shared" si="38"/>
        <v>0.30610643118857628</v>
      </c>
      <c r="AP16" s="105">
        <f t="shared" si="39"/>
        <v>0.30610643118857628</v>
      </c>
      <c r="AQ16" s="105">
        <f t="shared" si="40"/>
        <v>0.30610643118857633</v>
      </c>
      <c r="AR16" s="105">
        <f t="shared" si="41"/>
        <v>0.30610643118857622</v>
      </c>
      <c r="AS16" s="105">
        <f t="shared" si="42"/>
        <v>0.30610643118857628</v>
      </c>
      <c r="AT16" s="105">
        <f t="shared" si="43"/>
        <v>0.30610643118857628</v>
      </c>
      <c r="AU16" s="105">
        <f t="shared" si="43"/>
        <v>0.30610643118857628</v>
      </c>
      <c r="AV16" s="105">
        <f t="shared" si="43"/>
        <v>0.30610643118857622</v>
      </c>
      <c r="AW16" s="105">
        <f t="shared" si="43"/>
        <v>0.30610643118857628</v>
      </c>
      <c r="AX16" s="105">
        <f t="shared" si="43"/>
        <v>0.30610643118857633</v>
      </c>
      <c r="AY16" s="105">
        <f t="shared" si="43"/>
        <v>0.30610643118857628</v>
      </c>
      <c r="AZ16" s="105">
        <f t="shared" si="43"/>
        <v>0.30610643118857628</v>
      </c>
      <c r="BA16" s="105">
        <f t="shared" si="43"/>
        <v>0.30610643118857633</v>
      </c>
      <c r="BB16" s="105">
        <f t="shared" si="43"/>
        <v>0.30610643118857622</v>
      </c>
      <c r="BE16" s="97">
        <v>0.27260605975506508</v>
      </c>
      <c r="BF16" s="97"/>
      <c r="BH16" s="470">
        <v>3837.7451635322213</v>
      </c>
      <c r="BI16" s="470">
        <v>3334.0812912954862</v>
      </c>
      <c r="BJ16" s="470">
        <v>3987.1680114554683</v>
      </c>
      <c r="BK16" s="470">
        <v>3796.030740253876</v>
      </c>
      <c r="BL16" s="470">
        <v>4014.0006959069315</v>
      </c>
      <c r="BM16" s="470">
        <v>3918.0392931140923</v>
      </c>
      <c r="BN16" s="470">
        <f t="shared" si="23"/>
        <v>3940.0389375427867</v>
      </c>
      <c r="BO16" s="470">
        <f t="shared" si="23"/>
        <v>3971.2007506798454</v>
      </c>
      <c r="BP16" s="470">
        <f t="shared" si="23"/>
        <v>4039.3288863944917</v>
      </c>
      <c r="BQ16" s="470">
        <f t="shared" si="23"/>
        <v>4107.4570221091399</v>
      </c>
      <c r="BR16" s="470">
        <f t="shared" si="23"/>
        <v>4196.2770278234902</v>
      </c>
      <c r="BS16" s="470">
        <f t="shared" si="23"/>
        <v>4218.9292256708095</v>
      </c>
      <c r="BT16" s="470">
        <f t="shared" si="23"/>
        <v>4295.4163818128127</v>
      </c>
      <c r="BU16" s="470">
        <f t="shared" si="23"/>
        <v>4286.1036300605892</v>
      </c>
      <c r="BV16" s="470">
        <f t="shared" si="23"/>
        <v>4312.3661253326454</v>
      </c>
      <c r="BW16" s="470">
        <f t="shared" si="23"/>
        <v>4339.2719936590611</v>
      </c>
      <c r="BX16" s="470">
        <f t="shared" si="23"/>
        <v>4388.1482642087749</v>
      </c>
      <c r="BY16" s="470">
        <f t="shared" si="24"/>
        <v>4437.0245347584878</v>
      </c>
      <c r="BZ16" s="470">
        <f t="shared" si="24"/>
        <v>4485.9008053082007</v>
      </c>
      <c r="CA16" s="470">
        <f t="shared" si="24"/>
        <v>4534.7770758579136</v>
      </c>
      <c r="CB16" s="470">
        <f t="shared" si="24"/>
        <v>4583.6533464076274</v>
      </c>
      <c r="CC16" s="470">
        <f t="shared" si="24"/>
        <v>4607.3423453500964</v>
      </c>
      <c r="CD16" s="470">
        <f t="shared" si="24"/>
        <v>4631.0313442925635</v>
      </c>
      <c r="CE16" s="470">
        <f t="shared" si="24"/>
        <v>4654.7203432350325</v>
      </c>
      <c r="CF16" s="470">
        <f t="shared" si="24"/>
        <v>4678.4093421775005</v>
      </c>
      <c r="CG16" s="470">
        <f t="shared" si="24"/>
        <v>4702.0983411199686</v>
      </c>
    </row>
    <row r="17" spans="1:85" x14ac:dyDescent="0.25">
      <c r="A17" s="103" t="s">
        <v>818</v>
      </c>
      <c r="B17" s="104">
        <f t="shared" si="25"/>
        <v>2776.2208757884196</v>
      </c>
      <c r="C17" s="104">
        <f t="shared" si="0"/>
        <v>2156.2783955204809</v>
      </c>
      <c r="D17" s="104">
        <f t="shared" si="0"/>
        <v>2400.5670753880204</v>
      </c>
      <c r="E17" s="104">
        <f t="shared" si="0"/>
        <v>3181.0404524770693</v>
      </c>
      <c r="F17" s="104">
        <f t="shared" si="0"/>
        <v>3244.3954138325562</v>
      </c>
      <c r="G17" s="104">
        <f t="shared" si="0"/>
        <v>2887.8707388260805</v>
      </c>
      <c r="H17" s="104">
        <f t="shared" si="1"/>
        <v>2850.2200859417931</v>
      </c>
      <c r="I17" s="104">
        <f t="shared" si="2"/>
        <v>2872.7625092846952</v>
      </c>
      <c r="J17" s="104">
        <f t="shared" si="3"/>
        <v>2922.0463320869026</v>
      </c>
      <c r="K17" s="104">
        <f t="shared" si="4"/>
        <v>2971.3301548891104</v>
      </c>
      <c r="L17" s="104">
        <f t="shared" si="5"/>
        <v>3035.5824550144457</v>
      </c>
      <c r="M17" s="104">
        <f t="shared" si="6"/>
        <v>3051.9690314718409</v>
      </c>
      <c r="N17" s="104">
        <f t="shared" si="7"/>
        <v>3107.2997609921081</v>
      </c>
      <c r="O17" s="104">
        <f t="shared" si="8"/>
        <v>3100.5629260216069</v>
      </c>
      <c r="P17" s="104">
        <f t="shared" si="9"/>
        <v>3119.5611878961577</v>
      </c>
      <c r="Q17" s="104">
        <f t="shared" si="10"/>
        <v>3139.0248651717643</v>
      </c>
      <c r="R17" s="104">
        <f t="shared" si="11"/>
        <v>3174.3819086566182</v>
      </c>
      <c r="S17" s="104">
        <f t="shared" si="12"/>
        <v>3209.7389521414716</v>
      </c>
      <c r="T17" s="104">
        <f t="shared" si="13"/>
        <v>3245.0959956263255</v>
      </c>
      <c r="U17" s="104">
        <f t="shared" si="14"/>
        <v>3280.4530391111794</v>
      </c>
      <c r="V17" s="104">
        <f t="shared" si="15"/>
        <v>3315.8100825960332</v>
      </c>
      <c r="W17" s="104">
        <f t="shared" si="16"/>
        <v>3332.9466798916396</v>
      </c>
      <c r="X17" s="104">
        <f t="shared" si="17"/>
        <v>3350.0832771872447</v>
      </c>
      <c r="Y17" s="104">
        <f t="shared" si="18"/>
        <v>3367.2198744828506</v>
      </c>
      <c r="Z17" s="104">
        <f t="shared" si="19"/>
        <v>3384.3564717784561</v>
      </c>
      <c r="AA17" s="104">
        <f t="shared" si="20"/>
        <v>3401.4930690740625</v>
      </c>
      <c r="AB17" s="821"/>
      <c r="AC17" s="105">
        <f t="shared" si="26"/>
        <v>0.22143707522691583</v>
      </c>
      <c r="AD17" s="105">
        <f t="shared" si="27"/>
        <v>0.19934538793877413</v>
      </c>
      <c r="AE17" s="105">
        <f t="shared" si="28"/>
        <v>0.20360586941166103</v>
      </c>
      <c r="AF17" s="105">
        <f t="shared" si="29"/>
        <v>0.2378030885024528</v>
      </c>
      <c r="AG17" s="105">
        <f t="shared" si="30"/>
        <v>0.23343747069002788</v>
      </c>
      <c r="AH17" s="105">
        <f t="shared" si="31"/>
        <v>0.22387851931328429</v>
      </c>
      <c r="AI17" s="105">
        <f t="shared" si="32"/>
        <v>0.2214370752269158</v>
      </c>
      <c r="AJ17" s="105">
        <f t="shared" si="33"/>
        <v>0.22143707522691577</v>
      </c>
      <c r="AK17" s="105">
        <f t="shared" si="34"/>
        <v>0.2214370752269158</v>
      </c>
      <c r="AL17" s="105">
        <f t="shared" si="35"/>
        <v>0.2214370752269158</v>
      </c>
      <c r="AM17" s="105">
        <f t="shared" si="36"/>
        <v>0.2214370752269158</v>
      </c>
      <c r="AN17" s="105">
        <f t="shared" si="37"/>
        <v>0.22143707522691583</v>
      </c>
      <c r="AO17" s="105">
        <f t="shared" si="38"/>
        <v>0.2214370752269158</v>
      </c>
      <c r="AP17" s="105">
        <f t="shared" si="39"/>
        <v>0.22143707522691583</v>
      </c>
      <c r="AQ17" s="105">
        <f t="shared" si="40"/>
        <v>0.22143707522691583</v>
      </c>
      <c r="AR17" s="105">
        <f t="shared" si="41"/>
        <v>0.2214370752269158</v>
      </c>
      <c r="AS17" s="105">
        <f t="shared" si="42"/>
        <v>0.22143707522691583</v>
      </c>
      <c r="AT17" s="105">
        <f t="shared" si="43"/>
        <v>0.2214370752269158</v>
      </c>
      <c r="AU17" s="105">
        <f t="shared" si="43"/>
        <v>0.2214370752269158</v>
      </c>
      <c r="AV17" s="105">
        <f t="shared" si="43"/>
        <v>0.22143707522691577</v>
      </c>
      <c r="AW17" s="105">
        <f t="shared" si="43"/>
        <v>0.2214370752269158</v>
      </c>
      <c r="AX17" s="105">
        <f t="shared" si="43"/>
        <v>0.22143707522691583</v>
      </c>
      <c r="AY17" s="105">
        <f t="shared" si="43"/>
        <v>0.2214370752269158</v>
      </c>
      <c r="AZ17" s="105">
        <f t="shared" si="43"/>
        <v>0.22143707522691577</v>
      </c>
      <c r="BA17" s="105">
        <f t="shared" si="43"/>
        <v>0.2214370752269158</v>
      </c>
      <c r="BB17" s="105">
        <f t="shared" si="43"/>
        <v>0.2214370752269158</v>
      </c>
      <c r="BE17" s="97">
        <v>0.17858617437963648</v>
      </c>
      <c r="BF17" s="97"/>
      <c r="BH17" s="470">
        <v>2776.2208757884196</v>
      </c>
      <c r="BI17" s="470">
        <v>2156.2783955204809</v>
      </c>
      <c r="BJ17" s="470">
        <v>2400.5670753880204</v>
      </c>
      <c r="BK17" s="470">
        <v>3181.0404524770693</v>
      </c>
      <c r="BL17" s="470">
        <v>3244.3954138325562</v>
      </c>
      <c r="BM17" s="470">
        <v>2887.8707388260805</v>
      </c>
      <c r="BN17" s="470">
        <f t="shared" si="23"/>
        <v>2850.2200859417931</v>
      </c>
      <c r="BO17" s="470">
        <f t="shared" si="23"/>
        <v>2872.7625092846952</v>
      </c>
      <c r="BP17" s="470">
        <f t="shared" si="23"/>
        <v>2922.0463320869026</v>
      </c>
      <c r="BQ17" s="470">
        <f t="shared" si="23"/>
        <v>2971.3301548891104</v>
      </c>
      <c r="BR17" s="470">
        <f t="shared" si="23"/>
        <v>3035.5824550144457</v>
      </c>
      <c r="BS17" s="470">
        <f t="shared" si="23"/>
        <v>3051.9690314718409</v>
      </c>
      <c r="BT17" s="470">
        <f t="shared" si="23"/>
        <v>3107.2997609921081</v>
      </c>
      <c r="BU17" s="470">
        <f t="shared" si="23"/>
        <v>3100.5629260216069</v>
      </c>
      <c r="BV17" s="470">
        <f t="shared" si="23"/>
        <v>3119.5611878961577</v>
      </c>
      <c r="BW17" s="470">
        <f t="shared" si="23"/>
        <v>3139.0248651717643</v>
      </c>
      <c r="BX17" s="470">
        <f t="shared" si="23"/>
        <v>3174.3819086566182</v>
      </c>
      <c r="BY17" s="470">
        <f t="shared" si="24"/>
        <v>3209.7389521414716</v>
      </c>
      <c r="BZ17" s="470">
        <f t="shared" si="24"/>
        <v>3245.0959956263255</v>
      </c>
      <c r="CA17" s="470">
        <f t="shared" si="24"/>
        <v>3280.4530391111794</v>
      </c>
      <c r="CB17" s="470">
        <f t="shared" si="24"/>
        <v>3315.8100825960332</v>
      </c>
      <c r="CC17" s="470">
        <f t="shared" si="24"/>
        <v>3332.9466798916396</v>
      </c>
      <c r="CD17" s="470">
        <f t="shared" si="24"/>
        <v>3350.0832771872447</v>
      </c>
      <c r="CE17" s="470">
        <f t="shared" si="24"/>
        <v>3367.2198744828506</v>
      </c>
      <c r="CF17" s="470">
        <f t="shared" si="24"/>
        <v>3384.3564717784561</v>
      </c>
      <c r="CG17" s="470">
        <f t="shared" si="24"/>
        <v>3401.4930690740625</v>
      </c>
    </row>
    <row r="18" spans="1:85" x14ac:dyDescent="0.25">
      <c r="A18" s="102" t="s">
        <v>819</v>
      </c>
      <c r="B18" s="104">
        <f t="shared" si="25"/>
        <v>290.42859945215338</v>
      </c>
      <c r="C18" s="104">
        <f t="shared" si="0"/>
        <v>110.60840908138617</v>
      </c>
      <c r="D18" s="104">
        <f t="shared" si="0"/>
        <v>149.63833277132031</v>
      </c>
      <c r="E18" s="104">
        <f t="shared" si="0"/>
        <v>425.20024230651143</v>
      </c>
      <c r="F18" s="104">
        <f t="shared" si="0"/>
        <v>427.37987020062945</v>
      </c>
      <c r="G18" s="104">
        <f t="shared" si="0"/>
        <v>300.0221814476526</v>
      </c>
      <c r="H18" s="104">
        <f t="shared" si="1"/>
        <v>298.16987362555881</v>
      </c>
      <c r="I18" s="104">
        <f t="shared" si="2"/>
        <v>300.52810257514744</v>
      </c>
      <c r="J18" s="104">
        <f t="shared" si="3"/>
        <v>305.68382766781622</v>
      </c>
      <c r="K18" s="104">
        <f t="shared" si="4"/>
        <v>310.83955276048505</v>
      </c>
      <c r="L18" s="104">
        <f t="shared" si="5"/>
        <v>317.5611741198378</v>
      </c>
      <c r="M18" s="104">
        <f t="shared" si="6"/>
        <v>319.27542189163489</v>
      </c>
      <c r="N18" s="104">
        <f t="shared" si="7"/>
        <v>325.063731612011</v>
      </c>
      <c r="O18" s="104">
        <f t="shared" si="8"/>
        <v>324.35897156849774</v>
      </c>
      <c r="P18" s="104">
        <f t="shared" si="9"/>
        <v>326.34643540337152</v>
      </c>
      <c r="Q18" s="104">
        <f t="shared" si="10"/>
        <v>328.38258770690095</v>
      </c>
      <c r="R18" s="104">
        <f t="shared" si="11"/>
        <v>332.08139161318553</v>
      </c>
      <c r="S18" s="104">
        <f t="shared" si="12"/>
        <v>335.78019551947011</v>
      </c>
      <c r="T18" s="104">
        <f t="shared" si="13"/>
        <v>339.47899942575464</v>
      </c>
      <c r="U18" s="104">
        <f t="shared" si="14"/>
        <v>343.17780333203922</v>
      </c>
      <c r="V18" s="104">
        <f t="shared" si="15"/>
        <v>346.8766072383238</v>
      </c>
      <c r="W18" s="104">
        <f t="shared" si="16"/>
        <v>348.66931688738049</v>
      </c>
      <c r="X18" s="104">
        <f t="shared" si="17"/>
        <v>350.46202653643707</v>
      </c>
      <c r="Y18" s="104">
        <f t="shared" si="18"/>
        <v>352.25473618549375</v>
      </c>
      <c r="Z18" s="104">
        <f t="shared" si="19"/>
        <v>354.04744583455027</v>
      </c>
      <c r="AA18" s="104">
        <f t="shared" si="20"/>
        <v>355.84015548360696</v>
      </c>
      <c r="AB18" s="821"/>
      <c r="AC18" s="105">
        <f t="shared" si="26"/>
        <v>2.3165181194983418E-2</v>
      </c>
      <c r="AD18" s="105">
        <f t="shared" si="27"/>
        <v>1.0225616628829282E-2</v>
      </c>
      <c r="AE18" s="105">
        <f t="shared" si="28"/>
        <v>1.2691685707757817E-2</v>
      </c>
      <c r="AF18" s="105">
        <f t="shared" si="29"/>
        <v>3.1786433515406103E-2</v>
      </c>
      <c r="AG18" s="105">
        <f t="shared" si="30"/>
        <v>3.0750405914800223E-2</v>
      </c>
      <c r="AH18" s="105">
        <f t="shared" si="31"/>
        <v>2.3258839407384966E-2</v>
      </c>
      <c r="AI18" s="105">
        <f t="shared" si="32"/>
        <v>2.3165181194983415E-2</v>
      </c>
      <c r="AJ18" s="105">
        <f t="shared" si="33"/>
        <v>2.3165181194983415E-2</v>
      </c>
      <c r="AK18" s="105">
        <f t="shared" si="34"/>
        <v>2.3165181194983418E-2</v>
      </c>
      <c r="AL18" s="105">
        <f t="shared" si="35"/>
        <v>2.3165181194983418E-2</v>
      </c>
      <c r="AM18" s="105">
        <f t="shared" si="36"/>
        <v>2.3165181194983415E-2</v>
      </c>
      <c r="AN18" s="105">
        <f t="shared" si="37"/>
        <v>2.3165181194983418E-2</v>
      </c>
      <c r="AO18" s="105">
        <f t="shared" si="38"/>
        <v>2.3165181194983418E-2</v>
      </c>
      <c r="AP18" s="105">
        <f t="shared" si="39"/>
        <v>2.3165181194983415E-2</v>
      </c>
      <c r="AQ18" s="105">
        <f t="shared" si="40"/>
        <v>2.3165181194983418E-2</v>
      </c>
      <c r="AR18" s="105">
        <f t="shared" si="41"/>
        <v>2.3165181194983415E-2</v>
      </c>
      <c r="AS18" s="105">
        <f t="shared" si="42"/>
        <v>2.3165181194983418E-2</v>
      </c>
      <c r="AT18" s="105">
        <f t="shared" si="43"/>
        <v>2.3165181194983418E-2</v>
      </c>
      <c r="AU18" s="105">
        <f t="shared" si="43"/>
        <v>2.3165181194983415E-2</v>
      </c>
      <c r="AV18" s="105">
        <f t="shared" si="43"/>
        <v>2.3165181194983411E-2</v>
      </c>
      <c r="AW18" s="105">
        <f t="shared" si="43"/>
        <v>2.3165181194983415E-2</v>
      </c>
      <c r="AX18" s="105">
        <f t="shared" si="43"/>
        <v>2.3165181194983418E-2</v>
      </c>
      <c r="AY18" s="105">
        <f t="shared" si="43"/>
        <v>2.3165181194983418E-2</v>
      </c>
      <c r="AZ18" s="105">
        <f t="shared" si="43"/>
        <v>2.3165181194983418E-2</v>
      </c>
      <c r="BA18" s="105">
        <f t="shared" si="43"/>
        <v>2.3165181194983415E-2</v>
      </c>
      <c r="BB18" s="105">
        <f t="shared" si="43"/>
        <v>2.3165181194983415E-2</v>
      </c>
      <c r="BE18" s="97">
        <v>1.080218958202531E-2</v>
      </c>
      <c r="BF18" s="97"/>
      <c r="BH18" s="470">
        <v>290.42859945215338</v>
      </c>
      <c r="BI18" s="470">
        <v>110.60840908138617</v>
      </c>
      <c r="BJ18" s="470">
        <v>149.63833277132031</v>
      </c>
      <c r="BK18" s="470">
        <v>425.20024230651143</v>
      </c>
      <c r="BL18" s="470">
        <v>427.37987020062945</v>
      </c>
      <c r="BM18" s="470">
        <v>300.0221814476526</v>
      </c>
      <c r="BN18" s="470">
        <f t="shared" si="23"/>
        <v>298.16987362555881</v>
      </c>
      <c r="BO18" s="470">
        <f t="shared" si="23"/>
        <v>300.52810257514744</v>
      </c>
      <c r="BP18" s="470">
        <f t="shared" si="23"/>
        <v>305.68382766781622</v>
      </c>
      <c r="BQ18" s="470">
        <f t="shared" si="23"/>
        <v>310.83955276048505</v>
      </c>
      <c r="BR18" s="470">
        <f t="shared" si="23"/>
        <v>317.5611741198378</v>
      </c>
      <c r="BS18" s="470">
        <f t="shared" si="23"/>
        <v>319.27542189163489</v>
      </c>
      <c r="BT18" s="470">
        <f t="shared" si="23"/>
        <v>325.063731612011</v>
      </c>
      <c r="BU18" s="470">
        <f t="shared" si="23"/>
        <v>324.35897156849774</v>
      </c>
      <c r="BV18" s="470">
        <f t="shared" si="23"/>
        <v>326.34643540337152</v>
      </c>
      <c r="BW18" s="470">
        <f t="shared" si="23"/>
        <v>328.38258770690095</v>
      </c>
      <c r="BX18" s="470">
        <f t="shared" si="23"/>
        <v>332.08139161318553</v>
      </c>
      <c r="BY18" s="470">
        <f t="shared" si="24"/>
        <v>335.78019551947011</v>
      </c>
      <c r="BZ18" s="470">
        <f t="shared" si="24"/>
        <v>339.47899942575464</v>
      </c>
      <c r="CA18" s="470">
        <f t="shared" si="24"/>
        <v>343.17780333203922</v>
      </c>
      <c r="CB18" s="470">
        <f t="shared" si="24"/>
        <v>346.8766072383238</v>
      </c>
      <c r="CC18" s="470">
        <f t="shared" si="24"/>
        <v>348.66931688738049</v>
      </c>
      <c r="CD18" s="470">
        <f t="shared" si="24"/>
        <v>350.46202653643707</v>
      </c>
      <c r="CE18" s="470">
        <f t="shared" si="24"/>
        <v>352.25473618549375</v>
      </c>
      <c r="CF18" s="470">
        <f t="shared" si="24"/>
        <v>354.04744583455027</v>
      </c>
      <c r="CG18" s="470">
        <f t="shared" si="24"/>
        <v>355.84015548360696</v>
      </c>
    </row>
    <row r="19" spans="1:85" x14ac:dyDescent="0.25">
      <c r="A19" s="106" t="s">
        <v>820</v>
      </c>
      <c r="B19" s="107">
        <f t="shared" si="25"/>
        <v>623.00264978578571</v>
      </c>
      <c r="C19" s="107">
        <f t="shared" si="0"/>
        <v>177.67004577524921</v>
      </c>
      <c r="D19" s="107">
        <f t="shared" si="0"/>
        <v>273.57454484057649</v>
      </c>
      <c r="E19" s="107">
        <f t="shared" si="0"/>
        <v>870.37072712129566</v>
      </c>
      <c r="F19" s="107">
        <f t="shared" si="0"/>
        <v>1149.6645359912727</v>
      </c>
      <c r="G19" s="107">
        <f t="shared" si="0"/>
        <v>829.82207577840848</v>
      </c>
      <c r="H19" s="107">
        <f t="shared" si="1"/>
        <v>639.60857059333478</v>
      </c>
      <c r="I19" s="107">
        <f t="shared" si="2"/>
        <v>644.66724211248504</v>
      </c>
      <c r="J19" s="107">
        <f t="shared" si="3"/>
        <v>655.72686365237007</v>
      </c>
      <c r="K19" s="107">
        <f t="shared" si="4"/>
        <v>666.78648519225521</v>
      </c>
      <c r="L19" s="107">
        <f t="shared" si="5"/>
        <v>681.20513378827059</v>
      </c>
      <c r="M19" s="107">
        <f t="shared" si="6"/>
        <v>684.8823918345978</v>
      </c>
      <c r="N19" s="107">
        <f t="shared" si="7"/>
        <v>697.29897994051271</v>
      </c>
      <c r="O19" s="107">
        <f t="shared" si="8"/>
        <v>695.78718883109684</v>
      </c>
      <c r="P19" s="107">
        <f t="shared" si="9"/>
        <v>700.05052666289237</v>
      </c>
      <c r="Q19" s="107">
        <f t="shared" si="10"/>
        <v>704.41830684314721</v>
      </c>
      <c r="R19" s="107">
        <f t="shared" si="11"/>
        <v>712.35266537051018</v>
      </c>
      <c r="S19" s="107">
        <f t="shared" si="12"/>
        <v>720.28702389787327</v>
      </c>
      <c r="T19" s="107">
        <f t="shared" si="13"/>
        <v>728.22138242523647</v>
      </c>
      <c r="U19" s="107">
        <f t="shared" si="14"/>
        <v>736.15574095259944</v>
      </c>
      <c r="V19" s="107">
        <f t="shared" si="15"/>
        <v>744.09009947996253</v>
      </c>
      <c r="W19" s="107">
        <f t="shared" si="16"/>
        <v>747.93566725037363</v>
      </c>
      <c r="X19" s="107">
        <f t="shared" si="17"/>
        <v>751.78123502078461</v>
      </c>
      <c r="Y19" s="107">
        <f t="shared" si="18"/>
        <v>755.6268027911957</v>
      </c>
      <c r="Z19" s="107">
        <f t="shared" si="19"/>
        <v>759.47237056160679</v>
      </c>
      <c r="AA19" s="107">
        <f t="shared" si="20"/>
        <v>763.31793833201789</v>
      </c>
      <c r="AB19" s="821"/>
      <c r="AC19" s="108">
        <f t="shared" si="26"/>
        <v>4.9691970055518293E-2</v>
      </c>
      <c r="AD19" s="108">
        <f t="shared" si="27"/>
        <v>1.6425385643034147E-2</v>
      </c>
      <c r="AE19" s="108">
        <f t="shared" si="28"/>
        <v>2.3203427066149203E-2</v>
      </c>
      <c r="AF19" s="108">
        <f t="shared" si="29"/>
        <v>6.5065770191761393E-2</v>
      </c>
      <c r="AG19" s="108">
        <f t="shared" si="30"/>
        <v>8.2719504620061113E-2</v>
      </c>
      <c r="AH19" s="108">
        <f t="shared" si="31"/>
        <v>6.4330904815450771E-2</v>
      </c>
      <c r="AI19" s="108">
        <f t="shared" si="32"/>
        <v>4.9691970055518293E-2</v>
      </c>
      <c r="AJ19" s="108">
        <f t="shared" si="33"/>
        <v>4.9691970055518293E-2</v>
      </c>
      <c r="AK19" s="108">
        <f t="shared" si="34"/>
        <v>4.9691970055518293E-2</v>
      </c>
      <c r="AL19" s="108">
        <f t="shared" si="35"/>
        <v>4.9691970055518293E-2</v>
      </c>
      <c r="AM19" s="108">
        <f t="shared" si="36"/>
        <v>4.9691970055518286E-2</v>
      </c>
      <c r="AN19" s="108">
        <f t="shared" si="37"/>
        <v>4.9691970055518293E-2</v>
      </c>
      <c r="AO19" s="108">
        <f t="shared" si="38"/>
        <v>4.9691970055518286E-2</v>
      </c>
      <c r="AP19" s="108">
        <f t="shared" si="39"/>
        <v>4.9691970055518293E-2</v>
      </c>
      <c r="AQ19" s="108">
        <f t="shared" si="40"/>
        <v>4.9691970055518293E-2</v>
      </c>
      <c r="AR19" s="108">
        <f t="shared" si="41"/>
        <v>4.9691970055518293E-2</v>
      </c>
      <c r="AS19" s="108">
        <f t="shared" si="42"/>
        <v>4.9691970055518286E-2</v>
      </c>
      <c r="AT19" s="108">
        <f t="shared" si="43"/>
        <v>4.9691970055518286E-2</v>
      </c>
      <c r="AU19" s="108">
        <f t="shared" si="43"/>
        <v>4.96919700555183E-2</v>
      </c>
      <c r="AV19" s="108">
        <f t="shared" si="43"/>
        <v>4.9691970055518286E-2</v>
      </c>
      <c r="AW19" s="108">
        <f t="shared" si="43"/>
        <v>4.9691970055518293E-2</v>
      </c>
      <c r="AX19" s="108">
        <f t="shared" si="43"/>
        <v>4.9691970055518293E-2</v>
      </c>
      <c r="AY19" s="108">
        <f t="shared" si="43"/>
        <v>4.9691970055518293E-2</v>
      </c>
      <c r="AZ19" s="108">
        <f t="shared" si="43"/>
        <v>4.9691970055518286E-2</v>
      </c>
      <c r="BA19" s="108">
        <f t="shared" si="43"/>
        <v>4.96919700555183E-2</v>
      </c>
      <c r="BB19" s="108">
        <f t="shared" si="43"/>
        <v>4.9691970055518293E-2</v>
      </c>
      <c r="BE19" s="97">
        <v>1.8691985353111631E-2</v>
      </c>
      <c r="BF19" s="97"/>
      <c r="BH19" s="471">
        <v>623.00264978578571</v>
      </c>
      <c r="BI19" s="471">
        <v>177.67004577524921</v>
      </c>
      <c r="BJ19" s="471">
        <v>273.57454484057649</v>
      </c>
      <c r="BK19" s="471">
        <v>870.37072712129566</v>
      </c>
      <c r="BL19" s="471">
        <v>1149.6645359912727</v>
      </c>
      <c r="BM19" s="471">
        <v>829.82207577840848</v>
      </c>
      <c r="BN19" s="471">
        <f t="shared" si="23"/>
        <v>639.60857059333478</v>
      </c>
      <c r="BO19" s="471">
        <f t="shared" si="23"/>
        <v>644.66724211248504</v>
      </c>
      <c r="BP19" s="471">
        <f t="shared" si="23"/>
        <v>655.72686365237007</v>
      </c>
      <c r="BQ19" s="471">
        <f t="shared" si="23"/>
        <v>666.78648519225521</v>
      </c>
      <c r="BR19" s="471">
        <f t="shared" si="23"/>
        <v>681.20513378827059</v>
      </c>
      <c r="BS19" s="471">
        <f t="shared" si="23"/>
        <v>684.8823918345978</v>
      </c>
      <c r="BT19" s="471">
        <f t="shared" si="23"/>
        <v>697.29897994051271</v>
      </c>
      <c r="BU19" s="471">
        <f t="shared" si="23"/>
        <v>695.78718883109684</v>
      </c>
      <c r="BV19" s="471">
        <f t="shared" si="23"/>
        <v>700.05052666289237</v>
      </c>
      <c r="BW19" s="471">
        <f t="shared" si="23"/>
        <v>704.41830684314721</v>
      </c>
      <c r="BX19" s="471">
        <f t="shared" si="23"/>
        <v>712.35266537051018</v>
      </c>
      <c r="BY19" s="471">
        <f t="shared" si="24"/>
        <v>720.28702389787327</v>
      </c>
      <c r="BZ19" s="471">
        <f t="shared" si="24"/>
        <v>728.22138242523647</v>
      </c>
      <c r="CA19" s="471">
        <f t="shared" si="24"/>
        <v>736.15574095259944</v>
      </c>
      <c r="CB19" s="471">
        <f t="shared" si="24"/>
        <v>744.09009947996253</v>
      </c>
      <c r="CC19" s="471">
        <f t="shared" si="24"/>
        <v>747.93566725037363</v>
      </c>
      <c r="CD19" s="471">
        <f t="shared" si="24"/>
        <v>751.78123502078461</v>
      </c>
      <c r="CE19" s="471">
        <f t="shared" si="24"/>
        <v>755.6268027911957</v>
      </c>
      <c r="CF19" s="471">
        <f t="shared" si="24"/>
        <v>759.47237056160679</v>
      </c>
      <c r="CG19" s="471">
        <f t="shared" si="24"/>
        <v>763.31793833201789</v>
      </c>
    </row>
    <row r="20" spans="1:85" x14ac:dyDescent="0.25">
      <c r="A20" s="109" t="s">
        <v>821</v>
      </c>
      <c r="B20" s="107">
        <f t="shared" si="25"/>
        <v>11331.964052216174</v>
      </c>
      <c r="C20" s="107">
        <f t="shared" si="0"/>
        <v>9816.1232452311124</v>
      </c>
      <c r="D20" s="107">
        <f t="shared" si="0"/>
        <v>10861.897312785657</v>
      </c>
      <c r="E20" s="107">
        <f t="shared" si="0"/>
        <v>12246.351176046192</v>
      </c>
      <c r="F20" s="107">
        <f t="shared" si="0"/>
        <v>12354.087910536226</v>
      </c>
      <c r="G20" s="107">
        <f t="shared" si="0"/>
        <v>11455.326907366883</v>
      </c>
      <c r="H20" s="107">
        <f t="shared" si="1"/>
        <v>11634.013646563482</v>
      </c>
      <c r="I20" s="107">
        <f t="shared" si="2"/>
        <v>11726.027193900223</v>
      </c>
      <c r="J20" s="107">
        <f t="shared" si="3"/>
        <v>11927.193647629088</v>
      </c>
      <c r="K20" s="107">
        <f t="shared" si="4"/>
        <v>12128.360101357957</v>
      </c>
      <c r="L20" s="107">
        <f t="shared" si="5"/>
        <v>12390.624808623272</v>
      </c>
      <c r="M20" s="107">
        <f t="shared" si="6"/>
        <v>12457.511451892013</v>
      </c>
      <c r="N20" s="107">
        <f t="shared" si="7"/>
        <v>12683.360138275262</v>
      </c>
      <c r="O20" s="107">
        <f t="shared" si="8"/>
        <v>12655.861760038424</v>
      </c>
      <c r="P20" s="107">
        <f t="shared" si="9"/>
        <v>12733.408767372939</v>
      </c>
      <c r="Q20" s="107">
        <f t="shared" si="10"/>
        <v>12812.855504891068</v>
      </c>
      <c r="R20" s="107">
        <f t="shared" si="11"/>
        <v>12888.054492441972</v>
      </c>
      <c r="S20" s="107">
        <f t="shared" si="12"/>
        <v>12888.054492441972</v>
      </c>
      <c r="T20" s="107">
        <f t="shared" si="13"/>
        <v>12888.054492441972</v>
      </c>
      <c r="U20" s="107">
        <f t="shared" si="14"/>
        <v>12888.054492441972</v>
      </c>
      <c r="V20" s="107">
        <f t="shared" si="15"/>
        <v>12888.054492441972</v>
      </c>
      <c r="W20" s="107">
        <f t="shared" si="16"/>
        <v>12888.054492441972</v>
      </c>
      <c r="X20" s="107">
        <f t="shared" si="17"/>
        <v>12888.054492441972</v>
      </c>
      <c r="Y20" s="107">
        <f t="shared" si="18"/>
        <v>12888.054492441972</v>
      </c>
      <c r="Z20" s="107">
        <f t="shared" si="19"/>
        <v>12888.054492441972</v>
      </c>
      <c r="AA20" s="107">
        <f t="shared" si="20"/>
        <v>12888.054492441972</v>
      </c>
      <c r="AB20" s="821"/>
      <c r="AC20" s="108">
        <f t="shared" si="26"/>
        <v>0.90386071158213488</v>
      </c>
      <c r="AD20" s="108">
        <f t="shared" si="27"/>
        <v>0.90748898678414114</v>
      </c>
      <c r="AE20" s="108">
        <f t="shared" si="28"/>
        <v>0.92125984251968507</v>
      </c>
      <c r="AF20" s="108">
        <f t="shared" si="29"/>
        <v>0.91549295774647887</v>
      </c>
      <c r="AG20" s="108">
        <f t="shared" si="30"/>
        <v>0.88888888888888884</v>
      </c>
      <c r="AH20" s="108">
        <f t="shared" si="31"/>
        <v>0.88805970149253721</v>
      </c>
      <c r="AI20" s="108">
        <f t="shared" si="32"/>
        <v>0.90386071158213488</v>
      </c>
      <c r="AJ20" s="108">
        <f t="shared" si="33"/>
        <v>0.90386071158213488</v>
      </c>
      <c r="AK20" s="108">
        <f t="shared" si="34"/>
        <v>0.90386071158213477</v>
      </c>
      <c r="AL20" s="108">
        <f t="shared" si="35"/>
        <v>0.90386071158213477</v>
      </c>
      <c r="AM20" s="108">
        <f t="shared" si="36"/>
        <v>0.90386071158213477</v>
      </c>
      <c r="AN20" s="108">
        <f t="shared" si="37"/>
        <v>0.90386071158213488</v>
      </c>
      <c r="AO20" s="108">
        <f t="shared" si="38"/>
        <v>0.90386071158213488</v>
      </c>
      <c r="AP20" s="108">
        <f t="shared" si="39"/>
        <v>0.90386071158213488</v>
      </c>
      <c r="AQ20" s="108">
        <f t="shared" si="40"/>
        <v>0.90386071158213499</v>
      </c>
      <c r="AR20" s="108">
        <f t="shared" si="41"/>
        <v>0.90386071158213488</v>
      </c>
      <c r="AS20" s="108">
        <f t="shared" si="42"/>
        <v>0.89903898594835929</v>
      </c>
      <c r="AT20" s="108">
        <f t="shared" si="43"/>
        <v>0.889135576046583</v>
      </c>
      <c r="AU20" s="108">
        <f t="shared" si="43"/>
        <v>0.87944797196073166</v>
      </c>
      <c r="AV20" s="108">
        <f t="shared" si="43"/>
        <v>0.86996919576227483</v>
      </c>
      <c r="AW20" s="108">
        <f t="shared" si="43"/>
        <v>0.86069256715000897</v>
      </c>
      <c r="AX20" s="108">
        <f t="shared" si="43"/>
        <v>0.85626725125535119</v>
      </c>
      <c r="AY20" s="108">
        <f t="shared" si="43"/>
        <v>0.85188720877637814</v>
      </c>
      <c r="AZ20" s="108">
        <f t="shared" si="43"/>
        <v>0.8475517484909636</v>
      </c>
      <c r="BA20" s="108">
        <f t="shared" si="43"/>
        <v>0.8432601931769208</v>
      </c>
      <c r="BB20" s="108">
        <f t="shared" si="43"/>
        <v>0.83901187925934406</v>
      </c>
      <c r="BE20" s="97">
        <v>0.80046451869705781</v>
      </c>
      <c r="BF20" s="97"/>
      <c r="BH20" s="469">
        <v>11331.964052216174</v>
      </c>
      <c r="BI20" s="469">
        <v>9816.1232452311124</v>
      </c>
      <c r="BJ20" s="469">
        <v>10861.897312785657</v>
      </c>
      <c r="BK20" s="469">
        <v>12246.351176046192</v>
      </c>
      <c r="BL20" s="469">
        <v>12354.087910536226</v>
      </c>
      <c r="BM20" s="469">
        <v>11455.326907366883</v>
      </c>
      <c r="BN20" s="469">
        <v>11634.013646563482</v>
      </c>
      <c r="BO20" s="469">
        <v>11726.027193900223</v>
      </c>
      <c r="BP20" s="469">
        <v>11927.193647629088</v>
      </c>
      <c r="BQ20" s="469">
        <v>12128.360101357957</v>
      </c>
      <c r="BR20" s="469">
        <v>12390.624808623272</v>
      </c>
      <c r="BS20" s="469">
        <v>12457.511451892013</v>
      </c>
      <c r="BT20" s="469">
        <v>12683.360138275262</v>
      </c>
      <c r="BU20" s="469">
        <v>12655.861760038424</v>
      </c>
      <c r="BV20" s="469">
        <v>12733.408767372939</v>
      </c>
      <c r="BW20" s="469">
        <v>12812.855504891068</v>
      </c>
      <c r="BX20" s="469">
        <v>12888.054492441972</v>
      </c>
      <c r="BY20" s="469">
        <v>12888.054492441972</v>
      </c>
      <c r="BZ20" s="469">
        <v>12888.054492441972</v>
      </c>
      <c r="CA20" s="469">
        <v>12888.054492441972</v>
      </c>
      <c r="CB20" s="469">
        <v>12888.054492441972</v>
      </c>
      <c r="CC20" s="469">
        <v>12888.054492441972</v>
      </c>
      <c r="CD20" s="469">
        <v>12888.054492441972</v>
      </c>
      <c r="CE20" s="469">
        <v>12888.054492441972</v>
      </c>
      <c r="CF20" s="469">
        <v>12888.054492441972</v>
      </c>
      <c r="CG20" s="469">
        <v>12888.054492441972</v>
      </c>
    </row>
    <row r="21" spans="1:85" x14ac:dyDescent="0.25">
      <c r="A21" s="110" t="s">
        <v>822</v>
      </c>
      <c r="B21" s="104">
        <f t="shared" si="25"/>
        <v>3603.0368475712048</v>
      </c>
      <c r="C21" s="104">
        <f t="shared" si="0"/>
        <v>3766.3091265068074</v>
      </c>
      <c r="D21" s="104">
        <f t="shared" si="0"/>
        <v>3840.5168901997517</v>
      </c>
      <c r="E21" s="104">
        <f t="shared" si="0"/>
        <v>4019.194324588198</v>
      </c>
      <c r="F21" s="104">
        <f t="shared" si="0"/>
        <v>3347.9643736865437</v>
      </c>
      <c r="G21" s="104">
        <f t="shared" si="0"/>
        <v>3041.88134423252</v>
      </c>
      <c r="H21" s="104">
        <f t="shared" si="1"/>
        <v>3699.0745523514674</v>
      </c>
      <c r="I21" s="104">
        <f t="shared" si="2"/>
        <v>3728.3305754029334</v>
      </c>
      <c r="J21" s="104">
        <f t="shared" si="3"/>
        <v>3792.2921395184303</v>
      </c>
      <c r="K21" s="104">
        <f t="shared" si="4"/>
        <v>3856.2537036339281</v>
      </c>
      <c r="L21" s="104">
        <f t="shared" si="5"/>
        <v>3939.6416670743524</v>
      </c>
      <c r="M21" s="104">
        <f t="shared" si="6"/>
        <v>3960.9085047731969</v>
      </c>
      <c r="N21" s="104">
        <f t="shared" si="7"/>
        <v>4032.7178694397971</v>
      </c>
      <c r="O21" s="104">
        <f t="shared" si="8"/>
        <v>4023.9746657392529</v>
      </c>
      <c r="P21" s="104">
        <f t="shared" si="9"/>
        <v>4048.6310027658856</v>
      </c>
      <c r="Q21" s="104">
        <f t="shared" si="10"/>
        <v>4073.8913655219035</v>
      </c>
      <c r="R21" s="104">
        <f t="shared" si="11"/>
        <v>4119.7784675202001</v>
      </c>
      <c r="S21" s="104">
        <f t="shared" si="12"/>
        <v>4165.6655695184991</v>
      </c>
      <c r="T21" s="104">
        <f t="shared" si="13"/>
        <v>4211.5526715167962</v>
      </c>
      <c r="U21" s="104">
        <f t="shared" si="14"/>
        <v>4257.4397735150933</v>
      </c>
      <c r="V21" s="104">
        <f t="shared" si="15"/>
        <v>4303.3268755133904</v>
      </c>
      <c r="W21" s="104">
        <f t="shared" si="16"/>
        <v>4325.5671057618301</v>
      </c>
      <c r="X21" s="104">
        <f t="shared" si="17"/>
        <v>4347.8073360102671</v>
      </c>
      <c r="Y21" s="104">
        <f t="shared" si="18"/>
        <v>4370.0475662587069</v>
      </c>
      <c r="Z21" s="104">
        <f t="shared" si="19"/>
        <v>4392.2877965071457</v>
      </c>
      <c r="AA21" s="104">
        <f t="shared" si="20"/>
        <v>4414.5280267555845</v>
      </c>
      <c r="AB21" s="821"/>
      <c r="AC21" s="105">
        <f t="shared" si="26"/>
        <v>0.28738561417034014</v>
      </c>
      <c r="AD21" s="105">
        <f t="shared" si="27"/>
        <v>0.3481908252109619</v>
      </c>
      <c r="AE21" s="105">
        <f t="shared" si="28"/>
        <v>0.3257362764141456</v>
      </c>
      <c r="AF21" s="105">
        <f t="shared" si="29"/>
        <v>0.30046044303974251</v>
      </c>
      <c r="AG21" s="105">
        <f t="shared" si="30"/>
        <v>0.24088936016294266</v>
      </c>
      <c r="AH21" s="105">
        <f t="shared" si="31"/>
        <v>0.23581799632427827</v>
      </c>
      <c r="AI21" s="105">
        <f t="shared" si="32"/>
        <v>0.28738561417034009</v>
      </c>
      <c r="AJ21" s="105">
        <f t="shared" si="33"/>
        <v>0.28738561417034014</v>
      </c>
      <c r="AK21" s="105">
        <f t="shared" si="34"/>
        <v>0.28738561417034014</v>
      </c>
      <c r="AL21" s="105">
        <f t="shared" si="35"/>
        <v>0.28738561417034014</v>
      </c>
      <c r="AM21" s="105">
        <f t="shared" si="36"/>
        <v>0.28738561417034014</v>
      </c>
      <c r="AN21" s="105">
        <f t="shared" si="37"/>
        <v>0.28738561417034014</v>
      </c>
      <c r="AO21" s="105">
        <f t="shared" si="38"/>
        <v>0.28738561417034009</v>
      </c>
      <c r="AP21" s="105">
        <f t="shared" si="39"/>
        <v>0.28738561417034014</v>
      </c>
      <c r="AQ21" s="105">
        <f t="shared" si="40"/>
        <v>0.28738561417034014</v>
      </c>
      <c r="AR21" s="105">
        <f t="shared" si="41"/>
        <v>0.28738561417034009</v>
      </c>
      <c r="AS21" s="105">
        <f t="shared" si="42"/>
        <v>0.28738561417034009</v>
      </c>
      <c r="AT21" s="105">
        <f t="shared" si="43"/>
        <v>0.2873856141703402</v>
      </c>
      <c r="AU21" s="105">
        <f t="shared" si="43"/>
        <v>0.28738561417034014</v>
      </c>
      <c r="AV21" s="105">
        <f t="shared" si="43"/>
        <v>0.28738561417034009</v>
      </c>
      <c r="AW21" s="105">
        <f t="shared" si="43"/>
        <v>0.28738561417034009</v>
      </c>
      <c r="AX21" s="105">
        <f t="shared" si="43"/>
        <v>0.28738561417034014</v>
      </c>
      <c r="AY21" s="105">
        <f t="shared" si="43"/>
        <v>0.28738561417034009</v>
      </c>
      <c r="AZ21" s="105">
        <f t="shared" si="43"/>
        <v>0.28738561417034009</v>
      </c>
      <c r="BA21" s="105">
        <f t="shared" si="43"/>
        <v>0.28738561417034014</v>
      </c>
      <c r="BB21" s="105">
        <f t="shared" si="43"/>
        <v>0.28738561417034009</v>
      </c>
      <c r="BE21" s="97">
        <v>0.36624823734792694</v>
      </c>
      <c r="BF21" s="97"/>
      <c r="BH21" s="473">
        <v>3603.0368475712048</v>
      </c>
      <c r="BI21" s="473">
        <v>3766.3091265068074</v>
      </c>
      <c r="BJ21" s="473">
        <v>3840.5168901997517</v>
      </c>
      <c r="BK21" s="473">
        <v>4019.194324588198</v>
      </c>
      <c r="BL21" s="473">
        <v>3347.9643736865437</v>
      </c>
      <c r="BM21" s="473">
        <v>3041.88134423252</v>
      </c>
      <c r="BN21" s="473">
        <f t="shared" ref="BN21:CC30" si="44">$BH21*BN$40/$BH$40</f>
        <v>3699.0745523514674</v>
      </c>
      <c r="BO21" s="473">
        <f t="shared" si="44"/>
        <v>3728.3305754029334</v>
      </c>
      <c r="BP21" s="473">
        <f t="shared" si="44"/>
        <v>3792.2921395184303</v>
      </c>
      <c r="BQ21" s="473">
        <f t="shared" si="44"/>
        <v>3856.2537036339281</v>
      </c>
      <c r="BR21" s="473">
        <f t="shared" si="44"/>
        <v>3939.6416670743524</v>
      </c>
      <c r="BS21" s="473">
        <f t="shared" si="44"/>
        <v>3960.9085047731969</v>
      </c>
      <c r="BT21" s="473">
        <f t="shared" si="44"/>
        <v>4032.7178694397971</v>
      </c>
      <c r="BU21" s="473">
        <f t="shared" si="44"/>
        <v>4023.9746657392529</v>
      </c>
      <c r="BV21" s="473">
        <f t="shared" si="44"/>
        <v>4048.6310027658856</v>
      </c>
      <c r="BW21" s="473">
        <f t="shared" si="44"/>
        <v>4073.8913655219035</v>
      </c>
      <c r="BX21" s="473">
        <f t="shared" si="44"/>
        <v>4119.7784675202001</v>
      </c>
      <c r="BY21" s="473">
        <f t="shared" si="44"/>
        <v>4165.6655695184991</v>
      </c>
      <c r="BZ21" s="473">
        <f t="shared" si="44"/>
        <v>4211.5526715167962</v>
      </c>
      <c r="CA21" s="473">
        <f t="shared" si="44"/>
        <v>4257.4397735150933</v>
      </c>
      <c r="CB21" s="473">
        <f t="shared" si="44"/>
        <v>4303.3268755133904</v>
      </c>
      <c r="CC21" s="473">
        <f t="shared" si="44"/>
        <v>4325.5671057618301</v>
      </c>
      <c r="CD21" s="473">
        <f t="shared" ref="BY21:CG36" si="45">$BH21*CD$40/$BH$40</f>
        <v>4347.8073360102671</v>
      </c>
      <c r="CE21" s="473">
        <f t="shared" si="45"/>
        <v>4370.0475662587069</v>
      </c>
      <c r="CF21" s="473">
        <f t="shared" si="45"/>
        <v>4392.2877965071457</v>
      </c>
      <c r="CG21" s="473">
        <f t="shared" si="45"/>
        <v>4414.5280267555845</v>
      </c>
    </row>
    <row r="22" spans="1:85" x14ac:dyDescent="0.25">
      <c r="A22" s="110" t="s">
        <v>823</v>
      </c>
      <c r="B22" s="104">
        <f t="shared" si="25"/>
        <v>7728.9272046449678</v>
      </c>
      <c r="C22" s="104">
        <f t="shared" ref="C22:C36" si="46">BI22</f>
        <v>6049.8141187243036</v>
      </c>
      <c r="D22" s="104">
        <f t="shared" ref="D22:D36" si="47">BJ22</f>
        <v>7021.3804225859067</v>
      </c>
      <c r="E22" s="104">
        <f t="shared" ref="E22:E36" si="48">BK22</f>
        <v>8227.156851457994</v>
      </c>
      <c r="F22" s="104">
        <f t="shared" ref="F22:F36" si="49">BL22</f>
        <v>9006.1235368496855</v>
      </c>
      <c r="G22" s="104">
        <f t="shared" ref="G22:G36" si="50">BM22</f>
        <v>8413.4455631343626</v>
      </c>
      <c r="H22" s="104">
        <f t="shared" si="1"/>
        <v>7934.9390942120126</v>
      </c>
      <c r="I22" s="104">
        <f t="shared" si="2"/>
        <v>7997.6966184972889</v>
      </c>
      <c r="J22" s="104">
        <f t="shared" si="3"/>
        <v>8134.9015081106581</v>
      </c>
      <c r="K22" s="104">
        <f t="shared" si="4"/>
        <v>8272.1063977240283</v>
      </c>
      <c r="L22" s="104">
        <f t="shared" si="5"/>
        <v>8450.9831415489189</v>
      </c>
      <c r="M22" s="104">
        <f t="shared" si="6"/>
        <v>8496.6029471188158</v>
      </c>
      <c r="N22" s="104">
        <f t="shared" si="7"/>
        <v>8650.6422688354633</v>
      </c>
      <c r="O22" s="104">
        <f t="shared" si="8"/>
        <v>8631.8870942991707</v>
      </c>
      <c r="P22" s="104">
        <f t="shared" si="9"/>
        <v>8684.7777646070517</v>
      </c>
      <c r="Q22" s="104">
        <f t="shared" si="10"/>
        <v>8738.9641393691636</v>
      </c>
      <c r="R22" s="104">
        <f t="shared" si="11"/>
        <v>8837.3972351106167</v>
      </c>
      <c r="S22" s="104">
        <f t="shared" si="12"/>
        <v>8935.8303308520699</v>
      </c>
      <c r="T22" s="104">
        <f t="shared" si="13"/>
        <v>9034.2634265935212</v>
      </c>
      <c r="U22" s="104">
        <f t="shared" si="14"/>
        <v>9132.6965223349744</v>
      </c>
      <c r="V22" s="104">
        <f t="shared" si="15"/>
        <v>9231.1296180764275</v>
      </c>
      <c r="W22" s="104">
        <f t="shared" si="16"/>
        <v>9278.8374622858482</v>
      </c>
      <c r="X22" s="104">
        <f t="shared" si="17"/>
        <v>9326.545306495269</v>
      </c>
      <c r="Y22" s="104">
        <f t="shared" si="18"/>
        <v>9374.2531507046879</v>
      </c>
      <c r="Z22" s="104">
        <f t="shared" si="19"/>
        <v>9421.9609949141068</v>
      </c>
      <c r="AA22" s="104">
        <f t="shared" si="20"/>
        <v>9469.6688391235275</v>
      </c>
      <c r="AB22" s="821"/>
      <c r="AC22" s="105">
        <f t="shared" si="26"/>
        <v>0.61647509741179474</v>
      </c>
      <c r="AD22" s="105">
        <f t="shared" ref="AD22:AR27" si="51">C22/C$6</f>
        <v>0.55929816157317913</v>
      </c>
      <c r="AE22" s="105">
        <f t="shared" si="51"/>
        <v>0.59552356610553958</v>
      </c>
      <c r="AF22" s="105">
        <f t="shared" si="51"/>
        <v>0.61503251470673637</v>
      </c>
      <c r="AG22" s="105">
        <f t="shared" si="51"/>
        <v>0.64799952872594646</v>
      </c>
      <c r="AH22" s="105">
        <f t="shared" si="51"/>
        <v>0.65224170516825897</v>
      </c>
      <c r="AI22" s="105">
        <f t="shared" si="51"/>
        <v>0.61647509741179463</v>
      </c>
      <c r="AJ22" s="105">
        <f t="shared" si="51"/>
        <v>0.61647509741179463</v>
      </c>
      <c r="AK22" s="105">
        <f t="shared" si="51"/>
        <v>0.61647509741179474</v>
      </c>
      <c r="AL22" s="105">
        <f t="shared" si="51"/>
        <v>0.61647509741179463</v>
      </c>
      <c r="AM22" s="105">
        <f t="shared" si="51"/>
        <v>0.61647509741179463</v>
      </c>
      <c r="AN22" s="105">
        <f t="shared" si="51"/>
        <v>0.61647509741179474</v>
      </c>
      <c r="AO22" s="105">
        <f t="shared" si="51"/>
        <v>0.61647509741179463</v>
      </c>
      <c r="AP22" s="105">
        <f t="shared" si="51"/>
        <v>0.61647509741179474</v>
      </c>
      <c r="AQ22" s="105">
        <f t="shared" si="51"/>
        <v>0.61647509741179474</v>
      </c>
      <c r="AR22" s="105">
        <f t="shared" si="51"/>
        <v>0.61647509741179474</v>
      </c>
      <c r="AS22" s="105">
        <f t="shared" ref="AS22:AS27" si="52">R22/R$6</f>
        <v>0.61647509741179474</v>
      </c>
      <c r="AT22" s="105">
        <f t="shared" si="43"/>
        <v>0.61647509741179474</v>
      </c>
      <c r="AU22" s="105">
        <f t="shared" si="43"/>
        <v>0.61647509741179463</v>
      </c>
      <c r="AV22" s="105">
        <f t="shared" si="43"/>
        <v>0.61647509741179463</v>
      </c>
      <c r="AW22" s="105">
        <f t="shared" si="43"/>
        <v>0.61647509741179463</v>
      </c>
      <c r="AX22" s="105">
        <f t="shared" si="43"/>
        <v>0.61647509741179463</v>
      </c>
      <c r="AY22" s="105">
        <f t="shared" si="43"/>
        <v>0.61647509741179485</v>
      </c>
      <c r="AZ22" s="105">
        <f t="shared" si="43"/>
        <v>0.61647509741179463</v>
      </c>
      <c r="BA22" s="105">
        <f t="shared" si="43"/>
        <v>0.61647509741179474</v>
      </c>
      <c r="BB22" s="105">
        <f t="shared" si="43"/>
        <v>0.61647509741179463</v>
      </c>
      <c r="BE22" s="97">
        <v>0.633751762652073</v>
      </c>
      <c r="BF22" s="97"/>
      <c r="BH22" s="473">
        <v>7728.9272046449678</v>
      </c>
      <c r="BI22" s="473">
        <v>6049.8141187243036</v>
      </c>
      <c r="BJ22" s="473">
        <v>7021.3804225859067</v>
      </c>
      <c r="BK22" s="473">
        <v>8227.156851457994</v>
      </c>
      <c r="BL22" s="473">
        <v>9006.1235368496855</v>
      </c>
      <c r="BM22" s="473">
        <v>8413.4455631343626</v>
      </c>
      <c r="BN22" s="473">
        <f t="shared" si="44"/>
        <v>7934.9390942120126</v>
      </c>
      <c r="BO22" s="473">
        <f t="shared" si="44"/>
        <v>7997.6966184972889</v>
      </c>
      <c r="BP22" s="473">
        <f t="shared" si="44"/>
        <v>8134.9015081106581</v>
      </c>
      <c r="BQ22" s="473">
        <f t="shared" si="44"/>
        <v>8272.1063977240283</v>
      </c>
      <c r="BR22" s="473">
        <f t="shared" si="44"/>
        <v>8450.9831415489189</v>
      </c>
      <c r="BS22" s="473">
        <f t="shared" si="44"/>
        <v>8496.6029471188158</v>
      </c>
      <c r="BT22" s="473">
        <f t="shared" si="44"/>
        <v>8650.6422688354633</v>
      </c>
      <c r="BU22" s="473">
        <f t="shared" si="44"/>
        <v>8631.8870942991707</v>
      </c>
      <c r="BV22" s="473">
        <f t="shared" si="44"/>
        <v>8684.7777646070517</v>
      </c>
      <c r="BW22" s="473">
        <f t="shared" si="44"/>
        <v>8738.9641393691636</v>
      </c>
      <c r="BX22" s="473">
        <f t="shared" si="44"/>
        <v>8837.3972351106167</v>
      </c>
      <c r="BY22" s="473">
        <f t="shared" si="45"/>
        <v>8935.8303308520699</v>
      </c>
      <c r="BZ22" s="473">
        <f t="shared" si="45"/>
        <v>9034.2634265935212</v>
      </c>
      <c r="CA22" s="473">
        <f t="shared" si="45"/>
        <v>9132.6965223349744</v>
      </c>
      <c r="CB22" s="473">
        <f t="shared" si="45"/>
        <v>9231.1296180764275</v>
      </c>
      <c r="CC22" s="473">
        <f t="shared" si="45"/>
        <v>9278.8374622858482</v>
      </c>
      <c r="CD22" s="473">
        <f t="shared" si="45"/>
        <v>9326.545306495269</v>
      </c>
      <c r="CE22" s="473">
        <f t="shared" si="45"/>
        <v>9374.2531507046879</v>
      </c>
      <c r="CF22" s="473">
        <f t="shared" si="45"/>
        <v>9421.9609949141068</v>
      </c>
      <c r="CG22" s="473">
        <f t="shared" si="45"/>
        <v>9469.6688391235275</v>
      </c>
    </row>
    <row r="23" spans="1:85" x14ac:dyDescent="0.25">
      <c r="A23" s="110" t="s">
        <v>824</v>
      </c>
      <c r="B23" s="104">
        <f t="shared" si="25"/>
        <v>11015.642914528089</v>
      </c>
      <c r="C23" s="104">
        <f t="shared" si="46"/>
        <v>10108.473439151394</v>
      </c>
      <c r="D23" s="104">
        <f t="shared" si="47"/>
        <v>10949.952066662801</v>
      </c>
      <c r="E23" s="104">
        <f t="shared" si="48"/>
        <v>11390.618578992517</v>
      </c>
      <c r="F23" s="104">
        <f t="shared" si="49"/>
        <v>11373.082741220214</v>
      </c>
      <c r="G23" s="104">
        <f t="shared" si="50"/>
        <v>11154.224954882033</v>
      </c>
      <c r="H23" s="104">
        <f t="shared" si="1"/>
        <v>11309.261078023525</v>
      </c>
      <c r="I23" s="104">
        <f t="shared" si="2"/>
        <v>11398.70615357178</v>
      </c>
      <c r="J23" s="104">
        <f t="shared" si="3"/>
        <v>11594.257234606644</v>
      </c>
      <c r="K23" s="104">
        <f t="shared" si="4"/>
        <v>11789.808315641514</v>
      </c>
      <c r="L23" s="104">
        <f t="shared" si="5"/>
        <v>12044.75214982646</v>
      </c>
      <c r="M23" s="104">
        <f t="shared" si="6"/>
        <v>12109.771715243785</v>
      </c>
      <c r="N23" s="104">
        <f t="shared" si="7"/>
        <v>12329.316047581</v>
      </c>
      <c r="O23" s="104">
        <f t="shared" si="8"/>
        <v>12302.585260756241</v>
      </c>
      <c r="P23" s="104">
        <f t="shared" si="9"/>
        <v>12377.967616184755</v>
      </c>
      <c r="Q23" s="104">
        <f t="shared" si="10"/>
        <v>12455.196672612337</v>
      </c>
      <c r="R23" s="104">
        <f t="shared" si="11"/>
        <v>12595.488307524845</v>
      </c>
      <c r="S23" s="104">
        <f t="shared" si="12"/>
        <v>12735.779942437353</v>
      </c>
      <c r="T23" s="104">
        <f t="shared" si="13"/>
        <v>12876.071577349861</v>
      </c>
      <c r="U23" s="104">
        <f t="shared" si="14"/>
        <v>13016.363212262369</v>
      </c>
      <c r="V23" s="104">
        <f t="shared" si="15"/>
        <v>13156.654847174877</v>
      </c>
      <c r="W23" s="104">
        <f t="shared" si="16"/>
        <v>13224.650386803854</v>
      </c>
      <c r="X23" s="104">
        <f t="shared" si="17"/>
        <v>13292.645926432828</v>
      </c>
      <c r="Y23" s="104">
        <f t="shared" si="18"/>
        <v>13360.641466061805</v>
      </c>
      <c r="Z23" s="104">
        <f t="shared" si="19"/>
        <v>13428.637005690778</v>
      </c>
      <c r="AA23" s="104">
        <f t="shared" si="20"/>
        <v>13496.632545319755</v>
      </c>
      <c r="AB23" s="821"/>
      <c r="AC23" s="105">
        <f t="shared" si="26"/>
        <v>0.87863028839319901</v>
      </c>
      <c r="AD23" s="105">
        <f t="shared" si="51"/>
        <v>0.93451641651774331</v>
      </c>
      <c r="AE23" s="105">
        <f t="shared" si="51"/>
        <v>0.92872827150165294</v>
      </c>
      <c r="AF23" s="105">
        <f t="shared" si="51"/>
        <v>0.85152148125892679</v>
      </c>
      <c r="AG23" s="105">
        <f t="shared" si="51"/>
        <v>0.81830459312684611</v>
      </c>
      <c r="AH23" s="105">
        <f t="shared" si="51"/>
        <v>0.86471715420385575</v>
      </c>
      <c r="AI23" s="105">
        <f t="shared" si="51"/>
        <v>0.87863028839319901</v>
      </c>
      <c r="AJ23" s="105">
        <f t="shared" si="51"/>
        <v>0.87863028839319912</v>
      </c>
      <c r="AK23" s="105">
        <f t="shared" si="51"/>
        <v>0.8786302883931989</v>
      </c>
      <c r="AL23" s="105">
        <f t="shared" si="51"/>
        <v>0.8786302883931989</v>
      </c>
      <c r="AM23" s="105">
        <f t="shared" si="51"/>
        <v>0.87863028839319901</v>
      </c>
      <c r="AN23" s="105">
        <f t="shared" si="51"/>
        <v>0.87863028839319901</v>
      </c>
      <c r="AO23" s="105">
        <f t="shared" si="51"/>
        <v>0.87863028839319901</v>
      </c>
      <c r="AP23" s="105">
        <f t="shared" si="51"/>
        <v>0.87863028839319901</v>
      </c>
      <c r="AQ23" s="105">
        <f t="shared" si="51"/>
        <v>0.87863028839319912</v>
      </c>
      <c r="AR23" s="105">
        <f t="shared" si="51"/>
        <v>0.8786302883931989</v>
      </c>
      <c r="AS23" s="105">
        <f t="shared" si="52"/>
        <v>0.87863028839319901</v>
      </c>
      <c r="AT23" s="105">
        <f t="shared" ref="AT23:AT27" si="53">S23/S$6</f>
        <v>0.87863028839319901</v>
      </c>
      <c r="AU23" s="105">
        <f t="shared" ref="AU23:AU27" si="54">T23/T$6</f>
        <v>0.87863028839319901</v>
      </c>
      <c r="AV23" s="105">
        <f t="shared" ref="AV23:AV27" si="55">U23/U$6</f>
        <v>0.8786302883931989</v>
      </c>
      <c r="AW23" s="105">
        <f t="shared" ref="AW23:AW27" si="56">V23/V$6</f>
        <v>0.87863028839319901</v>
      </c>
      <c r="AX23" s="105">
        <f t="shared" ref="AX23:AX27" si="57">W23/W$6</f>
        <v>0.87863028839319901</v>
      </c>
      <c r="AY23" s="105">
        <f t="shared" ref="AY23:AY27" si="58">X23/X$6</f>
        <v>0.87863028839319901</v>
      </c>
      <c r="AZ23" s="105">
        <f t="shared" ref="AZ23:AZ27" si="59">Y23/Y$6</f>
        <v>0.87863028839319901</v>
      </c>
      <c r="BA23" s="105">
        <f t="shared" ref="BA23:BA27" si="60">Z23/Z$6</f>
        <v>0.87863028839319901</v>
      </c>
      <c r="BB23" s="105">
        <f t="shared" ref="BB23:BB27" si="61">AA23/AA$6</f>
        <v>0.8786302883931989</v>
      </c>
      <c r="BE23" s="97"/>
      <c r="BF23" s="97"/>
      <c r="BH23" s="473">
        <v>11015.642914528089</v>
      </c>
      <c r="BI23" s="473">
        <v>10108.473439151394</v>
      </c>
      <c r="BJ23" s="473">
        <v>10949.952066662801</v>
      </c>
      <c r="BK23" s="473">
        <v>11390.618578992517</v>
      </c>
      <c r="BL23" s="473">
        <v>11373.082741220214</v>
      </c>
      <c r="BM23" s="473">
        <v>11154.224954882033</v>
      </c>
      <c r="BN23" s="473">
        <f t="shared" si="44"/>
        <v>11309.261078023525</v>
      </c>
      <c r="BO23" s="473">
        <f t="shared" si="44"/>
        <v>11398.70615357178</v>
      </c>
      <c r="BP23" s="473">
        <f t="shared" si="44"/>
        <v>11594.257234606644</v>
      </c>
      <c r="BQ23" s="473">
        <f t="shared" si="44"/>
        <v>11789.808315641514</v>
      </c>
      <c r="BR23" s="473">
        <f t="shared" si="44"/>
        <v>12044.75214982646</v>
      </c>
      <c r="BS23" s="473">
        <f t="shared" si="44"/>
        <v>12109.771715243785</v>
      </c>
      <c r="BT23" s="473">
        <f t="shared" si="44"/>
        <v>12329.316047581</v>
      </c>
      <c r="BU23" s="473">
        <f t="shared" si="44"/>
        <v>12302.585260756241</v>
      </c>
      <c r="BV23" s="473">
        <f t="shared" si="44"/>
        <v>12377.967616184755</v>
      </c>
      <c r="BW23" s="473">
        <f t="shared" si="44"/>
        <v>12455.196672612337</v>
      </c>
      <c r="BX23" s="473">
        <f t="shared" si="44"/>
        <v>12595.488307524845</v>
      </c>
      <c r="BY23" s="473">
        <f t="shared" si="45"/>
        <v>12735.779942437353</v>
      </c>
      <c r="BZ23" s="473">
        <f t="shared" si="45"/>
        <v>12876.071577349861</v>
      </c>
      <c r="CA23" s="473">
        <f t="shared" si="45"/>
        <v>13016.363212262369</v>
      </c>
      <c r="CB23" s="473">
        <f t="shared" si="45"/>
        <v>13156.654847174877</v>
      </c>
      <c r="CC23" s="473">
        <f t="shared" si="45"/>
        <v>13224.650386803854</v>
      </c>
      <c r="CD23" s="473">
        <f t="shared" si="45"/>
        <v>13292.645926432828</v>
      </c>
      <c r="CE23" s="473">
        <f t="shared" si="45"/>
        <v>13360.641466061805</v>
      </c>
      <c r="CF23" s="473">
        <f t="shared" si="45"/>
        <v>13428.637005690778</v>
      </c>
      <c r="CG23" s="473">
        <f t="shared" si="45"/>
        <v>13496.632545319755</v>
      </c>
    </row>
    <row r="24" spans="1:85" x14ac:dyDescent="0.25">
      <c r="A24" s="110" t="s">
        <v>825</v>
      </c>
      <c r="B24" s="104">
        <f t="shared" si="25"/>
        <v>1037.618682050253</v>
      </c>
      <c r="C24" s="104">
        <f t="shared" si="46"/>
        <v>327.11389437100075</v>
      </c>
      <c r="D24" s="104">
        <f t="shared" si="47"/>
        <v>468.9656211375073</v>
      </c>
      <c r="E24" s="104">
        <f t="shared" si="48"/>
        <v>1420.9488051788851</v>
      </c>
      <c r="F24" s="104">
        <f t="shared" si="49"/>
        <v>1801.3938196250595</v>
      </c>
      <c r="G24" s="104">
        <f t="shared" si="50"/>
        <v>1359.99771703137</v>
      </c>
      <c r="H24" s="104">
        <f t="shared" si="1"/>
        <v>1065.2760502307649</v>
      </c>
      <c r="I24" s="104">
        <f t="shared" si="2"/>
        <v>1073.7013307274538</v>
      </c>
      <c r="J24" s="104">
        <f t="shared" si="3"/>
        <v>1092.1212683154174</v>
      </c>
      <c r="K24" s="104">
        <f t="shared" si="4"/>
        <v>1110.5412059033813</v>
      </c>
      <c r="L24" s="104">
        <f t="shared" si="5"/>
        <v>1134.5556449403382</v>
      </c>
      <c r="M24" s="104">
        <f t="shared" si="6"/>
        <v>1140.6801640718388</v>
      </c>
      <c r="N24" s="104">
        <f t="shared" si="7"/>
        <v>1161.3601463968741</v>
      </c>
      <c r="O24" s="104">
        <f t="shared" si="8"/>
        <v>1158.8422394521338</v>
      </c>
      <c r="P24" s="104">
        <f t="shared" si="9"/>
        <v>1165.9428817747364</v>
      </c>
      <c r="Q24" s="104">
        <f t="shared" si="10"/>
        <v>1173.2174741310923</v>
      </c>
      <c r="R24" s="104">
        <f t="shared" si="11"/>
        <v>1186.4322471997261</v>
      </c>
      <c r="S24" s="104">
        <f t="shared" si="12"/>
        <v>1199.6470202683599</v>
      </c>
      <c r="T24" s="104">
        <f t="shared" si="13"/>
        <v>1212.8617933369937</v>
      </c>
      <c r="U24" s="104">
        <f t="shared" si="14"/>
        <v>1226.0765664056273</v>
      </c>
      <c r="V24" s="104">
        <f t="shared" si="15"/>
        <v>1239.2913394742611</v>
      </c>
      <c r="W24" s="104">
        <f t="shared" si="16"/>
        <v>1245.696180550043</v>
      </c>
      <c r="X24" s="104">
        <f t="shared" si="17"/>
        <v>1252.1010216258244</v>
      </c>
      <c r="Y24" s="104">
        <f t="shared" si="18"/>
        <v>1258.5058627016065</v>
      </c>
      <c r="Z24" s="104">
        <f t="shared" si="19"/>
        <v>1264.9107037773881</v>
      </c>
      <c r="AA24" s="104">
        <f t="shared" si="20"/>
        <v>1271.3155448531697</v>
      </c>
      <c r="AB24" s="821"/>
      <c r="AC24" s="105">
        <f t="shared" si="26"/>
        <v>8.2762595785453655E-2</v>
      </c>
      <c r="AD24" s="105">
        <f t="shared" si="51"/>
        <v>3.0241292733357985E-2</v>
      </c>
      <c r="AE24" s="105">
        <f t="shared" si="51"/>
        <v>3.9775665506221296E-2</v>
      </c>
      <c r="AF24" s="105">
        <f t="shared" si="51"/>
        <v>0.10622499761431274</v>
      </c>
      <c r="AG24" s="105">
        <f t="shared" si="51"/>
        <v>0.12961207353982065</v>
      </c>
      <c r="AH24" s="105">
        <f t="shared" si="51"/>
        <v>0.10543209952748749</v>
      </c>
      <c r="AI24" s="105">
        <f t="shared" si="51"/>
        <v>8.2762595785453655E-2</v>
      </c>
      <c r="AJ24" s="105">
        <f t="shared" si="51"/>
        <v>8.2762595785453641E-2</v>
      </c>
      <c r="AK24" s="105">
        <f t="shared" si="51"/>
        <v>8.2762595785453655E-2</v>
      </c>
      <c r="AL24" s="105">
        <f t="shared" si="51"/>
        <v>8.2762595785453655E-2</v>
      </c>
      <c r="AM24" s="105">
        <f t="shared" si="51"/>
        <v>8.2762595785453655E-2</v>
      </c>
      <c r="AN24" s="105">
        <f t="shared" si="51"/>
        <v>8.2762595785453655E-2</v>
      </c>
      <c r="AO24" s="105">
        <f t="shared" si="51"/>
        <v>8.2762595785453655E-2</v>
      </c>
      <c r="AP24" s="105">
        <f t="shared" si="51"/>
        <v>8.2762595785453669E-2</v>
      </c>
      <c r="AQ24" s="105">
        <f t="shared" si="51"/>
        <v>8.2762595785453655E-2</v>
      </c>
      <c r="AR24" s="105">
        <f t="shared" si="51"/>
        <v>8.2762595785453641E-2</v>
      </c>
      <c r="AS24" s="105">
        <f t="shared" si="52"/>
        <v>8.2762595785453655E-2</v>
      </c>
      <c r="AT24" s="105">
        <f t="shared" si="53"/>
        <v>8.2762595785453655E-2</v>
      </c>
      <c r="AU24" s="105">
        <f t="shared" si="54"/>
        <v>8.2762595785453669E-2</v>
      </c>
      <c r="AV24" s="105">
        <f t="shared" si="55"/>
        <v>8.2762595785453641E-2</v>
      </c>
      <c r="AW24" s="105">
        <f t="shared" si="56"/>
        <v>8.2762595785453655E-2</v>
      </c>
      <c r="AX24" s="105">
        <f t="shared" si="57"/>
        <v>8.2762595785453655E-2</v>
      </c>
      <c r="AY24" s="105">
        <f t="shared" si="58"/>
        <v>8.2762595785453655E-2</v>
      </c>
      <c r="AZ24" s="105">
        <f t="shared" si="59"/>
        <v>8.2762595785453655E-2</v>
      </c>
      <c r="BA24" s="105">
        <f t="shared" si="60"/>
        <v>8.2762595785453669E-2</v>
      </c>
      <c r="BB24" s="105">
        <f t="shared" si="61"/>
        <v>8.2762595785453655E-2</v>
      </c>
      <c r="BE24" s="97"/>
      <c r="BF24" s="97"/>
      <c r="BG24" s="45"/>
      <c r="BH24" s="472">
        <v>1037.618682050253</v>
      </c>
      <c r="BI24" s="472">
        <v>327.11389437100075</v>
      </c>
      <c r="BJ24" s="472">
        <v>468.9656211375073</v>
      </c>
      <c r="BK24" s="472">
        <v>1420.9488051788851</v>
      </c>
      <c r="BL24" s="472">
        <v>1801.3938196250595</v>
      </c>
      <c r="BM24" s="472">
        <v>1359.99771703137</v>
      </c>
      <c r="BN24" s="472">
        <f t="shared" si="44"/>
        <v>1065.2760502307649</v>
      </c>
      <c r="BO24" s="472">
        <f t="shared" si="44"/>
        <v>1073.7013307274538</v>
      </c>
      <c r="BP24" s="472">
        <f t="shared" si="44"/>
        <v>1092.1212683154174</v>
      </c>
      <c r="BQ24" s="472">
        <f t="shared" si="44"/>
        <v>1110.5412059033813</v>
      </c>
      <c r="BR24" s="472">
        <f t="shared" si="44"/>
        <v>1134.5556449403382</v>
      </c>
      <c r="BS24" s="472">
        <f t="shared" si="44"/>
        <v>1140.6801640718388</v>
      </c>
      <c r="BT24" s="472">
        <f t="shared" si="44"/>
        <v>1161.3601463968741</v>
      </c>
      <c r="BU24" s="472">
        <f t="shared" si="44"/>
        <v>1158.8422394521338</v>
      </c>
      <c r="BV24" s="472">
        <f t="shared" si="44"/>
        <v>1165.9428817747364</v>
      </c>
      <c r="BW24" s="472">
        <f t="shared" si="44"/>
        <v>1173.2174741310923</v>
      </c>
      <c r="BX24" s="472">
        <f t="shared" si="44"/>
        <v>1186.4322471997261</v>
      </c>
      <c r="BY24" s="472">
        <f t="shared" si="45"/>
        <v>1199.6470202683599</v>
      </c>
      <c r="BZ24" s="472">
        <f t="shared" si="45"/>
        <v>1212.8617933369937</v>
      </c>
      <c r="CA24" s="472">
        <f t="shared" si="45"/>
        <v>1226.0765664056273</v>
      </c>
      <c r="CB24" s="472">
        <f t="shared" si="45"/>
        <v>1239.2913394742611</v>
      </c>
      <c r="CC24" s="472">
        <f t="shared" si="45"/>
        <v>1245.696180550043</v>
      </c>
      <c r="CD24" s="472">
        <f t="shared" si="45"/>
        <v>1252.1010216258244</v>
      </c>
      <c r="CE24" s="472">
        <f t="shared" si="45"/>
        <v>1258.5058627016065</v>
      </c>
      <c r="CF24" s="472">
        <f t="shared" si="45"/>
        <v>1264.9107037773881</v>
      </c>
      <c r="CG24" s="472">
        <f t="shared" si="45"/>
        <v>1271.3155448531697</v>
      </c>
    </row>
    <row r="25" spans="1:85" x14ac:dyDescent="0.25">
      <c r="A25" s="98" t="s">
        <v>826</v>
      </c>
      <c r="B25" s="99">
        <f t="shared" si="25"/>
        <v>446.06558664502518</v>
      </c>
      <c r="C25" s="99">
        <f t="shared" si="46"/>
        <v>428.85975343242728</v>
      </c>
      <c r="D25" s="99">
        <f t="shared" si="47"/>
        <v>371.34691667643273</v>
      </c>
      <c r="E25" s="99">
        <f t="shared" si="48"/>
        <v>235.50675338550371</v>
      </c>
      <c r="F25" s="99">
        <f t="shared" si="49"/>
        <v>627.35602670691776</v>
      </c>
      <c r="G25" s="99">
        <f t="shared" si="50"/>
        <v>577.5795079344648</v>
      </c>
      <c r="H25" s="99">
        <f t="shared" si="1"/>
        <v>457.95531104563111</v>
      </c>
      <c r="I25" s="99">
        <f t="shared" si="2"/>
        <v>461.57728485201875</v>
      </c>
      <c r="J25" s="99">
        <f t="shared" si="3"/>
        <v>469.49589735223378</v>
      </c>
      <c r="K25" s="99">
        <f t="shared" si="4"/>
        <v>477.41450985244882</v>
      </c>
      <c r="L25" s="99">
        <f t="shared" si="5"/>
        <v>487.7381624834955</v>
      </c>
      <c r="M25" s="99">
        <f t="shared" si="6"/>
        <v>490.3710538014443</v>
      </c>
      <c r="N25" s="99">
        <f t="shared" si="7"/>
        <v>499.26124497398428</v>
      </c>
      <c r="O25" s="99">
        <f t="shared" si="8"/>
        <v>498.17881299983742</v>
      </c>
      <c r="P25" s="99">
        <f t="shared" si="9"/>
        <v>501.23133338905194</v>
      </c>
      <c r="Q25" s="99">
        <f t="shared" si="10"/>
        <v>504.358633777119</v>
      </c>
      <c r="R25" s="99">
        <f t="shared" si="11"/>
        <v>510.0395795842951</v>
      </c>
      <c r="S25" s="99">
        <f t="shared" si="12"/>
        <v>515.72052539147126</v>
      </c>
      <c r="T25" s="99">
        <f t="shared" si="13"/>
        <v>521.4014711986473</v>
      </c>
      <c r="U25" s="99">
        <f t="shared" si="14"/>
        <v>527.08241700582334</v>
      </c>
      <c r="V25" s="99">
        <f t="shared" si="15"/>
        <v>532.7633628129995</v>
      </c>
      <c r="W25" s="99">
        <f t="shared" si="16"/>
        <v>535.51676272884492</v>
      </c>
      <c r="X25" s="99">
        <f t="shared" si="17"/>
        <v>538.27016264469012</v>
      </c>
      <c r="Y25" s="99">
        <f t="shared" si="18"/>
        <v>541.02356256053565</v>
      </c>
      <c r="Z25" s="99">
        <f t="shared" si="19"/>
        <v>543.77696247638096</v>
      </c>
      <c r="AA25" s="99">
        <f t="shared" si="20"/>
        <v>546.53036239222627</v>
      </c>
      <c r="AB25" s="821"/>
      <c r="AC25" s="101">
        <f t="shared" si="26"/>
        <v>3.5579106737320211E-2</v>
      </c>
      <c r="AD25" s="101">
        <f t="shared" si="51"/>
        <v>3.9647577092511023E-2</v>
      </c>
      <c r="AE25" s="101">
        <f t="shared" si="51"/>
        <v>3.1496062992125984E-2</v>
      </c>
      <c r="AF25" s="101">
        <f t="shared" si="51"/>
        <v>1.7605633802816902E-2</v>
      </c>
      <c r="AG25" s="101">
        <f t="shared" si="51"/>
        <v>4.5138888888888895E-2</v>
      </c>
      <c r="AH25" s="101">
        <f t="shared" si="51"/>
        <v>4.4776119402985079E-2</v>
      </c>
      <c r="AI25" s="101">
        <f t="shared" si="51"/>
        <v>3.5579106737320211E-2</v>
      </c>
      <c r="AJ25" s="101">
        <f t="shared" si="51"/>
        <v>3.5579106737320211E-2</v>
      </c>
      <c r="AK25" s="101">
        <f t="shared" si="51"/>
        <v>3.5579106737320211E-2</v>
      </c>
      <c r="AL25" s="101">
        <f t="shared" si="51"/>
        <v>3.5579106737320211E-2</v>
      </c>
      <c r="AM25" s="101">
        <f t="shared" si="51"/>
        <v>3.5579106737320204E-2</v>
      </c>
      <c r="AN25" s="101">
        <f t="shared" si="51"/>
        <v>3.5579106737320211E-2</v>
      </c>
      <c r="AO25" s="101">
        <f t="shared" si="51"/>
        <v>3.5579106737320211E-2</v>
      </c>
      <c r="AP25" s="101">
        <f t="shared" si="51"/>
        <v>3.5579106737320211E-2</v>
      </c>
      <c r="AQ25" s="101">
        <f t="shared" si="51"/>
        <v>3.5579106737320211E-2</v>
      </c>
      <c r="AR25" s="101">
        <f t="shared" si="51"/>
        <v>3.5579106737320211E-2</v>
      </c>
      <c r="AS25" s="101">
        <f t="shared" si="52"/>
        <v>3.5579106737320211E-2</v>
      </c>
      <c r="AT25" s="101">
        <f t="shared" si="53"/>
        <v>3.5579106737320218E-2</v>
      </c>
      <c r="AU25" s="101">
        <f t="shared" si="54"/>
        <v>3.5579106737320211E-2</v>
      </c>
      <c r="AV25" s="101">
        <f t="shared" si="55"/>
        <v>3.5579106737320204E-2</v>
      </c>
      <c r="AW25" s="101">
        <f t="shared" si="56"/>
        <v>3.5579106737320211E-2</v>
      </c>
      <c r="AX25" s="101">
        <f t="shared" si="57"/>
        <v>3.5579106737320211E-2</v>
      </c>
      <c r="AY25" s="101">
        <f t="shared" si="58"/>
        <v>3.5579106737320204E-2</v>
      </c>
      <c r="AZ25" s="101">
        <f t="shared" si="59"/>
        <v>3.5579106737320211E-2</v>
      </c>
      <c r="BA25" s="101">
        <f t="shared" si="60"/>
        <v>3.5579106737320218E-2</v>
      </c>
      <c r="BB25" s="101">
        <f t="shared" si="61"/>
        <v>3.5579106737320204E-2</v>
      </c>
      <c r="BE25" s="97">
        <v>0.17040575159766558</v>
      </c>
      <c r="BF25" s="97"/>
      <c r="BH25" s="469">
        <v>446.06558664502518</v>
      </c>
      <c r="BI25" s="469">
        <v>428.85975343242728</v>
      </c>
      <c r="BJ25" s="469">
        <v>371.34691667643273</v>
      </c>
      <c r="BK25" s="469">
        <v>235.50675338550371</v>
      </c>
      <c r="BL25" s="469">
        <v>627.35602670691776</v>
      </c>
      <c r="BM25" s="469">
        <v>577.5795079344648</v>
      </c>
      <c r="BN25" s="469">
        <f t="shared" si="44"/>
        <v>457.95531104563111</v>
      </c>
      <c r="BO25" s="469">
        <f t="shared" si="44"/>
        <v>461.57728485201875</v>
      </c>
      <c r="BP25" s="469">
        <f t="shared" si="44"/>
        <v>469.49589735223378</v>
      </c>
      <c r="BQ25" s="469">
        <f t="shared" si="44"/>
        <v>477.41450985244882</v>
      </c>
      <c r="BR25" s="469">
        <f t="shared" si="44"/>
        <v>487.7381624834955</v>
      </c>
      <c r="BS25" s="469">
        <f t="shared" si="44"/>
        <v>490.3710538014443</v>
      </c>
      <c r="BT25" s="469">
        <f t="shared" si="44"/>
        <v>499.26124497398428</v>
      </c>
      <c r="BU25" s="469">
        <f t="shared" si="44"/>
        <v>498.17881299983742</v>
      </c>
      <c r="BV25" s="469">
        <f t="shared" si="44"/>
        <v>501.23133338905194</v>
      </c>
      <c r="BW25" s="469">
        <f t="shared" si="44"/>
        <v>504.358633777119</v>
      </c>
      <c r="BX25" s="469">
        <f t="shared" si="44"/>
        <v>510.0395795842951</v>
      </c>
      <c r="BY25" s="469">
        <f t="shared" si="45"/>
        <v>515.72052539147126</v>
      </c>
      <c r="BZ25" s="469">
        <f t="shared" si="45"/>
        <v>521.4014711986473</v>
      </c>
      <c r="CA25" s="469">
        <f t="shared" si="45"/>
        <v>527.08241700582334</v>
      </c>
      <c r="CB25" s="469">
        <f t="shared" si="45"/>
        <v>532.7633628129995</v>
      </c>
      <c r="CC25" s="469">
        <f t="shared" si="45"/>
        <v>535.51676272884492</v>
      </c>
      <c r="CD25" s="469">
        <f t="shared" si="45"/>
        <v>538.27016264469012</v>
      </c>
      <c r="CE25" s="469">
        <f t="shared" si="45"/>
        <v>541.02356256053565</v>
      </c>
      <c r="CF25" s="469">
        <f t="shared" si="45"/>
        <v>543.77696247638096</v>
      </c>
      <c r="CG25" s="469">
        <f t="shared" si="45"/>
        <v>546.53036239222627</v>
      </c>
    </row>
    <row r="26" spans="1:85" x14ac:dyDescent="0.25">
      <c r="A26" s="111" t="s">
        <v>827</v>
      </c>
      <c r="B26" s="104">
        <f t="shared" si="25"/>
        <v>356.85246931602018</v>
      </c>
      <c r="C26" s="104">
        <f t="shared" si="46"/>
        <v>343.08780274594187</v>
      </c>
      <c r="D26" s="104">
        <f t="shared" si="47"/>
        <v>297.07753334114619</v>
      </c>
      <c r="E26" s="104">
        <f t="shared" si="48"/>
        <v>188.40540270840299</v>
      </c>
      <c r="F26" s="104">
        <f t="shared" si="49"/>
        <v>501.88482136553421</v>
      </c>
      <c r="G26" s="104">
        <f t="shared" si="50"/>
        <v>462.06360634757186</v>
      </c>
      <c r="H26" s="104">
        <f t="shared" si="1"/>
        <v>366.36424883650488</v>
      </c>
      <c r="I26" s="104">
        <f t="shared" si="2"/>
        <v>369.26182788161503</v>
      </c>
      <c r="J26" s="104">
        <f t="shared" si="3"/>
        <v>375.59671788178701</v>
      </c>
      <c r="K26" s="104">
        <f t="shared" si="4"/>
        <v>381.93160788195911</v>
      </c>
      <c r="L26" s="104">
        <f t="shared" si="5"/>
        <v>390.19052998679649</v>
      </c>
      <c r="M26" s="104">
        <f t="shared" si="6"/>
        <v>392.29684304115551</v>
      </c>
      <c r="N26" s="104">
        <f t="shared" si="7"/>
        <v>399.40899597918747</v>
      </c>
      <c r="O26" s="104">
        <f t="shared" si="8"/>
        <v>398.54305039986991</v>
      </c>
      <c r="P26" s="104">
        <f t="shared" si="9"/>
        <v>400.98506671124159</v>
      </c>
      <c r="Q26" s="104">
        <f t="shared" si="10"/>
        <v>403.48690702169523</v>
      </c>
      <c r="R26" s="104">
        <f t="shared" si="11"/>
        <v>408.03166366743613</v>
      </c>
      <c r="S26" s="104">
        <f t="shared" si="12"/>
        <v>412.57642031317698</v>
      </c>
      <c r="T26" s="104">
        <f t="shared" si="13"/>
        <v>417.12117695891789</v>
      </c>
      <c r="U26" s="104">
        <f t="shared" si="14"/>
        <v>421.66593360465873</v>
      </c>
      <c r="V26" s="104">
        <f t="shared" si="15"/>
        <v>426.21069025039964</v>
      </c>
      <c r="W26" s="104">
        <f t="shared" si="16"/>
        <v>428.41341018307594</v>
      </c>
      <c r="X26" s="104">
        <f t="shared" si="17"/>
        <v>430.61613011575218</v>
      </c>
      <c r="Y26" s="104">
        <f t="shared" si="18"/>
        <v>432.81885004842849</v>
      </c>
      <c r="Z26" s="104">
        <f t="shared" si="19"/>
        <v>435.02156998110479</v>
      </c>
      <c r="AA26" s="104">
        <f t="shared" si="20"/>
        <v>437.22428991378109</v>
      </c>
      <c r="AB26" s="821"/>
      <c r="AC26" s="105">
        <f t="shared" si="26"/>
        <v>2.8463285389856173E-2</v>
      </c>
      <c r="AD26" s="105">
        <f t="shared" si="51"/>
        <v>3.171806167400882E-2</v>
      </c>
      <c r="AE26" s="105">
        <f t="shared" si="51"/>
        <v>2.5196850393700787E-2</v>
      </c>
      <c r="AF26" s="105">
        <f t="shared" si="51"/>
        <v>1.4084507042253523E-2</v>
      </c>
      <c r="AG26" s="105">
        <f t="shared" si="51"/>
        <v>3.6111111111111115E-2</v>
      </c>
      <c r="AH26" s="105">
        <f t="shared" si="51"/>
        <v>3.5820895522388062E-2</v>
      </c>
      <c r="AI26" s="105">
        <f t="shared" si="51"/>
        <v>2.8463285389856166E-2</v>
      </c>
      <c r="AJ26" s="105">
        <f t="shared" si="51"/>
        <v>2.846328538985617E-2</v>
      </c>
      <c r="AK26" s="105">
        <f t="shared" si="51"/>
        <v>2.846328538985617E-2</v>
      </c>
      <c r="AL26" s="105">
        <f t="shared" si="51"/>
        <v>2.846328538985617E-2</v>
      </c>
      <c r="AM26" s="105">
        <f t="shared" si="51"/>
        <v>2.846328538985617E-2</v>
      </c>
      <c r="AN26" s="105">
        <f t="shared" si="51"/>
        <v>2.8463285389856173E-2</v>
      </c>
      <c r="AO26" s="105">
        <f t="shared" si="51"/>
        <v>2.8463285389856173E-2</v>
      </c>
      <c r="AP26" s="105">
        <f t="shared" si="51"/>
        <v>2.846328538985617E-2</v>
      </c>
      <c r="AQ26" s="105">
        <f t="shared" si="51"/>
        <v>2.8463285389856173E-2</v>
      </c>
      <c r="AR26" s="105">
        <f t="shared" si="51"/>
        <v>2.846328538985617E-2</v>
      </c>
      <c r="AS26" s="105">
        <f t="shared" si="52"/>
        <v>2.8463285389856173E-2</v>
      </c>
      <c r="AT26" s="105">
        <f t="shared" si="53"/>
        <v>2.846328538985617E-2</v>
      </c>
      <c r="AU26" s="105">
        <f t="shared" si="54"/>
        <v>2.8463285389856173E-2</v>
      </c>
      <c r="AV26" s="105">
        <f t="shared" si="55"/>
        <v>2.8463285389856166E-2</v>
      </c>
      <c r="AW26" s="105">
        <f t="shared" si="56"/>
        <v>2.846328538985617E-2</v>
      </c>
      <c r="AX26" s="105">
        <f t="shared" si="57"/>
        <v>2.846328538985617E-2</v>
      </c>
      <c r="AY26" s="105">
        <f t="shared" si="58"/>
        <v>2.8463285389856173E-2</v>
      </c>
      <c r="AZ26" s="105">
        <f t="shared" si="59"/>
        <v>2.846328538985617E-2</v>
      </c>
      <c r="BA26" s="105">
        <f t="shared" si="60"/>
        <v>2.8463285389856173E-2</v>
      </c>
      <c r="BB26" s="105">
        <f t="shared" si="61"/>
        <v>2.846328538985617E-2</v>
      </c>
      <c r="BC26" s="60"/>
      <c r="BD26" s="60"/>
      <c r="BE26" s="60"/>
      <c r="BF26" s="60"/>
      <c r="BH26" s="470">
        <v>356.85246931602018</v>
      </c>
      <c r="BI26" s="470">
        <v>343.08780274594187</v>
      </c>
      <c r="BJ26" s="470">
        <v>297.07753334114619</v>
      </c>
      <c r="BK26" s="470">
        <v>188.40540270840299</v>
      </c>
      <c r="BL26" s="470">
        <v>501.88482136553421</v>
      </c>
      <c r="BM26" s="470">
        <v>462.06360634757186</v>
      </c>
      <c r="BN26" s="470">
        <f t="shared" si="44"/>
        <v>366.36424883650488</v>
      </c>
      <c r="BO26" s="470">
        <f t="shared" si="44"/>
        <v>369.26182788161503</v>
      </c>
      <c r="BP26" s="470">
        <f t="shared" si="44"/>
        <v>375.59671788178701</v>
      </c>
      <c r="BQ26" s="470">
        <f t="shared" si="44"/>
        <v>381.93160788195911</v>
      </c>
      <c r="BR26" s="470">
        <f t="shared" si="44"/>
        <v>390.19052998679649</v>
      </c>
      <c r="BS26" s="470">
        <f t="shared" si="44"/>
        <v>392.29684304115551</v>
      </c>
      <c r="BT26" s="470">
        <f t="shared" si="44"/>
        <v>399.40899597918747</v>
      </c>
      <c r="BU26" s="470">
        <f t="shared" si="44"/>
        <v>398.54305039986991</v>
      </c>
      <c r="BV26" s="470">
        <f t="shared" si="44"/>
        <v>400.98506671124159</v>
      </c>
      <c r="BW26" s="470">
        <f t="shared" si="44"/>
        <v>403.48690702169523</v>
      </c>
      <c r="BX26" s="470">
        <f t="shared" si="44"/>
        <v>408.03166366743613</v>
      </c>
      <c r="BY26" s="470">
        <f t="shared" si="45"/>
        <v>412.57642031317698</v>
      </c>
      <c r="BZ26" s="470">
        <f t="shared" si="45"/>
        <v>417.12117695891789</v>
      </c>
      <c r="CA26" s="470">
        <f t="shared" si="45"/>
        <v>421.66593360465873</v>
      </c>
      <c r="CB26" s="470">
        <f t="shared" si="45"/>
        <v>426.21069025039964</v>
      </c>
      <c r="CC26" s="470">
        <f t="shared" si="45"/>
        <v>428.41341018307594</v>
      </c>
      <c r="CD26" s="470">
        <f t="shared" si="45"/>
        <v>430.61613011575218</v>
      </c>
      <c r="CE26" s="470">
        <f t="shared" si="45"/>
        <v>432.81885004842849</v>
      </c>
      <c r="CF26" s="470">
        <f t="shared" si="45"/>
        <v>435.02156998110479</v>
      </c>
      <c r="CG26" s="470">
        <f t="shared" si="45"/>
        <v>437.22428991378109</v>
      </c>
    </row>
    <row r="27" spans="1:85" ht="15.75" thickBot="1" x14ac:dyDescent="0.3">
      <c r="A27" s="113" t="s">
        <v>828</v>
      </c>
      <c r="B27" s="114">
        <f t="shared" si="25"/>
        <v>89.213117329005044</v>
      </c>
      <c r="C27" s="114">
        <f t="shared" si="46"/>
        <v>85.771950686485468</v>
      </c>
      <c r="D27" s="114">
        <f t="shared" si="47"/>
        <v>74.269383335286548</v>
      </c>
      <c r="E27" s="114">
        <f t="shared" si="48"/>
        <v>47.101350677100747</v>
      </c>
      <c r="F27" s="114">
        <f t="shared" si="49"/>
        <v>125.47120534138355</v>
      </c>
      <c r="G27" s="114">
        <f t="shared" si="50"/>
        <v>115.51590158689297</v>
      </c>
      <c r="H27" s="114">
        <f t="shared" si="1"/>
        <v>91.591062209126221</v>
      </c>
      <c r="I27" s="114">
        <f t="shared" si="2"/>
        <v>92.315456970403758</v>
      </c>
      <c r="J27" s="114">
        <f t="shared" si="3"/>
        <v>93.899179470446754</v>
      </c>
      <c r="K27" s="114">
        <f t="shared" si="4"/>
        <v>95.482901970489777</v>
      </c>
      <c r="L27" s="114">
        <f t="shared" si="5"/>
        <v>97.547632496699123</v>
      </c>
      <c r="M27" s="114">
        <f t="shared" si="6"/>
        <v>98.074210760288878</v>
      </c>
      <c r="N27" s="114">
        <f t="shared" si="7"/>
        <v>99.852248994796867</v>
      </c>
      <c r="O27" s="114">
        <f t="shared" si="8"/>
        <v>99.635762599967478</v>
      </c>
      <c r="P27" s="114">
        <f t="shared" si="9"/>
        <v>100.2462666778104</v>
      </c>
      <c r="Q27" s="114">
        <f t="shared" si="10"/>
        <v>100.87172675542381</v>
      </c>
      <c r="R27" s="114">
        <f t="shared" si="11"/>
        <v>102.00791591685903</v>
      </c>
      <c r="S27" s="114">
        <f t="shared" si="12"/>
        <v>103.14410507829425</v>
      </c>
      <c r="T27" s="114">
        <f t="shared" si="13"/>
        <v>104.28029423972947</v>
      </c>
      <c r="U27" s="114">
        <f t="shared" si="14"/>
        <v>105.41648340116468</v>
      </c>
      <c r="V27" s="114">
        <f t="shared" si="15"/>
        <v>106.55267256259991</v>
      </c>
      <c r="W27" s="114">
        <f t="shared" si="16"/>
        <v>107.10335254576898</v>
      </c>
      <c r="X27" s="114">
        <f t="shared" si="17"/>
        <v>107.65403252893805</v>
      </c>
      <c r="Y27" s="114">
        <f t="shared" si="18"/>
        <v>108.20471251210712</v>
      </c>
      <c r="Z27" s="114">
        <f t="shared" si="19"/>
        <v>108.7553924952762</v>
      </c>
      <c r="AA27" s="114">
        <f t="shared" si="20"/>
        <v>109.30607247844527</v>
      </c>
      <c r="AB27" s="821"/>
      <c r="AC27" s="115">
        <f t="shared" si="26"/>
        <v>7.1158213474640433E-3</v>
      </c>
      <c r="AD27" s="115">
        <f t="shared" si="51"/>
        <v>7.9295154185022049E-3</v>
      </c>
      <c r="AE27" s="115">
        <f t="shared" si="51"/>
        <v>6.2992125984251968E-3</v>
      </c>
      <c r="AF27" s="115">
        <f t="shared" si="51"/>
        <v>3.5211267605633808E-3</v>
      </c>
      <c r="AG27" s="115">
        <f t="shared" si="51"/>
        <v>9.0277777777777787E-3</v>
      </c>
      <c r="AH27" s="115">
        <f t="shared" si="51"/>
        <v>8.9552238805970154E-3</v>
      </c>
      <c r="AI27" s="115">
        <f t="shared" si="51"/>
        <v>7.1158213474640415E-3</v>
      </c>
      <c r="AJ27" s="115">
        <f t="shared" si="51"/>
        <v>7.1158213474640424E-3</v>
      </c>
      <c r="AK27" s="115">
        <f t="shared" si="51"/>
        <v>7.1158213474640424E-3</v>
      </c>
      <c r="AL27" s="115">
        <f t="shared" si="51"/>
        <v>7.1158213474640424E-3</v>
      </c>
      <c r="AM27" s="115">
        <f t="shared" si="51"/>
        <v>7.1158213474640424E-3</v>
      </c>
      <c r="AN27" s="115">
        <f t="shared" si="51"/>
        <v>7.1158213474640433E-3</v>
      </c>
      <c r="AO27" s="115">
        <f t="shared" si="51"/>
        <v>7.1158213474640433E-3</v>
      </c>
      <c r="AP27" s="115">
        <f t="shared" si="51"/>
        <v>7.1158213474640424E-3</v>
      </c>
      <c r="AQ27" s="115">
        <f t="shared" si="51"/>
        <v>7.1158213474640433E-3</v>
      </c>
      <c r="AR27" s="115">
        <f t="shared" si="51"/>
        <v>7.1158213474640424E-3</v>
      </c>
      <c r="AS27" s="115">
        <f t="shared" si="52"/>
        <v>7.1158213474640433E-3</v>
      </c>
      <c r="AT27" s="115">
        <f t="shared" si="53"/>
        <v>7.1158213474640424E-3</v>
      </c>
      <c r="AU27" s="115">
        <f t="shared" si="54"/>
        <v>7.1158213474640433E-3</v>
      </c>
      <c r="AV27" s="115">
        <f t="shared" si="55"/>
        <v>7.1158213474640415E-3</v>
      </c>
      <c r="AW27" s="115">
        <f t="shared" si="56"/>
        <v>7.1158213474640424E-3</v>
      </c>
      <c r="AX27" s="115">
        <f t="shared" si="57"/>
        <v>7.1158213474640424E-3</v>
      </c>
      <c r="AY27" s="115">
        <f t="shared" si="58"/>
        <v>7.1158213474640433E-3</v>
      </c>
      <c r="AZ27" s="115">
        <f t="shared" si="59"/>
        <v>7.1158213474640424E-3</v>
      </c>
      <c r="BA27" s="115">
        <f t="shared" si="60"/>
        <v>7.1158213474640433E-3</v>
      </c>
      <c r="BB27" s="115">
        <f t="shared" si="61"/>
        <v>7.1158213474640424E-3</v>
      </c>
      <c r="BC27" s="60"/>
      <c r="BD27" s="60"/>
      <c r="BE27" s="60"/>
      <c r="BF27" s="60"/>
      <c r="BH27" s="474">
        <v>89.213117329005044</v>
      </c>
      <c r="BI27" s="474">
        <v>85.771950686485468</v>
      </c>
      <c r="BJ27" s="474">
        <v>74.269383335286548</v>
      </c>
      <c r="BK27" s="474">
        <v>47.101350677100747</v>
      </c>
      <c r="BL27" s="474">
        <v>125.47120534138355</v>
      </c>
      <c r="BM27" s="474">
        <v>115.51590158689297</v>
      </c>
      <c r="BN27" s="474">
        <f t="shared" si="44"/>
        <v>91.591062209126221</v>
      </c>
      <c r="BO27" s="474">
        <f t="shared" si="44"/>
        <v>92.315456970403758</v>
      </c>
      <c r="BP27" s="474">
        <f t="shared" si="44"/>
        <v>93.899179470446754</v>
      </c>
      <c r="BQ27" s="474">
        <f t="shared" si="44"/>
        <v>95.482901970489777</v>
      </c>
      <c r="BR27" s="474">
        <f t="shared" si="44"/>
        <v>97.547632496699123</v>
      </c>
      <c r="BS27" s="474">
        <f t="shared" si="44"/>
        <v>98.074210760288878</v>
      </c>
      <c r="BT27" s="474">
        <f t="shared" si="44"/>
        <v>99.852248994796867</v>
      </c>
      <c r="BU27" s="474">
        <f t="shared" si="44"/>
        <v>99.635762599967478</v>
      </c>
      <c r="BV27" s="474">
        <f t="shared" si="44"/>
        <v>100.2462666778104</v>
      </c>
      <c r="BW27" s="474">
        <f t="shared" si="44"/>
        <v>100.87172675542381</v>
      </c>
      <c r="BX27" s="474">
        <f t="shared" si="44"/>
        <v>102.00791591685903</v>
      </c>
      <c r="BY27" s="474">
        <f t="shared" si="45"/>
        <v>103.14410507829425</v>
      </c>
      <c r="BZ27" s="474">
        <f t="shared" si="45"/>
        <v>104.28029423972947</v>
      </c>
      <c r="CA27" s="474">
        <f t="shared" si="45"/>
        <v>105.41648340116468</v>
      </c>
      <c r="CB27" s="474">
        <f t="shared" si="45"/>
        <v>106.55267256259991</v>
      </c>
      <c r="CC27" s="474">
        <f t="shared" si="45"/>
        <v>107.10335254576898</v>
      </c>
      <c r="CD27" s="474">
        <f t="shared" si="45"/>
        <v>107.65403252893805</v>
      </c>
      <c r="CE27" s="474">
        <f t="shared" si="45"/>
        <v>108.20471251210712</v>
      </c>
      <c r="CF27" s="474">
        <f t="shared" si="45"/>
        <v>108.7553924952762</v>
      </c>
      <c r="CG27" s="474">
        <f t="shared" si="45"/>
        <v>109.30607247844527</v>
      </c>
    </row>
    <row r="28" spans="1:85" ht="15.75" thickTop="1" x14ac:dyDescent="0.25">
      <c r="A28" s="116" t="s">
        <v>829</v>
      </c>
      <c r="B28" s="117">
        <f t="shared" si="25"/>
        <v>26244.977194834086</v>
      </c>
      <c r="C28" s="117">
        <f t="shared" si="46"/>
        <v>25419.470607614254</v>
      </c>
      <c r="D28" s="117">
        <f t="shared" si="47"/>
        <v>26597.722906949493</v>
      </c>
      <c r="E28" s="117">
        <f t="shared" si="48"/>
        <v>27504.544509073032</v>
      </c>
      <c r="F28" s="117">
        <f t="shared" si="49"/>
        <v>25607.231876205653</v>
      </c>
      <c r="G28" s="117">
        <f t="shared" si="50"/>
        <v>26087.341108373326</v>
      </c>
      <c r="H28" s="117">
        <f t="shared" si="1"/>
        <v>26944.528012223385</v>
      </c>
      <c r="I28" s="117">
        <f t="shared" si="2"/>
        <v>27157.63259324227</v>
      </c>
      <c r="J28" s="117">
        <f t="shared" si="3"/>
        <v>27623.536735379679</v>
      </c>
      <c r="K28" s="117">
        <f t="shared" si="4"/>
        <v>28089.440877517092</v>
      </c>
      <c r="L28" s="117">
        <f t="shared" si="5"/>
        <v>28696.849375238358</v>
      </c>
      <c r="M28" s="117">
        <f t="shared" si="6"/>
        <v>28851.75971727071</v>
      </c>
      <c r="N28" s="117">
        <f t="shared" si="7"/>
        <v>29374.82823357547</v>
      </c>
      <c r="O28" s="117">
        <f t="shared" si="8"/>
        <v>29311.141629347356</v>
      </c>
      <c r="P28" s="117">
        <f t="shared" si="9"/>
        <v>29490.741514207908</v>
      </c>
      <c r="Q28" s="117">
        <f t="shared" si="10"/>
        <v>29674.741199060372</v>
      </c>
      <c r="R28" s="117">
        <f t="shared" si="11"/>
        <v>30008.98866763516</v>
      </c>
      <c r="S28" s="117">
        <f t="shared" si="12"/>
        <v>30343.23613620994</v>
      </c>
      <c r="T28" s="117">
        <f t="shared" si="13"/>
        <v>30677.483604784724</v>
      </c>
      <c r="U28" s="117">
        <f t="shared" si="14"/>
        <v>31011.731073359504</v>
      </c>
      <c r="V28" s="117">
        <f t="shared" si="15"/>
        <v>31345.978541934292</v>
      </c>
      <c r="W28" s="117">
        <f t="shared" si="16"/>
        <v>31507.979198705703</v>
      </c>
      <c r="X28" s="117">
        <f t="shared" si="17"/>
        <v>31669.979855477111</v>
      </c>
      <c r="Y28" s="117">
        <f t="shared" si="18"/>
        <v>31831.980512248527</v>
      </c>
      <c r="Z28" s="117">
        <f t="shared" si="19"/>
        <v>31993.981169019939</v>
      </c>
      <c r="AA28" s="117">
        <f t="shared" si="20"/>
        <v>32155.98182579135</v>
      </c>
      <c r="AB28" s="821"/>
      <c r="AC28" s="118">
        <f t="shared" ref="AC28:AC35" si="62">B28/B$36</f>
        <v>0.53026863412788494</v>
      </c>
      <c r="AD28" s="118">
        <f t="shared" ref="AD28:AD35" si="63">C28/C$36</f>
        <v>0.5280898876404494</v>
      </c>
      <c r="AE28" s="118">
        <f t="shared" ref="AE28:AE35" si="64">D28/D$36</f>
        <v>0.56453201970443356</v>
      </c>
      <c r="AF28" s="118">
        <f t="shared" ref="AF28:AF35" si="65">E28/E$36</f>
        <v>0.52603231597845601</v>
      </c>
      <c r="AG28" s="118">
        <f t="shared" ref="AG28:AG35" si="66">F28/F$36</f>
        <v>0.50139794967381168</v>
      </c>
      <c r="AH28" s="118">
        <f t="shared" ref="AH28:AH35" si="67">G28/G$36</f>
        <v>0.5334645669291338</v>
      </c>
      <c r="AI28" s="118">
        <f t="shared" ref="AI28:AI35" si="68">H28/H$36</f>
        <v>0.53026863412788494</v>
      </c>
      <c r="AJ28" s="118">
        <f t="shared" ref="AJ28:AJ35" si="69">I28/I$36</f>
        <v>0.53026863412788494</v>
      </c>
      <c r="AK28" s="118">
        <f t="shared" ref="AK28:AK35" si="70">J28/J$36</f>
        <v>0.53026863412788505</v>
      </c>
      <c r="AL28" s="118">
        <f t="shared" ref="AL28:AL35" si="71">K28/K$36</f>
        <v>0.53026863412788505</v>
      </c>
      <c r="AM28" s="118">
        <f t="shared" ref="AM28:AM35" si="72">L28/L$36</f>
        <v>0.53026863412788494</v>
      </c>
      <c r="AN28" s="118">
        <f t="shared" ref="AN28:AN35" si="73">M28/M$36</f>
        <v>0.53026863412788505</v>
      </c>
      <c r="AO28" s="118">
        <f t="shared" ref="AO28:AO35" si="74">N28/N$36</f>
        <v>0.53026863412788494</v>
      </c>
      <c r="AP28" s="118">
        <f t="shared" ref="AP28:AP35" si="75">O28/O$36</f>
        <v>0.53026863412788505</v>
      </c>
      <c r="AQ28" s="118">
        <f t="shared" ref="AQ28:AQ35" si="76">P28/P$36</f>
        <v>0.53026863412788494</v>
      </c>
      <c r="AR28" s="118">
        <f t="shared" ref="AR28:AR35" si="77">Q28/Q$36</f>
        <v>0.53026863412788494</v>
      </c>
      <c r="AS28" s="118">
        <f t="shared" ref="AS28:AS35" si="78">R28/R$36</f>
        <v>0.53026863412788505</v>
      </c>
      <c r="AT28" s="118">
        <f t="shared" ref="AT28:AT35" si="79">S28/S$36</f>
        <v>0.53026863412788494</v>
      </c>
      <c r="AU28" s="118">
        <f t="shared" ref="AU28:AU35" si="80">T28/T$36</f>
        <v>0.53026863412788494</v>
      </c>
      <c r="AV28" s="118">
        <f t="shared" ref="AV28:AV35" si="81">U28/U$36</f>
        <v>0.53026863412788494</v>
      </c>
      <c r="AW28" s="118">
        <f t="shared" ref="AW28:AW35" si="82">V28/V$36</f>
        <v>0.53026863412788505</v>
      </c>
      <c r="AX28" s="118">
        <f t="shared" ref="AX28:AX35" si="83">W28/W$36</f>
        <v>0.53026863412788494</v>
      </c>
      <c r="AY28" s="118">
        <f t="shared" ref="AY28:AY35" si="84">X28/X$36</f>
        <v>0.53026863412788494</v>
      </c>
      <c r="AZ28" s="118">
        <f t="shared" ref="AZ28:AZ35" si="85">Y28/Y$36</f>
        <v>0.53026863412788494</v>
      </c>
      <c r="BA28" s="118">
        <f t="shared" ref="BA28:BA35" si="86">Z28/Z$36</f>
        <v>0.53026863412788494</v>
      </c>
      <c r="BB28" s="118">
        <f t="shared" ref="BB28:BB35" si="87">AA28/AA$36</f>
        <v>0.53026863412788494</v>
      </c>
      <c r="BE28" s="97">
        <v>0.67720999643681468</v>
      </c>
      <c r="BF28" s="97"/>
      <c r="BH28" s="473">
        <v>26244.977194834086</v>
      </c>
      <c r="BI28" s="473">
        <v>25419.470607614254</v>
      </c>
      <c r="BJ28" s="473">
        <v>26597.722906949493</v>
      </c>
      <c r="BK28" s="473">
        <v>27504.544509073032</v>
      </c>
      <c r="BL28" s="473">
        <v>25607.231876205653</v>
      </c>
      <c r="BM28" s="473">
        <v>26087.341108373326</v>
      </c>
      <c r="BN28" s="473">
        <f t="shared" si="44"/>
        <v>26944.528012223385</v>
      </c>
      <c r="BO28" s="473">
        <f t="shared" si="44"/>
        <v>27157.63259324227</v>
      </c>
      <c r="BP28" s="473">
        <f t="shared" si="44"/>
        <v>27623.536735379679</v>
      </c>
      <c r="BQ28" s="473">
        <f t="shared" si="44"/>
        <v>28089.440877517092</v>
      </c>
      <c r="BR28" s="473">
        <f t="shared" si="44"/>
        <v>28696.849375238358</v>
      </c>
      <c r="BS28" s="473">
        <f t="shared" si="44"/>
        <v>28851.75971727071</v>
      </c>
      <c r="BT28" s="473">
        <f t="shared" si="44"/>
        <v>29374.82823357547</v>
      </c>
      <c r="BU28" s="473">
        <f t="shared" si="44"/>
        <v>29311.141629347356</v>
      </c>
      <c r="BV28" s="473">
        <f t="shared" si="44"/>
        <v>29490.741514207908</v>
      </c>
      <c r="BW28" s="473">
        <f t="shared" si="44"/>
        <v>29674.741199060372</v>
      </c>
      <c r="BX28" s="473">
        <f t="shared" si="44"/>
        <v>30008.98866763516</v>
      </c>
      <c r="BY28" s="473">
        <f t="shared" si="45"/>
        <v>30343.23613620994</v>
      </c>
      <c r="BZ28" s="473">
        <f t="shared" si="45"/>
        <v>30677.483604784724</v>
      </c>
      <c r="CA28" s="473">
        <f t="shared" si="45"/>
        <v>31011.731073359504</v>
      </c>
      <c r="CB28" s="473">
        <f t="shared" si="45"/>
        <v>31345.978541934292</v>
      </c>
      <c r="CC28" s="473">
        <f t="shared" si="45"/>
        <v>31507.979198705703</v>
      </c>
      <c r="CD28" s="473">
        <f t="shared" si="45"/>
        <v>31669.979855477111</v>
      </c>
      <c r="CE28" s="473">
        <f t="shared" si="45"/>
        <v>31831.980512248527</v>
      </c>
      <c r="CF28" s="473">
        <f t="shared" si="45"/>
        <v>31993.981169019939</v>
      </c>
      <c r="CG28" s="473">
        <f t="shared" si="45"/>
        <v>32155.98182579135</v>
      </c>
    </row>
    <row r="29" spans="1:85" x14ac:dyDescent="0.25">
      <c r="A29" s="116" t="s">
        <v>830</v>
      </c>
      <c r="B29" s="117">
        <f t="shared" si="25"/>
        <v>945.68059103754638</v>
      </c>
      <c r="C29" s="117">
        <f t="shared" si="46"/>
        <v>1622.5194004860161</v>
      </c>
      <c r="D29" s="117">
        <f t="shared" si="47"/>
        <v>278.51018750732453</v>
      </c>
      <c r="E29" s="117">
        <f t="shared" si="48"/>
        <v>938.72165559976213</v>
      </c>
      <c r="F29" s="117">
        <f t="shared" si="49"/>
        <v>1189.9271317939431</v>
      </c>
      <c r="G29" s="117">
        <f t="shared" si="50"/>
        <v>673.84275925687552</v>
      </c>
      <c r="H29" s="117">
        <f t="shared" si="1"/>
        <v>970.88738110401778</v>
      </c>
      <c r="I29" s="117">
        <f t="shared" si="2"/>
        <v>978.566140534238</v>
      </c>
      <c r="J29" s="117">
        <f t="shared" si="3"/>
        <v>995.3539815459676</v>
      </c>
      <c r="K29" s="117">
        <f t="shared" si="4"/>
        <v>1012.1418225576975</v>
      </c>
      <c r="L29" s="117">
        <f t="shared" si="5"/>
        <v>1034.0284648230731</v>
      </c>
      <c r="M29" s="117">
        <f t="shared" si="6"/>
        <v>1039.6103215998364</v>
      </c>
      <c r="N29" s="117">
        <f t="shared" si="7"/>
        <v>1058.4579563293337</v>
      </c>
      <c r="O29" s="117">
        <f t="shared" si="8"/>
        <v>1056.1631482568973</v>
      </c>
      <c r="P29" s="117">
        <f t="shared" si="9"/>
        <v>1062.634638935069</v>
      </c>
      <c r="Q29" s="117">
        <f t="shared" si="10"/>
        <v>1069.2646668230816</v>
      </c>
      <c r="R29" s="117">
        <f t="shared" si="11"/>
        <v>1081.3085463543171</v>
      </c>
      <c r="S29" s="117">
        <f t="shared" si="12"/>
        <v>1093.3524258855527</v>
      </c>
      <c r="T29" s="117">
        <f t="shared" si="13"/>
        <v>1105.396305416788</v>
      </c>
      <c r="U29" s="117">
        <f t="shared" si="14"/>
        <v>1117.4401849480234</v>
      </c>
      <c r="V29" s="117">
        <f t="shared" si="15"/>
        <v>1129.4840644792591</v>
      </c>
      <c r="W29" s="117">
        <f t="shared" si="16"/>
        <v>1135.3214053047718</v>
      </c>
      <c r="X29" s="117">
        <f t="shared" si="17"/>
        <v>1141.1587461302847</v>
      </c>
      <c r="Y29" s="117">
        <f t="shared" si="18"/>
        <v>1146.9960869557976</v>
      </c>
      <c r="Z29" s="117">
        <f t="shared" si="19"/>
        <v>1152.8334277813105</v>
      </c>
      <c r="AA29" s="117">
        <f t="shared" si="20"/>
        <v>1158.6707686068235</v>
      </c>
      <c r="AB29" s="821"/>
      <c r="AC29" s="97">
        <f t="shared" si="62"/>
        <v>1.9107075293227391E-2</v>
      </c>
      <c r="AD29" s="97">
        <f t="shared" si="63"/>
        <v>3.3707865168539325E-2</v>
      </c>
      <c r="AE29" s="97">
        <f t="shared" si="64"/>
        <v>5.9113300492610842E-3</v>
      </c>
      <c r="AF29" s="97">
        <f t="shared" si="65"/>
        <v>1.7953321364452421E-2</v>
      </c>
      <c r="AG29" s="97">
        <f t="shared" si="66"/>
        <v>2.3299161230195712E-2</v>
      </c>
      <c r="AH29" s="97">
        <f t="shared" si="67"/>
        <v>1.3779527559055114E-2</v>
      </c>
      <c r="AI29" s="97">
        <f t="shared" si="68"/>
        <v>1.9107075293227391E-2</v>
      </c>
      <c r="AJ29" s="97">
        <f t="shared" si="69"/>
        <v>1.9107075293227391E-2</v>
      </c>
      <c r="AK29" s="97">
        <f t="shared" si="70"/>
        <v>1.9107075293227391E-2</v>
      </c>
      <c r="AL29" s="97">
        <f t="shared" si="71"/>
        <v>1.9107075293227395E-2</v>
      </c>
      <c r="AM29" s="97">
        <f t="shared" si="72"/>
        <v>1.9107075293227391E-2</v>
      </c>
      <c r="AN29" s="97">
        <f t="shared" si="73"/>
        <v>1.9107075293227395E-2</v>
      </c>
      <c r="AO29" s="97">
        <f t="shared" si="74"/>
        <v>1.9107075293227391E-2</v>
      </c>
      <c r="AP29" s="97">
        <f t="shared" si="75"/>
        <v>1.9107075293227398E-2</v>
      </c>
      <c r="AQ29" s="97">
        <f t="shared" si="76"/>
        <v>1.9107075293227391E-2</v>
      </c>
      <c r="AR29" s="97">
        <f t="shared" si="77"/>
        <v>1.9107075293227391E-2</v>
      </c>
      <c r="AS29" s="97">
        <f t="shared" si="78"/>
        <v>1.9107075293227391E-2</v>
      </c>
      <c r="AT29" s="97">
        <f t="shared" si="79"/>
        <v>1.9107075293227391E-2</v>
      </c>
      <c r="AU29" s="97">
        <f t="shared" si="80"/>
        <v>1.9107075293227391E-2</v>
      </c>
      <c r="AV29" s="97">
        <f t="shared" si="81"/>
        <v>1.9107075293227388E-2</v>
      </c>
      <c r="AW29" s="97">
        <f t="shared" si="82"/>
        <v>1.9107075293227395E-2</v>
      </c>
      <c r="AX29" s="97">
        <f t="shared" si="83"/>
        <v>1.9107075293227388E-2</v>
      </c>
      <c r="AY29" s="97">
        <f t="shared" si="84"/>
        <v>1.9107075293227391E-2</v>
      </c>
      <c r="AZ29" s="97">
        <f t="shared" si="85"/>
        <v>1.9107075293227391E-2</v>
      </c>
      <c r="BA29" s="97">
        <f t="shared" si="86"/>
        <v>1.9107075293227391E-2</v>
      </c>
      <c r="BB29" s="97">
        <f t="shared" si="87"/>
        <v>1.9107075293227388E-2</v>
      </c>
      <c r="BE29" s="97">
        <v>1.0571861609093224E-2</v>
      </c>
      <c r="BF29" s="97"/>
      <c r="BH29" s="473">
        <v>945.68059103754638</v>
      </c>
      <c r="BI29" s="473">
        <v>1622.5194004860161</v>
      </c>
      <c r="BJ29" s="473">
        <v>278.51018750732453</v>
      </c>
      <c r="BK29" s="473">
        <v>938.72165559976213</v>
      </c>
      <c r="BL29" s="473">
        <v>1189.9271317939431</v>
      </c>
      <c r="BM29" s="473">
        <v>673.84275925687552</v>
      </c>
      <c r="BN29" s="473">
        <f t="shared" si="44"/>
        <v>970.88738110401778</v>
      </c>
      <c r="BO29" s="473">
        <f t="shared" si="44"/>
        <v>978.566140534238</v>
      </c>
      <c r="BP29" s="473">
        <f t="shared" si="44"/>
        <v>995.3539815459676</v>
      </c>
      <c r="BQ29" s="473">
        <f t="shared" si="44"/>
        <v>1012.1418225576975</v>
      </c>
      <c r="BR29" s="473">
        <f t="shared" si="44"/>
        <v>1034.0284648230731</v>
      </c>
      <c r="BS29" s="473">
        <f t="shared" si="44"/>
        <v>1039.6103215998364</v>
      </c>
      <c r="BT29" s="473">
        <f t="shared" si="44"/>
        <v>1058.4579563293337</v>
      </c>
      <c r="BU29" s="473">
        <f t="shared" si="44"/>
        <v>1056.1631482568973</v>
      </c>
      <c r="BV29" s="473">
        <f t="shared" si="44"/>
        <v>1062.634638935069</v>
      </c>
      <c r="BW29" s="473">
        <f t="shared" si="44"/>
        <v>1069.2646668230816</v>
      </c>
      <c r="BX29" s="473">
        <f t="shared" si="44"/>
        <v>1081.3085463543171</v>
      </c>
      <c r="BY29" s="473">
        <f t="shared" si="45"/>
        <v>1093.3524258855527</v>
      </c>
      <c r="BZ29" s="473">
        <f t="shared" si="45"/>
        <v>1105.396305416788</v>
      </c>
      <c r="CA29" s="473">
        <f t="shared" si="45"/>
        <v>1117.4401849480234</v>
      </c>
      <c r="CB29" s="473">
        <f t="shared" si="45"/>
        <v>1129.4840644792591</v>
      </c>
      <c r="CC29" s="473">
        <f t="shared" si="45"/>
        <v>1135.3214053047718</v>
      </c>
      <c r="CD29" s="473">
        <f t="shared" si="45"/>
        <v>1141.1587461302847</v>
      </c>
      <c r="CE29" s="473">
        <f t="shared" si="45"/>
        <v>1146.9960869557976</v>
      </c>
      <c r="CF29" s="473">
        <f t="shared" si="45"/>
        <v>1152.8334277813105</v>
      </c>
      <c r="CG29" s="473">
        <f t="shared" si="45"/>
        <v>1158.6707686068235</v>
      </c>
    </row>
    <row r="30" spans="1:85" x14ac:dyDescent="0.25">
      <c r="A30" s="116" t="s">
        <v>831</v>
      </c>
      <c r="B30" s="117">
        <f t="shared" si="25"/>
        <v>4278.97059509068</v>
      </c>
      <c r="C30" s="117">
        <f t="shared" si="46"/>
        <v>5814.0278517415582</v>
      </c>
      <c r="D30" s="117">
        <f t="shared" si="47"/>
        <v>3945.5609896870974</v>
      </c>
      <c r="E30" s="117">
        <f t="shared" si="48"/>
        <v>3379.3979601591436</v>
      </c>
      <c r="F30" s="117">
        <f t="shared" si="49"/>
        <v>4045.7522480994062</v>
      </c>
      <c r="G30" s="117">
        <f t="shared" si="50"/>
        <v>4139.3198068636639</v>
      </c>
      <c r="H30" s="117">
        <f t="shared" si="1"/>
        <v>4393.0250808369919</v>
      </c>
      <c r="I30" s="117">
        <f t="shared" si="2"/>
        <v>4427.7695665757101</v>
      </c>
      <c r="J30" s="117">
        <f t="shared" si="3"/>
        <v>4503.7303917475965</v>
      </c>
      <c r="K30" s="117">
        <f t="shared" si="4"/>
        <v>4579.6912169194829</v>
      </c>
      <c r="L30" s="117">
        <f t="shared" si="5"/>
        <v>4678.7228556845985</v>
      </c>
      <c r="M30" s="117">
        <f t="shared" si="6"/>
        <v>4703.9793759517352</v>
      </c>
      <c r="N30" s="117">
        <f t="shared" si="7"/>
        <v>4789.2602578465885</v>
      </c>
      <c r="O30" s="117">
        <f t="shared" si="8"/>
        <v>4778.876819340614</v>
      </c>
      <c r="P30" s="117">
        <f t="shared" si="9"/>
        <v>4808.1587128052133</v>
      </c>
      <c r="Q30" s="117">
        <f t="shared" si="10"/>
        <v>4838.1579479024576</v>
      </c>
      <c r="R30" s="117">
        <f t="shared" si="11"/>
        <v>4892.6535216229986</v>
      </c>
      <c r="S30" s="117">
        <f t="shared" si="12"/>
        <v>4947.1490953435405</v>
      </c>
      <c r="T30" s="117">
        <f t="shared" si="13"/>
        <v>5001.6446690640805</v>
      </c>
      <c r="U30" s="117">
        <f t="shared" si="14"/>
        <v>5056.1402427846215</v>
      </c>
      <c r="V30" s="117">
        <f t="shared" si="15"/>
        <v>5110.6358165051615</v>
      </c>
      <c r="W30" s="117">
        <f t="shared" si="16"/>
        <v>5137.0483388542652</v>
      </c>
      <c r="X30" s="117">
        <f t="shared" si="17"/>
        <v>5163.460861203368</v>
      </c>
      <c r="Y30" s="117">
        <f t="shared" si="18"/>
        <v>5189.8733835524708</v>
      </c>
      <c r="Z30" s="117">
        <f t="shared" si="19"/>
        <v>5216.2859059015736</v>
      </c>
      <c r="AA30" s="117">
        <f t="shared" si="20"/>
        <v>5242.6984282506774</v>
      </c>
      <c r="AB30" s="821"/>
      <c r="AC30" s="97">
        <f t="shared" si="62"/>
        <v>8.645478622777146E-2</v>
      </c>
      <c r="AD30" s="97">
        <f t="shared" si="63"/>
        <v>0.12078651685393259</v>
      </c>
      <c r="AE30" s="97">
        <f t="shared" si="64"/>
        <v>8.3743842364532028E-2</v>
      </c>
      <c r="AF30" s="97">
        <f t="shared" si="65"/>
        <v>6.4631956912028721E-2</v>
      </c>
      <c r="AG30" s="97">
        <f t="shared" si="66"/>
        <v>7.9217148182665412E-2</v>
      </c>
      <c r="AH30" s="97">
        <f t="shared" si="67"/>
        <v>8.4645669291338557E-2</v>
      </c>
      <c r="AI30" s="97">
        <f t="shared" si="68"/>
        <v>8.6454786227771474E-2</v>
      </c>
      <c r="AJ30" s="97">
        <f t="shared" si="69"/>
        <v>8.645478622777146E-2</v>
      </c>
      <c r="AK30" s="97">
        <f t="shared" si="70"/>
        <v>8.6454786227771474E-2</v>
      </c>
      <c r="AL30" s="97">
        <f t="shared" si="71"/>
        <v>8.6454786227771474E-2</v>
      </c>
      <c r="AM30" s="97">
        <f t="shared" si="72"/>
        <v>8.6454786227771474E-2</v>
      </c>
      <c r="AN30" s="97">
        <f t="shared" si="73"/>
        <v>8.6454786227771474E-2</v>
      </c>
      <c r="AO30" s="97">
        <f t="shared" si="74"/>
        <v>8.6454786227771446E-2</v>
      </c>
      <c r="AP30" s="97">
        <f t="shared" si="75"/>
        <v>8.6454786227771474E-2</v>
      </c>
      <c r="AQ30" s="97">
        <f t="shared" si="76"/>
        <v>8.645478622777146E-2</v>
      </c>
      <c r="AR30" s="97">
        <f t="shared" si="77"/>
        <v>8.6454786227771446E-2</v>
      </c>
      <c r="AS30" s="97">
        <f t="shared" si="78"/>
        <v>8.645478622777146E-2</v>
      </c>
      <c r="AT30" s="97">
        <f t="shared" si="79"/>
        <v>8.6454786227771474E-2</v>
      </c>
      <c r="AU30" s="97">
        <f t="shared" si="80"/>
        <v>8.6454786227771474E-2</v>
      </c>
      <c r="AV30" s="97">
        <f t="shared" si="81"/>
        <v>8.645478622777146E-2</v>
      </c>
      <c r="AW30" s="97">
        <f t="shared" si="82"/>
        <v>8.645478622777146E-2</v>
      </c>
      <c r="AX30" s="97">
        <f t="shared" si="83"/>
        <v>8.645478622777146E-2</v>
      </c>
      <c r="AY30" s="97">
        <f t="shared" si="84"/>
        <v>8.6454786227771474E-2</v>
      </c>
      <c r="AZ30" s="97">
        <f t="shared" si="85"/>
        <v>8.645478622777146E-2</v>
      </c>
      <c r="BA30" s="97">
        <f t="shared" si="86"/>
        <v>8.645478622777146E-2</v>
      </c>
      <c r="BB30" s="97">
        <f t="shared" si="87"/>
        <v>8.6454786227771474E-2</v>
      </c>
      <c r="BE30" s="97">
        <v>5.2432710633630759E-2</v>
      </c>
      <c r="BF30" s="97"/>
      <c r="BH30" s="473">
        <v>4278.97059509068</v>
      </c>
      <c r="BI30" s="473">
        <v>5814.0278517415582</v>
      </c>
      <c r="BJ30" s="473">
        <v>3945.5609896870974</v>
      </c>
      <c r="BK30" s="473">
        <v>3379.3979601591436</v>
      </c>
      <c r="BL30" s="473">
        <v>4045.7522480994062</v>
      </c>
      <c r="BM30" s="473">
        <v>4139.3198068636639</v>
      </c>
      <c r="BN30" s="473">
        <f t="shared" si="44"/>
        <v>4393.0250808369919</v>
      </c>
      <c r="BO30" s="473">
        <f t="shared" si="44"/>
        <v>4427.7695665757101</v>
      </c>
      <c r="BP30" s="473">
        <f t="shared" si="44"/>
        <v>4503.7303917475965</v>
      </c>
      <c r="BQ30" s="473">
        <f t="shared" si="44"/>
        <v>4579.6912169194829</v>
      </c>
      <c r="BR30" s="473">
        <f t="shared" si="44"/>
        <v>4678.7228556845985</v>
      </c>
      <c r="BS30" s="473">
        <f t="shared" si="44"/>
        <v>4703.9793759517352</v>
      </c>
      <c r="BT30" s="473">
        <f t="shared" si="44"/>
        <v>4789.2602578465885</v>
      </c>
      <c r="BU30" s="473">
        <f t="shared" si="44"/>
        <v>4778.876819340614</v>
      </c>
      <c r="BV30" s="473">
        <f t="shared" si="44"/>
        <v>4808.1587128052133</v>
      </c>
      <c r="BW30" s="473">
        <f t="shared" si="44"/>
        <v>4838.1579479024576</v>
      </c>
      <c r="BX30" s="473">
        <f t="shared" si="44"/>
        <v>4892.6535216229986</v>
      </c>
      <c r="BY30" s="473">
        <f t="shared" si="45"/>
        <v>4947.1490953435405</v>
      </c>
      <c r="BZ30" s="473">
        <f t="shared" si="45"/>
        <v>5001.6446690640805</v>
      </c>
      <c r="CA30" s="473">
        <f t="shared" si="45"/>
        <v>5056.1402427846215</v>
      </c>
      <c r="CB30" s="473">
        <f t="shared" si="45"/>
        <v>5110.6358165051615</v>
      </c>
      <c r="CC30" s="473">
        <f t="shared" si="45"/>
        <v>5137.0483388542652</v>
      </c>
      <c r="CD30" s="473">
        <f t="shared" si="45"/>
        <v>5163.460861203368</v>
      </c>
      <c r="CE30" s="473">
        <f t="shared" si="45"/>
        <v>5189.8733835524708</v>
      </c>
      <c r="CF30" s="473">
        <f t="shared" si="45"/>
        <v>5216.2859059015736</v>
      </c>
      <c r="CG30" s="473">
        <f t="shared" si="45"/>
        <v>5242.6984282506774</v>
      </c>
    </row>
    <row r="31" spans="1:85" x14ac:dyDescent="0.25">
      <c r="A31" s="116" t="s">
        <v>832</v>
      </c>
      <c r="B31" s="117">
        <f t="shared" si="25"/>
        <v>1029.9491585557437</v>
      </c>
      <c r="C31" s="117">
        <f t="shared" si="46"/>
        <v>1261.959533711346</v>
      </c>
      <c r="D31" s="117">
        <f t="shared" si="47"/>
        <v>1485.3876667057309</v>
      </c>
      <c r="E31" s="117">
        <f t="shared" si="48"/>
        <v>891.78557281977407</v>
      </c>
      <c r="F31" s="117">
        <f t="shared" si="49"/>
        <v>809.15044961988133</v>
      </c>
      <c r="G31" s="117">
        <f t="shared" si="50"/>
        <v>673.84275925687552</v>
      </c>
      <c r="H31" s="117">
        <f t="shared" si="1"/>
        <v>1057.4020982320988</v>
      </c>
      <c r="I31" s="117">
        <f t="shared" si="2"/>
        <v>1065.7651035521405</v>
      </c>
      <c r="J31" s="117">
        <f t="shared" si="3"/>
        <v>1084.0488907926381</v>
      </c>
      <c r="K31" s="117">
        <f t="shared" si="4"/>
        <v>1102.3326780331361</v>
      </c>
      <c r="L31" s="117">
        <f t="shared" si="5"/>
        <v>1126.1696151538422</v>
      </c>
      <c r="M31" s="117">
        <f t="shared" si="6"/>
        <v>1132.2488651087328</v>
      </c>
      <c r="N31" s="117">
        <f t="shared" si="7"/>
        <v>1152.7759920418489</v>
      </c>
      <c r="O31" s="117">
        <f t="shared" si="8"/>
        <v>1150.2766961213731</v>
      </c>
      <c r="P31" s="117">
        <f t="shared" si="9"/>
        <v>1157.3248542857189</v>
      </c>
      <c r="Q31" s="117">
        <f t="shared" si="10"/>
        <v>1164.5456767380097</v>
      </c>
      <c r="R31" s="117">
        <f t="shared" si="11"/>
        <v>1177.6627732571772</v>
      </c>
      <c r="S31" s="117">
        <f t="shared" si="12"/>
        <v>1190.7798697763446</v>
      </c>
      <c r="T31" s="117">
        <f t="shared" si="13"/>
        <v>1203.8969662955119</v>
      </c>
      <c r="U31" s="117">
        <f t="shared" si="14"/>
        <v>1217.0140628146794</v>
      </c>
      <c r="V31" s="117">
        <f t="shared" si="15"/>
        <v>1230.1311593338467</v>
      </c>
      <c r="W31" s="117">
        <f t="shared" si="16"/>
        <v>1236.4886592428211</v>
      </c>
      <c r="X31" s="117">
        <f t="shared" si="17"/>
        <v>1242.8461591517955</v>
      </c>
      <c r="Y31" s="117">
        <f t="shared" si="18"/>
        <v>1249.20365906077</v>
      </c>
      <c r="Z31" s="117">
        <f t="shared" si="19"/>
        <v>1255.5611589697444</v>
      </c>
      <c r="AA31" s="117">
        <f t="shared" si="20"/>
        <v>1261.9186588787188</v>
      </c>
      <c r="AB31" s="821"/>
      <c r="AC31" s="97">
        <f t="shared" si="62"/>
        <v>2.0809685962920925E-2</v>
      </c>
      <c r="AD31" s="97">
        <f t="shared" si="63"/>
        <v>2.6217228464419477E-2</v>
      </c>
      <c r="AE31" s="97">
        <f t="shared" si="64"/>
        <v>3.1527093596059118E-2</v>
      </c>
      <c r="AF31" s="97">
        <f t="shared" si="65"/>
        <v>1.7055655296229804E-2</v>
      </c>
      <c r="AG31" s="97">
        <f t="shared" si="66"/>
        <v>1.5843429636533086E-2</v>
      </c>
      <c r="AH31" s="97">
        <f t="shared" si="67"/>
        <v>1.3779527559055114E-2</v>
      </c>
      <c r="AI31" s="97">
        <f t="shared" si="68"/>
        <v>2.0809685962920925E-2</v>
      </c>
      <c r="AJ31" s="97">
        <f t="shared" si="69"/>
        <v>2.0809685962920925E-2</v>
      </c>
      <c r="AK31" s="97">
        <f t="shared" si="70"/>
        <v>2.0809685962920925E-2</v>
      </c>
      <c r="AL31" s="97">
        <f t="shared" si="71"/>
        <v>2.0809685962920925E-2</v>
      </c>
      <c r="AM31" s="97">
        <f t="shared" si="72"/>
        <v>2.0809685962920925E-2</v>
      </c>
      <c r="AN31" s="97">
        <f t="shared" si="73"/>
        <v>2.0809685962920925E-2</v>
      </c>
      <c r="AO31" s="97">
        <f t="shared" si="74"/>
        <v>2.0809685962920925E-2</v>
      </c>
      <c r="AP31" s="97">
        <f t="shared" si="75"/>
        <v>2.0809685962920925E-2</v>
      </c>
      <c r="AQ31" s="97">
        <f t="shared" si="76"/>
        <v>2.0809685962920921E-2</v>
      </c>
      <c r="AR31" s="97">
        <f t="shared" si="77"/>
        <v>2.0809685962920921E-2</v>
      </c>
      <c r="AS31" s="97">
        <f t="shared" si="78"/>
        <v>2.0809685962920925E-2</v>
      </c>
      <c r="AT31" s="97">
        <f t="shared" si="79"/>
        <v>2.0809685962920925E-2</v>
      </c>
      <c r="AU31" s="97">
        <f t="shared" si="80"/>
        <v>2.0809685962920925E-2</v>
      </c>
      <c r="AV31" s="97">
        <f t="shared" si="81"/>
        <v>2.0809685962920925E-2</v>
      </c>
      <c r="AW31" s="97">
        <f t="shared" si="82"/>
        <v>2.0809685962920925E-2</v>
      </c>
      <c r="AX31" s="97">
        <f t="shared" si="83"/>
        <v>2.0809685962920925E-2</v>
      </c>
      <c r="AY31" s="97">
        <f t="shared" si="84"/>
        <v>2.0809685962920928E-2</v>
      </c>
      <c r="AZ31" s="97">
        <f t="shared" si="85"/>
        <v>2.0809685962920925E-2</v>
      </c>
      <c r="BA31" s="97">
        <f t="shared" si="86"/>
        <v>2.0809685962920925E-2</v>
      </c>
      <c r="BB31" s="97">
        <f t="shared" si="87"/>
        <v>2.0809685962920921E-2</v>
      </c>
      <c r="BE31" s="97">
        <v>2.6992595604252545E-2</v>
      </c>
      <c r="BF31" s="97"/>
      <c r="BH31" s="473">
        <v>1029.9491585557437</v>
      </c>
      <c r="BI31" s="473">
        <v>1261.959533711346</v>
      </c>
      <c r="BJ31" s="473">
        <v>1485.3876667057309</v>
      </c>
      <c r="BK31" s="473">
        <v>891.78557281977407</v>
      </c>
      <c r="BL31" s="473">
        <v>809.15044961988133</v>
      </c>
      <c r="BM31" s="473">
        <v>673.84275925687552</v>
      </c>
      <c r="BN31" s="473">
        <f t="shared" ref="BN31:CC36" si="88">$BH31*BN$40/$BH$40</f>
        <v>1057.4020982320988</v>
      </c>
      <c r="BO31" s="473">
        <f t="shared" si="88"/>
        <v>1065.7651035521405</v>
      </c>
      <c r="BP31" s="473">
        <f t="shared" si="88"/>
        <v>1084.0488907926381</v>
      </c>
      <c r="BQ31" s="473">
        <f t="shared" si="88"/>
        <v>1102.3326780331361</v>
      </c>
      <c r="BR31" s="473">
        <f t="shared" si="88"/>
        <v>1126.1696151538422</v>
      </c>
      <c r="BS31" s="473">
        <f t="shared" si="88"/>
        <v>1132.2488651087328</v>
      </c>
      <c r="BT31" s="473">
        <f t="shared" si="88"/>
        <v>1152.7759920418489</v>
      </c>
      <c r="BU31" s="473">
        <f t="shared" si="88"/>
        <v>1150.2766961213731</v>
      </c>
      <c r="BV31" s="473">
        <f t="shared" si="88"/>
        <v>1157.3248542857189</v>
      </c>
      <c r="BW31" s="473">
        <f t="shared" si="88"/>
        <v>1164.5456767380097</v>
      </c>
      <c r="BX31" s="473">
        <f t="shared" si="88"/>
        <v>1177.6627732571772</v>
      </c>
      <c r="BY31" s="473">
        <f t="shared" si="88"/>
        <v>1190.7798697763446</v>
      </c>
      <c r="BZ31" s="473">
        <f t="shared" si="88"/>
        <v>1203.8969662955119</v>
      </c>
      <c r="CA31" s="473">
        <f t="shared" si="88"/>
        <v>1217.0140628146794</v>
      </c>
      <c r="CB31" s="473">
        <f t="shared" si="88"/>
        <v>1230.1311593338467</v>
      </c>
      <c r="CC31" s="473">
        <f t="shared" si="88"/>
        <v>1236.4886592428211</v>
      </c>
      <c r="CD31" s="473">
        <f t="shared" si="45"/>
        <v>1242.8461591517955</v>
      </c>
      <c r="CE31" s="473">
        <f t="shared" si="45"/>
        <v>1249.20365906077</v>
      </c>
      <c r="CF31" s="473">
        <f t="shared" si="45"/>
        <v>1255.5611589697444</v>
      </c>
      <c r="CG31" s="473">
        <f t="shared" si="45"/>
        <v>1261.9186588787188</v>
      </c>
    </row>
    <row r="32" spans="1:85" x14ac:dyDescent="0.25">
      <c r="A32" s="116" t="s">
        <v>833</v>
      </c>
      <c r="B32" s="117">
        <f t="shared" si="25"/>
        <v>449.4323600970518</v>
      </c>
      <c r="C32" s="117">
        <f t="shared" si="46"/>
        <v>450.69983346833783</v>
      </c>
      <c r="D32" s="117">
        <f t="shared" si="47"/>
        <v>232.09182292277043</v>
      </c>
      <c r="E32" s="117">
        <f t="shared" si="48"/>
        <v>657.10515891983357</v>
      </c>
      <c r="F32" s="117">
        <f t="shared" si="49"/>
        <v>713.95627907636572</v>
      </c>
      <c r="G32" s="117">
        <f t="shared" si="50"/>
        <v>192.52650264482159</v>
      </c>
      <c r="H32" s="117">
        <f t="shared" si="1"/>
        <v>461.41182468309762</v>
      </c>
      <c r="I32" s="117">
        <f t="shared" si="2"/>
        <v>465.06113609547947</v>
      </c>
      <c r="J32" s="117">
        <f t="shared" si="3"/>
        <v>473.03951598224211</v>
      </c>
      <c r="K32" s="117">
        <f t="shared" si="4"/>
        <v>481.01789586900486</v>
      </c>
      <c r="L32" s="117">
        <f t="shared" si="5"/>
        <v>491.41946843076749</v>
      </c>
      <c r="M32" s="117">
        <f t="shared" si="6"/>
        <v>494.07223204744707</v>
      </c>
      <c r="N32" s="117">
        <f t="shared" si="7"/>
        <v>503.02952380007946</v>
      </c>
      <c r="O32" s="117">
        <f t="shared" si="8"/>
        <v>501.93892194387195</v>
      </c>
      <c r="P32" s="117">
        <f t="shared" si="9"/>
        <v>505.01448187013193</v>
      </c>
      <c r="Q32" s="117">
        <f t="shared" si="10"/>
        <v>508.16538621294973</v>
      </c>
      <c r="R32" s="117">
        <f t="shared" si="11"/>
        <v>513.88921014858636</v>
      </c>
      <c r="S32" s="117">
        <f t="shared" si="12"/>
        <v>519.61303408422305</v>
      </c>
      <c r="T32" s="117">
        <f t="shared" si="13"/>
        <v>525.33685801985973</v>
      </c>
      <c r="U32" s="117">
        <f t="shared" si="14"/>
        <v>531.06068195549642</v>
      </c>
      <c r="V32" s="117">
        <f t="shared" si="15"/>
        <v>536.78450589113311</v>
      </c>
      <c r="W32" s="117">
        <f t="shared" si="16"/>
        <v>539.55868766959463</v>
      </c>
      <c r="X32" s="117">
        <f t="shared" si="17"/>
        <v>542.33286944805616</v>
      </c>
      <c r="Y32" s="117">
        <f t="shared" si="18"/>
        <v>545.1070512265178</v>
      </c>
      <c r="Z32" s="117">
        <f t="shared" si="19"/>
        <v>547.88123300497932</v>
      </c>
      <c r="AA32" s="117">
        <f t="shared" si="20"/>
        <v>550.65541478344096</v>
      </c>
      <c r="AB32" s="821"/>
      <c r="AC32" s="97">
        <f t="shared" si="62"/>
        <v>9.0805902383654935E-3</v>
      </c>
      <c r="AD32" s="97">
        <f t="shared" si="63"/>
        <v>9.3632958801498131E-3</v>
      </c>
      <c r="AE32" s="97">
        <f t="shared" si="64"/>
        <v>4.9261083743842374E-3</v>
      </c>
      <c r="AF32" s="97">
        <f t="shared" si="65"/>
        <v>1.2567324955116697E-2</v>
      </c>
      <c r="AG32" s="97">
        <f t="shared" si="66"/>
        <v>1.3979496738117424E-2</v>
      </c>
      <c r="AH32" s="97">
        <f t="shared" si="67"/>
        <v>3.9370078740157471E-3</v>
      </c>
      <c r="AI32" s="97">
        <f t="shared" si="68"/>
        <v>9.0805902383654952E-3</v>
      </c>
      <c r="AJ32" s="97">
        <f t="shared" si="69"/>
        <v>9.0805902383654935E-3</v>
      </c>
      <c r="AK32" s="97">
        <f t="shared" si="70"/>
        <v>9.0805902383654952E-3</v>
      </c>
      <c r="AL32" s="97">
        <f t="shared" si="71"/>
        <v>9.0805902383654952E-3</v>
      </c>
      <c r="AM32" s="97">
        <f t="shared" si="72"/>
        <v>9.0805902383654935E-3</v>
      </c>
      <c r="AN32" s="97">
        <f t="shared" si="73"/>
        <v>9.0805902383654952E-3</v>
      </c>
      <c r="AO32" s="97">
        <f t="shared" si="74"/>
        <v>9.0805902383654935E-3</v>
      </c>
      <c r="AP32" s="97">
        <f t="shared" si="75"/>
        <v>9.0805902383654952E-3</v>
      </c>
      <c r="AQ32" s="97">
        <f t="shared" si="76"/>
        <v>9.0805902383654952E-3</v>
      </c>
      <c r="AR32" s="97">
        <f t="shared" si="77"/>
        <v>9.0805902383654935E-3</v>
      </c>
      <c r="AS32" s="97">
        <f t="shared" si="78"/>
        <v>9.0805902383654935E-3</v>
      </c>
      <c r="AT32" s="97">
        <f t="shared" si="79"/>
        <v>9.0805902383654935E-3</v>
      </c>
      <c r="AU32" s="97">
        <f t="shared" si="80"/>
        <v>9.0805902383654952E-3</v>
      </c>
      <c r="AV32" s="97">
        <f t="shared" si="81"/>
        <v>9.0805902383654935E-3</v>
      </c>
      <c r="AW32" s="97">
        <f t="shared" si="82"/>
        <v>9.0805902383654952E-3</v>
      </c>
      <c r="AX32" s="97">
        <f t="shared" si="83"/>
        <v>9.0805902383654935E-3</v>
      </c>
      <c r="AY32" s="97">
        <f t="shared" si="84"/>
        <v>9.0805902383654935E-3</v>
      </c>
      <c r="AZ32" s="97">
        <f t="shared" si="85"/>
        <v>9.0805902383654952E-3</v>
      </c>
      <c r="BA32" s="97">
        <f t="shared" si="86"/>
        <v>9.0805902383654935E-3</v>
      </c>
      <c r="BB32" s="97">
        <f t="shared" si="87"/>
        <v>9.0805902383654935E-3</v>
      </c>
      <c r="BE32" s="97">
        <v>4.5431324342674329E-3</v>
      </c>
      <c r="BF32" s="97"/>
      <c r="BH32" s="473">
        <v>449.4323600970518</v>
      </c>
      <c r="BI32" s="473">
        <v>450.69983346833783</v>
      </c>
      <c r="BJ32" s="473">
        <v>232.09182292277043</v>
      </c>
      <c r="BK32" s="473">
        <v>657.10515891983357</v>
      </c>
      <c r="BL32" s="473">
        <v>713.95627907636572</v>
      </c>
      <c r="BM32" s="473">
        <v>192.52650264482159</v>
      </c>
      <c r="BN32" s="473">
        <f t="shared" si="88"/>
        <v>461.41182468309762</v>
      </c>
      <c r="BO32" s="473">
        <f t="shared" si="88"/>
        <v>465.06113609547947</v>
      </c>
      <c r="BP32" s="473">
        <f t="shared" si="88"/>
        <v>473.03951598224211</v>
      </c>
      <c r="BQ32" s="473">
        <f t="shared" si="88"/>
        <v>481.01789586900486</v>
      </c>
      <c r="BR32" s="473">
        <f t="shared" si="88"/>
        <v>491.41946843076749</v>
      </c>
      <c r="BS32" s="473">
        <f t="shared" si="88"/>
        <v>494.07223204744707</v>
      </c>
      <c r="BT32" s="473">
        <f t="shared" si="88"/>
        <v>503.02952380007946</v>
      </c>
      <c r="BU32" s="473">
        <f t="shared" si="88"/>
        <v>501.93892194387195</v>
      </c>
      <c r="BV32" s="473">
        <f t="shared" si="88"/>
        <v>505.01448187013193</v>
      </c>
      <c r="BW32" s="473">
        <f t="shared" si="88"/>
        <v>508.16538621294973</v>
      </c>
      <c r="BX32" s="473">
        <f t="shared" si="88"/>
        <v>513.88921014858636</v>
      </c>
      <c r="BY32" s="473">
        <f t="shared" si="45"/>
        <v>519.61303408422305</v>
      </c>
      <c r="BZ32" s="473">
        <f t="shared" si="45"/>
        <v>525.33685801985973</v>
      </c>
      <c r="CA32" s="473">
        <f t="shared" si="45"/>
        <v>531.06068195549642</v>
      </c>
      <c r="CB32" s="473">
        <f t="shared" si="45"/>
        <v>536.78450589113311</v>
      </c>
      <c r="CC32" s="473">
        <f t="shared" si="45"/>
        <v>539.55868766959463</v>
      </c>
      <c r="CD32" s="473">
        <f t="shared" si="45"/>
        <v>542.33286944805616</v>
      </c>
      <c r="CE32" s="473">
        <f t="shared" si="45"/>
        <v>545.1070512265178</v>
      </c>
      <c r="CF32" s="473">
        <f t="shared" si="45"/>
        <v>547.88123300497932</v>
      </c>
      <c r="CG32" s="473">
        <f t="shared" si="45"/>
        <v>550.65541478344096</v>
      </c>
    </row>
    <row r="33" spans="1:85" x14ac:dyDescent="0.25">
      <c r="A33" s="116" t="s">
        <v>834</v>
      </c>
      <c r="B33" s="117">
        <f t="shared" si="25"/>
        <v>786.50663016984061</v>
      </c>
      <c r="C33" s="117">
        <f t="shared" si="46"/>
        <v>946.46965028350951</v>
      </c>
      <c r="D33" s="117">
        <f t="shared" si="47"/>
        <v>928.36729169108173</v>
      </c>
      <c r="E33" s="117">
        <f t="shared" si="48"/>
        <v>750.97732447980979</v>
      </c>
      <c r="F33" s="117">
        <f t="shared" si="49"/>
        <v>523.56793798933484</v>
      </c>
      <c r="G33" s="117">
        <f t="shared" si="50"/>
        <v>770.10601057928636</v>
      </c>
      <c r="H33" s="117">
        <f t="shared" si="1"/>
        <v>807.47069319542072</v>
      </c>
      <c r="I33" s="117">
        <f t="shared" si="2"/>
        <v>813.85698816708907</v>
      </c>
      <c r="J33" s="117">
        <f t="shared" si="3"/>
        <v>827.81915296892362</v>
      </c>
      <c r="K33" s="117">
        <f t="shared" si="4"/>
        <v>841.78131777075851</v>
      </c>
      <c r="L33" s="117">
        <f t="shared" si="5"/>
        <v>859.98406975384307</v>
      </c>
      <c r="M33" s="117">
        <f t="shared" si="6"/>
        <v>864.62640608303229</v>
      </c>
      <c r="N33" s="117">
        <f t="shared" si="7"/>
        <v>880.30166665013894</v>
      </c>
      <c r="O33" s="117">
        <f t="shared" si="8"/>
        <v>878.39311340177585</v>
      </c>
      <c r="P33" s="117">
        <f t="shared" si="9"/>
        <v>883.77534327273077</v>
      </c>
      <c r="Q33" s="117">
        <f t="shared" si="10"/>
        <v>889.28942587266204</v>
      </c>
      <c r="R33" s="117">
        <f t="shared" si="11"/>
        <v>899.30611776002615</v>
      </c>
      <c r="S33" s="117">
        <f t="shared" si="12"/>
        <v>909.32280964739027</v>
      </c>
      <c r="T33" s="117">
        <f t="shared" si="13"/>
        <v>919.3395015347545</v>
      </c>
      <c r="U33" s="117">
        <f t="shared" si="14"/>
        <v>929.35619342211862</v>
      </c>
      <c r="V33" s="117">
        <f t="shared" si="15"/>
        <v>939.37288530948274</v>
      </c>
      <c r="W33" s="117">
        <f t="shared" si="16"/>
        <v>944.22770342179069</v>
      </c>
      <c r="X33" s="117">
        <f t="shared" si="17"/>
        <v>949.0825215340983</v>
      </c>
      <c r="Y33" s="117">
        <f t="shared" si="18"/>
        <v>953.93733964640614</v>
      </c>
      <c r="Z33" s="117">
        <f t="shared" si="19"/>
        <v>958.79215775871387</v>
      </c>
      <c r="AA33" s="117">
        <f t="shared" si="20"/>
        <v>963.6469758710216</v>
      </c>
      <c r="AB33" s="821"/>
      <c r="AC33" s="97">
        <f t="shared" si="62"/>
        <v>1.5891032917139614E-2</v>
      </c>
      <c r="AD33" s="97">
        <f t="shared" si="63"/>
        <v>1.9662921348314606E-2</v>
      </c>
      <c r="AE33" s="97">
        <f t="shared" si="64"/>
        <v>1.970443349753695E-2</v>
      </c>
      <c r="AF33" s="97">
        <f t="shared" si="65"/>
        <v>1.4362657091561939E-2</v>
      </c>
      <c r="AG33" s="97">
        <f t="shared" si="66"/>
        <v>1.0251630941286111E-2</v>
      </c>
      <c r="AH33" s="97">
        <f t="shared" si="67"/>
        <v>1.5748031496062988E-2</v>
      </c>
      <c r="AI33" s="97">
        <f t="shared" si="68"/>
        <v>1.5891032917139614E-2</v>
      </c>
      <c r="AJ33" s="97">
        <f t="shared" si="69"/>
        <v>1.5891032917139614E-2</v>
      </c>
      <c r="AK33" s="97">
        <f t="shared" si="70"/>
        <v>1.5891032917139614E-2</v>
      </c>
      <c r="AL33" s="97">
        <f t="shared" si="71"/>
        <v>1.5891032917139617E-2</v>
      </c>
      <c r="AM33" s="97">
        <f t="shared" si="72"/>
        <v>1.5891032917139614E-2</v>
      </c>
      <c r="AN33" s="97">
        <f t="shared" si="73"/>
        <v>1.5891032917139614E-2</v>
      </c>
      <c r="AO33" s="97">
        <f t="shared" si="74"/>
        <v>1.5891032917139614E-2</v>
      </c>
      <c r="AP33" s="97">
        <f t="shared" si="75"/>
        <v>1.5891032917139614E-2</v>
      </c>
      <c r="AQ33" s="97">
        <f t="shared" si="76"/>
        <v>1.5891032917139614E-2</v>
      </c>
      <c r="AR33" s="97">
        <f t="shared" si="77"/>
        <v>1.5891032917139614E-2</v>
      </c>
      <c r="AS33" s="97">
        <f t="shared" si="78"/>
        <v>1.5891032917139614E-2</v>
      </c>
      <c r="AT33" s="97">
        <f t="shared" si="79"/>
        <v>1.589103291713961E-2</v>
      </c>
      <c r="AU33" s="97">
        <f t="shared" si="80"/>
        <v>1.5891032917139614E-2</v>
      </c>
      <c r="AV33" s="97">
        <f t="shared" si="81"/>
        <v>1.5891032917139614E-2</v>
      </c>
      <c r="AW33" s="97">
        <f t="shared" si="82"/>
        <v>1.5891032917139614E-2</v>
      </c>
      <c r="AX33" s="97">
        <f t="shared" si="83"/>
        <v>1.5891032917139617E-2</v>
      </c>
      <c r="AY33" s="97">
        <f t="shared" si="84"/>
        <v>1.5891032917139617E-2</v>
      </c>
      <c r="AZ33" s="97">
        <f t="shared" si="85"/>
        <v>1.5891032917139614E-2</v>
      </c>
      <c r="BA33" s="97">
        <f t="shared" si="86"/>
        <v>1.5891032917139614E-2</v>
      </c>
      <c r="BB33" s="97">
        <f t="shared" si="87"/>
        <v>1.5891032917139614E-2</v>
      </c>
      <c r="BE33" s="97">
        <v>4.6649080906857841E-3</v>
      </c>
      <c r="BF33" s="97"/>
      <c r="BH33" s="473">
        <v>786.50663016984061</v>
      </c>
      <c r="BI33" s="473">
        <v>946.46965028350951</v>
      </c>
      <c r="BJ33" s="473">
        <v>928.36729169108173</v>
      </c>
      <c r="BK33" s="473">
        <v>750.97732447980979</v>
      </c>
      <c r="BL33" s="473">
        <v>523.56793798933484</v>
      </c>
      <c r="BM33" s="473">
        <v>770.10601057928636</v>
      </c>
      <c r="BN33" s="473">
        <f t="shared" si="88"/>
        <v>807.47069319542072</v>
      </c>
      <c r="BO33" s="473">
        <f t="shared" si="88"/>
        <v>813.85698816708907</v>
      </c>
      <c r="BP33" s="473">
        <f t="shared" si="88"/>
        <v>827.81915296892362</v>
      </c>
      <c r="BQ33" s="473">
        <f t="shared" si="88"/>
        <v>841.78131777075851</v>
      </c>
      <c r="BR33" s="473">
        <f t="shared" si="88"/>
        <v>859.98406975384307</v>
      </c>
      <c r="BS33" s="473">
        <f t="shared" si="88"/>
        <v>864.62640608303229</v>
      </c>
      <c r="BT33" s="473">
        <f t="shared" si="88"/>
        <v>880.30166665013894</v>
      </c>
      <c r="BU33" s="473">
        <f t="shared" si="88"/>
        <v>878.39311340177585</v>
      </c>
      <c r="BV33" s="473">
        <f t="shared" si="88"/>
        <v>883.77534327273077</v>
      </c>
      <c r="BW33" s="473">
        <f t="shared" si="88"/>
        <v>889.28942587266204</v>
      </c>
      <c r="BX33" s="473">
        <f t="shared" si="88"/>
        <v>899.30611776002615</v>
      </c>
      <c r="BY33" s="473">
        <f t="shared" si="45"/>
        <v>909.32280964739027</v>
      </c>
      <c r="BZ33" s="473">
        <f t="shared" si="45"/>
        <v>919.3395015347545</v>
      </c>
      <c r="CA33" s="473">
        <f t="shared" si="45"/>
        <v>929.35619342211862</v>
      </c>
      <c r="CB33" s="473">
        <f t="shared" si="45"/>
        <v>939.37288530948274</v>
      </c>
      <c r="CC33" s="473">
        <f t="shared" si="45"/>
        <v>944.22770342179069</v>
      </c>
      <c r="CD33" s="473">
        <f t="shared" si="45"/>
        <v>949.0825215340983</v>
      </c>
      <c r="CE33" s="473">
        <f t="shared" si="45"/>
        <v>953.93733964640614</v>
      </c>
      <c r="CF33" s="473">
        <f t="shared" si="45"/>
        <v>958.79215775871387</v>
      </c>
      <c r="CG33" s="473">
        <f t="shared" si="45"/>
        <v>963.6469758710216</v>
      </c>
    </row>
    <row r="34" spans="1:85" x14ac:dyDescent="0.25">
      <c r="A34" s="116" t="s">
        <v>835</v>
      </c>
      <c r="B34" s="117">
        <f t="shared" si="25"/>
        <v>1610.4659570144356</v>
      </c>
      <c r="C34" s="117">
        <f t="shared" si="46"/>
        <v>901.39966693667566</v>
      </c>
      <c r="D34" s="117">
        <f t="shared" si="47"/>
        <v>928.36729169108173</v>
      </c>
      <c r="E34" s="117">
        <f t="shared" si="48"/>
        <v>2393.7402217793938</v>
      </c>
      <c r="F34" s="117">
        <f t="shared" si="49"/>
        <v>2141.8688372290972</v>
      </c>
      <c r="G34" s="117">
        <f t="shared" si="50"/>
        <v>1732.7385238033942</v>
      </c>
      <c r="H34" s="117">
        <f t="shared" si="1"/>
        <v>1653.3923717810999</v>
      </c>
      <c r="I34" s="117">
        <f t="shared" si="2"/>
        <v>1666.4690710088014</v>
      </c>
      <c r="J34" s="117">
        <f t="shared" si="3"/>
        <v>1695.0582656030342</v>
      </c>
      <c r="K34" s="117">
        <f t="shared" si="4"/>
        <v>1723.6474601972673</v>
      </c>
      <c r="L34" s="117">
        <f t="shared" si="5"/>
        <v>1760.9197618769169</v>
      </c>
      <c r="M34" s="117">
        <f t="shared" si="6"/>
        <v>1770.4254981700187</v>
      </c>
      <c r="N34" s="117">
        <f t="shared" si="7"/>
        <v>1802.5224602836179</v>
      </c>
      <c r="O34" s="117">
        <f t="shared" si="8"/>
        <v>1798.6144702988747</v>
      </c>
      <c r="P34" s="117">
        <f t="shared" si="9"/>
        <v>1809.635226701306</v>
      </c>
      <c r="Q34" s="117">
        <f t="shared" si="10"/>
        <v>1820.9259672630699</v>
      </c>
      <c r="R34" s="117">
        <f t="shared" si="11"/>
        <v>1841.4363363657681</v>
      </c>
      <c r="S34" s="117">
        <f t="shared" si="12"/>
        <v>1861.946705468466</v>
      </c>
      <c r="T34" s="117">
        <f t="shared" si="13"/>
        <v>1882.4570745711642</v>
      </c>
      <c r="U34" s="117">
        <f t="shared" si="14"/>
        <v>1902.9674436738621</v>
      </c>
      <c r="V34" s="117">
        <f t="shared" si="15"/>
        <v>1923.4778127765601</v>
      </c>
      <c r="W34" s="117">
        <f t="shared" si="16"/>
        <v>1933.4186308160477</v>
      </c>
      <c r="X34" s="117">
        <f t="shared" si="17"/>
        <v>1943.3594488555348</v>
      </c>
      <c r="Y34" s="117">
        <f t="shared" si="18"/>
        <v>1953.3002668950223</v>
      </c>
      <c r="Z34" s="117">
        <f t="shared" si="19"/>
        <v>1963.2410849345094</v>
      </c>
      <c r="AA34" s="117">
        <f t="shared" si="20"/>
        <v>1973.1819029739966</v>
      </c>
      <c r="AB34" s="821"/>
      <c r="AC34" s="97">
        <f t="shared" si="62"/>
        <v>3.2538781687476356E-2</v>
      </c>
      <c r="AD34" s="97">
        <f t="shared" si="63"/>
        <v>1.8726591760299626E-2</v>
      </c>
      <c r="AE34" s="97">
        <f t="shared" si="64"/>
        <v>1.970443349753695E-2</v>
      </c>
      <c r="AF34" s="97">
        <f t="shared" si="65"/>
        <v>4.5780969479353686E-2</v>
      </c>
      <c r="AG34" s="97">
        <f t="shared" si="66"/>
        <v>4.1938490214352274E-2</v>
      </c>
      <c r="AH34" s="97">
        <f t="shared" si="67"/>
        <v>3.5433070866141725E-2</v>
      </c>
      <c r="AI34" s="97">
        <f t="shared" si="68"/>
        <v>3.2538781687476356E-2</v>
      </c>
      <c r="AJ34" s="97">
        <f t="shared" si="69"/>
        <v>3.2538781687476349E-2</v>
      </c>
      <c r="AK34" s="97">
        <f t="shared" si="70"/>
        <v>3.2538781687476356E-2</v>
      </c>
      <c r="AL34" s="97">
        <f t="shared" si="71"/>
        <v>3.2538781687476356E-2</v>
      </c>
      <c r="AM34" s="97">
        <f t="shared" si="72"/>
        <v>3.2538781687476356E-2</v>
      </c>
      <c r="AN34" s="97">
        <f t="shared" si="73"/>
        <v>3.2538781687476356E-2</v>
      </c>
      <c r="AO34" s="97">
        <f t="shared" si="74"/>
        <v>3.2538781687476349E-2</v>
      </c>
      <c r="AP34" s="97">
        <f t="shared" si="75"/>
        <v>3.2538781687476363E-2</v>
      </c>
      <c r="AQ34" s="97">
        <f t="shared" si="76"/>
        <v>3.2538781687476356E-2</v>
      </c>
      <c r="AR34" s="97">
        <f t="shared" si="77"/>
        <v>3.2538781687476356E-2</v>
      </c>
      <c r="AS34" s="97">
        <f t="shared" si="78"/>
        <v>3.2538781687476356E-2</v>
      </c>
      <c r="AT34" s="97">
        <f t="shared" si="79"/>
        <v>3.2538781687476349E-2</v>
      </c>
      <c r="AU34" s="97">
        <f t="shared" si="80"/>
        <v>3.2538781687476356E-2</v>
      </c>
      <c r="AV34" s="97">
        <f t="shared" si="81"/>
        <v>3.2538781687476349E-2</v>
      </c>
      <c r="AW34" s="97">
        <f t="shared" si="82"/>
        <v>3.2538781687476356E-2</v>
      </c>
      <c r="AX34" s="97">
        <f t="shared" si="83"/>
        <v>3.2538781687476356E-2</v>
      </c>
      <c r="AY34" s="97">
        <f t="shared" si="84"/>
        <v>3.2538781687476356E-2</v>
      </c>
      <c r="AZ34" s="97">
        <f t="shared" si="85"/>
        <v>3.2538781687476356E-2</v>
      </c>
      <c r="BA34" s="97">
        <f t="shared" si="86"/>
        <v>3.2538781687476356E-2</v>
      </c>
      <c r="BB34" s="97">
        <f t="shared" si="87"/>
        <v>3.2538781687476349E-2</v>
      </c>
      <c r="BE34" s="119" t="s">
        <v>336</v>
      </c>
      <c r="BF34" s="119"/>
      <c r="BH34" s="473">
        <v>1610.4659570144356</v>
      </c>
      <c r="BI34" s="473">
        <v>901.39966693667566</v>
      </c>
      <c r="BJ34" s="473">
        <v>928.36729169108173</v>
      </c>
      <c r="BK34" s="473">
        <v>2393.7402217793938</v>
      </c>
      <c r="BL34" s="473">
        <v>2141.8688372290972</v>
      </c>
      <c r="BM34" s="473">
        <v>1732.7385238033942</v>
      </c>
      <c r="BN34" s="473">
        <f t="shared" si="88"/>
        <v>1653.3923717810999</v>
      </c>
      <c r="BO34" s="473">
        <f t="shared" si="88"/>
        <v>1666.4690710088014</v>
      </c>
      <c r="BP34" s="473">
        <f t="shared" si="88"/>
        <v>1695.0582656030342</v>
      </c>
      <c r="BQ34" s="473">
        <f t="shared" si="88"/>
        <v>1723.6474601972673</v>
      </c>
      <c r="BR34" s="473">
        <f t="shared" si="88"/>
        <v>1760.9197618769169</v>
      </c>
      <c r="BS34" s="473">
        <f t="shared" si="88"/>
        <v>1770.4254981700187</v>
      </c>
      <c r="BT34" s="473">
        <f t="shared" si="88"/>
        <v>1802.5224602836179</v>
      </c>
      <c r="BU34" s="473">
        <f t="shared" si="88"/>
        <v>1798.6144702988747</v>
      </c>
      <c r="BV34" s="473">
        <f t="shared" si="88"/>
        <v>1809.635226701306</v>
      </c>
      <c r="BW34" s="473">
        <f t="shared" si="88"/>
        <v>1820.9259672630699</v>
      </c>
      <c r="BX34" s="473">
        <f t="shared" si="88"/>
        <v>1841.4363363657681</v>
      </c>
      <c r="BY34" s="473">
        <f t="shared" si="45"/>
        <v>1861.946705468466</v>
      </c>
      <c r="BZ34" s="473">
        <f t="shared" si="45"/>
        <v>1882.4570745711642</v>
      </c>
      <c r="CA34" s="473">
        <f t="shared" si="45"/>
        <v>1902.9674436738621</v>
      </c>
      <c r="CB34" s="473">
        <f t="shared" si="45"/>
        <v>1923.4778127765601</v>
      </c>
      <c r="CC34" s="473">
        <f t="shared" si="45"/>
        <v>1933.4186308160477</v>
      </c>
      <c r="CD34" s="473">
        <f t="shared" si="45"/>
        <v>1943.3594488555348</v>
      </c>
      <c r="CE34" s="473">
        <f t="shared" si="45"/>
        <v>1953.3002668950223</v>
      </c>
      <c r="CF34" s="473">
        <f t="shared" si="45"/>
        <v>1963.2410849345094</v>
      </c>
      <c r="CG34" s="473">
        <f t="shared" si="45"/>
        <v>1973.1819029739966</v>
      </c>
    </row>
    <row r="35" spans="1:85" ht="15.75" thickBot="1" x14ac:dyDescent="0.3">
      <c r="A35" s="92" t="s">
        <v>836</v>
      </c>
      <c r="B35" s="120">
        <f t="shared" si="25"/>
        <v>1610.4659570144356</v>
      </c>
      <c r="C35" s="120">
        <f t="shared" si="46"/>
        <v>901.39966693667566</v>
      </c>
      <c r="D35" s="120">
        <f t="shared" si="47"/>
        <v>928.36729169108173</v>
      </c>
      <c r="E35" s="120">
        <f t="shared" si="48"/>
        <v>2393.7402217793938</v>
      </c>
      <c r="F35" s="120">
        <f t="shared" si="49"/>
        <v>2141.8688372290972</v>
      </c>
      <c r="G35" s="120">
        <f t="shared" si="50"/>
        <v>1732.7385238033942</v>
      </c>
      <c r="H35" s="120">
        <f t="shared" si="1"/>
        <v>1653.3923717810999</v>
      </c>
      <c r="I35" s="120">
        <f t="shared" si="2"/>
        <v>1666.4690710088014</v>
      </c>
      <c r="J35" s="120">
        <f t="shared" si="3"/>
        <v>1695.0582656030342</v>
      </c>
      <c r="K35" s="120">
        <f t="shared" si="4"/>
        <v>1723.6474601972673</v>
      </c>
      <c r="L35" s="120">
        <f t="shared" si="5"/>
        <v>1760.9197618769169</v>
      </c>
      <c r="M35" s="120">
        <f t="shared" si="6"/>
        <v>1770.4254981700187</v>
      </c>
      <c r="N35" s="120">
        <f t="shared" si="7"/>
        <v>1802.5224602836179</v>
      </c>
      <c r="O35" s="120">
        <f t="shared" si="8"/>
        <v>1798.6144702988747</v>
      </c>
      <c r="P35" s="120">
        <f t="shared" si="9"/>
        <v>1809.635226701306</v>
      </c>
      <c r="Q35" s="120">
        <f t="shared" si="10"/>
        <v>1820.9259672630699</v>
      </c>
      <c r="R35" s="120">
        <f t="shared" si="11"/>
        <v>1841.4363363657681</v>
      </c>
      <c r="S35" s="120">
        <f t="shared" si="12"/>
        <v>1861.946705468466</v>
      </c>
      <c r="T35" s="120">
        <f t="shared" si="13"/>
        <v>1882.4570745711642</v>
      </c>
      <c r="U35" s="120">
        <f t="shared" si="14"/>
        <v>1902.9674436738621</v>
      </c>
      <c r="V35" s="120">
        <f t="shared" si="15"/>
        <v>1923.4778127765601</v>
      </c>
      <c r="W35" s="120">
        <f t="shared" si="16"/>
        <v>1933.4186308160477</v>
      </c>
      <c r="X35" s="120">
        <f t="shared" si="17"/>
        <v>1943.3594488555348</v>
      </c>
      <c r="Y35" s="120">
        <f t="shared" si="18"/>
        <v>1953.3002668950223</v>
      </c>
      <c r="Z35" s="120">
        <f t="shared" si="19"/>
        <v>1963.2410849345094</v>
      </c>
      <c r="AA35" s="120">
        <f t="shared" si="20"/>
        <v>1973.1819029739966</v>
      </c>
      <c r="AB35" s="821"/>
      <c r="AC35" s="121">
        <f t="shared" si="62"/>
        <v>3.2538781687476356E-2</v>
      </c>
      <c r="AD35" s="121">
        <f t="shared" si="63"/>
        <v>1.8726591760299626E-2</v>
      </c>
      <c r="AE35" s="121">
        <f t="shared" si="64"/>
        <v>1.970443349753695E-2</v>
      </c>
      <c r="AF35" s="121">
        <f t="shared" si="65"/>
        <v>4.5780969479353686E-2</v>
      </c>
      <c r="AG35" s="121">
        <f t="shared" si="66"/>
        <v>4.1938490214352274E-2</v>
      </c>
      <c r="AH35" s="121">
        <f t="shared" si="67"/>
        <v>3.5433070866141725E-2</v>
      </c>
      <c r="AI35" s="121">
        <f t="shared" si="68"/>
        <v>3.2538781687476356E-2</v>
      </c>
      <c r="AJ35" s="121">
        <f t="shared" si="69"/>
        <v>3.2538781687476349E-2</v>
      </c>
      <c r="AK35" s="121">
        <f t="shared" si="70"/>
        <v>3.2538781687476356E-2</v>
      </c>
      <c r="AL35" s="121">
        <f t="shared" si="71"/>
        <v>3.2538781687476356E-2</v>
      </c>
      <c r="AM35" s="121">
        <f t="shared" si="72"/>
        <v>3.2538781687476356E-2</v>
      </c>
      <c r="AN35" s="121">
        <f t="shared" si="73"/>
        <v>3.2538781687476356E-2</v>
      </c>
      <c r="AO35" s="121">
        <f t="shared" si="74"/>
        <v>3.2538781687476349E-2</v>
      </c>
      <c r="AP35" s="121">
        <f t="shared" si="75"/>
        <v>3.2538781687476363E-2</v>
      </c>
      <c r="AQ35" s="121">
        <f t="shared" si="76"/>
        <v>3.2538781687476356E-2</v>
      </c>
      <c r="AR35" s="121">
        <f t="shared" si="77"/>
        <v>3.2538781687476356E-2</v>
      </c>
      <c r="AS35" s="121">
        <f t="shared" si="78"/>
        <v>3.2538781687476356E-2</v>
      </c>
      <c r="AT35" s="121">
        <f t="shared" si="79"/>
        <v>3.2538781687476349E-2</v>
      </c>
      <c r="AU35" s="121">
        <f t="shared" si="80"/>
        <v>3.2538781687476356E-2</v>
      </c>
      <c r="AV35" s="121">
        <f t="shared" si="81"/>
        <v>3.2538781687476349E-2</v>
      </c>
      <c r="AW35" s="121">
        <f t="shared" si="82"/>
        <v>3.2538781687476356E-2</v>
      </c>
      <c r="AX35" s="121">
        <f t="shared" si="83"/>
        <v>3.2538781687476356E-2</v>
      </c>
      <c r="AY35" s="121">
        <f t="shared" si="84"/>
        <v>3.2538781687476356E-2</v>
      </c>
      <c r="AZ35" s="121">
        <f t="shared" si="85"/>
        <v>3.2538781687476356E-2</v>
      </c>
      <c r="BA35" s="121">
        <f t="shared" si="86"/>
        <v>3.2538781687476356E-2</v>
      </c>
      <c r="BB35" s="121">
        <f t="shared" si="87"/>
        <v>3.2538781687476349E-2</v>
      </c>
      <c r="BE35" s="122" t="s">
        <v>336</v>
      </c>
      <c r="BF35" s="119"/>
      <c r="BH35" s="475">
        <v>1610.4659570144356</v>
      </c>
      <c r="BI35" s="475">
        <v>901.39966693667566</v>
      </c>
      <c r="BJ35" s="475">
        <v>928.36729169108173</v>
      </c>
      <c r="BK35" s="475">
        <v>2393.7402217793938</v>
      </c>
      <c r="BL35" s="475">
        <v>2141.8688372290972</v>
      </c>
      <c r="BM35" s="475">
        <v>1732.7385238033942</v>
      </c>
      <c r="BN35" s="475">
        <f t="shared" si="88"/>
        <v>1653.3923717810999</v>
      </c>
      <c r="BO35" s="475">
        <f t="shared" si="88"/>
        <v>1666.4690710088014</v>
      </c>
      <c r="BP35" s="475">
        <f t="shared" si="88"/>
        <v>1695.0582656030342</v>
      </c>
      <c r="BQ35" s="475">
        <f t="shared" si="88"/>
        <v>1723.6474601972673</v>
      </c>
      <c r="BR35" s="475">
        <f t="shared" si="88"/>
        <v>1760.9197618769169</v>
      </c>
      <c r="BS35" s="475">
        <f t="shared" si="88"/>
        <v>1770.4254981700187</v>
      </c>
      <c r="BT35" s="475">
        <f t="shared" si="88"/>
        <v>1802.5224602836179</v>
      </c>
      <c r="BU35" s="475">
        <f t="shared" si="88"/>
        <v>1798.6144702988747</v>
      </c>
      <c r="BV35" s="475">
        <f t="shared" si="88"/>
        <v>1809.635226701306</v>
      </c>
      <c r="BW35" s="475">
        <f t="shared" si="88"/>
        <v>1820.9259672630699</v>
      </c>
      <c r="BX35" s="475">
        <f t="shared" si="88"/>
        <v>1841.4363363657681</v>
      </c>
      <c r="BY35" s="475">
        <f t="shared" si="45"/>
        <v>1861.946705468466</v>
      </c>
      <c r="BZ35" s="475">
        <f t="shared" si="45"/>
        <v>1882.4570745711642</v>
      </c>
      <c r="CA35" s="475">
        <f t="shared" si="45"/>
        <v>1902.9674436738621</v>
      </c>
      <c r="CB35" s="475">
        <f t="shared" si="45"/>
        <v>1923.4778127765601</v>
      </c>
      <c r="CC35" s="475">
        <f t="shared" si="45"/>
        <v>1933.4186308160477</v>
      </c>
      <c r="CD35" s="475">
        <f t="shared" si="45"/>
        <v>1943.3594488555348</v>
      </c>
      <c r="CE35" s="475">
        <f t="shared" si="45"/>
        <v>1953.3002668950223</v>
      </c>
      <c r="CF35" s="475">
        <f t="shared" si="45"/>
        <v>1963.2410849345094</v>
      </c>
      <c r="CG35" s="475">
        <f t="shared" si="45"/>
        <v>1973.1819029739966</v>
      </c>
    </row>
    <row r="36" spans="1:85" ht="15.75" thickTop="1" x14ac:dyDescent="0.25">
      <c r="A36" s="116" t="s">
        <v>456</v>
      </c>
      <c r="B36" s="117">
        <f t="shared" si="25"/>
        <v>49493.738655687826</v>
      </c>
      <c r="C36" s="117">
        <f t="shared" si="46"/>
        <v>48134.742214418482</v>
      </c>
      <c r="D36" s="117">
        <f t="shared" si="47"/>
        <v>47114.640053322393</v>
      </c>
      <c r="E36" s="117">
        <f t="shared" si="48"/>
        <v>52286.796216906754</v>
      </c>
      <c r="F36" s="117">
        <f t="shared" si="49"/>
        <v>51071.672496596038</v>
      </c>
      <c r="G36" s="117">
        <f t="shared" si="50"/>
        <v>48901.731671784692</v>
      </c>
      <c r="H36" s="117">
        <f t="shared" si="1"/>
        <v>50812.977193226121</v>
      </c>
      <c r="I36" s="117">
        <f t="shared" si="2"/>
        <v>51214.857612514679</v>
      </c>
      <c r="J36" s="117">
        <f t="shared" si="3"/>
        <v>52093.476697544407</v>
      </c>
      <c r="K36" s="117">
        <f t="shared" si="4"/>
        <v>52972.09578257415</v>
      </c>
      <c r="L36" s="117">
        <f t="shared" si="5"/>
        <v>54117.568960938268</v>
      </c>
      <c r="M36" s="117">
        <f t="shared" si="6"/>
        <v>54409.7045542251</v>
      </c>
      <c r="N36" s="117">
        <f t="shared" si="7"/>
        <v>55396.126308483748</v>
      </c>
      <c r="O36" s="117">
        <f t="shared" si="8"/>
        <v>55276.023779068892</v>
      </c>
      <c r="P36" s="117">
        <f t="shared" si="9"/>
        <v>55614.719815948272</v>
      </c>
      <c r="Q36" s="117">
        <f t="shared" si="10"/>
        <v>55961.713156701087</v>
      </c>
      <c r="R36" s="117">
        <f t="shared" si="11"/>
        <v>56592.049267613074</v>
      </c>
      <c r="S36" s="117">
        <f t="shared" si="12"/>
        <v>57222.385378525069</v>
      </c>
      <c r="T36" s="117">
        <f t="shared" si="13"/>
        <v>57852.721489437048</v>
      </c>
      <c r="U36" s="117">
        <f t="shared" si="14"/>
        <v>58483.057600349042</v>
      </c>
      <c r="V36" s="117">
        <f t="shared" si="15"/>
        <v>59113.393711261022</v>
      </c>
      <c r="W36" s="117">
        <f t="shared" si="16"/>
        <v>59418.900479614109</v>
      </c>
      <c r="X36" s="117">
        <f t="shared" si="17"/>
        <v>59724.407247967181</v>
      </c>
      <c r="Y36" s="117">
        <f t="shared" si="18"/>
        <v>60029.914016320268</v>
      </c>
      <c r="Z36" s="117">
        <f t="shared" si="19"/>
        <v>60335.420784673348</v>
      </c>
      <c r="AA36" s="117">
        <f t="shared" si="20"/>
        <v>60640.927553026435</v>
      </c>
      <c r="AB36" s="821"/>
      <c r="AC36" s="97">
        <f>SUM(AC6,AC28:AC35)</f>
        <v>1</v>
      </c>
      <c r="AD36" s="97">
        <f t="shared" ref="AD36:AS36" si="89">SUM(AD6,AD28:AD35)</f>
        <v>1</v>
      </c>
      <c r="AE36" s="97">
        <f t="shared" si="89"/>
        <v>1</v>
      </c>
      <c r="AF36" s="97">
        <f t="shared" si="89"/>
        <v>1</v>
      </c>
      <c r="AG36" s="97">
        <f t="shared" si="89"/>
        <v>0.99999999999999989</v>
      </c>
      <c r="AH36" s="97">
        <f t="shared" si="89"/>
        <v>0.99999999999999978</v>
      </c>
      <c r="AI36" s="97">
        <f t="shared" si="89"/>
        <v>1</v>
      </c>
      <c r="AJ36" s="97">
        <f t="shared" si="89"/>
        <v>1</v>
      </c>
      <c r="AK36" s="97">
        <f t="shared" si="89"/>
        <v>1</v>
      </c>
      <c r="AL36" s="97">
        <f t="shared" si="89"/>
        <v>1</v>
      </c>
      <c r="AM36" s="97">
        <f t="shared" si="89"/>
        <v>1</v>
      </c>
      <c r="AN36" s="97">
        <f t="shared" si="89"/>
        <v>1</v>
      </c>
      <c r="AO36" s="97">
        <f t="shared" si="89"/>
        <v>1</v>
      </c>
      <c r="AP36" s="97">
        <f t="shared" si="89"/>
        <v>1</v>
      </c>
      <c r="AQ36" s="97">
        <f t="shared" si="89"/>
        <v>1</v>
      </c>
      <c r="AR36" s="97">
        <f t="shared" si="89"/>
        <v>1</v>
      </c>
      <c r="AS36" s="97">
        <f t="shared" si="89"/>
        <v>1</v>
      </c>
      <c r="AT36" s="97">
        <f t="shared" ref="AT36:BB36" si="90">SUM(AT6,AT28:AT35)</f>
        <v>0.99999999999999989</v>
      </c>
      <c r="AU36" s="97">
        <f t="shared" si="90"/>
        <v>1</v>
      </c>
      <c r="AV36" s="97">
        <f t="shared" si="90"/>
        <v>1</v>
      </c>
      <c r="AW36" s="97">
        <f t="shared" si="90"/>
        <v>1</v>
      </c>
      <c r="AX36" s="97">
        <f t="shared" si="90"/>
        <v>1</v>
      </c>
      <c r="AY36" s="97">
        <f t="shared" si="90"/>
        <v>1</v>
      </c>
      <c r="AZ36" s="97">
        <f t="shared" si="90"/>
        <v>1</v>
      </c>
      <c r="BA36" s="97">
        <f t="shared" si="90"/>
        <v>1</v>
      </c>
      <c r="BB36" s="97">
        <f t="shared" si="90"/>
        <v>1</v>
      </c>
      <c r="BE36" s="97">
        <v>0.99999999999999989</v>
      </c>
      <c r="BF36" s="97"/>
      <c r="BH36" s="473">
        <v>49493.738655687826</v>
      </c>
      <c r="BI36" s="473">
        <v>48134.742214418482</v>
      </c>
      <c r="BJ36" s="473">
        <v>47114.640053322393</v>
      </c>
      <c r="BK36" s="473">
        <v>52286.796216906754</v>
      </c>
      <c r="BL36" s="473">
        <v>51071.672496596038</v>
      </c>
      <c r="BM36" s="473">
        <v>48901.731671784692</v>
      </c>
      <c r="BN36" s="473">
        <f t="shared" si="88"/>
        <v>50812.977193226121</v>
      </c>
      <c r="BO36" s="473">
        <f t="shared" si="88"/>
        <v>51214.857612514679</v>
      </c>
      <c r="BP36" s="473">
        <f t="shared" si="88"/>
        <v>52093.476697544407</v>
      </c>
      <c r="BQ36" s="473">
        <f t="shared" si="88"/>
        <v>52972.09578257415</v>
      </c>
      <c r="BR36" s="473">
        <f t="shared" si="88"/>
        <v>54117.568960938268</v>
      </c>
      <c r="BS36" s="473">
        <f t="shared" si="88"/>
        <v>54409.7045542251</v>
      </c>
      <c r="BT36" s="473">
        <f t="shared" si="88"/>
        <v>55396.126308483748</v>
      </c>
      <c r="BU36" s="473">
        <f t="shared" si="88"/>
        <v>55276.023779068892</v>
      </c>
      <c r="BV36" s="473">
        <f t="shared" si="88"/>
        <v>55614.719815948272</v>
      </c>
      <c r="BW36" s="473">
        <f t="shared" si="88"/>
        <v>55961.713156701087</v>
      </c>
      <c r="BX36" s="473">
        <f t="shared" si="88"/>
        <v>56592.049267613074</v>
      </c>
      <c r="BY36" s="473">
        <f t="shared" si="45"/>
        <v>57222.385378525069</v>
      </c>
      <c r="BZ36" s="473">
        <f t="shared" si="45"/>
        <v>57852.721489437048</v>
      </c>
      <c r="CA36" s="473">
        <f t="shared" si="45"/>
        <v>58483.057600349042</v>
      </c>
      <c r="CB36" s="473">
        <f t="shared" si="45"/>
        <v>59113.393711261022</v>
      </c>
      <c r="CC36" s="473">
        <f t="shared" si="45"/>
        <v>59418.900479614109</v>
      </c>
      <c r="CD36" s="473">
        <f t="shared" si="45"/>
        <v>59724.407247967181</v>
      </c>
      <c r="CE36" s="473">
        <f t="shared" si="45"/>
        <v>60029.914016320268</v>
      </c>
      <c r="CF36" s="473">
        <f t="shared" si="45"/>
        <v>60335.420784673348</v>
      </c>
      <c r="CG36" s="473">
        <f t="shared" si="45"/>
        <v>60640.927553026435</v>
      </c>
    </row>
    <row r="37" spans="1:85" x14ac:dyDescent="0.25">
      <c r="A37" s="123" t="s">
        <v>837</v>
      </c>
      <c r="B37" s="124" t="s">
        <v>336</v>
      </c>
      <c r="C37" s="124" t="s">
        <v>336</v>
      </c>
      <c r="D37" s="478">
        <f>D36-C36</f>
        <v>-1020.1021610960888</v>
      </c>
      <c r="E37" s="478">
        <f t="shared" ref="E37:R37" si="91">E36-D36</f>
        <v>5172.1561635843609</v>
      </c>
      <c r="F37" s="478">
        <f t="shared" si="91"/>
        <v>-1215.1237203107157</v>
      </c>
      <c r="G37" s="478">
        <f t="shared" si="91"/>
        <v>-2169.9408248113468</v>
      </c>
      <c r="H37" s="478">
        <f t="shared" si="91"/>
        <v>1911.2455214414294</v>
      </c>
      <c r="I37" s="478">
        <f t="shared" si="91"/>
        <v>401.88041928855819</v>
      </c>
      <c r="J37" s="478">
        <f t="shared" si="91"/>
        <v>878.61908502972801</v>
      </c>
      <c r="K37" s="478">
        <f t="shared" si="91"/>
        <v>878.61908502974256</v>
      </c>
      <c r="L37" s="478">
        <f t="shared" si="91"/>
        <v>1145.4731783641182</v>
      </c>
      <c r="M37" s="478">
        <f t="shared" si="91"/>
        <v>292.13559328683186</v>
      </c>
      <c r="N37" s="478">
        <f t="shared" si="91"/>
        <v>986.42175425864843</v>
      </c>
      <c r="O37" s="478">
        <f t="shared" si="91"/>
        <v>-120.10252941485669</v>
      </c>
      <c r="P37" s="478">
        <f t="shared" si="91"/>
        <v>338.6960368793807</v>
      </c>
      <c r="Q37" s="478">
        <f t="shared" si="91"/>
        <v>346.99334075281513</v>
      </c>
      <c r="R37" s="478">
        <f t="shared" si="91"/>
        <v>630.33611091198691</v>
      </c>
      <c r="S37" s="478">
        <f t="shared" ref="S37" si="92">S36-R36</f>
        <v>630.33611091199418</v>
      </c>
      <c r="T37" s="478">
        <f t="shared" ref="T37" si="93">T36-S36</f>
        <v>630.33611091197963</v>
      </c>
      <c r="U37" s="478">
        <f t="shared" ref="U37" si="94">U36-T36</f>
        <v>630.33611091199418</v>
      </c>
      <c r="V37" s="478">
        <f t="shared" ref="V37" si="95">V36-U36</f>
        <v>630.33611091197963</v>
      </c>
      <c r="W37" s="478">
        <f t="shared" ref="W37" si="96">W36-V36</f>
        <v>305.50676835308695</v>
      </c>
      <c r="X37" s="478">
        <f t="shared" ref="X37" si="97">X36-W36</f>
        <v>305.5067683530724</v>
      </c>
      <c r="Y37" s="478">
        <f t="shared" ref="Y37" si="98">Y36-X36</f>
        <v>305.50676835308695</v>
      </c>
      <c r="Z37" s="478">
        <f t="shared" ref="Z37" si="99">Z36-Y36</f>
        <v>305.50676835307968</v>
      </c>
      <c r="AA37" s="478">
        <f t="shared" ref="AA37" si="100">AA36-Z36</f>
        <v>305.50676835308695</v>
      </c>
      <c r="AB37" s="821"/>
      <c r="AD37" s="97"/>
      <c r="AE37" s="97"/>
      <c r="AF37" s="97"/>
      <c r="AG37" s="97"/>
      <c r="AH37" s="97"/>
      <c r="AI37" s="97"/>
      <c r="AJ37" s="97"/>
      <c r="AK37" s="97"/>
      <c r="AL37" s="97"/>
      <c r="AM37" s="97"/>
      <c r="AN37" s="97"/>
      <c r="AO37" s="97"/>
      <c r="AP37" s="97"/>
      <c r="AQ37" s="97"/>
      <c r="AR37" s="97"/>
      <c r="AS37" s="97"/>
      <c r="BE37" s="97"/>
      <c r="BF37" s="97"/>
      <c r="BO37" s="515">
        <f>BO36/BH36</f>
        <v>1.03477447862244</v>
      </c>
      <c r="CB37" s="5"/>
      <c r="CC37" s="5"/>
    </row>
    <row r="38" spans="1:85" x14ac:dyDescent="0.25">
      <c r="A38" s="116" t="s">
        <v>838</v>
      </c>
      <c r="B38" s="116"/>
      <c r="C38" s="45">
        <f>SUM(C6,C28:C32)</f>
        <v>45385.473230261625</v>
      </c>
      <c r="D38" s="45">
        <f t="shared" ref="D38:R38" si="101">SUM(D6,D28:D32)</f>
        <v>44329.538178249153</v>
      </c>
      <c r="E38" s="45">
        <f t="shared" si="101"/>
        <v>46748.338448868155</v>
      </c>
      <c r="F38" s="45">
        <f t="shared" si="101"/>
        <v>46264.366884148505</v>
      </c>
      <c r="G38" s="45">
        <f t="shared" si="101"/>
        <v>44666.148613598612</v>
      </c>
      <c r="H38" s="45">
        <f t="shared" si="101"/>
        <v>46698.721756468505</v>
      </c>
      <c r="I38" s="45">
        <f t="shared" si="101"/>
        <v>47068.062482329988</v>
      </c>
      <c r="J38" s="45">
        <f t="shared" si="101"/>
        <v>47875.541013369417</v>
      </c>
      <c r="K38" s="45">
        <f t="shared" si="101"/>
        <v>48683.01954440886</v>
      </c>
      <c r="L38" s="45">
        <f t="shared" si="101"/>
        <v>49735.745367430587</v>
      </c>
      <c r="M38" s="45">
        <f t="shared" si="101"/>
        <v>50004.227151802035</v>
      </c>
      <c r="N38" s="45">
        <f t="shared" si="101"/>
        <v>50910.779721266365</v>
      </c>
      <c r="O38" s="45">
        <f t="shared" si="101"/>
        <v>50800.401725069372</v>
      </c>
      <c r="P38" s="45">
        <f t="shared" si="101"/>
        <v>51111.674019272919</v>
      </c>
      <c r="Q38" s="45">
        <f t="shared" si="101"/>
        <v>51430.571796302283</v>
      </c>
      <c r="R38" s="45">
        <f t="shared" si="101"/>
        <v>52009.870477121513</v>
      </c>
      <c r="S38" s="45">
        <f t="shared" ref="S38:AA38" si="102">SUM(S6,S28:S32)</f>
        <v>52589.169157940734</v>
      </c>
      <c r="T38" s="45">
        <f t="shared" si="102"/>
        <v>53168.467838759971</v>
      </c>
      <c r="U38" s="45">
        <f t="shared" si="102"/>
        <v>53747.766519579185</v>
      </c>
      <c r="V38" s="45">
        <f t="shared" si="102"/>
        <v>54327.065200398429</v>
      </c>
      <c r="W38" s="45">
        <f t="shared" si="102"/>
        <v>54607.835514560225</v>
      </c>
      <c r="X38" s="45">
        <f t="shared" si="102"/>
        <v>54888.605828722022</v>
      </c>
      <c r="Y38" s="45">
        <f t="shared" si="102"/>
        <v>55169.376142883819</v>
      </c>
      <c r="Z38" s="45">
        <f t="shared" si="102"/>
        <v>55450.146457045616</v>
      </c>
      <c r="AA38" s="45">
        <f t="shared" si="102"/>
        <v>55730.916771207412</v>
      </c>
      <c r="AB38" s="821" t="s">
        <v>839</v>
      </c>
      <c r="BH38" s="812" t="s">
        <v>840</v>
      </c>
      <c r="BO38" s="473"/>
      <c r="BX38" s="869" t="s">
        <v>841</v>
      </c>
      <c r="BY38" s="869"/>
      <c r="BZ38" s="869"/>
      <c r="CA38" s="869"/>
      <c r="CC38" s="869" t="s">
        <v>841</v>
      </c>
      <c r="CD38" s="869"/>
      <c r="CE38" s="869"/>
      <c r="CF38" s="869"/>
    </row>
    <row r="39" spans="1:85" x14ac:dyDescent="0.25">
      <c r="A39" s="116" t="s">
        <v>842</v>
      </c>
      <c r="B39" s="116"/>
      <c r="C39" s="45">
        <f>BI42</f>
        <v>32410.710036832301</v>
      </c>
      <c r="D39" s="45">
        <f t="shared" ref="D39:Q39" si="103">BJ42</f>
        <v>32817.725965581965</v>
      </c>
      <c r="E39" s="45">
        <f t="shared" si="103"/>
        <v>33231.118725223052</v>
      </c>
      <c r="F39" s="45">
        <f t="shared" si="103"/>
        <v>33493.374682769812</v>
      </c>
      <c r="G39" s="45">
        <f t="shared" si="103"/>
        <v>33755.751059495109</v>
      </c>
      <c r="H39" s="45">
        <f t="shared" si="103"/>
        <v>34056.060276680357</v>
      </c>
      <c r="I39" s="45">
        <f t="shared" si="103"/>
        <v>34356.51118552783</v>
      </c>
      <c r="J39" s="45">
        <f t="shared" si="103"/>
        <v>34708.295464717623</v>
      </c>
      <c r="K39" s="45">
        <f t="shared" si="103"/>
        <v>35060.223477242536</v>
      </c>
      <c r="L39" s="45">
        <f t="shared" si="103"/>
        <v>36000.27472521396</v>
      </c>
      <c r="M39" s="45">
        <f t="shared" si="103"/>
        <v>37112.079106293444</v>
      </c>
      <c r="N39" s="45">
        <f t="shared" si="103"/>
        <v>37609.312739387911</v>
      </c>
      <c r="O39" s="45">
        <f t="shared" si="103"/>
        <v>37889.714056929617</v>
      </c>
      <c r="P39" s="45">
        <f t="shared" si="103"/>
        <v>38179.611109584381</v>
      </c>
      <c r="Q39" s="45">
        <f t="shared" si="103"/>
        <v>38476.182928384085</v>
      </c>
      <c r="R39" s="45">
        <f>Q39*Q39/P39</f>
        <v>38775.05845958813</v>
      </c>
      <c r="S39" s="45">
        <f t="shared" ref="S39:AA39" si="104">R39*R39/Q39</f>
        <v>39076.255597987947</v>
      </c>
      <c r="T39" s="45">
        <f t="shared" si="104"/>
        <v>39379.792377378246</v>
      </c>
      <c r="U39" s="45">
        <f t="shared" si="104"/>
        <v>39685.686971636751</v>
      </c>
      <c r="V39" s="45">
        <f t="shared" si="104"/>
        <v>39993.957695812343</v>
      </c>
      <c r="W39" s="45">
        <f t="shared" si="104"/>
        <v>40304.623007221657</v>
      </c>
      <c r="X39" s="45">
        <f t="shared" si="104"/>
        <v>40617.701506554185</v>
      </c>
      <c r="Y39" s="45">
        <f t="shared" si="104"/>
        <v>40933.211938985973</v>
      </c>
      <c r="Z39" s="45">
        <f t="shared" si="104"/>
        <v>41251.173195301948</v>
      </c>
      <c r="AA39" s="45">
        <f t="shared" si="104"/>
        <v>41571.604313027012</v>
      </c>
      <c r="AB39" s="95">
        <f>(Q39/E39)^(1/12)-1</f>
        <v>1.2287602879605064E-2</v>
      </c>
      <c r="BH39" s="813" t="s">
        <v>806</v>
      </c>
      <c r="BI39" s="3">
        <v>2011</v>
      </c>
      <c r="BJ39" s="3">
        <v>2012</v>
      </c>
      <c r="BK39" s="3">
        <v>2013</v>
      </c>
      <c r="BL39" s="3">
        <v>2014</v>
      </c>
      <c r="BM39" s="3">
        <v>2015</v>
      </c>
      <c r="BN39" s="3">
        <v>2016</v>
      </c>
      <c r="BO39" s="3">
        <v>2017</v>
      </c>
      <c r="BP39" s="3">
        <v>2018</v>
      </c>
      <c r="BQ39" s="3">
        <v>2019</v>
      </c>
      <c r="BR39" s="3">
        <v>2020</v>
      </c>
      <c r="BS39" s="3">
        <v>2021</v>
      </c>
      <c r="BT39" s="3">
        <v>2022</v>
      </c>
      <c r="BU39" s="3">
        <v>2023</v>
      </c>
      <c r="BV39" s="3">
        <v>2024</v>
      </c>
      <c r="BW39" s="3">
        <v>2025</v>
      </c>
      <c r="BX39" s="3">
        <v>2026</v>
      </c>
      <c r="BY39" s="3">
        <v>2027</v>
      </c>
      <c r="BZ39" s="3">
        <v>2028</v>
      </c>
      <c r="CA39" s="3">
        <v>2029</v>
      </c>
      <c r="CB39" s="3">
        <v>2030</v>
      </c>
      <c r="CC39" s="3">
        <v>2031</v>
      </c>
      <c r="CD39" s="3">
        <v>2032</v>
      </c>
      <c r="CE39" s="3">
        <v>2033</v>
      </c>
      <c r="CF39" s="3">
        <v>2034</v>
      </c>
      <c r="CG39" s="3">
        <v>2035</v>
      </c>
    </row>
    <row r="40" spans="1:85" x14ac:dyDescent="0.25">
      <c r="A40" s="123" t="s">
        <v>837</v>
      </c>
      <c r="B40" s="123"/>
      <c r="C40" s="124" t="s">
        <v>336</v>
      </c>
      <c r="D40" s="478">
        <f>D39-C39</f>
        <v>407.01592874966445</v>
      </c>
      <c r="E40" s="478">
        <f t="shared" ref="E40:R40" si="105">E39-D39</f>
        <v>413.39275964108674</v>
      </c>
      <c r="F40" s="478">
        <f t="shared" si="105"/>
        <v>262.25595754676033</v>
      </c>
      <c r="G40" s="478">
        <f t="shared" si="105"/>
        <v>262.37637672529672</v>
      </c>
      <c r="H40" s="478">
        <f t="shared" si="105"/>
        <v>300.30921718524769</v>
      </c>
      <c r="I40" s="478">
        <f t="shared" si="105"/>
        <v>300.45090884747333</v>
      </c>
      <c r="J40" s="478">
        <f t="shared" si="105"/>
        <v>351.78427918979287</v>
      </c>
      <c r="K40" s="478">
        <f t="shared" si="105"/>
        <v>351.92801252491336</v>
      </c>
      <c r="L40" s="478">
        <f t="shared" si="105"/>
        <v>940.05124797142344</v>
      </c>
      <c r="M40" s="478">
        <f t="shared" si="105"/>
        <v>1111.8043810794843</v>
      </c>
      <c r="N40" s="478">
        <f t="shared" si="105"/>
        <v>497.23363309446722</v>
      </c>
      <c r="O40" s="478">
        <f t="shared" si="105"/>
        <v>280.40131754170579</v>
      </c>
      <c r="P40" s="478">
        <f t="shared" si="105"/>
        <v>289.89705265476368</v>
      </c>
      <c r="Q40" s="478">
        <f t="shared" si="105"/>
        <v>296.57181879970449</v>
      </c>
      <c r="R40" s="478">
        <f t="shared" si="105"/>
        <v>298.87553120404482</v>
      </c>
      <c r="S40" s="478">
        <f t="shared" ref="S40" si="106">S39-R39</f>
        <v>301.19713839981705</v>
      </c>
      <c r="T40" s="478">
        <f t="shared" ref="T40" si="107">T39-S39</f>
        <v>303.53677939029876</v>
      </c>
      <c r="U40" s="478">
        <f t="shared" ref="U40" si="108">U39-T39</f>
        <v>305.89459425850509</v>
      </c>
      <c r="V40" s="478">
        <f t="shared" ref="V40" si="109">V39-U39</f>
        <v>308.27072417559248</v>
      </c>
      <c r="W40" s="478">
        <f t="shared" ref="W40" si="110">W39-V39</f>
        <v>310.66531140931329</v>
      </c>
      <c r="X40" s="478">
        <f t="shared" ref="X40" si="111">X39-W39</f>
        <v>313.07849933252874</v>
      </c>
      <c r="Y40" s="478">
        <f t="shared" ref="Y40" si="112">Y39-X39</f>
        <v>315.51043243178719</v>
      </c>
      <c r="Z40" s="478">
        <f t="shared" ref="Z40" si="113">Z39-Y39</f>
        <v>317.96125631597533</v>
      </c>
      <c r="AA40" s="478">
        <f t="shared" ref="AA40" si="114">AA39-Z39</f>
        <v>320.43111772506381</v>
      </c>
      <c r="AB40" s="117"/>
      <c r="BG40" s="476" t="s">
        <v>843</v>
      </c>
      <c r="BH40" s="5">
        <f>AVERAGE(BI40:BM40)</f>
        <v>0.99771007094957409</v>
      </c>
      <c r="BI40" s="5">
        <v>0.97622398659192522</v>
      </c>
      <c r="BJ40" s="5">
        <v>0.98802267929354248</v>
      </c>
      <c r="BK40" s="5">
        <v>1</v>
      </c>
      <c r="BL40" s="5">
        <v>1.0081012296208007</v>
      </c>
      <c r="BM40" s="5">
        <v>1.0162024592416015</v>
      </c>
      <c r="BN40" s="5">
        <v>1.0243036888624024</v>
      </c>
      <c r="BO40" s="5">
        <v>1.0324049184832031</v>
      </c>
      <c r="BP40" s="5">
        <v>1.0501163933782589</v>
      </c>
      <c r="BQ40" s="5">
        <v>1.0678278682733149</v>
      </c>
      <c r="BR40" s="5">
        <v>1.0909186704050136</v>
      </c>
      <c r="BS40" s="5">
        <v>1.0968076299263936</v>
      </c>
      <c r="BT40" s="5">
        <v>1.1166922243247699</v>
      </c>
      <c r="BU40" s="5">
        <v>1.114271160440764</v>
      </c>
      <c r="BV40" s="5">
        <v>1.1210986997652039</v>
      </c>
      <c r="BW40" s="5">
        <v>1.1280934987039124</v>
      </c>
      <c r="BX40" s="477">
        <f>$BW40+(BX$39-$BW$39)/($CB$39-$BW$39)*($CB40-$BW40)</f>
        <v>1.1408000087195547</v>
      </c>
      <c r="BY40" s="477">
        <f t="shared" ref="BY40:CA40" si="115">$BW40+(BY$39-$BW$39)/($CB$39-$BW$39)*($CB40-$BW40)</f>
        <v>1.1535065187351969</v>
      </c>
      <c r="BZ40" s="477">
        <f t="shared" si="115"/>
        <v>1.1662130287508392</v>
      </c>
      <c r="CA40" s="477">
        <f t="shared" si="115"/>
        <v>1.1789195387664815</v>
      </c>
      <c r="CB40" s="5">
        <v>1.1916260487821237</v>
      </c>
      <c r="CC40" s="477">
        <f>$CB40+(CC$39-$CB$39)/($CG$39-$CB$39)*($CG40-$CB40)</f>
        <v>1.1977845485804433</v>
      </c>
      <c r="CD40" s="477">
        <f t="shared" ref="CD40:CF40" si="116">$CB40+(CD$39-$CB$39)/($CG$39-$CB$39)*($CG40-$CB40)</f>
        <v>1.2039430483787625</v>
      </c>
      <c r="CE40" s="477">
        <f t="shared" si="116"/>
        <v>1.210101548177082</v>
      </c>
      <c r="CF40" s="477">
        <f t="shared" si="116"/>
        <v>1.2162600479754013</v>
      </c>
      <c r="CG40" s="5">
        <v>1.2224185477737208</v>
      </c>
    </row>
    <row r="41" spans="1:85" x14ac:dyDescent="0.25">
      <c r="A41" s="116"/>
      <c r="B41" s="116"/>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BG41" s="476" t="s">
        <v>844</v>
      </c>
      <c r="BH41" s="812" t="s">
        <v>845</v>
      </c>
      <c r="BI41" s="45">
        <v>36031.408028875012</v>
      </c>
      <c r="BJ41" s="45">
        <v>36481.925371155972</v>
      </c>
      <c r="BK41" s="45">
        <v>36939.478074157225</v>
      </c>
      <c r="BL41" s="45">
        <v>37231.887346153853</v>
      </c>
      <c r="BM41" s="45">
        <v>37524.431438708038</v>
      </c>
      <c r="BN41" s="45">
        <v>37859.444901676361</v>
      </c>
      <c r="BO41" s="45">
        <v>38194.617001741535</v>
      </c>
      <c r="BP41" s="45">
        <v>38587.040628010123</v>
      </c>
      <c r="BQ41" s="45">
        <v>38979.625177219874</v>
      </c>
      <c r="BR41" s="45">
        <v>40028.131169260756</v>
      </c>
      <c r="BS41" s="45">
        <v>41268.171006382319</v>
      </c>
      <c r="BT41" s="45">
        <v>41822.794088063529</v>
      </c>
      <c r="BU41" s="45">
        <v>42135.589280588676</v>
      </c>
      <c r="BV41" s="45">
        <v>42458.975248070703</v>
      </c>
      <c r="BW41" s="45">
        <v>42789.805828501587</v>
      </c>
      <c r="BX41" s="45">
        <v>43103.334584486896</v>
      </c>
      <c r="BY41" s="45">
        <v>43416.863340472155</v>
      </c>
      <c r="BZ41" s="45">
        <v>43730.392096457472</v>
      </c>
      <c r="CA41" s="45">
        <v>44043.920852442738</v>
      </c>
      <c r="CB41" s="45">
        <v>44357.449608428069</v>
      </c>
      <c r="CC41" s="45">
        <v>44598.448894982255</v>
      </c>
      <c r="CD41" s="45">
        <v>44839.448181536376</v>
      </c>
      <c r="CE41" s="45">
        <v>45080.447468090497</v>
      </c>
      <c r="CF41" s="45">
        <v>45321.446754644647</v>
      </c>
      <c r="CG41" s="45">
        <v>45562.446041198767</v>
      </c>
    </row>
    <row r="42" spans="1:85" x14ac:dyDescent="0.25">
      <c r="A42" s="116" t="s">
        <v>846</v>
      </c>
      <c r="B42" s="116"/>
      <c r="C42" s="45">
        <v>639</v>
      </c>
      <c r="D42" s="45">
        <v>645</v>
      </c>
      <c r="E42" s="125">
        <v>670.5</v>
      </c>
      <c r="F42" s="125">
        <v>696</v>
      </c>
      <c r="G42" s="125">
        <v>721.5</v>
      </c>
      <c r="H42" s="125">
        <v>747</v>
      </c>
      <c r="I42" s="125">
        <v>772.5</v>
      </c>
      <c r="J42" s="125">
        <v>798</v>
      </c>
      <c r="K42" s="125">
        <v>823.5</v>
      </c>
      <c r="L42" s="45">
        <v>849</v>
      </c>
      <c r="M42" s="45"/>
      <c r="N42" s="45"/>
      <c r="O42" s="45"/>
      <c r="P42" s="45"/>
      <c r="Q42" s="45"/>
      <c r="R42" s="45"/>
      <c r="S42" s="45"/>
      <c r="T42" s="45"/>
      <c r="U42" s="45"/>
      <c r="V42" s="45"/>
      <c r="W42" s="45"/>
      <c r="X42" s="45"/>
      <c r="Y42" s="45"/>
      <c r="Z42" s="45"/>
      <c r="AA42" s="45"/>
      <c r="AB42" s="45"/>
      <c r="BH42" s="812" t="s">
        <v>847</v>
      </c>
      <c r="BI42" s="45">
        <v>32410.710036832301</v>
      </c>
      <c r="BJ42" s="45">
        <v>32817.725965581965</v>
      </c>
      <c r="BK42" s="45">
        <v>33231.118725223052</v>
      </c>
      <c r="BL42" s="45">
        <v>33493.374682769812</v>
      </c>
      <c r="BM42" s="45">
        <v>33755.751059495109</v>
      </c>
      <c r="BN42" s="45">
        <v>34056.060276680357</v>
      </c>
      <c r="BO42" s="45">
        <v>34356.51118552783</v>
      </c>
      <c r="BP42" s="45">
        <v>34708.295464717623</v>
      </c>
      <c r="BQ42" s="45">
        <v>35060.223477242536</v>
      </c>
      <c r="BR42" s="45">
        <v>36000.27472521396</v>
      </c>
      <c r="BS42" s="45">
        <v>37112.079106293444</v>
      </c>
      <c r="BT42" s="45">
        <v>37609.312739387911</v>
      </c>
      <c r="BU42" s="45">
        <v>37889.714056929617</v>
      </c>
      <c r="BV42" s="45">
        <v>38179.611109584381</v>
      </c>
      <c r="BW42" s="45">
        <v>38476.182928384085</v>
      </c>
      <c r="BX42" s="45">
        <v>38757.258486463623</v>
      </c>
      <c r="BY42" s="45">
        <v>39038.33404454319</v>
      </c>
      <c r="BZ42" s="45">
        <v>39319.409602622778</v>
      </c>
      <c r="CA42" s="45">
        <v>39600.485160702337</v>
      </c>
      <c r="CB42" s="45">
        <v>39881.560718781911</v>
      </c>
      <c r="CC42" s="45">
        <v>40097.615365793798</v>
      </c>
      <c r="CD42" s="45">
        <v>40313.67001280572</v>
      </c>
      <c r="CE42" s="45">
        <v>40529.724659817701</v>
      </c>
      <c r="CF42" s="45">
        <v>40745.779306829565</v>
      </c>
      <c r="CG42" s="45">
        <v>40961.833953841538</v>
      </c>
    </row>
    <row r="43" spans="1:85" x14ac:dyDescent="0.25">
      <c r="A43" s="116" t="s">
        <v>848</v>
      </c>
      <c r="B43" s="116"/>
      <c r="C43" s="45">
        <v>407</v>
      </c>
      <c r="D43" s="45">
        <v>358</v>
      </c>
      <c r="E43" s="125">
        <v>401.25</v>
      </c>
      <c r="F43" s="125">
        <v>444.5</v>
      </c>
      <c r="G43" s="125">
        <v>487.75</v>
      </c>
      <c r="H43" s="125">
        <v>531</v>
      </c>
      <c r="I43" s="125">
        <v>574.25</v>
      </c>
      <c r="J43" s="125">
        <v>617.5</v>
      </c>
      <c r="K43" s="125">
        <v>660.75</v>
      </c>
      <c r="L43" s="45">
        <v>704</v>
      </c>
      <c r="M43" s="45"/>
      <c r="N43" s="45"/>
      <c r="O43" s="45"/>
      <c r="P43" s="514">
        <f>I20/B20</f>
        <v>1.03477447862244</v>
      </c>
      <c r="Q43" s="45" t="s">
        <v>849</v>
      </c>
      <c r="R43" s="45"/>
      <c r="S43" s="45"/>
      <c r="T43" s="45"/>
      <c r="U43" s="45"/>
      <c r="V43" s="45"/>
      <c r="W43" s="45"/>
      <c r="X43" s="45"/>
      <c r="Y43" s="45"/>
      <c r="Z43" s="45"/>
      <c r="AA43" s="45"/>
      <c r="AB43" s="45"/>
      <c r="BO43" s="5"/>
    </row>
    <row r="44" spans="1:85" x14ac:dyDescent="0.25">
      <c r="A44" s="116" t="s">
        <v>850</v>
      </c>
      <c r="B44" s="116"/>
      <c r="C44" s="45">
        <v>232</v>
      </c>
      <c r="D44" s="45">
        <v>287</v>
      </c>
      <c r="E44" s="45">
        <v>269.25</v>
      </c>
      <c r="F44" s="45">
        <v>251.5</v>
      </c>
      <c r="G44" s="45">
        <v>233.75</v>
      </c>
      <c r="H44" s="45">
        <v>216</v>
      </c>
      <c r="I44" s="45">
        <v>198.25</v>
      </c>
      <c r="J44" s="45">
        <v>180.5</v>
      </c>
      <c r="K44" s="45">
        <v>162.75</v>
      </c>
      <c r="L44" s="45">
        <v>145</v>
      </c>
      <c r="M44" s="45"/>
      <c r="N44" s="45"/>
      <c r="O44" s="45"/>
      <c r="P44" s="45"/>
      <c r="Q44" s="45"/>
      <c r="R44" s="45"/>
      <c r="S44" s="45"/>
      <c r="T44" s="45"/>
      <c r="U44" s="45"/>
      <c r="V44" s="45"/>
      <c r="W44" s="45"/>
      <c r="X44" s="45"/>
      <c r="Y44" s="45"/>
      <c r="Z44" s="45"/>
      <c r="AA44" s="45"/>
      <c r="AB44" s="45"/>
      <c r="BO44" s="5"/>
    </row>
    <row r="45" spans="1:85" x14ac:dyDescent="0.25">
      <c r="G45" s="45">
        <f>SUM(G53:G57)</f>
        <v>1058.8957645465184</v>
      </c>
      <c r="H45" s="45">
        <f ca="1">SUM(H53:H57)</f>
        <v>740.5234816908079</v>
      </c>
      <c r="I45" s="45">
        <f ca="1">SUM(I53:I57)</f>
        <v>746.38029039900914</v>
      </c>
    </row>
    <row r="46" spans="1:85" x14ac:dyDescent="0.25">
      <c r="D46" s="45"/>
      <c r="E46" s="45"/>
      <c r="F46" s="45"/>
      <c r="I46" s="45"/>
      <c r="J46" s="45"/>
      <c r="K46" s="45"/>
      <c r="L46" s="45"/>
      <c r="M46" s="45"/>
      <c r="N46" s="45"/>
      <c r="O46" s="45"/>
      <c r="P46" s="45"/>
      <c r="Q46" s="45"/>
      <c r="R46" s="45"/>
      <c r="S46" s="45"/>
      <c r="T46" s="45"/>
      <c r="U46" s="45"/>
      <c r="V46" s="45"/>
      <c r="W46" s="45"/>
      <c r="X46" s="45"/>
      <c r="Y46" s="45"/>
      <c r="Z46" s="45"/>
      <c r="AA46" s="45"/>
      <c r="AB46" s="45"/>
    </row>
    <row r="47" spans="1:85" ht="15.75" x14ac:dyDescent="0.25">
      <c r="B47" s="870" t="s">
        <v>851</v>
      </c>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row>
    <row r="48" spans="1:85" x14ac:dyDescent="0.25">
      <c r="B48" s="869" t="s">
        <v>802</v>
      </c>
      <c r="C48" s="869"/>
      <c r="D48" s="869"/>
      <c r="E48" s="869"/>
      <c r="F48" s="869"/>
      <c r="G48" s="869"/>
      <c r="H48" s="869"/>
      <c r="I48" s="869"/>
      <c r="J48" s="869"/>
      <c r="K48" s="869"/>
      <c r="L48" s="869"/>
      <c r="M48" s="869"/>
      <c r="N48" s="869"/>
      <c r="O48" s="869"/>
      <c r="P48" s="869"/>
      <c r="Q48" s="869"/>
      <c r="R48" s="869"/>
      <c r="S48" s="821"/>
      <c r="T48" s="821"/>
      <c r="U48" s="821"/>
      <c r="V48" s="821"/>
      <c r="W48" s="821"/>
      <c r="X48" s="821"/>
      <c r="Y48" s="821"/>
      <c r="Z48" s="821"/>
      <c r="AA48" s="821"/>
      <c r="AB48" s="821"/>
      <c r="AC48" s="869" t="s">
        <v>803</v>
      </c>
      <c r="AD48" s="869"/>
      <c r="AE48" s="869"/>
      <c r="AF48" s="869"/>
      <c r="AG48" s="869"/>
      <c r="AH48" s="869"/>
      <c r="AI48" s="869"/>
      <c r="AJ48" s="869"/>
      <c r="AK48" s="869"/>
      <c r="AL48" s="869"/>
      <c r="AM48" s="869"/>
      <c r="AN48" s="869"/>
      <c r="AO48" s="869"/>
      <c r="AP48" s="869"/>
      <c r="AQ48" s="869"/>
      <c r="AR48" s="869"/>
      <c r="AS48" s="869"/>
    </row>
    <row r="49" spans="1:54" ht="15.75" thickBot="1" x14ac:dyDescent="0.3">
      <c r="A49" s="91" t="s">
        <v>356</v>
      </c>
      <c r="B49" s="6" t="s">
        <v>806</v>
      </c>
      <c r="C49" s="6">
        <v>2011</v>
      </c>
      <c r="D49" s="6">
        <v>2012</v>
      </c>
      <c r="E49" s="6">
        <v>2013</v>
      </c>
      <c r="F49" s="6">
        <v>2014</v>
      </c>
      <c r="G49" s="6">
        <v>2015</v>
      </c>
      <c r="H49" s="6">
        <v>2016</v>
      </c>
      <c r="I49" s="6">
        <v>2017</v>
      </c>
      <c r="J49" s="6">
        <v>2018</v>
      </c>
      <c r="K49" s="6">
        <v>2019</v>
      </c>
      <c r="L49" s="6">
        <v>2020</v>
      </c>
      <c r="M49" s="6">
        <v>2021</v>
      </c>
      <c r="N49" s="6">
        <v>2022</v>
      </c>
      <c r="O49" s="6">
        <v>2023</v>
      </c>
      <c r="P49" s="6">
        <v>2024</v>
      </c>
      <c r="Q49" s="6">
        <v>2025</v>
      </c>
      <c r="R49" s="6">
        <v>2026</v>
      </c>
      <c r="S49" s="6">
        <v>2027</v>
      </c>
      <c r="T49" s="6">
        <v>2028</v>
      </c>
      <c r="U49" s="6">
        <v>2029</v>
      </c>
      <c r="V49" s="6">
        <v>2030</v>
      </c>
      <c r="W49" s="6">
        <v>2031</v>
      </c>
      <c r="X49" s="6">
        <v>2032</v>
      </c>
      <c r="Y49" s="6">
        <v>2033</v>
      </c>
      <c r="Z49" s="6">
        <v>2034</v>
      </c>
      <c r="AA49" s="6">
        <v>2035</v>
      </c>
      <c r="AB49" s="821"/>
      <c r="AC49" s="6" t="s">
        <v>806</v>
      </c>
      <c r="AD49" s="6">
        <v>2011</v>
      </c>
      <c r="AE49" s="6">
        <v>2012</v>
      </c>
      <c r="AF49" s="6">
        <v>2013</v>
      </c>
      <c r="AG49" s="6">
        <v>2014</v>
      </c>
      <c r="AH49" s="6">
        <v>2015</v>
      </c>
      <c r="AI49" s="6">
        <v>2016</v>
      </c>
      <c r="AJ49" s="6">
        <v>2017</v>
      </c>
      <c r="AK49" s="6">
        <v>2018</v>
      </c>
      <c r="AL49" s="6">
        <v>2019</v>
      </c>
      <c r="AM49" s="6">
        <v>2020</v>
      </c>
      <c r="AN49" s="6">
        <v>2021</v>
      </c>
      <c r="AO49" s="6">
        <v>2022</v>
      </c>
      <c r="AP49" s="6">
        <v>2023</v>
      </c>
      <c r="AQ49" s="6">
        <v>2024</v>
      </c>
      <c r="AR49" s="6">
        <v>2025</v>
      </c>
      <c r="AS49" s="6">
        <v>2026</v>
      </c>
      <c r="AT49" s="6">
        <v>2027</v>
      </c>
      <c r="AU49" s="6">
        <v>2028</v>
      </c>
      <c r="AV49" s="6">
        <v>2029</v>
      </c>
      <c r="AW49" s="6">
        <v>2030</v>
      </c>
      <c r="AX49" s="6">
        <v>2031</v>
      </c>
      <c r="AY49" s="6">
        <v>2032</v>
      </c>
      <c r="AZ49" s="6">
        <v>2033</v>
      </c>
      <c r="BA49" s="6">
        <v>2034</v>
      </c>
      <c r="BB49" s="6">
        <v>2035</v>
      </c>
    </row>
    <row r="50" spans="1:54" ht="15.75" thickTop="1" x14ac:dyDescent="0.25">
      <c r="A50" s="93" t="s">
        <v>807</v>
      </c>
      <c r="B50" s="94">
        <f>B6</f>
        <v>12537.290211874006</v>
      </c>
      <c r="C50" s="94">
        <f>C6</f>
        <v>10816.796003240108</v>
      </c>
      <c r="D50" s="94">
        <f t="shared" ref="D50:G50" si="117">D6</f>
        <v>11790.264604476739</v>
      </c>
      <c r="E50" s="94">
        <f t="shared" si="117"/>
        <v>13376.78359229661</v>
      </c>
      <c r="F50" s="94">
        <f t="shared" si="117"/>
        <v>13898.348899353254</v>
      </c>
      <c r="G50" s="94">
        <f t="shared" si="117"/>
        <v>12899.275677203046</v>
      </c>
      <c r="H50" s="94">
        <f t="shared" ref="H50:R50" si="118">H6</f>
        <v>12871.467359388909</v>
      </c>
      <c r="I50" s="94">
        <f t="shared" si="118"/>
        <v>12973.267942330145</v>
      </c>
      <c r="J50" s="94">
        <f t="shared" si="118"/>
        <v>13195.831497921294</v>
      </c>
      <c r="K50" s="94">
        <f t="shared" si="118"/>
        <v>13418.395053512446</v>
      </c>
      <c r="L50" s="94">
        <f t="shared" si="118"/>
        <v>13708.555588099951</v>
      </c>
      <c r="M50" s="94">
        <f t="shared" si="118"/>
        <v>13782.556639823573</v>
      </c>
      <c r="N50" s="94">
        <f t="shared" si="118"/>
        <v>14032.427757673047</v>
      </c>
      <c r="O50" s="94">
        <f t="shared" si="118"/>
        <v>14002.00451005926</v>
      </c>
      <c r="P50" s="94">
        <f t="shared" si="118"/>
        <v>14087.799817168885</v>
      </c>
      <c r="Q50" s="94">
        <f t="shared" si="118"/>
        <v>14175.696919565409</v>
      </c>
      <c r="R50" s="94">
        <f t="shared" si="118"/>
        <v>14335.367758103273</v>
      </c>
      <c r="S50" s="94">
        <f t="shared" ref="S50:AA50" si="119">S6</f>
        <v>14495.038596641138</v>
      </c>
      <c r="T50" s="94">
        <f t="shared" si="119"/>
        <v>14654.709435179002</v>
      </c>
      <c r="U50" s="94">
        <f t="shared" si="119"/>
        <v>14814.380273716868</v>
      </c>
      <c r="V50" s="94">
        <f t="shared" si="119"/>
        <v>14974.051112254732</v>
      </c>
      <c r="W50" s="94">
        <f t="shared" si="119"/>
        <v>15051.439224783067</v>
      </c>
      <c r="X50" s="94">
        <f t="shared" si="119"/>
        <v>15128.827337311399</v>
      </c>
      <c r="Y50" s="94">
        <f t="shared" si="119"/>
        <v>15206.215449839736</v>
      </c>
      <c r="Z50" s="94">
        <f t="shared" si="119"/>
        <v>15283.603562368067</v>
      </c>
      <c r="AA50" s="94">
        <f t="shared" si="119"/>
        <v>15360.991674896404</v>
      </c>
      <c r="AB50" s="821"/>
      <c r="AC50" s="96">
        <f t="shared" ref="AC50:AS50" si="120">B50/B$80</f>
        <v>0.25331063185773739</v>
      </c>
      <c r="AD50" s="96">
        <f t="shared" si="120"/>
        <v>0.2247191011235955</v>
      </c>
      <c r="AE50" s="96">
        <f t="shared" si="120"/>
        <v>0.25024630541871923</v>
      </c>
      <c r="AF50" s="96">
        <f t="shared" si="120"/>
        <v>0.25583482944344699</v>
      </c>
      <c r="AG50" s="96">
        <f t="shared" si="120"/>
        <v>0.27213420316868592</v>
      </c>
      <c r="AH50" s="96">
        <f t="shared" si="120"/>
        <v>0.26377952755905509</v>
      </c>
      <c r="AI50" s="96">
        <f t="shared" si="120"/>
        <v>0.25331063185773739</v>
      </c>
      <c r="AJ50" s="96">
        <f t="shared" si="120"/>
        <v>0.25331063185773739</v>
      </c>
      <c r="AK50" s="96">
        <f t="shared" si="120"/>
        <v>0.25331063185773739</v>
      </c>
      <c r="AL50" s="96">
        <f t="shared" si="120"/>
        <v>0.25331063185773744</v>
      </c>
      <c r="AM50" s="96">
        <f t="shared" si="120"/>
        <v>0.25331063185773744</v>
      </c>
      <c r="AN50" s="96">
        <f t="shared" si="120"/>
        <v>0.25331063185773744</v>
      </c>
      <c r="AO50" s="96">
        <f t="shared" si="120"/>
        <v>0.25331063185773739</v>
      </c>
      <c r="AP50" s="96">
        <f t="shared" si="120"/>
        <v>0.25331063185773744</v>
      </c>
      <c r="AQ50" s="96">
        <f t="shared" si="120"/>
        <v>0.25331063185773739</v>
      </c>
      <c r="AR50" s="96">
        <f t="shared" si="120"/>
        <v>0.25331063185773739</v>
      </c>
      <c r="AS50" s="96">
        <f t="shared" si="120"/>
        <v>0.25331063185773739</v>
      </c>
      <c r="AT50" s="96">
        <f t="shared" ref="AT50:BB50" si="121">S50/S$80</f>
        <v>0.25331063185773739</v>
      </c>
      <c r="AU50" s="96">
        <f t="shared" si="121"/>
        <v>0.25331063185773739</v>
      </c>
      <c r="AV50" s="96">
        <f t="shared" si="121"/>
        <v>0.25331063185773739</v>
      </c>
      <c r="AW50" s="96">
        <f t="shared" si="121"/>
        <v>0.25331063185773744</v>
      </c>
      <c r="AX50" s="96">
        <f t="shared" si="121"/>
        <v>0.25331063185773744</v>
      </c>
      <c r="AY50" s="96">
        <f t="shared" si="121"/>
        <v>0.25331063185773739</v>
      </c>
      <c r="AZ50" s="96">
        <f t="shared" si="121"/>
        <v>0.25331063185773744</v>
      </c>
      <c r="BA50" s="96">
        <f t="shared" si="121"/>
        <v>0.25331063185773739</v>
      </c>
      <c r="BB50" s="96">
        <f t="shared" si="121"/>
        <v>0.25331063185773739</v>
      </c>
    </row>
    <row r="51" spans="1:54" x14ac:dyDescent="0.25">
      <c r="A51" s="98" t="s">
        <v>808</v>
      </c>
      <c r="B51" s="99">
        <f t="shared" ref="B51:Q82" si="122">B7</f>
        <v>759.26057301280878</v>
      </c>
      <c r="C51" s="99">
        <f t="shared" si="122"/>
        <v>571.8130045765696</v>
      </c>
      <c r="D51" s="99">
        <f t="shared" ref="D51:G51" si="123">D7</f>
        <v>557.02037501464906</v>
      </c>
      <c r="E51" s="99">
        <f t="shared" si="123"/>
        <v>894.9256628649141</v>
      </c>
      <c r="F51" s="99">
        <f t="shared" si="123"/>
        <v>916.90496211011043</v>
      </c>
      <c r="G51" s="99">
        <f t="shared" si="123"/>
        <v>866.36926190169709</v>
      </c>
      <c r="H51" s="99">
        <f t="shared" ref="H51:R51" si="124">H7</f>
        <v>779.49840177979752</v>
      </c>
      <c r="I51" s="99">
        <f t="shared" si="124"/>
        <v>785.66346357790428</v>
      </c>
      <c r="J51" s="99">
        <f t="shared" si="124"/>
        <v>799.14195293997227</v>
      </c>
      <c r="K51" s="99">
        <f t="shared" si="124"/>
        <v>812.62044230204049</v>
      </c>
      <c r="L51" s="99">
        <f t="shared" si="124"/>
        <v>830.19261699318383</v>
      </c>
      <c r="M51" s="99">
        <f t="shared" si="124"/>
        <v>834.67413413011798</v>
      </c>
      <c r="N51" s="99">
        <f t="shared" si="124"/>
        <v>849.80637442380294</v>
      </c>
      <c r="O51" s="99">
        <f t="shared" si="124"/>
        <v>847.96393702099977</v>
      </c>
      <c r="P51" s="99">
        <f t="shared" si="124"/>
        <v>853.15971640689679</v>
      </c>
      <c r="Q51" s="99">
        <f t="shared" si="124"/>
        <v>858.48278089722385</v>
      </c>
      <c r="R51" s="99">
        <f t="shared" si="124"/>
        <v>868.1524758881618</v>
      </c>
      <c r="S51" s="99">
        <f t="shared" ref="S51:AA51" si="125">S7</f>
        <v>877.82217087909987</v>
      </c>
      <c r="T51" s="99">
        <f t="shared" si="125"/>
        <v>887.49186587003794</v>
      </c>
      <c r="U51" s="99">
        <f t="shared" si="125"/>
        <v>897.16156086097601</v>
      </c>
      <c r="V51" s="99">
        <f t="shared" si="125"/>
        <v>906.83125585191397</v>
      </c>
      <c r="W51" s="99">
        <f t="shared" si="125"/>
        <v>911.51789400654445</v>
      </c>
      <c r="X51" s="99">
        <f t="shared" si="125"/>
        <v>916.20453216117471</v>
      </c>
      <c r="Y51" s="99">
        <f t="shared" si="125"/>
        <v>920.8911703158052</v>
      </c>
      <c r="Z51" s="99">
        <f t="shared" si="125"/>
        <v>925.57780847043546</v>
      </c>
      <c r="AA51" s="99">
        <f t="shared" si="125"/>
        <v>930.26444662506594</v>
      </c>
      <c r="AB51" s="821"/>
      <c r="AC51" s="100">
        <f t="shared" ref="AC51:AC66" si="126">B51/B$50</f>
        <v>6.0560181680545035E-2</v>
      </c>
      <c r="AD51" s="100">
        <f t="shared" ref="AD51:AD66" si="127">C51/C$50</f>
        <v>5.2863436123348019E-2</v>
      </c>
      <c r="AE51" s="100">
        <f t="shared" ref="AE51:AE66" si="128">D51/D$50</f>
        <v>4.7244094488188976E-2</v>
      </c>
      <c r="AF51" s="100">
        <f t="shared" ref="AF51:AF66" si="129">E51/E$50</f>
        <v>6.6901408450704233E-2</v>
      </c>
      <c r="AG51" s="100">
        <f t="shared" ref="AG51:AG66" si="130">F51/F$50</f>
        <v>6.5972222222222224E-2</v>
      </c>
      <c r="AH51" s="100">
        <f t="shared" ref="AH51:AH66" si="131">G51/G$50</f>
        <v>6.7164179104477612E-2</v>
      </c>
      <c r="AI51" s="100">
        <f t="shared" ref="AI51:AI66" si="132">H51/H$50</f>
        <v>6.0560181680545028E-2</v>
      </c>
      <c r="AJ51" s="100">
        <f t="shared" ref="AJ51:AJ66" si="133">I51/I$50</f>
        <v>6.0560181680545042E-2</v>
      </c>
      <c r="AK51" s="100">
        <f t="shared" ref="AK51:AK66" si="134">J51/J$50</f>
        <v>6.0560181680545035E-2</v>
      </c>
      <c r="AL51" s="100">
        <f t="shared" ref="AL51:AL66" si="135">K51/K$50</f>
        <v>6.0560181680545028E-2</v>
      </c>
      <c r="AM51" s="100">
        <f t="shared" ref="AM51:AM66" si="136">L51/L$50</f>
        <v>6.0560181680545028E-2</v>
      </c>
      <c r="AN51" s="100">
        <f t="shared" ref="AN51:AN66" si="137">M51/M$50</f>
        <v>6.0560181680545042E-2</v>
      </c>
      <c r="AO51" s="100">
        <f t="shared" ref="AO51:AO66" si="138">N51/N$50</f>
        <v>6.0560181680545035E-2</v>
      </c>
      <c r="AP51" s="100">
        <f t="shared" ref="AP51:AP66" si="139">O51/O$50</f>
        <v>6.0560181680545035E-2</v>
      </c>
      <c r="AQ51" s="100">
        <f t="shared" ref="AQ51:AQ66" si="140">P51/P$50</f>
        <v>6.0560181680545035E-2</v>
      </c>
      <c r="AR51" s="100">
        <f t="shared" ref="AR51:AR66" si="141">Q51/Q$50</f>
        <v>6.0560181680545042E-2</v>
      </c>
      <c r="AS51" s="100">
        <f t="shared" ref="AS51:AS66" si="142">R51/R$50</f>
        <v>6.0560181680545035E-2</v>
      </c>
      <c r="AT51" s="100">
        <f t="shared" ref="AT51:BB66" si="143">S51/S$50</f>
        <v>6.0560181680545035E-2</v>
      </c>
      <c r="AU51" s="100">
        <f t="shared" si="143"/>
        <v>6.0560181680545042E-2</v>
      </c>
      <c r="AV51" s="100">
        <f t="shared" si="143"/>
        <v>6.0560181680545035E-2</v>
      </c>
      <c r="AW51" s="100">
        <f t="shared" si="143"/>
        <v>6.0560181680545028E-2</v>
      </c>
      <c r="AX51" s="100">
        <f t="shared" si="143"/>
        <v>6.0560181680545035E-2</v>
      </c>
      <c r="AY51" s="100">
        <f t="shared" si="143"/>
        <v>6.0560181680545035E-2</v>
      </c>
      <c r="AZ51" s="100">
        <f t="shared" si="143"/>
        <v>6.0560181680545035E-2</v>
      </c>
      <c r="BA51" s="100">
        <f t="shared" si="143"/>
        <v>6.0560181680545035E-2</v>
      </c>
      <c r="BB51" s="100">
        <f t="shared" si="143"/>
        <v>6.0560181680545028E-2</v>
      </c>
    </row>
    <row r="52" spans="1:54" x14ac:dyDescent="0.25">
      <c r="A52" s="98" t="s">
        <v>809</v>
      </c>
      <c r="B52" s="99">
        <f t="shared" si="122"/>
        <v>721.29754436216854</v>
      </c>
      <c r="C52" s="99">
        <f t="shared" si="122"/>
        <v>619.46408829128382</v>
      </c>
      <c r="D52" s="99">
        <f t="shared" ref="D52:G52" si="144">D8</f>
        <v>557.02037501464906</v>
      </c>
      <c r="E52" s="99">
        <f t="shared" si="144"/>
        <v>565.21620812520882</v>
      </c>
      <c r="F52" s="99">
        <f t="shared" si="144"/>
        <v>820.38865030904617</v>
      </c>
      <c r="G52" s="99">
        <f t="shared" si="144"/>
        <v>1058.8957645465186</v>
      </c>
      <c r="H52" s="479">
        <f ca="1">SUM(H53:H57)</f>
        <v>740.5234816908079</v>
      </c>
      <c r="I52" s="479">
        <f t="shared" ref="I52:R52" ca="1" si="145">SUM(I53:I57)</f>
        <v>746.38029039900914</v>
      </c>
      <c r="J52" s="479">
        <f t="shared" ca="1" si="145"/>
        <v>759.18485529297368</v>
      </c>
      <c r="K52" s="479">
        <f t="shared" ca="1" si="145"/>
        <v>771.98942018693867</v>
      </c>
      <c r="L52" s="479">
        <f t="shared" ca="1" si="145"/>
        <v>788.68298614352489</v>
      </c>
      <c r="M52" s="479">
        <f t="shared" ca="1" si="145"/>
        <v>792.94042742361216</v>
      </c>
      <c r="N52" s="479">
        <f t="shared" ca="1" si="145"/>
        <v>807.31605570261286</v>
      </c>
      <c r="O52" s="479">
        <f t="shared" ca="1" si="145"/>
        <v>805.56574016995</v>
      </c>
      <c r="P52" s="479">
        <f t="shared" ca="1" si="145"/>
        <v>810.50173058655218</v>
      </c>
      <c r="Q52" s="479">
        <f t="shared" ca="1" si="145"/>
        <v>815.5586418523626</v>
      </c>
      <c r="R52" s="479">
        <f t="shared" ca="1" si="145"/>
        <v>824.74485209375393</v>
      </c>
      <c r="S52" s="479">
        <f t="shared" ref="S52:AA52" ca="1" si="146">SUM(S53:S57)</f>
        <v>833.93106233514493</v>
      </c>
      <c r="T52" s="479">
        <f t="shared" ca="1" si="146"/>
        <v>843.11727257653627</v>
      </c>
      <c r="U52" s="479">
        <f t="shared" ca="1" si="146"/>
        <v>852.30348281792726</v>
      </c>
      <c r="V52" s="479">
        <f t="shared" ca="1" si="146"/>
        <v>861.4896930593186</v>
      </c>
      <c r="W52" s="479">
        <f t="shared" ca="1" si="146"/>
        <v>865.94199930621733</v>
      </c>
      <c r="X52" s="479">
        <f t="shared" ca="1" si="146"/>
        <v>870.39430555311606</v>
      </c>
      <c r="Y52" s="479">
        <f t="shared" ca="1" si="146"/>
        <v>874.8466118000149</v>
      </c>
      <c r="Z52" s="479">
        <f t="shared" ca="1" si="146"/>
        <v>879.29891804691374</v>
      </c>
      <c r="AA52" s="479">
        <f t="shared" ca="1" si="146"/>
        <v>883.7512242938127</v>
      </c>
      <c r="AB52" s="821"/>
      <c r="AC52" s="101">
        <f t="shared" si="126"/>
        <v>5.75321725965178E-2</v>
      </c>
      <c r="AD52" s="101">
        <f t="shared" si="127"/>
        <v>5.726872246696036E-2</v>
      </c>
      <c r="AE52" s="101">
        <f t="shared" si="128"/>
        <v>4.7244094488188976E-2</v>
      </c>
      <c r="AF52" s="101">
        <f t="shared" si="129"/>
        <v>4.2253521126760563E-2</v>
      </c>
      <c r="AG52" s="101">
        <f t="shared" si="130"/>
        <v>5.9027777777777776E-2</v>
      </c>
      <c r="AH52" s="101">
        <f t="shared" si="131"/>
        <v>8.2089552238805971E-2</v>
      </c>
      <c r="AI52" s="101">
        <f t="shared" ca="1" si="132"/>
        <v>5.75321725965178E-2</v>
      </c>
      <c r="AJ52" s="101">
        <f t="shared" ca="1" si="133"/>
        <v>5.7532172596517793E-2</v>
      </c>
      <c r="AK52" s="101">
        <f t="shared" ca="1" si="134"/>
        <v>5.7532172596517786E-2</v>
      </c>
      <c r="AL52" s="101">
        <f t="shared" ca="1" si="135"/>
        <v>5.7532172596517793E-2</v>
      </c>
      <c r="AM52" s="101">
        <f t="shared" ca="1" si="136"/>
        <v>5.7532172596517793E-2</v>
      </c>
      <c r="AN52" s="101">
        <f t="shared" ca="1" si="137"/>
        <v>5.7532172596517793E-2</v>
      </c>
      <c r="AO52" s="101">
        <f t="shared" ca="1" si="138"/>
        <v>5.7532172596517786E-2</v>
      </c>
      <c r="AP52" s="101">
        <f t="shared" ca="1" si="139"/>
        <v>5.75321725965178E-2</v>
      </c>
      <c r="AQ52" s="101">
        <f t="shared" ca="1" si="140"/>
        <v>5.75321725965178E-2</v>
      </c>
      <c r="AR52" s="101">
        <f t="shared" ca="1" si="141"/>
        <v>5.7532172596517786E-2</v>
      </c>
      <c r="AS52" s="101">
        <f t="shared" ca="1" si="142"/>
        <v>5.75321725965178E-2</v>
      </c>
      <c r="AT52" s="101">
        <f t="shared" ca="1" si="143"/>
        <v>5.7532172596517786E-2</v>
      </c>
      <c r="AU52" s="101">
        <f t="shared" ca="1" si="143"/>
        <v>5.75321725965178E-2</v>
      </c>
      <c r="AV52" s="101">
        <f t="shared" ca="1" si="143"/>
        <v>5.7532172596517786E-2</v>
      </c>
      <c r="AW52" s="101">
        <f t="shared" ca="1" si="143"/>
        <v>5.75321725965178E-2</v>
      </c>
      <c r="AX52" s="101">
        <f t="shared" ca="1" si="143"/>
        <v>5.7532172596517786E-2</v>
      </c>
      <c r="AY52" s="101">
        <f t="shared" ca="1" si="143"/>
        <v>5.7532172596517786E-2</v>
      </c>
      <c r="AZ52" s="101">
        <f t="shared" ca="1" si="143"/>
        <v>5.7532172596517779E-2</v>
      </c>
      <c r="BA52" s="101">
        <f t="shared" ca="1" si="143"/>
        <v>5.7532172596517786E-2</v>
      </c>
      <c r="BB52" s="101">
        <f t="shared" ca="1" si="143"/>
        <v>5.7532172596517779E-2</v>
      </c>
    </row>
    <row r="53" spans="1:54" x14ac:dyDescent="0.25">
      <c r="A53" s="102" t="s">
        <v>810</v>
      </c>
      <c r="B53" s="104">
        <f t="shared" si="122"/>
        <v>209.59611866408963</v>
      </c>
      <c r="C53" s="104">
        <f t="shared" si="122"/>
        <v>230.22939481074576</v>
      </c>
      <c r="D53" s="104">
        <f t="shared" ref="D53:G53" si="147">D9</f>
        <v>188.86102558462829</v>
      </c>
      <c r="E53" s="104">
        <f t="shared" si="147"/>
        <v>164.92707124655959</v>
      </c>
      <c r="F53" s="104">
        <f t="shared" si="147"/>
        <v>191.92635419677183</v>
      </c>
      <c r="G53" s="104">
        <f t="shared" si="147"/>
        <v>250.62449435366139</v>
      </c>
      <c r="H53" s="126">
        <f ca="1">SUM(H$9:H$11)*OFFSET(HHSurveyG2!$A$289,MATCH(H$49,HHSurveyG2!$A$290:$A$309,0),1)</f>
        <v>166.48106358877493</v>
      </c>
      <c r="I53" s="126">
        <f ca="1">SUM(I$9:I$11)*OFFSET(HHSurveyG2!$A$289,MATCH(I$49,HHSurveyG2!$A$290:$A$309,0),1)</f>
        <v>155.98501019526648</v>
      </c>
      <c r="J53" s="126">
        <f ca="1">SUM(J$9:J$11)*OFFSET(HHSurveyG2!$A$289,MATCH(J$49,HHSurveyG2!$A$290:$A$309,0),1)</f>
        <v>148.391760100212</v>
      </c>
      <c r="K53" s="126">
        <f ca="1">SUM(K$9:K$11)*OFFSET(HHSurveyG2!$A$289,MATCH(K$49,HHSurveyG2!$A$290:$A$309,0),1)</f>
        <v>141.96966297878518</v>
      </c>
      <c r="L53" s="126">
        <f ca="1">SUM(L$9:L$11)*OFFSET(HHSurveyG2!$A$289,MATCH(L$49,HHSurveyG2!$A$290:$A$309,0),1)</f>
        <v>137.2467978424134</v>
      </c>
      <c r="M53" s="126">
        <f ca="1">SUM(M$9:M$11)*OFFSET(HHSurveyG2!$A$289,MATCH(M$49,HHSurveyG2!$A$290:$A$309,0),1)</f>
        <v>131.29139540470618</v>
      </c>
      <c r="N53" s="126">
        <f ca="1">SUM(N$9:N$11)*OFFSET(HHSurveyG2!$A$289,MATCH(N$49,HHSurveyG2!$A$290:$A$309,0),1)</f>
        <v>127.84474717181092</v>
      </c>
      <c r="O53" s="126">
        <f ca="1">SUM(O$9:O$11)*OFFSET(HHSurveyG2!$A$289,MATCH(O$49,HHSurveyG2!$A$290:$A$309,0),1)</f>
        <v>122.59826925176517</v>
      </c>
      <c r="P53" s="126">
        <f ca="1">SUM(P$9:P$11)*OFFSET(HHSurveyG2!$A$289,MATCH(P$49,HHSurveyG2!$A$290:$A$309,0),1)</f>
        <v>119.07631527999348</v>
      </c>
      <c r="Q53" s="126">
        <f ca="1">SUM(Q$9:Q$11)*OFFSET(HHSurveyG2!$A$289,MATCH(Q$49,HHSurveyG2!$A$290:$A$309,0),1)</f>
        <v>116.14431650691395</v>
      </c>
      <c r="R53" s="126">
        <f ca="1">SUM(R$9:R$11)*OFFSET(HHSurveyG2!$A$289,MATCH(R$49,HHSurveyG2!$A$290:$A$309,0),1)</f>
        <v>114.2762740609904</v>
      </c>
      <c r="S53" s="126">
        <f ca="1">SUM(S$9:S$11)*OFFSET(HHSurveyG2!$A$289,MATCH(S$49,HHSurveyG2!$A$290:$A$309,0),1)</f>
        <v>112.80420941550868</v>
      </c>
      <c r="T53" s="126">
        <f ca="1">SUM(T$9:T$11)*OFFSET(HHSurveyG2!$A$289,MATCH(T$49,HHSurveyG2!$A$290:$A$309,0),1)</f>
        <v>111.67497091855641</v>
      </c>
      <c r="U53" s="126">
        <f ca="1">SUM(U$9:U$11)*OFFSET(HHSurveyG2!$A$289,MATCH(U$49,HHSurveyG2!$A$290:$A$309,0),1)</f>
        <v>110.84249264234592</v>
      </c>
      <c r="V53" s="126">
        <f ca="1">SUM(V$9:V$11)*OFFSET(HHSurveyG2!$A$289,MATCH(V$49,HHSurveyG2!$A$290:$A$309,0),1)</f>
        <v>110.2668574472293</v>
      </c>
      <c r="W53" s="126">
        <f ca="1">SUM(W$9:W$11)*OFFSET(HHSurveyG2!$A$289,MATCH(W$49,HHSurveyG2!$A$290:$A$309,0),1)</f>
        <v>109.31587817752276</v>
      </c>
      <c r="X53" s="126">
        <f ca="1">SUM(X$9:X$11)*OFFSET(HHSurveyG2!$A$289,MATCH(X$49,HHSurveyG2!$A$290:$A$309,0),1)</f>
        <v>108.57141562896743</v>
      </c>
      <c r="Y53" s="126">
        <f ca="1">SUM(Y$9:Y$11)*OFFSET(HHSurveyG2!$A$289,MATCH(Y$49,HHSurveyG2!$A$290:$A$309,0),1)</f>
        <v>108.00442882431922</v>
      </c>
      <c r="Z53" s="126">
        <f ca="1">SUM(Z$9:Z$11)*OFFSET(HHSurveyG2!$A$289,MATCH(Z$49,HHSurveyG2!$A$290:$A$309,0),1)</f>
        <v>107.58995604463233</v>
      </c>
      <c r="AA53" s="126">
        <f ca="1">SUM(AA$9:AA$11)*OFFSET(HHSurveyG2!$A$289,MATCH(AA$49,HHSurveyG2!$A$290:$A$309,0),1)</f>
        <v>107.30654251980243</v>
      </c>
      <c r="AB53" s="821"/>
      <c r="AC53" s="127">
        <f t="shared" si="126"/>
        <v>1.6717816619223041E-2</v>
      </c>
      <c r="AD53" s="127">
        <f t="shared" si="127"/>
        <v>2.1284435311693214E-2</v>
      </c>
      <c r="AE53" s="127">
        <f t="shared" si="128"/>
        <v>1.6018387366210439E-2</v>
      </c>
      <c r="AF53" s="127">
        <f t="shared" si="129"/>
        <v>1.2329351828756309E-2</v>
      </c>
      <c r="AG53" s="127">
        <f t="shared" si="130"/>
        <v>1.3809291706995708E-2</v>
      </c>
      <c r="AH53" s="127">
        <f t="shared" si="131"/>
        <v>1.9429346315668818E-2</v>
      </c>
      <c r="AI53" s="127">
        <f t="shared" ca="1" si="132"/>
        <v>1.2934116906829406E-2</v>
      </c>
      <c r="AJ53" s="127">
        <f t="shared" ca="1" si="133"/>
        <v>1.2023571153287213E-2</v>
      </c>
      <c r="AK53" s="127">
        <f t="shared" ca="1" si="134"/>
        <v>1.1245351240169123E-2</v>
      </c>
      <c r="AL53" s="127">
        <f t="shared" ca="1" si="135"/>
        <v>1.0580226801537097E-2</v>
      </c>
      <c r="AM53" s="127">
        <f t="shared" ca="1" si="136"/>
        <v>1.0011762140830787E-2</v>
      </c>
      <c r="AN53" s="127">
        <f t="shared" ca="1" si="137"/>
        <v>9.5259100931499464E-3</v>
      </c>
      <c r="AO53" s="127">
        <f t="shared" ca="1" si="138"/>
        <v>9.1106649098481457E-3</v>
      </c>
      <c r="AP53" s="127">
        <f t="shared" ca="1" si="139"/>
        <v>8.7557655879691113E-3</v>
      </c>
      <c r="AQ53" s="127">
        <f t="shared" ca="1" si="140"/>
        <v>8.4524423135878511E-3</v>
      </c>
      <c r="AR53" s="127">
        <f t="shared" ca="1" si="141"/>
        <v>8.1931997534887089E-3</v>
      </c>
      <c r="AS53" s="127">
        <f t="shared" ca="1" si="142"/>
        <v>7.9716318401663669E-3</v>
      </c>
      <c r="AT53" s="127">
        <f t="shared" ca="1" si="143"/>
        <v>7.7822634733548234E-3</v>
      </c>
      <c r="AU53" s="127">
        <f t="shared" ca="1" si="143"/>
        <v>7.6204152264171005E-3</v>
      </c>
      <c r="AV53" s="127">
        <f t="shared" ca="1" si="143"/>
        <v>7.482087714394548E-3</v>
      </c>
      <c r="AW53" s="127">
        <f t="shared" ca="1" si="143"/>
        <v>7.3638627663683565E-3</v>
      </c>
      <c r="AX53" s="127">
        <f t="shared" ca="1" si="143"/>
        <v>7.2628189600319306E-3</v>
      </c>
      <c r="AY53" s="127">
        <f t="shared" ca="1" si="143"/>
        <v>7.1764594312742061E-3</v>
      </c>
      <c r="AZ53" s="127">
        <f t="shared" ca="1" si="143"/>
        <v>7.1026501748965767E-3</v>
      </c>
      <c r="BA53" s="127">
        <f t="shared" ca="1" si="143"/>
        <v>7.0395673118311478E-3</v>
      </c>
      <c r="BB53" s="127">
        <f t="shared" ca="1" si="143"/>
        <v>6.9856520197955334E-3</v>
      </c>
    </row>
    <row r="54" spans="1:54" x14ac:dyDescent="0.25">
      <c r="A54" s="102" t="s">
        <v>811</v>
      </c>
      <c r="B54" s="104">
        <f t="shared" si="122"/>
        <v>260.88428660863048</v>
      </c>
      <c r="C54" s="104">
        <f t="shared" si="122"/>
        <v>224.57542376601722</v>
      </c>
      <c r="D54" s="104">
        <f t="shared" ref="D54:G54" si="148">D10</f>
        <v>215.52259521380904</v>
      </c>
      <c r="E54" s="104">
        <f t="shared" si="148"/>
        <v>183.67890678647785</v>
      </c>
      <c r="F54" s="104">
        <f t="shared" si="148"/>
        <v>285.51469385112068</v>
      </c>
      <c r="G54" s="104">
        <f t="shared" si="148"/>
        <v>399.05955763199086</v>
      </c>
      <c r="H54" s="126">
        <f ca="1">SUM(H$9:H$11)*OFFSET(HHSurveyG2!$A$289,MATCH(H$49,HHSurveyG2!$A$290:$A$309,0),2)</f>
        <v>318.52078254650093</v>
      </c>
      <c r="I54" s="126">
        <f ca="1">SUM(I$9:I$11)*OFFSET(HHSurveyG2!$A$289,MATCH(I$49,HHSurveyG2!$A$290:$A$309,0),2)</f>
        <v>328.4133841514759</v>
      </c>
      <c r="J54" s="126">
        <f ca="1">SUM(J$9:J$11)*OFFSET(HHSurveyG2!$A$289,MATCH(J$49,HHSurveyG2!$A$290:$A$309,0),2)</f>
        <v>340.45747757644972</v>
      </c>
      <c r="K54" s="126">
        <f ca="1">SUM(K$9:K$11)*OFFSET(HHSurveyG2!$A$289,MATCH(K$49,HHSurveyG2!$A$290:$A$309,0),2)</f>
        <v>351.77054762467372</v>
      </c>
      <c r="L54" s="126">
        <f ca="1">SUM(L$9:L$11)*OFFSET(HHSurveyG2!$A$289,MATCH(L$49,HHSurveyG2!$A$290:$A$309,0),2)</f>
        <v>364.24147986897492</v>
      </c>
      <c r="M54" s="126">
        <f ca="1">SUM(M$9:M$11)*OFFSET(HHSurveyG2!$A$289,MATCH(M$49,HHSurveyG2!$A$290:$A$309,0),2)</f>
        <v>370.38747678749326</v>
      </c>
      <c r="N54" s="126">
        <f ca="1">SUM(N$9:N$11)*OFFSET(HHSurveyG2!$A$289,MATCH(N$49,HHSurveyG2!$A$290:$A$309,0),2)</f>
        <v>380.73952192258673</v>
      </c>
      <c r="O54" s="126">
        <f ca="1">SUM(O$9:O$11)*OFFSET(HHSurveyG2!$A$289,MATCH(O$49,HHSurveyG2!$A$290:$A$309,0),2)</f>
        <v>383.01584752512525</v>
      </c>
      <c r="P54" s="126">
        <f ca="1">SUM(P$9:P$11)*OFFSET(HHSurveyG2!$A$289,MATCH(P$49,HHSurveyG2!$A$290:$A$309,0),2)</f>
        <v>388.02999043078148</v>
      </c>
      <c r="Q54" s="126">
        <f ca="1">SUM(Q$9:Q$11)*OFFSET(HHSurveyG2!$A$289,MATCH(Q$49,HHSurveyG2!$A$290:$A$309,0),2)</f>
        <v>392.74486863841116</v>
      </c>
      <c r="R54" s="126">
        <f ca="1">SUM(R$9:R$11)*OFFSET(HHSurveyG2!$A$289,MATCH(R$49,HHSurveyG2!$A$290:$A$309,0),2)</f>
        <v>399.15122213990429</v>
      </c>
      <c r="S54" s="126">
        <f ca="1">SUM(S$9:S$11)*OFFSET(HHSurveyG2!$A$289,MATCH(S$49,HHSurveyG2!$A$290:$A$309,0),2)</f>
        <v>405.3104097840623</v>
      </c>
      <c r="T54" s="126">
        <f ca="1">SUM(T$9:T$11)*OFFSET(HHSurveyG2!$A$289,MATCH(T$49,HHSurveyG2!$A$290:$A$309,0),2)</f>
        <v>411.25560836412751</v>
      </c>
      <c r="U54" s="126">
        <f ca="1">SUM(U$9:U$11)*OFFSET(HHSurveyG2!$A$289,MATCH(U$49,HHSurveyG2!$A$290:$A$309,0),2)</f>
        <v>417.01557182671718</v>
      </c>
      <c r="V54" s="126">
        <f ca="1">SUM(V$9:V$11)*OFFSET(HHSurveyG2!$A$289,MATCH(V$49,HHSurveyG2!$A$290:$A$309,0),2)</f>
        <v>422.61521609901814</v>
      </c>
      <c r="W54" s="126">
        <f ca="1">SUM(W$9:W$11)*OFFSET(HHSurveyG2!$A$289,MATCH(W$49,HHSurveyG2!$A$290:$A$309,0),2)</f>
        <v>425.74865821141793</v>
      </c>
      <c r="X54" s="126">
        <f ca="1">SUM(X$9:X$11)*OFFSET(HHSurveyG2!$A$289,MATCH(X$49,HHSurveyG2!$A$290:$A$309,0),2)</f>
        <v>428.75319440439409</v>
      </c>
      <c r="Y54" s="126">
        <f ca="1">SUM(Y$9:Y$11)*OFFSET(HHSurveyG2!$A$289,MATCH(Y$49,HHSurveyG2!$A$290:$A$309,0),2)</f>
        <v>431.64695180030134</v>
      </c>
      <c r="Z54" s="126">
        <f ca="1">SUM(Z$9:Z$11)*OFFSET(HHSurveyG2!$A$289,MATCH(Z$49,HHSurveyG2!$A$290:$A$309,0),2)</f>
        <v>434.44551128437325</v>
      </c>
      <c r="AA54" s="126">
        <f ca="1">SUM(AA$9:AA$11)*OFFSET(HHSurveyG2!$A$289,MATCH(AA$49,HHSurveyG2!$A$290:$A$309,0),2)</f>
        <v>437.1622647352479</v>
      </c>
      <c r="AB54" s="821"/>
      <c r="AC54" s="127">
        <f t="shared" si="126"/>
        <v>2.0808666163087478E-2</v>
      </c>
      <c r="AD54" s="127">
        <f t="shared" si="127"/>
        <v>2.0761732374239745E-2</v>
      </c>
      <c r="AE54" s="127">
        <f t="shared" si="128"/>
        <v>1.8279708084920805E-2</v>
      </c>
      <c r="AF54" s="127">
        <f t="shared" si="129"/>
        <v>1.3731171287861338E-2</v>
      </c>
      <c r="AG54" s="127">
        <f t="shared" si="130"/>
        <v>2.0543065648928042E-2</v>
      </c>
      <c r="AH54" s="127">
        <f t="shared" si="131"/>
        <v>3.0936586488902691E-2</v>
      </c>
      <c r="AI54" s="127">
        <f t="shared" ca="1" si="132"/>
        <v>2.4746268133458805E-2</v>
      </c>
      <c r="AJ54" s="127">
        <f t="shared" ca="1" si="133"/>
        <v>2.5314622777496503E-2</v>
      </c>
      <c r="AK54" s="127">
        <f t="shared" ca="1" si="134"/>
        <v>2.5800380796775189E-2</v>
      </c>
      <c r="AL54" s="127">
        <f t="shared" ca="1" si="135"/>
        <v>2.6215545616432946E-2</v>
      </c>
      <c r="AM54" s="127">
        <f t="shared" ca="1" si="136"/>
        <v>2.6570376253583106E-2</v>
      </c>
      <c r="AN54" s="127">
        <f t="shared" ca="1" si="137"/>
        <v>2.687364082490246E-2</v>
      </c>
      <c r="AO54" s="127">
        <f t="shared" ca="1" si="138"/>
        <v>2.7132833213012283E-2</v>
      </c>
      <c r="AP54" s="127">
        <f t="shared" ca="1" si="139"/>
        <v>2.7354358245632662E-2</v>
      </c>
      <c r="AQ54" s="127">
        <f t="shared" ca="1" si="140"/>
        <v>2.7543689963416929E-2</v>
      </c>
      <c r="AR54" s="127">
        <f t="shared" ca="1" si="141"/>
        <v>2.7705506887378609E-2</v>
      </c>
      <c r="AS54" s="127">
        <f t="shared" ca="1" si="142"/>
        <v>2.7843807628463408E-2</v>
      </c>
      <c r="AT54" s="127">
        <f t="shared" ca="1" si="143"/>
        <v>2.7962009696061302E-2</v>
      </c>
      <c r="AU54" s="127">
        <f t="shared" ca="1" si="143"/>
        <v>2.8063033947087205E-2</v>
      </c>
      <c r="AV54" s="127">
        <f t="shared" ca="1" si="143"/>
        <v>2.8149376762426639E-2</v>
      </c>
      <c r="AW54" s="127">
        <f t="shared" ca="1" si="143"/>
        <v>2.8223171734277755E-2</v>
      </c>
      <c r="AX54" s="127">
        <f t="shared" ca="1" si="143"/>
        <v>2.8286242388727723E-2</v>
      </c>
      <c r="AY54" s="127">
        <f t="shared" ca="1" si="143"/>
        <v>2.8340147246375371E-2</v>
      </c>
      <c r="AZ54" s="127">
        <f t="shared" ca="1" si="143"/>
        <v>2.83862183344805E-2</v>
      </c>
      <c r="BA54" s="127">
        <f t="shared" ca="1" si="143"/>
        <v>2.842559410230211E-2</v>
      </c>
      <c r="BB54" s="127">
        <f t="shared" ca="1" si="143"/>
        <v>2.8459247552986917E-2</v>
      </c>
    </row>
    <row r="55" spans="1:54" x14ac:dyDescent="0.25">
      <c r="A55" s="103" t="s">
        <v>812</v>
      </c>
      <c r="B55" s="104">
        <f t="shared" si="122"/>
        <v>188.72342268329149</v>
      </c>
      <c r="C55" s="104">
        <f t="shared" si="122"/>
        <v>145.24154995733812</v>
      </c>
      <c r="D55" s="104">
        <f t="shared" ref="D55:G55" si="149">D11</f>
        <v>129.76038245340646</v>
      </c>
      <c r="E55" s="104">
        <f t="shared" si="149"/>
        <v>153.92131221663237</v>
      </c>
      <c r="F55" s="104">
        <f t="shared" si="149"/>
        <v>230.77289554457514</v>
      </c>
      <c r="G55" s="104">
        <f t="shared" si="149"/>
        <v>294.13498265821187</v>
      </c>
      <c r="H55" s="126">
        <f ca="1">SUM(H$9:H$11)*OFFSET(HHSurveyG2!$A$289,MATCH(H$49,HHSurveyG2!$A$290:$A$309,0),3)</f>
        <v>191.77283254959653</v>
      </c>
      <c r="I55" s="126">
        <f ca="1">SUM(I$9:I$11)*OFFSET(HHSurveyG2!$A$289,MATCH(I$49,HHSurveyG2!$A$290:$A$309,0),3)</f>
        <v>197.72890303235619</v>
      </c>
      <c r="J55" s="126">
        <f ca="1">SUM(J$9:J$11)*OFFSET(HHSurveyG2!$A$289,MATCH(J$49,HHSurveyG2!$A$290:$A$309,0),3)</f>
        <v>204.98032911869643</v>
      </c>
      <c r="K55" s="126">
        <f ca="1">SUM(K$9:K$11)*OFFSET(HHSurveyG2!$A$289,MATCH(K$49,HHSurveyG2!$A$290:$A$309,0),3)</f>
        <v>211.79162560815922</v>
      </c>
      <c r="L55" s="126">
        <f ca="1">SUM(L$9:L$11)*OFFSET(HHSurveyG2!$A$289,MATCH(L$49,HHSurveyG2!$A$290:$A$309,0),3)</f>
        <v>219.3000399160218</v>
      </c>
      <c r="M55" s="126">
        <f ca="1">SUM(M$9:M$11)*OFFSET(HHSurveyG2!$A$289,MATCH(M$49,HHSurveyG2!$A$290:$A$309,0),3)</f>
        <v>223.00038005860975</v>
      </c>
      <c r="N55" s="126">
        <f ca="1">SUM(N$9:N$11)*OFFSET(HHSurveyG2!$A$289,MATCH(N$49,HHSurveyG2!$A$290:$A$309,0),3)</f>
        <v>229.23306918604004</v>
      </c>
      <c r="O55" s="126">
        <f ca="1">SUM(O$9:O$11)*OFFSET(HHSurveyG2!$A$289,MATCH(O$49,HHSurveyG2!$A$290:$A$309,0),3)</f>
        <v>230.6035838667901</v>
      </c>
      <c r="P55" s="126">
        <f ca="1">SUM(P$9:P$11)*OFFSET(HHSurveyG2!$A$289,MATCH(P$49,HHSurveyG2!$A$290:$A$309,0),3)</f>
        <v>233.62246502154102</v>
      </c>
      <c r="Q55" s="126">
        <f ca="1">SUM(Q$9:Q$11)*OFFSET(HHSurveyG2!$A$289,MATCH(Q$49,HHSurveyG2!$A$290:$A$309,0),3)</f>
        <v>236.46116691651554</v>
      </c>
      <c r="R55" s="126">
        <f ca="1">SUM(R$9:R$11)*OFFSET(HHSurveyG2!$A$289,MATCH(R$49,HHSurveyG2!$A$290:$A$309,0),3)</f>
        <v>240.3182607848442</v>
      </c>
      <c r="S55" s="126">
        <f ca="1">SUM(S$9:S$11)*OFFSET(HHSurveyG2!$A$289,MATCH(S$49,HHSurveyG2!$A$290:$A$309,0),3)</f>
        <v>244.02654271006585</v>
      </c>
      <c r="T55" s="126">
        <f ca="1">SUM(T$9:T$11)*OFFSET(HHSurveyG2!$A$289,MATCH(T$49,HHSurveyG2!$A$290:$A$309,0),3)</f>
        <v>247.60598755085113</v>
      </c>
      <c r="U55" s="126">
        <f ca="1">SUM(U$9:U$11)*OFFSET(HHSurveyG2!$A$289,MATCH(U$49,HHSurveyG2!$A$290:$A$309,0),3)</f>
        <v>251.07390728837007</v>
      </c>
      <c r="V55" s="126">
        <f ca="1">SUM(V$9:V$11)*OFFSET(HHSurveyG2!$A$289,MATCH(V$49,HHSurveyG2!$A$290:$A$309,0),3)</f>
        <v>254.44530313508389</v>
      </c>
      <c r="W55" s="126">
        <f ca="1">SUM(W$9:W$11)*OFFSET(HHSurveyG2!$A$289,MATCH(W$49,HHSurveyG2!$A$290:$A$309,0),3)</f>
        <v>256.33186471113225</v>
      </c>
      <c r="X55" s="126">
        <f ca="1">SUM(X$9:X$11)*OFFSET(HHSurveyG2!$A$289,MATCH(X$49,HHSurveyG2!$A$290:$A$309,0),3)</f>
        <v>258.14081548545323</v>
      </c>
      <c r="Y55" s="126">
        <f ca="1">SUM(Y$9:Y$11)*OFFSET(HHSurveyG2!$A$289,MATCH(Y$49,HHSurveyG2!$A$290:$A$309,0),3)</f>
        <v>259.88306931293607</v>
      </c>
      <c r="Z55" s="126">
        <f ca="1">SUM(Z$9:Z$11)*OFFSET(HHSurveyG2!$A$289,MATCH(Z$49,HHSurveyG2!$A$290:$A$309,0),3)</f>
        <v>261.56800702729282</v>
      </c>
      <c r="AA55" s="126">
        <f ca="1">SUM(AA$9:AA$11)*OFFSET(HHSurveyG2!$A$289,MATCH(AA$49,HHSurveyG2!$A$290:$A$309,0),3)</f>
        <v>263.20369151999006</v>
      </c>
      <c r="AB55" s="821"/>
      <c r="AC55" s="127">
        <f t="shared" si="126"/>
        <v>1.5052967546731308E-2</v>
      </c>
      <c r="AD55" s="127">
        <f t="shared" si="127"/>
        <v>1.3427409550280127E-2</v>
      </c>
      <c r="AE55" s="127">
        <f t="shared" si="128"/>
        <v>1.1005722670900593E-2</v>
      </c>
      <c r="AF55" s="127">
        <f t="shared" si="129"/>
        <v>1.1506601056570297E-2</v>
      </c>
      <c r="AG55" s="127">
        <f t="shared" si="130"/>
        <v>1.6604338919374368E-2</v>
      </c>
      <c r="AH55" s="127">
        <f t="shared" si="131"/>
        <v>2.2802441781908583E-2</v>
      </c>
      <c r="AI55" s="127">
        <f t="shared" ca="1" si="132"/>
        <v>1.4899065288753621E-2</v>
      </c>
      <c r="AJ55" s="127">
        <f t="shared" ca="1" si="133"/>
        <v>1.5241256398258112E-2</v>
      </c>
      <c r="AK55" s="127">
        <f t="shared" ca="1" si="134"/>
        <v>1.5533718292097506E-2</v>
      </c>
      <c r="AL55" s="127">
        <f t="shared" ca="1" si="135"/>
        <v>1.578367791107178E-2</v>
      </c>
      <c r="AM55" s="127">
        <f t="shared" ca="1" si="136"/>
        <v>1.5997311934627934E-2</v>
      </c>
      <c r="AN55" s="127">
        <f t="shared" ca="1" si="137"/>
        <v>1.6179899410989421E-2</v>
      </c>
      <c r="AO55" s="127">
        <f t="shared" ca="1" si="138"/>
        <v>1.6335952206181392E-2</v>
      </c>
      <c r="AP55" s="127">
        <f t="shared" ca="1" si="139"/>
        <v>1.6469326495440053E-2</v>
      </c>
      <c r="AQ55" s="127">
        <f t="shared" ca="1" si="140"/>
        <v>1.6583318052037048E-2</v>
      </c>
      <c r="AR55" s="127">
        <f t="shared" ca="1" si="141"/>
        <v>1.6680743688174508E-2</v>
      </c>
      <c r="AS55" s="127">
        <f t="shared" ca="1" si="142"/>
        <v>1.6764010860412064E-2</v>
      </c>
      <c r="AT55" s="127">
        <f t="shared" ca="1" si="143"/>
        <v>1.6835177159625701E-2</v>
      </c>
      <c r="AU55" s="127">
        <f t="shared" ca="1" si="143"/>
        <v>1.6896001155537528E-2</v>
      </c>
      <c r="AV55" s="127">
        <f t="shared" ca="1" si="143"/>
        <v>1.6947985852220643E-2</v>
      </c>
      <c r="AW55" s="127">
        <f t="shared" ca="1" si="143"/>
        <v>1.6992415828395724E-2</v>
      </c>
      <c r="AX55" s="127">
        <f t="shared" ca="1" si="143"/>
        <v>1.7030388980282161E-2</v>
      </c>
      <c r="AY55" s="127">
        <f t="shared" ca="1" si="143"/>
        <v>1.7062843651392243E-2</v>
      </c>
      <c r="AZ55" s="127">
        <f t="shared" ca="1" si="143"/>
        <v>1.7090581819664739E-2</v>
      </c>
      <c r="BA55" s="127">
        <f t="shared" ca="1" si="143"/>
        <v>1.711428891490856E-2</v>
      </c>
      <c r="BB55" s="127">
        <f t="shared" ca="1" si="143"/>
        <v>1.7134550756259369E-2</v>
      </c>
    </row>
    <row r="56" spans="1:54" x14ac:dyDescent="0.25">
      <c r="A56" s="102" t="s">
        <v>813</v>
      </c>
      <c r="B56" s="104">
        <f t="shared" si="122"/>
        <v>19.742910159538155</v>
      </c>
      <c r="C56" s="104">
        <f t="shared" si="122"/>
        <v>7.4503073474508801</v>
      </c>
      <c r="D56" s="104">
        <f t="shared" ref="D56:G56" si="150">D12</f>
        <v>8.0885585281794743</v>
      </c>
      <c r="E56" s="104">
        <f t="shared" si="150"/>
        <v>20.574205272895714</v>
      </c>
      <c r="F56" s="104">
        <f t="shared" si="150"/>
        <v>30.399404993350206</v>
      </c>
      <c r="G56" s="104">
        <f t="shared" si="150"/>
        <v>30.557814777075723</v>
      </c>
      <c r="H56" s="126">
        <f ca="1">SUM(H$12:H$13)*OFFSET(HHSurveyG2!$A$289,MATCH(H$49,HHSurveyG2!$A$290:$A$309,0),1)</f>
        <v>15.681686772860443</v>
      </c>
      <c r="I56" s="126">
        <f ca="1">SUM(I$12:I$13)*OFFSET(HHSurveyG2!$A$289,MATCH(I$49,HHSurveyG2!$A$290:$A$309,0),1)</f>
        <v>14.693010835068586</v>
      </c>
      <c r="J56" s="126">
        <f ca="1">SUM(J$12:J$13)*OFFSET(HHSurveyG2!$A$289,MATCH(J$49,HHSurveyG2!$A$290:$A$309,0),1)</f>
        <v>13.97776450607609</v>
      </c>
      <c r="K56" s="126">
        <f ca="1">SUM(K$12:K$13)*OFFSET(HHSurveyG2!$A$289,MATCH(K$49,HHSurveyG2!$A$290:$A$309,0),1)</f>
        <v>13.372834952455108</v>
      </c>
      <c r="L56" s="126">
        <f ca="1">SUM(L$12:L$13)*OFFSET(HHSurveyG2!$A$289,MATCH(L$49,HHSurveyG2!$A$290:$A$309,0),1)</f>
        <v>12.927964586165359</v>
      </c>
      <c r="M56" s="126">
        <f ca="1">SUM(M$12:M$13)*OFFSET(HHSurveyG2!$A$289,MATCH(M$49,HHSurveyG2!$A$290:$A$309,0),1)</f>
        <v>12.3669953466539</v>
      </c>
      <c r="N56" s="126">
        <f ca="1">SUM(N$12:N$13)*OFFSET(HHSurveyG2!$A$289,MATCH(N$49,HHSurveyG2!$A$290:$A$309,0),1)</f>
        <v>12.042338254493535</v>
      </c>
      <c r="O56" s="126">
        <f ca="1">SUM(O$12:O$13)*OFFSET(HHSurveyG2!$A$289,MATCH(O$49,HHSurveyG2!$A$290:$A$309,0),1)</f>
        <v>11.548146172647458</v>
      </c>
      <c r="P56" s="126">
        <f ca="1">SUM(P$12:P$13)*OFFSET(HHSurveyG2!$A$289,MATCH(P$49,HHSurveyG2!$A$290:$A$309,0),1)</f>
        <v>11.216395655061991</v>
      </c>
      <c r="Q56" s="126">
        <f ca="1">SUM(Q$12:Q$13)*OFFSET(HHSurveyG2!$A$289,MATCH(Q$49,HHSurveyG2!$A$290:$A$309,0),1)</f>
        <v>10.940215978006249</v>
      </c>
      <c r="R56" s="126">
        <f ca="1">SUM(R$12:R$13)*OFFSET(HHSurveyG2!$A$289,MATCH(R$49,HHSurveyG2!$A$290:$A$309,0),1)</f>
        <v>10.764255686283576</v>
      </c>
      <c r="S56" s="126">
        <f ca="1">SUM(S$12:S$13)*OFFSET(HHSurveyG2!$A$289,MATCH(S$49,HHSurveyG2!$A$290:$A$309,0),1)</f>
        <v>10.625594530580805</v>
      </c>
      <c r="T56" s="126">
        <f ca="1">SUM(T$12:T$13)*OFFSET(HHSurveyG2!$A$289,MATCH(T$49,HHSurveyG2!$A$290:$A$309,0),1)</f>
        <v>10.519225890092043</v>
      </c>
      <c r="U56" s="126">
        <f ca="1">SUM(U$12:U$13)*OFFSET(HHSurveyG2!$A$289,MATCH(U$49,HHSurveyG2!$A$290:$A$309,0),1)</f>
        <v>10.440810583922506</v>
      </c>
      <c r="V56" s="126">
        <f ca="1">SUM(V$12:V$13)*OFFSET(HHSurveyG2!$A$289,MATCH(V$49,HHSurveyG2!$A$290:$A$309,0),1)</f>
        <v>10.386588616386602</v>
      </c>
      <c r="W56" s="126">
        <f ca="1">SUM(W$12:W$13)*OFFSET(HHSurveyG2!$A$289,MATCH(W$49,HHSurveyG2!$A$290:$A$309,0),1)</f>
        <v>10.297011107007773</v>
      </c>
      <c r="X56" s="126">
        <f ca="1">SUM(X$12:X$13)*OFFSET(HHSurveyG2!$A$289,MATCH(X$49,HHSurveyG2!$A$290:$A$309,0),1)</f>
        <v>10.226886443884478</v>
      </c>
      <c r="Y56" s="126">
        <f ca="1">SUM(Y$12:Y$13)*OFFSET(HHSurveyG2!$A$289,MATCH(Y$49,HHSurveyG2!$A$290:$A$309,0),1)</f>
        <v>10.173479111643974</v>
      </c>
      <c r="Z56" s="126">
        <f ca="1">SUM(Z$12:Z$13)*OFFSET(HHSurveyG2!$A$289,MATCH(Z$49,HHSurveyG2!$A$290:$A$309,0),1)</f>
        <v>10.134437840722128</v>
      </c>
      <c r="AA56" s="126">
        <f ca="1">SUM(AA$12:AA$13)*OFFSET(HHSurveyG2!$A$289,MATCH(AA$49,HHSurveyG2!$A$290:$A$309,0),1)</f>
        <v>10.107741698663874</v>
      </c>
      <c r="AB56" s="821"/>
      <c r="AC56" s="127">
        <f t="shared" si="126"/>
        <v>1.5747350365105006E-3</v>
      </c>
      <c r="AD56" s="127">
        <f t="shared" si="127"/>
        <v>6.8877210453254217E-4</v>
      </c>
      <c r="AE56" s="127">
        <f t="shared" si="128"/>
        <v>6.8603706528420623E-4</v>
      </c>
      <c r="AF56" s="127">
        <f t="shared" si="129"/>
        <v>1.5380532346164243E-3</v>
      </c>
      <c r="AG56" s="127">
        <f t="shared" si="130"/>
        <v>2.1872673663247016E-3</v>
      </c>
      <c r="AH56" s="127">
        <f t="shared" si="131"/>
        <v>2.3689558655669869E-3</v>
      </c>
      <c r="AI56" s="127">
        <f t="shared" ca="1" si="132"/>
        <v>1.2183293741891564E-3</v>
      </c>
      <c r="AJ56" s="127">
        <f t="shared" ca="1" si="133"/>
        <v>1.1325605005911529E-3</v>
      </c>
      <c r="AK56" s="127">
        <f t="shared" ca="1" si="134"/>
        <v>1.0592560619069721E-3</v>
      </c>
      <c r="AL56" s="127">
        <f t="shared" ca="1" si="135"/>
        <v>9.9660465347192078E-4</v>
      </c>
      <c r="AM56" s="127">
        <f t="shared" ca="1" si="136"/>
        <v>9.4305811455349807E-4</v>
      </c>
      <c r="AN56" s="127">
        <f t="shared" ca="1" si="137"/>
        <v>8.9729327220179709E-4</v>
      </c>
      <c r="AO56" s="127">
        <f t="shared" ca="1" si="138"/>
        <v>8.5817924470757987E-4</v>
      </c>
      <c r="AP56" s="127">
        <f t="shared" ca="1" si="139"/>
        <v>8.2474949671320903E-4</v>
      </c>
      <c r="AQ56" s="127">
        <f t="shared" ca="1" si="140"/>
        <v>7.9617795543861312E-4</v>
      </c>
      <c r="AR56" s="127">
        <f t="shared" ca="1" si="141"/>
        <v>7.7175859783701188E-4</v>
      </c>
      <c r="AS56" s="127">
        <f t="shared" ca="1" si="142"/>
        <v>7.5088800426476152E-4</v>
      </c>
      <c r="AT56" s="127">
        <f t="shared" ca="1" si="143"/>
        <v>7.3305044755403556E-4</v>
      </c>
      <c r="AU56" s="127">
        <f t="shared" ca="1" si="143"/>
        <v>7.1780514902877398E-4</v>
      </c>
      <c r="AV56" s="127">
        <f t="shared" ca="1" si="143"/>
        <v>7.0477538655101292E-4</v>
      </c>
      <c r="AW56" s="127">
        <f t="shared" ca="1" si="143"/>
        <v>6.9363918544970368E-4</v>
      </c>
      <c r="AX56" s="127">
        <f t="shared" ca="1" si="143"/>
        <v>6.8412136229824099E-4</v>
      </c>
      <c r="AY56" s="127">
        <f t="shared" ca="1" si="143"/>
        <v>6.7598672493686721E-4</v>
      </c>
      <c r="AZ56" s="127">
        <f t="shared" ca="1" si="143"/>
        <v>6.6903426070759743E-4</v>
      </c>
      <c r="BA56" s="127">
        <f t="shared" ca="1" si="143"/>
        <v>6.6309216928889519E-4</v>
      </c>
      <c r="BB56" s="127">
        <f t="shared" ca="1" si="143"/>
        <v>6.5801361738789183E-4</v>
      </c>
    </row>
    <row r="57" spans="1:54" x14ac:dyDescent="0.25">
      <c r="A57" s="106" t="s">
        <v>814</v>
      </c>
      <c r="B57" s="107">
        <f t="shared" si="122"/>
        <v>42.350806246618717</v>
      </c>
      <c r="C57" s="107">
        <f t="shared" si="122"/>
        <v>11.967412409731811</v>
      </c>
      <c r="D57" s="107">
        <f t="shared" ref="D57:G57" si="151">D13</f>
        <v>14.787813234625753</v>
      </c>
      <c r="E57" s="107">
        <f t="shared" si="151"/>
        <v>42.114712602643337</v>
      </c>
      <c r="F57" s="107">
        <f t="shared" si="151"/>
        <v>81.77530172322858</v>
      </c>
      <c r="G57" s="107">
        <f t="shared" si="151"/>
        <v>84.518915125578644</v>
      </c>
      <c r="H57" s="128">
        <f ca="1">SUM(H$12:H$13)*(1-OFFSET(HHSurveyG2!$A$289,MATCH(H$49,HHSurveyG2!$A$290:$A$309,0),1))</f>
        <v>48.067116233075083</v>
      </c>
      <c r="I57" s="128">
        <f ca="1">SUM(I$12:I$13)*(1-OFFSET(HHSurveyG2!$A$289,MATCH(I$49,HHSurveyG2!$A$290:$A$309,0),1))</f>
        <v>49.559982184842049</v>
      </c>
      <c r="J57" s="128">
        <f ca="1">SUM(J$12:J$13)*(1-OFFSET(HHSurveyG2!$A$289,MATCH(J$49,HHSurveyG2!$A$290:$A$309,0),1))</f>
        <v>51.377523991539441</v>
      </c>
      <c r="K57" s="128">
        <f ca="1">SUM(K$12:K$13)*(1-OFFSET(HHSurveyG2!$A$289,MATCH(K$49,HHSurveyG2!$A$290:$A$309,0),1))</f>
        <v>53.084749022865353</v>
      </c>
      <c r="L57" s="128">
        <f ca="1">SUM(L$12:L$13)*(1-OFFSET(HHSurveyG2!$A$289,MATCH(L$49,HHSurveyG2!$A$290:$A$309,0),1))</f>
        <v>54.966703929949361</v>
      </c>
      <c r="M57" s="128">
        <f ca="1">SUM(M$12:M$13)*(1-OFFSET(HHSurveyG2!$A$289,MATCH(M$49,HHSurveyG2!$A$290:$A$309,0),1))</f>
        <v>55.894179826149049</v>
      </c>
      <c r="N57" s="128">
        <f ca="1">SUM(N$12:N$13)*(1-OFFSET(HHSurveyG2!$A$289,MATCH(N$49,HHSurveyG2!$A$290:$A$309,0),1))</f>
        <v>57.456379167681611</v>
      </c>
      <c r="O57" s="128">
        <f ca="1">SUM(O$12:O$13)*(1-OFFSET(HHSurveyG2!$A$289,MATCH(O$49,HHSurveyG2!$A$290:$A$309,0),1))</f>
        <v>57.799893353621961</v>
      </c>
      <c r="P57" s="128">
        <f ca="1">SUM(P$12:P$13)*(1-OFFSET(HHSurveyG2!$A$289,MATCH(P$49,HHSurveyG2!$A$290:$A$309,0),1))</f>
        <v>58.556564199174211</v>
      </c>
      <c r="Q57" s="128">
        <f ca="1">SUM(Q$12:Q$13)*(1-OFFSET(HHSurveyG2!$A$289,MATCH(Q$49,HHSurveyG2!$A$290:$A$309,0),1))</f>
        <v>59.26807381251583</v>
      </c>
      <c r="R57" s="128">
        <f ca="1">SUM(R$12:R$13)*(1-OFFSET(HHSurveyG2!$A$289,MATCH(R$49,HHSurveyG2!$A$290:$A$309,0),1))</f>
        <v>60.234839421731536</v>
      </c>
      <c r="S57" s="128">
        <f ca="1">SUM(S$12:S$13)*(1-OFFSET(HHSurveyG2!$A$289,MATCH(S$49,HHSurveyG2!$A$290:$A$309,0),1))</f>
        <v>61.164305894927345</v>
      </c>
      <c r="T57" s="128">
        <f ca="1">SUM(T$12:T$13)*(1-OFFSET(HHSurveyG2!$A$289,MATCH(T$49,HHSurveyG2!$A$290:$A$309,0),1))</f>
        <v>62.061479852909166</v>
      </c>
      <c r="U57" s="128">
        <f ca="1">SUM(U$12:U$13)*(1-OFFSET(HHSurveyG2!$A$289,MATCH(U$49,HHSurveyG2!$A$290:$A$309,0),1))</f>
        <v>62.930700476571729</v>
      </c>
      <c r="V57" s="128">
        <f ca="1">SUM(V$12:V$13)*(1-OFFSET(HHSurveyG2!$A$289,MATCH(V$49,HHSurveyG2!$A$290:$A$309,0),1))</f>
        <v>63.775727761600685</v>
      </c>
      <c r="W57" s="128">
        <f ca="1">SUM(W$12:W$13)*(1-OFFSET(HHSurveyG2!$A$289,MATCH(W$49,HHSurveyG2!$A$290:$A$309,0),1))</f>
        <v>64.248587099136529</v>
      </c>
      <c r="X57" s="128">
        <f ca="1">SUM(X$12:X$13)*(1-OFFSET(HHSurveyG2!$A$289,MATCH(X$49,HHSurveyG2!$A$290:$A$309,0),1))</f>
        <v>64.701993590416819</v>
      </c>
      <c r="Y57" s="128">
        <f ca="1">SUM(Y$12:Y$13)*(1-OFFSET(HHSurveyG2!$A$289,MATCH(Y$49,HHSurveyG2!$A$290:$A$309,0),1))</f>
        <v>65.138682750814354</v>
      </c>
      <c r="Z57" s="128">
        <f ca="1">SUM(Z$12:Z$13)*(1-OFFSET(HHSurveyG2!$A$289,MATCH(Z$49,HHSurveyG2!$A$290:$A$309,0),1))</f>
        <v>65.561005849893206</v>
      </c>
      <c r="AA57" s="128">
        <f ca="1">SUM(AA$12:AA$13)*(1-OFFSET(HHSurveyG2!$A$289,MATCH(AA$49,HHSurveyG2!$A$290:$A$309,0),1))</f>
        <v>65.970983820108486</v>
      </c>
      <c r="AB57" s="821"/>
      <c r="AC57" s="129">
        <f t="shared" si="126"/>
        <v>3.3779872309654662E-3</v>
      </c>
      <c r="AD57" s="129">
        <f t="shared" si="127"/>
        <v>1.1063731262147352E-3</v>
      </c>
      <c r="AE57" s="129">
        <f t="shared" si="128"/>
        <v>1.2542393008729297E-3</v>
      </c>
      <c r="AF57" s="129">
        <f t="shared" si="129"/>
        <v>3.1483437189561963E-3</v>
      </c>
      <c r="AG57" s="129">
        <f t="shared" si="130"/>
        <v>5.8838141361549729E-3</v>
      </c>
      <c r="AH57" s="129">
        <f t="shared" si="131"/>
        <v>6.5522217867588755E-3</v>
      </c>
      <c r="AI57" s="129">
        <f t="shared" ca="1" si="132"/>
        <v>3.73439289328681E-3</v>
      </c>
      <c r="AJ57" s="129">
        <f t="shared" ca="1" si="133"/>
        <v>3.8201617668848146E-3</v>
      </c>
      <c r="AK57" s="129">
        <f t="shared" ca="1" si="134"/>
        <v>3.8934662055689945E-3</v>
      </c>
      <c r="AL57" s="129">
        <f t="shared" ca="1" si="135"/>
        <v>3.9561176140040458E-3</v>
      </c>
      <c r="AM57" s="129">
        <f t="shared" ca="1" si="136"/>
        <v>4.0096641529224685E-3</v>
      </c>
      <c r="AN57" s="129">
        <f t="shared" ca="1" si="137"/>
        <v>4.0554289952741693E-3</v>
      </c>
      <c r="AO57" s="129">
        <f t="shared" ca="1" si="138"/>
        <v>4.0945430227683861E-3</v>
      </c>
      <c r="AP57" s="129">
        <f t="shared" ca="1" si="139"/>
        <v>4.127972770762758E-3</v>
      </c>
      <c r="AQ57" s="129">
        <f t="shared" ca="1" si="140"/>
        <v>4.1565443120373542E-3</v>
      </c>
      <c r="AR57" s="129">
        <f t="shared" ca="1" si="141"/>
        <v>4.1809636696389556E-3</v>
      </c>
      <c r="AS57" s="129">
        <f t="shared" ca="1" si="142"/>
        <v>4.2018342632112052E-3</v>
      </c>
      <c r="AT57" s="129">
        <f t="shared" ca="1" si="143"/>
        <v>4.2196718199219311E-3</v>
      </c>
      <c r="AU57" s="129">
        <f t="shared" ca="1" si="143"/>
        <v>4.2349171184471943E-3</v>
      </c>
      <c r="AV57" s="129">
        <f t="shared" ca="1" si="143"/>
        <v>4.2479468809249535E-3</v>
      </c>
      <c r="AW57" s="129">
        <f t="shared" ca="1" si="143"/>
        <v>4.2590830820262637E-3</v>
      </c>
      <c r="AX57" s="129">
        <f t="shared" ca="1" si="143"/>
        <v>4.2686009051777262E-3</v>
      </c>
      <c r="AY57" s="129">
        <f t="shared" ca="1" si="143"/>
        <v>4.276735542539099E-3</v>
      </c>
      <c r="AZ57" s="129">
        <f t="shared" ca="1" si="143"/>
        <v>4.2836880067683688E-3</v>
      </c>
      <c r="BA57" s="129">
        <f t="shared" ca="1" si="143"/>
        <v>4.2896300981870713E-3</v>
      </c>
      <c r="BB57" s="129">
        <f t="shared" ca="1" si="143"/>
        <v>4.2947086500880749E-3</v>
      </c>
    </row>
    <row r="58" spans="1:54" x14ac:dyDescent="0.25">
      <c r="A58" s="98" t="s">
        <v>815</v>
      </c>
      <c r="B58" s="99">
        <f t="shared" si="122"/>
        <v>10610.666507854005</v>
      </c>
      <c r="C58" s="99">
        <f t="shared" si="122"/>
        <v>9196.6591569398279</v>
      </c>
      <c r="D58" s="99">
        <f t="shared" ref="D58:G58" si="152">D14</f>
        <v>10304.876937771009</v>
      </c>
      <c r="E58" s="99">
        <f t="shared" si="152"/>
        <v>11681.134967920983</v>
      </c>
      <c r="F58" s="99">
        <f t="shared" si="152"/>
        <v>11533.69926022718</v>
      </c>
      <c r="G58" s="99">
        <f t="shared" si="152"/>
        <v>10396.431142820365</v>
      </c>
      <c r="H58" s="479">
        <f ca="1">SUM(H59:H63)</f>
        <v>10893.490164872672</v>
      </c>
      <c r="I58" s="479">
        <f t="shared" ref="I58:R58" ca="1" si="153">SUM(I59:I63)</f>
        <v>10979.646903501212</v>
      </c>
      <c r="J58" s="479">
        <f t="shared" ca="1" si="153"/>
        <v>11168.008792336112</v>
      </c>
      <c r="K58" s="479">
        <f t="shared" ca="1" si="153"/>
        <v>11356.370681171016</v>
      </c>
      <c r="L58" s="479">
        <f t="shared" ca="1" si="153"/>
        <v>11601.941822479745</v>
      </c>
      <c r="M58" s="479">
        <f t="shared" ca="1" si="153"/>
        <v>11664.5710244684</v>
      </c>
      <c r="N58" s="479">
        <f t="shared" ca="1" si="153"/>
        <v>11876.044082572647</v>
      </c>
      <c r="O58" s="479">
        <f t="shared" ca="1" si="153"/>
        <v>11850.296019868472</v>
      </c>
      <c r="P58" s="479">
        <f t="shared" ca="1" si="153"/>
        <v>11922.907036786384</v>
      </c>
      <c r="Q58" s="479">
        <f t="shared" ca="1" si="153"/>
        <v>11997.296863038704</v>
      </c>
      <c r="R58" s="479">
        <f t="shared" ca="1" si="153"/>
        <v>12132.430850537063</v>
      </c>
      <c r="S58" s="479">
        <f t="shared" ref="S58:AA58" ca="1" si="154">SUM(S59:S63)</f>
        <v>12267.564838035423</v>
      </c>
      <c r="T58" s="479">
        <f t="shared" ca="1" si="154"/>
        <v>12402.69882553378</v>
      </c>
      <c r="U58" s="479">
        <f t="shared" ca="1" si="154"/>
        <v>12537.832813032141</v>
      </c>
      <c r="V58" s="479">
        <f t="shared" ca="1" si="154"/>
        <v>12672.966800530501</v>
      </c>
      <c r="W58" s="479">
        <f t="shared" ca="1" si="154"/>
        <v>12738.462568741461</v>
      </c>
      <c r="X58" s="479">
        <f t="shared" ca="1" si="154"/>
        <v>12803.958336952417</v>
      </c>
      <c r="Y58" s="479">
        <f t="shared" ca="1" si="154"/>
        <v>12869.454105163381</v>
      </c>
      <c r="Z58" s="479">
        <f t="shared" ca="1" si="154"/>
        <v>12934.949873374337</v>
      </c>
      <c r="AA58" s="479">
        <f t="shared" ca="1" si="154"/>
        <v>13000.445641585296</v>
      </c>
      <c r="AB58" s="821"/>
      <c r="AC58" s="101">
        <f t="shared" si="126"/>
        <v>0.846328538985617</v>
      </c>
      <c r="AD58" s="101">
        <f t="shared" si="127"/>
        <v>0.85022026431718067</v>
      </c>
      <c r="AE58" s="101">
        <f t="shared" si="128"/>
        <v>0.87401574803149606</v>
      </c>
      <c r="AF58" s="101">
        <f t="shared" si="129"/>
        <v>0.87323943661971837</v>
      </c>
      <c r="AG58" s="101">
        <f t="shared" si="130"/>
        <v>0.82986111111111116</v>
      </c>
      <c r="AH58" s="101">
        <f t="shared" si="131"/>
        <v>0.80597014925373134</v>
      </c>
      <c r="AI58" s="101">
        <f t="shared" ca="1" si="132"/>
        <v>0.84632853898561688</v>
      </c>
      <c r="AJ58" s="101">
        <f t="shared" ca="1" si="133"/>
        <v>0.84632853898561688</v>
      </c>
      <c r="AK58" s="101">
        <f t="shared" ca="1" si="134"/>
        <v>0.84632853898561677</v>
      </c>
      <c r="AL58" s="101">
        <f t="shared" ca="1" si="135"/>
        <v>0.84632853898561688</v>
      </c>
      <c r="AM58" s="101">
        <f t="shared" ca="1" si="136"/>
        <v>0.84632853898561677</v>
      </c>
      <c r="AN58" s="101">
        <f t="shared" ca="1" si="137"/>
        <v>0.846328538985617</v>
      </c>
      <c r="AO58" s="101">
        <f t="shared" ca="1" si="138"/>
        <v>0.846328538985617</v>
      </c>
      <c r="AP58" s="101">
        <f t="shared" ca="1" si="139"/>
        <v>0.84632853898561688</v>
      </c>
      <c r="AQ58" s="101">
        <f t="shared" ca="1" si="140"/>
        <v>0.846328538985617</v>
      </c>
      <c r="AR58" s="101">
        <f t="shared" ca="1" si="141"/>
        <v>0.846328538985617</v>
      </c>
      <c r="AS58" s="101">
        <f t="shared" ca="1" si="142"/>
        <v>0.846328538985617</v>
      </c>
      <c r="AT58" s="101">
        <f t="shared" ca="1" si="143"/>
        <v>0.84632853898561711</v>
      </c>
      <c r="AU58" s="101">
        <f t="shared" ca="1" si="143"/>
        <v>0.84632853898561688</v>
      </c>
      <c r="AV58" s="101">
        <f t="shared" ca="1" si="143"/>
        <v>0.84632853898561688</v>
      </c>
      <c r="AW58" s="101">
        <f t="shared" ca="1" si="143"/>
        <v>0.846328538985617</v>
      </c>
      <c r="AX58" s="101">
        <f t="shared" ca="1" si="143"/>
        <v>0.846328538985617</v>
      </c>
      <c r="AY58" s="101">
        <f t="shared" ca="1" si="143"/>
        <v>0.84632853898561688</v>
      </c>
      <c r="AZ58" s="101">
        <f t="shared" ca="1" si="143"/>
        <v>0.846328538985617</v>
      </c>
      <c r="BA58" s="101">
        <f t="shared" ca="1" si="143"/>
        <v>0.84632853898561688</v>
      </c>
      <c r="BB58" s="101">
        <f t="shared" ca="1" si="143"/>
        <v>0.84632853898561677</v>
      </c>
    </row>
    <row r="59" spans="1:54" x14ac:dyDescent="0.25">
      <c r="A59" s="102" t="s">
        <v>816</v>
      </c>
      <c r="B59" s="104">
        <f t="shared" si="122"/>
        <v>3083.2692192954237</v>
      </c>
      <c r="C59" s="104">
        <f t="shared" si="122"/>
        <v>3418.0210152672248</v>
      </c>
      <c r="D59" s="104">
        <f t="shared" ref="D59:G59" si="155">D15</f>
        <v>3493.9289733156238</v>
      </c>
      <c r="E59" s="104">
        <f t="shared" si="155"/>
        <v>3408.4928057622315</v>
      </c>
      <c r="F59" s="104">
        <f t="shared" si="155"/>
        <v>2698.2587442957924</v>
      </c>
      <c r="G59" s="104">
        <f t="shared" si="155"/>
        <v>2460.6768536541304</v>
      </c>
      <c r="H59" s="126">
        <f ca="1">SUM(H$15:H$17)*OFFSET(HHSurveyG2!$A$289,MATCH(H$49,HHSurveyG2!$A$290:$A$309,0),1)</f>
        <v>2449.024067003294</v>
      </c>
      <c r="I59" s="126">
        <f ca="1">SUM(I$15:I$17)*OFFSET(HHSurveyG2!$A$289,MATCH(I$49,HHSurveyG2!$A$290:$A$309,0),1)</f>
        <v>2294.6215973461567</v>
      </c>
      <c r="J59" s="126">
        <f ca="1">SUM(J$15:J$17)*OFFSET(HHSurveyG2!$A$289,MATCH(J$49,HHSurveyG2!$A$290:$A$309,0),1)</f>
        <v>2182.9208920004867</v>
      </c>
      <c r="K59" s="126">
        <f ca="1">SUM(K$15:K$17)*OFFSET(HHSurveyG2!$A$289,MATCH(K$49,HHSurveyG2!$A$290:$A$309,0),1)</f>
        <v>2088.4484632931817</v>
      </c>
      <c r="L59" s="126">
        <f ca="1">SUM(L$15:L$17)*OFFSET(HHSurveyG2!$A$289,MATCH(L$49,HHSurveyG2!$A$290:$A$309,0),1)</f>
        <v>2018.9726314186601</v>
      </c>
      <c r="M59" s="126">
        <f ca="1">SUM(M$15:M$17)*OFFSET(HHSurveyG2!$A$289,MATCH(M$49,HHSurveyG2!$A$290:$A$309,0),1)</f>
        <v>1931.3655271376513</v>
      </c>
      <c r="N59" s="126">
        <f ca="1">SUM(N$15:N$17)*OFFSET(HHSurveyG2!$A$289,MATCH(N$49,HHSurveyG2!$A$290:$A$309,0),1)</f>
        <v>1880.6635176063764</v>
      </c>
      <c r="O59" s="126">
        <f ca="1">SUM(O$15:O$17)*OFFSET(HHSurveyG2!$A$289,MATCH(O$49,HHSurveyG2!$A$290:$A$309,0),1)</f>
        <v>1803.4850660983348</v>
      </c>
      <c r="P59" s="126">
        <f ca="1">SUM(P$15:P$17)*OFFSET(HHSurveyG2!$A$289,MATCH(P$49,HHSurveyG2!$A$290:$A$309,0),1)</f>
        <v>1751.6752695135883</v>
      </c>
      <c r="Q59" s="126">
        <f ca="1">SUM(Q$15:Q$17)*OFFSET(HHSurveyG2!$A$289,MATCH(Q$49,HHSurveyG2!$A$290:$A$309,0),1)</f>
        <v>1708.5440244043393</v>
      </c>
      <c r="R59" s="126">
        <f ca="1">SUM(R$15:R$17)*OFFSET(HHSurveyG2!$A$289,MATCH(R$49,HHSurveyG2!$A$290:$A$309,0),1)</f>
        <v>1681.0641368445692</v>
      </c>
      <c r="S59" s="126">
        <f ca="1">SUM(S$15:S$17)*OFFSET(HHSurveyG2!$A$289,MATCH(S$49,HHSurveyG2!$A$290:$A$309,0),1)</f>
        <v>1659.4092911386672</v>
      </c>
      <c r="T59" s="126">
        <f ca="1">SUM(T$15:T$17)*OFFSET(HHSurveyG2!$A$289,MATCH(T$49,HHSurveyG2!$A$290:$A$309,0),1)</f>
        <v>1642.7975985124478</v>
      </c>
      <c r="U59" s="126">
        <f ca="1">SUM(U$15:U$17)*OFFSET(HHSurveyG2!$A$289,MATCH(U$49,HHSurveyG2!$A$290:$A$309,0),1)</f>
        <v>1630.5514049229305</v>
      </c>
      <c r="V59" s="126">
        <f ca="1">SUM(V$15:V$17)*OFFSET(HHSurveyG2!$A$289,MATCH(V$49,HHSurveyG2!$A$290:$A$309,0),1)</f>
        <v>1622.0835082368728</v>
      </c>
      <c r="W59" s="126">
        <f ca="1">SUM(W$15:W$17)*OFFSET(HHSurveyG2!$A$289,MATCH(W$49,HHSurveyG2!$A$290:$A$309,0),1)</f>
        <v>1608.0941026640851</v>
      </c>
      <c r="X59" s="126">
        <f ca="1">SUM(X$15:X$17)*OFFSET(HHSurveyG2!$A$289,MATCH(X$49,HHSurveyG2!$A$290:$A$309,0),1)</f>
        <v>1597.142666752442</v>
      </c>
      <c r="Y59" s="126">
        <f ca="1">SUM(Y$15:Y$17)*OFFSET(HHSurveyG2!$A$289,MATCH(Y$49,HHSurveyG2!$A$290:$A$309,0),1)</f>
        <v>1588.8019924419593</v>
      </c>
      <c r="Z59" s="126">
        <f ca="1">SUM(Z$15:Z$17)*OFFSET(HHSurveyG2!$A$289,MATCH(Z$49,HHSurveyG2!$A$290:$A$309,0),1)</f>
        <v>1582.7048797091966</v>
      </c>
      <c r="AA59" s="126">
        <f ca="1">SUM(AA$15:AA$17)*OFFSET(HHSurveyG2!$A$289,MATCH(AA$49,HHSurveyG2!$A$290:$A$309,0),1)</f>
        <v>1578.5357175939355</v>
      </c>
      <c r="AB59" s="821"/>
      <c r="AC59" s="127">
        <f t="shared" si="126"/>
        <v>0.24592788131962318</v>
      </c>
      <c r="AD59" s="127">
        <f t="shared" si="127"/>
        <v>0.31599200116590687</v>
      </c>
      <c r="AE59" s="127">
        <f t="shared" si="128"/>
        <v>0.29634016627489312</v>
      </c>
      <c r="AF59" s="127">
        <f t="shared" si="129"/>
        <v>0.2548066044609637</v>
      </c>
      <c r="AG59" s="127">
        <f t="shared" si="130"/>
        <v>0.19414239517482204</v>
      </c>
      <c r="AH59" s="127">
        <f t="shared" si="131"/>
        <v>0.19076085473565751</v>
      </c>
      <c r="AI59" s="127">
        <f t="shared" ca="1" si="132"/>
        <v>0.19026766712941148</v>
      </c>
      <c r="AJ59" s="127">
        <f t="shared" ca="1" si="133"/>
        <v>0.17687305986019872</v>
      </c>
      <c r="AK59" s="127">
        <f t="shared" ca="1" si="134"/>
        <v>0.16542503534880365</v>
      </c>
      <c r="AL59" s="127">
        <f t="shared" ca="1" si="135"/>
        <v>0.15564070479103254</v>
      </c>
      <c r="AM59" s="127">
        <f t="shared" ca="1" si="136"/>
        <v>0.14727829044011603</v>
      </c>
      <c r="AN59" s="127">
        <f t="shared" ca="1" si="137"/>
        <v>0.14013115110712682</v>
      </c>
      <c r="AO59" s="127">
        <f t="shared" ca="1" si="138"/>
        <v>0.13402267591066086</v>
      </c>
      <c r="AP59" s="127">
        <f t="shared" ca="1" si="139"/>
        <v>0.12880192009670349</v>
      </c>
      <c r="AQ59" s="127">
        <f t="shared" ca="1" si="140"/>
        <v>0.12433987508672655</v>
      </c>
      <c r="AR59" s="127">
        <f t="shared" ca="1" si="141"/>
        <v>0.12052628058421547</v>
      </c>
      <c r="AS59" s="127">
        <f t="shared" ca="1" si="142"/>
        <v>0.1172668999645526</v>
      </c>
      <c r="AT59" s="127">
        <f t="shared" ca="1" si="143"/>
        <v>0.11448119162119332</v>
      </c>
      <c r="AU59" s="127">
        <f t="shared" ca="1" si="143"/>
        <v>0.11210031872545152</v>
      </c>
      <c r="AV59" s="127">
        <f t="shared" ca="1" si="143"/>
        <v>0.11006544821964609</v>
      </c>
      <c r="AW59" s="127">
        <f t="shared" ca="1" si="143"/>
        <v>0.10832629701052396</v>
      </c>
      <c r="AX59" s="127">
        <f t="shared" ca="1" si="143"/>
        <v>0.10683988943836446</v>
      </c>
      <c r="AY59" s="127">
        <f t="shared" ca="1" si="143"/>
        <v>0.10556949531795477</v>
      </c>
      <c r="AZ59" s="127">
        <f t="shared" ca="1" si="143"/>
        <v>0.10448372230966281</v>
      </c>
      <c r="BA59" s="127">
        <f t="shared" ca="1" si="143"/>
        <v>0.10355574019246346</v>
      </c>
      <c r="BB59" s="127">
        <f t="shared" ca="1" si="143"/>
        <v>0.10276261787015006</v>
      </c>
    </row>
    <row r="60" spans="1:54" x14ac:dyDescent="0.25">
      <c r="A60" s="102" t="s">
        <v>817</v>
      </c>
      <c r="B60" s="104">
        <f t="shared" si="122"/>
        <v>3837.7451635322213</v>
      </c>
      <c r="C60" s="104">
        <f t="shared" si="122"/>
        <v>3334.0812912954862</v>
      </c>
      <c r="D60" s="104">
        <f t="shared" ref="D60:G60" si="156">D16</f>
        <v>3987.1680114554683</v>
      </c>
      <c r="E60" s="104">
        <f t="shared" si="156"/>
        <v>3796.030740253876</v>
      </c>
      <c r="F60" s="104">
        <f t="shared" si="156"/>
        <v>4014.0006959069315</v>
      </c>
      <c r="G60" s="104">
        <f t="shared" si="156"/>
        <v>3918.0392931140923</v>
      </c>
      <c r="H60" s="126">
        <f ca="1">SUM(H$15:H$17)*OFFSET(HHSurveyG2!$A$289,MATCH(H$49,HHSurveyG2!$A$290:$A$309,0),2)</f>
        <v>4685.6083537761579</v>
      </c>
      <c r="I60" s="126">
        <f ca="1">SUM(I$15:I$17)*OFFSET(HHSurveyG2!$A$289,MATCH(I$49,HHSurveyG2!$A$290:$A$309,0),2)</f>
        <v>4831.1337300177629</v>
      </c>
      <c r="J60" s="126">
        <f ca="1">SUM(J$15:J$17)*OFFSET(HHSurveyG2!$A$289,MATCH(J$49,HHSurveyG2!$A$290:$A$309,0),2)</f>
        <v>5008.3086832956678</v>
      </c>
      <c r="K60" s="126">
        <f ca="1">SUM(K$15:K$17)*OFFSET(HHSurveyG2!$A$289,MATCH(K$49,HHSurveyG2!$A$290:$A$309,0),2)</f>
        <v>5174.7298979524367</v>
      </c>
      <c r="L60" s="126">
        <f ca="1">SUM(L$15:L$17)*OFFSET(HHSurveyG2!$A$289,MATCH(L$49,HHSurveyG2!$A$290:$A$309,0),2)</f>
        <v>5358.1838749146564</v>
      </c>
      <c r="M60" s="126">
        <f ca="1">SUM(M$15:M$17)*OFFSET(HHSurveyG2!$A$289,MATCH(M$49,HHSurveyG2!$A$290:$A$309,0),2)</f>
        <v>5448.5947243212822</v>
      </c>
      <c r="N60" s="126">
        <f ca="1">SUM(N$15:N$17)*OFFSET(HHSurveyG2!$A$289,MATCH(N$49,HHSurveyG2!$A$290:$A$309,0),2)</f>
        <v>5600.878756703316</v>
      </c>
      <c r="O60" s="126">
        <f ca="1">SUM(O$15:O$17)*OFFSET(HHSurveyG2!$A$289,MATCH(O$49,HHSurveyG2!$A$290:$A$309,0),2)</f>
        <v>5634.3647043827623</v>
      </c>
      <c r="P60" s="126">
        <f ca="1">SUM(P$15:P$17)*OFFSET(HHSurveyG2!$A$289,MATCH(P$49,HHSurveyG2!$A$290:$A$309,0),2)</f>
        <v>5708.1253855475488</v>
      </c>
      <c r="Q60" s="126">
        <f ca="1">SUM(Q$15:Q$17)*OFFSET(HHSurveyG2!$A$289,MATCH(Q$49,HHSurveyG2!$A$290:$A$309,0),2)</f>
        <v>5777.4837254966269</v>
      </c>
      <c r="R60" s="126">
        <f ca="1">SUM(R$15:R$17)*OFFSET(HHSurveyG2!$A$289,MATCH(R$49,HHSurveyG2!$A$290:$A$309,0),2)</f>
        <v>5871.7245572685915</v>
      </c>
      <c r="S60" s="126">
        <f ca="1">SUM(S$15:S$17)*OFFSET(HHSurveyG2!$A$289,MATCH(S$49,HHSurveyG2!$A$290:$A$309,0),2)</f>
        <v>5962.3294491918641</v>
      </c>
      <c r="T60" s="126">
        <f ca="1">SUM(T$15:T$17)*OFFSET(HHSurveyG2!$A$289,MATCH(T$49,HHSurveyG2!$A$290:$A$309,0),2)</f>
        <v>6049.7864493565057</v>
      </c>
      <c r="U60" s="126">
        <f ca="1">SUM(U$15:U$17)*OFFSET(HHSurveyG2!$A$289,MATCH(U$49,HHSurveyG2!$A$290:$A$309,0),2)</f>
        <v>6134.5185434509176</v>
      </c>
      <c r="V60" s="126">
        <f ca="1">SUM(V$15:V$17)*OFFSET(HHSurveyG2!$A$289,MATCH(V$49,HHSurveyG2!$A$290:$A$309,0),2)</f>
        <v>6216.892257877661</v>
      </c>
      <c r="W60" s="126">
        <f ca="1">SUM(W$15:W$17)*OFFSET(HHSurveyG2!$A$289,MATCH(W$49,HHSurveyG2!$A$290:$A$309,0),2)</f>
        <v>6262.9868405311227</v>
      </c>
      <c r="X60" s="126">
        <f ca="1">SUM(X$15:X$17)*OFFSET(HHSurveyG2!$A$289,MATCH(X$49,HHSurveyG2!$A$290:$A$309,0),2)</f>
        <v>6307.1851492646392</v>
      </c>
      <c r="Y60" s="126">
        <f ca="1">SUM(Y$15:Y$17)*OFFSET(HHSurveyG2!$A$289,MATCH(Y$49,HHSurveyG2!$A$290:$A$309,0),2)</f>
        <v>6349.7538435886445</v>
      </c>
      <c r="Z60" s="126">
        <f ca="1">SUM(Z$15:Z$17)*OFFSET(HHSurveyG2!$A$289,MATCH(Z$49,HHSurveyG2!$A$290:$A$309,0),2)</f>
        <v>6390.9221265253855</v>
      </c>
      <c r="AA60" s="126">
        <f ca="1">SUM(AA$15:AA$17)*OFFSET(HHSurveyG2!$A$289,MATCH(AA$49,HHSurveyG2!$A$290:$A$309,0),2)</f>
        <v>6430.8869996579879</v>
      </c>
      <c r="AB60" s="821"/>
      <c r="AC60" s="127">
        <f t="shared" si="126"/>
        <v>0.30610643118857628</v>
      </c>
      <c r="AD60" s="127">
        <f t="shared" si="127"/>
        <v>0.3082318729406362</v>
      </c>
      <c r="AE60" s="127">
        <f t="shared" si="128"/>
        <v>0.33817459957103496</v>
      </c>
      <c r="AF60" s="127">
        <f t="shared" si="129"/>
        <v>0.28377753994913435</v>
      </c>
      <c r="AG60" s="127">
        <f t="shared" si="130"/>
        <v>0.28881133471140008</v>
      </c>
      <c r="AH60" s="127">
        <f t="shared" si="131"/>
        <v>0.30374103098195371</v>
      </c>
      <c r="AI60" s="127">
        <f t="shared" ca="1" si="132"/>
        <v>0.36403062859482821</v>
      </c>
      <c r="AJ60" s="127">
        <f t="shared" ca="1" si="133"/>
        <v>0.37239142454264584</v>
      </c>
      <c r="AK60" s="127">
        <f t="shared" ca="1" si="134"/>
        <v>0.37953718066835079</v>
      </c>
      <c r="AL60" s="127">
        <f t="shared" ca="1" si="135"/>
        <v>0.38564447367331617</v>
      </c>
      <c r="AM60" s="127">
        <f t="shared" ca="1" si="136"/>
        <v>0.3908642190987619</v>
      </c>
      <c r="AN60" s="127">
        <f t="shared" ca="1" si="137"/>
        <v>0.39532540055580195</v>
      </c>
      <c r="AO60" s="127">
        <f t="shared" ca="1" si="138"/>
        <v>0.39913825700194389</v>
      </c>
      <c r="AP60" s="127">
        <f t="shared" ca="1" si="139"/>
        <v>0.402397006823912</v>
      </c>
      <c r="AQ60" s="127">
        <f t="shared" ca="1" si="140"/>
        <v>0.40518217604079115</v>
      </c>
      <c r="AR60" s="127">
        <f t="shared" ca="1" si="141"/>
        <v>0.40756258815906948</v>
      </c>
      <c r="AS60" s="127">
        <f t="shared" ca="1" si="142"/>
        <v>0.40959706485029063</v>
      </c>
      <c r="AT60" s="127">
        <f t="shared" ca="1" si="143"/>
        <v>0.41133587947627021</v>
      </c>
      <c r="AU60" s="127">
        <f t="shared" ca="1" si="143"/>
        <v>0.41282199937951958</v>
      </c>
      <c r="AV60" s="127">
        <f t="shared" ca="1" si="143"/>
        <v>0.41409214763674967</v>
      </c>
      <c r="AW60" s="127">
        <f t="shared" ca="1" si="143"/>
        <v>0.41517771051213853</v>
      </c>
      <c r="AX60" s="127">
        <f t="shared" ca="1" si="143"/>
        <v>0.41610551303417892</v>
      </c>
      <c r="AY60" s="127">
        <f t="shared" ca="1" si="143"/>
        <v>0.41689848186115347</v>
      </c>
      <c r="AZ60" s="127">
        <f t="shared" ca="1" si="143"/>
        <v>0.41757621181512111</v>
      </c>
      <c r="BA60" s="127">
        <f t="shared" ca="1" si="143"/>
        <v>0.41815545008386523</v>
      </c>
      <c r="BB60" s="127">
        <f t="shared" ca="1" si="143"/>
        <v>0.41865051005578119</v>
      </c>
    </row>
    <row r="61" spans="1:54" x14ac:dyDescent="0.25">
      <c r="A61" s="103" t="s">
        <v>818</v>
      </c>
      <c r="B61" s="104">
        <f t="shared" si="122"/>
        <v>2776.2208757884196</v>
      </c>
      <c r="C61" s="104">
        <f t="shared" si="122"/>
        <v>2156.2783955204809</v>
      </c>
      <c r="D61" s="104">
        <f t="shared" ref="D61:G61" si="157">D17</f>
        <v>2400.5670753880204</v>
      </c>
      <c r="E61" s="104">
        <f t="shared" si="157"/>
        <v>3181.0404524770693</v>
      </c>
      <c r="F61" s="104">
        <f t="shared" si="157"/>
        <v>3244.3954138325562</v>
      </c>
      <c r="G61" s="104">
        <f t="shared" si="157"/>
        <v>2887.8707388260805</v>
      </c>
      <c r="H61" s="126">
        <f ca="1">SUM(H$15:H$17)*OFFSET(HHSurveyG2!$A$289,MATCH(H$49,HHSurveyG2!$A$290:$A$309,0),3)</f>
        <v>2821.0792998743273</v>
      </c>
      <c r="I61" s="126">
        <f ca="1">SUM(I$15:I$17)*OFFSET(HHSurveyG2!$A$289,MATCH(I$49,HHSurveyG2!$A$290:$A$309,0),3)</f>
        <v>2908.6962314496604</v>
      </c>
      <c r="J61" s="126">
        <f ca="1">SUM(J$15:J$17)*OFFSET(HHSurveyG2!$A$289,MATCH(J$49,HHSurveyG2!$A$290:$A$309,0),3)</f>
        <v>3015.3685257197708</v>
      </c>
      <c r="K61" s="126">
        <f ca="1">SUM(K$15:K$17)*OFFSET(HHSurveyG2!$A$289,MATCH(K$49,HHSurveyG2!$A$290:$A$309,0),3)</f>
        <v>3115.5662819726576</v>
      </c>
      <c r="L61" s="126">
        <f ca="1">SUM(L$15:L$17)*OFFSET(HHSurveyG2!$A$289,MATCH(L$49,HHSurveyG2!$A$290:$A$309,0),3)</f>
        <v>3226.0190082383201</v>
      </c>
      <c r="M61" s="126">
        <f ca="1">SUM(M$15:M$17)*OFFSET(HHSurveyG2!$A$289,MATCH(M$49,HHSurveyG2!$A$290:$A$309,0),3)</f>
        <v>3280.4529592832328</v>
      </c>
      <c r="N61" s="126">
        <f ca="1">SUM(N$15:N$17)*OFFSET(HHSurveyG2!$A$289,MATCH(N$49,HHSurveyG2!$A$290:$A$309,0),3)</f>
        <v>3372.1390967104312</v>
      </c>
      <c r="O61" s="126">
        <f ca="1">SUM(O$15:O$17)*OFFSET(HHSurveyG2!$A$289,MATCH(O$49,HHSurveyG2!$A$290:$A$309,0),3)</f>
        <v>3392.3000889877803</v>
      </c>
      <c r="P61" s="126">
        <f ca="1">SUM(P$15:P$17)*OFFSET(HHSurveyG2!$A$289,MATCH(P$49,HHSurveyG2!$A$290:$A$309,0),3)</f>
        <v>3436.7094196589846</v>
      </c>
      <c r="Q61" s="126">
        <f ca="1">SUM(Q$15:Q$17)*OFFSET(HHSurveyG2!$A$289,MATCH(Q$49,HHSurveyG2!$A$290:$A$309,0),3)</f>
        <v>3478.4682185876886</v>
      </c>
      <c r="R61" s="126">
        <f ca="1">SUM(R$15:R$17)*OFFSET(HHSurveyG2!$A$289,MATCH(R$49,HHSurveyG2!$A$290:$A$309,0),3)</f>
        <v>3535.2080994402077</v>
      </c>
      <c r="S61" s="126">
        <f ca="1">SUM(S$15:S$17)*OFFSET(HHSurveyG2!$A$289,MATCH(S$49,HHSurveyG2!$A$290:$A$309,0),3)</f>
        <v>3589.7588782875482</v>
      </c>
      <c r="T61" s="126">
        <f ca="1">SUM(T$15:T$17)*OFFSET(HHSurveyG2!$A$289,MATCH(T$49,HHSurveyG2!$A$290:$A$309,0),3)</f>
        <v>3642.4143958138357</v>
      </c>
      <c r="U61" s="126">
        <f ca="1">SUM(U$15:U$17)*OFFSET(HHSurveyG2!$A$289,MATCH(U$49,HHSurveyG2!$A$290:$A$309,0),3)</f>
        <v>3693.4293203736538</v>
      </c>
      <c r="V61" s="126">
        <f ca="1">SUM(V$15:V$17)*OFFSET(HHSurveyG2!$A$289,MATCH(V$49,HHSurveyG2!$A$290:$A$309,0),3)</f>
        <v>3743.0243276976807</v>
      </c>
      <c r="W61" s="126">
        <f ca="1">SUM(W$15:W$17)*OFFSET(HHSurveyG2!$A$289,MATCH(W$49,HHSurveyG2!$A$290:$A$309,0),3)</f>
        <v>3770.7766414084986</v>
      </c>
      <c r="X61" s="126">
        <f ca="1">SUM(X$15:X$17)*OFFSET(HHSurveyG2!$A$289,MATCH(X$49,HHSurveyG2!$A$290:$A$309,0),3)</f>
        <v>3797.3872593781143</v>
      </c>
      <c r="Y61" s="126">
        <f ca="1">SUM(Y$15:Y$17)*OFFSET(HHSurveyG2!$A$289,MATCH(Y$49,HHSurveyG2!$A$290:$A$309,0),3)</f>
        <v>3823.0167301560864</v>
      </c>
      <c r="Z61" s="126">
        <f ca="1">SUM(Z$15:Z$17)*OFFSET(HHSurveyG2!$A$289,MATCH(Z$49,HHSurveyG2!$A$290:$A$309,0),3)</f>
        <v>3847.8030507435965</v>
      </c>
      <c r="AA61" s="126">
        <f ca="1">SUM(AA$15:AA$17)*OFFSET(HHSurveyG2!$A$289,MATCH(AA$49,HHSurveyG2!$A$290:$A$309,0),3)</f>
        <v>3871.864830517748</v>
      </c>
      <c r="AB61" s="821"/>
      <c r="AC61" s="127">
        <f t="shared" si="126"/>
        <v>0.22143707522691583</v>
      </c>
      <c r="AD61" s="127">
        <f t="shared" si="127"/>
        <v>0.19934538793877413</v>
      </c>
      <c r="AE61" s="127">
        <f t="shared" si="128"/>
        <v>0.20360586941166103</v>
      </c>
      <c r="AF61" s="127">
        <f t="shared" si="129"/>
        <v>0.2378030885024528</v>
      </c>
      <c r="AG61" s="127">
        <f t="shared" si="130"/>
        <v>0.23343747069002788</v>
      </c>
      <c r="AH61" s="127">
        <f t="shared" si="131"/>
        <v>0.22387851931328429</v>
      </c>
      <c r="AI61" s="127">
        <f t="shared" ca="1" si="132"/>
        <v>0.21917309201087559</v>
      </c>
      <c r="AJ61" s="127">
        <f t="shared" ca="1" si="133"/>
        <v>0.22420690333227064</v>
      </c>
      <c r="AK61" s="127">
        <f t="shared" ca="1" si="134"/>
        <v>0.22850917171796065</v>
      </c>
      <c r="AL61" s="127">
        <f t="shared" ca="1" si="135"/>
        <v>0.23218620927076641</v>
      </c>
      <c r="AM61" s="127">
        <f t="shared" ca="1" si="136"/>
        <v>0.23532887819623718</v>
      </c>
      <c r="AN61" s="127">
        <f t="shared" ca="1" si="137"/>
        <v>0.23801483607218646</v>
      </c>
      <c r="AO61" s="127">
        <f t="shared" ca="1" si="138"/>
        <v>0.24031045482251051</v>
      </c>
      <c r="AP61" s="127">
        <f t="shared" ca="1" si="139"/>
        <v>0.24227246081449971</v>
      </c>
      <c r="AQ61" s="127">
        <f t="shared" ca="1" si="140"/>
        <v>0.24394933660759763</v>
      </c>
      <c r="AR61" s="127">
        <f t="shared" ca="1" si="141"/>
        <v>0.24538251899183025</v>
      </c>
      <c r="AS61" s="127">
        <f t="shared" ca="1" si="142"/>
        <v>0.24660742292027216</v>
      </c>
      <c r="AT61" s="127">
        <f t="shared" ca="1" si="143"/>
        <v>0.24765431663765181</v>
      </c>
      <c r="AU61" s="127">
        <f t="shared" ca="1" si="143"/>
        <v>0.24854906963014411</v>
      </c>
      <c r="AV61" s="127">
        <f t="shared" ca="1" si="143"/>
        <v>0.24931379187871944</v>
      </c>
      <c r="AW61" s="127">
        <f t="shared" ca="1" si="143"/>
        <v>0.24996738021245282</v>
      </c>
      <c r="AX61" s="127">
        <f t="shared" ca="1" si="143"/>
        <v>0.25052598526257186</v>
      </c>
      <c r="AY61" s="127">
        <f t="shared" ca="1" si="143"/>
        <v>0.25100341055600695</v>
      </c>
      <c r="AZ61" s="127">
        <f t="shared" ca="1" si="143"/>
        <v>0.25141145361033135</v>
      </c>
      <c r="BA61" s="127">
        <f t="shared" ca="1" si="143"/>
        <v>0.25176019745878642</v>
      </c>
      <c r="BB61" s="127">
        <f t="shared" ca="1" si="143"/>
        <v>0.25205825980918384</v>
      </c>
    </row>
    <row r="62" spans="1:54" x14ac:dyDescent="0.25">
      <c r="A62" s="102" t="s">
        <v>819</v>
      </c>
      <c r="B62" s="104">
        <f t="shared" si="122"/>
        <v>290.42859945215338</v>
      </c>
      <c r="C62" s="104">
        <f t="shared" si="122"/>
        <v>110.60840908138617</v>
      </c>
      <c r="D62" s="104">
        <f t="shared" ref="D62:G62" si="158">D18</f>
        <v>149.63833277132031</v>
      </c>
      <c r="E62" s="104">
        <f t="shared" si="158"/>
        <v>425.20024230651143</v>
      </c>
      <c r="F62" s="104">
        <f t="shared" si="158"/>
        <v>427.37987020062945</v>
      </c>
      <c r="G62" s="104">
        <f t="shared" si="158"/>
        <v>300.0221814476526</v>
      </c>
      <c r="H62" s="126">
        <f ca="1">SUM(H$18:H$19)*OFFSET(HHSurveyG2!$A$289,MATCH(H$49,HHSurveyG2!$A$290:$A$309,0),1)</f>
        <v>230.68586594813124</v>
      </c>
      <c r="I62" s="126">
        <f ca="1">SUM(I$18:I$19)*OFFSET(HHSurveyG2!$A$289,MATCH(I$49,HHSurveyG2!$A$290:$A$309,0),1)</f>
        <v>216.14192254745626</v>
      </c>
      <c r="J62" s="126">
        <f ca="1">SUM(J$18:J$19)*OFFSET(HHSurveyG2!$A$289,MATCH(J$49,HHSurveyG2!$A$290:$A$309,0),1)</f>
        <v>205.62027260254035</v>
      </c>
      <c r="K62" s="126">
        <f ca="1">SUM(K$18:K$19)*OFFSET(HHSurveyG2!$A$289,MATCH(K$49,HHSurveyG2!$A$290:$A$309,0),1)</f>
        <v>196.7214404848001</v>
      </c>
      <c r="L62" s="126">
        <f ca="1">SUM(L$18:L$19)*OFFSET(HHSurveyG2!$A$289,MATCH(L$49,HHSurveyG2!$A$290:$A$309,0),1)</f>
        <v>190.17716325437985</v>
      </c>
      <c r="M62" s="126">
        <f ca="1">SUM(M$18:M$19)*OFFSET(HHSurveyG2!$A$289,MATCH(M$49,HHSurveyG2!$A$290:$A$309,0),1)</f>
        <v>181.92501049419812</v>
      </c>
      <c r="N62" s="126">
        <f ca="1">SUM(N$18:N$19)*OFFSET(HHSurveyG2!$A$289,MATCH(N$49,HHSurveyG2!$A$290:$A$309,0),1)</f>
        <v>177.14913379636539</v>
      </c>
      <c r="O62" s="126">
        <f ca="1">SUM(O$18:O$19)*OFFSET(HHSurveyG2!$A$289,MATCH(O$49,HHSurveyG2!$A$290:$A$309,0),1)</f>
        <v>169.87930817131388</v>
      </c>
      <c r="P62" s="126">
        <f ca="1">SUM(P$18:P$19)*OFFSET(HHSurveyG2!$A$289,MATCH(P$49,HHSurveyG2!$A$290:$A$309,0),1)</f>
        <v>164.99908345209607</v>
      </c>
      <c r="Q62" s="126">
        <f ca="1">SUM(Q$18:Q$19)*OFFSET(HHSurveyG2!$A$289,MATCH(Q$49,HHSurveyG2!$A$290:$A$309,0),1)</f>
        <v>160.93633504488136</v>
      </c>
      <c r="R62" s="126">
        <f ca="1">SUM(R$18:R$19)*OFFSET(HHSurveyG2!$A$289,MATCH(R$49,HHSurveyG2!$A$290:$A$309,0),1)</f>
        <v>158.34786654296099</v>
      </c>
      <c r="S62" s="126">
        <f ca="1">SUM(S$18:S$19)*OFFSET(HHSurveyG2!$A$289,MATCH(S$49,HHSurveyG2!$A$290:$A$309,0),1)</f>
        <v>156.30808796301761</v>
      </c>
      <c r="T62" s="126">
        <f ca="1">SUM(T$18:T$19)*OFFSET(HHSurveyG2!$A$289,MATCH(T$49,HHSurveyG2!$A$290:$A$309,0),1)</f>
        <v>154.74334927793291</v>
      </c>
      <c r="U62" s="126">
        <f ca="1">SUM(U$18:U$19)*OFFSET(HHSurveyG2!$A$289,MATCH(U$49,HHSurveyG2!$A$290:$A$309,0),1)</f>
        <v>153.58981885296527</v>
      </c>
      <c r="V62" s="126">
        <f ca="1">SUM(V$18:V$19)*OFFSET(HHSurveyG2!$A$289,MATCH(V$49,HHSurveyG2!$A$290:$A$309,0),1)</f>
        <v>152.79218517263445</v>
      </c>
      <c r="W62" s="126">
        <f ca="1">SUM(W$18:W$19)*OFFSET(HHSurveyG2!$A$289,MATCH(W$49,HHSurveyG2!$A$290:$A$309,0),1)</f>
        <v>151.47445286361432</v>
      </c>
      <c r="X62" s="126">
        <f ca="1">SUM(X$18:X$19)*OFFSET(HHSurveyG2!$A$289,MATCH(X$49,HHSurveyG2!$A$290:$A$309,0),1)</f>
        <v>150.44288216135323</v>
      </c>
      <c r="Y62" s="126">
        <f ca="1">SUM(Y$18:Y$19)*OFFSET(HHSurveyG2!$A$289,MATCH(Y$49,HHSurveyG2!$A$290:$A$309,0),1)</f>
        <v>149.65723219497318</v>
      </c>
      <c r="Z62" s="126">
        <f ca="1">SUM(Z$18:Z$19)*OFFSET(HHSurveyG2!$A$289,MATCH(Z$49,HHSurveyG2!$A$290:$A$309,0),1)</f>
        <v>149.08291455167551</v>
      </c>
      <c r="AA62" s="126">
        <f ca="1">SUM(AA$18:AA$19)*OFFSET(HHSurveyG2!$A$289,MATCH(AA$49,HHSurveyG2!$A$290:$A$309,0),1)</f>
        <v>148.69020025139753</v>
      </c>
      <c r="AB62" s="821"/>
      <c r="AC62" s="127">
        <f t="shared" si="126"/>
        <v>2.3165181194983418E-2</v>
      </c>
      <c r="AD62" s="127">
        <f t="shared" si="127"/>
        <v>1.0225616628829282E-2</v>
      </c>
      <c r="AE62" s="127">
        <f t="shared" si="128"/>
        <v>1.2691685707757817E-2</v>
      </c>
      <c r="AF62" s="127">
        <f t="shared" si="129"/>
        <v>3.1786433515406103E-2</v>
      </c>
      <c r="AG62" s="127">
        <f t="shared" si="130"/>
        <v>3.0750405914800223E-2</v>
      </c>
      <c r="AH62" s="127">
        <f t="shared" si="131"/>
        <v>2.3258839407384966E-2</v>
      </c>
      <c r="AI62" s="127">
        <f t="shared" ca="1" si="132"/>
        <v>1.7922266320308904E-2</v>
      </c>
      <c r="AJ62" s="127">
        <f t="shared" ca="1" si="133"/>
        <v>1.6660561048169851E-2</v>
      </c>
      <c r="AK62" s="127">
        <f t="shared" ca="1" si="134"/>
        <v>1.5582214173842035E-2</v>
      </c>
      <c r="AL62" s="127">
        <f t="shared" ca="1" si="135"/>
        <v>1.4660578981336938E-2</v>
      </c>
      <c r="AM62" s="127">
        <f t="shared" ca="1" si="136"/>
        <v>1.3872881211458033E-2</v>
      </c>
      <c r="AN62" s="127">
        <f t="shared" ca="1" si="137"/>
        <v>1.3199656293705382E-2</v>
      </c>
      <c r="AO62" s="127">
        <f t="shared" ca="1" si="138"/>
        <v>1.2624268362935186E-2</v>
      </c>
      <c r="AP62" s="127">
        <f t="shared" ca="1" si="139"/>
        <v>1.2132499175333784E-2</v>
      </c>
      <c r="AQ62" s="127">
        <f t="shared" ca="1" si="140"/>
        <v>1.1712196765531174E-2</v>
      </c>
      <c r="AR62" s="127">
        <f t="shared" ca="1" si="141"/>
        <v>1.1352975162918146E-2</v>
      </c>
      <c r="AS62" s="127">
        <f t="shared" ca="1" si="142"/>
        <v>1.1045957746947411E-2</v>
      </c>
      <c r="AT62" s="127">
        <f t="shared" ca="1" si="143"/>
        <v>1.0783557899544889E-2</v>
      </c>
      <c r="AU62" s="127">
        <f t="shared" ca="1" si="143"/>
        <v>1.0559291534396961E-2</v>
      </c>
      <c r="AV62" s="127">
        <f t="shared" ca="1" si="143"/>
        <v>1.0367616870579372E-2</v>
      </c>
      <c r="AW62" s="127">
        <f t="shared" ca="1" si="143"/>
        <v>1.0203797491220638E-2</v>
      </c>
      <c r="AX62" s="127">
        <f t="shared" ca="1" si="143"/>
        <v>1.0063785303282018E-2</v>
      </c>
      <c r="AY62" s="127">
        <f t="shared" ca="1" si="143"/>
        <v>9.9441205063081246E-3</v>
      </c>
      <c r="AZ62" s="127">
        <f t="shared" ca="1" si="143"/>
        <v>9.8418460983038664E-3</v>
      </c>
      <c r="BA62" s="127">
        <f t="shared" ca="1" si="143"/>
        <v>9.7544348061182218E-3</v>
      </c>
      <c r="BB62" s="127">
        <f t="shared" ca="1" si="143"/>
        <v>9.6797266347324086E-3</v>
      </c>
    </row>
    <row r="63" spans="1:54" x14ac:dyDescent="0.25">
      <c r="A63" s="106" t="s">
        <v>820</v>
      </c>
      <c r="B63" s="107">
        <f t="shared" si="122"/>
        <v>623.00264978578571</v>
      </c>
      <c r="C63" s="107">
        <f t="shared" si="122"/>
        <v>177.67004577524921</v>
      </c>
      <c r="D63" s="107">
        <f t="shared" ref="D63:G63" si="159">D19</f>
        <v>273.57454484057649</v>
      </c>
      <c r="E63" s="107">
        <f t="shared" si="159"/>
        <v>870.37072712129566</v>
      </c>
      <c r="F63" s="107">
        <f t="shared" si="159"/>
        <v>1149.6645359912727</v>
      </c>
      <c r="G63" s="107">
        <f t="shared" si="159"/>
        <v>829.82207577840848</v>
      </c>
      <c r="H63" s="128">
        <f ca="1">SUM(H$18:H$19)*(1-OFFSET(HHSurveyG2!$A$289,MATCH(H$49,HHSurveyG2!$A$290:$A$309,0),1))</f>
        <v>707.09257827076237</v>
      </c>
      <c r="I63" s="128">
        <f ca="1">SUM(I$18:I$19)*(1-OFFSET(HHSurveyG2!$A$289,MATCH(I$49,HHSurveyG2!$A$290:$A$309,0),1))</f>
        <v>729.05342214017628</v>
      </c>
      <c r="J63" s="128">
        <f ca="1">SUM(J$18:J$19)*(1-OFFSET(HHSurveyG2!$A$289,MATCH(J$49,HHSurveyG2!$A$290:$A$309,0),1))</f>
        <v>755.79041871764593</v>
      </c>
      <c r="K63" s="128">
        <f ca="1">SUM(K$18:K$19)*(1-OFFSET(HHSurveyG2!$A$289,MATCH(K$49,HHSurveyG2!$A$290:$A$309,0),1))</f>
        <v>780.90459746794011</v>
      </c>
      <c r="L63" s="128">
        <f ca="1">SUM(L$18:L$19)*(1-OFFSET(HHSurveyG2!$A$289,MATCH(L$49,HHSurveyG2!$A$290:$A$309,0),1))</f>
        <v>808.58914465372857</v>
      </c>
      <c r="M63" s="128">
        <f ca="1">SUM(M$18:M$19)*(1-OFFSET(HHSurveyG2!$A$289,MATCH(M$49,HHSurveyG2!$A$290:$A$309,0),1))</f>
        <v>822.23280323203448</v>
      </c>
      <c r="N63" s="128">
        <f ca="1">SUM(N$18:N$19)*(1-OFFSET(HHSurveyG2!$A$289,MATCH(N$49,HHSurveyG2!$A$290:$A$309,0),1))</f>
        <v>845.21357775615832</v>
      </c>
      <c r="O63" s="128">
        <f ca="1">SUM(O$18:O$19)*(1-OFFSET(HHSurveyG2!$A$289,MATCH(O$49,HHSurveyG2!$A$290:$A$309,0),1))</f>
        <v>850.26685222828075</v>
      </c>
      <c r="P63" s="128">
        <f ca="1">SUM(P$18:P$19)*(1-OFFSET(HHSurveyG2!$A$289,MATCH(P$49,HHSurveyG2!$A$290:$A$309,0),1))</f>
        <v>861.39787861416767</v>
      </c>
      <c r="Q63" s="128">
        <f ca="1">SUM(Q$18:Q$19)*(1-OFFSET(HHSurveyG2!$A$289,MATCH(Q$49,HHSurveyG2!$A$290:$A$309,0),1))</f>
        <v>871.86455950516699</v>
      </c>
      <c r="R63" s="128">
        <f ca="1">SUM(R$18:R$19)*(1-OFFSET(HHSurveyG2!$A$289,MATCH(R$49,HHSurveyG2!$A$290:$A$309,0),1))</f>
        <v>886.08619044073464</v>
      </c>
      <c r="S63" s="128">
        <f ca="1">SUM(S$18:S$19)*(1-OFFSET(HHSurveyG2!$A$289,MATCH(S$49,HHSurveyG2!$A$290:$A$309,0),1))</f>
        <v>899.75913145432594</v>
      </c>
      <c r="T63" s="128">
        <f ca="1">SUM(T$18:T$19)*(1-OFFSET(HHSurveyG2!$A$289,MATCH(T$49,HHSurveyG2!$A$290:$A$309,0),1))</f>
        <v>912.9570325730582</v>
      </c>
      <c r="U63" s="128">
        <f ca="1">SUM(U$18:U$19)*(1-OFFSET(HHSurveyG2!$A$289,MATCH(U$49,HHSurveyG2!$A$290:$A$309,0),1))</f>
        <v>925.7437254316734</v>
      </c>
      <c r="V63" s="128">
        <f ca="1">SUM(V$18:V$19)*(1-OFFSET(HHSurveyG2!$A$289,MATCH(V$49,HHSurveyG2!$A$290:$A$309,0),1))</f>
        <v>938.17452154565194</v>
      </c>
      <c r="W63" s="128">
        <f ca="1">SUM(W$18:W$19)*(1-OFFSET(HHSurveyG2!$A$289,MATCH(W$49,HHSurveyG2!$A$290:$A$309,0),1))</f>
        <v>945.1305312741398</v>
      </c>
      <c r="X63" s="128">
        <f ca="1">SUM(X$18:X$19)*(1-OFFSET(HHSurveyG2!$A$289,MATCH(X$49,HHSurveyG2!$A$290:$A$309,0),1))</f>
        <v>951.80037939586828</v>
      </c>
      <c r="Y63" s="128">
        <f ca="1">SUM(Y$18:Y$19)*(1-OFFSET(HHSurveyG2!$A$289,MATCH(Y$49,HHSurveyG2!$A$290:$A$309,0),1))</f>
        <v>958.22430678171622</v>
      </c>
      <c r="Z63" s="128">
        <f ca="1">SUM(Z$18:Z$19)*(1-OFFSET(HHSurveyG2!$A$289,MATCH(Z$49,HHSurveyG2!$A$290:$A$309,0),1))</f>
        <v>964.43690184448144</v>
      </c>
      <c r="AA63" s="128">
        <f ca="1">SUM(AA$18:AA$19)*(1-OFFSET(HHSurveyG2!$A$289,MATCH(AA$49,HHSurveyG2!$A$290:$A$309,0),1))</f>
        <v>970.46789356422732</v>
      </c>
      <c r="AB63" s="821"/>
      <c r="AC63" s="129">
        <f t="shared" si="126"/>
        <v>4.9691970055518293E-2</v>
      </c>
      <c r="AD63" s="129">
        <f t="shared" si="127"/>
        <v>1.6425385643034147E-2</v>
      </c>
      <c r="AE63" s="129">
        <f t="shared" si="128"/>
        <v>2.3203427066149203E-2</v>
      </c>
      <c r="AF63" s="129">
        <f t="shared" si="129"/>
        <v>6.5065770191761393E-2</v>
      </c>
      <c r="AG63" s="129">
        <f t="shared" si="130"/>
        <v>8.2719504620061113E-2</v>
      </c>
      <c r="AH63" s="129">
        <f t="shared" si="131"/>
        <v>6.4330904815450771E-2</v>
      </c>
      <c r="AI63" s="129">
        <f t="shared" ca="1" si="132"/>
        <v>5.4934884930192808E-2</v>
      </c>
      <c r="AJ63" s="129">
        <f t="shared" ca="1" si="133"/>
        <v>5.6196590202331864E-2</v>
      </c>
      <c r="AK63" s="129">
        <f t="shared" ca="1" si="134"/>
        <v>5.7274937076659677E-2</v>
      </c>
      <c r="AL63" s="129">
        <f t="shared" ca="1" si="135"/>
        <v>5.8196572269164769E-2</v>
      </c>
      <c r="AM63" s="129">
        <f t="shared" ca="1" si="136"/>
        <v>5.8984270039043669E-2</v>
      </c>
      <c r="AN63" s="129">
        <f t="shared" ca="1" si="137"/>
        <v>5.9657494956796321E-2</v>
      </c>
      <c r="AO63" s="129">
        <f t="shared" ca="1" si="138"/>
        <v>6.0232882887566522E-2</v>
      </c>
      <c r="AP63" s="129">
        <f t="shared" ca="1" si="139"/>
        <v>6.0724652075167931E-2</v>
      </c>
      <c r="AQ63" s="129">
        <f t="shared" ca="1" si="140"/>
        <v>6.114495448497053E-2</v>
      </c>
      <c r="AR63" s="129">
        <f t="shared" ca="1" si="141"/>
        <v>6.1504176087583573E-2</v>
      </c>
      <c r="AS63" s="129">
        <f t="shared" ca="1" si="142"/>
        <v>6.1811193503554289E-2</v>
      </c>
      <c r="AT63" s="129">
        <f t="shared" ca="1" si="143"/>
        <v>6.2073593350956829E-2</v>
      </c>
      <c r="AU63" s="129">
        <f t="shared" ca="1" si="143"/>
        <v>6.2297859716104756E-2</v>
      </c>
      <c r="AV63" s="129">
        <f t="shared" ca="1" si="143"/>
        <v>6.2489534379922329E-2</v>
      </c>
      <c r="AW63" s="129">
        <f t="shared" ca="1" si="143"/>
        <v>6.2653353759281077E-2</v>
      </c>
      <c r="AX63" s="129">
        <f t="shared" ca="1" si="143"/>
        <v>6.2793365947219695E-2</v>
      </c>
      <c r="AY63" s="129">
        <f t="shared" ca="1" si="143"/>
        <v>6.2913030744193577E-2</v>
      </c>
      <c r="AZ63" s="129">
        <f t="shared" ca="1" si="143"/>
        <v>6.3015305152197831E-2</v>
      </c>
      <c r="BA63" s="129">
        <f t="shared" ca="1" si="143"/>
        <v>6.3102716444383478E-2</v>
      </c>
      <c r="BB63" s="129">
        <f t="shared" ca="1" si="143"/>
        <v>6.3177424615769293E-2</v>
      </c>
    </row>
    <row r="64" spans="1:54" x14ac:dyDescent="0.25">
      <c r="A64" s="109" t="s">
        <v>821</v>
      </c>
      <c r="B64" s="107">
        <f t="shared" si="122"/>
        <v>11331.964052216174</v>
      </c>
      <c r="C64" s="107">
        <f t="shared" si="122"/>
        <v>9816.1232452311124</v>
      </c>
      <c r="D64" s="107">
        <f t="shared" ref="D64:G64" si="160">D20</f>
        <v>10861.897312785657</v>
      </c>
      <c r="E64" s="107">
        <f t="shared" si="160"/>
        <v>12246.351176046192</v>
      </c>
      <c r="F64" s="107">
        <f t="shared" si="160"/>
        <v>12354.087910536226</v>
      </c>
      <c r="G64" s="107">
        <f t="shared" si="160"/>
        <v>11455.326907366883</v>
      </c>
      <c r="H64" s="480">
        <f ca="1">SUM(H52,H58)</f>
        <v>11634.013646563481</v>
      </c>
      <c r="I64" s="480">
        <f t="shared" ref="I64:R64" ca="1" si="161">SUM(I52,I58)</f>
        <v>11726.027193900221</v>
      </c>
      <c r="J64" s="480">
        <f t="shared" ca="1" si="161"/>
        <v>11927.193647629085</v>
      </c>
      <c r="K64" s="480">
        <f t="shared" ca="1" si="161"/>
        <v>12128.360101357956</v>
      </c>
      <c r="L64" s="480">
        <f t="shared" ca="1" si="161"/>
        <v>12390.62480862327</v>
      </c>
      <c r="M64" s="480">
        <f t="shared" ca="1" si="161"/>
        <v>12457.511451892013</v>
      </c>
      <c r="N64" s="480">
        <f t="shared" ca="1" si="161"/>
        <v>12683.36013827526</v>
      </c>
      <c r="O64" s="480">
        <f t="shared" ca="1" si="161"/>
        <v>12655.861760038422</v>
      </c>
      <c r="P64" s="480">
        <f t="shared" ca="1" si="161"/>
        <v>12733.408767372937</v>
      </c>
      <c r="Q64" s="480">
        <f t="shared" ca="1" si="161"/>
        <v>12812.855504891068</v>
      </c>
      <c r="R64" s="480">
        <f t="shared" ca="1" si="161"/>
        <v>12957.175702630817</v>
      </c>
      <c r="S64" s="480">
        <f t="shared" ref="S64:AA64" ca="1" si="162">SUM(S52,S58)</f>
        <v>13101.495900370568</v>
      </c>
      <c r="T64" s="480">
        <f t="shared" ca="1" si="162"/>
        <v>13245.816098110316</v>
      </c>
      <c r="U64" s="480">
        <f t="shared" ca="1" si="162"/>
        <v>13390.136295850069</v>
      </c>
      <c r="V64" s="480">
        <f t="shared" ca="1" si="162"/>
        <v>13534.45649358982</v>
      </c>
      <c r="W64" s="480">
        <f t="shared" ca="1" si="162"/>
        <v>13604.404568047677</v>
      </c>
      <c r="X64" s="480">
        <f t="shared" ca="1" si="162"/>
        <v>13674.352642505533</v>
      </c>
      <c r="Y64" s="480">
        <f t="shared" ca="1" si="162"/>
        <v>13744.300716963395</v>
      </c>
      <c r="Z64" s="480">
        <f t="shared" ca="1" si="162"/>
        <v>13814.248791421251</v>
      </c>
      <c r="AA64" s="480">
        <f t="shared" ca="1" si="162"/>
        <v>13884.196865879108</v>
      </c>
      <c r="AB64" s="821"/>
      <c r="AC64" s="108">
        <f t="shared" si="126"/>
        <v>0.90386071158213488</v>
      </c>
      <c r="AD64" s="108">
        <f t="shared" si="127"/>
        <v>0.90748898678414114</v>
      </c>
      <c r="AE64" s="108">
        <f t="shared" si="128"/>
        <v>0.92125984251968507</v>
      </c>
      <c r="AF64" s="108">
        <f t="shared" si="129"/>
        <v>0.91549295774647887</v>
      </c>
      <c r="AG64" s="108">
        <f t="shared" si="130"/>
        <v>0.88888888888888884</v>
      </c>
      <c r="AH64" s="108">
        <f t="shared" si="131"/>
        <v>0.88805970149253721</v>
      </c>
      <c r="AI64" s="108">
        <f t="shared" ca="1" si="132"/>
        <v>0.90386071158213477</v>
      </c>
      <c r="AJ64" s="108">
        <f t="shared" ca="1" si="133"/>
        <v>0.90386071158213466</v>
      </c>
      <c r="AK64" s="108">
        <f t="shared" ca="1" si="134"/>
        <v>0.90386071158213455</v>
      </c>
      <c r="AL64" s="108">
        <f t="shared" ca="1" si="135"/>
        <v>0.90386071158213466</v>
      </c>
      <c r="AM64" s="108">
        <f t="shared" ca="1" si="136"/>
        <v>0.90386071158213466</v>
      </c>
      <c r="AN64" s="108">
        <f t="shared" ca="1" si="137"/>
        <v>0.90386071158213488</v>
      </c>
      <c r="AO64" s="108">
        <f t="shared" ca="1" si="138"/>
        <v>0.90386071158213477</v>
      </c>
      <c r="AP64" s="108">
        <f t="shared" ca="1" si="139"/>
        <v>0.90386071158213477</v>
      </c>
      <c r="AQ64" s="108">
        <f t="shared" ca="1" si="140"/>
        <v>0.90386071158213477</v>
      </c>
      <c r="AR64" s="108">
        <f t="shared" ca="1" si="141"/>
        <v>0.90386071158213488</v>
      </c>
      <c r="AS64" s="108">
        <f t="shared" ca="1" si="142"/>
        <v>0.90386071158213477</v>
      </c>
      <c r="AT64" s="108">
        <f t="shared" ca="1" si="143"/>
        <v>0.90386071158213488</v>
      </c>
      <c r="AU64" s="108">
        <f t="shared" ca="1" si="143"/>
        <v>0.90386071158213466</v>
      </c>
      <c r="AV64" s="108">
        <f t="shared" ca="1" si="143"/>
        <v>0.90386071158213477</v>
      </c>
      <c r="AW64" s="108">
        <f t="shared" ca="1" si="143"/>
        <v>0.90386071158213477</v>
      </c>
      <c r="AX64" s="108">
        <f t="shared" ca="1" si="143"/>
        <v>0.90386071158213477</v>
      </c>
      <c r="AY64" s="108">
        <f t="shared" ca="1" si="143"/>
        <v>0.90386071158213466</v>
      </c>
      <c r="AZ64" s="108">
        <f t="shared" ca="1" si="143"/>
        <v>0.90386071158213477</v>
      </c>
      <c r="BA64" s="108">
        <f t="shared" ca="1" si="143"/>
        <v>0.90386071158213477</v>
      </c>
      <c r="BB64" s="108">
        <f t="shared" ca="1" si="143"/>
        <v>0.90386071158213455</v>
      </c>
    </row>
    <row r="65" spans="1:54" x14ac:dyDescent="0.25">
      <c r="A65" s="110" t="s">
        <v>822</v>
      </c>
      <c r="B65" s="104">
        <f t="shared" si="122"/>
        <v>3603.0368475712048</v>
      </c>
      <c r="C65" s="104">
        <f t="shared" si="122"/>
        <v>3766.3091265068074</v>
      </c>
      <c r="D65" s="104">
        <f t="shared" ref="D65:G65" si="163">D21</f>
        <v>3840.5168901997517</v>
      </c>
      <c r="E65" s="104">
        <f t="shared" si="163"/>
        <v>4019.194324588198</v>
      </c>
      <c r="F65" s="104">
        <f t="shared" si="163"/>
        <v>3347.9643736865437</v>
      </c>
      <c r="G65" s="104">
        <f t="shared" si="163"/>
        <v>3041.88134423252</v>
      </c>
      <c r="H65" s="126">
        <f ca="1">SUM(H53,H56,H59,H62)</f>
        <v>2861.8726833130609</v>
      </c>
      <c r="I65" s="126">
        <f t="shared" ref="I65:R65" ca="1" si="164">SUM(I53,I56,I59,I62)</f>
        <v>2681.4415409239482</v>
      </c>
      <c r="J65" s="126">
        <f t="shared" ca="1" si="164"/>
        <v>2550.910689209315</v>
      </c>
      <c r="K65" s="126">
        <f t="shared" ca="1" si="164"/>
        <v>2440.5124017092221</v>
      </c>
      <c r="L65" s="126">
        <f t="shared" ca="1" si="164"/>
        <v>2359.3245571016187</v>
      </c>
      <c r="M65" s="126">
        <f t="shared" ca="1" si="164"/>
        <v>2256.9489283832095</v>
      </c>
      <c r="N65" s="126">
        <f t="shared" ca="1" si="164"/>
        <v>2197.6997368290463</v>
      </c>
      <c r="O65" s="126">
        <f t="shared" ca="1" si="164"/>
        <v>2107.5107896940613</v>
      </c>
      <c r="P65" s="126">
        <f t="shared" ca="1" si="164"/>
        <v>2046.96706390074</v>
      </c>
      <c r="Q65" s="126">
        <f t="shared" ca="1" si="164"/>
        <v>1996.5648919341409</v>
      </c>
      <c r="R65" s="126">
        <f t="shared" ca="1" si="164"/>
        <v>1964.4525331348041</v>
      </c>
      <c r="S65" s="126">
        <f t="shared" ref="S65:AA65" ca="1" si="165">SUM(S53,S56,S59,S62)</f>
        <v>1939.1471830477744</v>
      </c>
      <c r="T65" s="126">
        <f t="shared" ca="1" si="165"/>
        <v>1919.7351445990294</v>
      </c>
      <c r="U65" s="126">
        <f t="shared" ca="1" si="165"/>
        <v>1905.424527002164</v>
      </c>
      <c r="V65" s="126">
        <f t="shared" ca="1" si="165"/>
        <v>1895.5291394731232</v>
      </c>
      <c r="W65" s="126">
        <f t="shared" ca="1" si="165"/>
        <v>1879.18144481223</v>
      </c>
      <c r="X65" s="126">
        <f t="shared" ca="1" si="165"/>
        <v>1866.3838509866471</v>
      </c>
      <c r="Y65" s="126">
        <f t="shared" ca="1" si="165"/>
        <v>1856.6371325728958</v>
      </c>
      <c r="Z65" s="126">
        <f t="shared" ca="1" si="165"/>
        <v>1849.5121881462264</v>
      </c>
      <c r="AA65" s="126">
        <f t="shared" ca="1" si="165"/>
        <v>1844.6402020637993</v>
      </c>
      <c r="AB65" s="821"/>
      <c r="AC65" s="127">
        <f t="shared" si="126"/>
        <v>0.28738561417034014</v>
      </c>
      <c r="AD65" s="127">
        <f t="shared" si="127"/>
        <v>0.3481908252109619</v>
      </c>
      <c r="AE65" s="127">
        <f t="shared" si="128"/>
        <v>0.3257362764141456</v>
      </c>
      <c r="AF65" s="127">
        <f t="shared" si="129"/>
        <v>0.30046044303974251</v>
      </c>
      <c r="AG65" s="127">
        <f t="shared" si="130"/>
        <v>0.24088936016294266</v>
      </c>
      <c r="AH65" s="127">
        <f t="shared" si="131"/>
        <v>0.23581799632427827</v>
      </c>
      <c r="AI65" s="127">
        <f t="shared" ca="1" si="132"/>
        <v>0.22234237973073898</v>
      </c>
      <c r="AJ65" s="127">
        <f t="shared" ca="1" si="133"/>
        <v>0.20668975256224695</v>
      </c>
      <c r="AK65" s="127">
        <f t="shared" ca="1" si="134"/>
        <v>0.19331185682472177</v>
      </c>
      <c r="AL65" s="127">
        <f t="shared" ca="1" si="135"/>
        <v>0.18187811522737848</v>
      </c>
      <c r="AM65" s="127">
        <f t="shared" ca="1" si="136"/>
        <v>0.17210599190695833</v>
      </c>
      <c r="AN65" s="127">
        <f t="shared" ca="1" si="137"/>
        <v>0.16375401076618396</v>
      </c>
      <c r="AO65" s="127">
        <f t="shared" ca="1" si="138"/>
        <v>0.15661578842815177</v>
      </c>
      <c r="AP65" s="127">
        <f t="shared" ca="1" si="139"/>
        <v>0.15051493435671959</v>
      </c>
      <c r="AQ65" s="127">
        <f t="shared" ca="1" si="140"/>
        <v>0.14530069212128419</v>
      </c>
      <c r="AR65" s="127">
        <f t="shared" ca="1" si="141"/>
        <v>0.14084421409845932</v>
      </c>
      <c r="AS65" s="127">
        <f t="shared" ca="1" si="142"/>
        <v>0.13703537755593112</v>
      </c>
      <c r="AT65" s="127">
        <f t="shared" ca="1" si="143"/>
        <v>0.13378006344164708</v>
      </c>
      <c r="AU65" s="127">
        <f t="shared" ca="1" si="143"/>
        <v>0.13099783063529438</v>
      </c>
      <c r="AV65" s="127">
        <f t="shared" ca="1" si="143"/>
        <v>0.12861992819117102</v>
      </c>
      <c r="AW65" s="127">
        <f t="shared" ca="1" si="143"/>
        <v>0.12658759645356266</v>
      </c>
      <c r="AX65" s="127">
        <f t="shared" ca="1" si="143"/>
        <v>0.12485061506397666</v>
      </c>
      <c r="AY65" s="127">
        <f t="shared" ca="1" si="143"/>
        <v>0.12336606198047398</v>
      </c>
      <c r="AZ65" s="127">
        <f t="shared" ca="1" si="143"/>
        <v>0.12209725284357086</v>
      </c>
      <c r="BA65" s="127">
        <f t="shared" ca="1" si="143"/>
        <v>0.12101283447970172</v>
      </c>
      <c r="BB65" s="127">
        <f t="shared" ca="1" si="143"/>
        <v>0.12008601014206589</v>
      </c>
    </row>
    <row r="66" spans="1:54" x14ac:dyDescent="0.25">
      <c r="A66" s="110" t="s">
        <v>823</v>
      </c>
      <c r="B66" s="104">
        <f t="shared" si="122"/>
        <v>7728.9272046449678</v>
      </c>
      <c r="C66" s="104">
        <f t="shared" si="122"/>
        <v>6049.8141187243036</v>
      </c>
      <c r="D66" s="104">
        <f t="shared" ref="D66:G66" si="166">D22</f>
        <v>7021.3804225859067</v>
      </c>
      <c r="E66" s="104">
        <f t="shared" si="166"/>
        <v>8227.156851457994</v>
      </c>
      <c r="F66" s="104">
        <f t="shared" si="166"/>
        <v>9006.1235368496855</v>
      </c>
      <c r="G66" s="104">
        <f t="shared" si="166"/>
        <v>8413.4455631343626</v>
      </c>
      <c r="H66" s="126">
        <f ca="1">SUM(H54:H55,H57,H60:H61,H63)</f>
        <v>8772.1409632504201</v>
      </c>
      <c r="I66" s="126">
        <f t="shared" ref="I66:R66" ca="1" si="167">SUM(I54:I55,I57,I60:I61,I63)</f>
        <v>9044.5856529762732</v>
      </c>
      <c r="J66" s="126">
        <f t="shared" ca="1" si="167"/>
        <v>9376.2829584197698</v>
      </c>
      <c r="K66" s="126">
        <f t="shared" ca="1" si="167"/>
        <v>9687.8476996487316</v>
      </c>
      <c r="L66" s="126">
        <f t="shared" ca="1" si="167"/>
        <v>10031.30025152165</v>
      </c>
      <c r="M66" s="126">
        <f t="shared" ca="1" si="167"/>
        <v>10200.562523508801</v>
      </c>
      <c r="N66" s="126">
        <f t="shared" ca="1" si="167"/>
        <v>10485.660401446214</v>
      </c>
      <c r="O66" s="126">
        <f t="shared" ca="1" si="167"/>
        <v>10548.35097034436</v>
      </c>
      <c r="P66" s="126">
        <f t="shared" ca="1" si="167"/>
        <v>10686.441703472197</v>
      </c>
      <c r="Q66" s="126">
        <f t="shared" ca="1" si="167"/>
        <v>10816.290612956926</v>
      </c>
      <c r="R66" s="126">
        <f t="shared" ca="1" si="167"/>
        <v>10992.723169496012</v>
      </c>
      <c r="S66" s="126">
        <f t="shared" ref="S66:AA66" ca="1" si="168">SUM(S54:S55,S57,S60:S61,S63)</f>
        <v>11162.348717322793</v>
      </c>
      <c r="T66" s="126">
        <f t="shared" ca="1" si="168"/>
        <v>11326.080953511288</v>
      </c>
      <c r="U66" s="126">
        <f t="shared" ca="1" si="168"/>
        <v>11484.711768847905</v>
      </c>
      <c r="V66" s="126">
        <f t="shared" ca="1" si="168"/>
        <v>11638.927354116697</v>
      </c>
      <c r="W66" s="126">
        <f t="shared" ca="1" si="168"/>
        <v>11725.223123235448</v>
      </c>
      <c r="X66" s="126">
        <f t="shared" ca="1" si="168"/>
        <v>11807.968791518886</v>
      </c>
      <c r="Y66" s="126">
        <f t="shared" ca="1" si="168"/>
        <v>11887.663584390499</v>
      </c>
      <c r="Z66" s="126">
        <f t="shared" ca="1" si="168"/>
        <v>11964.736603275023</v>
      </c>
      <c r="AA66" s="126">
        <f t="shared" ca="1" si="168"/>
        <v>12039.55666381531</v>
      </c>
      <c r="AB66" s="821"/>
      <c r="AC66" s="127">
        <f t="shared" si="126"/>
        <v>0.61647509741179474</v>
      </c>
      <c r="AD66" s="127">
        <f t="shared" si="127"/>
        <v>0.55929816157317913</v>
      </c>
      <c r="AE66" s="127">
        <f t="shared" si="128"/>
        <v>0.59552356610553958</v>
      </c>
      <c r="AF66" s="127">
        <f t="shared" si="129"/>
        <v>0.61503251470673637</v>
      </c>
      <c r="AG66" s="127">
        <f t="shared" si="130"/>
        <v>0.64799952872594646</v>
      </c>
      <c r="AH66" s="127">
        <f t="shared" si="131"/>
        <v>0.65224170516825897</v>
      </c>
      <c r="AI66" s="127">
        <f t="shared" ca="1" si="132"/>
        <v>0.68151833185139576</v>
      </c>
      <c r="AJ66" s="127">
        <f t="shared" ca="1" si="133"/>
        <v>0.69717095901988779</v>
      </c>
      <c r="AK66" s="127">
        <f t="shared" ca="1" si="134"/>
        <v>0.71054885475741281</v>
      </c>
      <c r="AL66" s="127">
        <f t="shared" ca="1" si="135"/>
        <v>0.72198259635475603</v>
      </c>
      <c r="AM66" s="127">
        <f t="shared" ca="1" si="136"/>
        <v>0.73175471967517625</v>
      </c>
      <c r="AN66" s="127">
        <f t="shared" ca="1" si="137"/>
        <v>0.74010670081595076</v>
      </c>
      <c r="AO66" s="127">
        <f t="shared" ca="1" si="138"/>
        <v>0.74724492315398294</v>
      </c>
      <c r="AP66" s="127">
        <f t="shared" ca="1" si="139"/>
        <v>0.75334577722541507</v>
      </c>
      <c r="AQ66" s="127">
        <f t="shared" ca="1" si="140"/>
        <v>0.75856001946085061</v>
      </c>
      <c r="AR66" s="127">
        <f t="shared" ca="1" si="141"/>
        <v>0.76301649748367539</v>
      </c>
      <c r="AS66" s="127">
        <f t="shared" ca="1" si="142"/>
        <v>0.76682533402620356</v>
      </c>
      <c r="AT66" s="127">
        <f t="shared" ca="1" si="143"/>
        <v>0.77008064814048771</v>
      </c>
      <c r="AU66" s="127">
        <f t="shared" ca="1" si="143"/>
        <v>0.77286288094684041</v>
      </c>
      <c r="AV66" s="127">
        <f t="shared" ca="1" si="143"/>
        <v>0.77524078339096369</v>
      </c>
      <c r="AW66" s="127">
        <f t="shared" ca="1" si="143"/>
        <v>0.77727311512857222</v>
      </c>
      <c r="AX66" s="127">
        <f t="shared" ca="1" si="143"/>
        <v>0.77901009651815811</v>
      </c>
      <c r="AY66" s="127">
        <f t="shared" ca="1" si="143"/>
        <v>0.78049464960166071</v>
      </c>
      <c r="AZ66" s="127">
        <f t="shared" ca="1" si="143"/>
        <v>0.7817634587385639</v>
      </c>
      <c r="BA66" s="127">
        <f t="shared" ca="1" si="143"/>
        <v>0.78284787710243298</v>
      </c>
      <c r="BB66" s="127">
        <f t="shared" ca="1" si="143"/>
        <v>0.78377470144006878</v>
      </c>
    </row>
    <row r="67" spans="1:54" x14ac:dyDescent="0.25">
      <c r="A67" s="110" t="s">
        <v>824</v>
      </c>
      <c r="B67" s="104">
        <f t="shared" si="122"/>
        <v>11015.642914528089</v>
      </c>
      <c r="C67" s="104">
        <f t="shared" si="122"/>
        <v>10108.473439151394</v>
      </c>
      <c r="D67" s="104">
        <f t="shared" ref="D67:G67" si="169">D23</f>
        <v>10949.952066662801</v>
      </c>
      <c r="E67" s="104">
        <f t="shared" si="169"/>
        <v>11390.618578992517</v>
      </c>
      <c r="F67" s="104">
        <f t="shared" si="169"/>
        <v>11373.082741220214</v>
      </c>
      <c r="G67" s="104">
        <f t="shared" si="169"/>
        <v>11154.224954882033</v>
      </c>
      <c r="H67" s="104">
        <f t="shared" ref="H67" si="170">H23</f>
        <v>11309.261078023525</v>
      </c>
      <c r="I67" s="104">
        <f t="shared" ref="I67:R67" si="171">I23</f>
        <v>11398.70615357178</v>
      </c>
      <c r="J67" s="104">
        <f t="shared" si="171"/>
        <v>11594.257234606644</v>
      </c>
      <c r="K67" s="104">
        <f t="shared" si="171"/>
        <v>11789.808315641514</v>
      </c>
      <c r="L67" s="104">
        <f t="shared" si="171"/>
        <v>12044.75214982646</v>
      </c>
      <c r="M67" s="104">
        <f t="shared" si="171"/>
        <v>12109.771715243785</v>
      </c>
      <c r="N67" s="104">
        <f t="shared" si="171"/>
        <v>12329.316047581</v>
      </c>
      <c r="O67" s="104">
        <f t="shared" si="171"/>
        <v>12302.585260756241</v>
      </c>
      <c r="P67" s="104">
        <f t="shared" si="171"/>
        <v>12377.967616184755</v>
      </c>
      <c r="Q67" s="104">
        <f t="shared" si="171"/>
        <v>12455.196672612337</v>
      </c>
      <c r="R67" s="104">
        <f t="shared" si="171"/>
        <v>12595.488307524845</v>
      </c>
      <c r="S67" s="104">
        <f t="shared" ref="S67:AA67" si="172">S23</f>
        <v>12735.779942437353</v>
      </c>
      <c r="T67" s="104">
        <f t="shared" si="172"/>
        <v>12876.071577349861</v>
      </c>
      <c r="U67" s="104">
        <f t="shared" si="172"/>
        <v>13016.363212262369</v>
      </c>
      <c r="V67" s="104">
        <f t="shared" si="172"/>
        <v>13156.654847174877</v>
      </c>
      <c r="W67" s="104">
        <f t="shared" si="172"/>
        <v>13224.650386803854</v>
      </c>
      <c r="X67" s="104">
        <f t="shared" si="172"/>
        <v>13292.645926432828</v>
      </c>
      <c r="Y67" s="104">
        <f t="shared" si="172"/>
        <v>13360.641466061805</v>
      </c>
      <c r="Z67" s="104">
        <f t="shared" si="172"/>
        <v>13428.637005690778</v>
      </c>
      <c r="AA67" s="104">
        <f t="shared" si="172"/>
        <v>13496.632545319755</v>
      </c>
      <c r="AB67" s="821"/>
      <c r="AC67" s="105">
        <f t="shared" ref="AC67:AD71" si="173">B67/B$50</f>
        <v>0.87863028839319901</v>
      </c>
      <c r="AD67" s="105">
        <f t="shared" si="173"/>
        <v>0.93451641651774331</v>
      </c>
      <c r="AE67" s="105">
        <f t="shared" ref="AE67:AE71" si="174">D67/D$50</f>
        <v>0.92872827150165294</v>
      </c>
      <c r="AF67" s="105">
        <f t="shared" ref="AF67:AF71" si="175">E67/E$50</f>
        <v>0.85152148125892679</v>
      </c>
      <c r="AG67" s="105">
        <f t="shared" ref="AG67:AG71" si="176">F67/F$50</f>
        <v>0.81830459312684611</v>
      </c>
      <c r="AH67" s="105">
        <f t="shared" ref="AH67:AH71" si="177">G67/G$50</f>
        <v>0.86471715420385575</v>
      </c>
      <c r="AI67" s="105">
        <f t="shared" ref="AI67:AI71" si="178">H67/H$50</f>
        <v>0.87863028839319901</v>
      </c>
      <c r="AJ67" s="105">
        <f t="shared" ref="AJ67:AJ71" si="179">I67/I$50</f>
        <v>0.87863028839319912</v>
      </c>
      <c r="AK67" s="105">
        <f t="shared" ref="AK67:AK71" si="180">J67/J$50</f>
        <v>0.8786302883931989</v>
      </c>
      <c r="AL67" s="105">
        <f t="shared" ref="AL67:AL71" si="181">K67/K$50</f>
        <v>0.8786302883931989</v>
      </c>
      <c r="AM67" s="105">
        <f t="shared" ref="AM67:AM71" si="182">L67/L$50</f>
        <v>0.87863028839319901</v>
      </c>
      <c r="AN67" s="105">
        <f t="shared" ref="AN67:AN71" si="183">M67/M$50</f>
        <v>0.87863028839319901</v>
      </c>
      <c r="AO67" s="105">
        <f t="shared" ref="AO67:AO71" si="184">N67/N$50</f>
        <v>0.87863028839319901</v>
      </c>
      <c r="AP67" s="105">
        <f t="shared" ref="AP67:AP71" si="185">O67/O$50</f>
        <v>0.87863028839319901</v>
      </c>
      <c r="AQ67" s="105">
        <f t="shared" ref="AQ67:AQ71" si="186">P67/P$50</f>
        <v>0.87863028839319912</v>
      </c>
      <c r="AR67" s="105">
        <f t="shared" ref="AR67:AR71" si="187">Q67/Q$50</f>
        <v>0.8786302883931989</v>
      </c>
      <c r="AS67" s="105">
        <f t="shared" ref="AS67:AS71" si="188">R67/R$50</f>
        <v>0.87863028839319901</v>
      </c>
      <c r="AT67" s="105">
        <f t="shared" ref="AT67:AT71" si="189">S67/S$50</f>
        <v>0.87863028839319901</v>
      </c>
      <c r="AU67" s="105">
        <f t="shared" ref="AU67:AU71" si="190">T67/T$50</f>
        <v>0.87863028839319901</v>
      </c>
      <c r="AV67" s="105">
        <f t="shared" ref="AV67:AV71" si="191">U67/U$50</f>
        <v>0.8786302883931989</v>
      </c>
      <c r="AW67" s="105">
        <f t="shared" ref="AW67:AW71" si="192">V67/V$50</f>
        <v>0.87863028839319901</v>
      </c>
      <c r="AX67" s="105">
        <f t="shared" ref="AX67:AX71" si="193">W67/W$50</f>
        <v>0.87863028839319901</v>
      </c>
      <c r="AY67" s="105">
        <f t="shared" ref="AY67:AY71" si="194">X67/X$50</f>
        <v>0.87863028839319901</v>
      </c>
      <c r="AZ67" s="105">
        <f t="shared" ref="AZ67:AZ71" si="195">Y67/Y$50</f>
        <v>0.87863028839319901</v>
      </c>
      <c r="BA67" s="105">
        <f t="shared" ref="BA67:BA71" si="196">Z67/Z$50</f>
        <v>0.87863028839319901</v>
      </c>
      <c r="BB67" s="105">
        <f t="shared" ref="BB67:BB71" si="197">AA67/AA$50</f>
        <v>0.8786302883931989</v>
      </c>
    </row>
    <row r="68" spans="1:54" x14ac:dyDescent="0.25">
      <c r="A68" s="110" t="s">
        <v>825</v>
      </c>
      <c r="B68" s="104">
        <f t="shared" si="122"/>
        <v>1037.618682050253</v>
      </c>
      <c r="C68" s="104">
        <f t="shared" si="122"/>
        <v>327.11389437100075</v>
      </c>
      <c r="D68" s="104">
        <f t="shared" ref="D68:G68" si="198">D24</f>
        <v>468.9656211375073</v>
      </c>
      <c r="E68" s="104">
        <f t="shared" si="198"/>
        <v>1420.9488051788851</v>
      </c>
      <c r="F68" s="104">
        <f t="shared" si="198"/>
        <v>1801.3938196250595</v>
      </c>
      <c r="G68" s="104">
        <f t="shared" si="198"/>
        <v>1359.99771703137</v>
      </c>
      <c r="H68" s="104">
        <f t="shared" ref="H68" si="199">H24</f>
        <v>1065.2760502307649</v>
      </c>
      <c r="I68" s="104">
        <f t="shared" ref="I68:R68" si="200">I24</f>
        <v>1073.7013307274538</v>
      </c>
      <c r="J68" s="104">
        <f t="shared" si="200"/>
        <v>1092.1212683154174</v>
      </c>
      <c r="K68" s="104">
        <f t="shared" si="200"/>
        <v>1110.5412059033813</v>
      </c>
      <c r="L68" s="104">
        <f t="shared" si="200"/>
        <v>1134.5556449403382</v>
      </c>
      <c r="M68" s="104">
        <f t="shared" si="200"/>
        <v>1140.6801640718388</v>
      </c>
      <c r="N68" s="104">
        <f t="shared" si="200"/>
        <v>1161.3601463968741</v>
      </c>
      <c r="O68" s="104">
        <f t="shared" si="200"/>
        <v>1158.8422394521338</v>
      </c>
      <c r="P68" s="104">
        <f t="shared" si="200"/>
        <v>1165.9428817747364</v>
      </c>
      <c r="Q68" s="104">
        <f t="shared" si="200"/>
        <v>1173.2174741310923</v>
      </c>
      <c r="R68" s="104">
        <f t="shared" si="200"/>
        <v>1186.4322471997261</v>
      </c>
      <c r="S68" s="104">
        <f t="shared" ref="S68:AA68" si="201">S24</f>
        <v>1199.6470202683599</v>
      </c>
      <c r="T68" s="104">
        <f t="shared" si="201"/>
        <v>1212.8617933369937</v>
      </c>
      <c r="U68" s="104">
        <f t="shared" si="201"/>
        <v>1226.0765664056273</v>
      </c>
      <c r="V68" s="104">
        <f t="shared" si="201"/>
        <v>1239.2913394742611</v>
      </c>
      <c r="W68" s="104">
        <f t="shared" si="201"/>
        <v>1245.696180550043</v>
      </c>
      <c r="X68" s="104">
        <f t="shared" si="201"/>
        <v>1252.1010216258244</v>
      </c>
      <c r="Y68" s="104">
        <f t="shared" si="201"/>
        <v>1258.5058627016065</v>
      </c>
      <c r="Z68" s="104">
        <f t="shared" si="201"/>
        <v>1264.9107037773881</v>
      </c>
      <c r="AA68" s="104">
        <f t="shared" si="201"/>
        <v>1271.3155448531697</v>
      </c>
      <c r="AB68" s="821"/>
      <c r="AC68" s="105">
        <f t="shared" si="173"/>
        <v>8.2762595785453655E-2</v>
      </c>
      <c r="AD68" s="105">
        <f t="shared" si="173"/>
        <v>3.0241292733357985E-2</v>
      </c>
      <c r="AE68" s="105">
        <f t="shared" si="174"/>
        <v>3.9775665506221296E-2</v>
      </c>
      <c r="AF68" s="105">
        <f t="shared" si="175"/>
        <v>0.10622499761431274</v>
      </c>
      <c r="AG68" s="105">
        <f t="shared" si="176"/>
        <v>0.12961207353982065</v>
      </c>
      <c r="AH68" s="105">
        <f t="shared" si="177"/>
        <v>0.10543209952748749</v>
      </c>
      <c r="AI68" s="105">
        <f t="shared" si="178"/>
        <v>8.2762595785453655E-2</v>
      </c>
      <c r="AJ68" s="105">
        <f t="shared" si="179"/>
        <v>8.2762595785453641E-2</v>
      </c>
      <c r="AK68" s="105">
        <f t="shared" si="180"/>
        <v>8.2762595785453655E-2</v>
      </c>
      <c r="AL68" s="105">
        <f t="shared" si="181"/>
        <v>8.2762595785453655E-2</v>
      </c>
      <c r="AM68" s="105">
        <f t="shared" si="182"/>
        <v>8.2762595785453655E-2</v>
      </c>
      <c r="AN68" s="105">
        <f t="shared" si="183"/>
        <v>8.2762595785453655E-2</v>
      </c>
      <c r="AO68" s="105">
        <f t="shared" si="184"/>
        <v>8.2762595785453655E-2</v>
      </c>
      <c r="AP68" s="105">
        <f t="shared" si="185"/>
        <v>8.2762595785453669E-2</v>
      </c>
      <c r="AQ68" s="105">
        <f t="shared" si="186"/>
        <v>8.2762595785453655E-2</v>
      </c>
      <c r="AR68" s="105">
        <f t="shared" si="187"/>
        <v>8.2762595785453641E-2</v>
      </c>
      <c r="AS68" s="105">
        <f t="shared" si="188"/>
        <v>8.2762595785453655E-2</v>
      </c>
      <c r="AT68" s="105">
        <f t="shared" si="189"/>
        <v>8.2762595785453655E-2</v>
      </c>
      <c r="AU68" s="105">
        <f t="shared" si="190"/>
        <v>8.2762595785453669E-2</v>
      </c>
      <c r="AV68" s="105">
        <f t="shared" si="191"/>
        <v>8.2762595785453641E-2</v>
      </c>
      <c r="AW68" s="105">
        <f t="shared" si="192"/>
        <v>8.2762595785453655E-2</v>
      </c>
      <c r="AX68" s="105">
        <f t="shared" si="193"/>
        <v>8.2762595785453655E-2</v>
      </c>
      <c r="AY68" s="105">
        <f t="shared" si="194"/>
        <v>8.2762595785453655E-2</v>
      </c>
      <c r="AZ68" s="105">
        <f t="shared" si="195"/>
        <v>8.2762595785453655E-2</v>
      </c>
      <c r="BA68" s="105">
        <f t="shared" si="196"/>
        <v>8.2762595785453669E-2</v>
      </c>
      <c r="BB68" s="105">
        <f t="shared" si="197"/>
        <v>8.2762595785453655E-2</v>
      </c>
    </row>
    <row r="69" spans="1:54" x14ac:dyDescent="0.25">
      <c r="A69" s="98" t="s">
        <v>826</v>
      </c>
      <c r="B69" s="99">
        <f t="shared" si="122"/>
        <v>446.06558664502518</v>
      </c>
      <c r="C69" s="99">
        <f t="shared" si="122"/>
        <v>428.85975343242728</v>
      </c>
      <c r="D69" s="99">
        <f t="shared" ref="D69:G69" si="202">D25</f>
        <v>371.34691667643273</v>
      </c>
      <c r="E69" s="99">
        <f t="shared" si="202"/>
        <v>235.50675338550371</v>
      </c>
      <c r="F69" s="99">
        <f t="shared" si="202"/>
        <v>627.35602670691776</v>
      </c>
      <c r="G69" s="99">
        <f t="shared" si="202"/>
        <v>577.5795079344648</v>
      </c>
      <c r="H69" s="99">
        <v>485.73619252765275</v>
      </c>
      <c r="I69" s="99">
        <v>485.73619252765275</v>
      </c>
      <c r="J69" s="99">
        <v>485.73619252765275</v>
      </c>
      <c r="K69" s="99">
        <v>485.73619252765275</v>
      </c>
      <c r="L69" s="99">
        <v>485.73619252765275</v>
      </c>
      <c r="M69" s="99">
        <v>485.73619252765275</v>
      </c>
      <c r="N69" s="99">
        <v>485.73619252765275</v>
      </c>
      <c r="O69" s="99">
        <v>485.73619252765275</v>
      </c>
      <c r="P69" s="99">
        <v>485.73619252765275</v>
      </c>
      <c r="Q69" s="99">
        <v>485.73619252765275</v>
      </c>
      <c r="R69" s="99">
        <v>485.73619252765275</v>
      </c>
      <c r="S69" s="99">
        <v>485.73619252765275</v>
      </c>
      <c r="T69" s="99">
        <v>485.73619252765275</v>
      </c>
      <c r="U69" s="99">
        <v>485.73619252765275</v>
      </c>
      <c r="V69" s="99">
        <v>485.73619252765275</v>
      </c>
      <c r="W69" s="99">
        <v>485.73619252765275</v>
      </c>
      <c r="X69" s="99">
        <v>485.73619252765275</v>
      </c>
      <c r="Y69" s="99">
        <v>485.73619252765275</v>
      </c>
      <c r="Z69" s="99">
        <v>485.73619252765275</v>
      </c>
      <c r="AA69" s="99">
        <v>485.73619252765275</v>
      </c>
      <c r="AB69" s="821"/>
      <c r="AC69" s="101">
        <f t="shared" si="173"/>
        <v>3.5579106737320211E-2</v>
      </c>
      <c r="AD69" s="101">
        <f t="shared" si="173"/>
        <v>3.9647577092511023E-2</v>
      </c>
      <c r="AE69" s="101">
        <f t="shared" si="174"/>
        <v>3.1496062992125984E-2</v>
      </c>
      <c r="AF69" s="101">
        <f t="shared" si="175"/>
        <v>1.7605633802816902E-2</v>
      </c>
      <c r="AG69" s="101">
        <f t="shared" si="176"/>
        <v>4.5138888888888895E-2</v>
      </c>
      <c r="AH69" s="101">
        <f t="shared" si="177"/>
        <v>4.4776119402985079E-2</v>
      </c>
      <c r="AI69" s="101">
        <f t="shared" si="178"/>
        <v>3.7737437307281005E-2</v>
      </c>
      <c r="AJ69" s="101">
        <f t="shared" si="179"/>
        <v>3.7441313529242432E-2</v>
      </c>
      <c r="AK69" s="101">
        <f t="shared" si="180"/>
        <v>3.6809820783492847E-2</v>
      </c>
      <c r="AL69" s="101">
        <f t="shared" si="181"/>
        <v>3.6199276485044667E-2</v>
      </c>
      <c r="AM69" s="101">
        <f t="shared" si="182"/>
        <v>3.5433068743530353E-2</v>
      </c>
      <c r="AN69" s="101">
        <f t="shared" si="183"/>
        <v>3.5242822157113989E-2</v>
      </c>
      <c r="AO69" s="101">
        <f t="shared" si="184"/>
        <v>3.4615264080874973E-2</v>
      </c>
      <c r="AP69" s="101">
        <f t="shared" si="185"/>
        <v>3.4690475365772966E-2</v>
      </c>
      <c r="AQ69" s="101">
        <f t="shared" si="186"/>
        <v>3.4479208878002592E-2</v>
      </c>
      <c r="AR69" s="101">
        <f t="shared" si="187"/>
        <v>3.4265418856214105E-2</v>
      </c>
      <c r="AS69" s="101">
        <f t="shared" si="188"/>
        <v>3.38837622252895E-2</v>
      </c>
      <c r="AT69" s="101">
        <f t="shared" si="189"/>
        <v>3.3510513910615589E-2</v>
      </c>
      <c r="AU69" s="101">
        <f t="shared" si="190"/>
        <v>3.3145399072985415E-2</v>
      </c>
      <c r="AV69" s="101">
        <f t="shared" si="191"/>
        <v>3.2788154722167361E-2</v>
      </c>
      <c r="AW69" s="101">
        <f t="shared" si="192"/>
        <v>3.243852908516702E-2</v>
      </c>
      <c r="AX69" s="101">
        <f t="shared" si="193"/>
        <v>3.2271743935813127E-2</v>
      </c>
      <c r="AY69" s="101">
        <f t="shared" si="194"/>
        <v>3.2106665090274919E-2</v>
      </c>
      <c r="AZ69" s="101">
        <f t="shared" si="195"/>
        <v>3.1943266497172516E-2</v>
      </c>
      <c r="BA69" s="101">
        <f t="shared" si="196"/>
        <v>3.1781522632767893E-2</v>
      </c>
      <c r="BB69" s="101">
        <f t="shared" si="197"/>
        <v>3.1621408487673607E-2</v>
      </c>
    </row>
    <row r="70" spans="1:54" x14ac:dyDescent="0.25">
      <c r="A70" s="111" t="s">
        <v>827</v>
      </c>
      <c r="B70" s="104">
        <f t="shared" si="122"/>
        <v>356.85246931602018</v>
      </c>
      <c r="C70" s="104">
        <f t="shared" si="122"/>
        <v>343.08780274594187</v>
      </c>
      <c r="D70" s="104">
        <f t="shared" ref="D70:G70" si="203">D26</f>
        <v>297.07753334114619</v>
      </c>
      <c r="E70" s="104">
        <f t="shared" si="203"/>
        <v>188.40540270840299</v>
      </c>
      <c r="F70" s="104">
        <f t="shared" si="203"/>
        <v>501.88482136553421</v>
      </c>
      <c r="G70" s="104">
        <f t="shared" si="203"/>
        <v>462.06360634757186</v>
      </c>
      <c r="H70" s="104">
        <v>388.58895402212221</v>
      </c>
      <c r="I70" s="104">
        <v>388.58895402212221</v>
      </c>
      <c r="J70" s="104">
        <v>388.58895402212221</v>
      </c>
      <c r="K70" s="104">
        <v>388.58895402212221</v>
      </c>
      <c r="L70" s="104">
        <v>388.58895402212221</v>
      </c>
      <c r="M70" s="104">
        <v>388.58895402212221</v>
      </c>
      <c r="N70" s="104">
        <v>388.58895402212221</v>
      </c>
      <c r="O70" s="104">
        <v>388.58895402212221</v>
      </c>
      <c r="P70" s="104">
        <v>388.58895402212221</v>
      </c>
      <c r="Q70" s="104">
        <v>388.58895402212221</v>
      </c>
      <c r="R70" s="104">
        <v>388.58895402212221</v>
      </c>
      <c r="S70" s="104">
        <v>388.58895402212221</v>
      </c>
      <c r="T70" s="104">
        <v>388.58895402212221</v>
      </c>
      <c r="U70" s="104">
        <v>388.58895402212221</v>
      </c>
      <c r="V70" s="104">
        <v>388.58895402212221</v>
      </c>
      <c r="W70" s="104">
        <v>388.58895402212221</v>
      </c>
      <c r="X70" s="104">
        <v>388.58895402212221</v>
      </c>
      <c r="Y70" s="104">
        <v>388.58895402212221</v>
      </c>
      <c r="Z70" s="104">
        <v>388.58895402212221</v>
      </c>
      <c r="AA70" s="104">
        <v>388.58895402212221</v>
      </c>
      <c r="AB70" s="821"/>
      <c r="AC70" s="105">
        <f t="shared" si="173"/>
        <v>2.8463285389856173E-2</v>
      </c>
      <c r="AD70" s="105">
        <f t="shared" si="173"/>
        <v>3.171806167400882E-2</v>
      </c>
      <c r="AE70" s="105">
        <f t="shared" si="174"/>
        <v>2.5196850393700787E-2</v>
      </c>
      <c r="AF70" s="105">
        <f t="shared" si="175"/>
        <v>1.4084507042253523E-2</v>
      </c>
      <c r="AG70" s="105">
        <f t="shared" si="176"/>
        <v>3.6111111111111115E-2</v>
      </c>
      <c r="AH70" s="105">
        <f t="shared" si="177"/>
        <v>3.5820895522388062E-2</v>
      </c>
      <c r="AI70" s="105">
        <f t="shared" si="178"/>
        <v>3.0189949845824803E-2</v>
      </c>
      <c r="AJ70" s="105">
        <f t="shared" si="179"/>
        <v>2.9953050823393945E-2</v>
      </c>
      <c r="AK70" s="105">
        <f t="shared" si="180"/>
        <v>2.9447856626794278E-2</v>
      </c>
      <c r="AL70" s="105">
        <f t="shared" si="181"/>
        <v>2.8959421188035735E-2</v>
      </c>
      <c r="AM70" s="105">
        <f t="shared" si="182"/>
        <v>2.8346454994824286E-2</v>
      </c>
      <c r="AN70" s="105">
        <f t="shared" si="183"/>
        <v>2.8194257725691192E-2</v>
      </c>
      <c r="AO70" s="105">
        <f t="shared" si="184"/>
        <v>2.7692211264699979E-2</v>
      </c>
      <c r="AP70" s="105">
        <f t="shared" si="185"/>
        <v>2.7752380292618374E-2</v>
      </c>
      <c r="AQ70" s="105">
        <f t="shared" si="186"/>
        <v>2.7583367102402077E-2</v>
      </c>
      <c r="AR70" s="105">
        <f t="shared" si="187"/>
        <v>2.7412335084971283E-2</v>
      </c>
      <c r="AS70" s="105">
        <f t="shared" si="188"/>
        <v>2.7107009780231603E-2</v>
      </c>
      <c r="AT70" s="105">
        <f t="shared" si="189"/>
        <v>2.6808411128492474E-2</v>
      </c>
      <c r="AU70" s="105">
        <f t="shared" si="190"/>
        <v>2.6516319258388335E-2</v>
      </c>
      <c r="AV70" s="105">
        <f t="shared" si="191"/>
        <v>2.623052377773389E-2</v>
      </c>
      <c r="AW70" s="105">
        <f t="shared" si="192"/>
        <v>2.5950823268133621E-2</v>
      </c>
      <c r="AX70" s="105">
        <f t="shared" si="193"/>
        <v>2.5817395148650502E-2</v>
      </c>
      <c r="AY70" s="105">
        <f t="shared" si="194"/>
        <v>2.5685332072219937E-2</v>
      </c>
      <c r="AZ70" s="105">
        <f t="shared" si="195"/>
        <v>2.5554613197738014E-2</v>
      </c>
      <c r="BA70" s="105">
        <f t="shared" si="196"/>
        <v>2.5425218106214315E-2</v>
      </c>
      <c r="BB70" s="105">
        <f t="shared" si="197"/>
        <v>2.5297126790138885E-2</v>
      </c>
    </row>
    <row r="71" spans="1:54" ht="15.75" thickBot="1" x14ac:dyDescent="0.3">
      <c r="A71" s="113" t="s">
        <v>828</v>
      </c>
      <c r="B71" s="114">
        <f t="shared" si="122"/>
        <v>89.213117329005044</v>
      </c>
      <c r="C71" s="114">
        <f t="shared" si="122"/>
        <v>85.771950686485468</v>
      </c>
      <c r="D71" s="114">
        <f t="shared" ref="D71:G71" si="204">D27</f>
        <v>74.269383335286548</v>
      </c>
      <c r="E71" s="114">
        <f t="shared" si="204"/>
        <v>47.101350677100747</v>
      </c>
      <c r="F71" s="114">
        <f t="shared" si="204"/>
        <v>125.47120534138355</v>
      </c>
      <c r="G71" s="114">
        <f t="shared" si="204"/>
        <v>115.51590158689297</v>
      </c>
      <c r="H71" s="114">
        <v>97.147238505530552</v>
      </c>
      <c r="I71" s="114">
        <v>97.147238505530552</v>
      </c>
      <c r="J71" s="114">
        <v>97.147238505530552</v>
      </c>
      <c r="K71" s="114">
        <v>97.147238505530552</v>
      </c>
      <c r="L71" s="114">
        <v>97.147238505530552</v>
      </c>
      <c r="M71" s="114">
        <v>97.147238505530552</v>
      </c>
      <c r="N71" s="114">
        <v>97.147238505530552</v>
      </c>
      <c r="O71" s="114">
        <v>97.147238505530552</v>
      </c>
      <c r="P71" s="114">
        <v>97.147238505530552</v>
      </c>
      <c r="Q71" s="114">
        <v>97.147238505530552</v>
      </c>
      <c r="R71" s="114">
        <v>97.147238505530552</v>
      </c>
      <c r="S71" s="114">
        <v>97.147238505530552</v>
      </c>
      <c r="T71" s="114">
        <v>97.147238505530552</v>
      </c>
      <c r="U71" s="114">
        <v>97.147238505530552</v>
      </c>
      <c r="V71" s="114">
        <v>97.147238505530552</v>
      </c>
      <c r="W71" s="114">
        <v>97.147238505530552</v>
      </c>
      <c r="X71" s="114">
        <v>97.147238505530552</v>
      </c>
      <c r="Y71" s="114">
        <v>97.147238505530552</v>
      </c>
      <c r="Z71" s="114">
        <v>97.147238505530552</v>
      </c>
      <c r="AA71" s="114">
        <v>97.147238505530552</v>
      </c>
      <c r="AB71" s="821"/>
      <c r="AC71" s="115">
        <f t="shared" si="173"/>
        <v>7.1158213474640433E-3</v>
      </c>
      <c r="AD71" s="115">
        <f t="shared" si="173"/>
        <v>7.9295154185022049E-3</v>
      </c>
      <c r="AE71" s="115">
        <f t="shared" si="174"/>
        <v>6.2992125984251968E-3</v>
      </c>
      <c r="AF71" s="115">
        <f t="shared" si="175"/>
        <v>3.5211267605633808E-3</v>
      </c>
      <c r="AG71" s="115">
        <f t="shared" si="176"/>
        <v>9.0277777777777787E-3</v>
      </c>
      <c r="AH71" s="115">
        <f t="shared" si="177"/>
        <v>8.9552238805970154E-3</v>
      </c>
      <c r="AI71" s="115">
        <f t="shared" si="178"/>
        <v>7.5474874614562008E-3</v>
      </c>
      <c r="AJ71" s="115">
        <f t="shared" si="179"/>
        <v>7.4882627058484863E-3</v>
      </c>
      <c r="AK71" s="115">
        <f t="shared" si="180"/>
        <v>7.3619641566985694E-3</v>
      </c>
      <c r="AL71" s="115">
        <f t="shared" si="181"/>
        <v>7.2398552970089338E-3</v>
      </c>
      <c r="AM71" s="115">
        <f t="shared" si="182"/>
        <v>7.0866137487060714E-3</v>
      </c>
      <c r="AN71" s="115">
        <f t="shared" si="183"/>
        <v>7.0485644314227979E-3</v>
      </c>
      <c r="AO71" s="115">
        <f t="shared" si="184"/>
        <v>6.9230528161749946E-3</v>
      </c>
      <c r="AP71" s="115">
        <f t="shared" si="185"/>
        <v>6.9380950731545935E-3</v>
      </c>
      <c r="AQ71" s="115">
        <f t="shared" si="186"/>
        <v>6.8958417756005193E-3</v>
      </c>
      <c r="AR71" s="115">
        <f t="shared" si="187"/>
        <v>6.8530837712428207E-3</v>
      </c>
      <c r="AS71" s="115">
        <f t="shared" si="188"/>
        <v>6.7767524450579007E-3</v>
      </c>
      <c r="AT71" s="115">
        <f t="shared" si="189"/>
        <v>6.7021027821231186E-3</v>
      </c>
      <c r="AU71" s="115">
        <f t="shared" si="190"/>
        <v>6.6290798145970838E-3</v>
      </c>
      <c r="AV71" s="115">
        <f t="shared" si="191"/>
        <v>6.5576309444334725E-3</v>
      </c>
      <c r="AW71" s="115">
        <f t="shared" si="192"/>
        <v>6.4877058170334052E-3</v>
      </c>
      <c r="AX71" s="115">
        <f t="shared" si="193"/>
        <v>6.4543487871626254E-3</v>
      </c>
      <c r="AY71" s="115">
        <f t="shared" si="194"/>
        <v>6.4213330180549841E-3</v>
      </c>
      <c r="AZ71" s="115">
        <f t="shared" si="195"/>
        <v>6.3886532994345034E-3</v>
      </c>
      <c r="BA71" s="115">
        <f t="shared" si="196"/>
        <v>6.3563045265535786E-3</v>
      </c>
      <c r="BB71" s="115">
        <f t="shared" si="197"/>
        <v>6.3242816975347211E-3</v>
      </c>
    </row>
    <row r="72" spans="1:54" ht="15.75" thickTop="1" x14ac:dyDescent="0.25">
      <c r="A72" s="116" t="s">
        <v>829</v>
      </c>
      <c r="B72" s="117">
        <f t="shared" si="122"/>
        <v>26244.977194834086</v>
      </c>
      <c r="C72" s="117">
        <f t="shared" si="122"/>
        <v>25419.470607614254</v>
      </c>
      <c r="D72" s="117">
        <f t="shared" ref="D72:G72" si="205">D28</f>
        <v>26597.722906949493</v>
      </c>
      <c r="E72" s="117">
        <f t="shared" si="205"/>
        <v>27504.544509073032</v>
      </c>
      <c r="F72" s="117">
        <f t="shared" si="205"/>
        <v>25607.231876205653</v>
      </c>
      <c r="G72" s="117">
        <f t="shared" si="205"/>
        <v>26087.341108373326</v>
      </c>
      <c r="H72" s="117">
        <f t="shared" ref="H72:R72" si="206">H28</f>
        <v>26944.528012223385</v>
      </c>
      <c r="I72" s="117">
        <f t="shared" si="206"/>
        <v>27157.63259324227</v>
      </c>
      <c r="J72" s="117">
        <f t="shared" si="206"/>
        <v>27623.536735379679</v>
      </c>
      <c r="K72" s="117">
        <f t="shared" si="206"/>
        <v>28089.440877517092</v>
      </c>
      <c r="L72" s="117">
        <f t="shared" si="206"/>
        <v>28696.849375238358</v>
      </c>
      <c r="M72" s="117">
        <f t="shared" si="206"/>
        <v>28851.75971727071</v>
      </c>
      <c r="N72" s="117">
        <f t="shared" si="206"/>
        <v>29374.82823357547</v>
      </c>
      <c r="O72" s="117">
        <f t="shared" si="206"/>
        <v>29311.141629347356</v>
      </c>
      <c r="P72" s="117">
        <f t="shared" si="206"/>
        <v>29490.741514207908</v>
      </c>
      <c r="Q72" s="117">
        <f t="shared" si="206"/>
        <v>29674.741199060372</v>
      </c>
      <c r="R72" s="117">
        <f t="shared" si="206"/>
        <v>30008.98866763516</v>
      </c>
      <c r="S72" s="117">
        <f t="shared" ref="S72:AA72" si="207">S28</f>
        <v>30343.23613620994</v>
      </c>
      <c r="T72" s="117">
        <f t="shared" si="207"/>
        <v>30677.483604784724</v>
      </c>
      <c r="U72" s="117">
        <f t="shared" si="207"/>
        <v>31011.731073359504</v>
      </c>
      <c r="V72" s="117">
        <f t="shared" si="207"/>
        <v>31345.978541934292</v>
      </c>
      <c r="W72" s="117">
        <f t="shared" si="207"/>
        <v>31507.979198705703</v>
      </c>
      <c r="X72" s="117">
        <f t="shared" si="207"/>
        <v>31669.979855477111</v>
      </c>
      <c r="Y72" s="117">
        <f t="shared" si="207"/>
        <v>31831.980512248527</v>
      </c>
      <c r="Z72" s="117">
        <f t="shared" si="207"/>
        <v>31993.981169019939</v>
      </c>
      <c r="AA72" s="117">
        <f t="shared" si="207"/>
        <v>32155.98182579135</v>
      </c>
      <c r="AB72" s="821"/>
      <c r="AC72" s="118">
        <f t="shared" ref="AC72:AL79" si="208">B72/B$80</f>
        <v>0.53026863412788494</v>
      </c>
      <c r="AD72" s="118">
        <f t="shared" si="208"/>
        <v>0.5280898876404494</v>
      </c>
      <c r="AE72" s="118">
        <f t="shared" si="208"/>
        <v>0.56453201970443356</v>
      </c>
      <c r="AF72" s="118">
        <f t="shared" si="208"/>
        <v>0.52603231597845601</v>
      </c>
      <c r="AG72" s="118">
        <f t="shared" si="208"/>
        <v>0.50139794967381168</v>
      </c>
      <c r="AH72" s="118">
        <f t="shared" si="208"/>
        <v>0.5334645669291338</v>
      </c>
      <c r="AI72" s="118">
        <f t="shared" si="208"/>
        <v>0.53026863412788494</v>
      </c>
      <c r="AJ72" s="118">
        <f t="shared" si="208"/>
        <v>0.53026863412788494</v>
      </c>
      <c r="AK72" s="118">
        <f t="shared" si="208"/>
        <v>0.53026863412788505</v>
      </c>
      <c r="AL72" s="118">
        <f t="shared" si="208"/>
        <v>0.53026863412788505</v>
      </c>
      <c r="AM72" s="118">
        <f t="shared" ref="AM72:AS79" si="209">L72/L$80</f>
        <v>0.53026863412788494</v>
      </c>
      <c r="AN72" s="118">
        <f t="shared" si="209"/>
        <v>0.53026863412788505</v>
      </c>
      <c r="AO72" s="118">
        <f t="shared" si="209"/>
        <v>0.53026863412788494</v>
      </c>
      <c r="AP72" s="118">
        <f t="shared" si="209"/>
        <v>0.53026863412788505</v>
      </c>
      <c r="AQ72" s="118">
        <f t="shared" si="209"/>
        <v>0.53026863412788494</v>
      </c>
      <c r="AR72" s="118">
        <f t="shared" si="209"/>
        <v>0.53026863412788494</v>
      </c>
      <c r="AS72" s="118">
        <f t="shared" si="209"/>
        <v>0.53026863412788505</v>
      </c>
      <c r="AT72" s="118">
        <f t="shared" ref="AT72:BB79" si="210">S72/S$80</f>
        <v>0.53026863412788494</v>
      </c>
      <c r="AU72" s="118">
        <f t="shared" si="210"/>
        <v>0.53026863412788494</v>
      </c>
      <c r="AV72" s="118">
        <f t="shared" si="210"/>
        <v>0.53026863412788494</v>
      </c>
      <c r="AW72" s="118">
        <f t="shared" si="210"/>
        <v>0.53026863412788505</v>
      </c>
      <c r="AX72" s="118">
        <f t="shared" si="210"/>
        <v>0.53026863412788494</v>
      </c>
      <c r="AY72" s="118">
        <f t="shared" si="210"/>
        <v>0.53026863412788494</v>
      </c>
      <c r="AZ72" s="118">
        <f t="shared" si="210"/>
        <v>0.53026863412788494</v>
      </c>
      <c r="BA72" s="118">
        <f t="shared" si="210"/>
        <v>0.53026863412788494</v>
      </c>
      <c r="BB72" s="118">
        <f t="shared" si="210"/>
        <v>0.53026863412788494</v>
      </c>
    </row>
    <row r="73" spans="1:54" x14ac:dyDescent="0.25">
      <c r="A73" s="116" t="s">
        <v>830</v>
      </c>
      <c r="B73" s="117">
        <f t="shared" si="122"/>
        <v>945.68059103754638</v>
      </c>
      <c r="C73" s="117">
        <f t="shared" si="122"/>
        <v>1622.5194004860161</v>
      </c>
      <c r="D73" s="117">
        <f t="shared" ref="D73:G73" si="211">D29</f>
        <v>278.51018750732453</v>
      </c>
      <c r="E73" s="117">
        <f t="shared" si="211"/>
        <v>938.72165559976213</v>
      </c>
      <c r="F73" s="117">
        <f t="shared" si="211"/>
        <v>1189.9271317939431</v>
      </c>
      <c r="G73" s="117">
        <f t="shared" si="211"/>
        <v>673.84275925687552</v>
      </c>
      <c r="H73" s="117">
        <f t="shared" ref="H73:R73" si="212">H29</f>
        <v>970.88738110401778</v>
      </c>
      <c r="I73" s="117">
        <f t="shared" si="212"/>
        <v>978.566140534238</v>
      </c>
      <c r="J73" s="117">
        <f t="shared" si="212"/>
        <v>995.3539815459676</v>
      </c>
      <c r="K73" s="117">
        <f t="shared" si="212"/>
        <v>1012.1418225576975</v>
      </c>
      <c r="L73" s="117">
        <f t="shared" si="212"/>
        <v>1034.0284648230731</v>
      </c>
      <c r="M73" s="117">
        <f t="shared" si="212"/>
        <v>1039.6103215998364</v>
      </c>
      <c r="N73" s="117">
        <f t="shared" si="212"/>
        <v>1058.4579563293337</v>
      </c>
      <c r="O73" s="117">
        <f t="shared" si="212"/>
        <v>1056.1631482568973</v>
      </c>
      <c r="P73" s="117">
        <f t="shared" si="212"/>
        <v>1062.634638935069</v>
      </c>
      <c r="Q73" s="117">
        <f t="shared" si="212"/>
        <v>1069.2646668230816</v>
      </c>
      <c r="R73" s="117">
        <f t="shared" si="212"/>
        <v>1081.3085463543171</v>
      </c>
      <c r="S73" s="117">
        <f t="shared" ref="S73:AA73" si="213">S29</f>
        <v>1093.3524258855527</v>
      </c>
      <c r="T73" s="117">
        <f t="shared" si="213"/>
        <v>1105.396305416788</v>
      </c>
      <c r="U73" s="117">
        <f t="shared" si="213"/>
        <v>1117.4401849480234</v>
      </c>
      <c r="V73" s="117">
        <f t="shared" si="213"/>
        <v>1129.4840644792591</v>
      </c>
      <c r="W73" s="117">
        <f t="shared" si="213"/>
        <v>1135.3214053047718</v>
      </c>
      <c r="X73" s="117">
        <f t="shared" si="213"/>
        <v>1141.1587461302847</v>
      </c>
      <c r="Y73" s="117">
        <f t="shared" si="213"/>
        <v>1146.9960869557976</v>
      </c>
      <c r="Z73" s="117">
        <f t="shared" si="213"/>
        <v>1152.8334277813105</v>
      </c>
      <c r="AA73" s="117">
        <f t="shared" si="213"/>
        <v>1158.6707686068235</v>
      </c>
      <c r="AB73" s="821"/>
      <c r="AC73" s="97">
        <f t="shared" si="208"/>
        <v>1.9107075293227391E-2</v>
      </c>
      <c r="AD73" s="97">
        <f t="shared" si="208"/>
        <v>3.3707865168539325E-2</v>
      </c>
      <c r="AE73" s="97">
        <f t="shared" si="208"/>
        <v>5.9113300492610842E-3</v>
      </c>
      <c r="AF73" s="97">
        <f t="shared" si="208"/>
        <v>1.7953321364452421E-2</v>
      </c>
      <c r="AG73" s="97">
        <f t="shared" si="208"/>
        <v>2.3299161230195712E-2</v>
      </c>
      <c r="AH73" s="97">
        <f t="shared" si="208"/>
        <v>1.3779527559055114E-2</v>
      </c>
      <c r="AI73" s="97">
        <f t="shared" si="208"/>
        <v>1.9107075293227391E-2</v>
      </c>
      <c r="AJ73" s="97">
        <f t="shared" si="208"/>
        <v>1.9107075293227391E-2</v>
      </c>
      <c r="AK73" s="97">
        <f t="shared" si="208"/>
        <v>1.9107075293227391E-2</v>
      </c>
      <c r="AL73" s="97">
        <f t="shared" si="208"/>
        <v>1.9107075293227395E-2</v>
      </c>
      <c r="AM73" s="97">
        <f t="shared" si="209"/>
        <v>1.9107075293227391E-2</v>
      </c>
      <c r="AN73" s="97">
        <f t="shared" si="209"/>
        <v>1.9107075293227395E-2</v>
      </c>
      <c r="AO73" s="97">
        <f t="shared" si="209"/>
        <v>1.9107075293227391E-2</v>
      </c>
      <c r="AP73" s="97">
        <f t="shared" si="209"/>
        <v>1.9107075293227398E-2</v>
      </c>
      <c r="AQ73" s="97">
        <f t="shared" si="209"/>
        <v>1.9107075293227391E-2</v>
      </c>
      <c r="AR73" s="97">
        <f t="shared" si="209"/>
        <v>1.9107075293227391E-2</v>
      </c>
      <c r="AS73" s="97">
        <f t="shared" si="209"/>
        <v>1.9107075293227391E-2</v>
      </c>
      <c r="AT73" s="97">
        <f t="shared" si="210"/>
        <v>1.9107075293227391E-2</v>
      </c>
      <c r="AU73" s="97">
        <f t="shared" si="210"/>
        <v>1.9107075293227391E-2</v>
      </c>
      <c r="AV73" s="97">
        <f t="shared" si="210"/>
        <v>1.9107075293227388E-2</v>
      </c>
      <c r="AW73" s="97">
        <f t="shared" si="210"/>
        <v>1.9107075293227395E-2</v>
      </c>
      <c r="AX73" s="97">
        <f t="shared" si="210"/>
        <v>1.9107075293227388E-2</v>
      </c>
      <c r="AY73" s="97">
        <f t="shared" si="210"/>
        <v>1.9107075293227391E-2</v>
      </c>
      <c r="AZ73" s="97">
        <f t="shared" si="210"/>
        <v>1.9107075293227391E-2</v>
      </c>
      <c r="BA73" s="97">
        <f t="shared" si="210"/>
        <v>1.9107075293227391E-2</v>
      </c>
      <c r="BB73" s="97">
        <f t="shared" si="210"/>
        <v>1.9107075293227388E-2</v>
      </c>
    </row>
    <row r="74" spans="1:54" x14ac:dyDescent="0.25">
      <c r="A74" s="116" t="s">
        <v>831</v>
      </c>
      <c r="B74" s="117">
        <f t="shared" si="122"/>
        <v>4278.97059509068</v>
      </c>
      <c r="C74" s="117">
        <f t="shared" si="122"/>
        <v>5814.0278517415582</v>
      </c>
      <c r="D74" s="117">
        <f t="shared" ref="D74:G74" si="214">D30</f>
        <v>3945.5609896870974</v>
      </c>
      <c r="E74" s="117">
        <f t="shared" si="214"/>
        <v>3379.3979601591436</v>
      </c>
      <c r="F74" s="117">
        <f t="shared" si="214"/>
        <v>4045.7522480994062</v>
      </c>
      <c r="G74" s="117">
        <f t="shared" si="214"/>
        <v>4139.3198068636639</v>
      </c>
      <c r="H74" s="117">
        <f t="shared" ref="H74:R74" si="215">H30</f>
        <v>4393.0250808369919</v>
      </c>
      <c r="I74" s="117">
        <f t="shared" si="215"/>
        <v>4427.7695665757101</v>
      </c>
      <c r="J74" s="117">
        <f t="shared" si="215"/>
        <v>4503.7303917475965</v>
      </c>
      <c r="K74" s="117">
        <f t="shared" si="215"/>
        <v>4579.6912169194829</v>
      </c>
      <c r="L74" s="117">
        <f t="shared" si="215"/>
        <v>4678.7228556845985</v>
      </c>
      <c r="M74" s="117">
        <f t="shared" si="215"/>
        <v>4703.9793759517352</v>
      </c>
      <c r="N74" s="117">
        <f t="shared" si="215"/>
        <v>4789.2602578465885</v>
      </c>
      <c r="O74" s="117">
        <f t="shared" si="215"/>
        <v>4778.876819340614</v>
      </c>
      <c r="P74" s="117">
        <f t="shared" si="215"/>
        <v>4808.1587128052133</v>
      </c>
      <c r="Q74" s="117">
        <f t="shared" si="215"/>
        <v>4838.1579479024576</v>
      </c>
      <c r="R74" s="117">
        <f t="shared" si="215"/>
        <v>4892.6535216229986</v>
      </c>
      <c r="S74" s="117">
        <f t="shared" ref="S74:AA74" si="216">S30</f>
        <v>4947.1490953435405</v>
      </c>
      <c r="T74" s="117">
        <f t="shared" si="216"/>
        <v>5001.6446690640805</v>
      </c>
      <c r="U74" s="117">
        <f t="shared" si="216"/>
        <v>5056.1402427846215</v>
      </c>
      <c r="V74" s="117">
        <f t="shared" si="216"/>
        <v>5110.6358165051615</v>
      </c>
      <c r="W74" s="117">
        <f t="shared" si="216"/>
        <v>5137.0483388542652</v>
      </c>
      <c r="X74" s="117">
        <f t="shared" si="216"/>
        <v>5163.460861203368</v>
      </c>
      <c r="Y74" s="117">
        <f t="shared" si="216"/>
        <v>5189.8733835524708</v>
      </c>
      <c r="Z74" s="117">
        <f t="shared" si="216"/>
        <v>5216.2859059015736</v>
      </c>
      <c r="AA74" s="117">
        <f t="shared" si="216"/>
        <v>5242.6984282506774</v>
      </c>
      <c r="AB74" s="821"/>
      <c r="AC74" s="97">
        <f t="shared" si="208"/>
        <v>8.645478622777146E-2</v>
      </c>
      <c r="AD74" s="97">
        <f t="shared" si="208"/>
        <v>0.12078651685393259</v>
      </c>
      <c r="AE74" s="97">
        <f t="shared" si="208"/>
        <v>8.3743842364532028E-2</v>
      </c>
      <c r="AF74" s="97">
        <f t="shared" si="208"/>
        <v>6.4631956912028721E-2</v>
      </c>
      <c r="AG74" s="97">
        <f t="shared" si="208"/>
        <v>7.9217148182665412E-2</v>
      </c>
      <c r="AH74" s="97">
        <f t="shared" si="208"/>
        <v>8.4645669291338557E-2</v>
      </c>
      <c r="AI74" s="97">
        <f t="shared" si="208"/>
        <v>8.6454786227771474E-2</v>
      </c>
      <c r="AJ74" s="97">
        <f t="shared" si="208"/>
        <v>8.645478622777146E-2</v>
      </c>
      <c r="AK74" s="97">
        <f t="shared" si="208"/>
        <v>8.6454786227771474E-2</v>
      </c>
      <c r="AL74" s="97">
        <f t="shared" si="208"/>
        <v>8.6454786227771474E-2</v>
      </c>
      <c r="AM74" s="97">
        <f t="shared" si="209"/>
        <v>8.6454786227771474E-2</v>
      </c>
      <c r="AN74" s="97">
        <f t="shared" si="209"/>
        <v>8.6454786227771474E-2</v>
      </c>
      <c r="AO74" s="97">
        <f t="shared" si="209"/>
        <v>8.6454786227771446E-2</v>
      </c>
      <c r="AP74" s="97">
        <f t="shared" si="209"/>
        <v>8.6454786227771474E-2</v>
      </c>
      <c r="AQ74" s="97">
        <f t="shared" si="209"/>
        <v>8.645478622777146E-2</v>
      </c>
      <c r="AR74" s="97">
        <f t="shared" si="209"/>
        <v>8.6454786227771446E-2</v>
      </c>
      <c r="AS74" s="97">
        <f t="shared" si="209"/>
        <v>8.645478622777146E-2</v>
      </c>
      <c r="AT74" s="97">
        <f t="shared" si="210"/>
        <v>8.6454786227771474E-2</v>
      </c>
      <c r="AU74" s="97">
        <f t="shared" si="210"/>
        <v>8.6454786227771474E-2</v>
      </c>
      <c r="AV74" s="97">
        <f t="shared" si="210"/>
        <v>8.645478622777146E-2</v>
      </c>
      <c r="AW74" s="97">
        <f t="shared" si="210"/>
        <v>8.645478622777146E-2</v>
      </c>
      <c r="AX74" s="97">
        <f t="shared" si="210"/>
        <v>8.645478622777146E-2</v>
      </c>
      <c r="AY74" s="97">
        <f t="shared" si="210"/>
        <v>8.6454786227771474E-2</v>
      </c>
      <c r="AZ74" s="97">
        <f t="shared" si="210"/>
        <v>8.645478622777146E-2</v>
      </c>
      <c r="BA74" s="97">
        <f t="shared" si="210"/>
        <v>8.645478622777146E-2</v>
      </c>
      <c r="BB74" s="97">
        <f t="shared" si="210"/>
        <v>8.6454786227771474E-2</v>
      </c>
    </row>
    <row r="75" spans="1:54" x14ac:dyDescent="0.25">
      <c r="A75" s="116" t="s">
        <v>832</v>
      </c>
      <c r="B75" s="117">
        <f t="shared" si="122"/>
        <v>1029.9491585557437</v>
      </c>
      <c r="C75" s="117">
        <f t="shared" si="122"/>
        <v>1261.959533711346</v>
      </c>
      <c r="D75" s="117">
        <f t="shared" ref="D75:G75" si="217">D31</f>
        <v>1485.3876667057309</v>
      </c>
      <c r="E75" s="117">
        <f t="shared" si="217"/>
        <v>891.78557281977407</v>
      </c>
      <c r="F75" s="117">
        <f t="shared" si="217"/>
        <v>809.15044961988133</v>
      </c>
      <c r="G75" s="117">
        <f t="shared" si="217"/>
        <v>673.84275925687552</v>
      </c>
      <c r="H75" s="117">
        <f t="shared" ref="H75:R75" si="218">H31</f>
        <v>1057.4020982320988</v>
      </c>
      <c r="I75" s="117">
        <f t="shared" si="218"/>
        <v>1065.7651035521405</v>
      </c>
      <c r="J75" s="117">
        <f t="shared" si="218"/>
        <v>1084.0488907926381</v>
      </c>
      <c r="K75" s="117">
        <f t="shared" si="218"/>
        <v>1102.3326780331361</v>
      </c>
      <c r="L75" s="117">
        <f t="shared" si="218"/>
        <v>1126.1696151538422</v>
      </c>
      <c r="M75" s="117">
        <f t="shared" si="218"/>
        <v>1132.2488651087328</v>
      </c>
      <c r="N75" s="117">
        <f t="shared" si="218"/>
        <v>1152.7759920418489</v>
      </c>
      <c r="O75" s="117">
        <f t="shared" si="218"/>
        <v>1150.2766961213731</v>
      </c>
      <c r="P75" s="117">
        <f t="shared" si="218"/>
        <v>1157.3248542857189</v>
      </c>
      <c r="Q75" s="117">
        <f t="shared" si="218"/>
        <v>1164.5456767380097</v>
      </c>
      <c r="R75" s="117">
        <f t="shared" si="218"/>
        <v>1177.6627732571772</v>
      </c>
      <c r="S75" s="117">
        <f t="shared" ref="S75:AA75" si="219">S31</f>
        <v>1190.7798697763446</v>
      </c>
      <c r="T75" s="117">
        <f t="shared" si="219"/>
        <v>1203.8969662955119</v>
      </c>
      <c r="U75" s="117">
        <f t="shared" si="219"/>
        <v>1217.0140628146794</v>
      </c>
      <c r="V75" s="117">
        <f t="shared" si="219"/>
        <v>1230.1311593338467</v>
      </c>
      <c r="W75" s="117">
        <f t="shared" si="219"/>
        <v>1236.4886592428211</v>
      </c>
      <c r="X75" s="117">
        <f t="shared" si="219"/>
        <v>1242.8461591517955</v>
      </c>
      <c r="Y75" s="117">
        <f t="shared" si="219"/>
        <v>1249.20365906077</v>
      </c>
      <c r="Z75" s="117">
        <f t="shared" si="219"/>
        <v>1255.5611589697444</v>
      </c>
      <c r="AA75" s="117">
        <f t="shared" si="219"/>
        <v>1261.9186588787188</v>
      </c>
      <c r="AB75" s="821"/>
      <c r="AC75" s="97">
        <f t="shared" si="208"/>
        <v>2.0809685962920925E-2</v>
      </c>
      <c r="AD75" s="97">
        <f t="shared" si="208"/>
        <v>2.6217228464419477E-2</v>
      </c>
      <c r="AE75" s="97">
        <f t="shared" si="208"/>
        <v>3.1527093596059118E-2</v>
      </c>
      <c r="AF75" s="97">
        <f t="shared" si="208"/>
        <v>1.7055655296229804E-2</v>
      </c>
      <c r="AG75" s="97">
        <f t="shared" si="208"/>
        <v>1.5843429636533086E-2</v>
      </c>
      <c r="AH75" s="97">
        <f t="shared" si="208"/>
        <v>1.3779527559055114E-2</v>
      </c>
      <c r="AI75" s="97">
        <f t="shared" si="208"/>
        <v>2.0809685962920925E-2</v>
      </c>
      <c r="AJ75" s="97">
        <f t="shared" si="208"/>
        <v>2.0809685962920925E-2</v>
      </c>
      <c r="AK75" s="97">
        <f t="shared" si="208"/>
        <v>2.0809685962920925E-2</v>
      </c>
      <c r="AL75" s="97">
        <f t="shared" si="208"/>
        <v>2.0809685962920925E-2</v>
      </c>
      <c r="AM75" s="97">
        <f t="shared" si="209"/>
        <v>2.0809685962920925E-2</v>
      </c>
      <c r="AN75" s="97">
        <f t="shared" si="209"/>
        <v>2.0809685962920925E-2</v>
      </c>
      <c r="AO75" s="97">
        <f t="shared" si="209"/>
        <v>2.0809685962920925E-2</v>
      </c>
      <c r="AP75" s="97">
        <f t="shared" si="209"/>
        <v>2.0809685962920925E-2</v>
      </c>
      <c r="AQ75" s="97">
        <f t="shared" si="209"/>
        <v>2.0809685962920921E-2</v>
      </c>
      <c r="AR75" s="97">
        <f t="shared" si="209"/>
        <v>2.0809685962920921E-2</v>
      </c>
      <c r="AS75" s="97">
        <f t="shared" si="209"/>
        <v>2.0809685962920925E-2</v>
      </c>
      <c r="AT75" s="97">
        <f t="shared" si="210"/>
        <v>2.0809685962920925E-2</v>
      </c>
      <c r="AU75" s="97">
        <f t="shared" si="210"/>
        <v>2.0809685962920925E-2</v>
      </c>
      <c r="AV75" s="97">
        <f t="shared" si="210"/>
        <v>2.0809685962920925E-2</v>
      </c>
      <c r="AW75" s="97">
        <f t="shared" si="210"/>
        <v>2.0809685962920925E-2</v>
      </c>
      <c r="AX75" s="97">
        <f t="shared" si="210"/>
        <v>2.0809685962920925E-2</v>
      </c>
      <c r="AY75" s="97">
        <f t="shared" si="210"/>
        <v>2.0809685962920928E-2</v>
      </c>
      <c r="AZ75" s="97">
        <f t="shared" si="210"/>
        <v>2.0809685962920925E-2</v>
      </c>
      <c r="BA75" s="97">
        <f t="shared" si="210"/>
        <v>2.0809685962920925E-2</v>
      </c>
      <c r="BB75" s="97">
        <f t="shared" si="210"/>
        <v>2.0809685962920921E-2</v>
      </c>
    </row>
    <row r="76" spans="1:54" x14ac:dyDescent="0.25">
      <c r="A76" s="116" t="s">
        <v>833</v>
      </c>
      <c r="B76" s="117">
        <f t="shared" si="122"/>
        <v>449.4323600970518</v>
      </c>
      <c r="C76" s="117">
        <f t="shared" si="122"/>
        <v>450.69983346833783</v>
      </c>
      <c r="D76" s="117">
        <f t="shared" ref="D76:G76" si="220">D32</f>
        <v>232.09182292277043</v>
      </c>
      <c r="E76" s="117">
        <f t="shared" si="220"/>
        <v>657.10515891983357</v>
      </c>
      <c r="F76" s="117">
        <f t="shared" si="220"/>
        <v>713.95627907636572</v>
      </c>
      <c r="G76" s="117">
        <f t="shared" si="220"/>
        <v>192.52650264482159</v>
      </c>
      <c r="H76" s="117">
        <f t="shared" ref="H76:R76" si="221">H32</f>
        <v>461.41182468309762</v>
      </c>
      <c r="I76" s="117">
        <f t="shared" si="221"/>
        <v>465.06113609547947</v>
      </c>
      <c r="J76" s="117">
        <f t="shared" si="221"/>
        <v>473.03951598224211</v>
      </c>
      <c r="K76" s="117">
        <f t="shared" si="221"/>
        <v>481.01789586900486</v>
      </c>
      <c r="L76" s="117">
        <f t="shared" si="221"/>
        <v>491.41946843076749</v>
      </c>
      <c r="M76" s="117">
        <f t="shared" si="221"/>
        <v>494.07223204744707</v>
      </c>
      <c r="N76" s="117">
        <f t="shared" si="221"/>
        <v>503.02952380007946</v>
      </c>
      <c r="O76" s="117">
        <f t="shared" si="221"/>
        <v>501.93892194387195</v>
      </c>
      <c r="P76" s="117">
        <f t="shared" si="221"/>
        <v>505.01448187013193</v>
      </c>
      <c r="Q76" s="117">
        <f t="shared" si="221"/>
        <v>508.16538621294973</v>
      </c>
      <c r="R76" s="117">
        <f t="shared" si="221"/>
        <v>513.88921014858636</v>
      </c>
      <c r="S76" s="117">
        <f t="shared" ref="S76:AA76" si="222">S32</f>
        <v>519.61303408422305</v>
      </c>
      <c r="T76" s="117">
        <f t="shared" si="222"/>
        <v>525.33685801985973</v>
      </c>
      <c r="U76" s="117">
        <f t="shared" si="222"/>
        <v>531.06068195549642</v>
      </c>
      <c r="V76" s="117">
        <f t="shared" si="222"/>
        <v>536.78450589113311</v>
      </c>
      <c r="W76" s="117">
        <f t="shared" si="222"/>
        <v>539.55868766959463</v>
      </c>
      <c r="X76" s="117">
        <f t="shared" si="222"/>
        <v>542.33286944805616</v>
      </c>
      <c r="Y76" s="117">
        <f t="shared" si="222"/>
        <v>545.1070512265178</v>
      </c>
      <c r="Z76" s="117">
        <f t="shared" si="222"/>
        <v>547.88123300497932</v>
      </c>
      <c r="AA76" s="117">
        <f t="shared" si="222"/>
        <v>550.65541478344096</v>
      </c>
      <c r="AB76" s="821"/>
      <c r="AC76" s="97">
        <f t="shared" si="208"/>
        <v>9.0805902383654935E-3</v>
      </c>
      <c r="AD76" s="97">
        <f t="shared" si="208"/>
        <v>9.3632958801498131E-3</v>
      </c>
      <c r="AE76" s="97">
        <f t="shared" si="208"/>
        <v>4.9261083743842374E-3</v>
      </c>
      <c r="AF76" s="97">
        <f t="shared" si="208"/>
        <v>1.2567324955116697E-2</v>
      </c>
      <c r="AG76" s="97">
        <f t="shared" si="208"/>
        <v>1.3979496738117424E-2</v>
      </c>
      <c r="AH76" s="97">
        <f t="shared" si="208"/>
        <v>3.9370078740157471E-3</v>
      </c>
      <c r="AI76" s="97">
        <f t="shared" si="208"/>
        <v>9.0805902383654952E-3</v>
      </c>
      <c r="AJ76" s="97">
        <f t="shared" si="208"/>
        <v>9.0805902383654935E-3</v>
      </c>
      <c r="AK76" s="97">
        <f t="shared" si="208"/>
        <v>9.0805902383654952E-3</v>
      </c>
      <c r="AL76" s="97">
        <f t="shared" si="208"/>
        <v>9.0805902383654952E-3</v>
      </c>
      <c r="AM76" s="97">
        <f t="shared" si="209"/>
        <v>9.0805902383654935E-3</v>
      </c>
      <c r="AN76" s="97">
        <f t="shared" si="209"/>
        <v>9.0805902383654952E-3</v>
      </c>
      <c r="AO76" s="97">
        <f t="shared" si="209"/>
        <v>9.0805902383654935E-3</v>
      </c>
      <c r="AP76" s="97">
        <f t="shared" si="209"/>
        <v>9.0805902383654952E-3</v>
      </c>
      <c r="AQ76" s="97">
        <f t="shared" si="209"/>
        <v>9.0805902383654952E-3</v>
      </c>
      <c r="AR76" s="97">
        <f t="shared" si="209"/>
        <v>9.0805902383654935E-3</v>
      </c>
      <c r="AS76" s="97">
        <f t="shared" si="209"/>
        <v>9.0805902383654935E-3</v>
      </c>
      <c r="AT76" s="97">
        <f t="shared" si="210"/>
        <v>9.0805902383654935E-3</v>
      </c>
      <c r="AU76" s="97">
        <f t="shared" si="210"/>
        <v>9.0805902383654952E-3</v>
      </c>
      <c r="AV76" s="97">
        <f t="shared" si="210"/>
        <v>9.0805902383654935E-3</v>
      </c>
      <c r="AW76" s="97">
        <f t="shared" si="210"/>
        <v>9.0805902383654952E-3</v>
      </c>
      <c r="AX76" s="97">
        <f t="shared" si="210"/>
        <v>9.0805902383654935E-3</v>
      </c>
      <c r="AY76" s="97">
        <f t="shared" si="210"/>
        <v>9.0805902383654935E-3</v>
      </c>
      <c r="AZ76" s="97">
        <f t="shared" si="210"/>
        <v>9.0805902383654952E-3</v>
      </c>
      <c r="BA76" s="97">
        <f t="shared" si="210"/>
        <v>9.0805902383654935E-3</v>
      </c>
      <c r="BB76" s="97">
        <f t="shared" si="210"/>
        <v>9.0805902383654935E-3</v>
      </c>
    </row>
    <row r="77" spans="1:54" x14ac:dyDescent="0.25">
      <c r="A77" s="116" t="s">
        <v>834</v>
      </c>
      <c r="B77" s="117">
        <f t="shared" si="122"/>
        <v>786.50663016984061</v>
      </c>
      <c r="C77" s="117">
        <f t="shared" si="122"/>
        <v>946.46965028350951</v>
      </c>
      <c r="D77" s="117">
        <f t="shared" ref="D77:G77" si="223">D33</f>
        <v>928.36729169108173</v>
      </c>
      <c r="E77" s="117">
        <f t="shared" si="223"/>
        <v>750.97732447980979</v>
      </c>
      <c r="F77" s="117">
        <f t="shared" si="223"/>
        <v>523.56793798933484</v>
      </c>
      <c r="G77" s="117">
        <f t="shared" si="223"/>
        <v>770.10601057928636</v>
      </c>
      <c r="H77" s="117">
        <f t="shared" ref="H77:R77" si="224">H33</f>
        <v>807.47069319542072</v>
      </c>
      <c r="I77" s="117">
        <f t="shared" si="224"/>
        <v>813.85698816708907</v>
      </c>
      <c r="J77" s="117">
        <f t="shared" si="224"/>
        <v>827.81915296892362</v>
      </c>
      <c r="K77" s="117">
        <f t="shared" si="224"/>
        <v>841.78131777075851</v>
      </c>
      <c r="L77" s="117">
        <f t="shared" si="224"/>
        <v>859.98406975384307</v>
      </c>
      <c r="M77" s="117">
        <f t="shared" si="224"/>
        <v>864.62640608303229</v>
      </c>
      <c r="N77" s="117">
        <f t="shared" si="224"/>
        <v>880.30166665013894</v>
      </c>
      <c r="O77" s="117">
        <f t="shared" si="224"/>
        <v>878.39311340177585</v>
      </c>
      <c r="P77" s="117">
        <f t="shared" si="224"/>
        <v>883.77534327273077</v>
      </c>
      <c r="Q77" s="117">
        <f t="shared" si="224"/>
        <v>889.28942587266204</v>
      </c>
      <c r="R77" s="117">
        <f t="shared" si="224"/>
        <v>899.30611776002615</v>
      </c>
      <c r="S77" s="117">
        <f t="shared" ref="S77:AA77" si="225">S33</f>
        <v>909.32280964739027</v>
      </c>
      <c r="T77" s="117">
        <f t="shared" si="225"/>
        <v>919.3395015347545</v>
      </c>
      <c r="U77" s="117">
        <f t="shared" si="225"/>
        <v>929.35619342211862</v>
      </c>
      <c r="V77" s="117">
        <f t="shared" si="225"/>
        <v>939.37288530948274</v>
      </c>
      <c r="W77" s="117">
        <f t="shared" si="225"/>
        <v>944.22770342179069</v>
      </c>
      <c r="X77" s="117">
        <f t="shared" si="225"/>
        <v>949.0825215340983</v>
      </c>
      <c r="Y77" s="117">
        <f t="shared" si="225"/>
        <v>953.93733964640614</v>
      </c>
      <c r="Z77" s="117">
        <f t="shared" si="225"/>
        <v>958.79215775871387</v>
      </c>
      <c r="AA77" s="117">
        <f t="shared" si="225"/>
        <v>963.6469758710216</v>
      </c>
      <c r="AB77" s="117"/>
      <c r="AC77" s="97">
        <f t="shared" si="208"/>
        <v>1.5891032917139614E-2</v>
      </c>
      <c r="AD77" s="97">
        <f t="shared" si="208"/>
        <v>1.9662921348314606E-2</v>
      </c>
      <c r="AE77" s="97">
        <f t="shared" si="208"/>
        <v>1.970443349753695E-2</v>
      </c>
      <c r="AF77" s="97">
        <f t="shared" si="208"/>
        <v>1.4362657091561939E-2</v>
      </c>
      <c r="AG77" s="97">
        <f t="shared" si="208"/>
        <v>1.0251630941286111E-2</v>
      </c>
      <c r="AH77" s="97">
        <f t="shared" si="208"/>
        <v>1.5748031496062988E-2</v>
      </c>
      <c r="AI77" s="97">
        <f t="shared" si="208"/>
        <v>1.5891032917139614E-2</v>
      </c>
      <c r="AJ77" s="97">
        <f t="shared" si="208"/>
        <v>1.5891032917139614E-2</v>
      </c>
      <c r="AK77" s="97">
        <f t="shared" si="208"/>
        <v>1.5891032917139614E-2</v>
      </c>
      <c r="AL77" s="97">
        <f t="shared" si="208"/>
        <v>1.5891032917139617E-2</v>
      </c>
      <c r="AM77" s="97">
        <f t="shared" si="209"/>
        <v>1.5891032917139614E-2</v>
      </c>
      <c r="AN77" s="97">
        <f t="shared" si="209"/>
        <v>1.5891032917139614E-2</v>
      </c>
      <c r="AO77" s="97">
        <f t="shared" si="209"/>
        <v>1.5891032917139614E-2</v>
      </c>
      <c r="AP77" s="97">
        <f t="shared" si="209"/>
        <v>1.5891032917139614E-2</v>
      </c>
      <c r="AQ77" s="97">
        <f t="shared" si="209"/>
        <v>1.5891032917139614E-2</v>
      </c>
      <c r="AR77" s="97">
        <f t="shared" si="209"/>
        <v>1.5891032917139614E-2</v>
      </c>
      <c r="AS77" s="97">
        <f t="shared" si="209"/>
        <v>1.5891032917139614E-2</v>
      </c>
      <c r="AT77" s="97">
        <f t="shared" si="210"/>
        <v>1.589103291713961E-2</v>
      </c>
      <c r="AU77" s="97">
        <f t="shared" si="210"/>
        <v>1.5891032917139614E-2</v>
      </c>
      <c r="AV77" s="97">
        <f t="shared" si="210"/>
        <v>1.5891032917139614E-2</v>
      </c>
      <c r="AW77" s="97">
        <f t="shared" si="210"/>
        <v>1.5891032917139614E-2</v>
      </c>
      <c r="AX77" s="97">
        <f t="shared" si="210"/>
        <v>1.5891032917139617E-2</v>
      </c>
      <c r="AY77" s="97">
        <f t="shared" si="210"/>
        <v>1.5891032917139617E-2</v>
      </c>
      <c r="AZ77" s="97">
        <f t="shared" si="210"/>
        <v>1.5891032917139614E-2</v>
      </c>
      <c r="BA77" s="97">
        <f t="shared" si="210"/>
        <v>1.5891032917139614E-2</v>
      </c>
      <c r="BB77" s="97">
        <f t="shared" si="210"/>
        <v>1.5891032917139614E-2</v>
      </c>
    </row>
    <row r="78" spans="1:54" x14ac:dyDescent="0.25">
      <c r="A78" s="116" t="s">
        <v>835</v>
      </c>
      <c r="B78" s="117">
        <f t="shared" si="122"/>
        <v>1610.4659570144356</v>
      </c>
      <c r="C78" s="117">
        <f t="shared" si="122"/>
        <v>901.39966693667566</v>
      </c>
      <c r="D78" s="117">
        <f t="shared" ref="D78:G78" si="226">D34</f>
        <v>928.36729169108173</v>
      </c>
      <c r="E78" s="117">
        <f t="shared" si="226"/>
        <v>2393.7402217793938</v>
      </c>
      <c r="F78" s="117">
        <f t="shared" si="226"/>
        <v>2141.8688372290972</v>
      </c>
      <c r="G78" s="117">
        <f t="shared" si="226"/>
        <v>1732.7385238033942</v>
      </c>
      <c r="H78" s="117">
        <f t="shared" ref="H78:R78" si="227">H34</f>
        <v>1653.3923717810999</v>
      </c>
      <c r="I78" s="117">
        <f t="shared" si="227"/>
        <v>1666.4690710088014</v>
      </c>
      <c r="J78" s="117">
        <f t="shared" si="227"/>
        <v>1695.0582656030342</v>
      </c>
      <c r="K78" s="117">
        <f t="shared" si="227"/>
        <v>1723.6474601972673</v>
      </c>
      <c r="L78" s="117">
        <f t="shared" si="227"/>
        <v>1760.9197618769169</v>
      </c>
      <c r="M78" s="117">
        <f t="shared" si="227"/>
        <v>1770.4254981700187</v>
      </c>
      <c r="N78" s="117">
        <f t="shared" si="227"/>
        <v>1802.5224602836179</v>
      </c>
      <c r="O78" s="117">
        <f t="shared" si="227"/>
        <v>1798.6144702988747</v>
      </c>
      <c r="P78" s="117">
        <f t="shared" si="227"/>
        <v>1809.635226701306</v>
      </c>
      <c r="Q78" s="117">
        <f t="shared" si="227"/>
        <v>1820.9259672630699</v>
      </c>
      <c r="R78" s="117">
        <f t="shared" si="227"/>
        <v>1841.4363363657681</v>
      </c>
      <c r="S78" s="117">
        <f t="shared" ref="S78:AA78" si="228">S34</f>
        <v>1861.946705468466</v>
      </c>
      <c r="T78" s="117">
        <f t="shared" si="228"/>
        <v>1882.4570745711642</v>
      </c>
      <c r="U78" s="117">
        <f t="shared" si="228"/>
        <v>1902.9674436738621</v>
      </c>
      <c r="V78" s="117">
        <f t="shared" si="228"/>
        <v>1923.4778127765601</v>
      </c>
      <c r="W78" s="117">
        <f t="shared" si="228"/>
        <v>1933.4186308160477</v>
      </c>
      <c r="X78" s="117">
        <f t="shared" si="228"/>
        <v>1943.3594488555348</v>
      </c>
      <c r="Y78" s="117">
        <f t="shared" si="228"/>
        <v>1953.3002668950223</v>
      </c>
      <c r="Z78" s="117">
        <f t="shared" si="228"/>
        <v>1963.2410849345094</v>
      </c>
      <c r="AA78" s="117">
        <f t="shared" si="228"/>
        <v>1973.1819029739966</v>
      </c>
      <c r="AB78" s="117"/>
      <c r="AC78" s="97">
        <f t="shared" si="208"/>
        <v>3.2538781687476356E-2</v>
      </c>
      <c r="AD78" s="97">
        <f t="shared" si="208"/>
        <v>1.8726591760299626E-2</v>
      </c>
      <c r="AE78" s="97">
        <f t="shared" si="208"/>
        <v>1.970443349753695E-2</v>
      </c>
      <c r="AF78" s="97">
        <f t="shared" si="208"/>
        <v>4.5780969479353686E-2</v>
      </c>
      <c r="AG78" s="97">
        <f t="shared" si="208"/>
        <v>4.1938490214352274E-2</v>
      </c>
      <c r="AH78" s="97">
        <f t="shared" si="208"/>
        <v>3.5433070866141725E-2</v>
      </c>
      <c r="AI78" s="97">
        <f t="shared" si="208"/>
        <v>3.2538781687476356E-2</v>
      </c>
      <c r="AJ78" s="97">
        <f t="shared" si="208"/>
        <v>3.2538781687476349E-2</v>
      </c>
      <c r="AK78" s="97">
        <f t="shared" si="208"/>
        <v>3.2538781687476356E-2</v>
      </c>
      <c r="AL78" s="97">
        <f t="shared" si="208"/>
        <v>3.2538781687476356E-2</v>
      </c>
      <c r="AM78" s="97">
        <f t="shared" si="209"/>
        <v>3.2538781687476356E-2</v>
      </c>
      <c r="AN78" s="97">
        <f t="shared" si="209"/>
        <v>3.2538781687476356E-2</v>
      </c>
      <c r="AO78" s="97">
        <f t="shared" si="209"/>
        <v>3.2538781687476349E-2</v>
      </c>
      <c r="AP78" s="97">
        <f t="shared" si="209"/>
        <v>3.2538781687476363E-2</v>
      </c>
      <c r="AQ78" s="97">
        <f t="shared" si="209"/>
        <v>3.2538781687476356E-2</v>
      </c>
      <c r="AR78" s="97">
        <f t="shared" si="209"/>
        <v>3.2538781687476356E-2</v>
      </c>
      <c r="AS78" s="97">
        <f t="shared" si="209"/>
        <v>3.2538781687476356E-2</v>
      </c>
      <c r="AT78" s="97">
        <f t="shared" si="210"/>
        <v>3.2538781687476349E-2</v>
      </c>
      <c r="AU78" s="97">
        <f t="shared" si="210"/>
        <v>3.2538781687476356E-2</v>
      </c>
      <c r="AV78" s="97">
        <f t="shared" si="210"/>
        <v>3.2538781687476349E-2</v>
      </c>
      <c r="AW78" s="97">
        <f t="shared" si="210"/>
        <v>3.2538781687476356E-2</v>
      </c>
      <c r="AX78" s="97">
        <f t="shared" si="210"/>
        <v>3.2538781687476356E-2</v>
      </c>
      <c r="AY78" s="97">
        <f t="shared" si="210"/>
        <v>3.2538781687476356E-2</v>
      </c>
      <c r="AZ78" s="97">
        <f t="shared" si="210"/>
        <v>3.2538781687476356E-2</v>
      </c>
      <c r="BA78" s="97">
        <f t="shared" si="210"/>
        <v>3.2538781687476356E-2</v>
      </c>
      <c r="BB78" s="97">
        <f t="shared" si="210"/>
        <v>3.2538781687476349E-2</v>
      </c>
    </row>
    <row r="79" spans="1:54" ht="15.75" thickBot="1" x14ac:dyDescent="0.3">
      <c r="A79" s="92" t="s">
        <v>836</v>
      </c>
      <c r="B79" s="120">
        <f t="shared" si="122"/>
        <v>1610.4659570144356</v>
      </c>
      <c r="C79" s="120">
        <f t="shared" si="122"/>
        <v>901.39966693667566</v>
      </c>
      <c r="D79" s="120">
        <f t="shared" ref="D79:G79" si="229">D35</f>
        <v>928.36729169108173</v>
      </c>
      <c r="E79" s="120">
        <f t="shared" si="229"/>
        <v>2393.7402217793938</v>
      </c>
      <c r="F79" s="120">
        <f t="shared" si="229"/>
        <v>2141.8688372290972</v>
      </c>
      <c r="G79" s="120">
        <f t="shared" si="229"/>
        <v>1732.7385238033942</v>
      </c>
      <c r="H79" s="120">
        <f t="shared" ref="H79:R79" si="230">H35</f>
        <v>1653.3923717810999</v>
      </c>
      <c r="I79" s="120">
        <f t="shared" si="230"/>
        <v>1666.4690710088014</v>
      </c>
      <c r="J79" s="120">
        <f t="shared" si="230"/>
        <v>1695.0582656030342</v>
      </c>
      <c r="K79" s="120">
        <f t="shared" si="230"/>
        <v>1723.6474601972673</v>
      </c>
      <c r="L79" s="120">
        <f t="shared" si="230"/>
        <v>1760.9197618769169</v>
      </c>
      <c r="M79" s="120">
        <f t="shared" si="230"/>
        <v>1770.4254981700187</v>
      </c>
      <c r="N79" s="120">
        <f t="shared" si="230"/>
        <v>1802.5224602836179</v>
      </c>
      <c r="O79" s="120">
        <f t="shared" si="230"/>
        <v>1798.6144702988747</v>
      </c>
      <c r="P79" s="120">
        <f t="shared" si="230"/>
        <v>1809.635226701306</v>
      </c>
      <c r="Q79" s="120">
        <f t="shared" si="230"/>
        <v>1820.9259672630699</v>
      </c>
      <c r="R79" s="120">
        <f t="shared" si="230"/>
        <v>1841.4363363657681</v>
      </c>
      <c r="S79" s="120">
        <f t="shared" ref="S79:AA79" si="231">S35</f>
        <v>1861.946705468466</v>
      </c>
      <c r="T79" s="120">
        <f t="shared" si="231"/>
        <v>1882.4570745711642</v>
      </c>
      <c r="U79" s="120">
        <f t="shared" si="231"/>
        <v>1902.9674436738621</v>
      </c>
      <c r="V79" s="120">
        <f t="shared" si="231"/>
        <v>1923.4778127765601</v>
      </c>
      <c r="W79" s="120">
        <f t="shared" si="231"/>
        <v>1933.4186308160477</v>
      </c>
      <c r="X79" s="120">
        <f t="shared" si="231"/>
        <v>1943.3594488555348</v>
      </c>
      <c r="Y79" s="120">
        <f t="shared" si="231"/>
        <v>1953.3002668950223</v>
      </c>
      <c r="Z79" s="120">
        <f t="shared" si="231"/>
        <v>1963.2410849345094</v>
      </c>
      <c r="AA79" s="120">
        <f t="shared" si="231"/>
        <v>1973.1819029739966</v>
      </c>
      <c r="AB79" s="117"/>
      <c r="AC79" s="121">
        <f t="shared" si="208"/>
        <v>3.2538781687476356E-2</v>
      </c>
      <c r="AD79" s="121">
        <f t="shared" si="208"/>
        <v>1.8726591760299626E-2</v>
      </c>
      <c r="AE79" s="121">
        <f t="shared" si="208"/>
        <v>1.970443349753695E-2</v>
      </c>
      <c r="AF79" s="121">
        <f t="shared" si="208"/>
        <v>4.5780969479353686E-2</v>
      </c>
      <c r="AG79" s="121">
        <f t="shared" si="208"/>
        <v>4.1938490214352274E-2</v>
      </c>
      <c r="AH79" s="121">
        <f t="shared" si="208"/>
        <v>3.5433070866141725E-2</v>
      </c>
      <c r="AI79" s="121">
        <f t="shared" si="208"/>
        <v>3.2538781687476356E-2</v>
      </c>
      <c r="AJ79" s="121">
        <f t="shared" si="208"/>
        <v>3.2538781687476349E-2</v>
      </c>
      <c r="AK79" s="121">
        <f t="shared" si="208"/>
        <v>3.2538781687476356E-2</v>
      </c>
      <c r="AL79" s="121">
        <f t="shared" si="208"/>
        <v>3.2538781687476356E-2</v>
      </c>
      <c r="AM79" s="121">
        <f t="shared" si="209"/>
        <v>3.2538781687476356E-2</v>
      </c>
      <c r="AN79" s="121">
        <f t="shared" si="209"/>
        <v>3.2538781687476356E-2</v>
      </c>
      <c r="AO79" s="121">
        <f t="shared" si="209"/>
        <v>3.2538781687476349E-2</v>
      </c>
      <c r="AP79" s="121">
        <f t="shared" si="209"/>
        <v>3.2538781687476363E-2</v>
      </c>
      <c r="AQ79" s="121">
        <f t="shared" si="209"/>
        <v>3.2538781687476356E-2</v>
      </c>
      <c r="AR79" s="121">
        <f t="shared" si="209"/>
        <v>3.2538781687476356E-2</v>
      </c>
      <c r="AS79" s="121">
        <f t="shared" si="209"/>
        <v>3.2538781687476356E-2</v>
      </c>
      <c r="AT79" s="121">
        <f t="shared" si="210"/>
        <v>3.2538781687476349E-2</v>
      </c>
      <c r="AU79" s="121">
        <f t="shared" si="210"/>
        <v>3.2538781687476356E-2</v>
      </c>
      <c r="AV79" s="121">
        <f t="shared" si="210"/>
        <v>3.2538781687476349E-2</v>
      </c>
      <c r="AW79" s="121">
        <f t="shared" si="210"/>
        <v>3.2538781687476356E-2</v>
      </c>
      <c r="AX79" s="121">
        <f t="shared" si="210"/>
        <v>3.2538781687476356E-2</v>
      </c>
      <c r="AY79" s="121">
        <f t="shared" si="210"/>
        <v>3.2538781687476356E-2</v>
      </c>
      <c r="AZ79" s="121">
        <f t="shared" si="210"/>
        <v>3.2538781687476356E-2</v>
      </c>
      <c r="BA79" s="121">
        <f t="shared" si="210"/>
        <v>3.2538781687476356E-2</v>
      </c>
      <c r="BB79" s="121">
        <f t="shared" si="210"/>
        <v>3.2538781687476349E-2</v>
      </c>
    </row>
    <row r="80" spans="1:54" ht="15.75" thickTop="1" x14ac:dyDescent="0.25">
      <c r="A80" s="116" t="s">
        <v>456</v>
      </c>
      <c r="B80" s="117">
        <f t="shared" si="122"/>
        <v>49493.738655687826</v>
      </c>
      <c r="C80" s="117">
        <f t="shared" si="122"/>
        <v>48134.742214418482</v>
      </c>
      <c r="D80" s="117">
        <f t="shared" si="122"/>
        <v>47114.640053322393</v>
      </c>
      <c r="E80" s="117">
        <f t="shared" si="122"/>
        <v>52286.796216906754</v>
      </c>
      <c r="F80" s="117">
        <f t="shared" si="122"/>
        <v>51071.672496596038</v>
      </c>
      <c r="G80" s="117">
        <f t="shared" si="122"/>
        <v>48901.731671784692</v>
      </c>
      <c r="H80" s="117">
        <f t="shared" ref="H80:R80" si="232">H36</f>
        <v>50812.977193226121</v>
      </c>
      <c r="I80" s="117">
        <f t="shared" si="232"/>
        <v>51214.857612514679</v>
      </c>
      <c r="J80" s="117">
        <f t="shared" si="232"/>
        <v>52093.476697544407</v>
      </c>
      <c r="K80" s="117">
        <f t="shared" si="232"/>
        <v>52972.09578257415</v>
      </c>
      <c r="L80" s="117">
        <f t="shared" si="232"/>
        <v>54117.568960938268</v>
      </c>
      <c r="M80" s="117">
        <f t="shared" si="232"/>
        <v>54409.7045542251</v>
      </c>
      <c r="N80" s="117">
        <f t="shared" si="232"/>
        <v>55396.126308483748</v>
      </c>
      <c r="O80" s="117">
        <f t="shared" si="232"/>
        <v>55276.023779068892</v>
      </c>
      <c r="P80" s="117">
        <f t="shared" si="232"/>
        <v>55614.719815948272</v>
      </c>
      <c r="Q80" s="117">
        <f t="shared" si="232"/>
        <v>55961.713156701087</v>
      </c>
      <c r="R80" s="117">
        <f t="shared" si="232"/>
        <v>56592.049267613074</v>
      </c>
      <c r="S80" s="117">
        <f t="shared" ref="S80:AA80" si="233">S36</f>
        <v>57222.385378525069</v>
      </c>
      <c r="T80" s="117">
        <f t="shared" si="233"/>
        <v>57852.721489437048</v>
      </c>
      <c r="U80" s="117">
        <f t="shared" si="233"/>
        <v>58483.057600349042</v>
      </c>
      <c r="V80" s="117">
        <f t="shared" si="233"/>
        <v>59113.393711261022</v>
      </c>
      <c r="W80" s="117">
        <f t="shared" si="233"/>
        <v>59418.900479614109</v>
      </c>
      <c r="X80" s="117">
        <f t="shared" si="233"/>
        <v>59724.407247967181</v>
      </c>
      <c r="Y80" s="117">
        <f t="shared" si="233"/>
        <v>60029.914016320268</v>
      </c>
      <c r="Z80" s="117">
        <f t="shared" si="233"/>
        <v>60335.420784673348</v>
      </c>
      <c r="AA80" s="117">
        <f t="shared" si="233"/>
        <v>60640.927553026435</v>
      </c>
      <c r="AB80" s="117"/>
      <c r="AC80" s="97">
        <f t="shared" ref="AC80:AD80" si="234">SUM(AC50,AC72:AC79)</f>
        <v>1</v>
      </c>
      <c r="AD80" s="97">
        <f t="shared" si="234"/>
        <v>1</v>
      </c>
      <c r="AE80" s="97">
        <f t="shared" ref="AE80" si="235">SUM(AE50,AE72:AE79)</f>
        <v>1</v>
      </c>
      <c r="AF80" s="97">
        <f t="shared" ref="AF80" si="236">SUM(AF50,AF72:AF79)</f>
        <v>1</v>
      </c>
      <c r="AG80" s="97">
        <f t="shared" ref="AG80" si="237">SUM(AG50,AG72:AG79)</f>
        <v>0.99999999999999989</v>
      </c>
      <c r="AH80" s="97">
        <f t="shared" ref="AH80" si="238">SUM(AH50,AH72:AH79)</f>
        <v>0.99999999999999978</v>
      </c>
      <c r="AI80" s="97">
        <f t="shared" ref="AI80" si="239">SUM(AI50,AI72:AI79)</f>
        <v>1</v>
      </c>
      <c r="AJ80" s="97">
        <f t="shared" ref="AJ80" si="240">SUM(AJ50,AJ72:AJ79)</f>
        <v>1</v>
      </c>
      <c r="AK80" s="97">
        <f t="shared" ref="AK80" si="241">SUM(AK50,AK72:AK79)</f>
        <v>1</v>
      </c>
      <c r="AL80" s="97">
        <f t="shared" ref="AL80" si="242">SUM(AL50,AL72:AL79)</f>
        <v>1</v>
      </c>
      <c r="AM80" s="97">
        <f t="shared" ref="AM80" si="243">SUM(AM50,AM72:AM79)</f>
        <v>1</v>
      </c>
      <c r="AN80" s="97">
        <f t="shared" ref="AN80" si="244">SUM(AN50,AN72:AN79)</f>
        <v>1</v>
      </c>
      <c r="AO80" s="97">
        <f t="shared" ref="AO80" si="245">SUM(AO50,AO72:AO79)</f>
        <v>1</v>
      </c>
      <c r="AP80" s="97">
        <f t="shared" ref="AP80" si="246">SUM(AP50,AP72:AP79)</f>
        <v>1</v>
      </c>
      <c r="AQ80" s="97">
        <f t="shared" ref="AQ80" si="247">SUM(AQ50,AQ72:AQ79)</f>
        <v>1</v>
      </c>
      <c r="AR80" s="97">
        <f t="shared" ref="AR80" si="248">SUM(AR50,AR72:AR79)</f>
        <v>1</v>
      </c>
      <c r="AS80" s="97">
        <f t="shared" ref="AS80:BB80" si="249">SUM(AS50,AS72:AS79)</f>
        <v>1</v>
      </c>
      <c r="AT80" s="97">
        <f t="shared" si="249"/>
        <v>0.99999999999999989</v>
      </c>
      <c r="AU80" s="97">
        <f t="shared" si="249"/>
        <v>1</v>
      </c>
      <c r="AV80" s="97">
        <f t="shared" si="249"/>
        <v>1</v>
      </c>
      <c r="AW80" s="97">
        <f t="shared" si="249"/>
        <v>1</v>
      </c>
      <c r="AX80" s="97">
        <f t="shared" si="249"/>
        <v>1</v>
      </c>
      <c r="AY80" s="97">
        <f t="shared" si="249"/>
        <v>1</v>
      </c>
      <c r="AZ80" s="97">
        <f t="shared" si="249"/>
        <v>1</v>
      </c>
      <c r="BA80" s="97">
        <f t="shared" si="249"/>
        <v>1</v>
      </c>
      <c r="BB80" s="97">
        <f t="shared" si="249"/>
        <v>1</v>
      </c>
    </row>
    <row r="81" spans="1:45" x14ac:dyDescent="0.25">
      <c r="A81" s="123" t="s">
        <v>837</v>
      </c>
      <c r="B81" s="124" t="s">
        <v>336</v>
      </c>
      <c r="C81" s="124" t="s">
        <v>336</v>
      </c>
      <c r="D81" s="478">
        <f>D80-C80</f>
        <v>-1020.1021610960888</v>
      </c>
      <c r="E81" s="478">
        <f t="shared" ref="E81" si="250">E80-D80</f>
        <v>5172.1561635843609</v>
      </c>
      <c r="F81" s="478">
        <f t="shared" ref="F81" si="251">F80-E80</f>
        <v>-1215.1237203107157</v>
      </c>
      <c r="G81" s="478">
        <f t="shared" ref="G81" si="252">G80-F80</f>
        <v>-2169.9408248113468</v>
      </c>
      <c r="H81" s="478">
        <f t="shared" ref="H81" si="253">H80-G80</f>
        <v>1911.2455214414294</v>
      </c>
      <c r="I81" s="478">
        <f t="shared" ref="I81" si="254">I80-H80</f>
        <v>401.88041928855819</v>
      </c>
      <c r="J81" s="478">
        <f t="shared" ref="J81" si="255">J80-I80</f>
        <v>878.61908502972801</v>
      </c>
      <c r="K81" s="478">
        <f t="shared" ref="K81" si="256">K80-J80</f>
        <v>878.61908502974256</v>
      </c>
      <c r="L81" s="478">
        <f t="shared" ref="L81" si="257">L80-K80</f>
        <v>1145.4731783641182</v>
      </c>
      <c r="M81" s="478">
        <f t="shared" ref="M81" si="258">M80-L80</f>
        <v>292.13559328683186</v>
      </c>
      <c r="N81" s="478">
        <f t="shared" ref="N81" si="259">N80-M80</f>
        <v>986.42175425864843</v>
      </c>
      <c r="O81" s="478">
        <f t="shared" ref="O81" si="260">O80-N80</f>
        <v>-120.10252941485669</v>
      </c>
      <c r="P81" s="478">
        <f t="shared" ref="P81" si="261">P80-O80</f>
        <v>338.6960368793807</v>
      </c>
      <c r="Q81" s="478">
        <f t="shared" ref="Q81" si="262">Q80-P80</f>
        <v>346.99334075281513</v>
      </c>
      <c r="R81" s="478">
        <f t="shared" ref="R81" si="263">R80-Q80</f>
        <v>630.33611091198691</v>
      </c>
      <c r="S81" s="478">
        <f t="shared" ref="S81" si="264">S80-R80</f>
        <v>630.33611091199418</v>
      </c>
      <c r="T81" s="478">
        <f t="shared" ref="T81" si="265">T80-S80</f>
        <v>630.33611091197963</v>
      </c>
      <c r="U81" s="478">
        <f t="shared" ref="U81" si="266">U80-T80</f>
        <v>630.33611091199418</v>
      </c>
      <c r="V81" s="478">
        <f t="shared" ref="V81" si="267">V80-U80</f>
        <v>630.33611091197963</v>
      </c>
      <c r="W81" s="478">
        <f t="shared" ref="W81" si="268">W80-V80</f>
        <v>305.50676835308695</v>
      </c>
      <c r="X81" s="478">
        <f t="shared" ref="X81" si="269">X80-W80</f>
        <v>305.5067683530724</v>
      </c>
      <c r="Y81" s="478">
        <f t="shared" ref="Y81" si="270">Y80-X80</f>
        <v>305.50676835308695</v>
      </c>
      <c r="Z81" s="478">
        <f t="shared" ref="Z81" si="271">Z80-Y80</f>
        <v>305.50676835307968</v>
      </c>
      <c r="AA81" s="478">
        <f t="shared" ref="AA81" si="272">AA80-Z80</f>
        <v>305.50676835308695</v>
      </c>
      <c r="AB81" s="117"/>
      <c r="AD81" s="97"/>
      <c r="AE81" s="97"/>
      <c r="AF81" s="97"/>
      <c r="AG81" s="97"/>
      <c r="AH81" s="97"/>
      <c r="AI81" s="97"/>
      <c r="AJ81" s="97"/>
      <c r="AK81" s="97"/>
      <c r="AL81" s="97"/>
      <c r="AM81" s="97"/>
      <c r="AN81" s="97"/>
      <c r="AO81" s="97"/>
      <c r="AP81" s="97"/>
      <c r="AQ81" s="97"/>
      <c r="AR81" s="97"/>
      <c r="AS81" s="97"/>
    </row>
    <row r="82" spans="1:45" x14ac:dyDescent="0.25">
      <c r="A82" s="116" t="s">
        <v>852</v>
      </c>
      <c r="B82" s="117">
        <f t="shared" si="122"/>
        <v>0</v>
      </c>
      <c r="C82" s="117">
        <f t="shared" si="122"/>
        <v>45385.473230261625</v>
      </c>
      <c r="D82" s="117">
        <f t="shared" si="122"/>
        <v>44329.538178249153</v>
      </c>
      <c r="E82" s="117">
        <f t="shared" si="122"/>
        <v>46748.338448868155</v>
      </c>
      <c r="F82" s="117">
        <f t="shared" si="122"/>
        <v>46264.366884148505</v>
      </c>
      <c r="G82" s="117">
        <f t="shared" si="122"/>
        <v>44666.148613598612</v>
      </c>
      <c r="H82" s="117">
        <f t="shared" si="122"/>
        <v>46698.721756468505</v>
      </c>
      <c r="I82" s="117">
        <f t="shared" si="122"/>
        <v>47068.062482329988</v>
      </c>
      <c r="J82" s="117">
        <f t="shared" si="122"/>
        <v>47875.541013369417</v>
      </c>
      <c r="K82" s="117">
        <f t="shared" si="122"/>
        <v>48683.01954440886</v>
      </c>
      <c r="L82" s="117">
        <f t="shared" si="122"/>
        <v>49735.745367430587</v>
      </c>
      <c r="M82" s="117">
        <f t="shared" si="122"/>
        <v>50004.227151802035</v>
      </c>
      <c r="N82" s="117">
        <f t="shared" si="122"/>
        <v>50910.779721266365</v>
      </c>
      <c r="O82" s="117">
        <f t="shared" si="122"/>
        <v>50800.401725069372</v>
      </c>
      <c r="P82" s="117">
        <f t="shared" si="122"/>
        <v>51111.674019272919</v>
      </c>
      <c r="Q82" s="117">
        <f t="shared" si="122"/>
        <v>51430.571796302283</v>
      </c>
      <c r="R82" s="117">
        <f t="shared" ref="R82:AA82" si="273">R38</f>
        <v>52009.870477121513</v>
      </c>
      <c r="S82" s="117">
        <f t="shared" si="273"/>
        <v>52589.169157940734</v>
      </c>
      <c r="T82" s="117">
        <f t="shared" si="273"/>
        <v>53168.467838759971</v>
      </c>
      <c r="U82" s="117">
        <f t="shared" si="273"/>
        <v>53747.766519579185</v>
      </c>
      <c r="V82" s="117">
        <f t="shared" si="273"/>
        <v>54327.065200398429</v>
      </c>
      <c r="W82" s="117">
        <f t="shared" si="273"/>
        <v>54607.835514560225</v>
      </c>
      <c r="X82" s="117">
        <f t="shared" si="273"/>
        <v>54888.605828722022</v>
      </c>
      <c r="Y82" s="117">
        <f t="shared" si="273"/>
        <v>55169.376142883819</v>
      </c>
      <c r="Z82" s="117">
        <f t="shared" si="273"/>
        <v>55450.146457045616</v>
      </c>
      <c r="AA82" s="117">
        <f t="shared" si="273"/>
        <v>55730.916771207412</v>
      </c>
      <c r="AB82" s="117"/>
    </row>
    <row r="83" spans="1:45" x14ac:dyDescent="0.25">
      <c r="A83" s="116" t="s">
        <v>853</v>
      </c>
      <c r="B83" s="124" t="s">
        <v>336</v>
      </c>
      <c r="C83" s="124" t="s">
        <v>336</v>
      </c>
      <c r="D83" s="45">
        <v>254.21011841070003</v>
      </c>
      <c r="E83" s="45">
        <v>483.97411884385974</v>
      </c>
      <c r="F83" s="45">
        <v>783.17864631329849</v>
      </c>
      <c r="G83" s="45">
        <v>1051.5140891763899</v>
      </c>
      <c r="H83" s="45">
        <v>1292.5605185938734</v>
      </c>
      <c r="I83" s="45">
        <v>1509.4890171291381</v>
      </c>
      <c r="J83" s="45">
        <v>1705.1074940371586</v>
      </c>
      <c r="K83" s="45">
        <v>1881.9015029008747</v>
      </c>
      <c r="L83" s="45">
        <v>2037.3109171378205</v>
      </c>
      <c r="M83" s="45"/>
      <c r="N83" s="45"/>
      <c r="O83" s="45"/>
      <c r="P83" s="45"/>
      <c r="Q83" s="45"/>
      <c r="R83" s="45"/>
      <c r="S83" s="45"/>
      <c r="T83" s="45"/>
      <c r="U83" s="45"/>
      <c r="V83" s="45"/>
      <c r="W83" s="45"/>
      <c r="X83" s="45"/>
      <c r="Y83" s="45"/>
      <c r="Z83" s="45"/>
      <c r="AA83" s="45"/>
      <c r="AB83" s="45"/>
    </row>
    <row r="84" spans="1:45" x14ac:dyDescent="0.25">
      <c r="A84" s="116" t="s">
        <v>854</v>
      </c>
      <c r="B84" s="124" t="s">
        <v>336</v>
      </c>
      <c r="C84" s="124" t="s">
        <v>336</v>
      </c>
      <c r="D84" s="45">
        <v>254.21011841070003</v>
      </c>
      <c r="E84" s="45">
        <v>229.76400043315971</v>
      </c>
      <c r="F84" s="45">
        <v>299.20452746943874</v>
      </c>
      <c r="G84" s="45">
        <v>268.33544286309143</v>
      </c>
      <c r="H84" s="45">
        <v>241.04642941748352</v>
      </c>
      <c r="I84" s="45">
        <v>216.92849853526468</v>
      </c>
      <c r="J84" s="45">
        <v>195.61847690802051</v>
      </c>
      <c r="K84" s="45">
        <v>176.79400886371604</v>
      </c>
      <c r="L84" s="45">
        <v>155.40941423694585</v>
      </c>
      <c r="M84" s="45"/>
      <c r="N84" s="45"/>
      <c r="O84" s="45"/>
      <c r="P84" s="45"/>
      <c r="Q84" s="45"/>
      <c r="R84" s="45"/>
      <c r="S84" s="45"/>
      <c r="T84" s="45"/>
      <c r="U84" s="45"/>
      <c r="V84" s="45"/>
      <c r="W84" s="45"/>
      <c r="X84" s="45"/>
      <c r="Y84" s="45"/>
      <c r="Z84" s="45"/>
      <c r="AA84" s="45"/>
      <c r="AB84" s="45"/>
    </row>
    <row r="86" spans="1:45" x14ac:dyDescent="0.25">
      <c r="A86" s="130" t="s">
        <v>855</v>
      </c>
      <c r="B86" s="86"/>
      <c r="C86" s="131">
        <f>C21</f>
        <v>3766.3091265068074</v>
      </c>
      <c r="D86" s="131">
        <f t="shared" ref="D86:L86" si="274">D21-D83</f>
        <v>3586.3067717890517</v>
      </c>
      <c r="E86" s="131">
        <f t="shared" si="274"/>
        <v>3535.2202057443383</v>
      </c>
      <c r="F86" s="131">
        <f t="shared" si="274"/>
        <v>2564.7857273732452</v>
      </c>
      <c r="G86" s="131">
        <f t="shared" si="274"/>
        <v>1990.36725505613</v>
      </c>
      <c r="H86" s="131">
        <f t="shared" si="274"/>
        <v>2406.514033757594</v>
      </c>
      <c r="I86" s="131">
        <f t="shared" si="274"/>
        <v>2218.8415582737953</v>
      </c>
      <c r="J86" s="131">
        <f t="shared" si="274"/>
        <v>2087.1846454812717</v>
      </c>
      <c r="K86" s="131">
        <f t="shared" si="274"/>
        <v>1974.3522007330535</v>
      </c>
      <c r="L86" s="131">
        <f t="shared" si="274"/>
        <v>1902.3307499365319</v>
      </c>
      <c r="M86" s="131"/>
      <c r="N86" s="131"/>
      <c r="O86" s="131"/>
      <c r="P86" s="131"/>
      <c r="Q86" s="131"/>
      <c r="R86" s="131"/>
      <c r="S86" s="131"/>
      <c r="T86" s="131"/>
      <c r="U86" s="131"/>
      <c r="V86" s="131"/>
      <c r="W86" s="131"/>
      <c r="X86" s="131"/>
      <c r="Y86" s="131"/>
      <c r="Z86" s="131"/>
      <c r="AA86" s="131"/>
      <c r="AB86" s="131"/>
    </row>
    <row r="87" spans="1:45" x14ac:dyDescent="0.25">
      <c r="A87" s="130" t="s">
        <v>856</v>
      </c>
      <c r="B87" s="86"/>
      <c r="C87" s="131"/>
      <c r="D87" s="131"/>
      <c r="E87" s="131"/>
      <c r="F87" s="131">
        <f t="shared" ref="F87:L87" si="275">F22*$B$92</f>
        <v>2771.1149344152882</v>
      </c>
      <c r="G87" s="131">
        <f t="shared" si="275"/>
        <v>2588.7524809644192</v>
      </c>
      <c r="H87" s="131">
        <f t="shared" si="275"/>
        <v>2441.5197212960038</v>
      </c>
      <c r="I87" s="131">
        <f t="shared" si="275"/>
        <v>2460.8297287683968</v>
      </c>
      <c r="J87" s="131">
        <f t="shared" si="275"/>
        <v>2503.0466178802026</v>
      </c>
      <c r="K87" s="131">
        <f t="shared" si="275"/>
        <v>2545.2635069920088</v>
      </c>
      <c r="L87" s="131">
        <f t="shared" si="275"/>
        <v>2600.302505091975</v>
      </c>
      <c r="M87" s="131"/>
      <c r="N87" s="131"/>
      <c r="O87" s="131"/>
      <c r="P87" s="131"/>
      <c r="Q87" s="131"/>
      <c r="R87" s="131"/>
      <c r="S87" s="131"/>
      <c r="T87" s="131"/>
      <c r="U87" s="131"/>
      <c r="V87" s="131"/>
      <c r="W87" s="131"/>
      <c r="X87" s="131"/>
      <c r="Y87" s="131"/>
      <c r="Z87" s="131"/>
      <c r="AA87" s="131"/>
      <c r="AB87" s="131"/>
    </row>
    <row r="88" spans="1:45" x14ac:dyDescent="0.25">
      <c r="A88" s="130" t="s">
        <v>857</v>
      </c>
      <c r="B88" s="84"/>
      <c r="C88" s="131">
        <f t="shared" ref="C88:L88" si="276">C70</f>
        <v>343.08780274594187</v>
      </c>
      <c r="D88" s="131">
        <f t="shared" si="276"/>
        <v>297.07753334114619</v>
      </c>
      <c r="E88" s="131">
        <f t="shared" si="276"/>
        <v>188.40540270840299</v>
      </c>
      <c r="F88" s="131">
        <f t="shared" si="276"/>
        <v>501.88482136553421</v>
      </c>
      <c r="G88" s="131">
        <f t="shared" si="276"/>
        <v>462.06360634757186</v>
      </c>
      <c r="H88" s="131">
        <f t="shared" si="276"/>
        <v>388.58895402212221</v>
      </c>
      <c r="I88" s="131">
        <f t="shared" si="276"/>
        <v>388.58895402212221</v>
      </c>
      <c r="J88" s="131">
        <f t="shared" si="276"/>
        <v>388.58895402212221</v>
      </c>
      <c r="K88" s="131">
        <f t="shared" si="276"/>
        <v>388.58895402212221</v>
      </c>
      <c r="L88" s="131">
        <f t="shared" si="276"/>
        <v>388.58895402212221</v>
      </c>
      <c r="M88" s="131"/>
      <c r="N88" s="131"/>
      <c r="O88" s="131"/>
      <c r="P88" s="131"/>
      <c r="Q88" s="131"/>
      <c r="R88" s="131"/>
      <c r="S88" s="131"/>
      <c r="T88" s="131"/>
      <c r="U88" s="131"/>
      <c r="V88" s="131"/>
      <c r="W88" s="131"/>
      <c r="X88" s="131"/>
      <c r="Y88" s="131"/>
      <c r="Z88" s="131"/>
      <c r="AA88" s="131"/>
      <c r="AB88" s="131"/>
    </row>
    <row r="89" spans="1:45" x14ac:dyDescent="0.25">
      <c r="A89" s="130" t="s">
        <v>858</v>
      </c>
      <c r="C89" s="131">
        <f t="shared" ref="C89:L89" si="277">C51</f>
        <v>571.8130045765696</v>
      </c>
      <c r="D89" s="131">
        <f t="shared" si="277"/>
        <v>557.02037501464906</v>
      </c>
      <c r="E89" s="131">
        <f t="shared" si="277"/>
        <v>894.9256628649141</v>
      </c>
      <c r="F89" s="131">
        <f t="shared" si="277"/>
        <v>916.90496211011043</v>
      </c>
      <c r="G89" s="131">
        <f t="shared" si="277"/>
        <v>866.36926190169709</v>
      </c>
      <c r="H89" s="131">
        <f t="shared" si="277"/>
        <v>779.49840177979752</v>
      </c>
      <c r="I89" s="131">
        <f t="shared" si="277"/>
        <v>785.66346357790428</v>
      </c>
      <c r="J89" s="131">
        <f t="shared" si="277"/>
        <v>799.14195293997227</v>
      </c>
      <c r="K89" s="131">
        <f t="shared" si="277"/>
        <v>812.62044230204049</v>
      </c>
      <c r="L89" s="131">
        <f t="shared" si="277"/>
        <v>830.19261699318383</v>
      </c>
      <c r="M89" s="131"/>
      <c r="N89" s="131"/>
      <c r="O89" s="131"/>
      <c r="P89" s="131"/>
      <c r="Q89" s="131"/>
      <c r="R89" s="131"/>
      <c r="S89" s="131"/>
      <c r="T89" s="131"/>
      <c r="U89" s="131"/>
      <c r="V89" s="131"/>
      <c r="W89" s="131"/>
      <c r="X89" s="131"/>
      <c r="Y89" s="131"/>
      <c r="Z89" s="131"/>
      <c r="AA89" s="131"/>
      <c r="AB89" s="131"/>
    </row>
    <row r="90" spans="1:45" x14ac:dyDescent="0.25">
      <c r="A90" s="130" t="s">
        <v>859</v>
      </c>
      <c r="C90" s="131">
        <f>C76</f>
        <v>450.69983346833783</v>
      </c>
      <c r="D90" s="131">
        <f t="shared" ref="D90:L90" si="278">D76</f>
        <v>232.09182292277043</v>
      </c>
      <c r="E90" s="131">
        <f t="shared" si="278"/>
        <v>657.10515891983357</v>
      </c>
      <c r="F90" s="131">
        <f t="shared" si="278"/>
        <v>713.95627907636572</v>
      </c>
      <c r="G90" s="131">
        <f t="shared" si="278"/>
        <v>192.52650264482159</v>
      </c>
      <c r="H90" s="131">
        <f t="shared" si="278"/>
        <v>461.41182468309762</v>
      </c>
      <c r="I90" s="131">
        <f t="shared" si="278"/>
        <v>465.06113609547947</v>
      </c>
      <c r="J90" s="131">
        <f t="shared" si="278"/>
        <v>473.03951598224211</v>
      </c>
      <c r="K90" s="131">
        <f t="shared" si="278"/>
        <v>481.01789586900486</v>
      </c>
      <c r="L90" s="131">
        <f t="shared" si="278"/>
        <v>491.41946843076749</v>
      </c>
      <c r="M90" s="131"/>
      <c r="N90" s="131"/>
      <c r="O90" s="131"/>
      <c r="P90" s="131"/>
      <c r="Q90" s="131"/>
      <c r="R90" s="131"/>
      <c r="S90" s="131"/>
      <c r="T90" s="131"/>
      <c r="U90" s="131"/>
      <c r="V90" s="131"/>
      <c r="W90" s="131"/>
      <c r="X90" s="131"/>
      <c r="Y90" s="131"/>
      <c r="Z90" s="131"/>
      <c r="AA90" s="131"/>
      <c r="AB90" s="131"/>
    </row>
    <row r="92" spans="1:45" x14ac:dyDescent="0.25">
      <c r="A92" s="130" t="s">
        <v>860</v>
      </c>
      <c r="B92" s="132">
        <v>0.30769230769230771</v>
      </c>
      <c r="C92" t="s">
        <v>861</v>
      </c>
    </row>
  </sheetData>
  <mergeCells count="11">
    <mergeCell ref="B48:R48"/>
    <mergeCell ref="B4:R4"/>
    <mergeCell ref="AC48:AS48"/>
    <mergeCell ref="B3:AS3"/>
    <mergeCell ref="B47:AS47"/>
    <mergeCell ref="BN4:CG4"/>
    <mergeCell ref="AC4:AY4"/>
    <mergeCell ref="BX38:CA38"/>
    <mergeCell ref="CC38:CF38"/>
    <mergeCell ref="A1:BF1"/>
    <mergeCell ref="BH2:BM2"/>
  </mergeCell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E462"/>
  <sheetViews>
    <sheetView zoomScale="75" zoomScaleNormal="75" workbookViewId="0">
      <pane ySplit="5" topLeftCell="A375" activePane="bottomLeft" state="frozen"/>
      <selection activeCell="C77" sqref="C77"/>
      <selection pane="bottomLeft" activeCell="C77" sqref="C77"/>
    </sheetView>
  </sheetViews>
  <sheetFormatPr defaultRowHeight="12.75" x14ac:dyDescent="0.2"/>
  <cols>
    <col min="1" max="10" width="8.85546875" style="620"/>
    <col min="11" max="134" width="9.140625" style="620" customWidth="1"/>
    <col min="135" max="263" width="8.85546875" style="620"/>
    <col min="264" max="264" width="12.5703125" style="620" bestFit="1" customWidth="1"/>
    <col min="265" max="269" width="14.7109375" style="620" customWidth="1"/>
    <col min="270" max="270" width="8.85546875" style="620"/>
    <col min="271" max="271" width="11.7109375" style="620" customWidth="1"/>
    <col min="272" max="276" width="14.7109375" style="620" customWidth="1"/>
    <col min="277" max="277" width="8.85546875" style="620"/>
    <col min="278" max="278" width="11.7109375" style="620" customWidth="1"/>
    <col min="279" max="283" width="14.7109375" style="620" customWidth="1"/>
    <col min="284" max="284" width="8.85546875" style="620"/>
    <col min="285" max="285" width="14.7109375" style="620" customWidth="1"/>
    <col min="286" max="519" width="8.85546875" style="620"/>
    <col min="520" max="520" width="12.5703125" style="620" bestFit="1" customWidth="1"/>
    <col min="521" max="525" width="14.7109375" style="620" customWidth="1"/>
    <col min="526" max="526" width="8.85546875" style="620"/>
    <col min="527" max="527" width="11.7109375" style="620" customWidth="1"/>
    <col min="528" max="532" width="14.7109375" style="620" customWidth="1"/>
    <col min="533" max="533" width="8.85546875" style="620"/>
    <col min="534" max="534" width="11.7109375" style="620" customWidth="1"/>
    <col min="535" max="539" width="14.7109375" style="620" customWidth="1"/>
    <col min="540" max="540" width="8.85546875" style="620"/>
    <col min="541" max="541" width="14.7109375" style="620" customWidth="1"/>
    <col min="542" max="775" width="8.85546875" style="620"/>
    <col min="776" max="776" width="12.5703125" style="620" bestFit="1" customWidth="1"/>
    <col min="777" max="781" width="14.7109375" style="620" customWidth="1"/>
    <col min="782" max="782" width="8.85546875" style="620"/>
    <col min="783" max="783" width="11.7109375" style="620" customWidth="1"/>
    <col min="784" max="788" width="14.7109375" style="620" customWidth="1"/>
    <col min="789" max="789" width="8.85546875" style="620"/>
    <col min="790" max="790" width="11.7109375" style="620" customWidth="1"/>
    <col min="791" max="795" width="14.7109375" style="620" customWidth="1"/>
    <col min="796" max="796" width="8.85546875" style="620"/>
    <col min="797" max="797" width="14.7109375" style="620" customWidth="1"/>
    <col min="798" max="1031" width="8.85546875" style="620"/>
    <col min="1032" max="1032" width="12.5703125" style="620" bestFit="1" customWidth="1"/>
    <col min="1033" max="1037" width="14.7109375" style="620" customWidth="1"/>
    <col min="1038" max="1038" width="8.85546875" style="620"/>
    <col min="1039" max="1039" width="11.7109375" style="620" customWidth="1"/>
    <col min="1040" max="1044" width="14.7109375" style="620" customWidth="1"/>
    <col min="1045" max="1045" width="8.85546875" style="620"/>
    <col min="1046" max="1046" width="11.7109375" style="620" customWidth="1"/>
    <col min="1047" max="1051" width="14.7109375" style="620" customWidth="1"/>
    <col min="1052" max="1052" width="8.85546875" style="620"/>
    <col min="1053" max="1053" width="14.7109375" style="620" customWidth="1"/>
    <col min="1054" max="1287" width="8.85546875" style="620"/>
    <col min="1288" max="1288" width="12.5703125" style="620" bestFit="1" customWidth="1"/>
    <col min="1289" max="1293" width="14.7109375" style="620" customWidth="1"/>
    <col min="1294" max="1294" width="8.85546875" style="620"/>
    <col min="1295" max="1295" width="11.7109375" style="620" customWidth="1"/>
    <col min="1296" max="1300" width="14.7109375" style="620" customWidth="1"/>
    <col min="1301" max="1301" width="8.85546875" style="620"/>
    <col min="1302" max="1302" width="11.7109375" style="620" customWidth="1"/>
    <col min="1303" max="1307" width="14.7109375" style="620" customWidth="1"/>
    <col min="1308" max="1308" width="8.85546875" style="620"/>
    <col min="1309" max="1309" width="14.7109375" style="620" customWidth="1"/>
    <col min="1310" max="1543" width="8.85546875" style="620"/>
    <col min="1544" max="1544" width="12.5703125" style="620" bestFit="1" customWidth="1"/>
    <col min="1545" max="1549" width="14.7109375" style="620" customWidth="1"/>
    <col min="1550" max="1550" width="8.85546875" style="620"/>
    <col min="1551" max="1551" width="11.7109375" style="620" customWidth="1"/>
    <col min="1552" max="1556" width="14.7109375" style="620" customWidth="1"/>
    <col min="1557" max="1557" width="8.85546875" style="620"/>
    <col min="1558" max="1558" width="11.7109375" style="620" customWidth="1"/>
    <col min="1559" max="1563" width="14.7109375" style="620" customWidth="1"/>
    <col min="1564" max="1564" width="8.85546875" style="620"/>
    <col min="1565" max="1565" width="14.7109375" style="620" customWidth="1"/>
    <col min="1566" max="1799" width="8.85546875" style="620"/>
    <col min="1800" max="1800" width="12.5703125" style="620" bestFit="1" customWidth="1"/>
    <col min="1801" max="1805" width="14.7109375" style="620" customWidth="1"/>
    <col min="1806" max="1806" width="8.85546875" style="620"/>
    <col min="1807" max="1807" width="11.7109375" style="620" customWidth="1"/>
    <col min="1808" max="1812" width="14.7109375" style="620" customWidth="1"/>
    <col min="1813" max="1813" width="8.85546875" style="620"/>
    <col min="1814" max="1814" width="11.7109375" style="620" customWidth="1"/>
    <col min="1815" max="1819" width="14.7109375" style="620" customWidth="1"/>
    <col min="1820" max="1820" width="8.85546875" style="620"/>
    <col min="1821" max="1821" width="14.7109375" style="620" customWidth="1"/>
    <col min="1822" max="2055" width="8.85546875" style="620"/>
    <col min="2056" max="2056" width="12.5703125" style="620" bestFit="1" customWidth="1"/>
    <col min="2057" max="2061" width="14.7109375" style="620" customWidth="1"/>
    <col min="2062" max="2062" width="8.85546875" style="620"/>
    <col min="2063" max="2063" width="11.7109375" style="620" customWidth="1"/>
    <col min="2064" max="2068" width="14.7109375" style="620" customWidth="1"/>
    <col min="2069" max="2069" width="8.85546875" style="620"/>
    <col min="2070" max="2070" width="11.7109375" style="620" customWidth="1"/>
    <col min="2071" max="2075" width="14.7109375" style="620" customWidth="1"/>
    <col min="2076" max="2076" width="8.85546875" style="620"/>
    <col min="2077" max="2077" width="14.7109375" style="620" customWidth="1"/>
    <col min="2078" max="2311" width="8.85546875" style="620"/>
    <col min="2312" max="2312" width="12.5703125" style="620" bestFit="1" customWidth="1"/>
    <col min="2313" max="2317" width="14.7109375" style="620" customWidth="1"/>
    <col min="2318" max="2318" width="8.85546875" style="620"/>
    <col min="2319" max="2319" width="11.7109375" style="620" customWidth="1"/>
    <col min="2320" max="2324" width="14.7109375" style="620" customWidth="1"/>
    <col min="2325" max="2325" width="8.85546875" style="620"/>
    <col min="2326" max="2326" width="11.7109375" style="620" customWidth="1"/>
    <col min="2327" max="2331" width="14.7109375" style="620" customWidth="1"/>
    <col min="2332" max="2332" width="8.85546875" style="620"/>
    <col min="2333" max="2333" width="14.7109375" style="620" customWidth="1"/>
    <col min="2334" max="2567" width="8.85546875" style="620"/>
    <col min="2568" max="2568" width="12.5703125" style="620" bestFit="1" customWidth="1"/>
    <col min="2569" max="2573" width="14.7109375" style="620" customWidth="1"/>
    <col min="2574" max="2574" width="8.85546875" style="620"/>
    <col min="2575" max="2575" width="11.7109375" style="620" customWidth="1"/>
    <col min="2576" max="2580" width="14.7109375" style="620" customWidth="1"/>
    <col min="2581" max="2581" width="8.85546875" style="620"/>
    <col min="2582" max="2582" width="11.7109375" style="620" customWidth="1"/>
    <col min="2583" max="2587" width="14.7109375" style="620" customWidth="1"/>
    <col min="2588" max="2588" width="8.85546875" style="620"/>
    <col min="2589" max="2589" width="14.7109375" style="620" customWidth="1"/>
    <col min="2590" max="2823" width="8.85546875" style="620"/>
    <col min="2824" max="2824" width="12.5703125" style="620" bestFit="1" customWidth="1"/>
    <col min="2825" max="2829" width="14.7109375" style="620" customWidth="1"/>
    <col min="2830" max="2830" width="8.85546875" style="620"/>
    <col min="2831" max="2831" width="11.7109375" style="620" customWidth="1"/>
    <col min="2832" max="2836" width="14.7109375" style="620" customWidth="1"/>
    <col min="2837" max="2837" width="8.85546875" style="620"/>
    <col min="2838" max="2838" width="11.7109375" style="620" customWidth="1"/>
    <col min="2839" max="2843" width="14.7109375" style="620" customWidth="1"/>
    <col min="2844" max="2844" width="8.85546875" style="620"/>
    <col min="2845" max="2845" width="14.7109375" style="620" customWidth="1"/>
    <col min="2846" max="3079" width="8.85546875" style="620"/>
    <col min="3080" max="3080" width="12.5703125" style="620" bestFit="1" customWidth="1"/>
    <col min="3081" max="3085" width="14.7109375" style="620" customWidth="1"/>
    <col min="3086" max="3086" width="8.85546875" style="620"/>
    <col min="3087" max="3087" width="11.7109375" style="620" customWidth="1"/>
    <col min="3088" max="3092" width="14.7109375" style="620" customWidth="1"/>
    <col min="3093" max="3093" width="8.85546875" style="620"/>
    <col min="3094" max="3094" width="11.7109375" style="620" customWidth="1"/>
    <col min="3095" max="3099" width="14.7109375" style="620" customWidth="1"/>
    <col min="3100" max="3100" width="8.85546875" style="620"/>
    <col min="3101" max="3101" width="14.7109375" style="620" customWidth="1"/>
    <col min="3102" max="3335" width="8.85546875" style="620"/>
    <col min="3336" max="3336" width="12.5703125" style="620" bestFit="1" customWidth="1"/>
    <col min="3337" max="3341" width="14.7109375" style="620" customWidth="1"/>
    <col min="3342" max="3342" width="8.85546875" style="620"/>
    <col min="3343" max="3343" width="11.7109375" style="620" customWidth="1"/>
    <col min="3344" max="3348" width="14.7109375" style="620" customWidth="1"/>
    <col min="3349" max="3349" width="8.85546875" style="620"/>
    <col min="3350" max="3350" width="11.7109375" style="620" customWidth="1"/>
    <col min="3351" max="3355" width="14.7109375" style="620" customWidth="1"/>
    <col min="3356" max="3356" width="8.85546875" style="620"/>
    <col min="3357" max="3357" width="14.7109375" style="620" customWidth="1"/>
    <col min="3358" max="3591" width="8.85546875" style="620"/>
    <col min="3592" max="3592" width="12.5703125" style="620" bestFit="1" customWidth="1"/>
    <col min="3593" max="3597" width="14.7109375" style="620" customWidth="1"/>
    <col min="3598" max="3598" width="8.85546875" style="620"/>
    <col min="3599" max="3599" width="11.7109375" style="620" customWidth="1"/>
    <col min="3600" max="3604" width="14.7109375" style="620" customWidth="1"/>
    <col min="3605" max="3605" width="8.85546875" style="620"/>
    <col min="3606" max="3606" width="11.7109375" style="620" customWidth="1"/>
    <col min="3607" max="3611" width="14.7109375" style="620" customWidth="1"/>
    <col min="3612" max="3612" width="8.85546875" style="620"/>
    <col min="3613" max="3613" width="14.7109375" style="620" customWidth="1"/>
    <col min="3614" max="3847" width="8.85546875" style="620"/>
    <col min="3848" max="3848" width="12.5703125" style="620" bestFit="1" customWidth="1"/>
    <col min="3849" max="3853" width="14.7109375" style="620" customWidth="1"/>
    <col min="3854" max="3854" width="8.85546875" style="620"/>
    <col min="3855" max="3855" width="11.7109375" style="620" customWidth="1"/>
    <col min="3856" max="3860" width="14.7109375" style="620" customWidth="1"/>
    <col min="3861" max="3861" width="8.85546875" style="620"/>
    <col min="3862" max="3862" width="11.7109375" style="620" customWidth="1"/>
    <col min="3863" max="3867" width="14.7109375" style="620" customWidth="1"/>
    <col min="3868" max="3868" width="8.85546875" style="620"/>
    <col min="3869" max="3869" width="14.7109375" style="620" customWidth="1"/>
    <col min="3870" max="4103" width="8.85546875" style="620"/>
    <col min="4104" max="4104" width="12.5703125" style="620" bestFit="1" customWidth="1"/>
    <col min="4105" max="4109" width="14.7109375" style="620" customWidth="1"/>
    <col min="4110" max="4110" width="8.85546875" style="620"/>
    <col min="4111" max="4111" width="11.7109375" style="620" customWidth="1"/>
    <col min="4112" max="4116" width="14.7109375" style="620" customWidth="1"/>
    <col min="4117" max="4117" width="8.85546875" style="620"/>
    <col min="4118" max="4118" width="11.7109375" style="620" customWidth="1"/>
    <col min="4119" max="4123" width="14.7109375" style="620" customWidth="1"/>
    <col min="4124" max="4124" width="8.85546875" style="620"/>
    <col min="4125" max="4125" width="14.7109375" style="620" customWidth="1"/>
    <col min="4126" max="4359" width="8.85546875" style="620"/>
    <col min="4360" max="4360" width="12.5703125" style="620" bestFit="1" customWidth="1"/>
    <col min="4361" max="4365" width="14.7109375" style="620" customWidth="1"/>
    <col min="4366" max="4366" width="8.85546875" style="620"/>
    <col min="4367" max="4367" width="11.7109375" style="620" customWidth="1"/>
    <col min="4368" max="4372" width="14.7109375" style="620" customWidth="1"/>
    <col min="4373" max="4373" width="8.85546875" style="620"/>
    <col min="4374" max="4374" width="11.7109375" style="620" customWidth="1"/>
    <col min="4375" max="4379" width="14.7109375" style="620" customWidth="1"/>
    <col min="4380" max="4380" width="8.85546875" style="620"/>
    <col min="4381" max="4381" width="14.7109375" style="620" customWidth="1"/>
    <col min="4382" max="4615" width="8.85546875" style="620"/>
    <col min="4616" max="4616" width="12.5703125" style="620" bestFit="1" customWidth="1"/>
    <col min="4617" max="4621" width="14.7109375" style="620" customWidth="1"/>
    <col min="4622" max="4622" width="8.85546875" style="620"/>
    <col min="4623" max="4623" width="11.7109375" style="620" customWidth="1"/>
    <col min="4624" max="4628" width="14.7109375" style="620" customWidth="1"/>
    <col min="4629" max="4629" width="8.85546875" style="620"/>
    <col min="4630" max="4630" width="11.7109375" style="620" customWidth="1"/>
    <col min="4631" max="4635" width="14.7109375" style="620" customWidth="1"/>
    <col min="4636" max="4636" width="8.85546875" style="620"/>
    <col min="4637" max="4637" width="14.7109375" style="620" customWidth="1"/>
    <col min="4638" max="4871" width="8.85546875" style="620"/>
    <col min="4872" max="4872" width="12.5703125" style="620" bestFit="1" customWidth="1"/>
    <col min="4873" max="4877" width="14.7109375" style="620" customWidth="1"/>
    <col min="4878" max="4878" width="8.85546875" style="620"/>
    <col min="4879" max="4879" width="11.7109375" style="620" customWidth="1"/>
    <col min="4880" max="4884" width="14.7109375" style="620" customWidth="1"/>
    <col min="4885" max="4885" width="8.85546875" style="620"/>
    <col min="4886" max="4886" width="11.7109375" style="620" customWidth="1"/>
    <col min="4887" max="4891" width="14.7109375" style="620" customWidth="1"/>
    <col min="4892" max="4892" width="8.85546875" style="620"/>
    <col min="4893" max="4893" width="14.7109375" style="620" customWidth="1"/>
    <col min="4894" max="5127" width="8.85546875" style="620"/>
    <col min="5128" max="5128" width="12.5703125" style="620" bestFit="1" customWidth="1"/>
    <col min="5129" max="5133" width="14.7109375" style="620" customWidth="1"/>
    <col min="5134" max="5134" width="8.85546875" style="620"/>
    <col min="5135" max="5135" width="11.7109375" style="620" customWidth="1"/>
    <col min="5136" max="5140" width="14.7109375" style="620" customWidth="1"/>
    <col min="5141" max="5141" width="8.85546875" style="620"/>
    <col min="5142" max="5142" width="11.7109375" style="620" customWidth="1"/>
    <col min="5143" max="5147" width="14.7109375" style="620" customWidth="1"/>
    <col min="5148" max="5148" width="8.85546875" style="620"/>
    <col min="5149" max="5149" width="14.7109375" style="620" customWidth="1"/>
    <col min="5150" max="5383" width="8.85546875" style="620"/>
    <col min="5384" max="5384" width="12.5703125" style="620" bestFit="1" customWidth="1"/>
    <col min="5385" max="5389" width="14.7109375" style="620" customWidth="1"/>
    <col min="5390" max="5390" width="8.85546875" style="620"/>
    <col min="5391" max="5391" width="11.7109375" style="620" customWidth="1"/>
    <col min="5392" max="5396" width="14.7109375" style="620" customWidth="1"/>
    <col min="5397" max="5397" width="8.85546875" style="620"/>
    <col min="5398" max="5398" width="11.7109375" style="620" customWidth="1"/>
    <col min="5399" max="5403" width="14.7109375" style="620" customWidth="1"/>
    <col min="5404" max="5404" width="8.85546875" style="620"/>
    <col min="5405" max="5405" width="14.7109375" style="620" customWidth="1"/>
    <col min="5406" max="5639" width="8.85546875" style="620"/>
    <col min="5640" max="5640" width="12.5703125" style="620" bestFit="1" customWidth="1"/>
    <col min="5641" max="5645" width="14.7109375" style="620" customWidth="1"/>
    <col min="5646" max="5646" width="8.85546875" style="620"/>
    <col min="5647" max="5647" width="11.7109375" style="620" customWidth="1"/>
    <col min="5648" max="5652" width="14.7109375" style="620" customWidth="1"/>
    <col min="5653" max="5653" width="8.85546875" style="620"/>
    <col min="5654" max="5654" width="11.7109375" style="620" customWidth="1"/>
    <col min="5655" max="5659" width="14.7109375" style="620" customWidth="1"/>
    <col min="5660" max="5660" width="8.85546875" style="620"/>
    <col min="5661" max="5661" width="14.7109375" style="620" customWidth="1"/>
    <col min="5662" max="5895" width="8.85546875" style="620"/>
    <col min="5896" max="5896" width="12.5703125" style="620" bestFit="1" customWidth="1"/>
    <col min="5897" max="5901" width="14.7109375" style="620" customWidth="1"/>
    <col min="5902" max="5902" width="8.85546875" style="620"/>
    <col min="5903" max="5903" width="11.7109375" style="620" customWidth="1"/>
    <col min="5904" max="5908" width="14.7109375" style="620" customWidth="1"/>
    <col min="5909" max="5909" width="8.85546875" style="620"/>
    <col min="5910" max="5910" width="11.7109375" style="620" customWidth="1"/>
    <col min="5911" max="5915" width="14.7109375" style="620" customWidth="1"/>
    <col min="5916" max="5916" width="8.85546875" style="620"/>
    <col min="5917" max="5917" width="14.7109375" style="620" customWidth="1"/>
    <col min="5918" max="6151" width="8.85546875" style="620"/>
    <col min="6152" max="6152" width="12.5703125" style="620" bestFit="1" customWidth="1"/>
    <col min="6153" max="6157" width="14.7109375" style="620" customWidth="1"/>
    <col min="6158" max="6158" width="8.85546875" style="620"/>
    <col min="6159" max="6159" width="11.7109375" style="620" customWidth="1"/>
    <col min="6160" max="6164" width="14.7109375" style="620" customWidth="1"/>
    <col min="6165" max="6165" width="8.85546875" style="620"/>
    <col min="6166" max="6166" width="11.7109375" style="620" customWidth="1"/>
    <col min="6167" max="6171" width="14.7109375" style="620" customWidth="1"/>
    <col min="6172" max="6172" width="8.85546875" style="620"/>
    <col min="6173" max="6173" width="14.7109375" style="620" customWidth="1"/>
    <col min="6174" max="6407" width="8.85546875" style="620"/>
    <col min="6408" max="6408" width="12.5703125" style="620" bestFit="1" customWidth="1"/>
    <col min="6409" max="6413" width="14.7109375" style="620" customWidth="1"/>
    <col min="6414" max="6414" width="8.85546875" style="620"/>
    <col min="6415" max="6415" width="11.7109375" style="620" customWidth="1"/>
    <col min="6416" max="6420" width="14.7109375" style="620" customWidth="1"/>
    <col min="6421" max="6421" width="8.85546875" style="620"/>
    <col min="6422" max="6422" width="11.7109375" style="620" customWidth="1"/>
    <col min="6423" max="6427" width="14.7109375" style="620" customWidth="1"/>
    <col min="6428" max="6428" width="8.85546875" style="620"/>
    <col min="6429" max="6429" width="14.7109375" style="620" customWidth="1"/>
    <col min="6430" max="6663" width="8.85546875" style="620"/>
    <col min="6664" max="6664" width="12.5703125" style="620" bestFit="1" customWidth="1"/>
    <col min="6665" max="6669" width="14.7109375" style="620" customWidth="1"/>
    <col min="6670" max="6670" width="8.85546875" style="620"/>
    <col min="6671" max="6671" width="11.7109375" style="620" customWidth="1"/>
    <col min="6672" max="6676" width="14.7109375" style="620" customWidth="1"/>
    <col min="6677" max="6677" width="8.85546875" style="620"/>
    <col min="6678" max="6678" width="11.7109375" style="620" customWidth="1"/>
    <col min="6679" max="6683" width="14.7109375" style="620" customWidth="1"/>
    <col min="6684" max="6684" width="8.85546875" style="620"/>
    <col min="6685" max="6685" width="14.7109375" style="620" customWidth="1"/>
    <col min="6686" max="6919" width="8.85546875" style="620"/>
    <col min="6920" max="6920" width="12.5703125" style="620" bestFit="1" customWidth="1"/>
    <col min="6921" max="6925" width="14.7109375" style="620" customWidth="1"/>
    <col min="6926" max="6926" width="8.85546875" style="620"/>
    <col min="6927" max="6927" width="11.7109375" style="620" customWidth="1"/>
    <col min="6928" max="6932" width="14.7109375" style="620" customWidth="1"/>
    <col min="6933" max="6933" width="8.85546875" style="620"/>
    <col min="6934" max="6934" width="11.7109375" style="620" customWidth="1"/>
    <col min="6935" max="6939" width="14.7109375" style="620" customWidth="1"/>
    <col min="6940" max="6940" width="8.85546875" style="620"/>
    <col min="6941" max="6941" width="14.7109375" style="620" customWidth="1"/>
    <col min="6942" max="7175" width="8.85546875" style="620"/>
    <col min="7176" max="7176" width="12.5703125" style="620" bestFit="1" customWidth="1"/>
    <col min="7177" max="7181" width="14.7109375" style="620" customWidth="1"/>
    <col min="7182" max="7182" width="8.85546875" style="620"/>
    <col min="7183" max="7183" width="11.7109375" style="620" customWidth="1"/>
    <col min="7184" max="7188" width="14.7109375" style="620" customWidth="1"/>
    <col min="7189" max="7189" width="8.85546875" style="620"/>
    <col min="7190" max="7190" width="11.7109375" style="620" customWidth="1"/>
    <col min="7191" max="7195" width="14.7109375" style="620" customWidth="1"/>
    <col min="7196" max="7196" width="8.85546875" style="620"/>
    <col min="7197" max="7197" width="14.7109375" style="620" customWidth="1"/>
    <col min="7198" max="7431" width="8.85546875" style="620"/>
    <col min="7432" max="7432" width="12.5703125" style="620" bestFit="1" customWidth="1"/>
    <col min="7433" max="7437" width="14.7109375" style="620" customWidth="1"/>
    <col min="7438" max="7438" width="8.85546875" style="620"/>
    <col min="7439" max="7439" width="11.7109375" style="620" customWidth="1"/>
    <col min="7440" max="7444" width="14.7109375" style="620" customWidth="1"/>
    <col min="7445" max="7445" width="8.85546875" style="620"/>
    <col min="7446" max="7446" width="11.7109375" style="620" customWidth="1"/>
    <col min="7447" max="7451" width="14.7109375" style="620" customWidth="1"/>
    <col min="7452" max="7452" width="8.85546875" style="620"/>
    <col min="7453" max="7453" width="14.7109375" style="620" customWidth="1"/>
    <col min="7454" max="7687" width="8.85546875" style="620"/>
    <col min="7688" max="7688" width="12.5703125" style="620" bestFit="1" customWidth="1"/>
    <col min="7689" max="7693" width="14.7109375" style="620" customWidth="1"/>
    <col min="7694" max="7694" width="8.85546875" style="620"/>
    <col min="7695" max="7695" width="11.7109375" style="620" customWidth="1"/>
    <col min="7696" max="7700" width="14.7109375" style="620" customWidth="1"/>
    <col min="7701" max="7701" width="8.85546875" style="620"/>
    <col min="7702" max="7702" width="11.7109375" style="620" customWidth="1"/>
    <col min="7703" max="7707" width="14.7109375" style="620" customWidth="1"/>
    <col min="7708" max="7708" width="8.85546875" style="620"/>
    <col min="7709" max="7709" width="14.7109375" style="620" customWidth="1"/>
    <col min="7710" max="7943" width="8.85546875" style="620"/>
    <col min="7944" max="7944" width="12.5703125" style="620" bestFit="1" customWidth="1"/>
    <col min="7945" max="7949" width="14.7109375" style="620" customWidth="1"/>
    <col min="7950" max="7950" width="8.85546875" style="620"/>
    <col min="7951" max="7951" width="11.7109375" style="620" customWidth="1"/>
    <col min="7952" max="7956" width="14.7109375" style="620" customWidth="1"/>
    <col min="7957" max="7957" width="8.85546875" style="620"/>
    <col min="7958" max="7958" width="11.7109375" style="620" customWidth="1"/>
    <col min="7959" max="7963" width="14.7109375" style="620" customWidth="1"/>
    <col min="7964" max="7964" width="8.85546875" style="620"/>
    <col min="7965" max="7965" width="14.7109375" style="620" customWidth="1"/>
    <col min="7966" max="8199" width="8.85546875" style="620"/>
    <col min="8200" max="8200" width="12.5703125" style="620" bestFit="1" customWidth="1"/>
    <col min="8201" max="8205" width="14.7109375" style="620" customWidth="1"/>
    <col min="8206" max="8206" width="8.85546875" style="620"/>
    <col min="8207" max="8207" width="11.7109375" style="620" customWidth="1"/>
    <col min="8208" max="8212" width="14.7109375" style="620" customWidth="1"/>
    <col min="8213" max="8213" width="8.85546875" style="620"/>
    <col min="8214" max="8214" width="11.7109375" style="620" customWidth="1"/>
    <col min="8215" max="8219" width="14.7109375" style="620" customWidth="1"/>
    <col min="8220" max="8220" width="8.85546875" style="620"/>
    <col min="8221" max="8221" width="14.7109375" style="620" customWidth="1"/>
    <col min="8222" max="8455" width="8.85546875" style="620"/>
    <col min="8456" max="8456" width="12.5703125" style="620" bestFit="1" customWidth="1"/>
    <col min="8457" max="8461" width="14.7109375" style="620" customWidth="1"/>
    <col min="8462" max="8462" width="8.85546875" style="620"/>
    <col min="8463" max="8463" width="11.7109375" style="620" customWidth="1"/>
    <col min="8464" max="8468" width="14.7109375" style="620" customWidth="1"/>
    <col min="8469" max="8469" width="8.85546875" style="620"/>
    <col min="8470" max="8470" width="11.7109375" style="620" customWidth="1"/>
    <col min="8471" max="8475" width="14.7109375" style="620" customWidth="1"/>
    <col min="8476" max="8476" width="8.85546875" style="620"/>
    <col min="8477" max="8477" width="14.7109375" style="620" customWidth="1"/>
    <col min="8478" max="8711" width="8.85546875" style="620"/>
    <col min="8712" max="8712" width="12.5703125" style="620" bestFit="1" customWidth="1"/>
    <col min="8713" max="8717" width="14.7109375" style="620" customWidth="1"/>
    <col min="8718" max="8718" width="8.85546875" style="620"/>
    <col min="8719" max="8719" width="11.7109375" style="620" customWidth="1"/>
    <col min="8720" max="8724" width="14.7109375" style="620" customWidth="1"/>
    <col min="8725" max="8725" width="8.85546875" style="620"/>
    <col min="8726" max="8726" width="11.7109375" style="620" customWidth="1"/>
    <col min="8727" max="8731" width="14.7109375" style="620" customWidth="1"/>
    <col min="8732" max="8732" width="8.85546875" style="620"/>
    <col min="8733" max="8733" width="14.7109375" style="620" customWidth="1"/>
    <col min="8734" max="8967" width="8.85546875" style="620"/>
    <col min="8968" max="8968" width="12.5703125" style="620" bestFit="1" customWidth="1"/>
    <col min="8969" max="8973" width="14.7109375" style="620" customWidth="1"/>
    <col min="8974" max="8974" width="8.85546875" style="620"/>
    <col min="8975" max="8975" width="11.7109375" style="620" customWidth="1"/>
    <col min="8976" max="8980" width="14.7109375" style="620" customWidth="1"/>
    <col min="8981" max="8981" width="8.85546875" style="620"/>
    <col min="8982" max="8982" width="11.7109375" style="620" customWidth="1"/>
    <col min="8983" max="8987" width="14.7109375" style="620" customWidth="1"/>
    <col min="8988" max="8988" width="8.85546875" style="620"/>
    <col min="8989" max="8989" width="14.7109375" style="620" customWidth="1"/>
    <col min="8990" max="9223" width="8.85546875" style="620"/>
    <col min="9224" max="9224" width="12.5703125" style="620" bestFit="1" customWidth="1"/>
    <col min="9225" max="9229" width="14.7109375" style="620" customWidth="1"/>
    <col min="9230" max="9230" width="8.85546875" style="620"/>
    <col min="9231" max="9231" width="11.7109375" style="620" customWidth="1"/>
    <col min="9232" max="9236" width="14.7109375" style="620" customWidth="1"/>
    <col min="9237" max="9237" width="8.85546875" style="620"/>
    <col min="9238" max="9238" width="11.7109375" style="620" customWidth="1"/>
    <col min="9239" max="9243" width="14.7109375" style="620" customWidth="1"/>
    <col min="9244" max="9244" width="8.85546875" style="620"/>
    <col min="9245" max="9245" width="14.7109375" style="620" customWidth="1"/>
    <col min="9246" max="9479" width="8.85546875" style="620"/>
    <col min="9480" max="9480" width="12.5703125" style="620" bestFit="1" customWidth="1"/>
    <col min="9481" max="9485" width="14.7109375" style="620" customWidth="1"/>
    <col min="9486" max="9486" width="8.85546875" style="620"/>
    <col min="9487" max="9487" width="11.7109375" style="620" customWidth="1"/>
    <col min="9488" max="9492" width="14.7109375" style="620" customWidth="1"/>
    <col min="9493" max="9493" width="8.85546875" style="620"/>
    <col min="9494" max="9494" width="11.7109375" style="620" customWidth="1"/>
    <col min="9495" max="9499" width="14.7109375" style="620" customWidth="1"/>
    <col min="9500" max="9500" width="8.85546875" style="620"/>
    <col min="9501" max="9501" width="14.7109375" style="620" customWidth="1"/>
    <col min="9502" max="9735" width="8.85546875" style="620"/>
    <col min="9736" max="9736" width="12.5703125" style="620" bestFit="1" customWidth="1"/>
    <col min="9737" max="9741" width="14.7109375" style="620" customWidth="1"/>
    <col min="9742" max="9742" width="8.85546875" style="620"/>
    <col min="9743" max="9743" width="11.7109375" style="620" customWidth="1"/>
    <col min="9744" max="9748" width="14.7109375" style="620" customWidth="1"/>
    <col min="9749" max="9749" width="8.85546875" style="620"/>
    <col min="9750" max="9750" width="11.7109375" style="620" customWidth="1"/>
    <col min="9751" max="9755" width="14.7109375" style="620" customWidth="1"/>
    <col min="9756" max="9756" width="8.85546875" style="620"/>
    <col min="9757" max="9757" width="14.7109375" style="620" customWidth="1"/>
    <col min="9758" max="9991" width="8.85546875" style="620"/>
    <col min="9992" max="9992" width="12.5703125" style="620" bestFit="1" customWidth="1"/>
    <col min="9993" max="9997" width="14.7109375" style="620" customWidth="1"/>
    <col min="9998" max="9998" width="8.85546875" style="620"/>
    <col min="9999" max="9999" width="11.7109375" style="620" customWidth="1"/>
    <col min="10000" max="10004" width="14.7109375" style="620" customWidth="1"/>
    <col min="10005" max="10005" width="8.85546875" style="620"/>
    <col min="10006" max="10006" width="11.7109375" style="620" customWidth="1"/>
    <col min="10007" max="10011" width="14.7109375" style="620" customWidth="1"/>
    <col min="10012" max="10012" width="8.85546875" style="620"/>
    <col min="10013" max="10013" width="14.7109375" style="620" customWidth="1"/>
    <col min="10014" max="10247" width="8.85546875" style="620"/>
    <col min="10248" max="10248" width="12.5703125" style="620" bestFit="1" customWidth="1"/>
    <col min="10249" max="10253" width="14.7109375" style="620" customWidth="1"/>
    <col min="10254" max="10254" width="8.85546875" style="620"/>
    <col min="10255" max="10255" width="11.7109375" style="620" customWidth="1"/>
    <col min="10256" max="10260" width="14.7109375" style="620" customWidth="1"/>
    <col min="10261" max="10261" width="8.85546875" style="620"/>
    <col min="10262" max="10262" width="11.7109375" style="620" customWidth="1"/>
    <col min="10263" max="10267" width="14.7109375" style="620" customWidth="1"/>
    <col min="10268" max="10268" width="8.85546875" style="620"/>
    <col min="10269" max="10269" width="14.7109375" style="620" customWidth="1"/>
    <col min="10270" max="10503" width="8.85546875" style="620"/>
    <col min="10504" max="10504" width="12.5703125" style="620" bestFit="1" customWidth="1"/>
    <col min="10505" max="10509" width="14.7109375" style="620" customWidth="1"/>
    <col min="10510" max="10510" width="8.85546875" style="620"/>
    <col min="10511" max="10511" width="11.7109375" style="620" customWidth="1"/>
    <col min="10512" max="10516" width="14.7109375" style="620" customWidth="1"/>
    <col min="10517" max="10517" width="8.85546875" style="620"/>
    <col min="10518" max="10518" width="11.7109375" style="620" customWidth="1"/>
    <col min="10519" max="10523" width="14.7109375" style="620" customWidth="1"/>
    <col min="10524" max="10524" width="8.85546875" style="620"/>
    <col min="10525" max="10525" width="14.7109375" style="620" customWidth="1"/>
    <col min="10526" max="10759" width="8.85546875" style="620"/>
    <col min="10760" max="10760" width="12.5703125" style="620" bestFit="1" customWidth="1"/>
    <col min="10761" max="10765" width="14.7109375" style="620" customWidth="1"/>
    <col min="10766" max="10766" width="8.85546875" style="620"/>
    <col min="10767" max="10767" width="11.7109375" style="620" customWidth="1"/>
    <col min="10768" max="10772" width="14.7109375" style="620" customWidth="1"/>
    <col min="10773" max="10773" width="8.85546875" style="620"/>
    <col min="10774" max="10774" width="11.7109375" style="620" customWidth="1"/>
    <col min="10775" max="10779" width="14.7109375" style="620" customWidth="1"/>
    <col min="10780" max="10780" width="8.85546875" style="620"/>
    <col min="10781" max="10781" width="14.7109375" style="620" customWidth="1"/>
    <col min="10782" max="11015" width="8.85546875" style="620"/>
    <col min="11016" max="11016" width="12.5703125" style="620" bestFit="1" customWidth="1"/>
    <col min="11017" max="11021" width="14.7109375" style="620" customWidth="1"/>
    <col min="11022" max="11022" width="8.85546875" style="620"/>
    <col min="11023" max="11023" width="11.7109375" style="620" customWidth="1"/>
    <col min="11024" max="11028" width="14.7109375" style="620" customWidth="1"/>
    <col min="11029" max="11029" width="8.85546875" style="620"/>
    <col min="11030" max="11030" width="11.7109375" style="620" customWidth="1"/>
    <col min="11031" max="11035" width="14.7109375" style="620" customWidth="1"/>
    <col min="11036" max="11036" width="8.85546875" style="620"/>
    <col min="11037" max="11037" width="14.7109375" style="620" customWidth="1"/>
    <col min="11038" max="11271" width="8.85546875" style="620"/>
    <col min="11272" max="11272" width="12.5703125" style="620" bestFit="1" customWidth="1"/>
    <col min="11273" max="11277" width="14.7109375" style="620" customWidth="1"/>
    <col min="11278" max="11278" width="8.85546875" style="620"/>
    <col min="11279" max="11279" width="11.7109375" style="620" customWidth="1"/>
    <col min="11280" max="11284" width="14.7109375" style="620" customWidth="1"/>
    <col min="11285" max="11285" width="8.85546875" style="620"/>
    <col min="11286" max="11286" width="11.7109375" style="620" customWidth="1"/>
    <col min="11287" max="11291" width="14.7109375" style="620" customWidth="1"/>
    <col min="11292" max="11292" width="8.85546875" style="620"/>
    <col min="11293" max="11293" width="14.7109375" style="620" customWidth="1"/>
    <col min="11294" max="11527" width="8.85546875" style="620"/>
    <col min="11528" max="11528" width="12.5703125" style="620" bestFit="1" customWidth="1"/>
    <col min="11529" max="11533" width="14.7109375" style="620" customWidth="1"/>
    <col min="11534" max="11534" width="8.85546875" style="620"/>
    <col min="11535" max="11535" width="11.7109375" style="620" customWidth="1"/>
    <col min="11536" max="11540" width="14.7109375" style="620" customWidth="1"/>
    <col min="11541" max="11541" width="8.85546875" style="620"/>
    <col min="11542" max="11542" width="11.7109375" style="620" customWidth="1"/>
    <col min="11543" max="11547" width="14.7109375" style="620" customWidth="1"/>
    <col min="11548" max="11548" width="8.85546875" style="620"/>
    <col min="11549" max="11549" width="14.7109375" style="620" customWidth="1"/>
    <col min="11550" max="11783" width="8.85546875" style="620"/>
    <col min="11784" max="11784" width="12.5703125" style="620" bestFit="1" customWidth="1"/>
    <col min="11785" max="11789" width="14.7109375" style="620" customWidth="1"/>
    <col min="11790" max="11790" width="8.85546875" style="620"/>
    <col min="11791" max="11791" width="11.7109375" style="620" customWidth="1"/>
    <col min="11792" max="11796" width="14.7109375" style="620" customWidth="1"/>
    <col min="11797" max="11797" width="8.85546875" style="620"/>
    <col min="11798" max="11798" width="11.7109375" style="620" customWidth="1"/>
    <col min="11799" max="11803" width="14.7109375" style="620" customWidth="1"/>
    <col min="11804" max="11804" width="8.85546875" style="620"/>
    <col min="11805" max="11805" width="14.7109375" style="620" customWidth="1"/>
    <col min="11806" max="12039" width="8.85546875" style="620"/>
    <col min="12040" max="12040" width="12.5703125" style="620" bestFit="1" customWidth="1"/>
    <col min="12041" max="12045" width="14.7109375" style="620" customWidth="1"/>
    <col min="12046" max="12046" width="8.85546875" style="620"/>
    <col min="12047" max="12047" width="11.7109375" style="620" customWidth="1"/>
    <col min="12048" max="12052" width="14.7109375" style="620" customWidth="1"/>
    <col min="12053" max="12053" width="8.85546875" style="620"/>
    <col min="12054" max="12054" width="11.7109375" style="620" customWidth="1"/>
    <col min="12055" max="12059" width="14.7109375" style="620" customWidth="1"/>
    <col min="12060" max="12060" width="8.85546875" style="620"/>
    <col min="12061" max="12061" width="14.7109375" style="620" customWidth="1"/>
    <col min="12062" max="12295" width="8.85546875" style="620"/>
    <col min="12296" max="12296" width="12.5703125" style="620" bestFit="1" customWidth="1"/>
    <col min="12297" max="12301" width="14.7109375" style="620" customWidth="1"/>
    <col min="12302" max="12302" width="8.85546875" style="620"/>
    <col min="12303" max="12303" width="11.7109375" style="620" customWidth="1"/>
    <col min="12304" max="12308" width="14.7109375" style="620" customWidth="1"/>
    <col min="12309" max="12309" width="8.85546875" style="620"/>
    <col min="12310" max="12310" width="11.7109375" style="620" customWidth="1"/>
    <col min="12311" max="12315" width="14.7109375" style="620" customWidth="1"/>
    <col min="12316" max="12316" width="8.85546875" style="620"/>
    <col min="12317" max="12317" width="14.7109375" style="620" customWidth="1"/>
    <col min="12318" max="12551" width="8.85546875" style="620"/>
    <col min="12552" max="12552" width="12.5703125" style="620" bestFit="1" customWidth="1"/>
    <col min="12553" max="12557" width="14.7109375" style="620" customWidth="1"/>
    <col min="12558" max="12558" width="8.85546875" style="620"/>
    <col min="12559" max="12559" width="11.7109375" style="620" customWidth="1"/>
    <col min="12560" max="12564" width="14.7109375" style="620" customWidth="1"/>
    <col min="12565" max="12565" width="8.85546875" style="620"/>
    <col min="12566" max="12566" width="11.7109375" style="620" customWidth="1"/>
    <col min="12567" max="12571" width="14.7109375" style="620" customWidth="1"/>
    <col min="12572" max="12572" width="8.85546875" style="620"/>
    <col min="12573" max="12573" width="14.7109375" style="620" customWidth="1"/>
    <col min="12574" max="12807" width="8.85546875" style="620"/>
    <col min="12808" max="12808" width="12.5703125" style="620" bestFit="1" customWidth="1"/>
    <col min="12809" max="12813" width="14.7109375" style="620" customWidth="1"/>
    <col min="12814" max="12814" width="8.85546875" style="620"/>
    <col min="12815" max="12815" width="11.7109375" style="620" customWidth="1"/>
    <col min="12816" max="12820" width="14.7109375" style="620" customWidth="1"/>
    <col min="12821" max="12821" width="8.85546875" style="620"/>
    <col min="12822" max="12822" width="11.7109375" style="620" customWidth="1"/>
    <col min="12823" max="12827" width="14.7109375" style="620" customWidth="1"/>
    <col min="12828" max="12828" width="8.85546875" style="620"/>
    <col min="12829" max="12829" width="14.7109375" style="620" customWidth="1"/>
    <col min="12830" max="13063" width="8.85546875" style="620"/>
    <col min="13064" max="13064" width="12.5703125" style="620" bestFit="1" customWidth="1"/>
    <col min="13065" max="13069" width="14.7109375" style="620" customWidth="1"/>
    <col min="13070" max="13070" width="8.85546875" style="620"/>
    <col min="13071" max="13071" width="11.7109375" style="620" customWidth="1"/>
    <col min="13072" max="13076" width="14.7109375" style="620" customWidth="1"/>
    <col min="13077" max="13077" width="8.85546875" style="620"/>
    <col min="13078" max="13078" width="11.7109375" style="620" customWidth="1"/>
    <col min="13079" max="13083" width="14.7109375" style="620" customWidth="1"/>
    <col min="13084" max="13084" width="8.85546875" style="620"/>
    <col min="13085" max="13085" width="14.7109375" style="620" customWidth="1"/>
    <col min="13086" max="13319" width="8.85546875" style="620"/>
    <col min="13320" max="13320" width="12.5703125" style="620" bestFit="1" customWidth="1"/>
    <col min="13321" max="13325" width="14.7109375" style="620" customWidth="1"/>
    <col min="13326" max="13326" width="8.85546875" style="620"/>
    <col min="13327" max="13327" width="11.7109375" style="620" customWidth="1"/>
    <col min="13328" max="13332" width="14.7109375" style="620" customWidth="1"/>
    <col min="13333" max="13333" width="8.85546875" style="620"/>
    <col min="13334" max="13334" width="11.7109375" style="620" customWidth="1"/>
    <col min="13335" max="13339" width="14.7109375" style="620" customWidth="1"/>
    <col min="13340" max="13340" width="8.85546875" style="620"/>
    <col min="13341" max="13341" width="14.7109375" style="620" customWidth="1"/>
    <col min="13342" max="13575" width="8.85546875" style="620"/>
    <col min="13576" max="13576" width="12.5703125" style="620" bestFit="1" customWidth="1"/>
    <col min="13577" max="13581" width="14.7109375" style="620" customWidth="1"/>
    <col min="13582" max="13582" width="8.85546875" style="620"/>
    <col min="13583" max="13583" width="11.7109375" style="620" customWidth="1"/>
    <col min="13584" max="13588" width="14.7109375" style="620" customWidth="1"/>
    <col min="13589" max="13589" width="8.85546875" style="620"/>
    <col min="13590" max="13590" width="11.7109375" style="620" customWidth="1"/>
    <col min="13591" max="13595" width="14.7109375" style="620" customWidth="1"/>
    <col min="13596" max="13596" width="8.85546875" style="620"/>
    <col min="13597" max="13597" width="14.7109375" style="620" customWidth="1"/>
    <col min="13598" max="13831" width="8.85546875" style="620"/>
    <col min="13832" max="13832" width="12.5703125" style="620" bestFit="1" customWidth="1"/>
    <col min="13833" max="13837" width="14.7109375" style="620" customWidth="1"/>
    <col min="13838" max="13838" width="8.85546875" style="620"/>
    <col min="13839" max="13839" width="11.7109375" style="620" customWidth="1"/>
    <col min="13840" max="13844" width="14.7109375" style="620" customWidth="1"/>
    <col min="13845" max="13845" width="8.85546875" style="620"/>
    <col min="13846" max="13846" width="11.7109375" style="620" customWidth="1"/>
    <col min="13847" max="13851" width="14.7109375" style="620" customWidth="1"/>
    <col min="13852" max="13852" width="8.85546875" style="620"/>
    <col min="13853" max="13853" width="14.7109375" style="620" customWidth="1"/>
    <col min="13854" max="14087" width="8.85546875" style="620"/>
    <col min="14088" max="14088" width="12.5703125" style="620" bestFit="1" customWidth="1"/>
    <col min="14089" max="14093" width="14.7109375" style="620" customWidth="1"/>
    <col min="14094" max="14094" width="8.85546875" style="620"/>
    <col min="14095" max="14095" width="11.7109375" style="620" customWidth="1"/>
    <col min="14096" max="14100" width="14.7109375" style="620" customWidth="1"/>
    <col min="14101" max="14101" width="8.85546875" style="620"/>
    <col min="14102" max="14102" width="11.7109375" style="620" customWidth="1"/>
    <col min="14103" max="14107" width="14.7109375" style="620" customWidth="1"/>
    <col min="14108" max="14108" width="8.85546875" style="620"/>
    <col min="14109" max="14109" width="14.7109375" style="620" customWidth="1"/>
    <col min="14110" max="14343" width="8.85546875" style="620"/>
    <col min="14344" max="14344" width="12.5703125" style="620" bestFit="1" customWidth="1"/>
    <col min="14345" max="14349" width="14.7109375" style="620" customWidth="1"/>
    <col min="14350" max="14350" width="8.85546875" style="620"/>
    <col min="14351" max="14351" width="11.7109375" style="620" customWidth="1"/>
    <col min="14352" max="14356" width="14.7109375" style="620" customWidth="1"/>
    <col min="14357" max="14357" width="8.85546875" style="620"/>
    <col min="14358" max="14358" width="11.7109375" style="620" customWidth="1"/>
    <col min="14359" max="14363" width="14.7109375" style="620" customWidth="1"/>
    <col min="14364" max="14364" width="8.85546875" style="620"/>
    <col min="14365" max="14365" width="14.7109375" style="620" customWidth="1"/>
    <col min="14366" max="14599" width="8.85546875" style="620"/>
    <col min="14600" max="14600" width="12.5703125" style="620" bestFit="1" customWidth="1"/>
    <col min="14601" max="14605" width="14.7109375" style="620" customWidth="1"/>
    <col min="14606" max="14606" width="8.85546875" style="620"/>
    <col min="14607" max="14607" width="11.7109375" style="620" customWidth="1"/>
    <col min="14608" max="14612" width="14.7109375" style="620" customWidth="1"/>
    <col min="14613" max="14613" width="8.85546875" style="620"/>
    <col min="14614" max="14614" width="11.7109375" style="620" customWidth="1"/>
    <col min="14615" max="14619" width="14.7109375" style="620" customWidth="1"/>
    <col min="14620" max="14620" width="8.85546875" style="620"/>
    <col min="14621" max="14621" width="14.7109375" style="620" customWidth="1"/>
    <col min="14622" max="14855" width="8.85546875" style="620"/>
    <col min="14856" max="14856" width="12.5703125" style="620" bestFit="1" customWidth="1"/>
    <col min="14857" max="14861" width="14.7109375" style="620" customWidth="1"/>
    <col min="14862" max="14862" width="8.85546875" style="620"/>
    <col min="14863" max="14863" width="11.7109375" style="620" customWidth="1"/>
    <col min="14864" max="14868" width="14.7109375" style="620" customWidth="1"/>
    <col min="14869" max="14869" width="8.85546875" style="620"/>
    <col min="14870" max="14870" width="11.7109375" style="620" customWidth="1"/>
    <col min="14871" max="14875" width="14.7109375" style="620" customWidth="1"/>
    <col min="14876" max="14876" width="8.85546875" style="620"/>
    <col min="14877" max="14877" width="14.7109375" style="620" customWidth="1"/>
    <col min="14878" max="15111" width="8.85546875" style="620"/>
    <col min="15112" max="15112" width="12.5703125" style="620" bestFit="1" customWidth="1"/>
    <col min="15113" max="15117" width="14.7109375" style="620" customWidth="1"/>
    <col min="15118" max="15118" width="8.85546875" style="620"/>
    <col min="15119" max="15119" width="11.7109375" style="620" customWidth="1"/>
    <col min="15120" max="15124" width="14.7109375" style="620" customWidth="1"/>
    <col min="15125" max="15125" width="8.85546875" style="620"/>
    <col min="15126" max="15126" width="11.7109375" style="620" customWidth="1"/>
    <col min="15127" max="15131" width="14.7109375" style="620" customWidth="1"/>
    <col min="15132" max="15132" width="8.85546875" style="620"/>
    <col min="15133" max="15133" width="14.7109375" style="620" customWidth="1"/>
    <col min="15134" max="15367" width="8.85546875" style="620"/>
    <col min="15368" max="15368" width="12.5703125" style="620" bestFit="1" customWidth="1"/>
    <col min="15369" max="15373" width="14.7109375" style="620" customWidth="1"/>
    <col min="15374" max="15374" width="8.85546875" style="620"/>
    <col min="15375" max="15375" width="11.7109375" style="620" customWidth="1"/>
    <col min="15376" max="15380" width="14.7109375" style="620" customWidth="1"/>
    <col min="15381" max="15381" width="8.85546875" style="620"/>
    <col min="15382" max="15382" width="11.7109375" style="620" customWidth="1"/>
    <col min="15383" max="15387" width="14.7109375" style="620" customWidth="1"/>
    <col min="15388" max="15388" width="8.85546875" style="620"/>
    <col min="15389" max="15389" width="14.7109375" style="620" customWidth="1"/>
    <col min="15390" max="15623" width="8.85546875" style="620"/>
    <col min="15624" max="15624" width="12.5703125" style="620" bestFit="1" customWidth="1"/>
    <col min="15625" max="15629" width="14.7109375" style="620" customWidth="1"/>
    <col min="15630" max="15630" width="8.85546875" style="620"/>
    <col min="15631" max="15631" width="11.7109375" style="620" customWidth="1"/>
    <col min="15632" max="15636" width="14.7109375" style="620" customWidth="1"/>
    <col min="15637" max="15637" width="8.85546875" style="620"/>
    <col min="15638" max="15638" width="11.7109375" style="620" customWidth="1"/>
    <col min="15639" max="15643" width="14.7109375" style="620" customWidth="1"/>
    <col min="15644" max="15644" width="8.85546875" style="620"/>
    <col min="15645" max="15645" width="14.7109375" style="620" customWidth="1"/>
    <col min="15646" max="15879" width="8.85546875" style="620"/>
    <col min="15880" max="15880" width="12.5703125" style="620" bestFit="1" customWidth="1"/>
    <col min="15881" max="15885" width="14.7109375" style="620" customWidth="1"/>
    <col min="15886" max="15886" width="8.85546875" style="620"/>
    <col min="15887" max="15887" width="11.7109375" style="620" customWidth="1"/>
    <col min="15888" max="15892" width="14.7109375" style="620" customWidth="1"/>
    <col min="15893" max="15893" width="8.85546875" style="620"/>
    <col min="15894" max="15894" width="11.7109375" style="620" customWidth="1"/>
    <col min="15895" max="15899" width="14.7109375" style="620" customWidth="1"/>
    <col min="15900" max="15900" width="8.85546875" style="620"/>
    <col min="15901" max="15901" width="14.7109375" style="620" customWidth="1"/>
    <col min="15902" max="16135" width="8.85546875" style="620"/>
    <col min="16136" max="16136" width="12.5703125" style="620" bestFit="1" customWidth="1"/>
    <col min="16137" max="16141" width="14.7109375" style="620" customWidth="1"/>
    <col min="16142" max="16142" width="8.85546875" style="620"/>
    <col min="16143" max="16143" width="11.7109375" style="620" customWidth="1"/>
    <col min="16144" max="16148" width="14.7109375" style="620" customWidth="1"/>
    <col min="16149" max="16149" width="8.85546875" style="620"/>
    <col min="16150" max="16150" width="11.7109375" style="620" customWidth="1"/>
    <col min="16151" max="16155" width="14.7109375" style="620" customWidth="1"/>
    <col min="16156" max="16156" width="8.85546875" style="620"/>
    <col min="16157" max="16157" width="14.7109375" style="620" customWidth="1"/>
    <col min="16158" max="16384" width="8.85546875" style="620"/>
  </cols>
  <sheetData>
    <row r="1" spans="1:134" ht="15" x14ac:dyDescent="0.25">
      <c r="A1" s="840" t="s">
        <v>862</v>
      </c>
      <c r="B1" s="840"/>
      <c r="C1" s="840"/>
      <c r="D1" s="840"/>
      <c r="E1" s="840"/>
      <c r="F1" s="840"/>
      <c r="G1" s="840"/>
      <c r="H1" s="840"/>
      <c r="I1" s="840"/>
      <c r="J1" s="840"/>
      <c r="K1" s="840"/>
      <c r="L1" s="840"/>
      <c r="M1" s="840"/>
      <c r="N1" s="840"/>
      <c r="O1" s="840"/>
      <c r="P1" s="840"/>
      <c r="Q1" s="840"/>
      <c r="R1" s="840"/>
      <c r="S1" s="840"/>
      <c r="T1" s="840"/>
      <c r="U1" s="840"/>
      <c r="V1" s="840"/>
      <c r="W1" s="840"/>
      <c r="X1" s="840"/>
      <c r="AI1" s="871" t="s">
        <v>863</v>
      </c>
      <c r="AJ1" s="871"/>
      <c r="AK1" s="871"/>
      <c r="AL1" s="871"/>
      <c r="AM1" s="871"/>
      <c r="AN1" s="871"/>
      <c r="AO1" s="871"/>
      <c r="AP1" s="871"/>
      <c r="AQ1" s="871"/>
      <c r="AR1" s="871"/>
      <c r="AS1" s="871" t="s">
        <v>864</v>
      </c>
      <c r="AT1" s="871"/>
      <c r="AU1" s="871"/>
      <c r="AV1" s="871"/>
      <c r="AW1" s="871"/>
      <c r="AX1" s="871"/>
      <c r="AY1" s="871"/>
      <c r="AZ1" s="871"/>
      <c r="BA1" s="871"/>
      <c r="BB1" s="871"/>
      <c r="BC1" s="871"/>
      <c r="BD1" s="871"/>
      <c r="BE1" s="871"/>
      <c r="BF1" s="871"/>
      <c r="BG1" s="871"/>
      <c r="BH1" s="871" t="s">
        <v>865</v>
      </c>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row>
    <row r="2" spans="1:134" ht="15" x14ac:dyDescent="0.25">
      <c r="A2"/>
      <c r="B2"/>
      <c r="C2"/>
      <c r="D2"/>
      <c r="E2"/>
      <c r="F2"/>
      <c r="G2"/>
      <c r="H2"/>
      <c r="I2"/>
      <c r="J2"/>
      <c r="K2"/>
      <c r="L2"/>
      <c r="M2"/>
      <c r="N2"/>
      <c r="O2"/>
      <c r="P2"/>
      <c r="Q2"/>
      <c r="R2" s="45">
        <v>0</v>
      </c>
      <c r="S2" s="45">
        <v>834.49503068156923</v>
      </c>
      <c r="T2" s="45">
        <v>834.49503068156923</v>
      </c>
      <c r="U2" s="45">
        <v>1408.3846153846155</v>
      </c>
      <c r="V2" s="45">
        <v>0</v>
      </c>
      <c r="W2" s="45">
        <v>0</v>
      </c>
      <c r="X2" s="45">
        <v>1365.173957061457</v>
      </c>
      <c r="BH2" s="621">
        <v>2011</v>
      </c>
      <c r="BI2" s="621">
        <v>2012</v>
      </c>
      <c r="BJ2" s="621">
        <v>2013</v>
      </c>
      <c r="BK2" s="622">
        <v>2014</v>
      </c>
      <c r="BL2" s="622">
        <v>2015</v>
      </c>
      <c r="BM2" s="622">
        <v>2016</v>
      </c>
      <c r="BN2" s="622">
        <v>2017</v>
      </c>
      <c r="BO2" s="622">
        <v>2018</v>
      </c>
      <c r="BP2" s="622">
        <v>2019</v>
      </c>
      <c r="BQ2" s="622">
        <v>2020</v>
      </c>
      <c r="BR2" s="622">
        <v>2021</v>
      </c>
      <c r="BS2" s="622">
        <v>2022</v>
      </c>
      <c r="BT2" s="622">
        <v>2023</v>
      </c>
      <c r="BU2" s="622">
        <v>2024</v>
      </c>
      <c r="BV2" s="622">
        <v>2025</v>
      </c>
      <c r="BW2" s="621">
        <v>2011</v>
      </c>
      <c r="BX2" s="621">
        <v>2012</v>
      </c>
      <c r="BY2" s="621">
        <v>2013</v>
      </c>
      <c r="BZ2" s="622">
        <v>2014</v>
      </c>
      <c r="CA2" s="622">
        <v>2015</v>
      </c>
      <c r="CB2" s="622">
        <v>2016</v>
      </c>
      <c r="CC2" s="622">
        <v>2017</v>
      </c>
      <c r="CD2" s="622">
        <v>2018</v>
      </c>
      <c r="CE2" s="622">
        <v>2019</v>
      </c>
      <c r="CF2" s="622">
        <v>2020</v>
      </c>
      <c r="CG2" s="622">
        <v>2021</v>
      </c>
      <c r="CH2" s="622">
        <v>2022</v>
      </c>
      <c r="CI2" s="622">
        <v>2023</v>
      </c>
      <c r="CJ2" s="622">
        <v>2024</v>
      </c>
      <c r="CK2" s="622">
        <v>2025</v>
      </c>
      <c r="CL2" s="621">
        <v>2011</v>
      </c>
      <c r="CM2" s="621">
        <v>2012</v>
      </c>
      <c r="CN2" s="621">
        <v>2013</v>
      </c>
      <c r="CO2" s="622">
        <v>2014</v>
      </c>
      <c r="CP2" s="622">
        <v>2015</v>
      </c>
      <c r="CQ2" s="622">
        <v>2016</v>
      </c>
      <c r="CR2" s="622">
        <v>2017</v>
      </c>
      <c r="CS2" s="622">
        <v>2018</v>
      </c>
      <c r="CT2" s="622">
        <v>2019</v>
      </c>
      <c r="CU2" s="622">
        <v>2020</v>
      </c>
      <c r="CV2" s="622">
        <v>2021</v>
      </c>
      <c r="CW2" s="622">
        <v>2022</v>
      </c>
      <c r="CX2" s="622">
        <v>2023</v>
      </c>
      <c r="CY2" s="622">
        <v>2024</v>
      </c>
      <c r="CZ2" s="622">
        <v>2025</v>
      </c>
      <c r="DA2" s="621">
        <v>2011</v>
      </c>
      <c r="DB2" s="621">
        <v>2012</v>
      </c>
      <c r="DC2" s="621">
        <v>2013</v>
      </c>
      <c r="DD2" s="622">
        <v>2014</v>
      </c>
      <c r="DE2" s="622">
        <v>2015</v>
      </c>
      <c r="DF2" s="622">
        <v>2016</v>
      </c>
      <c r="DG2" s="622">
        <v>2017</v>
      </c>
      <c r="DH2" s="622">
        <v>2018</v>
      </c>
      <c r="DI2" s="622">
        <v>2019</v>
      </c>
      <c r="DJ2" s="622">
        <v>2020</v>
      </c>
      <c r="DK2" s="622">
        <v>2021</v>
      </c>
      <c r="DL2" s="622">
        <v>2022</v>
      </c>
      <c r="DM2" s="622">
        <v>2023</v>
      </c>
      <c r="DN2" s="622">
        <v>2024</v>
      </c>
      <c r="DO2" s="622">
        <v>2025</v>
      </c>
      <c r="DP2" s="621">
        <v>2011</v>
      </c>
      <c r="DQ2" s="621">
        <v>2012</v>
      </c>
      <c r="DR2" s="621">
        <v>2013</v>
      </c>
      <c r="DS2" s="622">
        <v>2014</v>
      </c>
      <c r="DT2" s="622">
        <v>2015</v>
      </c>
      <c r="DU2" s="622">
        <v>2016</v>
      </c>
      <c r="DV2" s="622">
        <v>2017</v>
      </c>
      <c r="DW2" s="622">
        <v>2018</v>
      </c>
      <c r="DX2" s="622">
        <v>2019</v>
      </c>
      <c r="DY2" s="622">
        <v>2020</v>
      </c>
      <c r="DZ2" s="622">
        <v>2021</v>
      </c>
      <c r="EA2" s="622">
        <v>2022</v>
      </c>
      <c r="EB2" s="622">
        <v>2023</v>
      </c>
      <c r="EC2" s="622">
        <v>2024</v>
      </c>
      <c r="ED2" s="622">
        <v>2025</v>
      </c>
    </row>
    <row r="3" spans="1:134" ht="15" x14ac:dyDescent="0.25">
      <c r="A3"/>
      <c r="B3"/>
      <c r="C3"/>
      <c r="D3"/>
      <c r="E3"/>
      <c r="F3"/>
      <c r="G3" s="607">
        <v>97581</v>
      </c>
      <c r="H3" s="607">
        <v>41783</v>
      </c>
      <c r="I3" s="607">
        <v>36441</v>
      </c>
      <c r="J3" s="607">
        <v>5342</v>
      </c>
      <c r="K3"/>
      <c r="L3"/>
      <c r="M3"/>
      <c r="N3"/>
      <c r="O3"/>
      <c r="P3" s="244" t="s">
        <v>866</v>
      </c>
      <c r="Q3" s="607">
        <v>23088</v>
      </c>
      <c r="R3" s="45">
        <v>0</v>
      </c>
      <c r="S3" s="45">
        <v>834.49503068156957</v>
      </c>
      <c r="T3" s="45">
        <v>834.49503068156957</v>
      </c>
      <c r="U3" s="45">
        <v>1408.3846153846162</v>
      </c>
      <c r="V3" s="45">
        <v>0</v>
      </c>
      <c r="W3" s="45">
        <v>0</v>
      </c>
      <c r="X3" s="45">
        <v>1402.0705504955504</v>
      </c>
      <c r="AF3" s="244" t="s">
        <v>867</v>
      </c>
      <c r="AG3" s="607">
        <v>36440.999999999993</v>
      </c>
      <c r="AK3" s="607">
        <v>39758.66834964521</v>
      </c>
      <c r="AO3" s="607">
        <v>34836.64848739851</v>
      </c>
      <c r="AR3" s="607">
        <v>1661.7750696698047</v>
      </c>
      <c r="AS3" s="607">
        <v>37787.114195794493</v>
      </c>
      <c r="AT3" s="607">
        <v>38704.569597861955</v>
      </c>
      <c r="AU3" s="607">
        <v>39658.742678033064</v>
      </c>
      <c r="AV3" s="607">
        <v>40650.774187393195</v>
      </c>
      <c r="AW3" s="607">
        <v>41681.867191585196</v>
      </c>
      <c r="AX3" s="607">
        <v>33274.729572709875</v>
      </c>
      <c r="AY3" s="607">
        <v>33997.809701671242</v>
      </c>
      <c r="AZ3" s="607">
        <v>34751.86864442948</v>
      </c>
      <c r="BA3" s="607">
        <v>35537.520282353558</v>
      </c>
      <c r="BB3" s="607">
        <v>36355.442584140248</v>
      </c>
      <c r="BC3" s="607">
        <v>1568.4694983924705</v>
      </c>
      <c r="BD3" s="607">
        <v>1592.4401435542591</v>
      </c>
      <c r="BE3" s="607">
        <v>1617.0074941395769</v>
      </c>
      <c r="BF3" s="607">
        <v>1642.1883466948743</v>
      </c>
      <c r="BG3" s="607">
        <v>1668</v>
      </c>
      <c r="BH3" s="607">
        <v>42184.122437038641</v>
      </c>
      <c r="BI3" s="607">
        <v>42693.961884089709</v>
      </c>
      <c r="BJ3" s="607">
        <v>43211.520118765708</v>
      </c>
      <c r="BK3" s="623">
        <v>43492.345704192732</v>
      </c>
      <c r="BL3" s="623">
        <v>43773.504408190929</v>
      </c>
      <c r="BM3" s="623">
        <v>44159.597672946467</v>
      </c>
      <c r="BN3" s="623">
        <v>44546.082902874114</v>
      </c>
      <c r="BO3" s="623">
        <v>44993.443877491911</v>
      </c>
      <c r="BP3" s="623">
        <v>45441.202465212598</v>
      </c>
      <c r="BQ3" s="623">
        <v>46584.052600311741</v>
      </c>
      <c r="BR3" s="623">
        <v>47922.989982291612</v>
      </c>
      <c r="BS3" s="623">
        <v>48535.96006654713</v>
      </c>
      <c r="BT3" s="623">
        <v>48892.88790105837</v>
      </c>
      <c r="BU3" s="623">
        <v>49261.178770593287</v>
      </c>
      <c r="BV3" s="623">
        <v>49637.500534491941</v>
      </c>
      <c r="BW3" s="607">
        <v>36799.021318671854</v>
      </c>
      <c r="BX3" s="607">
        <v>37249.374060835311</v>
      </c>
      <c r="BY3" s="607">
        <v>37706.621947830106</v>
      </c>
      <c r="BZ3" s="623">
        <v>37965.816543091001</v>
      </c>
      <c r="CA3" s="623">
        <v>38225.260139804341</v>
      </c>
      <c r="CB3" s="623">
        <v>38563.140846596994</v>
      </c>
      <c r="CC3" s="623">
        <v>38901.314541849613</v>
      </c>
      <c r="CD3" s="623">
        <v>39293.983461666619</v>
      </c>
      <c r="CE3" s="623">
        <v>39686.94959169237</v>
      </c>
      <c r="CF3" s="623">
        <v>40702.763153235588</v>
      </c>
      <c r="CG3" s="623">
        <v>41896.074779974522</v>
      </c>
      <c r="CH3" s="623">
        <v>42438.773177208932</v>
      </c>
      <c r="CI3" s="623">
        <v>42751.981926971814</v>
      </c>
      <c r="CJ3" s="623">
        <v>43075.336327126483</v>
      </c>
      <c r="CK3" s="623">
        <v>43405.850066937506</v>
      </c>
      <c r="CL3" s="607">
        <v>1692.4690545722417</v>
      </c>
      <c r="CM3" s="607">
        <v>1717.3556270726835</v>
      </c>
      <c r="CN3" s="607">
        <v>1742.6675394014253</v>
      </c>
      <c r="CO3" s="623">
        <v>1777.5515002930695</v>
      </c>
      <c r="CP3" s="623">
        <v>1812.4395742072984</v>
      </c>
      <c r="CQ3" s="623">
        <v>1848.6232775335832</v>
      </c>
      <c r="CR3" s="623">
        <v>1884.811820462779</v>
      </c>
      <c r="CS3" s="623">
        <v>1927.4940447495592</v>
      </c>
      <c r="CT3" s="623">
        <v>1970.181178374379</v>
      </c>
      <c r="CU3" s="623">
        <v>2087.3064149296451</v>
      </c>
      <c r="CV3" s="623">
        <v>2226.5729593863289</v>
      </c>
      <c r="CW3" s="623">
        <v>2288.0316851931607</v>
      </c>
      <c r="CX3" s="623">
        <v>2322.0329058786269</v>
      </c>
      <c r="CY3" s="623">
        <v>2357.2278135108163</v>
      </c>
      <c r="CZ3" s="623">
        <v>2393.2592498847657</v>
      </c>
      <c r="DA3" s="607">
        <v>102.43246808374707</v>
      </c>
      <c r="DB3" s="607">
        <v>103.74927950089808</v>
      </c>
      <c r="DC3" s="607">
        <v>105.08347126371459</v>
      </c>
      <c r="DD3" s="623">
        <v>105.85634389860192</v>
      </c>
      <c r="DE3" s="623">
        <v>106.62940022828539</v>
      </c>
      <c r="DF3" s="623">
        <v>107.46032163789667</v>
      </c>
      <c r="DG3" s="623">
        <v>108.29145919265447</v>
      </c>
      <c r="DH3" s="623">
        <v>109.26891026941541</v>
      </c>
      <c r="DI3" s="623">
        <v>110.24658060581602</v>
      </c>
      <c r="DJ3" s="623">
        <v>112.90266581827041</v>
      </c>
      <c r="DK3" s="623">
        <v>116.05469719975815</v>
      </c>
      <c r="DL3" s="623">
        <v>117.45251618581557</v>
      </c>
      <c r="DM3" s="623">
        <v>118.23133759751533</v>
      </c>
      <c r="DN3" s="623">
        <v>119.037140853209</v>
      </c>
      <c r="DO3" s="623">
        <v>119.86187373363805</v>
      </c>
      <c r="DP3" s="607">
        <v>45.541755641191791</v>
      </c>
      <c r="DQ3" s="607">
        <v>46.090498420310297</v>
      </c>
      <c r="DR3" s="607">
        <v>46.646320809758933</v>
      </c>
      <c r="DS3" s="623">
        <v>47.002444682383391</v>
      </c>
      <c r="DT3" s="623">
        <v>47.358568555007864</v>
      </c>
      <c r="DU3" s="623">
        <v>47.714692427632336</v>
      </c>
      <c r="DV3" s="623">
        <v>48.070816300256794</v>
      </c>
      <c r="DW3" s="623">
        <v>48.491909422126056</v>
      </c>
      <c r="DX3" s="623">
        <v>48.913002543995326</v>
      </c>
      <c r="DY3" s="623">
        <v>50.080393562373601</v>
      </c>
      <c r="DZ3" s="623">
        <v>51.471260056191007</v>
      </c>
      <c r="EA3" s="623">
        <v>52.081962150217983</v>
      </c>
      <c r="EB3" s="623">
        <v>52.417332919649354</v>
      </c>
      <c r="EC3" s="623">
        <v>52.764640994836633</v>
      </c>
      <c r="ED3" s="623">
        <v>53.120305184053088</v>
      </c>
    </row>
    <row r="4" spans="1:134" ht="15" x14ac:dyDescent="0.25">
      <c r="A4"/>
      <c r="B4"/>
      <c r="C4"/>
      <c r="D4"/>
      <c r="E4"/>
      <c r="F4"/>
      <c r="G4" s="840" t="s">
        <v>868</v>
      </c>
      <c r="H4" s="840"/>
      <c r="I4" s="840"/>
      <c r="J4" s="840"/>
      <c r="K4" s="840" t="s">
        <v>869</v>
      </c>
      <c r="L4" s="840"/>
      <c r="M4" s="840"/>
      <c r="N4" s="840"/>
      <c r="O4" s="840"/>
      <c r="P4" s="840"/>
      <c r="Q4" s="840"/>
      <c r="R4" s="840" t="s">
        <v>870</v>
      </c>
      <c r="S4" s="840"/>
      <c r="T4" s="840"/>
      <c r="U4" s="840"/>
      <c r="V4" s="840"/>
      <c r="W4" s="840"/>
      <c r="X4" s="840"/>
      <c r="Y4" s="840" t="s">
        <v>871</v>
      </c>
      <c r="Z4" s="840"/>
      <c r="AA4" s="840"/>
      <c r="AB4" s="840"/>
      <c r="AC4" s="840"/>
      <c r="AD4" s="840"/>
      <c r="AE4" s="871" t="s">
        <v>872</v>
      </c>
      <c r="AF4" s="871"/>
      <c r="AG4" s="871"/>
      <c r="AH4" s="871"/>
      <c r="AI4" s="871" t="s">
        <v>873</v>
      </c>
      <c r="AJ4" s="871"/>
      <c r="AK4" s="871"/>
      <c r="AL4" s="871"/>
      <c r="AM4" s="871" t="s">
        <v>874</v>
      </c>
      <c r="AN4" s="871"/>
      <c r="AO4" s="871"/>
      <c r="AP4" s="871"/>
      <c r="AQ4" s="871" t="s">
        <v>875</v>
      </c>
      <c r="AR4" s="871"/>
      <c r="AS4" s="868" t="s">
        <v>876</v>
      </c>
      <c r="AT4" s="868"/>
      <c r="AU4" s="868"/>
      <c r="AV4" s="868"/>
      <c r="AW4" s="868"/>
      <c r="AX4" s="868" t="s">
        <v>877</v>
      </c>
      <c r="AY4" s="868"/>
      <c r="AZ4" s="868"/>
      <c r="BA4" s="868"/>
      <c r="BB4" s="868"/>
      <c r="BC4" s="868" t="s">
        <v>878</v>
      </c>
      <c r="BD4" s="868"/>
      <c r="BE4" s="868"/>
      <c r="BF4" s="868"/>
      <c r="BG4" s="868"/>
      <c r="BH4" s="868" t="s">
        <v>876</v>
      </c>
      <c r="BI4" s="868"/>
      <c r="BJ4" s="868"/>
      <c r="BK4" s="868"/>
      <c r="BL4" s="868"/>
      <c r="BM4" s="868"/>
      <c r="BN4" s="868"/>
      <c r="BO4" s="868"/>
      <c r="BP4" s="868"/>
      <c r="BQ4" s="868"/>
      <c r="BR4" s="868"/>
      <c r="BS4" s="868"/>
      <c r="BT4" s="868"/>
      <c r="BU4" s="868"/>
      <c r="BV4" s="868"/>
      <c r="BW4" s="868" t="s">
        <v>877</v>
      </c>
      <c r="BX4" s="868"/>
      <c r="BY4" s="868"/>
      <c r="BZ4" s="868"/>
      <c r="CA4" s="868"/>
      <c r="CB4" s="868"/>
      <c r="CC4" s="868"/>
      <c r="CD4" s="868"/>
      <c r="CE4" s="868"/>
      <c r="CF4" s="868"/>
      <c r="CG4" s="868"/>
      <c r="CH4" s="868"/>
      <c r="CI4" s="868"/>
      <c r="CJ4" s="868"/>
      <c r="CK4" s="868"/>
      <c r="CL4" s="868" t="s">
        <v>878</v>
      </c>
      <c r="CM4" s="868"/>
      <c r="CN4" s="868"/>
      <c r="CO4" s="868"/>
      <c r="CP4" s="868"/>
      <c r="CQ4" s="868"/>
      <c r="CR4" s="868"/>
      <c r="CS4" s="868"/>
      <c r="CT4" s="868"/>
      <c r="CU4" s="868"/>
      <c r="CV4" s="868"/>
      <c r="CW4" s="868"/>
      <c r="CX4" s="868"/>
      <c r="CY4" s="868"/>
      <c r="CZ4" s="868"/>
      <c r="DA4" s="868" t="s">
        <v>879</v>
      </c>
      <c r="DB4" s="868"/>
      <c r="DC4" s="868"/>
      <c r="DD4" s="868"/>
      <c r="DE4" s="868"/>
      <c r="DF4" s="868"/>
      <c r="DG4" s="868"/>
      <c r="DH4" s="868"/>
      <c r="DI4" s="868"/>
      <c r="DJ4" s="868"/>
      <c r="DK4" s="868"/>
      <c r="DL4" s="868"/>
      <c r="DM4" s="868"/>
      <c r="DN4" s="868"/>
      <c r="DO4" s="868"/>
      <c r="DP4" s="868" t="s">
        <v>880</v>
      </c>
      <c r="DQ4" s="868"/>
      <c r="DR4" s="868"/>
      <c r="DS4" s="868"/>
      <c r="DT4" s="868"/>
      <c r="DU4" s="868"/>
      <c r="DV4" s="868"/>
      <c r="DW4" s="868"/>
      <c r="DX4" s="868"/>
      <c r="DY4" s="868"/>
      <c r="DZ4" s="868"/>
      <c r="EA4" s="868"/>
      <c r="EB4" s="868"/>
      <c r="EC4" s="868"/>
      <c r="ED4" s="868"/>
    </row>
    <row r="5" spans="1:134" ht="15.75" thickBot="1" x14ac:dyDescent="0.3">
      <c r="A5" s="6" t="s">
        <v>881</v>
      </c>
      <c r="B5" s="6" t="s">
        <v>882</v>
      </c>
      <c r="C5" s="6" t="s">
        <v>883</v>
      </c>
      <c r="D5" s="6" t="s">
        <v>884</v>
      </c>
      <c r="E5" s="6" t="s">
        <v>885</v>
      </c>
      <c r="F5" s="624" t="s">
        <v>886</v>
      </c>
      <c r="G5" s="6" t="s">
        <v>887</v>
      </c>
      <c r="H5" s="6" t="s">
        <v>888</v>
      </c>
      <c r="I5" s="6" t="s">
        <v>889</v>
      </c>
      <c r="J5" s="6" t="s">
        <v>890</v>
      </c>
      <c r="K5" s="6" t="s">
        <v>891</v>
      </c>
      <c r="L5" s="6" t="s">
        <v>892</v>
      </c>
      <c r="M5" s="6" t="s">
        <v>893</v>
      </c>
      <c r="N5" s="6" t="s">
        <v>894</v>
      </c>
      <c r="O5" s="6" t="s">
        <v>895</v>
      </c>
      <c r="P5" s="6" t="s">
        <v>896</v>
      </c>
      <c r="Q5" s="6" t="s">
        <v>341</v>
      </c>
      <c r="R5" s="6" t="s">
        <v>891</v>
      </c>
      <c r="S5" s="6" t="s">
        <v>892</v>
      </c>
      <c r="T5" s="6" t="s">
        <v>893</v>
      </c>
      <c r="U5" s="6" t="s">
        <v>894</v>
      </c>
      <c r="V5" s="6" t="s">
        <v>895</v>
      </c>
      <c r="W5" s="6" t="s">
        <v>896</v>
      </c>
      <c r="X5" s="6" t="s">
        <v>341</v>
      </c>
      <c r="Y5" s="6" t="s">
        <v>891</v>
      </c>
      <c r="Z5" s="6" t="s">
        <v>892</v>
      </c>
      <c r="AA5" s="6" t="s">
        <v>895</v>
      </c>
      <c r="AB5" s="625" t="s">
        <v>894</v>
      </c>
      <c r="AC5" s="625" t="s">
        <v>896</v>
      </c>
      <c r="AD5" s="626" t="s">
        <v>341</v>
      </c>
      <c r="AE5" s="6" t="s">
        <v>891</v>
      </c>
      <c r="AF5" s="6" t="s">
        <v>892</v>
      </c>
      <c r="AG5" s="627" t="s">
        <v>897</v>
      </c>
      <c r="AH5" s="6" t="s">
        <v>895</v>
      </c>
      <c r="AI5" s="6" t="s">
        <v>891</v>
      </c>
      <c r="AJ5" s="6" t="s">
        <v>892</v>
      </c>
      <c r="AK5" s="6" t="s">
        <v>897</v>
      </c>
      <c r="AL5" s="6" t="s">
        <v>895</v>
      </c>
      <c r="AM5" s="6" t="s">
        <v>891</v>
      </c>
      <c r="AN5" s="6" t="s">
        <v>892</v>
      </c>
      <c r="AO5" s="6" t="s">
        <v>897</v>
      </c>
      <c r="AP5" s="6" t="s">
        <v>895</v>
      </c>
      <c r="AQ5" s="6" t="s">
        <v>894</v>
      </c>
      <c r="AR5" s="6" t="s">
        <v>896</v>
      </c>
      <c r="AS5" s="628" t="s">
        <v>898</v>
      </c>
      <c r="AT5" s="628" t="s">
        <v>899</v>
      </c>
      <c r="AU5" s="628" t="s">
        <v>900</v>
      </c>
      <c r="AV5" s="628" t="s">
        <v>901</v>
      </c>
      <c r="AW5" s="628" t="s">
        <v>902</v>
      </c>
      <c r="AX5" s="628" t="s">
        <v>903</v>
      </c>
      <c r="AY5" s="628" t="s">
        <v>904</v>
      </c>
      <c r="AZ5" s="628" t="s">
        <v>905</v>
      </c>
      <c r="BA5" s="628" t="s">
        <v>906</v>
      </c>
      <c r="BB5" s="628" t="s">
        <v>907</v>
      </c>
      <c r="BC5" s="628" t="s">
        <v>908</v>
      </c>
      <c r="BD5" s="628" t="s">
        <v>909</v>
      </c>
      <c r="BE5" s="628" t="s">
        <v>910</v>
      </c>
      <c r="BF5" s="628" t="s">
        <v>911</v>
      </c>
      <c r="BG5" s="628" t="s">
        <v>912</v>
      </c>
      <c r="BH5" s="628" t="s">
        <v>913</v>
      </c>
      <c r="BI5" s="628" t="s">
        <v>914</v>
      </c>
      <c r="BJ5" s="628" t="s">
        <v>915</v>
      </c>
      <c r="BK5" s="629" t="s">
        <v>916</v>
      </c>
      <c r="BL5" s="629" t="s">
        <v>917</v>
      </c>
      <c r="BM5" s="629" t="s">
        <v>918</v>
      </c>
      <c r="BN5" s="629" t="s">
        <v>919</v>
      </c>
      <c r="BO5" s="629" t="s">
        <v>920</v>
      </c>
      <c r="BP5" s="629" t="s">
        <v>921</v>
      </c>
      <c r="BQ5" s="629" t="s">
        <v>922</v>
      </c>
      <c r="BR5" s="629" t="s">
        <v>923</v>
      </c>
      <c r="BS5" s="629" t="s">
        <v>924</v>
      </c>
      <c r="BT5" s="629" t="s">
        <v>925</v>
      </c>
      <c r="BU5" s="629" t="s">
        <v>926</v>
      </c>
      <c r="BV5" s="629" t="s">
        <v>927</v>
      </c>
      <c r="BW5" s="628" t="s">
        <v>928</v>
      </c>
      <c r="BX5" s="628" t="s">
        <v>929</v>
      </c>
      <c r="BY5" s="628" t="s">
        <v>930</v>
      </c>
      <c r="BZ5" s="629" t="s">
        <v>931</v>
      </c>
      <c r="CA5" s="629" t="s">
        <v>932</v>
      </c>
      <c r="CB5" s="629" t="s">
        <v>933</v>
      </c>
      <c r="CC5" s="629" t="s">
        <v>934</v>
      </c>
      <c r="CD5" s="629" t="s">
        <v>935</v>
      </c>
      <c r="CE5" s="629" t="s">
        <v>936</v>
      </c>
      <c r="CF5" s="629" t="s">
        <v>937</v>
      </c>
      <c r="CG5" s="629" t="s">
        <v>938</v>
      </c>
      <c r="CH5" s="629" t="s">
        <v>939</v>
      </c>
      <c r="CI5" s="629" t="s">
        <v>940</v>
      </c>
      <c r="CJ5" s="629" t="s">
        <v>941</v>
      </c>
      <c r="CK5" s="629" t="s">
        <v>942</v>
      </c>
      <c r="CL5" s="628" t="s">
        <v>943</v>
      </c>
      <c r="CM5" s="628" t="s">
        <v>944</v>
      </c>
      <c r="CN5" s="628" t="s">
        <v>945</v>
      </c>
      <c r="CO5" s="629" t="s">
        <v>946</v>
      </c>
      <c r="CP5" s="629" t="s">
        <v>947</v>
      </c>
      <c r="CQ5" s="629" t="s">
        <v>948</v>
      </c>
      <c r="CR5" s="629" t="s">
        <v>949</v>
      </c>
      <c r="CS5" s="629" t="s">
        <v>950</v>
      </c>
      <c r="CT5" s="629" t="s">
        <v>951</v>
      </c>
      <c r="CU5" s="629" t="s">
        <v>952</v>
      </c>
      <c r="CV5" s="629" t="s">
        <v>953</v>
      </c>
      <c r="CW5" s="629" t="s">
        <v>954</v>
      </c>
      <c r="CX5" s="629" t="s">
        <v>955</v>
      </c>
      <c r="CY5" s="629" t="s">
        <v>956</v>
      </c>
      <c r="CZ5" s="629" t="s">
        <v>957</v>
      </c>
      <c r="DA5" s="628" t="s">
        <v>958</v>
      </c>
      <c r="DB5" s="628" t="s">
        <v>959</v>
      </c>
      <c r="DC5" s="628" t="s">
        <v>960</v>
      </c>
      <c r="DD5" s="629" t="s">
        <v>961</v>
      </c>
      <c r="DE5" s="629" t="s">
        <v>962</v>
      </c>
      <c r="DF5" s="629" t="s">
        <v>963</v>
      </c>
      <c r="DG5" s="629" t="s">
        <v>964</v>
      </c>
      <c r="DH5" s="629" t="s">
        <v>965</v>
      </c>
      <c r="DI5" s="629" t="s">
        <v>966</v>
      </c>
      <c r="DJ5" s="629" t="s">
        <v>967</v>
      </c>
      <c r="DK5" s="629" t="s">
        <v>968</v>
      </c>
      <c r="DL5" s="629" t="s">
        <v>969</v>
      </c>
      <c r="DM5" s="629" t="s">
        <v>970</v>
      </c>
      <c r="DN5" s="629" t="s">
        <v>971</v>
      </c>
      <c r="DO5" s="629" t="s">
        <v>972</v>
      </c>
      <c r="DP5" s="628" t="s">
        <v>973</v>
      </c>
      <c r="DQ5" s="628" t="s">
        <v>974</v>
      </c>
      <c r="DR5" s="628" t="s">
        <v>975</v>
      </c>
      <c r="DS5" s="629" t="s">
        <v>976</v>
      </c>
      <c r="DT5" s="629" t="s">
        <v>977</v>
      </c>
      <c r="DU5" s="629" t="s">
        <v>978</v>
      </c>
      <c r="DV5" s="629" t="s">
        <v>979</v>
      </c>
      <c r="DW5" s="629" t="s">
        <v>980</v>
      </c>
      <c r="DX5" s="629" t="s">
        <v>981</v>
      </c>
      <c r="DY5" s="629" t="s">
        <v>982</v>
      </c>
      <c r="DZ5" s="629" t="s">
        <v>983</v>
      </c>
      <c r="EA5" s="629" t="s">
        <v>984</v>
      </c>
      <c r="EB5" s="629" t="s">
        <v>985</v>
      </c>
      <c r="EC5" s="629" t="s">
        <v>986</v>
      </c>
      <c r="ED5" s="629" t="s">
        <v>987</v>
      </c>
    </row>
    <row r="6" spans="1:134" ht="15.75" thickTop="1" x14ac:dyDescent="0.25">
      <c r="A6" s="555">
        <v>108</v>
      </c>
      <c r="B6" s="555">
        <v>49</v>
      </c>
      <c r="C6" s="555" t="s">
        <v>988</v>
      </c>
      <c r="D6" s="812">
        <v>99760</v>
      </c>
      <c r="E6" s="812">
        <v>99743</v>
      </c>
      <c r="F6" s="630" t="s">
        <v>989</v>
      </c>
      <c r="G6" s="45">
        <v>0</v>
      </c>
      <c r="H6" s="45">
        <v>9</v>
      </c>
      <c r="I6" s="45">
        <v>0</v>
      </c>
      <c r="J6" s="45">
        <v>9</v>
      </c>
      <c r="K6" s="45">
        <v>0</v>
      </c>
      <c r="L6" s="45">
        <v>0</v>
      </c>
      <c r="M6" s="45">
        <v>0</v>
      </c>
      <c r="N6" s="45">
        <v>0</v>
      </c>
      <c r="O6" s="45">
        <v>0</v>
      </c>
      <c r="P6" s="45">
        <v>0</v>
      </c>
      <c r="Q6" s="45">
        <v>0</v>
      </c>
      <c r="R6" s="45">
        <v>0</v>
      </c>
      <c r="S6" s="45">
        <v>834.49503068156923</v>
      </c>
      <c r="T6" s="45">
        <v>834.49503068156923</v>
      </c>
      <c r="U6" s="45">
        <v>1408.3846153846155</v>
      </c>
      <c r="V6" s="45">
        <v>0</v>
      </c>
      <c r="W6" s="45">
        <v>0</v>
      </c>
      <c r="X6" s="45">
        <v>1365.173957061457</v>
      </c>
      <c r="Y6" s="45">
        <v>0.20621101871101871</v>
      </c>
      <c r="Z6" s="45">
        <v>8.7820945945945947</v>
      </c>
      <c r="AA6" s="45">
        <v>1.1694386694386695E-2</v>
      </c>
      <c r="AB6" s="508">
        <v>0</v>
      </c>
      <c r="AC6" s="508">
        <v>0</v>
      </c>
      <c r="AD6" s="631">
        <v>9</v>
      </c>
      <c r="AE6" s="632">
        <v>0</v>
      </c>
      <c r="AF6" s="632">
        <v>0</v>
      </c>
      <c r="AG6" s="633">
        <v>0</v>
      </c>
      <c r="AH6" s="632">
        <v>0</v>
      </c>
      <c r="AI6" s="632">
        <v>0.19045831633298477</v>
      </c>
      <c r="AJ6" s="632">
        <v>8.1112200541886832</v>
      </c>
      <c r="AK6" s="632">
        <v>8.3016783705216675</v>
      </c>
      <c r="AL6" s="632">
        <v>1.0801038733439589E-2</v>
      </c>
      <c r="AM6" s="632">
        <v>0</v>
      </c>
      <c r="AN6" s="632">
        <v>0</v>
      </c>
      <c r="AO6" s="632">
        <v>0</v>
      </c>
      <c r="AP6" s="632">
        <v>0</v>
      </c>
      <c r="AQ6" s="632">
        <v>0</v>
      </c>
      <c r="AR6" s="632">
        <v>0</v>
      </c>
      <c r="AS6" s="632">
        <v>7.6675033908022057</v>
      </c>
      <c r="AT6" s="632">
        <v>7.9782922392780415</v>
      </c>
      <c r="AU6" s="632">
        <v>8.3016783705216675</v>
      </c>
      <c r="AV6" s="632">
        <v>8.6381723933722068</v>
      </c>
      <c r="AW6" s="632">
        <v>8.988305613305613</v>
      </c>
      <c r="AX6" s="632">
        <v>0</v>
      </c>
      <c r="AY6" s="632">
        <v>0</v>
      </c>
      <c r="AZ6" s="632">
        <v>0</v>
      </c>
      <c r="BA6" s="632">
        <v>0</v>
      </c>
      <c r="BB6" s="632">
        <v>0</v>
      </c>
      <c r="BC6" s="632">
        <v>0</v>
      </c>
      <c r="BD6" s="632">
        <v>0</v>
      </c>
      <c r="BE6" s="632">
        <v>0</v>
      </c>
      <c r="BF6" s="632">
        <v>0</v>
      </c>
      <c r="BG6" s="632">
        <v>0</v>
      </c>
      <c r="BH6" s="634">
        <v>9.0256535918069574</v>
      </c>
      <c r="BI6" s="634">
        <v>9.0631567576771044</v>
      </c>
      <c r="BJ6" s="634">
        <v>9.1008157557466589</v>
      </c>
      <c r="BK6" s="635">
        <v>9.0409818850916821</v>
      </c>
      <c r="BL6" s="635">
        <v>8.9815413958844399</v>
      </c>
      <c r="BM6" s="635">
        <v>9.0460186735236743</v>
      </c>
      <c r="BN6" s="635">
        <v>9.1109588248667102</v>
      </c>
      <c r="BO6" s="635">
        <v>9.1763651728216118</v>
      </c>
      <c r="BP6" s="635">
        <v>9.2422410641511483</v>
      </c>
      <c r="BQ6" s="635">
        <v>9.3085898696440523</v>
      </c>
      <c r="BR6" s="635">
        <v>9.3608448026518669</v>
      </c>
      <c r="BS6" s="635">
        <v>9.4133930752591155</v>
      </c>
      <c r="BT6" s="635">
        <v>9.4662363341643143</v>
      </c>
      <c r="BU6" s="635">
        <v>9.5193762353099256</v>
      </c>
      <c r="BV6" s="635">
        <v>9.5728144439342486</v>
      </c>
      <c r="BW6" s="634">
        <v>0</v>
      </c>
      <c r="BX6" s="634">
        <v>0</v>
      </c>
      <c r="BY6" s="634">
        <v>0</v>
      </c>
      <c r="BZ6" s="635">
        <v>0</v>
      </c>
      <c r="CA6" s="635">
        <v>0</v>
      </c>
      <c r="CB6" s="635">
        <v>0</v>
      </c>
      <c r="CC6" s="635">
        <v>0</v>
      </c>
      <c r="CD6" s="635">
        <v>0</v>
      </c>
      <c r="CE6" s="635">
        <v>0</v>
      </c>
      <c r="CF6" s="635">
        <v>0</v>
      </c>
      <c r="CG6" s="635">
        <v>0</v>
      </c>
      <c r="CH6" s="635">
        <v>0</v>
      </c>
      <c r="CI6" s="635">
        <v>0</v>
      </c>
      <c r="CJ6" s="635">
        <v>0</v>
      </c>
      <c r="CK6" s="635">
        <v>0</v>
      </c>
      <c r="CL6" s="634">
        <v>0</v>
      </c>
      <c r="CM6" s="634">
        <v>0</v>
      </c>
      <c r="CN6" s="634">
        <v>0</v>
      </c>
      <c r="CO6" s="635">
        <v>0</v>
      </c>
      <c r="CP6" s="635">
        <v>0</v>
      </c>
      <c r="CQ6" s="635">
        <v>0</v>
      </c>
      <c r="CR6" s="635">
        <v>0</v>
      </c>
      <c r="CS6" s="635">
        <v>0</v>
      </c>
      <c r="CT6" s="635">
        <v>0</v>
      </c>
      <c r="CU6" s="635">
        <v>0</v>
      </c>
      <c r="CV6" s="635">
        <v>0</v>
      </c>
      <c r="CW6" s="635">
        <v>0</v>
      </c>
      <c r="CX6" s="635">
        <v>0</v>
      </c>
      <c r="CY6" s="635">
        <v>0</v>
      </c>
      <c r="CZ6" s="635">
        <v>0</v>
      </c>
      <c r="DA6" s="636">
        <v>1.1742978912056931E-2</v>
      </c>
      <c r="DB6" s="636">
        <v>1.1791773038872112E-2</v>
      </c>
      <c r="DC6" s="636">
        <v>1.1840769913799972E-2</v>
      </c>
      <c r="DD6" s="637">
        <v>1.176292204669748E-2</v>
      </c>
      <c r="DE6" s="637">
        <v>1.1685585995165807E-2</v>
      </c>
      <c r="DF6" s="637">
        <v>1.1769475245281907E-2</v>
      </c>
      <c r="DG6" s="637">
        <v>1.1853966725041257E-2</v>
      </c>
      <c r="DH6" s="637">
        <v>1.1939064757769466E-2</v>
      </c>
      <c r="DI6" s="637">
        <v>1.2024773697828712E-2</v>
      </c>
      <c r="DJ6" s="637">
        <v>1.2111097930840557E-2</v>
      </c>
      <c r="DK6" s="637">
        <v>1.2179085093223871E-2</v>
      </c>
      <c r="DL6" s="637">
        <v>1.2247453910043086E-2</v>
      </c>
      <c r="DM6" s="637">
        <v>1.2316206523763095E-2</v>
      </c>
      <c r="DN6" s="637">
        <v>1.2385345088875781E-2</v>
      </c>
      <c r="DO6" s="637">
        <v>1.2454871771967538E-2</v>
      </c>
      <c r="DP6" s="636">
        <v>0</v>
      </c>
      <c r="DQ6" s="636">
        <v>0</v>
      </c>
      <c r="DR6" s="636">
        <v>0</v>
      </c>
      <c r="DS6" s="637">
        <v>0</v>
      </c>
      <c r="DT6" s="637">
        <v>0</v>
      </c>
      <c r="DU6" s="637">
        <v>0</v>
      </c>
      <c r="DV6" s="637">
        <v>0</v>
      </c>
      <c r="DW6" s="637">
        <v>0</v>
      </c>
      <c r="DX6" s="637">
        <v>0</v>
      </c>
      <c r="DY6" s="637">
        <v>0</v>
      </c>
      <c r="DZ6" s="637">
        <v>0</v>
      </c>
      <c r="EA6" s="637">
        <v>0</v>
      </c>
      <c r="EB6" s="637">
        <v>0</v>
      </c>
      <c r="EC6" s="637">
        <v>0</v>
      </c>
      <c r="ED6" s="637">
        <v>0</v>
      </c>
    </row>
    <row r="7" spans="1:134" ht="15" x14ac:dyDescent="0.25">
      <c r="A7" s="555">
        <v>133</v>
      </c>
      <c r="B7" s="555">
        <v>49</v>
      </c>
      <c r="C7" s="555" t="s">
        <v>990</v>
      </c>
      <c r="D7" s="812">
        <v>99714</v>
      </c>
      <c r="E7" s="812">
        <v>99714</v>
      </c>
      <c r="F7" s="630" t="s">
        <v>989</v>
      </c>
      <c r="G7" s="45">
        <v>0</v>
      </c>
      <c r="H7" s="45">
        <v>1</v>
      </c>
      <c r="I7" s="45">
        <v>0</v>
      </c>
      <c r="J7" s="45">
        <v>1</v>
      </c>
      <c r="K7" s="45">
        <v>0</v>
      </c>
      <c r="L7" s="45">
        <v>0</v>
      </c>
      <c r="M7" s="45">
        <v>0</v>
      </c>
      <c r="N7" s="45">
        <v>0</v>
      </c>
      <c r="O7" s="45">
        <v>0</v>
      </c>
      <c r="P7" s="45">
        <v>0</v>
      </c>
      <c r="Q7" s="45">
        <v>0</v>
      </c>
      <c r="R7" s="45">
        <v>0</v>
      </c>
      <c r="S7" s="45">
        <v>834.49503068156923</v>
      </c>
      <c r="T7" s="45">
        <v>834.49503068156923</v>
      </c>
      <c r="U7" s="45">
        <v>1408.3846153846155</v>
      </c>
      <c r="V7" s="45">
        <v>0</v>
      </c>
      <c r="W7" s="45">
        <v>0</v>
      </c>
      <c r="X7" s="45">
        <v>1365.173957061457</v>
      </c>
      <c r="Y7" s="45">
        <v>2.2912335412335411E-2</v>
      </c>
      <c r="Z7" s="45">
        <v>0.97578828828828834</v>
      </c>
      <c r="AA7" s="45">
        <v>1.2993762993762994E-3</v>
      </c>
      <c r="AB7" s="508">
        <v>0</v>
      </c>
      <c r="AC7" s="508">
        <v>0</v>
      </c>
      <c r="AD7" s="631">
        <v>1</v>
      </c>
      <c r="AE7" s="632">
        <v>0</v>
      </c>
      <c r="AF7" s="632">
        <v>0</v>
      </c>
      <c r="AG7" s="633">
        <v>0</v>
      </c>
      <c r="AH7" s="632">
        <v>0</v>
      </c>
      <c r="AI7" s="632">
        <v>2.1494750212074962E-2</v>
      </c>
      <c r="AJ7" s="632">
        <v>0.91541630912634575</v>
      </c>
      <c r="AK7" s="632">
        <v>0.93691105933842067</v>
      </c>
      <c r="AL7" s="632">
        <v>1.2189839439740056E-3</v>
      </c>
      <c r="AM7" s="632">
        <v>0</v>
      </c>
      <c r="AN7" s="632">
        <v>0</v>
      </c>
      <c r="AO7" s="632">
        <v>0</v>
      </c>
      <c r="AP7" s="632">
        <v>0</v>
      </c>
      <c r="AQ7" s="632">
        <v>0</v>
      </c>
      <c r="AR7" s="632">
        <v>0</v>
      </c>
      <c r="AS7" s="632">
        <v>0.87894441264890677</v>
      </c>
      <c r="AT7" s="632">
        <v>0.9074650080055281</v>
      </c>
      <c r="AU7" s="632">
        <v>0.93691105933842067</v>
      </c>
      <c r="AV7" s="632">
        <v>0.96731259648228129</v>
      </c>
      <c r="AW7" s="632">
        <v>0.99870062370062374</v>
      </c>
      <c r="AX7" s="632">
        <v>0</v>
      </c>
      <c r="AY7" s="632">
        <v>0</v>
      </c>
      <c r="AZ7" s="632">
        <v>0</v>
      </c>
      <c r="BA7" s="632">
        <v>0</v>
      </c>
      <c r="BB7" s="632">
        <v>0</v>
      </c>
      <c r="BC7" s="632">
        <v>0</v>
      </c>
      <c r="BD7" s="632">
        <v>0</v>
      </c>
      <c r="BE7" s="632">
        <v>0</v>
      </c>
      <c r="BF7" s="632">
        <v>0</v>
      </c>
      <c r="BG7" s="632">
        <v>0</v>
      </c>
      <c r="BH7" s="634">
        <v>1.002850399089662</v>
      </c>
      <c r="BI7" s="634">
        <v>1.0070174175196784</v>
      </c>
      <c r="BJ7" s="634">
        <v>1.0112017506385176</v>
      </c>
      <c r="BK7" s="635">
        <v>1.0045535427879646</v>
      </c>
      <c r="BL7" s="635">
        <v>0.99794904398715989</v>
      </c>
      <c r="BM7" s="635">
        <v>1.0051131859470748</v>
      </c>
      <c r="BN7" s="635">
        <v>1.0123287583185232</v>
      </c>
      <c r="BO7" s="635">
        <v>1.0195961303135124</v>
      </c>
      <c r="BP7" s="635">
        <v>1.0269156737945719</v>
      </c>
      <c r="BQ7" s="635">
        <v>1.0342877632937835</v>
      </c>
      <c r="BR7" s="635">
        <v>1.0400938669613184</v>
      </c>
      <c r="BS7" s="635">
        <v>1.0459325639176795</v>
      </c>
      <c r="BT7" s="635">
        <v>1.0518040371293682</v>
      </c>
      <c r="BU7" s="635">
        <v>1.0577084705899917</v>
      </c>
      <c r="BV7" s="635">
        <v>1.0636460493260276</v>
      </c>
      <c r="BW7" s="634">
        <v>0</v>
      </c>
      <c r="BX7" s="634">
        <v>0</v>
      </c>
      <c r="BY7" s="634">
        <v>0</v>
      </c>
      <c r="BZ7" s="635">
        <v>0</v>
      </c>
      <c r="CA7" s="635">
        <v>0</v>
      </c>
      <c r="CB7" s="635">
        <v>0</v>
      </c>
      <c r="CC7" s="635">
        <v>0</v>
      </c>
      <c r="CD7" s="635">
        <v>0</v>
      </c>
      <c r="CE7" s="635">
        <v>0</v>
      </c>
      <c r="CF7" s="635">
        <v>0</v>
      </c>
      <c r="CG7" s="635">
        <v>0</v>
      </c>
      <c r="CH7" s="635">
        <v>0</v>
      </c>
      <c r="CI7" s="635">
        <v>0</v>
      </c>
      <c r="CJ7" s="635">
        <v>0</v>
      </c>
      <c r="CK7" s="635">
        <v>0</v>
      </c>
      <c r="CL7" s="634">
        <v>0</v>
      </c>
      <c r="CM7" s="634">
        <v>0</v>
      </c>
      <c r="CN7" s="634">
        <v>0</v>
      </c>
      <c r="CO7" s="635">
        <v>0</v>
      </c>
      <c r="CP7" s="635">
        <v>0</v>
      </c>
      <c r="CQ7" s="635">
        <v>0</v>
      </c>
      <c r="CR7" s="635">
        <v>0</v>
      </c>
      <c r="CS7" s="635">
        <v>0</v>
      </c>
      <c r="CT7" s="635">
        <v>0</v>
      </c>
      <c r="CU7" s="635">
        <v>0</v>
      </c>
      <c r="CV7" s="635">
        <v>0</v>
      </c>
      <c r="CW7" s="635">
        <v>0</v>
      </c>
      <c r="CX7" s="635">
        <v>0</v>
      </c>
      <c r="CY7" s="635">
        <v>0</v>
      </c>
      <c r="CZ7" s="635">
        <v>0</v>
      </c>
      <c r="DA7" s="636">
        <v>1.3047754346729925E-3</v>
      </c>
      <c r="DB7" s="636">
        <v>1.3101970043191235E-3</v>
      </c>
      <c r="DC7" s="636">
        <v>1.3156411015333303E-3</v>
      </c>
      <c r="DD7" s="637">
        <v>1.3069913385219422E-3</v>
      </c>
      <c r="DE7" s="637">
        <v>1.298398443907312E-3</v>
      </c>
      <c r="DF7" s="637">
        <v>1.3077194716979896E-3</v>
      </c>
      <c r="DG7" s="637">
        <v>1.317107413893473E-3</v>
      </c>
      <c r="DH7" s="637">
        <v>1.326562750863274E-3</v>
      </c>
      <c r="DI7" s="637">
        <v>1.3360859664254127E-3</v>
      </c>
      <c r="DJ7" s="637">
        <v>1.3456775478711731E-3</v>
      </c>
      <c r="DK7" s="637">
        <v>1.3532316770248746E-3</v>
      </c>
      <c r="DL7" s="637">
        <v>1.3608282122270095E-3</v>
      </c>
      <c r="DM7" s="637">
        <v>1.3684673915292328E-3</v>
      </c>
      <c r="DN7" s="637">
        <v>1.3761494543195313E-3</v>
      </c>
      <c r="DO7" s="637">
        <v>1.3838746413297265E-3</v>
      </c>
      <c r="DP7" s="636">
        <v>0</v>
      </c>
      <c r="DQ7" s="636">
        <v>0</v>
      </c>
      <c r="DR7" s="636">
        <v>0</v>
      </c>
      <c r="DS7" s="637">
        <v>0</v>
      </c>
      <c r="DT7" s="637">
        <v>0</v>
      </c>
      <c r="DU7" s="637">
        <v>0</v>
      </c>
      <c r="DV7" s="637">
        <v>0</v>
      </c>
      <c r="DW7" s="637">
        <v>0</v>
      </c>
      <c r="DX7" s="637">
        <v>0</v>
      </c>
      <c r="DY7" s="637">
        <v>0</v>
      </c>
      <c r="DZ7" s="637">
        <v>0</v>
      </c>
      <c r="EA7" s="637">
        <v>0</v>
      </c>
      <c r="EB7" s="637">
        <v>0</v>
      </c>
      <c r="EC7" s="637">
        <v>0</v>
      </c>
      <c r="ED7" s="637">
        <v>0</v>
      </c>
    </row>
    <row r="8" spans="1:134" ht="15" x14ac:dyDescent="0.25">
      <c r="A8" s="555">
        <v>156</v>
      </c>
      <c r="B8" s="555">
        <v>49</v>
      </c>
      <c r="C8" s="555" t="s">
        <v>991</v>
      </c>
      <c r="D8" s="812">
        <v>99714</v>
      </c>
      <c r="E8" s="812">
        <v>99714</v>
      </c>
      <c r="F8" s="630" t="s">
        <v>989</v>
      </c>
      <c r="G8" s="45">
        <v>0</v>
      </c>
      <c r="H8" s="45">
        <v>2</v>
      </c>
      <c r="I8" s="45">
        <v>0</v>
      </c>
      <c r="J8" s="45">
        <v>2</v>
      </c>
      <c r="K8" s="45">
        <v>0</v>
      </c>
      <c r="L8" s="45">
        <v>0</v>
      </c>
      <c r="M8" s="45">
        <v>0</v>
      </c>
      <c r="N8" s="45">
        <v>0</v>
      </c>
      <c r="O8" s="45">
        <v>0</v>
      </c>
      <c r="P8" s="45">
        <v>0</v>
      </c>
      <c r="Q8" s="45">
        <v>0</v>
      </c>
      <c r="R8" s="45">
        <v>0</v>
      </c>
      <c r="S8" s="45">
        <v>834.49503068156923</v>
      </c>
      <c r="T8" s="45">
        <v>834.49503068156923</v>
      </c>
      <c r="U8" s="45">
        <v>1408.3846153846155</v>
      </c>
      <c r="V8" s="45">
        <v>0</v>
      </c>
      <c r="W8" s="45">
        <v>0</v>
      </c>
      <c r="X8" s="45">
        <v>1365.173957061457</v>
      </c>
      <c r="Y8" s="45">
        <v>4.5824670824670823E-2</v>
      </c>
      <c r="Z8" s="45">
        <v>1.9515765765765767</v>
      </c>
      <c r="AA8" s="45">
        <v>2.5987525987525989E-3</v>
      </c>
      <c r="AB8" s="508">
        <v>0</v>
      </c>
      <c r="AC8" s="508">
        <v>0</v>
      </c>
      <c r="AD8" s="631">
        <v>2</v>
      </c>
      <c r="AE8" s="632">
        <v>0</v>
      </c>
      <c r="AF8" s="632">
        <v>0</v>
      </c>
      <c r="AG8" s="633">
        <v>0</v>
      </c>
      <c r="AH8" s="632">
        <v>0</v>
      </c>
      <c r="AI8" s="632">
        <v>4.2989500424149923E-2</v>
      </c>
      <c r="AJ8" s="632">
        <v>1.8308326182526915</v>
      </c>
      <c r="AK8" s="632">
        <v>1.8738221186768413</v>
      </c>
      <c r="AL8" s="632">
        <v>2.4379678879480112E-3</v>
      </c>
      <c r="AM8" s="632">
        <v>0</v>
      </c>
      <c r="AN8" s="632">
        <v>0</v>
      </c>
      <c r="AO8" s="632">
        <v>0</v>
      </c>
      <c r="AP8" s="632">
        <v>0</v>
      </c>
      <c r="AQ8" s="632">
        <v>0</v>
      </c>
      <c r="AR8" s="632">
        <v>0</v>
      </c>
      <c r="AS8" s="632">
        <v>1.7578888252978135</v>
      </c>
      <c r="AT8" s="632">
        <v>1.8149300160110562</v>
      </c>
      <c r="AU8" s="632">
        <v>1.8738221186768413</v>
      </c>
      <c r="AV8" s="632">
        <v>1.9346251929645626</v>
      </c>
      <c r="AW8" s="632">
        <v>1.9974012474012475</v>
      </c>
      <c r="AX8" s="632">
        <v>0</v>
      </c>
      <c r="AY8" s="632">
        <v>0</v>
      </c>
      <c r="AZ8" s="632">
        <v>0</v>
      </c>
      <c r="BA8" s="632">
        <v>0</v>
      </c>
      <c r="BB8" s="632">
        <v>0</v>
      </c>
      <c r="BC8" s="632">
        <v>0</v>
      </c>
      <c r="BD8" s="632">
        <v>0</v>
      </c>
      <c r="BE8" s="632">
        <v>0</v>
      </c>
      <c r="BF8" s="632">
        <v>0</v>
      </c>
      <c r="BG8" s="632">
        <v>0</v>
      </c>
      <c r="BH8" s="634">
        <v>2.0138143303043763</v>
      </c>
      <c r="BI8" s="634">
        <v>2.0303622830994388</v>
      </c>
      <c r="BJ8" s="634">
        <v>2.0470462140418344</v>
      </c>
      <c r="BK8" s="635">
        <v>2.0335877833161713</v>
      </c>
      <c r="BL8" s="635">
        <v>2.0202178358677081</v>
      </c>
      <c r="BM8" s="635">
        <v>2.0347207079865921</v>
      </c>
      <c r="BN8" s="635">
        <v>2.0493276942737415</v>
      </c>
      <c r="BO8" s="635">
        <v>2.0640395421507676</v>
      </c>
      <c r="BP8" s="635">
        <v>2.0788570044049184</v>
      </c>
      <c r="BQ8" s="635">
        <v>2.0937808392276027</v>
      </c>
      <c r="BR8" s="635">
        <v>2.1055345397363854</v>
      </c>
      <c r="BS8" s="635">
        <v>2.1173542211124405</v>
      </c>
      <c r="BT8" s="635">
        <v>2.1292402537476156</v>
      </c>
      <c r="BU8" s="635">
        <v>2.1411930101129988</v>
      </c>
      <c r="BV8" s="635">
        <v>2.1532128647705906</v>
      </c>
      <c r="BW8" s="634">
        <v>0</v>
      </c>
      <c r="BX8" s="634">
        <v>0</v>
      </c>
      <c r="BY8" s="634">
        <v>0</v>
      </c>
      <c r="BZ8" s="635">
        <v>0</v>
      </c>
      <c r="CA8" s="635">
        <v>0</v>
      </c>
      <c r="CB8" s="635">
        <v>0</v>
      </c>
      <c r="CC8" s="635">
        <v>0</v>
      </c>
      <c r="CD8" s="635">
        <v>0</v>
      </c>
      <c r="CE8" s="635">
        <v>0</v>
      </c>
      <c r="CF8" s="635">
        <v>0</v>
      </c>
      <c r="CG8" s="635">
        <v>0</v>
      </c>
      <c r="CH8" s="635">
        <v>0</v>
      </c>
      <c r="CI8" s="635">
        <v>0</v>
      </c>
      <c r="CJ8" s="635">
        <v>0</v>
      </c>
      <c r="CK8" s="635">
        <v>0</v>
      </c>
      <c r="CL8" s="634">
        <v>0</v>
      </c>
      <c r="CM8" s="634">
        <v>0</v>
      </c>
      <c r="CN8" s="634">
        <v>0</v>
      </c>
      <c r="CO8" s="635">
        <v>0</v>
      </c>
      <c r="CP8" s="635">
        <v>0</v>
      </c>
      <c r="CQ8" s="635">
        <v>0</v>
      </c>
      <c r="CR8" s="635">
        <v>0</v>
      </c>
      <c r="CS8" s="635">
        <v>0</v>
      </c>
      <c r="CT8" s="635">
        <v>0</v>
      </c>
      <c r="CU8" s="635">
        <v>0</v>
      </c>
      <c r="CV8" s="635">
        <v>0</v>
      </c>
      <c r="CW8" s="635">
        <v>0</v>
      </c>
      <c r="CX8" s="635">
        <v>0</v>
      </c>
      <c r="CY8" s="635">
        <v>0</v>
      </c>
      <c r="CZ8" s="635">
        <v>0</v>
      </c>
      <c r="DA8" s="636">
        <v>2.6201071172318193E-3</v>
      </c>
      <c r="DB8" s="636">
        <v>2.6416371104598475E-3</v>
      </c>
      <c r="DC8" s="636">
        <v>2.6633440203510726E-3</v>
      </c>
      <c r="DD8" s="637">
        <v>2.6458337019466191E-3</v>
      </c>
      <c r="DE8" s="637">
        <v>2.6284385062031066E-3</v>
      </c>
      <c r="DF8" s="637">
        <v>2.6473077127069891E-3</v>
      </c>
      <c r="DG8" s="637">
        <v>2.6663123787064032E-3</v>
      </c>
      <c r="DH8" s="637">
        <v>2.6854534766468478E-3</v>
      </c>
      <c r="DI8" s="637">
        <v>2.7047319859548769E-3</v>
      </c>
      <c r="DJ8" s="637">
        <v>2.7241488930882162E-3</v>
      </c>
      <c r="DK8" s="637">
        <v>2.7394412434769522E-3</v>
      </c>
      <c r="DL8" s="637">
        <v>2.7548194393864694E-3</v>
      </c>
      <c r="DM8" s="637">
        <v>2.7702839627213316E-3</v>
      </c>
      <c r="DN8" s="637">
        <v>2.7858352980913333E-3</v>
      </c>
      <c r="DO8" s="637">
        <v>2.8014739328266858E-3</v>
      </c>
      <c r="DP8" s="636">
        <v>0</v>
      </c>
      <c r="DQ8" s="636">
        <v>0</v>
      </c>
      <c r="DR8" s="636">
        <v>0</v>
      </c>
      <c r="DS8" s="637">
        <v>0</v>
      </c>
      <c r="DT8" s="637">
        <v>0</v>
      </c>
      <c r="DU8" s="637">
        <v>0</v>
      </c>
      <c r="DV8" s="637">
        <v>0</v>
      </c>
      <c r="DW8" s="637">
        <v>0</v>
      </c>
      <c r="DX8" s="637">
        <v>0</v>
      </c>
      <c r="DY8" s="637">
        <v>0</v>
      </c>
      <c r="DZ8" s="637">
        <v>0</v>
      </c>
      <c r="EA8" s="637">
        <v>0</v>
      </c>
      <c r="EB8" s="637">
        <v>0</v>
      </c>
      <c r="EC8" s="637">
        <v>0</v>
      </c>
      <c r="ED8" s="637">
        <v>0</v>
      </c>
    </row>
    <row r="9" spans="1:134" ht="15" x14ac:dyDescent="0.25">
      <c r="A9" s="555">
        <v>158</v>
      </c>
      <c r="B9" s="555">
        <v>49</v>
      </c>
      <c r="C9" s="555" t="s">
        <v>992</v>
      </c>
      <c r="D9" s="812">
        <v>99714</v>
      </c>
      <c r="E9" s="812">
        <v>99714</v>
      </c>
      <c r="F9" s="630" t="s">
        <v>989</v>
      </c>
      <c r="G9" s="45">
        <v>0</v>
      </c>
      <c r="H9" s="45">
        <v>2</v>
      </c>
      <c r="I9" s="45">
        <v>0</v>
      </c>
      <c r="J9" s="45">
        <v>2</v>
      </c>
      <c r="K9" s="45">
        <v>0</v>
      </c>
      <c r="L9" s="45">
        <v>2</v>
      </c>
      <c r="M9" s="45">
        <v>2</v>
      </c>
      <c r="N9" s="45">
        <v>0</v>
      </c>
      <c r="O9" s="45">
        <v>0</v>
      </c>
      <c r="P9" s="45">
        <v>0</v>
      </c>
      <c r="Q9" s="45">
        <v>2</v>
      </c>
      <c r="R9" s="45">
        <v>0</v>
      </c>
      <c r="S9" s="45">
        <v>1003</v>
      </c>
      <c r="T9" s="45">
        <v>1003</v>
      </c>
      <c r="U9" s="45">
        <v>0</v>
      </c>
      <c r="V9" s="45">
        <v>0</v>
      </c>
      <c r="W9" s="45">
        <v>0</v>
      </c>
      <c r="X9" s="45">
        <v>1003</v>
      </c>
      <c r="Y9" s="45">
        <v>0</v>
      </c>
      <c r="Z9" s="45">
        <v>2</v>
      </c>
      <c r="AA9" s="45">
        <v>0</v>
      </c>
      <c r="AB9" s="508">
        <v>0</v>
      </c>
      <c r="AC9" s="508">
        <v>0</v>
      </c>
      <c r="AD9" s="631">
        <v>2</v>
      </c>
      <c r="AE9" s="632">
        <v>0</v>
      </c>
      <c r="AF9" s="632">
        <v>0</v>
      </c>
      <c r="AG9" s="633">
        <v>0</v>
      </c>
      <c r="AH9" s="632">
        <v>0</v>
      </c>
      <c r="AI9" s="632">
        <v>0</v>
      </c>
      <c r="AJ9" s="632">
        <v>1.8762600865647894</v>
      </c>
      <c r="AK9" s="632">
        <v>1.8762600865647894</v>
      </c>
      <c r="AL9" s="632">
        <v>0</v>
      </c>
      <c r="AM9" s="632">
        <v>0</v>
      </c>
      <c r="AN9" s="632">
        <v>0</v>
      </c>
      <c r="AO9" s="632">
        <v>0</v>
      </c>
      <c r="AP9" s="632">
        <v>0</v>
      </c>
      <c r="AQ9" s="632">
        <v>0</v>
      </c>
      <c r="AR9" s="632">
        <v>0</v>
      </c>
      <c r="AS9" s="632">
        <v>1.7601759562180552</v>
      </c>
      <c r="AT9" s="632">
        <v>1.8172913613350361</v>
      </c>
      <c r="AU9" s="632">
        <v>1.8762600865647894</v>
      </c>
      <c r="AV9" s="632">
        <v>1.9371422697183545</v>
      </c>
      <c r="AW9" s="632">
        <v>2</v>
      </c>
      <c r="AX9" s="632">
        <v>0</v>
      </c>
      <c r="AY9" s="632">
        <v>0</v>
      </c>
      <c r="AZ9" s="632">
        <v>0</v>
      </c>
      <c r="BA9" s="632">
        <v>0</v>
      </c>
      <c r="BB9" s="632">
        <v>0</v>
      </c>
      <c r="BC9" s="632">
        <v>0</v>
      </c>
      <c r="BD9" s="632">
        <v>0</v>
      </c>
      <c r="BE9" s="632">
        <v>0</v>
      </c>
      <c r="BF9" s="632">
        <v>0</v>
      </c>
      <c r="BG9" s="632">
        <v>0</v>
      </c>
      <c r="BH9" s="634">
        <v>2.0164344374216081</v>
      </c>
      <c r="BI9" s="634">
        <v>2.0330039202098984</v>
      </c>
      <c r="BJ9" s="634">
        <v>2.0497095580621854</v>
      </c>
      <c r="BK9" s="635">
        <v>2.0362336170181181</v>
      </c>
      <c r="BL9" s="635">
        <v>2.0228462743739111</v>
      </c>
      <c r="BM9" s="635">
        <v>2.037368015699299</v>
      </c>
      <c r="BN9" s="635">
        <v>2.051994006652448</v>
      </c>
      <c r="BO9" s="635">
        <v>2.0667249956274141</v>
      </c>
      <c r="BP9" s="635">
        <v>2.0815617363908734</v>
      </c>
      <c r="BQ9" s="635">
        <v>2.096504988120691</v>
      </c>
      <c r="BR9" s="635">
        <v>2.1082739809798623</v>
      </c>
      <c r="BS9" s="635">
        <v>2.120109040551827</v>
      </c>
      <c r="BT9" s="635">
        <v>2.1320105377103369</v>
      </c>
      <c r="BU9" s="635">
        <v>2.1439788454110897</v>
      </c>
      <c r="BV9" s="635">
        <v>2.1560143387034172</v>
      </c>
      <c r="BW9" s="634">
        <v>0</v>
      </c>
      <c r="BX9" s="634">
        <v>0</v>
      </c>
      <c r="BY9" s="634">
        <v>0</v>
      </c>
      <c r="BZ9" s="635">
        <v>0</v>
      </c>
      <c r="CA9" s="635">
        <v>0</v>
      </c>
      <c r="CB9" s="635">
        <v>0</v>
      </c>
      <c r="CC9" s="635">
        <v>0</v>
      </c>
      <c r="CD9" s="635">
        <v>0</v>
      </c>
      <c r="CE9" s="635">
        <v>0</v>
      </c>
      <c r="CF9" s="635">
        <v>0</v>
      </c>
      <c r="CG9" s="635">
        <v>0</v>
      </c>
      <c r="CH9" s="635">
        <v>0</v>
      </c>
      <c r="CI9" s="635">
        <v>0</v>
      </c>
      <c r="CJ9" s="635">
        <v>0</v>
      </c>
      <c r="CK9" s="635">
        <v>0</v>
      </c>
      <c r="CL9" s="634">
        <v>0</v>
      </c>
      <c r="CM9" s="634">
        <v>0</v>
      </c>
      <c r="CN9" s="634">
        <v>0</v>
      </c>
      <c r="CO9" s="635">
        <v>0</v>
      </c>
      <c r="CP9" s="635">
        <v>0</v>
      </c>
      <c r="CQ9" s="635">
        <v>0</v>
      </c>
      <c r="CR9" s="635">
        <v>0</v>
      </c>
      <c r="CS9" s="635">
        <v>0</v>
      </c>
      <c r="CT9" s="635">
        <v>0</v>
      </c>
      <c r="CU9" s="635">
        <v>0</v>
      </c>
      <c r="CV9" s="635">
        <v>0</v>
      </c>
      <c r="CW9" s="635">
        <v>0</v>
      </c>
      <c r="CX9" s="635">
        <v>0</v>
      </c>
      <c r="CY9" s="635">
        <v>0</v>
      </c>
      <c r="CZ9" s="635">
        <v>0</v>
      </c>
      <c r="DA9" s="636">
        <v>0</v>
      </c>
      <c r="DB9" s="636">
        <v>0</v>
      </c>
      <c r="DC9" s="636">
        <v>0</v>
      </c>
      <c r="DD9" s="637">
        <v>0</v>
      </c>
      <c r="DE9" s="637">
        <v>0</v>
      </c>
      <c r="DF9" s="637">
        <v>0</v>
      </c>
      <c r="DG9" s="637">
        <v>0</v>
      </c>
      <c r="DH9" s="637">
        <v>0</v>
      </c>
      <c r="DI9" s="637">
        <v>0</v>
      </c>
      <c r="DJ9" s="637">
        <v>0</v>
      </c>
      <c r="DK9" s="637">
        <v>0</v>
      </c>
      <c r="DL9" s="637">
        <v>0</v>
      </c>
      <c r="DM9" s="637">
        <v>0</v>
      </c>
      <c r="DN9" s="637">
        <v>0</v>
      </c>
      <c r="DO9" s="637">
        <v>0</v>
      </c>
      <c r="DP9" s="636">
        <v>0</v>
      </c>
      <c r="DQ9" s="636">
        <v>0</v>
      </c>
      <c r="DR9" s="636">
        <v>0</v>
      </c>
      <c r="DS9" s="637">
        <v>0</v>
      </c>
      <c r="DT9" s="637">
        <v>0</v>
      </c>
      <c r="DU9" s="637">
        <v>0</v>
      </c>
      <c r="DV9" s="637">
        <v>0</v>
      </c>
      <c r="DW9" s="637">
        <v>0</v>
      </c>
      <c r="DX9" s="637">
        <v>0</v>
      </c>
      <c r="DY9" s="637">
        <v>0</v>
      </c>
      <c r="DZ9" s="637">
        <v>0</v>
      </c>
      <c r="EA9" s="637">
        <v>0</v>
      </c>
      <c r="EB9" s="637">
        <v>0</v>
      </c>
      <c r="EC9" s="637">
        <v>0</v>
      </c>
      <c r="ED9" s="637">
        <v>0</v>
      </c>
    </row>
    <row r="10" spans="1:134" ht="15" x14ac:dyDescent="0.25">
      <c r="A10" s="555">
        <v>148</v>
      </c>
      <c r="B10" s="555">
        <v>50</v>
      </c>
      <c r="C10" s="555" t="s">
        <v>993</v>
      </c>
      <c r="D10" s="812">
        <v>99714</v>
      </c>
      <c r="E10" s="812">
        <v>99714</v>
      </c>
      <c r="F10" s="630" t="s">
        <v>989</v>
      </c>
      <c r="G10" s="45">
        <v>12</v>
      </c>
      <c r="H10" s="45">
        <v>46</v>
      </c>
      <c r="I10" s="45">
        <v>8</v>
      </c>
      <c r="J10" s="45">
        <v>38</v>
      </c>
      <c r="K10" s="45">
        <v>0</v>
      </c>
      <c r="L10" s="45">
        <v>1</v>
      </c>
      <c r="M10" s="45">
        <v>1</v>
      </c>
      <c r="N10" s="45">
        <v>0</v>
      </c>
      <c r="O10" s="45">
        <v>0</v>
      </c>
      <c r="P10" s="45">
        <v>0</v>
      </c>
      <c r="Q10" s="45">
        <v>1</v>
      </c>
      <c r="R10" s="45">
        <v>0</v>
      </c>
      <c r="S10" s="45">
        <v>448</v>
      </c>
      <c r="T10" s="45">
        <v>448</v>
      </c>
      <c r="U10" s="45">
        <v>0</v>
      </c>
      <c r="V10" s="45">
        <v>0</v>
      </c>
      <c r="W10" s="45">
        <v>0</v>
      </c>
      <c r="X10" s="45">
        <v>448</v>
      </c>
      <c r="Y10" s="45">
        <v>0</v>
      </c>
      <c r="Z10" s="45">
        <v>46</v>
      </c>
      <c r="AA10" s="45">
        <v>0</v>
      </c>
      <c r="AB10" s="508">
        <v>0</v>
      </c>
      <c r="AC10" s="508">
        <v>0</v>
      </c>
      <c r="AD10" s="631">
        <v>46</v>
      </c>
      <c r="AE10" s="632">
        <v>0</v>
      </c>
      <c r="AF10" s="632">
        <v>8</v>
      </c>
      <c r="AG10" s="633">
        <v>8</v>
      </c>
      <c r="AH10" s="632">
        <v>0</v>
      </c>
      <c r="AI10" s="632">
        <v>0</v>
      </c>
      <c r="AJ10" s="632">
        <v>43.153981990990154</v>
      </c>
      <c r="AK10" s="632">
        <v>43.153981990990154</v>
      </c>
      <c r="AL10" s="632">
        <v>0</v>
      </c>
      <c r="AM10" s="632">
        <v>0</v>
      </c>
      <c r="AN10" s="632">
        <v>7.6511135818042781</v>
      </c>
      <c r="AO10" s="632">
        <v>7.6511135818042781</v>
      </c>
      <c r="AP10" s="632">
        <v>0</v>
      </c>
      <c r="AQ10" s="632">
        <v>0</v>
      </c>
      <c r="AR10" s="632">
        <v>0</v>
      </c>
      <c r="AS10" s="632">
        <v>40.484046993015269</v>
      </c>
      <c r="AT10" s="632">
        <v>41.797701310705833</v>
      </c>
      <c r="AU10" s="632">
        <v>43.153981990990154</v>
      </c>
      <c r="AV10" s="632">
        <v>44.554272203522153</v>
      </c>
      <c r="AW10" s="632">
        <v>46</v>
      </c>
      <c r="AX10" s="632">
        <v>7.3174423802087363</v>
      </c>
      <c r="AY10" s="632">
        <v>7.4824182440762614</v>
      </c>
      <c r="AZ10" s="632">
        <v>7.6511135818042781</v>
      </c>
      <c r="BA10" s="632">
        <v>7.8236122510279245</v>
      </c>
      <c r="BB10" s="632">
        <v>8</v>
      </c>
      <c r="BC10" s="632">
        <v>0</v>
      </c>
      <c r="BD10" s="632">
        <v>0</v>
      </c>
      <c r="BE10" s="632">
        <v>0</v>
      </c>
      <c r="BF10" s="632">
        <v>0</v>
      </c>
      <c r="BG10" s="632">
        <v>0</v>
      </c>
      <c r="BH10" s="634">
        <v>46.37799206069699</v>
      </c>
      <c r="BI10" s="634">
        <v>46.759090164827661</v>
      </c>
      <c r="BJ10" s="634">
        <v>47.143319835430262</v>
      </c>
      <c r="BK10" s="635">
        <v>46.833373191416712</v>
      </c>
      <c r="BL10" s="635">
        <v>46.525464310599951</v>
      </c>
      <c r="BM10" s="635">
        <v>46.859464361083873</v>
      </c>
      <c r="BN10" s="635">
        <v>47.195862153006303</v>
      </c>
      <c r="BO10" s="635">
        <v>47.53467489943052</v>
      </c>
      <c r="BP10" s="635">
        <v>47.87591993699008</v>
      </c>
      <c r="BQ10" s="635">
        <v>48.219614726775887</v>
      </c>
      <c r="BR10" s="635">
        <v>48.490301562536835</v>
      </c>
      <c r="BS10" s="635">
        <v>48.762507932692017</v>
      </c>
      <c r="BT10" s="635">
        <v>49.036242367337742</v>
      </c>
      <c r="BU10" s="635">
        <v>49.311513444455066</v>
      </c>
      <c r="BV10" s="635">
        <v>49.588329790178598</v>
      </c>
      <c r="BW10" s="634">
        <v>8.0657377496864324</v>
      </c>
      <c r="BX10" s="634">
        <v>8.1320156808395936</v>
      </c>
      <c r="BY10" s="634">
        <v>8.1988382322487414</v>
      </c>
      <c r="BZ10" s="635">
        <v>8.1449344680724725</v>
      </c>
      <c r="CA10" s="635">
        <v>8.0913850974956443</v>
      </c>
      <c r="CB10" s="635">
        <v>8.1494720627971962</v>
      </c>
      <c r="CC10" s="635">
        <v>8.2079760266097921</v>
      </c>
      <c r="CD10" s="635">
        <v>8.2668999825096563</v>
      </c>
      <c r="CE10" s="635">
        <v>8.3262469455634935</v>
      </c>
      <c r="CF10" s="635">
        <v>8.3860199524827639</v>
      </c>
      <c r="CG10" s="635">
        <v>8.4330959239194492</v>
      </c>
      <c r="CH10" s="635">
        <v>8.4804361622073081</v>
      </c>
      <c r="CI10" s="635">
        <v>8.5280421508413475</v>
      </c>
      <c r="CJ10" s="635">
        <v>8.575915381644359</v>
      </c>
      <c r="CK10" s="635">
        <v>8.6240573548136688</v>
      </c>
      <c r="CL10" s="634">
        <v>0</v>
      </c>
      <c r="CM10" s="634">
        <v>0</v>
      </c>
      <c r="CN10" s="634">
        <v>0</v>
      </c>
      <c r="CO10" s="635">
        <v>0</v>
      </c>
      <c r="CP10" s="635">
        <v>0</v>
      </c>
      <c r="CQ10" s="635">
        <v>0</v>
      </c>
      <c r="CR10" s="635">
        <v>0</v>
      </c>
      <c r="CS10" s="635">
        <v>0</v>
      </c>
      <c r="CT10" s="635">
        <v>0</v>
      </c>
      <c r="CU10" s="635">
        <v>0</v>
      </c>
      <c r="CV10" s="635">
        <v>0</v>
      </c>
      <c r="CW10" s="635">
        <v>0</v>
      </c>
      <c r="CX10" s="635">
        <v>0</v>
      </c>
      <c r="CY10" s="635">
        <v>0</v>
      </c>
      <c r="CZ10" s="635">
        <v>0</v>
      </c>
      <c r="DA10" s="636">
        <v>0</v>
      </c>
      <c r="DB10" s="636">
        <v>0</v>
      </c>
      <c r="DC10" s="636">
        <v>0</v>
      </c>
      <c r="DD10" s="637">
        <v>0</v>
      </c>
      <c r="DE10" s="637">
        <v>0</v>
      </c>
      <c r="DF10" s="637">
        <v>0</v>
      </c>
      <c r="DG10" s="637">
        <v>0</v>
      </c>
      <c r="DH10" s="637">
        <v>0</v>
      </c>
      <c r="DI10" s="637">
        <v>0</v>
      </c>
      <c r="DJ10" s="637">
        <v>0</v>
      </c>
      <c r="DK10" s="637">
        <v>0</v>
      </c>
      <c r="DL10" s="637">
        <v>0</v>
      </c>
      <c r="DM10" s="637">
        <v>0</v>
      </c>
      <c r="DN10" s="637">
        <v>0</v>
      </c>
      <c r="DO10" s="637">
        <v>0</v>
      </c>
      <c r="DP10" s="636">
        <v>0</v>
      </c>
      <c r="DQ10" s="636">
        <v>0</v>
      </c>
      <c r="DR10" s="636">
        <v>0</v>
      </c>
      <c r="DS10" s="637">
        <v>0</v>
      </c>
      <c r="DT10" s="637">
        <v>0</v>
      </c>
      <c r="DU10" s="637">
        <v>0</v>
      </c>
      <c r="DV10" s="637">
        <v>0</v>
      </c>
      <c r="DW10" s="637">
        <v>0</v>
      </c>
      <c r="DX10" s="637">
        <v>0</v>
      </c>
      <c r="DY10" s="637">
        <v>0</v>
      </c>
      <c r="DZ10" s="637">
        <v>0</v>
      </c>
      <c r="EA10" s="637">
        <v>0</v>
      </c>
      <c r="EB10" s="637">
        <v>0</v>
      </c>
      <c r="EC10" s="637">
        <v>0</v>
      </c>
      <c r="ED10" s="637">
        <v>0</v>
      </c>
    </row>
    <row r="11" spans="1:134" ht="15" x14ac:dyDescent="0.25">
      <c r="A11" s="555">
        <v>143</v>
      </c>
      <c r="B11" s="555">
        <v>52</v>
      </c>
      <c r="C11" s="555" t="s">
        <v>994</v>
      </c>
      <c r="D11" s="812">
        <v>99714</v>
      </c>
      <c r="E11" s="812">
        <v>99714</v>
      </c>
      <c r="F11" s="630" t="s">
        <v>989</v>
      </c>
      <c r="G11" s="45">
        <v>1</v>
      </c>
      <c r="H11" s="45">
        <v>1</v>
      </c>
      <c r="I11" s="45">
        <v>1</v>
      </c>
      <c r="J11" s="45">
        <v>0</v>
      </c>
      <c r="K11" s="45">
        <v>0</v>
      </c>
      <c r="L11" s="45">
        <v>5</v>
      </c>
      <c r="M11" s="45">
        <v>5</v>
      </c>
      <c r="N11" s="45">
        <v>0</v>
      </c>
      <c r="O11" s="45">
        <v>0</v>
      </c>
      <c r="P11" s="45">
        <v>0</v>
      </c>
      <c r="Q11" s="45">
        <v>5</v>
      </c>
      <c r="R11" s="45">
        <v>0</v>
      </c>
      <c r="S11" s="45">
        <v>1572.4</v>
      </c>
      <c r="T11" s="45">
        <v>1572.4</v>
      </c>
      <c r="U11" s="45">
        <v>0</v>
      </c>
      <c r="V11" s="45">
        <v>0</v>
      </c>
      <c r="W11" s="45">
        <v>0</v>
      </c>
      <c r="X11" s="45">
        <v>1572.4</v>
      </c>
      <c r="Y11" s="45">
        <v>0</v>
      </c>
      <c r="Z11" s="45">
        <v>1</v>
      </c>
      <c r="AA11" s="45">
        <v>0</v>
      </c>
      <c r="AB11" s="508">
        <v>0</v>
      </c>
      <c r="AC11" s="508">
        <v>0</v>
      </c>
      <c r="AD11" s="631">
        <v>1</v>
      </c>
      <c r="AE11" s="632">
        <v>0</v>
      </c>
      <c r="AF11" s="632">
        <v>1</v>
      </c>
      <c r="AG11" s="633">
        <v>1</v>
      </c>
      <c r="AH11" s="632">
        <v>0</v>
      </c>
      <c r="AI11" s="632">
        <v>0</v>
      </c>
      <c r="AJ11" s="632">
        <v>0.93813004328239469</v>
      </c>
      <c r="AK11" s="632">
        <v>0.93813004328239469</v>
      </c>
      <c r="AL11" s="632">
        <v>0</v>
      </c>
      <c r="AM11" s="632">
        <v>0</v>
      </c>
      <c r="AN11" s="632">
        <v>0.95638919772553477</v>
      </c>
      <c r="AO11" s="632">
        <v>0.95638919772553477</v>
      </c>
      <c r="AP11" s="632">
        <v>0</v>
      </c>
      <c r="AQ11" s="632">
        <v>0</v>
      </c>
      <c r="AR11" s="632">
        <v>0</v>
      </c>
      <c r="AS11" s="632">
        <v>0.88008797810902761</v>
      </c>
      <c r="AT11" s="632">
        <v>0.90864568066751805</v>
      </c>
      <c r="AU11" s="632">
        <v>0.93813004328239469</v>
      </c>
      <c r="AV11" s="632">
        <v>0.96857113485917723</v>
      </c>
      <c r="AW11" s="632">
        <v>1</v>
      </c>
      <c r="AX11" s="632">
        <v>0.91468029752609203</v>
      </c>
      <c r="AY11" s="632">
        <v>0.93530228050953268</v>
      </c>
      <c r="AZ11" s="632">
        <v>0.95638919772553477</v>
      </c>
      <c r="BA11" s="632">
        <v>0.97795153137849056</v>
      </c>
      <c r="BB11" s="632">
        <v>1</v>
      </c>
      <c r="BC11" s="632">
        <v>0</v>
      </c>
      <c r="BD11" s="632">
        <v>0</v>
      </c>
      <c r="BE11" s="632">
        <v>0</v>
      </c>
      <c r="BF11" s="632">
        <v>0</v>
      </c>
      <c r="BG11" s="632">
        <v>0</v>
      </c>
      <c r="BH11" s="634">
        <v>1.0082172187108041</v>
      </c>
      <c r="BI11" s="634">
        <v>1.0165019601049492</v>
      </c>
      <c r="BJ11" s="634">
        <v>1.0248547790310927</v>
      </c>
      <c r="BK11" s="635">
        <v>1.0181168085090591</v>
      </c>
      <c r="BL11" s="635">
        <v>1.0114231371869555</v>
      </c>
      <c r="BM11" s="635">
        <v>1.0186840078496495</v>
      </c>
      <c r="BN11" s="635">
        <v>1.025997003326224</v>
      </c>
      <c r="BO11" s="635">
        <v>1.033362497813707</v>
      </c>
      <c r="BP11" s="635">
        <v>1.0407808681954367</v>
      </c>
      <c r="BQ11" s="635">
        <v>1.0482524940603455</v>
      </c>
      <c r="BR11" s="635">
        <v>1.0541369904899311</v>
      </c>
      <c r="BS11" s="635">
        <v>1.0600545202759135</v>
      </c>
      <c r="BT11" s="635">
        <v>1.0660052688551684</v>
      </c>
      <c r="BU11" s="635">
        <v>1.0719894227055449</v>
      </c>
      <c r="BV11" s="635">
        <v>1.0780071693517086</v>
      </c>
      <c r="BW11" s="634">
        <v>1.0082172187108041</v>
      </c>
      <c r="BX11" s="634">
        <v>1.0165019601049492</v>
      </c>
      <c r="BY11" s="634">
        <v>1.0248547790310927</v>
      </c>
      <c r="BZ11" s="635">
        <v>1.0181168085090591</v>
      </c>
      <c r="CA11" s="635">
        <v>1.0114231371869555</v>
      </c>
      <c r="CB11" s="635">
        <v>1.0186840078496495</v>
      </c>
      <c r="CC11" s="635">
        <v>1.025997003326224</v>
      </c>
      <c r="CD11" s="635">
        <v>1.033362497813707</v>
      </c>
      <c r="CE11" s="635">
        <v>1.0407808681954367</v>
      </c>
      <c r="CF11" s="635">
        <v>1.0482524940603455</v>
      </c>
      <c r="CG11" s="635">
        <v>1.0541369904899311</v>
      </c>
      <c r="CH11" s="635">
        <v>1.0600545202759135</v>
      </c>
      <c r="CI11" s="635">
        <v>1.0660052688551684</v>
      </c>
      <c r="CJ11" s="635">
        <v>1.0719894227055449</v>
      </c>
      <c r="CK11" s="635">
        <v>1.0780071693517086</v>
      </c>
      <c r="CL11" s="634">
        <v>0</v>
      </c>
      <c r="CM11" s="634">
        <v>0</v>
      </c>
      <c r="CN11" s="634">
        <v>0</v>
      </c>
      <c r="CO11" s="635">
        <v>0</v>
      </c>
      <c r="CP11" s="635">
        <v>0</v>
      </c>
      <c r="CQ11" s="635">
        <v>0</v>
      </c>
      <c r="CR11" s="635">
        <v>0</v>
      </c>
      <c r="CS11" s="635">
        <v>0</v>
      </c>
      <c r="CT11" s="635">
        <v>0</v>
      </c>
      <c r="CU11" s="635">
        <v>0</v>
      </c>
      <c r="CV11" s="635">
        <v>0</v>
      </c>
      <c r="CW11" s="635">
        <v>0</v>
      </c>
      <c r="CX11" s="635">
        <v>0</v>
      </c>
      <c r="CY11" s="635">
        <v>0</v>
      </c>
      <c r="CZ11" s="635">
        <v>0</v>
      </c>
      <c r="DA11" s="636">
        <v>0</v>
      </c>
      <c r="DB11" s="636">
        <v>0</v>
      </c>
      <c r="DC11" s="636">
        <v>0</v>
      </c>
      <c r="DD11" s="637">
        <v>0</v>
      </c>
      <c r="DE11" s="637">
        <v>0</v>
      </c>
      <c r="DF11" s="637">
        <v>0</v>
      </c>
      <c r="DG11" s="637">
        <v>0</v>
      </c>
      <c r="DH11" s="637">
        <v>0</v>
      </c>
      <c r="DI11" s="637">
        <v>0</v>
      </c>
      <c r="DJ11" s="637">
        <v>0</v>
      </c>
      <c r="DK11" s="637">
        <v>0</v>
      </c>
      <c r="DL11" s="637">
        <v>0</v>
      </c>
      <c r="DM11" s="637">
        <v>0</v>
      </c>
      <c r="DN11" s="637">
        <v>0</v>
      </c>
      <c r="DO11" s="637">
        <v>0</v>
      </c>
      <c r="DP11" s="636">
        <v>0</v>
      </c>
      <c r="DQ11" s="636">
        <v>0</v>
      </c>
      <c r="DR11" s="636">
        <v>0</v>
      </c>
      <c r="DS11" s="637">
        <v>0</v>
      </c>
      <c r="DT11" s="637">
        <v>0</v>
      </c>
      <c r="DU11" s="637">
        <v>0</v>
      </c>
      <c r="DV11" s="637">
        <v>0</v>
      </c>
      <c r="DW11" s="637">
        <v>0</v>
      </c>
      <c r="DX11" s="637">
        <v>0</v>
      </c>
      <c r="DY11" s="637">
        <v>0</v>
      </c>
      <c r="DZ11" s="637">
        <v>0</v>
      </c>
      <c r="EA11" s="637">
        <v>0</v>
      </c>
      <c r="EB11" s="637">
        <v>0</v>
      </c>
      <c r="EC11" s="637">
        <v>0</v>
      </c>
      <c r="ED11" s="637">
        <v>0</v>
      </c>
    </row>
    <row r="12" spans="1:134" ht="15" x14ac:dyDescent="0.25">
      <c r="A12" s="555">
        <v>138</v>
      </c>
      <c r="B12" s="555">
        <v>54</v>
      </c>
      <c r="C12" s="555" t="s">
        <v>995</v>
      </c>
      <c r="D12" s="812">
        <v>99714</v>
      </c>
      <c r="E12" s="812">
        <v>99714</v>
      </c>
      <c r="F12" s="630" t="s">
        <v>989</v>
      </c>
      <c r="G12" s="45">
        <v>0</v>
      </c>
      <c r="H12" s="45">
        <v>3</v>
      </c>
      <c r="I12" s="45">
        <v>0</v>
      </c>
      <c r="J12" s="45">
        <v>3</v>
      </c>
      <c r="K12" s="45">
        <v>0</v>
      </c>
      <c r="L12" s="45">
        <v>0</v>
      </c>
      <c r="M12" s="45">
        <v>0</v>
      </c>
      <c r="N12" s="45">
        <v>0</v>
      </c>
      <c r="O12" s="45">
        <v>0</v>
      </c>
      <c r="P12" s="45">
        <v>0</v>
      </c>
      <c r="Q12" s="45">
        <v>0</v>
      </c>
      <c r="R12" s="45">
        <v>0</v>
      </c>
      <c r="S12" s="45">
        <v>834.49503068156923</v>
      </c>
      <c r="T12" s="45">
        <v>834.49503068156923</v>
      </c>
      <c r="U12" s="45">
        <v>1408.3846153846155</v>
      </c>
      <c r="V12" s="45">
        <v>0</v>
      </c>
      <c r="W12" s="45">
        <v>0</v>
      </c>
      <c r="X12" s="45">
        <v>1365.173957061457</v>
      </c>
      <c r="Y12" s="45">
        <v>6.8737006237006237E-2</v>
      </c>
      <c r="Z12" s="45">
        <v>2.9273648648648649</v>
      </c>
      <c r="AA12" s="45">
        <v>3.8981288981288983E-3</v>
      </c>
      <c r="AB12" s="508">
        <v>0</v>
      </c>
      <c r="AC12" s="508">
        <v>0</v>
      </c>
      <c r="AD12" s="631">
        <v>3</v>
      </c>
      <c r="AE12" s="632">
        <v>0</v>
      </c>
      <c r="AF12" s="632">
        <v>0</v>
      </c>
      <c r="AG12" s="633">
        <v>0</v>
      </c>
      <c r="AH12" s="632">
        <v>0</v>
      </c>
      <c r="AI12" s="632">
        <v>6.4484250636224899E-2</v>
      </c>
      <c r="AJ12" s="632">
        <v>2.7462489273790371</v>
      </c>
      <c r="AK12" s="632">
        <v>2.810733178015262</v>
      </c>
      <c r="AL12" s="632">
        <v>3.6569518319220168E-3</v>
      </c>
      <c r="AM12" s="632">
        <v>0</v>
      </c>
      <c r="AN12" s="632">
        <v>0</v>
      </c>
      <c r="AO12" s="632">
        <v>0</v>
      </c>
      <c r="AP12" s="632">
        <v>0</v>
      </c>
      <c r="AQ12" s="632">
        <v>0</v>
      </c>
      <c r="AR12" s="632">
        <v>0</v>
      </c>
      <c r="AS12" s="632">
        <v>2.6368332379467199</v>
      </c>
      <c r="AT12" s="632">
        <v>2.722395024016584</v>
      </c>
      <c r="AU12" s="632">
        <v>2.810733178015262</v>
      </c>
      <c r="AV12" s="632">
        <v>2.9019377894468437</v>
      </c>
      <c r="AW12" s="632">
        <v>2.996101871101871</v>
      </c>
      <c r="AX12" s="632">
        <v>0</v>
      </c>
      <c r="AY12" s="632">
        <v>0</v>
      </c>
      <c r="AZ12" s="632">
        <v>0</v>
      </c>
      <c r="BA12" s="632">
        <v>0</v>
      </c>
      <c r="BB12" s="632">
        <v>0</v>
      </c>
      <c r="BC12" s="632">
        <v>0</v>
      </c>
      <c r="BD12" s="632">
        <v>0</v>
      </c>
      <c r="BE12" s="632">
        <v>0</v>
      </c>
      <c r="BF12" s="632">
        <v>0</v>
      </c>
      <c r="BG12" s="632">
        <v>0</v>
      </c>
      <c r="BH12" s="634">
        <v>3.0085511972689858</v>
      </c>
      <c r="BI12" s="634">
        <v>3.0210522525590346</v>
      </c>
      <c r="BJ12" s="634">
        <v>3.033605251915553</v>
      </c>
      <c r="BK12" s="635">
        <v>3.013660628363894</v>
      </c>
      <c r="BL12" s="635">
        <v>2.9938471319614797</v>
      </c>
      <c r="BM12" s="635">
        <v>3.0153395578412248</v>
      </c>
      <c r="BN12" s="635">
        <v>3.0369862749555701</v>
      </c>
      <c r="BO12" s="635">
        <v>3.0587883909405371</v>
      </c>
      <c r="BP12" s="635">
        <v>3.0807470213837163</v>
      </c>
      <c r="BQ12" s="635">
        <v>3.1028632898813506</v>
      </c>
      <c r="BR12" s="635">
        <v>3.1202816008839558</v>
      </c>
      <c r="BS12" s="635">
        <v>3.1377976917530388</v>
      </c>
      <c r="BT12" s="635">
        <v>3.1554121113881046</v>
      </c>
      <c r="BU12" s="635">
        <v>3.1731254117699752</v>
      </c>
      <c r="BV12" s="635">
        <v>3.1909381479780832</v>
      </c>
      <c r="BW12" s="634">
        <v>0</v>
      </c>
      <c r="BX12" s="634">
        <v>0</v>
      </c>
      <c r="BY12" s="634">
        <v>0</v>
      </c>
      <c r="BZ12" s="635">
        <v>0</v>
      </c>
      <c r="CA12" s="635">
        <v>0</v>
      </c>
      <c r="CB12" s="635">
        <v>0</v>
      </c>
      <c r="CC12" s="635">
        <v>0</v>
      </c>
      <c r="CD12" s="635">
        <v>0</v>
      </c>
      <c r="CE12" s="635">
        <v>0</v>
      </c>
      <c r="CF12" s="635">
        <v>0</v>
      </c>
      <c r="CG12" s="635">
        <v>0</v>
      </c>
      <c r="CH12" s="635">
        <v>0</v>
      </c>
      <c r="CI12" s="635">
        <v>0</v>
      </c>
      <c r="CJ12" s="635">
        <v>0</v>
      </c>
      <c r="CK12" s="635">
        <v>0</v>
      </c>
      <c r="CL12" s="634">
        <v>0</v>
      </c>
      <c r="CM12" s="634">
        <v>0</v>
      </c>
      <c r="CN12" s="634">
        <v>0</v>
      </c>
      <c r="CO12" s="635">
        <v>0</v>
      </c>
      <c r="CP12" s="635">
        <v>0</v>
      </c>
      <c r="CQ12" s="635">
        <v>0</v>
      </c>
      <c r="CR12" s="635">
        <v>0</v>
      </c>
      <c r="CS12" s="635">
        <v>0</v>
      </c>
      <c r="CT12" s="635">
        <v>0</v>
      </c>
      <c r="CU12" s="635">
        <v>0</v>
      </c>
      <c r="CV12" s="635">
        <v>0</v>
      </c>
      <c r="CW12" s="635">
        <v>0</v>
      </c>
      <c r="CX12" s="635">
        <v>0</v>
      </c>
      <c r="CY12" s="635">
        <v>0</v>
      </c>
      <c r="CZ12" s="635">
        <v>0</v>
      </c>
      <c r="DA12" s="636">
        <v>3.9143263040189776E-3</v>
      </c>
      <c r="DB12" s="636">
        <v>3.9305910129573711E-3</v>
      </c>
      <c r="DC12" s="636">
        <v>3.9469233045999908E-3</v>
      </c>
      <c r="DD12" s="637">
        <v>3.9209740155658262E-3</v>
      </c>
      <c r="DE12" s="637">
        <v>3.8951953317219357E-3</v>
      </c>
      <c r="DF12" s="637">
        <v>3.9231584150939691E-3</v>
      </c>
      <c r="DG12" s="637">
        <v>3.9513222416804189E-3</v>
      </c>
      <c r="DH12" s="637">
        <v>3.9796882525898218E-3</v>
      </c>
      <c r="DI12" s="637">
        <v>4.0082578992762371E-3</v>
      </c>
      <c r="DJ12" s="637">
        <v>4.0370326436135187E-3</v>
      </c>
      <c r="DK12" s="637">
        <v>4.0596950310746232E-3</v>
      </c>
      <c r="DL12" s="637">
        <v>4.082484636681029E-3</v>
      </c>
      <c r="DM12" s="637">
        <v>4.1054021745876978E-3</v>
      </c>
      <c r="DN12" s="637">
        <v>4.1284483629585936E-3</v>
      </c>
      <c r="DO12" s="637">
        <v>4.1516239239891787E-3</v>
      </c>
      <c r="DP12" s="636">
        <v>0</v>
      </c>
      <c r="DQ12" s="636">
        <v>0</v>
      </c>
      <c r="DR12" s="636">
        <v>0</v>
      </c>
      <c r="DS12" s="637">
        <v>0</v>
      </c>
      <c r="DT12" s="637">
        <v>0</v>
      </c>
      <c r="DU12" s="637">
        <v>0</v>
      </c>
      <c r="DV12" s="637">
        <v>0</v>
      </c>
      <c r="DW12" s="637">
        <v>0</v>
      </c>
      <c r="DX12" s="637">
        <v>0</v>
      </c>
      <c r="DY12" s="637">
        <v>0</v>
      </c>
      <c r="DZ12" s="637">
        <v>0</v>
      </c>
      <c r="EA12" s="637">
        <v>0</v>
      </c>
      <c r="EB12" s="637">
        <v>0</v>
      </c>
      <c r="EC12" s="637">
        <v>0</v>
      </c>
      <c r="ED12" s="637">
        <v>0</v>
      </c>
    </row>
    <row r="13" spans="1:134" ht="15" x14ac:dyDescent="0.25">
      <c r="A13" s="555">
        <v>139</v>
      </c>
      <c r="B13" s="555">
        <v>56</v>
      </c>
      <c r="C13" s="555" t="s">
        <v>996</v>
      </c>
      <c r="D13" s="812">
        <v>99714</v>
      </c>
      <c r="E13" s="812">
        <v>99714</v>
      </c>
      <c r="F13" s="630" t="s">
        <v>989</v>
      </c>
      <c r="G13" s="45">
        <v>7</v>
      </c>
      <c r="H13" s="45">
        <v>2</v>
      </c>
      <c r="I13" s="45">
        <v>1</v>
      </c>
      <c r="J13" s="45">
        <v>1</v>
      </c>
      <c r="K13" s="45">
        <v>0</v>
      </c>
      <c r="L13" s="45">
        <v>2</v>
      </c>
      <c r="M13" s="45">
        <v>2</v>
      </c>
      <c r="N13" s="45">
        <v>0</v>
      </c>
      <c r="O13" s="45">
        <v>0</v>
      </c>
      <c r="P13" s="45">
        <v>0</v>
      </c>
      <c r="Q13" s="45">
        <v>2</v>
      </c>
      <c r="R13" s="45">
        <v>0</v>
      </c>
      <c r="S13" s="45">
        <v>964</v>
      </c>
      <c r="T13" s="45">
        <v>964</v>
      </c>
      <c r="U13" s="45">
        <v>0</v>
      </c>
      <c r="V13" s="45">
        <v>0</v>
      </c>
      <c r="W13" s="45">
        <v>0</v>
      </c>
      <c r="X13" s="45">
        <v>964</v>
      </c>
      <c r="Y13" s="45">
        <v>0</v>
      </c>
      <c r="Z13" s="45">
        <v>2</v>
      </c>
      <c r="AA13" s="45">
        <v>0</v>
      </c>
      <c r="AB13" s="508">
        <v>0</v>
      </c>
      <c r="AC13" s="508">
        <v>0</v>
      </c>
      <c r="AD13" s="631">
        <v>2</v>
      </c>
      <c r="AE13" s="632">
        <v>0</v>
      </c>
      <c r="AF13" s="632">
        <v>1</v>
      </c>
      <c r="AG13" s="633">
        <v>1</v>
      </c>
      <c r="AH13" s="632">
        <v>0</v>
      </c>
      <c r="AI13" s="632">
        <v>0</v>
      </c>
      <c r="AJ13" s="632">
        <v>1.8762600865647894</v>
      </c>
      <c r="AK13" s="632">
        <v>1.8762600865647894</v>
      </c>
      <c r="AL13" s="632">
        <v>0</v>
      </c>
      <c r="AM13" s="632">
        <v>0</v>
      </c>
      <c r="AN13" s="632">
        <v>0.95638919772553477</v>
      </c>
      <c r="AO13" s="632">
        <v>0.95638919772553477</v>
      </c>
      <c r="AP13" s="632">
        <v>0</v>
      </c>
      <c r="AQ13" s="632">
        <v>0</v>
      </c>
      <c r="AR13" s="632">
        <v>0</v>
      </c>
      <c r="AS13" s="632">
        <v>1.7601759562180552</v>
      </c>
      <c r="AT13" s="632">
        <v>1.8172913613350361</v>
      </c>
      <c r="AU13" s="632">
        <v>1.8762600865647894</v>
      </c>
      <c r="AV13" s="632">
        <v>1.9371422697183545</v>
      </c>
      <c r="AW13" s="632">
        <v>2</v>
      </c>
      <c r="AX13" s="632">
        <v>0.91468029752609203</v>
      </c>
      <c r="AY13" s="632">
        <v>0.93530228050953268</v>
      </c>
      <c r="AZ13" s="632">
        <v>0.95638919772553477</v>
      </c>
      <c r="BA13" s="632">
        <v>0.97795153137849056</v>
      </c>
      <c r="BB13" s="632">
        <v>1</v>
      </c>
      <c r="BC13" s="632">
        <v>0</v>
      </c>
      <c r="BD13" s="632">
        <v>0</v>
      </c>
      <c r="BE13" s="632">
        <v>0</v>
      </c>
      <c r="BF13" s="632">
        <v>0</v>
      </c>
      <c r="BG13" s="632">
        <v>0</v>
      </c>
      <c r="BH13" s="634">
        <v>2.0164344374216081</v>
      </c>
      <c r="BI13" s="634">
        <v>2.0330039202098984</v>
      </c>
      <c r="BJ13" s="634">
        <v>2.0497095580621854</v>
      </c>
      <c r="BK13" s="635">
        <v>2.0362336170181181</v>
      </c>
      <c r="BL13" s="635">
        <v>2.0228462743739111</v>
      </c>
      <c r="BM13" s="635">
        <v>2.037368015699299</v>
      </c>
      <c r="BN13" s="635">
        <v>2.051994006652448</v>
      </c>
      <c r="BO13" s="635">
        <v>2.0667249956274141</v>
      </c>
      <c r="BP13" s="635">
        <v>2.0815617363908734</v>
      </c>
      <c r="BQ13" s="635">
        <v>2.096504988120691</v>
      </c>
      <c r="BR13" s="635">
        <v>2.1082739809798623</v>
      </c>
      <c r="BS13" s="635">
        <v>2.120109040551827</v>
      </c>
      <c r="BT13" s="635">
        <v>2.1320105377103369</v>
      </c>
      <c r="BU13" s="635">
        <v>2.1439788454110897</v>
      </c>
      <c r="BV13" s="635">
        <v>2.1560143387034172</v>
      </c>
      <c r="BW13" s="634">
        <v>1.0082172187108041</v>
      </c>
      <c r="BX13" s="634">
        <v>1.0165019601049492</v>
      </c>
      <c r="BY13" s="634">
        <v>1.0248547790310927</v>
      </c>
      <c r="BZ13" s="635">
        <v>1.0181168085090591</v>
      </c>
      <c r="CA13" s="635">
        <v>1.0114231371869555</v>
      </c>
      <c r="CB13" s="635">
        <v>1.0186840078496495</v>
      </c>
      <c r="CC13" s="635">
        <v>1.025997003326224</v>
      </c>
      <c r="CD13" s="635">
        <v>1.033362497813707</v>
      </c>
      <c r="CE13" s="635">
        <v>1.0407808681954367</v>
      </c>
      <c r="CF13" s="635">
        <v>1.0482524940603455</v>
      </c>
      <c r="CG13" s="635">
        <v>1.0541369904899311</v>
      </c>
      <c r="CH13" s="635">
        <v>1.0600545202759135</v>
      </c>
      <c r="CI13" s="635">
        <v>1.0660052688551684</v>
      </c>
      <c r="CJ13" s="635">
        <v>1.0719894227055449</v>
      </c>
      <c r="CK13" s="635">
        <v>1.0780071693517086</v>
      </c>
      <c r="CL13" s="634">
        <v>0</v>
      </c>
      <c r="CM13" s="634">
        <v>0</v>
      </c>
      <c r="CN13" s="634">
        <v>0</v>
      </c>
      <c r="CO13" s="635">
        <v>0</v>
      </c>
      <c r="CP13" s="635">
        <v>0</v>
      </c>
      <c r="CQ13" s="635">
        <v>0</v>
      </c>
      <c r="CR13" s="635">
        <v>0</v>
      </c>
      <c r="CS13" s="635">
        <v>0</v>
      </c>
      <c r="CT13" s="635">
        <v>0</v>
      </c>
      <c r="CU13" s="635">
        <v>0</v>
      </c>
      <c r="CV13" s="635">
        <v>0</v>
      </c>
      <c r="CW13" s="635">
        <v>0</v>
      </c>
      <c r="CX13" s="635">
        <v>0</v>
      </c>
      <c r="CY13" s="635">
        <v>0</v>
      </c>
      <c r="CZ13" s="635">
        <v>0</v>
      </c>
      <c r="DA13" s="636">
        <v>0</v>
      </c>
      <c r="DB13" s="636">
        <v>0</v>
      </c>
      <c r="DC13" s="636">
        <v>0</v>
      </c>
      <c r="DD13" s="637">
        <v>0</v>
      </c>
      <c r="DE13" s="637">
        <v>0</v>
      </c>
      <c r="DF13" s="637">
        <v>0</v>
      </c>
      <c r="DG13" s="637">
        <v>0</v>
      </c>
      <c r="DH13" s="637">
        <v>0</v>
      </c>
      <c r="DI13" s="637">
        <v>0</v>
      </c>
      <c r="DJ13" s="637">
        <v>0</v>
      </c>
      <c r="DK13" s="637">
        <v>0</v>
      </c>
      <c r="DL13" s="637">
        <v>0</v>
      </c>
      <c r="DM13" s="637">
        <v>0</v>
      </c>
      <c r="DN13" s="637">
        <v>0</v>
      </c>
      <c r="DO13" s="637">
        <v>0</v>
      </c>
      <c r="DP13" s="636">
        <v>0</v>
      </c>
      <c r="DQ13" s="636">
        <v>0</v>
      </c>
      <c r="DR13" s="636">
        <v>0</v>
      </c>
      <c r="DS13" s="637">
        <v>0</v>
      </c>
      <c r="DT13" s="637">
        <v>0</v>
      </c>
      <c r="DU13" s="637">
        <v>0</v>
      </c>
      <c r="DV13" s="637">
        <v>0</v>
      </c>
      <c r="DW13" s="637">
        <v>0</v>
      </c>
      <c r="DX13" s="637">
        <v>0</v>
      </c>
      <c r="DY13" s="637">
        <v>0</v>
      </c>
      <c r="DZ13" s="637">
        <v>0</v>
      </c>
      <c r="EA13" s="637">
        <v>0</v>
      </c>
      <c r="EB13" s="637">
        <v>0</v>
      </c>
      <c r="EC13" s="637">
        <v>0</v>
      </c>
      <c r="ED13" s="637">
        <v>0</v>
      </c>
    </row>
    <row r="14" spans="1:134" ht="15" x14ac:dyDescent="0.25">
      <c r="A14" s="555">
        <v>137</v>
      </c>
      <c r="B14" s="555">
        <v>57</v>
      </c>
      <c r="C14" s="555" t="s">
        <v>997</v>
      </c>
      <c r="D14" s="812">
        <v>99714</v>
      </c>
      <c r="E14" s="812">
        <v>99714</v>
      </c>
      <c r="F14" s="630" t="s">
        <v>989</v>
      </c>
      <c r="G14" s="45">
        <v>0</v>
      </c>
      <c r="H14" s="45">
        <v>2</v>
      </c>
      <c r="I14" s="45">
        <v>0</v>
      </c>
      <c r="J14" s="45">
        <v>2</v>
      </c>
      <c r="K14" s="45">
        <v>0</v>
      </c>
      <c r="L14" s="45">
        <v>0</v>
      </c>
      <c r="M14" s="45">
        <v>0</v>
      </c>
      <c r="N14" s="45">
        <v>0</v>
      </c>
      <c r="O14" s="45">
        <v>0</v>
      </c>
      <c r="P14" s="45">
        <v>0</v>
      </c>
      <c r="Q14" s="45">
        <v>0</v>
      </c>
      <c r="R14" s="45">
        <v>0</v>
      </c>
      <c r="S14" s="45">
        <v>834.49503068156923</v>
      </c>
      <c r="T14" s="45">
        <v>834.49503068156923</v>
      </c>
      <c r="U14" s="45">
        <v>1408.3846153846155</v>
      </c>
      <c r="V14" s="45">
        <v>0</v>
      </c>
      <c r="W14" s="45">
        <v>0</v>
      </c>
      <c r="X14" s="45">
        <v>1365.173957061457</v>
      </c>
      <c r="Y14" s="45">
        <v>4.5824670824670823E-2</v>
      </c>
      <c r="Z14" s="45">
        <v>1.9515765765765767</v>
      </c>
      <c r="AA14" s="45">
        <v>2.5987525987525989E-3</v>
      </c>
      <c r="AB14" s="508">
        <v>0</v>
      </c>
      <c r="AC14" s="508">
        <v>0</v>
      </c>
      <c r="AD14" s="631">
        <v>2</v>
      </c>
      <c r="AE14" s="632">
        <v>0</v>
      </c>
      <c r="AF14" s="632">
        <v>0</v>
      </c>
      <c r="AG14" s="633">
        <v>0</v>
      </c>
      <c r="AH14" s="632">
        <v>0</v>
      </c>
      <c r="AI14" s="632">
        <v>4.2989500424149923E-2</v>
      </c>
      <c r="AJ14" s="632">
        <v>1.8308326182526915</v>
      </c>
      <c r="AK14" s="632">
        <v>1.8738221186768413</v>
      </c>
      <c r="AL14" s="632">
        <v>2.4379678879480112E-3</v>
      </c>
      <c r="AM14" s="632">
        <v>0</v>
      </c>
      <c r="AN14" s="632">
        <v>0</v>
      </c>
      <c r="AO14" s="632">
        <v>0</v>
      </c>
      <c r="AP14" s="632">
        <v>0</v>
      </c>
      <c r="AQ14" s="632">
        <v>0</v>
      </c>
      <c r="AR14" s="632">
        <v>0</v>
      </c>
      <c r="AS14" s="632">
        <v>1.7578888252978135</v>
      </c>
      <c r="AT14" s="632">
        <v>1.8149300160110562</v>
      </c>
      <c r="AU14" s="632">
        <v>1.8738221186768413</v>
      </c>
      <c r="AV14" s="632">
        <v>1.9346251929645626</v>
      </c>
      <c r="AW14" s="632">
        <v>1.9974012474012475</v>
      </c>
      <c r="AX14" s="632">
        <v>0</v>
      </c>
      <c r="AY14" s="632">
        <v>0</v>
      </c>
      <c r="AZ14" s="632">
        <v>0</v>
      </c>
      <c r="BA14" s="632">
        <v>0</v>
      </c>
      <c r="BB14" s="632">
        <v>0</v>
      </c>
      <c r="BC14" s="632">
        <v>0</v>
      </c>
      <c r="BD14" s="632">
        <v>0</v>
      </c>
      <c r="BE14" s="632">
        <v>0</v>
      </c>
      <c r="BF14" s="632">
        <v>0</v>
      </c>
      <c r="BG14" s="632">
        <v>0</v>
      </c>
      <c r="BH14" s="634">
        <v>2.0138143303043763</v>
      </c>
      <c r="BI14" s="634">
        <v>2.0303622830994388</v>
      </c>
      <c r="BJ14" s="634">
        <v>2.0470462140418344</v>
      </c>
      <c r="BK14" s="635">
        <v>2.0335877833161713</v>
      </c>
      <c r="BL14" s="635">
        <v>2.0202178358677081</v>
      </c>
      <c r="BM14" s="635">
        <v>2.0347207079865921</v>
      </c>
      <c r="BN14" s="635">
        <v>2.0493276942737415</v>
      </c>
      <c r="BO14" s="635">
        <v>2.0640395421507676</v>
      </c>
      <c r="BP14" s="635">
        <v>2.0788570044049184</v>
      </c>
      <c r="BQ14" s="635">
        <v>2.0937808392276027</v>
      </c>
      <c r="BR14" s="635">
        <v>2.1055345397363854</v>
      </c>
      <c r="BS14" s="635">
        <v>2.1173542211124405</v>
      </c>
      <c r="BT14" s="635">
        <v>2.1292402537476156</v>
      </c>
      <c r="BU14" s="635">
        <v>2.1411930101129988</v>
      </c>
      <c r="BV14" s="635">
        <v>2.1532128647705906</v>
      </c>
      <c r="BW14" s="634">
        <v>0</v>
      </c>
      <c r="BX14" s="634">
        <v>0</v>
      </c>
      <c r="BY14" s="634">
        <v>0</v>
      </c>
      <c r="BZ14" s="635">
        <v>0</v>
      </c>
      <c r="CA14" s="635">
        <v>0</v>
      </c>
      <c r="CB14" s="635">
        <v>0</v>
      </c>
      <c r="CC14" s="635">
        <v>0</v>
      </c>
      <c r="CD14" s="635">
        <v>0</v>
      </c>
      <c r="CE14" s="635">
        <v>0</v>
      </c>
      <c r="CF14" s="635">
        <v>0</v>
      </c>
      <c r="CG14" s="635">
        <v>0</v>
      </c>
      <c r="CH14" s="635">
        <v>0</v>
      </c>
      <c r="CI14" s="635">
        <v>0</v>
      </c>
      <c r="CJ14" s="635">
        <v>0</v>
      </c>
      <c r="CK14" s="635">
        <v>0</v>
      </c>
      <c r="CL14" s="634">
        <v>0</v>
      </c>
      <c r="CM14" s="634">
        <v>0</v>
      </c>
      <c r="CN14" s="634">
        <v>0</v>
      </c>
      <c r="CO14" s="635">
        <v>0</v>
      </c>
      <c r="CP14" s="635">
        <v>0</v>
      </c>
      <c r="CQ14" s="635">
        <v>0</v>
      </c>
      <c r="CR14" s="635">
        <v>0</v>
      </c>
      <c r="CS14" s="635">
        <v>0</v>
      </c>
      <c r="CT14" s="635">
        <v>0</v>
      </c>
      <c r="CU14" s="635">
        <v>0</v>
      </c>
      <c r="CV14" s="635">
        <v>0</v>
      </c>
      <c r="CW14" s="635">
        <v>0</v>
      </c>
      <c r="CX14" s="635">
        <v>0</v>
      </c>
      <c r="CY14" s="635">
        <v>0</v>
      </c>
      <c r="CZ14" s="635">
        <v>0</v>
      </c>
      <c r="DA14" s="636">
        <v>2.6201071172318193E-3</v>
      </c>
      <c r="DB14" s="636">
        <v>2.6416371104598475E-3</v>
      </c>
      <c r="DC14" s="636">
        <v>2.6633440203510726E-3</v>
      </c>
      <c r="DD14" s="637">
        <v>2.6458337019466191E-3</v>
      </c>
      <c r="DE14" s="637">
        <v>2.6284385062031066E-3</v>
      </c>
      <c r="DF14" s="637">
        <v>2.6473077127069891E-3</v>
      </c>
      <c r="DG14" s="637">
        <v>2.6663123787064032E-3</v>
      </c>
      <c r="DH14" s="637">
        <v>2.6854534766468478E-3</v>
      </c>
      <c r="DI14" s="637">
        <v>2.7047319859548769E-3</v>
      </c>
      <c r="DJ14" s="637">
        <v>2.7241488930882162E-3</v>
      </c>
      <c r="DK14" s="637">
        <v>2.7394412434769522E-3</v>
      </c>
      <c r="DL14" s="637">
        <v>2.7548194393864694E-3</v>
      </c>
      <c r="DM14" s="637">
        <v>2.7702839627213316E-3</v>
      </c>
      <c r="DN14" s="637">
        <v>2.7858352980913333E-3</v>
      </c>
      <c r="DO14" s="637">
        <v>2.8014739328266858E-3</v>
      </c>
      <c r="DP14" s="636">
        <v>0</v>
      </c>
      <c r="DQ14" s="636">
        <v>0</v>
      </c>
      <c r="DR14" s="636">
        <v>0</v>
      </c>
      <c r="DS14" s="637">
        <v>0</v>
      </c>
      <c r="DT14" s="637">
        <v>0</v>
      </c>
      <c r="DU14" s="637">
        <v>0</v>
      </c>
      <c r="DV14" s="637">
        <v>0</v>
      </c>
      <c r="DW14" s="637">
        <v>0</v>
      </c>
      <c r="DX14" s="637">
        <v>0</v>
      </c>
      <c r="DY14" s="637">
        <v>0</v>
      </c>
      <c r="DZ14" s="637">
        <v>0</v>
      </c>
      <c r="EA14" s="637">
        <v>0</v>
      </c>
      <c r="EB14" s="637">
        <v>0</v>
      </c>
      <c r="EC14" s="637">
        <v>0</v>
      </c>
      <c r="ED14" s="637">
        <v>0</v>
      </c>
    </row>
    <row r="15" spans="1:134" ht="15" x14ac:dyDescent="0.25">
      <c r="A15" s="555">
        <v>151</v>
      </c>
      <c r="B15" s="555">
        <v>57</v>
      </c>
      <c r="C15" s="555" t="s">
        <v>998</v>
      </c>
      <c r="D15" s="812">
        <v>99714</v>
      </c>
      <c r="E15" s="812">
        <v>99714</v>
      </c>
      <c r="F15" s="630" t="s">
        <v>989</v>
      </c>
      <c r="G15" s="45">
        <v>148</v>
      </c>
      <c r="H15" s="45">
        <v>459</v>
      </c>
      <c r="I15" s="45">
        <v>63</v>
      </c>
      <c r="J15" s="45">
        <v>396</v>
      </c>
      <c r="K15" s="45">
        <v>0</v>
      </c>
      <c r="L15" s="45">
        <v>0</v>
      </c>
      <c r="M15" s="45">
        <v>0</v>
      </c>
      <c r="N15" s="45">
        <v>0</v>
      </c>
      <c r="O15" s="45">
        <v>0</v>
      </c>
      <c r="P15" s="45">
        <v>0</v>
      </c>
      <c r="Q15" s="45">
        <v>0</v>
      </c>
      <c r="R15" s="45">
        <v>0</v>
      </c>
      <c r="S15" s="45">
        <v>834.49503068156923</v>
      </c>
      <c r="T15" s="45">
        <v>834.49503068156923</v>
      </c>
      <c r="U15" s="45">
        <v>1408.3846153846155</v>
      </c>
      <c r="V15" s="45">
        <v>0</v>
      </c>
      <c r="W15" s="45">
        <v>0</v>
      </c>
      <c r="X15" s="45">
        <v>1365.173957061457</v>
      </c>
      <c r="Y15" s="45">
        <v>10.516761954261954</v>
      </c>
      <c r="Z15" s="45">
        <v>447.88682432432432</v>
      </c>
      <c r="AA15" s="45">
        <v>0.5964137214137214</v>
      </c>
      <c r="AB15" s="508">
        <v>0</v>
      </c>
      <c r="AC15" s="508">
        <v>0</v>
      </c>
      <c r="AD15" s="631">
        <v>459</v>
      </c>
      <c r="AE15" s="632">
        <v>1.443477130977131</v>
      </c>
      <c r="AF15" s="632">
        <v>61.474662162162161</v>
      </c>
      <c r="AG15" s="633">
        <v>62.918139293139291</v>
      </c>
      <c r="AH15" s="632">
        <v>8.1860706860706872E-2</v>
      </c>
      <c r="AI15" s="632">
        <v>9.8660903473424089</v>
      </c>
      <c r="AJ15" s="632">
        <v>420.17608588899265</v>
      </c>
      <c r="AK15" s="632">
        <v>430.04217623633508</v>
      </c>
      <c r="AL15" s="632">
        <v>0.55951363028406853</v>
      </c>
      <c r="AM15" s="632">
        <v>1.3805259352303749</v>
      </c>
      <c r="AN15" s="632">
        <v>58.793702825718555</v>
      </c>
      <c r="AO15" s="632">
        <v>60.174228760948928</v>
      </c>
      <c r="AP15" s="632">
        <v>7.8290695759756626E-2</v>
      </c>
      <c r="AQ15" s="632">
        <v>0</v>
      </c>
      <c r="AR15" s="632">
        <v>0</v>
      </c>
      <c r="AS15" s="632">
        <v>403.43548540584817</v>
      </c>
      <c r="AT15" s="632">
        <v>416.52643867453736</v>
      </c>
      <c r="AU15" s="632">
        <v>430.04217623633508</v>
      </c>
      <c r="AV15" s="632">
        <v>443.99648178536705</v>
      </c>
      <c r="AW15" s="632">
        <v>458.40358627858626</v>
      </c>
      <c r="AX15" s="632">
        <v>57.549982368436751</v>
      </c>
      <c r="AY15" s="632">
        <v>58.847479166289617</v>
      </c>
      <c r="AZ15" s="632">
        <v>60.174228760948928</v>
      </c>
      <c r="BA15" s="632">
        <v>61.530890673210749</v>
      </c>
      <c r="BB15" s="632">
        <v>62.918139293139291</v>
      </c>
      <c r="BC15" s="632">
        <v>0</v>
      </c>
      <c r="BD15" s="632">
        <v>0</v>
      </c>
      <c r="BE15" s="632">
        <v>0</v>
      </c>
      <c r="BF15" s="632">
        <v>0</v>
      </c>
      <c r="BG15" s="632">
        <v>0</v>
      </c>
      <c r="BH15" s="634">
        <v>462.17038880485433</v>
      </c>
      <c r="BI15" s="634">
        <v>465.96814397132113</v>
      </c>
      <c r="BJ15" s="634">
        <v>469.79710612260095</v>
      </c>
      <c r="BK15" s="635">
        <v>466.7083962710613</v>
      </c>
      <c r="BL15" s="635">
        <v>463.63999333163895</v>
      </c>
      <c r="BM15" s="635">
        <v>466.96840248292284</v>
      </c>
      <c r="BN15" s="635">
        <v>470.32070583582367</v>
      </c>
      <c r="BO15" s="635">
        <v>473.69707492360106</v>
      </c>
      <c r="BP15" s="635">
        <v>477.09768251092873</v>
      </c>
      <c r="BQ15" s="635">
        <v>480.5227026027348</v>
      </c>
      <c r="BR15" s="635">
        <v>483.22017686950045</v>
      </c>
      <c r="BS15" s="635">
        <v>485.93279374530505</v>
      </c>
      <c r="BT15" s="635">
        <v>488.66063823507773</v>
      </c>
      <c r="BU15" s="635">
        <v>491.40379582093317</v>
      </c>
      <c r="BV15" s="635">
        <v>494.16235246485053</v>
      </c>
      <c r="BW15" s="634">
        <v>63.435151404587849</v>
      </c>
      <c r="BX15" s="634">
        <v>63.956411917632309</v>
      </c>
      <c r="BY15" s="634">
        <v>64.48195574231778</v>
      </c>
      <c r="BZ15" s="635">
        <v>64.058015174459399</v>
      </c>
      <c r="CA15" s="635">
        <v>63.636861829832796</v>
      </c>
      <c r="CB15" s="635">
        <v>64.09370230157765</v>
      </c>
      <c r="CC15" s="635">
        <v>64.55382236962285</v>
      </c>
      <c r="CD15" s="635">
        <v>65.017245577749165</v>
      </c>
      <c r="CE15" s="635">
        <v>65.483995638754934</v>
      </c>
      <c r="CF15" s="635">
        <v>65.954096435669484</v>
      </c>
      <c r="CG15" s="635">
        <v>66.324338001696134</v>
      </c>
      <c r="CH15" s="635">
        <v>66.696657965041879</v>
      </c>
      <c r="CI15" s="635">
        <v>67.07106799304988</v>
      </c>
      <c r="CJ15" s="635">
        <v>67.447579818559461</v>
      </c>
      <c r="CK15" s="635">
        <v>67.826205240273609</v>
      </c>
      <c r="CL15" s="634">
        <v>0</v>
      </c>
      <c r="CM15" s="634">
        <v>0</v>
      </c>
      <c r="CN15" s="634">
        <v>0</v>
      </c>
      <c r="CO15" s="635">
        <v>0</v>
      </c>
      <c r="CP15" s="635">
        <v>0</v>
      </c>
      <c r="CQ15" s="635">
        <v>0</v>
      </c>
      <c r="CR15" s="635">
        <v>0</v>
      </c>
      <c r="CS15" s="635">
        <v>0</v>
      </c>
      <c r="CT15" s="635">
        <v>0</v>
      </c>
      <c r="CU15" s="635">
        <v>0</v>
      </c>
      <c r="CV15" s="635">
        <v>0</v>
      </c>
      <c r="CW15" s="635">
        <v>0</v>
      </c>
      <c r="CX15" s="635">
        <v>0</v>
      </c>
      <c r="CY15" s="635">
        <v>0</v>
      </c>
      <c r="CZ15" s="635">
        <v>0</v>
      </c>
      <c r="DA15" s="636">
        <v>0.60131458340470245</v>
      </c>
      <c r="DB15" s="636">
        <v>0.60625571685053492</v>
      </c>
      <c r="DC15" s="636">
        <v>0.61123745267057106</v>
      </c>
      <c r="DD15" s="637">
        <v>0.60721883459674897</v>
      </c>
      <c r="DE15" s="637">
        <v>0.60322663717361291</v>
      </c>
      <c r="DF15" s="637">
        <v>0.60755712006625395</v>
      </c>
      <c r="DG15" s="637">
        <v>0.61191869091311946</v>
      </c>
      <c r="DH15" s="637">
        <v>0.61631157289045146</v>
      </c>
      <c r="DI15" s="637">
        <v>0.62073599077664421</v>
      </c>
      <c r="DJ15" s="637">
        <v>0.62519217096374546</v>
      </c>
      <c r="DK15" s="637">
        <v>0.62870176537796041</v>
      </c>
      <c r="DL15" s="637">
        <v>0.63223106133919471</v>
      </c>
      <c r="DM15" s="637">
        <v>0.63578016944454552</v>
      </c>
      <c r="DN15" s="637">
        <v>0.6393492009119609</v>
      </c>
      <c r="DO15" s="637">
        <v>0.6429382675837243</v>
      </c>
      <c r="DP15" s="636">
        <v>0</v>
      </c>
      <c r="DQ15" s="636">
        <v>0</v>
      </c>
      <c r="DR15" s="636">
        <v>0</v>
      </c>
      <c r="DS15" s="637">
        <v>0</v>
      </c>
      <c r="DT15" s="637">
        <v>0</v>
      </c>
      <c r="DU15" s="637">
        <v>0</v>
      </c>
      <c r="DV15" s="637">
        <v>0</v>
      </c>
      <c r="DW15" s="637">
        <v>0</v>
      </c>
      <c r="DX15" s="637">
        <v>0</v>
      </c>
      <c r="DY15" s="637">
        <v>0</v>
      </c>
      <c r="DZ15" s="637">
        <v>0</v>
      </c>
      <c r="EA15" s="637">
        <v>0</v>
      </c>
      <c r="EB15" s="637">
        <v>0</v>
      </c>
      <c r="EC15" s="637">
        <v>0</v>
      </c>
      <c r="ED15" s="637">
        <v>0</v>
      </c>
    </row>
    <row r="16" spans="1:134" ht="15" x14ac:dyDescent="0.25">
      <c r="A16" s="555">
        <v>139</v>
      </c>
      <c r="B16" s="555">
        <v>58</v>
      </c>
      <c r="C16" s="555" t="s">
        <v>999</v>
      </c>
      <c r="D16" s="812">
        <v>99714</v>
      </c>
      <c r="E16" s="812">
        <v>99714</v>
      </c>
      <c r="F16" s="630" t="s">
        <v>989</v>
      </c>
      <c r="G16" s="45">
        <v>6</v>
      </c>
      <c r="H16" s="45">
        <v>21</v>
      </c>
      <c r="I16" s="45">
        <v>5</v>
      </c>
      <c r="J16" s="45">
        <v>16</v>
      </c>
      <c r="K16" s="45">
        <v>0</v>
      </c>
      <c r="L16" s="45">
        <v>2</v>
      </c>
      <c r="M16" s="45">
        <v>2</v>
      </c>
      <c r="N16" s="45">
        <v>0</v>
      </c>
      <c r="O16" s="45">
        <v>0</v>
      </c>
      <c r="P16" s="45">
        <v>0</v>
      </c>
      <c r="Q16" s="45">
        <v>2</v>
      </c>
      <c r="R16" s="45">
        <v>0</v>
      </c>
      <c r="S16" s="45">
        <v>715</v>
      </c>
      <c r="T16" s="45">
        <v>715</v>
      </c>
      <c r="U16" s="45">
        <v>0</v>
      </c>
      <c r="V16" s="45">
        <v>0</v>
      </c>
      <c r="W16" s="45">
        <v>0</v>
      </c>
      <c r="X16" s="45">
        <v>715</v>
      </c>
      <c r="Y16" s="45">
        <v>0</v>
      </c>
      <c r="Z16" s="45">
        <v>21</v>
      </c>
      <c r="AA16" s="45">
        <v>0</v>
      </c>
      <c r="AB16" s="508">
        <v>0</v>
      </c>
      <c r="AC16" s="508">
        <v>0</v>
      </c>
      <c r="AD16" s="631">
        <v>21</v>
      </c>
      <c r="AE16" s="632">
        <v>0</v>
      </c>
      <c r="AF16" s="632">
        <v>5</v>
      </c>
      <c r="AG16" s="633">
        <v>5</v>
      </c>
      <c r="AH16" s="632">
        <v>0</v>
      </c>
      <c r="AI16" s="632">
        <v>0</v>
      </c>
      <c r="AJ16" s="632">
        <v>19.700730908930289</v>
      </c>
      <c r="AK16" s="632">
        <v>19.700730908930289</v>
      </c>
      <c r="AL16" s="632">
        <v>0</v>
      </c>
      <c r="AM16" s="632">
        <v>0</v>
      </c>
      <c r="AN16" s="632">
        <v>4.7819459886276734</v>
      </c>
      <c r="AO16" s="632">
        <v>4.7819459886276734</v>
      </c>
      <c r="AP16" s="632">
        <v>0</v>
      </c>
      <c r="AQ16" s="632">
        <v>0</v>
      </c>
      <c r="AR16" s="632">
        <v>0</v>
      </c>
      <c r="AS16" s="632">
        <v>18.481847540289579</v>
      </c>
      <c r="AT16" s="632">
        <v>19.081559294017879</v>
      </c>
      <c r="AU16" s="632">
        <v>19.700730908930289</v>
      </c>
      <c r="AV16" s="632">
        <v>20.339993832042722</v>
      </c>
      <c r="AW16" s="632">
        <v>21</v>
      </c>
      <c r="AX16" s="632">
        <v>4.5734014876304601</v>
      </c>
      <c r="AY16" s="632">
        <v>4.6765114025476633</v>
      </c>
      <c r="AZ16" s="632">
        <v>4.7819459886276734</v>
      </c>
      <c r="BA16" s="632">
        <v>4.8897576568924528</v>
      </c>
      <c r="BB16" s="632">
        <v>5</v>
      </c>
      <c r="BC16" s="632">
        <v>0</v>
      </c>
      <c r="BD16" s="632">
        <v>0</v>
      </c>
      <c r="BE16" s="632">
        <v>0</v>
      </c>
      <c r="BF16" s="632">
        <v>0</v>
      </c>
      <c r="BG16" s="632">
        <v>0</v>
      </c>
      <c r="BH16" s="634">
        <v>21.172561592926886</v>
      </c>
      <c r="BI16" s="634">
        <v>21.346541162203934</v>
      </c>
      <c r="BJ16" s="634">
        <v>21.521950359652948</v>
      </c>
      <c r="BK16" s="635">
        <v>21.38045297869024</v>
      </c>
      <c r="BL16" s="635">
        <v>21.239885880926067</v>
      </c>
      <c r="BM16" s="635">
        <v>21.39236416484264</v>
      </c>
      <c r="BN16" s="635">
        <v>21.545937069850705</v>
      </c>
      <c r="BO16" s="635">
        <v>21.70061245408785</v>
      </c>
      <c r="BP16" s="635">
        <v>21.856398232104169</v>
      </c>
      <c r="BQ16" s="635">
        <v>22.013302375267255</v>
      </c>
      <c r="BR16" s="635">
        <v>22.136876800288558</v>
      </c>
      <c r="BS16" s="635">
        <v>22.261144925794184</v>
      </c>
      <c r="BT16" s="635">
        <v>22.386110645958539</v>
      </c>
      <c r="BU16" s="635">
        <v>22.511777876816446</v>
      </c>
      <c r="BV16" s="635">
        <v>22.638150556385884</v>
      </c>
      <c r="BW16" s="634">
        <v>5.0410860935540205</v>
      </c>
      <c r="BX16" s="634">
        <v>5.082509800524746</v>
      </c>
      <c r="BY16" s="634">
        <v>5.1242738951554632</v>
      </c>
      <c r="BZ16" s="635">
        <v>5.0905840425452942</v>
      </c>
      <c r="CA16" s="635">
        <v>5.057115685934777</v>
      </c>
      <c r="CB16" s="635">
        <v>5.0934200392482474</v>
      </c>
      <c r="CC16" s="635">
        <v>5.1299850166311192</v>
      </c>
      <c r="CD16" s="635">
        <v>5.1668124890685352</v>
      </c>
      <c r="CE16" s="635">
        <v>5.203904340977183</v>
      </c>
      <c r="CF16" s="635">
        <v>5.2412624703017272</v>
      </c>
      <c r="CG16" s="635">
        <v>5.2706849524496553</v>
      </c>
      <c r="CH16" s="635">
        <v>5.3002726013795671</v>
      </c>
      <c r="CI16" s="635">
        <v>5.3300263442758418</v>
      </c>
      <c r="CJ16" s="635">
        <v>5.359947113527725</v>
      </c>
      <c r="CK16" s="635">
        <v>5.3900358467585434</v>
      </c>
      <c r="CL16" s="634">
        <v>0</v>
      </c>
      <c r="CM16" s="634">
        <v>0</v>
      </c>
      <c r="CN16" s="634">
        <v>0</v>
      </c>
      <c r="CO16" s="635">
        <v>0</v>
      </c>
      <c r="CP16" s="635">
        <v>0</v>
      </c>
      <c r="CQ16" s="635">
        <v>0</v>
      </c>
      <c r="CR16" s="635">
        <v>0</v>
      </c>
      <c r="CS16" s="635">
        <v>0</v>
      </c>
      <c r="CT16" s="635">
        <v>0</v>
      </c>
      <c r="CU16" s="635">
        <v>0</v>
      </c>
      <c r="CV16" s="635">
        <v>0</v>
      </c>
      <c r="CW16" s="635">
        <v>0</v>
      </c>
      <c r="CX16" s="635">
        <v>0</v>
      </c>
      <c r="CY16" s="635">
        <v>0</v>
      </c>
      <c r="CZ16" s="635">
        <v>0</v>
      </c>
      <c r="DA16" s="636">
        <v>0</v>
      </c>
      <c r="DB16" s="636">
        <v>0</v>
      </c>
      <c r="DC16" s="636">
        <v>0</v>
      </c>
      <c r="DD16" s="637">
        <v>0</v>
      </c>
      <c r="DE16" s="637">
        <v>0</v>
      </c>
      <c r="DF16" s="637">
        <v>0</v>
      </c>
      <c r="DG16" s="637">
        <v>0</v>
      </c>
      <c r="DH16" s="637">
        <v>0</v>
      </c>
      <c r="DI16" s="637">
        <v>0</v>
      </c>
      <c r="DJ16" s="637">
        <v>0</v>
      </c>
      <c r="DK16" s="637">
        <v>0</v>
      </c>
      <c r="DL16" s="637">
        <v>0</v>
      </c>
      <c r="DM16" s="637">
        <v>0</v>
      </c>
      <c r="DN16" s="637">
        <v>0</v>
      </c>
      <c r="DO16" s="637">
        <v>0</v>
      </c>
      <c r="DP16" s="636">
        <v>0</v>
      </c>
      <c r="DQ16" s="636">
        <v>0</v>
      </c>
      <c r="DR16" s="636">
        <v>0</v>
      </c>
      <c r="DS16" s="637">
        <v>0</v>
      </c>
      <c r="DT16" s="637">
        <v>0</v>
      </c>
      <c r="DU16" s="637">
        <v>0</v>
      </c>
      <c r="DV16" s="637">
        <v>0</v>
      </c>
      <c r="DW16" s="637">
        <v>0</v>
      </c>
      <c r="DX16" s="637">
        <v>0</v>
      </c>
      <c r="DY16" s="637">
        <v>0</v>
      </c>
      <c r="DZ16" s="637">
        <v>0</v>
      </c>
      <c r="EA16" s="637">
        <v>0</v>
      </c>
      <c r="EB16" s="637">
        <v>0</v>
      </c>
      <c r="EC16" s="637">
        <v>0</v>
      </c>
      <c r="ED16" s="637">
        <v>0</v>
      </c>
    </row>
    <row r="17" spans="1:134" ht="15" x14ac:dyDescent="0.25">
      <c r="A17" s="555">
        <v>141</v>
      </c>
      <c r="B17" s="555">
        <v>58</v>
      </c>
      <c r="C17" s="555" t="s">
        <v>1000</v>
      </c>
      <c r="D17" s="812">
        <v>99714</v>
      </c>
      <c r="E17" s="812">
        <v>99714</v>
      </c>
      <c r="F17" s="630" t="s">
        <v>989</v>
      </c>
      <c r="G17" s="45">
        <v>0</v>
      </c>
      <c r="H17" s="45">
        <v>7</v>
      </c>
      <c r="I17" s="45">
        <v>0</v>
      </c>
      <c r="J17" s="45">
        <v>7</v>
      </c>
      <c r="K17" s="45">
        <v>0</v>
      </c>
      <c r="L17" s="45">
        <v>0</v>
      </c>
      <c r="M17" s="45">
        <v>0</v>
      </c>
      <c r="N17" s="45">
        <v>0</v>
      </c>
      <c r="O17" s="45">
        <v>0</v>
      </c>
      <c r="P17" s="45">
        <v>0</v>
      </c>
      <c r="Q17" s="45">
        <v>0</v>
      </c>
      <c r="R17" s="45">
        <v>0</v>
      </c>
      <c r="S17" s="45">
        <v>834.49503068156923</v>
      </c>
      <c r="T17" s="45">
        <v>834.49503068156923</v>
      </c>
      <c r="U17" s="45">
        <v>1408.3846153846155</v>
      </c>
      <c r="V17" s="45">
        <v>0</v>
      </c>
      <c r="W17" s="45">
        <v>0</v>
      </c>
      <c r="X17" s="45">
        <v>1365.173957061457</v>
      </c>
      <c r="Y17" s="45">
        <v>0.1603863478863479</v>
      </c>
      <c r="Z17" s="45">
        <v>6.8305180180180178</v>
      </c>
      <c r="AA17" s="45">
        <v>9.0956340956340961E-3</v>
      </c>
      <c r="AB17" s="508">
        <v>0</v>
      </c>
      <c r="AC17" s="508">
        <v>0</v>
      </c>
      <c r="AD17" s="631">
        <v>7</v>
      </c>
      <c r="AE17" s="632">
        <v>0</v>
      </c>
      <c r="AF17" s="632">
        <v>0</v>
      </c>
      <c r="AG17" s="633">
        <v>0</v>
      </c>
      <c r="AH17" s="632">
        <v>0</v>
      </c>
      <c r="AI17" s="632">
        <v>0.15046325148452475</v>
      </c>
      <c r="AJ17" s="632">
        <v>6.4079141638844197</v>
      </c>
      <c r="AK17" s="632">
        <v>6.5583774153689447</v>
      </c>
      <c r="AL17" s="632">
        <v>8.5328876078180384E-3</v>
      </c>
      <c r="AM17" s="632">
        <v>0</v>
      </c>
      <c r="AN17" s="632">
        <v>0</v>
      </c>
      <c r="AO17" s="632">
        <v>0</v>
      </c>
      <c r="AP17" s="632">
        <v>0</v>
      </c>
      <c r="AQ17" s="632">
        <v>0</v>
      </c>
      <c r="AR17" s="632">
        <v>0</v>
      </c>
      <c r="AS17" s="632">
        <v>6.1526108885423474</v>
      </c>
      <c r="AT17" s="632">
        <v>6.3522550560386968</v>
      </c>
      <c r="AU17" s="632">
        <v>6.5583774153689447</v>
      </c>
      <c r="AV17" s="632">
        <v>6.7711881753759684</v>
      </c>
      <c r="AW17" s="632">
        <v>6.9909043659043659</v>
      </c>
      <c r="AX17" s="632">
        <v>0</v>
      </c>
      <c r="AY17" s="632">
        <v>0</v>
      </c>
      <c r="AZ17" s="632">
        <v>0</v>
      </c>
      <c r="BA17" s="632">
        <v>0</v>
      </c>
      <c r="BB17" s="632">
        <v>0</v>
      </c>
      <c r="BC17" s="632">
        <v>0</v>
      </c>
      <c r="BD17" s="632">
        <v>0</v>
      </c>
      <c r="BE17" s="632">
        <v>0</v>
      </c>
      <c r="BF17" s="632">
        <v>0</v>
      </c>
      <c r="BG17" s="632">
        <v>0</v>
      </c>
      <c r="BH17" s="634">
        <v>7.0483501560653172</v>
      </c>
      <c r="BI17" s="634">
        <v>7.1062679908480346</v>
      </c>
      <c r="BJ17" s="634">
        <v>7.1646617491464202</v>
      </c>
      <c r="BK17" s="635">
        <v>7.1175572416065993</v>
      </c>
      <c r="BL17" s="635">
        <v>7.0707624255369774</v>
      </c>
      <c r="BM17" s="635">
        <v>7.1215224779530715</v>
      </c>
      <c r="BN17" s="635">
        <v>7.1726469299580957</v>
      </c>
      <c r="BO17" s="635">
        <v>7.2241383975276854</v>
      </c>
      <c r="BP17" s="635">
        <v>7.2759995154172143</v>
      </c>
      <c r="BQ17" s="635">
        <v>7.32823293729661</v>
      </c>
      <c r="BR17" s="635">
        <v>7.3693708890773495</v>
      </c>
      <c r="BS17" s="635">
        <v>7.4107397738935417</v>
      </c>
      <c r="BT17" s="635">
        <v>7.4523408881166544</v>
      </c>
      <c r="BU17" s="635">
        <v>7.4941755353954953</v>
      </c>
      <c r="BV17" s="635">
        <v>7.5362450266970678</v>
      </c>
      <c r="BW17" s="634">
        <v>0</v>
      </c>
      <c r="BX17" s="634">
        <v>0</v>
      </c>
      <c r="BY17" s="634">
        <v>0</v>
      </c>
      <c r="BZ17" s="635">
        <v>0</v>
      </c>
      <c r="CA17" s="635">
        <v>0</v>
      </c>
      <c r="CB17" s="635">
        <v>0</v>
      </c>
      <c r="CC17" s="635">
        <v>0</v>
      </c>
      <c r="CD17" s="635">
        <v>0</v>
      </c>
      <c r="CE17" s="635">
        <v>0</v>
      </c>
      <c r="CF17" s="635">
        <v>0</v>
      </c>
      <c r="CG17" s="635">
        <v>0</v>
      </c>
      <c r="CH17" s="635">
        <v>0</v>
      </c>
      <c r="CI17" s="635">
        <v>0</v>
      </c>
      <c r="CJ17" s="635">
        <v>0</v>
      </c>
      <c r="CK17" s="635">
        <v>0</v>
      </c>
      <c r="CL17" s="634">
        <v>0</v>
      </c>
      <c r="CM17" s="634">
        <v>0</v>
      </c>
      <c r="CN17" s="634">
        <v>0</v>
      </c>
      <c r="CO17" s="635">
        <v>0</v>
      </c>
      <c r="CP17" s="635">
        <v>0</v>
      </c>
      <c r="CQ17" s="635">
        <v>0</v>
      </c>
      <c r="CR17" s="635">
        <v>0</v>
      </c>
      <c r="CS17" s="635">
        <v>0</v>
      </c>
      <c r="CT17" s="635">
        <v>0</v>
      </c>
      <c r="CU17" s="635">
        <v>0</v>
      </c>
      <c r="CV17" s="635">
        <v>0</v>
      </c>
      <c r="CW17" s="635">
        <v>0</v>
      </c>
      <c r="CX17" s="635">
        <v>0</v>
      </c>
      <c r="CY17" s="635">
        <v>0</v>
      </c>
      <c r="CZ17" s="635">
        <v>0</v>
      </c>
      <c r="DA17" s="636">
        <v>9.1703749103113682E-3</v>
      </c>
      <c r="DB17" s="636">
        <v>9.2457298866094658E-3</v>
      </c>
      <c r="DC17" s="636">
        <v>9.3217040712287539E-3</v>
      </c>
      <c r="DD17" s="637">
        <v>9.2604179568131668E-3</v>
      </c>
      <c r="DE17" s="637">
        <v>9.1995347717108746E-3</v>
      </c>
      <c r="DF17" s="637">
        <v>9.2655769944744622E-3</v>
      </c>
      <c r="DG17" s="637">
        <v>9.3320933254724108E-3</v>
      </c>
      <c r="DH17" s="637">
        <v>9.3990871682639674E-3</v>
      </c>
      <c r="DI17" s="637">
        <v>9.4665619508420701E-3</v>
      </c>
      <c r="DJ17" s="637">
        <v>9.5345211258087564E-3</v>
      </c>
      <c r="DK17" s="637">
        <v>9.5880443521693323E-3</v>
      </c>
      <c r="DL17" s="637">
        <v>9.6418680378526442E-3</v>
      </c>
      <c r="DM17" s="637">
        <v>9.6959938695246606E-3</v>
      </c>
      <c r="DN17" s="637">
        <v>9.7504235433196664E-3</v>
      </c>
      <c r="DO17" s="637">
        <v>9.8051587648933999E-3</v>
      </c>
      <c r="DP17" s="636">
        <v>0</v>
      </c>
      <c r="DQ17" s="636">
        <v>0</v>
      </c>
      <c r="DR17" s="636">
        <v>0</v>
      </c>
      <c r="DS17" s="637">
        <v>0</v>
      </c>
      <c r="DT17" s="637">
        <v>0</v>
      </c>
      <c r="DU17" s="637">
        <v>0</v>
      </c>
      <c r="DV17" s="637">
        <v>0</v>
      </c>
      <c r="DW17" s="637">
        <v>0</v>
      </c>
      <c r="DX17" s="637">
        <v>0</v>
      </c>
      <c r="DY17" s="637">
        <v>0</v>
      </c>
      <c r="DZ17" s="637">
        <v>0</v>
      </c>
      <c r="EA17" s="637">
        <v>0</v>
      </c>
      <c r="EB17" s="637">
        <v>0</v>
      </c>
      <c r="EC17" s="637">
        <v>0</v>
      </c>
      <c r="ED17" s="637">
        <v>0</v>
      </c>
    </row>
    <row r="18" spans="1:134" ht="15" x14ac:dyDescent="0.25">
      <c r="A18" s="555">
        <v>137</v>
      </c>
      <c r="B18" s="555">
        <v>59</v>
      </c>
      <c r="C18" s="555" t="s">
        <v>1001</v>
      </c>
      <c r="D18" s="812">
        <v>99714</v>
      </c>
      <c r="E18" s="812">
        <v>99714</v>
      </c>
      <c r="F18" s="630" t="s">
        <v>989</v>
      </c>
      <c r="G18" s="45">
        <v>119</v>
      </c>
      <c r="H18" s="45">
        <v>78</v>
      </c>
      <c r="I18" s="45">
        <v>47</v>
      </c>
      <c r="J18" s="45">
        <v>31</v>
      </c>
      <c r="K18" s="45">
        <v>0</v>
      </c>
      <c r="L18" s="45">
        <v>8</v>
      </c>
      <c r="M18" s="45">
        <v>8</v>
      </c>
      <c r="N18" s="45">
        <v>2</v>
      </c>
      <c r="O18" s="45">
        <v>0</v>
      </c>
      <c r="P18" s="45">
        <v>0</v>
      </c>
      <c r="Q18" s="45">
        <v>10</v>
      </c>
      <c r="R18" s="45">
        <v>0</v>
      </c>
      <c r="S18" s="45">
        <v>1873.5</v>
      </c>
      <c r="T18" s="45">
        <v>1873.5</v>
      </c>
      <c r="U18" s="45">
        <v>825</v>
      </c>
      <c r="V18" s="45">
        <v>0</v>
      </c>
      <c r="W18" s="45">
        <v>0</v>
      </c>
      <c r="X18" s="45">
        <v>1663.8</v>
      </c>
      <c r="Y18" s="45">
        <v>0</v>
      </c>
      <c r="Z18" s="45">
        <v>78</v>
      </c>
      <c r="AA18" s="45">
        <v>0</v>
      </c>
      <c r="AB18" s="508">
        <v>2</v>
      </c>
      <c r="AC18" s="508">
        <v>0</v>
      </c>
      <c r="AD18" s="631">
        <v>80</v>
      </c>
      <c r="AE18" s="632">
        <v>0</v>
      </c>
      <c r="AF18" s="632">
        <v>47</v>
      </c>
      <c r="AG18" s="633">
        <v>47</v>
      </c>
      <c r="AH18" s="632">
        <v>0</v>
      </c>
      <c r="AI18" s="632">
        <v>0</v>
      </c>
      <c r="AJ18" s="632">
        <v>73.174143376026777</v>
      </c>
      <c r="AK18" s="632">
        <v>73.174143376026777</v>
      </c>
      <c r="AL18" s="632">
        <v>0</v>
      </c>
      <c r="AM18" s="632">
        <v>0</v>
      </c>
      <c r="AN18" s="632">
        <v>44.950292293100134</v>
      </c>
      <c r="AO18" s="632">
        <v>44.950292293100134</v>
      </c>
      <c r="AP18" s="632">
        <v>0</v>
      </c>
      <c r="AQ18" s="632">
        <v>1.9327684259768214</v>
      </c>
      <c r="AR18" s="632">
        <v>0</v>
      </c>
      <c r="AS18" s="632">
        <v>68.646862292504153</v>
      </c>
      <c r="AT18" s="632">
        <v>70.874363092066403</v>
      </c>
      <c r="AU18" s="632">
        <v>73.174143376026777</v>
      </c>
      <c r="AV18" s="632">
        <v>75.548548519015824</v>
      </c>
      <c r="AW18" s="632">
        <v>78</v>
      </c>
      <c r="AX18" s="632">
        <v>42.98997398372633</v>
      </c>
      <c r="AY18" s="632">
        <v>43.959207183948038</v>
      </c>
      <c r="AZ18" s="632">
        <v>44.950292293100134</v>
      </c>
      <c r="BA18" s="632">
        <v>45.963721974789053</v>
      </c>
      <c r="BB18" s="632">
        <v>47</v>
      </c>
      <c r="BC18" s="632">
        <v>1.8677968942264598</v>
      </c>
      <c r="BD18" s="632">
        <v>1.9000049640194285</v>
      </c>
      <c r="BE18" s="632">
        <v>1.9327684259768214</v>
      </c>
      <c r="BF18" s="632">
        <v>1.9660968572157482</v>
      </c>
      <c r="BG18" s="632">
        <v>2</v>
      </c>
      <c r="BH18" s="634">
        <v>78.640943059442719</v>
      </c>
      <c r="BI18" s="634">
        <v>79.287152888186043</v>
      </c>
      <c r="BJ18" s="634">
        <v>79.938672764425235</v>
      </c>
      <c r="BK18" s="635">
        <v>79.413111063706609</v>
      </c>
      <c r="BL18" s="635">
        <v>78.891004700582528</v>
      </c>
      <c r="BM18" s="635">
        <v>79.457352612272658</v>
      </c>
      <c r="BN18" s="635">
        <v>80.027766259445471</v>
      </c>
      <c r="BO18" s="635">
        <v>80.602274829469152</v>
      </c>
      <c r="BP18" s="635">
        <v>81.180907719244061</v>
      </c>
      <c r="BQ18" s="635">
        <v>81.76369453670695</v>
      </c>
      <c r="BR18" s="635">
        <v>82.222685258214639</v>
      </c>
      <c r="BS18" s="635">
        <v>82.68425258152125</v>
      </c>
      <c r="BT18" s="635">
        <v>83.148410970703139</v>
      </c>
      <c r="BU18" s="635">
        <v>83.615174971032516</v>
      </c>
      <c r="BV18" s="635">
        <v>84.08455920943328</v>
      </c>
      <c r="BW18" s="634">
        <v>47.386209279407794</v>
      </c>
      <c r="BX18" s="634">
        <v>47.775592124932615</v>
      </c>
      <c r="BY18" s="634">
        <v>48.168174614461357</v>
      </c>
      <c r="BZ18" s="635">
        <v>47.851489999925775</v>
      </c>
      <c r="CA18" s="635">
        <v>47.53688744778691</v>
      </c>
      <c r="CB18" s="635">
        <v>47.878148368933523</v>
      </c>
      <c r="CC18" s="635">
        <v>48.221859156332528</v>
      </c>
      <c r="CD18" s="635">
        <v>48.568037397244233</v>
      </c>
      <c r="CE18" s="635">
        <v>48.916700805185521</v>
      </c>
      <c r="CF18" s="635">
        <v>49.267867220836237</v>
      </c>
      <c r="CG18" s="635">
        <v>49.544438553026765</v>
      </c>
      <c r="CH18" s="635">
        <v>49.822562452967937</v>
      </c>
      <c r="CI18" s="635">
        <v>50.102247636192914</v>
      </c>
      <c r="CJ18" s="635">
        <v>50.383502867160615</v>
      </c>
      <c r="CK18" s="635">
        <v>50.666336959530312</v>
      </c>
      <c r="CL18" s="634">
        <v>2.0164344374216081</v>
      </c>
      <c r="CM18" s="634">
        <v>2.0330039202098984</v>
      </c>
      <c r="CN18" s="634">
        <v>2.0497095580621854</v>
      </c>
      <c r="CO18" s="635">
        <v>2.0362336170181181</v>
      </c>
      <c r="CP18" s="635">
        <v>2.0228462743739111</v>
      </c>
      <c r="CQ18" s="635">
        <v>2.037368015699299</v>
      </c>
      <c r="CR18" s="635">
        <v>2.051994006652448</v>
      </c>
      <c r="CS18" s="635">
        <v>2.0667249956274141</v>
      </c>
      <c r="CT18" s="635">
        <v>2.0815617363908734</v>
      </c>
      <c r="CU18" s="635">
        <v>2.096504988120691</v>
      </c>
      <c r="CV18" s="635">
        <v>2.1082739809798623</v>
      </c>
      <c r="CW18" s="635">
        <v>2.120109040551827</v>
      </c>
      <c r="CX18" s="635">
        <v>2.1320105377103369</v>
      </c>
      <c r="CY18" s="635">
        <v>2.1439788454110897</v>
      </c>
      <c r="CZ18" s="635">
        <v>2.1560143387034172</v>
      </c>
      <c r="DA18" s="636">
        <v>0</v>
      </c>
      <c r="DB18" s="636">
        <v>0</v>
      </c>
      <c r="DC18" s="636">
        <v>0</v>
      </c>
      <c r="DD18" s="637">
        <v>0</v>
      </c>
      <c r="DE18" s="637">
        <v>0</v>
      </c>
      <c r="DF18" s="637">
        <v>0</v>
      </c>
      <c r="DG18" s="637">
        <v>0</v>
      </c>
      <c r="DH18" s="637">
        <v>0</v>
      </c>
      <c r="DI18" s="637">
        <v>0</v>
      </c>
      <c r="DJ18" s="637">
        <v>0</v>
      </c>
      <c r="DK18" s="637">
        <v>0</v>
      </c>
      <c r="DL18" s="637">
        <v>0</v>
      </c>
      <c r="DM18" s="637">
        <v>0</v>
      </c>
      <c r="DN18" s="637">
        <v>0</v>
      </c>
      <c r="DO18" s="637">
        <v>0</v>
      </c>
      <c r="DP18" s="636">
        <v>0</v>
      </c>
      <c r="DQ18" s="636">
        <v>0</v>
      </c>
      <c r="DR18" s="636">
        <v>0</v>
      </c>
      <c r="DS18" s="637">
        <v>0</v>
      </c>
      <c r="DT18" s="637">
        <v>0</v>
      </c>
      <c r="DU18" s="637">
        <v>0</v>
      </c>
      <c r="DV18" s="637">
        <v>0</v>
      </c>
      <c r="DW18" s="637">
        <v>0</v>
      </c>
      <c r="DX18" s="637">
        <v>0</v>
      </c>
      <c r="DY18" s="637">
        <v>0</v>
      </c>
      <c r="DZ18" s="637">
        <v>0</v>
      </c>
      <c r="EA18" s="637">
        <v>0</v>
      </c>
      <c r="EB18" s="637">
        <v>0</v>
      </c>
      <c r="EC18" s="637">
        <v>0</v>
      </c>
      <c r="ED18" s="637">
        <v>0</v>
      </c>
    </row>
    <row r="19" spans="1:134" ht="15" x14ac:dyDescent="0.25">
      <c r="A19" s="555">
        <v>139</v>
      </c>
      <c r="B19" s="555">
        <v>59</v>
      </c>
      <c r="C19" s="555" t="s">
        <v>1002</v>
      </c>
      <c r="D19" s="812">
        <v>99714</v>
      </c>
      <c r="E19" s="812">
        <v>99714</v>
      </c>
      <c r="F19" s="630" t="s">
        <v>989</v>
      </c>
      <c r="G19" s="45">
        <v>1</v>
      </c>
      <c r="H19" s="45">
        <v>5</v>
      </c>
      <c r="I19" s="45">
        <v>1</v>
      </c>
      <c r="J19" s="45">
        <v>4</v>
      </c>
      <c r="K19" s="45">
        <v>0</v>
      </c>
      <c r="L19" s="45">
        <v>64</v>
      </c>
      <c r="M19" s="45">
        <v>64</v>
      </c>
      <c r="N19" s="45">
        <v>0</v>
      </c>
      <c r="O19" s="45">
        <v>0</v>
      </c>
      <c r="P19" s="45">
        <v>0</v>
      </c>
      <c r="Q19" s="45">
        <v>64</v>
      </c>
      <c r="R19" s="45">
        <v>0</v>
      </c>
      <c r="S19" s="45">
        <v>1384.65625</v>
      </c>
      <c r="T19" s="45">
        <v>1384.65625</v>
      </c>
      <c r="U19" s="45">
        <v>0</v>
      </c>
      <c r="V19" s="45">
        <v>0</v>
      </c>
      <c r="W19" s="45">
        <v>0</v>
      </c>
      <c r="X19" s="45">
        <v>1384.65625</v>
      </c>
      <c r="Y19" s="45">
        <v>0</v>
      </c>
      <c r="Z19" s="45">
        <v>5</v>
      </c>
      <c r="AA19" s="45">
        <v>0</v>
      </c>
      <c r="AB19" s="508">
        <v>0</v>
      </c>
      <c r="AC19" s="508">
        <v>0</v>
      </c>
      <c r="AD19" s="631">
        <v>5</v>
      </c>
      <c r="AE19" s="632">
        <v>0</v>
      </c>
      <c r="AF19" s="632">
        <v>1</v>
      </c>
      <c r="AG19" s="633">
        <v>1</v>
      </c>
      <c r="AH19" s="632">
        <v>0</v>
      </c>
      <c r="AI19" s="632">
        <v>0</v>
      </c>
      <c r="AJ19" s="632">
        <v>4.6906502164119734</v>
      </c>
      <c r="AK19" s="632">
        <v>4.6906502164119734</v>
      </c>
      <c r="AL19" s="632">
        <v>0</v>
      </c>
      <c r="AM19" s="632">
        <v>0</v>
      </c>
      <c r="AN19" s="632">
        <v>0.95638919772553477</v>
      </c>
      <c r="AO19" s="632">
        <v>0.95638919772553477</v>
      </c>
      <c r="AP19" s="632">
        <v>0</v>
      </c>
      <c r="AQ19" s="632">
        <v>0</v>
      </c>
      <c r="AR19" s="632">
        <v>0</v>
      </c>
      <c r="AS19" s="632">
        <v>4.4004398905451376</v>
      </c>
      <c r="AT19" s="632">
        <v>4.54322840333759</v>
      </c>
      <c r="AU19" s="632">
        <v>4.6906502164119734</v>
      </c>
      <c r="AV19" s="632">
        <v>4.8428556742958868</v>
      </c>
      <c r="AW19" s="632">
        <v>5</v>
      </c>
      <c r="AX19" s="632">
        <v>0.91468029752609203</v>
      </c>
      <c r="AY19" s="632">
        <v>0.93530228050953268</v>
      </c>
      <c r="AZ19" s="632">
        <v>0.95638919772553477</v>
      </c>
      <c r="BA19" s="632">
        <v>0.97795153137849056</v>
      </c>
      <c r="BB19" s="632">
        <v>1</v>
      </c>
      <c r="BC19" s="632">
        <v>0</v>
      </c>
      <c r="BD19" s="632">
        <v>0</v>
      </c>
      <c r="BE19" s="632">
        <v>0</v>
      </c>
      <c r="BF19" s="632">
        <v>0</v>
      </c>
      <c r="BG19" s="632">
        <v>0</v>
      </c>
      <c r="BH19" s="634">
        <v>5.0410860935540205</v>
      </c>
      <c r="BI19" s="634">
        <v>5.082509800524746</v>
      </c>
      <c r="BJ19" s="634">
        <v>5.1242738951554632</v>
      </c>
      <c r="BK19" s="635">
        <v>5.0905840425452942</v>
      </c>
      <c r="BL19" s="635">
        <v>5.057115685934777</v>
      </c>
      <c r="BM19" s="635">
        <v>5.0934200392482474</v>
      </c>
      <c r="BN19" s="635">
        <v>5.1299850166311192</v>
      </c>
      <c r="BO19" s="635">
        <v>5.1668124890685352</v>
      </c>
      <c r="BP19" s="635">
        <v>5.203904340977183</v>
      </c>
      <c r="BQ19" s="635">
        <v>5.2412624703017272</v>
      </c>
      <c r="BR19" s="635">
        <v>5.2706849524496553</v>
      </c>
      <c r="BS19" s="635">
        <v>5.3002726013795671</v>
      </c>
      <c r="BT19" s="635">
        <v>5.3300263442758418</v>
      </c>
      <c r="BU19" s="635">
        <v>5.359947113527725</v>
      </c>
      <c r="BV19" s="635">
        <v>5.3900358467585434</v>
      </c>
      <c r="BW19" s="634">
        <v>1.0082172187108041</v>
      </c>
      <c r="BX19" s="634">
        <v>1.0165019601049492</v>
      </c>
      <c r="BY19" s="634">
        <v>1.0248547790310927</v>
      </c>
      <c r="BZ19" s="635">
        <v>1.0181168085090591</v>
      </c>
      <c r="CA19" s="635">
        <v>1.0114231371869555</v>
      </c>
      <c r="CB19" s="635">
        <v>1.0186840078496495</v>
      </c>
      <c r="CC19" s="635">
        <v>1.025997003326224</v>
      </c>
      <c r="CD19" s="635">
        <v>1.033362497813707</v>
      </c>
      <c r="CE19" s="635">
        <v>1.0407808681954367</v>
      </c>
      <c r="CF19" s="635">
        <v>1.0482524940603455</v>
      </c>
      <c r="CG19" s="635">
        <v>1.0541369904899311</v>
      </c>
      <c r="CH19" s="635">
        <v>1.0600545202759135</v>
      </c>
      <c r="CI19" s="635">
        <v>1.0660052688551684</v>
      </c>
      <c r="CJ19" s="635">
        <v>1.0719894227055449</v>
      </c>
      <c r="CK19" s="635">
        <v>1.0780071693517086</v>
      </c>
      <c r="CL19" s="634">
        <v>0</v>
      </c>
      <c r="CM19" s="634">
        <v>0</v>
      </c>
      <c r="CN19" s="634">
        <v>0</v>
      </c>
      <c r="CO19" s="635">
        <v>0</v>
      </c>
      <c r="CP19" s="635">
        <v>0</v>
      </c>
      <c r="CQ19" s="635">
        <v>0</v>
      </c>
      <c r="CR19" s="635">
        <v>0</v>
      </c>
      <c r="CS19" s="635">
        <v>0</v>
      </c>
      <c r="CT19" s="635">
        <v>0</v>
      </c>
      <c r="CU19" s="635">
        <v>0</v>
      </c>
      <c r="CV19" s="635">
        <v>0</v>
      </c>
      <c r="CW19" s="635">
        <v>0</v>
      </c>
      <c r="CX19" s="635">
        <v>0</v>
      </c>
      <c r="CY19" s="635">
        <v>0</v>
      </c>
      <c r="CZ19" s="635">
        <v>0</v>
      </c>
      <c r="DA19" s="636">
        <v>0</v>
      </c>
      <c r="DB19" s="636">
        <v>0</v>
      </c>
      <c r="DC19" s="636">
        <v>0</v>
      </c>
      <c r="DD19" s="637">
        <v>0</v>
      </c>
      <c r="DE19" s="637">
        <v>0</v>
      </c>
      <c r="DF19" s="637">
        <v>0</v>
      </c>
      <c r="DG19" s="637">
        <v>0</v>
      </c>
      <c r="DH19" s="637">
        <v>0</v>
      </c>
      <c r="DI19" s="637">
        <v>0</v>
      </c>
      <c r="DJ19" s="637">
        <v>0</v>
      </c>
      <c r="DK19" s="637">
        <v>0</v>
      </c>
      <c r="DL19" s="637">
        <v>0</v>
      </c>
      <c r="DM19" s="637">
        <v>0</v>
      </c>
      <c r="DN19" s="637">
        <v>0</v>
      </c>
      <c r="DO19" s="637">
        <v>0</v>
      </c>
      <c r="DP19" s="636">
        <v>0</v>
      </c>
      <c r="DQ19" s="636">
        <v>0</v>
      </c>
      <c r="DR19" s="636">
        <v>0</v>
      </c>
      <c r="DS19" s="637">
        <v>0</v>
      </c>
      <c r="DT19" s="637">
        <v>0</v>
      </c>
      <c r="DU19" s="637">
        <v>0</v>
      </c>
      <c r="DV19" s="637">
        <v>0</v>
      </c>
      <c r="DW19" s="637">
        <v>0</v>
      </c>
      <c r="DX19" s="637">
        <v>0</v>
      </c>
      <c r="DY19" s="637">
        <v>0</v>
      </c>
      <c r="DZ19" s="637">
        <v>0</v>
      </c>
      <c r="EA19" s="637">
        <v>0</v>
      </c>
      <c r="EB19" s="637">
        <v>0</v>
      </c>
      <c r="EC19" s="637">
        <v>0</v>
      </c>
      <c r="ED19" s="637">
        <v>0</v>
      </c>
    </row>
    <row r="20" spans="1:134" ht="15" x14ac:dyDescent="0.25">
      <c r="A20" s="555">
        <v>141</v>
      </c>
      <c r="B20" s="555">
        <v>59</v>
      </c>
      <c r="C20" s="555" t="s">
        <v>1003</v>
      </c>
      <c r="D20" s="812">
        <v>99714</v>
      </c>
      <c r="E20" s="812">
        <v>99714</v>
      </c>
      <c r="F20" s="630" t="s">
        <v>989</v>
      </c>
      <c r="G20" s="45">
        <v>0</v>
      </c>
      <c r="H20" s="45">
        <v>20</v>
      </c>
      <c r="I20" s="45">
        <v>0</v>
      </c>
      <c r="J20" s="45">
        <v>20</v>
      </c>
      <c r="K20" s="45">
        <v>0</v>
      </c>
      <c r="L20" s="45">
        <v>40</v>
      </c>
      <c r="M20" s="45">
        <v>40</v>
      </c>
      <c r="N20" s="45">
        <v>0</v>
      </c>
      <c r="O20" s="45">
        <v>0</v>
      </c>
      <c r="P20" s="45">
        <v>0</v>
      </c>
      <c r="Q20" s="45">
        <v>40</v>
      </c>
      <c r="R20" s="45">
        <v>0</v>
      </c>
      <c r="S20" s="45">
        <v>1013.675</v>
      </c>
      <c r="T20" s="45">
        <v>1013.675</v>
      </c>
      <c r="U20" s="45">
        <v>0</v>
      </c>
      <c r="V20" s="45">
        <v>0</v>
      </c>
      <c r="W20" s="45">
        <v>0</v>
      </c>
      <c r="X20" s="45">
        <v>1013.675</v>
      </c>
      <c r="Y20" s="45">
        <v>0</v>
      </c>
      <c r="Z20" s="45">
        <v>20</v>
      </c>
      <c r="AA20" s="45">
        <v>0</v>
      </c>
      <c r="AB20" s="508">
        <v>0</v>
      </c>
      <c r="AC20" s="508">
        <v>0</v>
      </c>
      <c r="AD20" s="631">
        <v>20</v>
      </c>
      <c r="AE20" s="632">
        <v>0</v>
      </c>
      <c r="AF20" s="632">
        <v>0</v>
      </c>
      <c r="AG20" s="633">
        <v>0</v>
      </c>
      <c r="AH20" s="632">
        <v>0</v>
      </c>
      <c r="AI20" s="632">
        <v>0</v>
      </c>
      <c r="AJ20" s="632">
        <v>18.762600865647894</v>
      </c>
      <c r="AK20" s="632">
        <v>18.762600865647894</v>
      </c>
      <c r="AL20" s="632">
        <v>0</v>
      </c>
      <c r="AM20" s="632">
        <v>0</v>
      </c>
      <c r="AN20" s="632">
        <v>0</v>
      </c>
      <c r="AO20" s="632">
        <v>0</v>
      </c>
      <c r="AP20" s="632">
        <v>0</v>
      </c>
      <c r="AQ20" s="632">
        <v>0</v>
      </c>
      <c r="AR20" s="632">
        <v>0</v>
      </c>
      <c r="AS20" s="632">
        <v>17.60175956218055</v>
      </c>
      <c r="AT20" s="632">
        <v>18.17291361335036</v>
      </c>
      <c r="AU20" s="632">
        <v>18.762600865647894</v>
      </c>
      <c r="AV20" s="632">
        <v>19.371422697183547</v>
      </c>
      <c r="AW20" s="632">
        <v>20</v>
      </c>
      <c r="AX20" s="632">
        <v>0</v>
      </c>
      <c r="AY20" s="632">
        <v>0</v>
      </c>
      <c r="AZ20" s="632">
        <v>0</v>
      </c>
      <c r="BA20" s="632">
        <v>0</v>
      </c>
      <c r="BB20" s="632">
        <v>0</v>
      </c>
      <c r="BC20" s="632">
        <v>0</v>
      </c>
      <c r="BD20" s="632">
        <v>0</v>
      </c>
      <c r="BE20" s="632">
        <v>0</v>
      </c>
      <c r="BF20" s="632">
        <v>0</v>
      </c>
      <c r="BG20" s="632">
        <v>0</v>
      </c>
      <c r="BH20" s="634">
        <v>20.164344374216082</v>
      </c>
      <c r="BI20" s="634">
        <v>20.330039202098984</v>
      </c>
      <c r="BJ20" s="634">
        <v>20.497095580621853</v>
      </c>
      <c r="BK20" s="635">
        <v>20.362336170181177</v>
      </c>
      <c r="BL20" s="635">
        <v>20.228462743739108</v>
      </c>
      <c r="BM20" s="635">
        <v>20.37368015699299</v>
      </c>
      <c r="BN20" s="635">
        <v>20.519940066524477</v>
      </c>
      <c r="BO20" s="635">
        <v>20.667249956274141</v>
      </c>
      <c r="BP20" s="635">
        <v>20.815617363908732</v>
      </c>
      <c r="BQ20" s="635">
        <v>20.965049881206909</v>
      </c>
      <c r="BR20" s="635">
        <v>21.082739809798621</v>
      </c>
      <c r="BS20" s="635">
        <v>21.201090405518269</v>
      </c>
      <c r="BT20" s="635">
        <v>21.320105377103367</v>
      </c>
      <c r="BU20" s="635">
        <v>21.4397884541109</v>
      </c>
      <c r="BV20" s="635">
        <v>21.560143387034174</v>
      </c>
      <c r="BW20" s="634">
        <v>0</v>
      </c>
      <c r="BX20" s="634">
        <v>0</v>
      </c>
      <c r="BY20" s="634">
        <v>0</v>
      </c>
      <c r="BZ20" s="635">
        <v>0</v>
      </c>
      <c r="CA20" s="635">
        <v>0</v>
      </c>
      <c r="CB20" s="635">
        <v>0</v>
      </c>
      <c r="CC20" s="635">
        <v>0</v>
      </c>
      <c r="CD20" s="635">
        <v>0</v>
      </c>
      <c r="CE20" s="635">
        <v>0</v>
      </c>
      <c r="CF20" s="635">
        <v>0</v>
      </c>
      <c r="CG20" s="635">
        <v>0</v>
      </c>
      <c r="CH20" s="635">
        <v>0</v>
      </c>
      <c r="CI20" s="635">
        <v>0</v>
      </c>
      <c r="CJ20" s="635">
        <v>0</v>
      </c>
      <c r="CK20" s="635">
        <v>0</v>
      </c>
      <c r="CL20" s="634">
        <v>0</v>
      </c>
      <c r="CM20" s="634">
        <v>0</v>
      </c>
      <c r="CN20" s="634">
        <v>0</v>
      </c>
      <c r="CO20" s="635">
        <v>0</v>
      </c>
      <c r="CP20" s="635">
        <v>0</v>
      </c>
      <c r="CQ20" s="635">
        <v>0</v>
      </c>
      <c r="CR20" s="635">
        <v>0</v>
      </c>
      <c r="CS20" s="635">
        <v>0</v>
      </c>
      <c r="CT20" s="635">
        <v>0</v>
      </c>
      <c r="CU20" s="635">
        <v>0</v>
      </c>
      <c r="CV20" s="635">
        <v>0</v>
      </c>
      <c r="CW20" s="635">
        <v>0</v>
      </c>
      <c r="CX20" s="635">
        <v>0</v>
      </c>
      <c r="CY20" s="635">
        <v>0</v>
      </c>
      <c r="CZ20" s="635">
        <v>0</v>
      </c>
      <c r="DA20" s="636">
        <v>0</v>
      </c>
      <c r="DB20" s="636">
        <v>0</v>
      </c>
      <c r="DC20" s="636">
        <v>0</v>
      </c>
      <c r="DD20" s="637">
        <v>0</v>
      </c>
      <c r="DE20" s="637">
        <v>0</v>
      </c>
      <c r="DF20" s="637">
        <v>0</v>
      </c>
      <c r="DG20" s="637">
        <v>0</v>
      </c>
      <c r="DH20" s="637">
        <v>0</v>
      </c>
      <c r="DI20" s="637">
        <v>0</v>
      </c>
      <c r="DJ20" s="637">
        <v>0</v>
      </c>
      <c r="DK20" s="637">
        <v>0</v>
      </c>
      <c r="DL20" s="637">
        <v>0</v>
      </c>
      <c r="DM20" s="637">
        <v>0</v>
      </c>
      <c r="DN20" s="637">
        <v>0</v>
      </c>
      <c r="DO20" s="637">
        <v>0</v>
      </c>
      <c r="DP20" s="636">
        <v>0</v>
      </c>
      <c r="DQ20" s="636">
        <v>0</v>
      </c>
      <c r="DR20" s="636">
        <v>0</v>
      </c>
      <c r="DS20" s="637">
        <v>0</v>
      </c>
      <c r="DT20" s="637">
        <v>0</v>
      </c>
      <c r="DU20" s="637">
        <v>0</v>
      </c>
      <c r="DV20" s="637">
        <v>0</v>
      </c>
      <c r="DW20" s="637">
        <v>0</v>
      </c>
      <c r="DX20" s="637">
        <v>0</v>
      </c>
      <c r="DY20" s="637">
        <v>0</v>
      </c>
      <c r="DZ20" s="637">
        <v>0</v>
      </c>
      <c r="EA20" s="637">
        <v>0</v>
      </c>
      <c r="EB20" s="637">
        <v>0</v>
      </c>
      <c r="EC20" s="637">
        <v>0</v>
      </c>
      <c r="ED20" s="637">
        <v>0</v>
      </c>
    </row>
    <row r="21" spans="1:134" ht="15" x14ac:dyDescent="0.25">
      <c r="A21" s="555">
        <v>142</v>
      </c>
      <c r="B21" s="555">
        <v>59</v>
      </c>
      <c r="C21" s="555" t="s">
        <v>1004</v>
      </c>
      <c r="D21" s="812">
        <v>99714</v>
      </c>
      <c r="E21" s="812">
        <v>99714</v>
      </c>
      <c r="F21" s="630" t="s">
        <v>989</v>
      </c>
      <c r="G21" s="45">
        <v>0</v>
      </c>
      <c r="H21" s="45">
        <v>8</v>
      </c>
      <c r="I21" s="45">
        <v>0</v>
      </c>
      <c r="J21" s="45">
        <v>8</v>
      </c>
      <c r="K21" s="45">
        <v>0</v>
      </c>
      <c r="L21" s="45">
        <v>27</v>
      </c>
      <c r="M21" s="45">
        <v>27</v>
      </c>
      <c r="N21" s="45">
        <v>0</v>
      </c>
      <c r="O21" s="45">
        <v>0</v>
      </c>
      <c r="P21" s="45">
        <v>0</v>
      </c>
      <c r="Q21" s="45">
        <v>27</v>
      </c>
      <c r="R21" s="45">
        <v>0</v>
      </c>
      <c r="S21" s="45">
        <v>745.51851851851848</v>
      </c>
      <c r="T21" s="45">
        <v>745.51851851851848</v>
      </c>
      <c r="U21" s="45">
        <v>0</v>
      </c>
      <c r="V21" s="45">
        <v>0</v>
      </c>
      <c r="W21" s="45">
        <v>0</v>
      </c>
      <c r="X21" s="45">
        <v>745.51851851851848</v>
      </c>
      <c r="Y21" s="45">
        <v>0</v>
      </c>
      <c r="Z21" s="45">
        <v>8</v>
      </c>
      <c r="AA21" s="45">
        <v>0</v>
      </c>
      <c r="AB21" s="508">
        <v>0</v>
      </c>
      <c r="AC21" s="508">
        <v>0</v>
      </c>
      <c r="AD21" s="631">
        <v>8</v>
      </c>
      <c r="AE21" s="632">
        <v>0</v>
      </c>
      <c r="AF21" s="632">
        <v>0</v>
      </c>
      <c r="AG21" s="633">
        <v>0</v>
      </c>
      <c r="AH21" s="632">
        <v>0</v>
      </c>
      <c r="AI21" s="632">
        <v>0</v>
      </c>
      <c r="AJ21" s="632">
        <v>7.5050403462591575</v>
      </c>
      <c r="AK21" s="632">
        <v>7.5050403462591575</v>
      </c>
      <c r="AL21" s="632">
        <v>0</v>
      </c>
      <c r="AM21" s="632">
        <v>0</v>
      </c>
      <c r="AN21" s="632">
        <v>0</v>
      </c>
      <c r="AO21" s="632">
        <v>0</v>
      </c>
      <c r="AP21" s="632">
        <v>0</v>
      </c>
      <c r="AQ21" s="632">
        <v>0</v>
      </c>
      <c r="AR21" s="632">
        <v>0</v>
      </c>
      <c r="AS21" s="632">
        <v>7.0407038248722209</v>
      </c>
      <c r="AT21" s="632">
        <v>7.2691654453401444</v>
      </c>
      <c r="AU21" s="632">
        <v>7.5050403462591575</v>
      </c>
      <c r="AV21" s="632">
        <v>7.7485690788734178</v>
      </c>
      <c r="AW21" s="632">
        <v>8</v>
      </c>
      <c r="AX21" s="632">
        <v>0</v>
      </c>
      <c r="AY21" s="632">
        <v>0</v>
      </c>
      <c r="AZ21" s="632">
        <v>0</v>
      </c>
      <c r="BA21" s="632">
        <v>0</v>
      </c>
      <c r="BB21" s="632">
        <v>0</v>
      </c>
      <c r="BC21" s="632">
        <v>0</v>
      </c>
      <c r="BD21" s="632">
        <v>0</v>
      </c>
      <c r="BE21" s="632">
        <v>0</v>
      </c>
      <c r="BF21" s="632">
        <v>0</v>
      </c>
      <c r="BG21" s="632">
        <v>0</v>
      </c>
      <c r="BH21" s="634">
        <v>8.0657377496864324</v>
      </c>
      <c r="BI21" s="634">
        <v>8.1320156808395936</v>
      </c>
      <c r="BJ21" s="634">
        <v>8.1988382322487414</v>
      </c>
      <c r="BK21" s="635">
        <v>8.1449344680724725</v>
      </c>
      <c r="BL21" s="635">
        <v>8.0913850974956443</v>
      </c>
      <c r="BM21" s="635">
        <v>8.1494720627971962</v>
      </c>
      <c r="BN21" s="635">
        <v>8.2079760266097921</v>
      </c>
      <c r="BO21" s="635">
        <v>8.2668999825096563</v>
      </c>
      <c r="BP21" s="635">
        <v>8.3262469455634935</v>
      </c>
      <c r="BQ21" s="635">
        <v>8.3860199524827639</v>
      </c>
      <c r="BR21" s="635">
        <v>8.4330959239194492</v>
      </c>
      <c r="BS21" s="635">
        <v>8.4804361622073081</v>
      </c>
      <c r="BT21" s="635">
        <v>8.5280421508413475</v>
      </c>
      <c r="BU21" s="635">
        <v>8.575915381644359</v>
      </c>
      <c r="BV21" s="635">
        <v>8.6240573548136688</v>
      </c>
      <c r="BW21" s="634">
        <v>0</v>
      </c>
      <c r="BX21" s="634">
        <v>0</v>
      </c>
      <c r="BY21" s="634">
        <v>0</v>
      </c>
      <c r="BZ21" s="635">
        <v>0</v>
      </c>
      <c r="CA21" s="635">
        <v>0</v>
      </c>
      <c r="CB21" s="635">
        <v>0</v>
      </c>
      <c r="CC21" s="635">
        <v>0</v>
      </c>
      <c r="CD21" s="635">
        <v>0</v>
      </c>
      <c r="CE21" s="635">
        <v>0</v>
      </c>
      <c r="CF21" s="635">
        <v>0</v>
      </c>
      <c r="CG21" s="635">
        <v>0</v>
      </c>
      <c r="CH21" s="635">
        <v>0</v>
      </c>
      <c r="CI21" s="635">
        <v>0</v>
      </c>
      <c r="CJ21" s="635">
        <v>0</v>
      </c>
      <c r="CK21" s="635">
        <v>0</v>
      </c>
      <c r="CL21" s="634">
        <v>0</v>
      </c>
      <c r="CM21" s="634">
        <v>0</v>
      </c>
      <c r="CN21" s="634">
        <v>0</v>
      </c>
      <c r="CO21" s="635">
        <v>0</v>
      </c>
      <c r="CP21" s="635">
        <v>0</v>
      </c>
      <c r="CQ21" s="635">
        <v>0</v>
      </c>
      <c r="CR21" s="635">
        <v>0</v>
      </c>
      <c r="CS21" s="635">
        <v>0</v>
      </c>
      <c r="CT21" s="635">
        <v>0</v>
      </c>
      <c r="CU21" s="635">
        <v>0</v>
      </c>
      <c r="CV21" s="635">
        <v>0</v>
      </c>
      <c r="CW21" s="635">
        <v>0</v>
      </c>
      <c r="CX21" s="635">
        <v>0</v>
      </c>
      <c r="CY21" s="635">
        <v>0</v>
      </c>
      <c r="CZ21" s="635">
        <v>0</v>
      </c>
      <c r="DA21" s="636">
        <v>0</v>
      </c>
      <c r="DB21" s="636">
        <v>0</v>
      </c>
      <c r="DC21" s="636">
        <v>0</v>
      </c>
      <c r="DD21" s="637">
        <v>0</v>
      </c>
      <c r="DE21" s="637">
        <v>0</v>
      </c>
      <c r="DF21" s="637">
        <v>0</v>
      </c>
      <c r="DG21" s="637">
        <v>0</v>
      </c>
      <c r="DH21" s="637">
        <v>0</v>
      </c>
      <c r="DI21" s="637">
        <v>0</v>
      </c>
      <c r="DJ21" s="637">
        <v>0</v>
      </c>
      <c r="DK21" s="637">
        <v>0</v>
      </c>
      <c r="DL21" s="637">
        <v>0</v>
      </c>
      <c r="DM21" s="637">
        <v>0</v>
      </c>
      <c r="DN21" s="637">
        <v>0</v>
      </c>
      <c r="DO21" s="637">
        <v>0</v>
      </c>
      <c r="DP21" s="636">
        <v>0</v>
      </c>
      <c r="DQ21" s="636">
        <v>0</v>
      </c>
      <c r="DR21" s="636">
        <v>0</v>
      </c>
      <c r="DS21" s="637">
        <v>0</v>
      </c>
      <c r="DT21" s="637">
        <v>0</v>
      </c>
      <c r="DU21" s="637">
        <v>0</v>
      </c>
      <c r="DV21" s="637">
        <v>0</v>
      </c>
      <c r="DW21" s="637">
        <v>0</v>
      </c>
      <c r="DX21" s="637">
        <v>0</v>
      </c>
      <c r="DY21" s="637">
        <v>0</v>
      </c>
      <c r="DZ21" s="637">
        <v>0</v>
      </c>
      <c r="EA21" s="637">
        <v>0</v>
      </c>
      <c r="EB21" s="637">
        <v>0</v>
      </c>
      <c r="EC21" s="637">
        <v>0</v>
      </c>
      <c r="ED21" s="637">
        <v>0</v>
      </c>
    </row>
    <row r="22" spans="1:134" ht="15" x14ac:dyDescent="0.25">
      <c r="A22" s="555">
        <v>136</v>
      </c>
      <c r="B22" s="555">
        <v>61</v>
      </c>
      <c r="C22" s="555" t="s">
        <v>1005</v>
      </c>
      <c r="D22" s="812">
        <v>99714</v>
      </c>
      <c r="E22" s="812">
        <v>99714</v>
      </c>
      <c r="F22" s="630" t="s">
        <v>989</v>
      </c>
      <c r="G22" s="45">
        <v>2</v>
      </c>
      <c r="H22" s="45">
        <v>2</v>
      </c>
      <c r="I22" s="45">
        <v>1</v>
      </c>
      <c r="J22" s="45">
        <v>1</v>
      </c>
      <c r="K22" s="45">
        <v>0</v>
      </c>
      <c r="L22" s="45">
        <v>0</v>
      </c>
      <c r="M22" s="45">
        <v>0</v>
      </c>
      <c r="N22" s="45">
        <v>0</v>
      </c>
      <c r="O22" s="45">
        <v>0</v>
      </c>
      <c r="P22" s="45">
        <v>0</v>
      </c>
      <c r="Q22" s="45">
        <v>0</v>
      </c>
      <c r="R22" s="45">
        <v>0</v>
      </c>
      <c r="S22" s="45">
        <v>834.49503068156923</v>
      </c>
      <c r="T22" s="45">
        <v>834.49503068156923</v>
      </c>
      <c r="U22" s="45">
        <v>1408.3846153846155</v>
      </c>
      <c r="V22" s="45">
        <v>0</v>
      </c>
      <c r="W22" s="45">
        <v>0</v>
      </c>
      <c r="X22" s="45">
        <v>1365.173957061457</v>
      </c>
      <c r="Y22" s="45">
        <v>4.5824670824670823E-2</v>
      </c>
      <c r="Z22" s="45">
        <v>1.9515765765765767</v>
      </c>
      <c r="AA22" s="45">
        <v>2.5987525987525989E-3</v>
      </c>
      <c r="AB22" s="508">
        <v>0</v>
      </c>
      <c r="AC22" s="508">
        <v>0</v>
      </c>
      <c r="AD22" s="631">
        <v>2</v>
      </c>
      <c r="AE22" s="632">
        <v>2.2912335412335411E-2</v>
      </c>
      <c r="AF22" s="632">
        <v>0.97578828828828834</v>
      </c>
      <c r="AG22" s="633">
        <v>0.99870062370062374</v>
      </c>
      <c r="AH22" s="632">
        <v>1.2993762993762994E-3</v>
      </c>
      <c r="AI22" s="632">
        <v>4.2989500424149923E-2</v>
      </c>
      <c r="AJ22" s="632">
        <v>1.8308326182526915</v>
      </c>
      <c r="AK22" s="632">
        <v>1.8738221186768413</v>
      </c>
      <c r="AL22" s="632">
        <v>2.4379678879480112E-3</v>
      </c>
      <c r="AM22" s="632">
        <v>2.1913110083021825E-2</v>
      </c>
      <c r="AN22" s="632">
        <v>0.93323337818600893</v>
      </c>
      <c r="AO22" s="632">
        <v>0.95514648826903081</v>
      </c>
      <c r="AP22" s="632">
        <v>1.2427094565040733E-3</v>
      </c>
      <c r="AQ22" s="632">
        <v>0</v>
      </c>
      <c r="AR22" s="632">
        <v>0</v>
      </c>
      <c r="AS22" s="632">
        <v>1.7578888252978135</v>
      </c>
      <c r="AT22" s="632">
        <v>1.8149300160110562</v>
      </c>
      <c r="AU22" s="632">
        <v>1.8738221186768413</v>
      </c>
      <c r="AV22" s="632">
        <v>1.9346251929645626</v>
      </c>
      <c r="AW22" s="632">
        <v>1.9974012474012475</v>
      </c>
      <c r="AX22" s="632">
        <v>0.91349178362598027</v>
      </c>
      <c r="AY22" s="632">
        <v>0.93408697089348602</v>
      </c>
      <c r="AZ22" s="632">
        <v>0.9551464882690307</v>
      </c>
      <c r="BA22" s="632">
        <v>0.97668080433667859</v>
      </c>
      <c r="BB22" s="632">
        <v>0.99870062370062374</v>
      </c>
      <c r="BC22" s="632">
        <v>0</v>
      </c>
      <c r="BD22" s="632">
        <v>0</v>
      </c>
      <c r="BE22" s="632">
        <v>0</v>
      </c>
      <c r="BF22" s="632">
        <v>0</v>
      </c>
      <c r="BG22" s="632">
        <v>0</v>
      </c>
      <c r="BH22" s="634">
        <v>2.0138143303043763</v>
      </c>
      <c r="BI22" s="634">
        <v>2.0303622830994388</v>
      </c>
      <c r="BJ22" s="634">
        <v>2.0470462140418344</v>
      </c>
      <c r="BK22" s="635">
        <v>2.0335877833161713</v>
      </c>
      <c r="BL22" s="635">
        <v>2.0202178358677081</v>
      </c>
      <c r="BM22" s="635">
        <v>2.0347207079865921</v>
      </c>
      <c r="BN22" s="635">
        <v>2.0493276942737415</v>
      </c>
      <c r="BO22" s="635">
        <v>2.0640395421507676</v>
      </c>
      <c r="BP22" s="635">
        <v>2.0788570044049184</v>
      </c>
      <c r="BQ22" s="635">
        <v>2.0937808392276027</v>
      </c>
      <c r="BR22" s="635">
        <v>2.1055345397363854</v>
      </c>
      <c r="BS22" s="635">
        <v>2.1173542211124405</v>
      </c>
      <c r="BT22" s="635">
        <v>2.1292402537476156</v>
      </c>
      <c r="BU22" s="635">
        <v>2.1411930101129988</v>
      </c>
      <c r="BV22" s="635">
        <v>2.1532128647705906</v>
      </c>
      <c r="BW22" s="634">
        <v>1.0069071651521881</v>
      </c>
      <c r="BX22" s="634">
        <v>1.0151811415497194</v>
      </c>
      <c r="BY22" s="634">
        <v>1.0235231070209172</v>
      </c>
      <c r="BZ22" s="635">
        <v>1.0167938916580856</v>
      </c>
      <c r="CA22" s="635">
        <v>1.010108917933854</v>
      </c>
      <c r="CB22" s="635">
        <v>1.0173603539932961</v>
      </c>
      <c r="CC22" s="635">
        <v>1.0246638471368708</v>
      </c>
      <c r="CD22" s="635">
        <v>1.0320197710753838</v>
      </c>
      <c r="CE22" s="635">
        <v>1.0394285022024592</v>
      </c>
      <c r="CF22" s="635">
        <v>1.0468904196138014</v>
      </c>
      <c r="CG22" s="635">
        <v>1.0527672698681927</v>
      </c>
      <c r="CH22" s="635">
        <v>1.0586771105562203</v>
      </c>
      <c r="CI22" s="635">
        <v>1.0646201268738078</v>
      </c>
      <c r="CJ22" s="635">
        <v>1.0705965050564994</v>
      </c>
      <c r="CK22" s="635">
        <v>1.0766064323852953</v>
      </c>
      <c r="CL22" s="634">
        <v>0</v>
      </c>
      <c r="CM22" s="634">
        <v>0</v>
      </c>
      <c r="CN22" s="634">
        <v>0</v>
      </c>
      <c r="CO22" s="635">
        <v>0</v>
      </c>
      <c r="CP22" s="635">
        <v>0</v>
      </c>
      <c r="CQ22" s="635">
        <v>0</v>
      </c>
      <c r="CR22" s="635">
        <v>0</v>
      </c>
      <c r="CS22" s="635">
        <v>0</v>
      </c>
      <c r="CT22" s="635">
        <v>0</v>
      </c>
      <c r="CU22" s="635">
        <v>0</v>
      </c>
      <c r="CV22" s="635">
        <v>0</v>
      </c>
      <c r="CW22" s="635">
        <v>0</v>
      </c>
      <c r="CX22" s="635">
        <v>0</v>
      </c>
      <c r="CY22" s="635">
        <v>0</v>
      </c>
      <c r="CZ22" s="635">
        <v>0</v>
      </c>
      <c r="DA22" s="636">
        <v>2.6201071172318193E-3</v>
      </c>
      <c r="DB22" s="636">
        <v>2.6416371104598475E-3</v>
      </c>
      <c r="DC22" s="636">
        <v>2.6633440203510726E-3</v>
      </c>
      <c r="DD22" s="637">
        <v>2.6458337019466191E-3</v>
      </c>
      <c r="DE22" s="637">
        <v>2.6284385062031066E-3</v>
      </c>
      <c r="DF22" s="637">
        <v>2.6473077127069891E-3</v>
      </c>
      <c r="DG22" s="637">
        <v>2.6663123787064032E-3</v>
      </c>
      <c r="DH22" s="637">
        <v>2.6854534766468478E-3</v>
      </c>
      <c r="DI22" s="637">
        <v>2.7047319859548769E-3</v>
      </c>
      <c r="DJ22" s="637">
        <v>2.7241488930882162E-3</v>
      </c>
      <c r="DK22" s="637">
        <v>2.7394412434769522E-3</v>
      </c>
      <c r="DL22" s="637">
        <v>2.7548194393864694E-3</v>
      </c>
      <c r="DM22" s="637">
        <v>2.7702839627213316E-3</v>
      </c>
      <c r="DN22" s="637">
        <v>2.7858352980913333E-3</v>
      </c>
      <c r="DO22" s="637">
        <v>2.8014739328266858E-3</v>
      </c>
      <c r="DP22" s="636">
        <v>0</v>
      </c>
      <c r="DQ22" s="636">
        <v>0</v>
      </c>
      <c r="DR22" s="636">
        <v>0</v>
      </c>
      <c r="DS22" s="637">
        <v>0</v>
      </c>
      <c r="DT22" s="637">
        <v>0</v>
      </c>
      <c r="DU22" s="637">
        <v>0</v>
      </c>
      <c r="DV22" s="637">
        <v>0</v>
      </c>
      <c r="DW22" s="637">
        <v>0</v>
      </c>
      <c r="DX22" s="637">
        <v>0</v>
      </c>
      <c r="DY22" s="637">
        <v>0</v>
      </c>
      <c r="DZ22" s="637">
        <v>0</v>
      </c>
      <c r="EA22" s="637">
        <v>0</v>
      </c>
      <c r="EB22" s="637">
        <v>0</v>
      </c>
      <c r="EC22" s="637">
        <v>0</v>
      </c>
      <c r="ED22" s="637">
        <v>0</v>
      </c>
    </row>
    <row r="23" spans="1:134" ht="15" x14ac:dyDescent="0.25">
      <c r="A23" s="555">
        <v>135</v>
      </c>
      <c r="B23" s="555">
        <v>62</v>
      </c>
      <c r="C23" s="555" t="s">
        <v>1006</v>
      </c>
      <c r="D23" s="812">
        <v>99714</v>
      </c>
      <c r="E23" s="812">
        <v>99714</v>
      </c>
      <c r="F23" s="630" t="s">
        <v>989</v>
      </c>
      <c r="G23" s="45">
        <v>0</v>
      </c>
      <c r="H23" s="45">
        <v>2</v>
      </c>
      <c r="I23" s="45">
        <v>0</v>
      </c>
      <c r="J23" s="45">
        <v>2</v>
      </c>
      <c r="K23" s="45">
        <v>0</v>
      </c>
      <c r="L23" s="45">
        <v>0</v>
      </c>
      <c r="M23" s="45">
        <v>0</v>
      </c>
      <c r="N23" s="45">
        <v>0</v>
      </c>
      <c r="O23" s="45">
        <v>0</v>
      </c>
      <c r="P23" s="45">
        <v>0</v>
      </c>
      <c r="Q23" s="45">
        <v>0</v>
      </c>
      <c r="R23" s="45">
        <v>0</v>
      </c>
      <c r="S23" s="45">
        <v>834.49503068156923</v>
      </c>
      <c r="T23" s="45">
        <v>834.49503068156923</v>
      </c>
      <c r="U23" s="45">
        <v>1408.3846153846155</v>
      </c>
      <c r="V23" s="45">
        <v>0</v>
      </c>
      <c r="W23" s="45">
        <v>0</v>
      </c>
      <c r="X23" s="45">
        <v>1365.173957061457</v>
      </c>
      <c r="Y23" s="45">
        <v>4.5824670824670823E-2</v>
      </c>
      <c r="Z23" s="45">
        <v>1.9515765765765767</v>
      </c>
      <c r="AA23" s="45">
        <v>2.5987525987525989E-3</v>
      </c>
      <c r="AB23" s="508">
        <v>0</v>
      </c>
      <c r="AC23" s="508">
        <v>0</v>
      </c>
      <c r="AD23" s="631">
        <v>2</v>
      </c>
      <c r="AE23" s="632">
        <v>0</v>
      </c>
      <c r="AF23" s="632">
        <v>0</v>
      </c>
      <c r="AG23" s="633">
        <v>0</v>
      </c>
      <c r="AH23" s="632">
        <v>0</v>
      </c>
      <c r="AI23" s="632">
        <v>4.2989500424149923E-2</v>
      </c>
      <c r="AJ23" s="632">
        <v>1.8308326182526915</v>
      </c>
      <c r="AK23" s="632">
        <v>1.8738221186768413</v>
      </c>
      <c r="AL23" s="632">
        <v>2.4379678879480112E-3</v>
      </c>
      <c r="AM23" s="632">
        <v>0</v>
      </c>
      <c r="AN23" s="632">
        <v>0</v>
      </c>
      <c r="AO23" s="632">
        <v>0</v>
      </c>
      <c r="AP23" s="632">
        <v>0</v>
      </c>
      <c r="AQ23" s="632">
        <v>0</v>
      </c>
      <c r="AR23" s="632">
        <v>0</v>
      </c>
      <c r="AS23" s="632">
        <v>1.7578888252978135</v>
      </c>
      <c r="AT23" s="632">
        <v>1.8149300160110562</v>
      </c>
      <c r="AU23" s="632">
        <v>1.8738221186768413</v>
      </c>
      <c r="AV23" s="632">
        <v>1.9346251929645626</v>
      </c>
      <c r="AW23" s="632">
        <v>1.9974012474012475</v>
      </c>
      <c r="AX23" s="632">
        <v>0</v>
      </c>
      <c r="AY23" s="632">
        <v>0</v>
      </c>
      <c r="AZ23" s="632">
        <v>0</v>
      </c>
      <c r="BA23" s="632">
        <v>0</v>
      </c>
      <c r="BB23" s="632">
        <v>0</v>
      </c>
      <c r="BC23" s="632">
        <v>0</v>
      </c>
      <c r="BD23" s="632">
        <v>0</v>
      </c>
      <c r="BE23" s="632">
        <v>0</v>
      </c>
      <c r="BF23" s="632">
        <v>0</v>
      </c>
      <c r="BG23" s="632">
        <v>0</v>
      </c>
      <c r="BH23" s="634">
        <v>2.0138143303043763</v>
      </c>
      <c r="BI23" s="634">
        <v>2.0303622830994388</v>
      </c>
      <c r="BJ23" s="634">
        <v>2.0470462140418344</v>
      </c>
      <c r="BK23" s="635">
        <v>2.0335877833161713</v>
      </c>
      <c r="BL23" s="635">
        <v>2.0202178358677081</v>
      </c>
      <c r="BM23" s="635">
        <v>2.0347207079865921</v>
      </c>
      <c r="BN23" s="635">
        <v>2.0493276942737415</v>
      </c>
      <c r="BO23" s="635">
        <v>2.0640395421507676</v>
      </c>
      <c r="BP23" s="635">
        <v>2.0788570044049184</v>
      </c>
      <c r="BQ23" s="635">
        <v>2.0937808392276027</v>
      </c>
      <c r="BR23" s="635">
        <v>2.1055345397363854</v>
      </c>
      <c r="BS23" s="635">
        <v>2.1173542211124405</v>
      </c>
      <c r="BT23" s="635">
        <v>2.1292402537476156</v>
      </c>
      <c r="BU23" s="635">
        <v>2.1411930101129988</v>
      </c>
      <c r="BV23" s="635">
        <v>2.1532128647705906</v>
      </c>
      <c r="BW23" s="634">
        <v>0</v>
      </c>
      <c r="BX23" s="634">
        <v>0</v>
      </c>
      <c r="BY23" s="634">
        <v>0</v>
      </c>
      <c r="BZ23" s="635">
        <v>0</v>
      </c>
      <c r="CA23" s="635">
        <v>0</v>
      </c>
      <c r="CB23" s="635">
        <v>0</v>
      </c>
      <c r="CC23" s="635">
        <v>0</v>
      </c>
      <c r="CD23" s="635">
        <v>0</v>
      </c>
      <c r="CE23" s="635">
        <v>0</v>
      </c>
      <c r="CF23" s="635">
        <v>0</v>
      </c>
      <c r="CG23" s="635">
        <v>0</v>
      </c>
      <c r="CH23" s="635">
        <v>0</v>
      </c>
      <c r="CI23" s="635">
        <v>0</v>
      </c>
      <c r="CJ23" s="635">
        <v>0</v>
      </c>
      <c r="CK23" s="635">
        <v>0</v>
      </c>
      <c r="CL23" s="634">
        <v>0</v>
      </c>
      <c r="CM23" s="634">
        <v>0</v>
      </c>
      <c r="CN23" s="634">
        <v>0</v>
      </c>
      <c r="CO23" s="635">
        <v>0</v>
      </c>
      <c r="CP23" s="635">
        <v>0</v>
      </c>
      <c r="CQ23" s="635">
        <v>0</v>
      </c>
      <c r="CR23" s="635">
        <v>0</v>
      </c>
      <c r="CS23" s="635">
        <v>0</v>
      </c>
      <c r="CT23" s="635">
        <v>0</v>
      </c>
      <c r="CU23" s="635">
        <v>0</v>
      </c>
      <c r="CV23" s="635">
        <v>0</v>
      </c>
      <c r="CW23" s="635">
        <v>0</v>
      </c>
      <c r="CX23" s="635">
        <v>0</v>
      </c>
      <c r="CY23" s="635">
        <v>0</v>
      </c>
      <c r="CZ23" s="635">
        <v>0</v>
      </c>
      <c r="DA23" s="636">
        <v>2.6201071172318193E-3</v>
      </c>
      <c r="DB23" s="636">
        <v>2.6416371104598475E-3</v>
      </c>
      <c r="DC23" s="636">
        <v>2.6633440203510726E-3</v>
      </c>
      <c r="DD23" s="637">
        <v>2.6458337019466191E-3</v>
      </c>
      <c r="DE23" s="637">
        <v>2.6284385062031066E-3</v>
      </c>
      <c r="DF23" s="637">
        <v>2.6473077127069891E-3</v>
      </c>
      <c r="DG23" s="637">
        <v>2.6663123787064032E-3</v>
      </c>
      <c r="DH23" s="637">
        <v>2.6854534766468478E-3</v>
      </c>
      <c r="DI23" s="637">
        <v>2.7047319859548769E-3</v>
      </c>
      <c r="DJ23" s="637">
        <v>2.7241488930882162E-3</v>
      </c>
      <c r="DK23" s="637">
        <v>2.7394412434769522E-3</v>
      </c>
      <c r="DL23" s="637">
        <v>2.7548194393864694E-3</v>
      </c>
      <c r="DM23" s="637">
        <v>2.7702839627213316E-3</v>
      </c>
      <c r="DN23" s="637">
        <v>2.7858352980913333E-3</v>
      </c>
      <c r="DO23" s="637">
        <v>2.8014739328266858E-3</v>
      </c>
      <c r="DP23" s="636">
        <v>0</v>
      </c>
      <c r="DQ23" s="636">
        <v>0</v>
      </c>
      <c r="DR23" s="636">
        <v>0</v>
      </c>
      <c r="DS23" s="637">
        <v>0</v>
      </c>
      <c r="DT23" s="637">
        <v>0</v>
      </c>
      <c r="DU23" s="637">
        <v>0</v>
      </c>
      <c r="DV23" s="637">
        <v>0</v>
      </c>
      <c r="DW23" s="637">
        <v>0</v>
      </c>
      <c r="DX23" s="637">
        <v>0</v>
      </c>
      <c r="DY23" s="637">
        <v>0</v>
      </c>
      <c r="DZ23" s="637">
        <v>0</v>
      </c>
      <c r="EA23" s="637">
        <v>0</v>
      </c>
      <c r="EB23" s="637">
        <v>0</v>
      </c>
      <c r="EC23" s="637">
        <v>0</v>
      </c>
      <c r="ED23" s="637">
        <v>0</v>
      </c>
    </row>
    <row r="24" spans="1:134" ht="15" x14ac:dyDescent="0.25">
      <c r="A24" s="555">
        <v>137</v>
      </c>
      <c r="B24" s="555">
        <v>62</v>
      </c>
      <c r="C24" s="555" t="s">
        <v>1007</v>
      </c>
      <c r="D24" s="812">
        <v>99714</v>
      </c>
      <c r="E24" s="812">
        <v>99714</v>
      </c>
      <c r="F24" s="630" t="s">
        <v>989</v>
      </c>
      <c r="G24" s="45">
        <v>41</v>
      </c>
      <c r="H24" s="45">
        <v>32</v>
      </c>
      <c r="I24" s="45">
        <v>20</v>
      </c>
      <c r="J24" s="45">
        <v>12</v>
      </c>
      <c r="K24" s="45">
        <v>0</v>
      </c>
      <c r="L24" s="45">
        <v>7</v>
      </c>
      <c r="M24" s="45">
        <v>7</v>
      </c>
      <c r="N24" s="45">
        <v>0</v>
      </c>
      <c r="O24" s="45">
        <v>0</v>
      </c>
      <c r="P24" s="45">
        <v>0</v>
      </c>
      <c r="Q24" s="45">
        <v>7</v>
      </c>
      <c r="R24" s="45">
        <v>0</v>
      </c>
      <c r="S24" s="45">
        <v>1724.1428571428571</v>
      </c>
      <c r="T24" s="45">
        <v>1724.1428571428571</v>
      </c>
      <c r="U24" s="45">
        <v>0</v>
      </c>
      <c r="V24" s="45">
        <v>0</v>
      </c>
      <c r="W24" s="45">
        <v>0</v>
      </c>
      <c r="X24" s="45">
        <v>1724.1428571428571</v>
      </c>
      <c r="Y24" s="45">
        <v>0</v>
      </c>
      <c r="Z24" s="45">
        <v>32</v>
      </c>
      <c r="AA24" s="45">
        <v>0</v>
      </c>
      <c r="AB24" s="508">
        <v>0</v>
      </c>
      <c r="AC24" s="508">
        <v>0</v>
      </c>
      <c r="AD24" s="631">
        <v>32</v>
      </c>
      <c r="AE24" s="632">
        <v>0</v>
      </c>
      <c r="AF24" s="632">
        <v>20</v>
      </c>
      <c r="AG24" s="633">
        <v>20</v>
      </c>
      <c r="AH24" s="632">
        <v>0</v>
      </c>
      <c r="AI24" s="632">
        <v>0</v>
      </c>
      <c r="AJ24" s="632">
        <v>30.02016138503663</v>
      </c>
      <c r="AK24" s="632">
        <v>30.02016138503663</v>
      </c>
      <c r="AL24" s="632">
        <v>0</v>
      </c>
      <c r="AM24" s="632">
        <v>0</v>
      </c>
      <c r="AN24" s="632">
        <v>19.127783954510694</v>
      </c>
      <c r="AO24" s="632">
        <v>19.127783954510694</v>
      </c>
      <c r="AP24" s="632">
        <v>0</v>
      </c>
      <c r="AQ24" s="632">
        <v>0</v>
      </c>
      <c r="AR24" s="632">
        <v>0</v>
      </c>
      <c r="AS24" s="632">
        <v>28.162815299488884</v>
      </c>
      <c r="AT24" s="632">
        <v>29.076661781360578</v>
      </c>
      <c r="AU24" s="632">
        <v>30.02016138503663</v>
      </c>
      <c r="AV24" s="632">
        <v>30.994276315493671</v>
      </c>
      <c r="AW24" s="632">
        <v>32</v>
      </c>
      <c r="AX24" s="632">
        <v>18.29360595052184</v>
      </c>
      <c r="AY24" s="632">
        <v>18.706045610190653</v>
      </c>
      <c r="AZ24" s="632">
        <v>19.127783954510694</v>
      </c>
      <c r="BA24" s="632">
        <v>19.559030627569811</v>
      </c>
      <c r="BB24" s="632">
        <v>20</v>
      </c>
      <c r="BC24" s="632">
        <v>0</v>
      </c>
      <c r="BD24" s="632">
        <v>0</v>
      </c>
      <c r="BE24" s="632">
        <v>0</v>
      </c>
      <c r="BF24" s="632">
        <v>0</v>
      </c>
      <c r="BG24" s="632">
        <v>0</v>
      </c>
      <c r="BH24" s="634">
        <v>32.26295099874573</v>
      </c>
      <c r="BI24" s="634">
        <v>32.528062723358374</v>
      </c>
      <c r="BJ24" s="634">
        <v>32.795352928994966</v>
      </c>
      <c r="BK24" s="635">
        <v>32.57973787228989</v>
      </c>
      <c r="BL24" s="635">
        <v>32.365540389982577</v>
      </c>
      <c r="BM24" s="635">
        <v>32.597888251188785</v>
      </c>
      <c r="BN24" s="635">
        <v>32.831904106439168</v>
      </c>
      <c r="BO24" s="635">
        <v>33.067599930038625</v>
      </c>
      <c r="BP24" s="635">
        <v>33.304987782253974</v>
      </c>
      <c r="BQ24" s="635">
        <v>33.544079809931056</v>
      </c>
      <c r="BR24" s="635">
        <v>33.732383695677797</v>
      </c>
      <c r="BS24" s="635">
        <v>33.921744648829232</v>
      </c>
      <c r="BT24" s="635">
        <v>34.11216860336539</v>
      </c>
      <c r="BU24" s="635">
        <v>34.303661526577436</v>
      </c>
      <c r="BV24" s="635">
        <v>34.496229419254675</v>
      </c>
      <c r="BW24" s="634">
        <v>20.164344374216082</v>
      </c>
      <c r="BX24" s="634">
        <v>20.330039202098984</v>
      </c>
      <c r="BY24" s="634">
        <v>20.497095580621853</v>
      </c>
      <c r="BZ24" s="635">
        <v>20.362336170181177</v>
      </c>
      <c r="CA24" s="635">
        <v>20.228462743739108</v>
      </c>
      <c r="CB24" s="635">
        <v>20.37368015699299</v>
      </c>
      <c r="CC24" s="635">
        <v>20.519940066524477</v>
      </c>
      <c r="CD24" s="635">
        <v>20.667249956274141</v>
      </c>
      <c r="CE24" s="635">
        <v>20.815617363908732</v>
      </c>
      <c r="CF24" s="635">
        <v>20.965049881206909</v>
      </c>
      <c r="CG24" s="635">
        <v>21.082739809798621</v>
      </c>
      <c r="CH24" s="635">
        <v>21.201090405518269</v>
      </c>
      <c r="CI24" s="635">
        <v>21.320105377103367</v>
      </c>
      <c r="CJ24" s="635">
        <v>21.4397884541109</v>
      </c>
      <c r="CK24" s="635">
        <v>21.560143387034174</v>
      </c>
      <c r="CL24" s="634">
        <v>0</v>
      </c>
      <c r="CM24" s="634">
        <v>0</v>
      </c>
      <c r="CN24" s="634">
        <v>0</v>
      </c>
      <c r="CO24" s="635">
        <v>0</v>
      </c>
      <c r="CP24" s="635">
        <v>0</v>
      </c>
      <c r="CQ24" s="635">
        <v>0</v>
      </c>
      <c r="CR24" s="635">
        <v>0</v>
      </c>
      <c r="CS24" s="635">
        <v>0</v>
      </c>
      <c r="CT24" s="635">
        <v>0</v>
      </c>
      <c r="CU24" s="635">
        <v>0</v>
      </c>
      <c r="CV24" s="635">
        <v>0</v>
      </c>
      <c r="CW24" s="635">
        <v>0</v>
      </c>
      <c r="CX24" s="635">
        <v>0</v>
      </c>
      <c r="CY24" s="635">
        <v>0</v>
      </c>
      <c r="CZ24" s="635">
        <v>0</v>
      </c>
      <c r="DA24" s="636">
        <v>0</v>
      </c>
      <c r="DB24" s="636">
        <v>0</v>
      </c>
      <c r="DC24" s="636">
        <v>0</v>
      </c>
      <c r="DD24" s="637">
        <v>0</v>
      </c>
      <c r="DE24" s="637">
        <v>0</v>
      </c>
      <c r="DF24" s="637">
        <v>0</v>
      </c>
      <c r="DG24" s="637">
        <v>0</v>
      </c>
      <c r="DH24" s="637">
        <v>0</v>
      </c>
      <c r="DI24" s="637">
        <v>0</v>
      </c>
      <c r="DJ24" s="637">
        <v>0</v>
      </c>
      <c r="DK24" s="637">
        <v>0</v>
      </c>
      <c r="DL24" s="637">
        <v>0</v>
      </c>
      <c r="DM24" s="637">
        <v>0</v>
      </c>
      <c r="DN24" s="637">
        <v>0</v>
      </c>
      <c r="DO24" s="637">
        <v>0</v>
      </c>
      <c r="DP24" s="636">
        <v>0</v>
      </c>
      <c r="DQ24" s="636">
        <v>0</v>
      </c>
      <c r="DR24" s="636">
        <v>0</v>
      </c>
      <c r="DS24" s="637">
        <v>0</v>
      </c>
      <c r="DT24" s="637">
        <v>0</v>
      </c>
      <c r="DU24" s="637">
        <v>0</v>
      </c>
      <c r="DV24" s="637">
        <v>0</v>
      </c>
      <c r="DW24" s="637">
        <v>0</v>
      </c>
      <c r="DX24" s="637">
        <v>0</v>
      </c>
      <c r="DY24" s="637">
        <v>0</v>
      </c>
      <c r="DZ24" s="637">
        <v>0</v>
      </c>
      <c r="EA24" s="637">
        <v>0</v>
      </c>
      <c r="EB24" s="637">
        <v>0</v>
      </c>
      <c r="EC24" s="637">
        <v>0</v>
      </c>
      <c r="ED24" s="637">
        <v>0</v>
      </c>
    </row>
    <row r="25" spans="1:134" ht="15" x14ac:dyDescent="0.25">
      <c r="A25" s="555">
        <v>138</v>
      </c>
      <c r="B25" s="555">
        <v>62</v>
      </c>
      <c r="C25" s="555" t="s">
        <v>1008</v>
      </c>
      <c r="D25" s="812">
        <v>99714</v>
      </c>
      <c r="E25" s="812">
        <v>99714</v>
      </c>
      <c r="F25" s="630" t="s">
        <v>989</v>
      </c>
      <c r="G25" s="45">
        <v>30</v>
      </c>
      <c r="H25" s="45">
        <v>12</v>
      </c>
      <c r="I25" s="45">
        <v>12</v>
      </c>
      <c r="J25" s="45">
        <v>0</v>
      </c>
      <c r="K25" s="45">
        <v>0</v>
      </c>
      <c r="L25" s="45">
        <v>21</v>
      </c>
      <c r="M25" s="45">
        <v>21</v>
      </c>
      <c r="N25" s="45">
        <v>1</v>
      </c>
      <c r="O25" s="45">
        <v>0</v>
      </c>
      <c r="P25" s="45">
        <v>0</v>
      </c>
      <c r="Q25" s="45">
        <v>22</v>
      </c>
      <c r="R25" s="45">
        <v>0</v>
      </c>
      <c r="S25" s="45">
        <v>1653.047619047619</v>
      </c>
      <c r="T25" s="45">
        <v>1653.047619047619</v>
      </c>
      <c r="U25" s="45">
        <v>7420</v>
      </c>
      <c r="V25" s="45">
        <v>0</v>
      </c>
      <c r="W25" s="45">
        <v>0</v>
      </c>
      <c r="X25" s="45">
        <v>1915.1818181818182</v>
      </c>
      <c r="Y25" s="45">
        <v>0</v>
      </c>
      <c r="Z25" s="45">
        <v>12</v>
      </c>
      <c r="AA25" s="45">
        <v>0</v>
      </c>
      <c r="AB25" s="508">
        <v>1</v>
      </c>
      <c r="AC25" s="508">
        <v>0</v>
      </c>
      <c r="AD25" s="631">
        <v>13</v>
      </c>
      <c r="AE25" s="632">
        <v>0</v>
      </c>
      <c r="AF25" s="632">
        <v>12</v>
      </c>
      <c r="AG25" s="633">
        <v>12</v>
      </c>
      <c r="AH25" s="632">
        <v>0</v>
      </c>
      <c r="AI25" s="632">
        <v>0</v>
      </c>
      <c r="AJ25" s="632">
        <v>11.257560519388736</v>
      </c>
      <c r="AK25" s="632">
        <v>11.257560519388736</v>
      </c>
      <c r="AL25" s="632">
        <v>0</v>
      </c>
      <c r="AM25" s="632">
        <v>0</v>
      </c>
      <c r="AN25" s="632">
        <v>11.476670372706417</v>
      </c>
      <c r="AO25" s="632">
        <v>11.476670372706417</v>
      </c>
      <c r="AP25" s="632">
        <v>0</v>
      </c>
      <c r="AQ25" s="632">
        <v>0.96638421298841071</v>
      </c>
      <c r="AR25" s="632">
        <v>0</v>
      </c>
      <c r="AS25" s="632">
        <v>10.561055737308331</v>
      </c>
      <c r="AT25" s="632">
        <v>10.903748168010218</v>
      </c>
      <c r="AU25" s="632">
        <v>11.257560519388736</v>
      </c>
      <c r="AV25" s="632">
        <v>11.622853618310128</v>
      </c>
      <c r="AW25" s="632">
        <v>12</v>
      </c>
      <c r="AX25" s="632">
        <v>10.976163570313105</v>
      </c>
      <c r="AY25" s="632">
        <v>11.223627366114393</v>
      </c>
      <c r="AZ25" s="632">
        <v>11.476670372706417</v>
      </c>
      <c r="BA25" s="632">
        <v>11.735418376541887</v>
      </c>
      <c r="BB25" s="632">
        <v>12</v>
      </c>
      <c r="BC25" s="632">
        <v>0.93389844711322989</v>
      </c>
      <c r="BD25" s="632">
        <v>0.95000248200971427</v>
      </c>
      <c r="BE25" s="632">
        <v>0.96638421298841071</v>
      </c>
      <c r="BF25" s="632">
        <v>0.98304842860787411</v>
      </c>
      <c r="BG25" s="632">
        <v>1</v>
      </c>
      <c r="BH25" s="634">
        <v>12.136323512223782</v>
      </c>
      <c r="BI25" s="634">
        <v>12.274195699446317</v>
      </c>
      <c r="BJ25" s="634">
        <v>12.413634155068863</v>
      </c>
      <c r="BK25" s="635">
        <v>12.332019956921451</v>
      </c>
      <c r="BL25" s="635">
        <v>12.250942336319023</v>
      </c>
      <c r="BM25" s="635">
        <v>12.338890203566292</v>
      </c>
      <c r="BN25" s="635">
        <v>12.4274694367233</v>
      </c>
      <c r="BO25" s="635">
        <v>12.516684568280995</v>
      </c>
      <c r="BP25" s="635">
        <v>12.606540163268463</v>
      </c>
      <c r="BQ25" s="635">
        <v>12.697040819486523</v>
      </c>
      <c r="BR25" s="635">
        <v>12.768317245530755</v>
      </c>
      <c r="BS25" s="635">
        <v>12.839993790703675</v>
      </c>
      <c r="BT25" s="635">
        <v>12.912072701124041</v>
      </c>
      <c r="BU25" s="635">
        <v>12.984556235519472</v>
      </c>
      <c r="BV25" s="635">
        <v>13.057446665297235</v>
      </c>
      <c r="BW25" s="634">
        <v>12.136323512223782</v>
      </c>
      <c r="BX25" s="634">
        <v>12.274195699446317</v>
      </c>
      <c r="BY25" s="634">
        <v>12.413634155068863</v>
      </c>
      <c r="BZ25" s="635">
        <v>12.332019956921451</v>
      </c>
      <c r="CA25" s="635">
        <v>12.250942336319023</v>
      </c>
      <c r="CB25" s="635">
        <v>12.338890203566292</v>
      </c>
      <c r="CC25" s="635">
        <v>12.4274694367233</v>
      </c>
      <c r="CD25" s="635">
        <v>12.516684568280995</v>
      </c>
      <c r="CE25" s="635">
        <v>12.606540163268463</v>
      </c>
      <c r="CF25" s="635">
        <v>12.697040819486523</v>
      </c>
      <c r="CG25" s="635">
        <v>12.768317245530755</v>
      </c>
      <c r="CH25" s="635">
        <v>12.839993790703675</v>
      </c>
      <c r="CI25" s="635">
        <v>12.912072701124041</v>
      </c>
      <c r="CJ25" s="635">
        <v>12.984556235519472</v>
      </c>
      <c r="CK25" s="635">
        <v>13.057446665297235</v>
      </c>
      <c r="CL25" s="634">
        <v>1.0113602926853151</v>
      </c>
      <c r="CM25" s="634">
        <v>1.0228496416205264</v>
      </c>
      <c r="CN25" s="634">
        <v>1.0344695129224053</v>
      </c>
      <c r="CO25" s="635">
        <v>1.0276683297434543</v>
      </c>
      <c r="CP25" s="635">
        <v>1.0209118613599186</v>
      </c>
      <c r="CQ25" s="635">
        <v>1.0282408502971909</v>
      </c>
      <c r="CR25" s="635">
        <v>1.0356224530602751</v>
      </c>
      <c r="CS25" s="635">
        <v>1.0430570473567498</v>
      </c>
      <c r="CT25" s="635">
        <v>1.0505450136057053</v>
      </c>
      <c r="CU25" s="635">
        <v>1.0580867349572103</v>
      </c>
      <c r="CV25" s="635">
        <v>1.064026437127563</v>
      </c>
      <c r="CW25" s="635">
        <v>1.0699994825586396</v>
      </c>
      <c r="CX25" s="635">
        <v>1.0760060584270035</v>
      </c>
      <c r="CY25" s="635">
        <v>1.0820463529599562</v>
      </c>
      <c r="CZ25" s="635">
        <v>1.0881205554414362</v>
      </c>
      <c r="DA25" s="636">
        <v>0</v>
      </c>
      <c r="DB25" s="636">
        <v>0</v>
      </c>
      <c r="DC25" s="636">
        <v>0</v>
      </c>
      <c r="DD25" s="637">
        <v>0</v>
      </c>
      <c r="DE25" s="637">
        <v>0</v>
      </c>
      <c r="DF25" s="637">
        <v>0</v>
      </c>
      <c r="DG25" s="637">
        <v>0</v>
      </c>
      <c r="DH25" s="637">
        <v>0</v>
      </c>
      <c r="DI25" s="637">
        <v>0</v>
      </c>
      <c r="DJ25" s="637">
        <v>0</v>
      </c>
      <c r="DK25" s="637">
        <v>0</v>
      </c>
      <c r="DL25" s="637">
        <v>0</v>
      </c>
      <c r="DM25" s="637">
        <v>0</v>
      </c>
      <c r="DN25" s="637">
        <v>0</v>
      </c>
      <c r="DO25" s="637">
        <v>0</v>
      </c>
      <c r="DP25" s="636">
        <v>0</v>
      </c>
      <c r="DQ25" s="636">
        <v>0</v>
      </c>
      <c r="DR25" s="636">
        <v>0</v>
      </c>
      <c r="DS25" s="637">
        <v>0</v>
      </c>
      <c r="DT25" s="637">
        <v>0</v>
      </c>
      <c r="DU25" s="637">
        <v>0</v>
      </c>
      <c r="DV25" s="637">
        <v>0</v>
      </c>
      <c r="DW25" s="637">
        <v>0</v>
      </c>
      <c r="DX25" s="637">
        <v>0</v>
      </c>
      <c r="DY25" s="637">
        <v>0</v>
      </c>
      <c r="DZ25" s="637">
        <v>0</v>
      </c>
      <c r="EA25" s="637">
        <v>0</v>
      </c>
      <c r="EB25" s="637">
        <v>0</v>
      </c>
      <c r="EC25" s="637">
        <v>0</v>
      </c>
      <c r="ED25" s="637">
        <v>0</v>
      </c>
    </row>
    <row r="26" spans="1:134" ht="15" x14ac:dyDescent="0.25">
      <c r="A26" s="555">
        <v>137</v>
      </c>
      <c r="B26" s="555">
        <v>63</v>
      </c>
      <c r="C26" s="555" t="s">
        <v>1009</v>
      </c>
      <c r="D26" s="812">
        <v>99714</v>
      </c>
      <c r="E26" s="812">
        <v>99714</v>
      </c>
      <c r="F26" s="630" t="s">
        <v>989</v>
      </c>
      <c r="G26" s="45">
        <v>3</v>
      </c>
      <c r="H26" s="45">
        <v>10</v>
      </c>
      <c r="I26" s="45">
        <v>1</v>
      </c>
      <c r="J26" s="45">
        <v>9</v>
      </c>
      <c r="K26" s="45">
        <v>0</v>
      </c>
      <c r="L26" s="45">
        <v>24</v>
      </c>
      <c r="M26" s="45">
        <v>24</v>
      </c>
      <c r="N26" s="45">
        <v>0</v>
      </c>
      <c r="O26" s="45">
        <v>0</v>
      </c>
      <c r="P26" s="45">
        <v>0</v>
      </c>
      <c r="Q26" s="45">
        <v>24</v>
      </c>
      <c r="R26" s="45">
        <v>0</v>
      </c>
      <c r="S26" s="45">
        <v>1057.625</v>
      </c>
      <c r="T26" s="45">
        <v>1057.625</v>
      </c>
      <c r="U26" s="45">
        <v>0</v>
      </c>
      <c r="V26" s="45">
        <v>0</v>
      </c>
      <c r="W26" s="45">
        <v>0</v>
      </c>
      <c r="X26" s="45">
        <v>1057.625</v>
      </c>
      <c r="Y26" s="45">
        <v>0</v>
      </c>
      <c r="Z26" s="45">
        <v>10</v>
      </c>
      <c r="AA26" s="45">
        <v>0</v>
      </c>
      <c r="AB26" s="508">
        <v>0</v>
      </c>
      <c r="AC26" s="508">
        <v>0</v>
      </c>
      <c r="AD26" s="631">
        <v>10</v>
      </c>
      <c r="AE26" s="632">
        <v>0</v>
      </c>
      <c r="AF26" s="632">
        <v>1</v>
      </c>
      <c r="AG26" s="633">
        <v>1</v>
      </c>
      <c r="AH26" s="632">
        <v>0</v>
      </c>
      <c r="AI26" s="632">
        <v>0</v>
      </c>
      <c r="AJ26" s="632">
        <v>9.3813004328239469</v>
      </c>
      <c r="AK26" s="632">
        <v>9.3813004328239469</v>
      </c>
      <c r="AL26" s="632">
        <v>0</v>
      </c>
      <c r="AM26" s="632">
        <v>0</v>
      </c>
      <c r="AN26" s="632">
        <v>0.95638919772553477</v>
      </c>
      <c r="AO26" s="632">
        <v>0.95638919772553477</v>
      </c>
      <c r="AP26" s="632">
        <v>0</v>
      </c>
      <c r="AQ26" s="632">
        <v>0</v>
      </c>
      <c r="AR26" s="632">
        <v>0</v>
      </c>
      <c r="AS26" s="632">
        <v>8.8008797810902752</v>
      </c>
      <c r="AT26" s="632">
        <v>9.0864568066751801</v>
      </c>
      <c r="AU26" s="632">
        <v>9.3813004328239469</v>
      </c>
      <c r="AV26" s="632">
        <v>9.6857113485917736</v>
      </c>
      <c r="AW26" s="632">
        <v>10</v>
      </c>
      <c r="AX26" s="632">
        <v>0.91468029752609203</v>
      </c>
      <c r="AY26" s="632">
        <v>0.93530228050953268</v>
      </c>
      <c r="AZ26" s="632">
        <v>0.95638919772553477</v>
      </c>
      <c r="BA26" s="632">
        <v>0.97795153137849056</v>
      </c>
      <c r="BB26" s="632">
        <v>1</v>
      </c>
      <c r="BC26" s="632">
        <v>0</v>
      </c>
      <c r="BD26" s="632">
        <v>0</v>
      </c>
      <c r="BE26" s="632">
        <v>0</v>
      </c>
      <c r="BF26" s="632">
        <v>0</v>
      </c>
      <c r="BG26" s="632">
        <v>0</v>
      </c>
      <c r="BH26" s="634">
        <v>10.113602926853151</v>
      </c>
      <c r="BI26" s="634">
        <v>10.228496416205264</v>
      </c>
      <c r="BJ26" s="634">
        <v>10.344695129224053</v>
      </c>
      <c r="BK26" s="635">
        <v>10.276683297434545</v>
      </c>
      <c r="BL26" s="635">
        <v>10.209118613599186</v>
      </c>
      <c r="BM26" s="635">
        <v>10.282408502971911</v>
      </c>
      <c r="BN26" s="635">
        <v>10.35622453060275</v>
      </c>
      <c r="BO26" s="635">
        <v>10.430570473567498</v>
      </c>
      <c r="BP26" s="635">
        <v>10.505450136057053</v>
      </c>
      <c r="BQ26" s="635">
        <v>10.580867349572104</v>
      </c>
      <c r="BR26" s="635">
        <v>10.640264371275629</v>
      </c>
      <c r="BS26" s="635">
        <v>10.699994825586398</v>
      </c>
      <c r="BT26" s="635">
        <v>10.760060584270036</v>
      </c>
      <c r="BU26" s="635">
        <v>10.820463529599563</v>
      </c>
      <c r="BV26" s="635">
        <v>10.881205554414363</v>
      </c>
      <c r="BW26" s="634">
        <v>1.0113602926853151</v>
      </c>
      <c r="BX26" s="634">
        <v>1.0228496416205264</v>
      </c>
      <c r="BY26" s="634">
        <v>1.0344695129224053</v>
      </c>
      <c r="BZ26" s="635">
        <v>1.0276683297434543</v>
      </c>
      <c r="CA26" s="635">
        <v>1.0209118613599186</v>
      </c>
      <c r="CB26" s="635">
        <v>1.0282408502971909</v>
      </c>
      <c r="CC26" s="635">
        <v>1.0356224530602751</v>
      </c>
      <c r="CD26" s="635">
        <v>1.0430570473567498</v>
      </c>
      <c r="CE26" s="635">
        <v>1.0505450136057053</v>
      </c>
      <c r="CF26" s="635">
        <v>1.0580867349572103</v>
      </c>
      <c r="CG26" s="635">
        <v>1.064026437127563</v>
      </c>
      <c r="CH26" s="635">
        <v>1.0699994825586396</v>
      </c>
      <c r="CI26" s="635">
        <v>1.0760060584270035</v>
      </c>
      <c r="CJ26" s="635">
        <v>1.0820463529599562</v>
      </c>
      <c r="CK26" s="635">
        <v>1.0881205554414362</v>
      </c>
      <c r="CL26" s="634">
        <v>0</v>
      </c>
      <c r="CM26" s="634">
        <v>0</v>
      </c>
      <c r="CN26" s="634">
        <v>0</v>
      </c>
      <c r="CO26" s="635">
        <v>0</v>
      </c>
      <c r="CP26" s="635">
        <v>0</v>
      </c>
      <c r="CQ26" s="635">
        <v>0</v>
      </c>
      <c r="CR26" s="635">
        <v>0</v>
      </c>
      <c r="CS26" s="635">
        <v>0</v>
      </c>
      <c r="CT26" s="635">
        <v>0</v>
      </c>
      <c r="CU26" s="635">
        <v>0</v>
      </c>
      <c r="CV26" s="635">
        <v>0</v>
      </c>
      <c r="CW26" s="635">
        <v>0</v>
      </c>
      <c r="CX26" s="635">
        <v>0</v>
      </c>
      <c r="CY26" s="635">
        <v>0</v>
      </c>
      <c r="CZ26" s="635">
        <v>0</v>
      </c>
      <c r="DA26" s="636">
        <v>0</v>
      </c>
      <c r="DB26" s="636">
        <v>0</v>
      </c>
      <c r="DC26" s="636">
        <v>0</v>
      </c>
      <c r="DD26" s="637">
        <v>0</v>
      </c>
      <c r="DE26" s="637">
        <v>0</v>
      </c>
      <c r="DF26" s="637">
        <v>0</v>
      </c>
      <c r="DG26" s="637">
        <v>0</v>
      </c>
      <c r="DH26" s="637">
        <v>0</v>
      </c>
      <c r="DI26" s="637">
        <v>0</v>
      </c>
      <c r="DJ26" s="637">
        <v>0</v>
      </c>
      <c r="DK26" s="637">
        <v>0</v>
      </c>
      <c r="DL26" s="637">
        <v>0</v>
      </c>
      <c r="DM26" s="637">
        <v>0</v>
      </c>
      <c r="DN26" s="637">
        <v>0</v>
      </c>
      <c r="DO26" s="637">
        <v>0</v>
      </c>
      <c r="DP26" s="636">
        <v>0</v>
      </c>
      <c r="DQ26" s="636">
        <v>0</v>
      </c>
      <c r="DR26" s="636">
        <v>0</v>
      </c>
      <c r="DS26" s="637">
        <v>0</v>
      </c>
      <c r="DT26" s="637">
        <v>0</v>
      </c>
      <c r="DU26" s="637">
        <v>0</v>
      </c>
      <c r="DV26" s="637">
        <v>0</v>
      </c>
      <c r="DW26" s="637">
        <v>0</v>
      </c>
      <c r="DX26" s="637">
        <v>0</v>
      </c>
      <c r="DY26" s="637">
        <v>0</v>
      </c>
      <c r="DZ26" s="637">
        <v>0</v>
      </c>
      <c r="EA26" s="637">
        <v>0</v>
      </c>
      <c r="EB26" s="637">
        <v>0</v>
      </c>
      <c r="EC26" s="637">
        <v>0</v>
      </c>
      <c r="ED26" s="637">
        <v>0</v>
      </c>
    </row>
    <row r="27" spans="1:134" ht="15" x14ac:dyDescent="0.25">
      <c r="A27" s="555">
        <v>138</v>
      </c>
      <c r="B27" s="555">
        <v>63</v>
      </c>
      <c r="C27" s="555" t="s">
        <v>1010</v>
      </c>
      <c r="D27" s="812">
        <v>99714</v>
      </c>
      <c r="E27" s="812">
        <v>99714</v>
      </c>
      <c r="F27" s="630" t="s">
        <v>989</v>
      </c>
      <c r="G27" s="45">
        <v>7</v>
      </c>
      <c r="H27" s="45">
        <v>7</v>
      </c>
      <c r="I27" s="45">
        <v>6</v>
      </c>
      <c r="J27" s="45">
        <v>1</v>
      </c>
      <c r="K27" s="45">
        <v>0</v>
      </c>
      <c r="L27" s="45">
        <v>11</v>
      </c>
      <c r="M27" s="45">
        <v>11</v>
      </c>
      <c r="N27" s="45">
        <v>2</v>
      </c>
      <c r="O27" s="45">
        <v>0</v>
      </c>
      <c r="P27" s="45">
        <v>0</v>
      </c>
      <c r="Q27" s="45">
        <v>13</v>
      </c>
      <c r="R27" s="45">
        <v>0</v>
      </c>
      <c r="S27" s="45">
        <v>1943.2727272727273</v>
      </c>
      <c r="T27" s="45">
        <v>1943.2727272727273</v>
      </c>
      <c r="U27" s="45">
        <v>4367</v>
      </c>
      <c r="V27" s="45">
        <v>0</v>
      </c>
      <c r="W27" s="45">
        <v>0</v>
      </c>
      <c r="X27" s="45">
        <v>2316.1538461538462</v>
      </c>
      <c r="Y27" s="45">
        <v>0</v>
      </c>
      <c r="Z27" s="45">
        <v>7</v>
      </c>
      <c r="AA27" s="45">
        <v>0</v>
      </c>
      <c r="AB27" s="508">
        <v>2</v>
      </c>
      <c r="AC27" s="508">
        <v>0</v>
      </c>
      <c r="AD27" s="631">
        <v>9</v>
      </c>
      <c r="AE27" s="632">
        <v>0</v>
      </c>
      <c r="AF27" s="632">
        <v>6</v>
      </c>
      <c r="AG27" s="633">
        <v>6</v>
      </c>
      <c r="AH27" s="632">
        <v>0</v>
      </c>
      <c r="AI27" s="632">
        <v>0</v>
      </c>
      <c r="AJ27" s="632">
        <v>6.5669103029767628</v>
      </c>
      <c r="AK27" s="632">
        <v>6.5669103029767628</v>
      </c>
      <c r="AL27" s="632">
        <v>0</v>
      </c>
      <c r="AM27" s="632">
        <v>0</v>
      </c>
      <c r="AN27" s="632">
        <v>5.7383351863532086</v>
      </c>
      <c r="AO27" s="632">
        <v>5.7383351863532086</v>
      </c>
      <c r="AP27" s="632">
        <v>0</v>
      </c>
      <c r="AQ27" s="632">
        <v>1.9327684259768214</v>
      </c>
      <c r="AR27" s="632">
        <v>0</v>
      </c>
      <c r="AS27" s="632">
        <v>6.1606158467631928</v>
      </c>
      <c r="AT27" s="632">
        <v>6.3605197646726266</v>
      </c>
      <c r="AU27" s="632">
        <v>6.5669103029767628</v>
      </c>
      <c r="AV27" s="632">
        <v>6.7799979440142408</v>
      </c>
      <c r="AW27" s="632">
        <v>7</v>
      </c>
      <c r="AX27" s="632">
        <v>5.4880817851565524</v>
      </c>
      <c r="AY27" s="632">
        <v>5.6118136830571963</v>
      </c>
      <c r="AZ27" s="632">
        <v>5.7383351863532086</v>
      </c>
      <c r="BA27" s="632">
        <v>5.8677091882709433</v>
      </c>
      <c r="BB27" s="632">
        <v>6</v>
      </c>
      <c r="BC27" s="632">
        <v>1.8677968942264598</v>
      </c>
      <c r="BD27" s="632">
        <v>1.9000049640194285</v>
      </c>
      <c r="BE27" s="632">
        <v>1.9327684259768214</v>
      </c>
      <c r="BF27" s="632">
        <v>1.9660968572157482</v>
      </c>
      <c r="BG27" s="632">
        <v>2</v>
      </c>
      <c r="BH27" s="634">
        <v>7.0795220487972061</v>
      </c>
      <c r="BI27" s="634">
        <v>7.1599474913436847</v>
      </c>
      <c r="BJ27" s="634">
        <v>7.2412865904568369</v>
      </c>
      <c r="BK27" s="635">
        <v>7.1936783082041806</v>
      </c>
      <c r="BL27" s="635">
        <v>7.1463830295194297</v>
      </c>
      <c r="BM27" s="635">
        <v>7.1976859520803371</v>
      </c>
      <c r="BN27" s="635">
        <v>7.2493571714219254</v>
      </c>
      <c r="BO27" s="635">
        <v>7.3013993314972474</v>
      </c>
      <c r="BP27" s="635">
        <v>7.3538150952399368</v>
      </c>
      <c r="BQ27" s="635">
        <v>7.4066071447004722</v>
      </c>
      <c r="BR27" s="635">
        <v>7.44818505989294</v>
      </c>
      <c r="BS27" s="635">
        <v>7.4899963779104777</v>
      </c>
      <c r="BT27" s="635">
        <v>7.5320424089890246</v>
      </c>
      <c r="BU27" s="635">
        <v>7.5743244707196924</v>
      </c>
      <c r="BV27" s="635">
        <v>7.6168438880900533</v>
      </c>
      <c r="BW27" s="634">
        <v>6.0681617561118912</v>
      </c>
      <c r="BX27" s="634">
        <v>6.1370978497231583</v>
      </c>
      <c r="BY27" s="634">
        <v>6.2068170775344313</v>
      </c>
      <c r="BZ27" s="635">
        <v>6.1660099784607256</v>
      </c>
      <c r="CA27" s="635">
        <v>6.1254711681595113</v>
      </c>
      <c r="CB27" s="635">
        <v>6.169445101783146</v>
      </c>
      <c r="CC27" s="635">
        <v>6.2137347183616498</v>
      </c>
      <c r="CD27" s="635">
        <v>6.2583422841404976</v>
      </c>
      <c r="CE27" s="635">
        <v>6.3032700816342313</v>
      </c>
      <c r="CF27" s="635">
        <v>6.3485204097432613</v>
      </c>
      <c r="CG27" s="635">
        <v>6.3841586227653773</v>
      </c>
      <c r="CH27" s="635">
        <v>6.4199968953518374</v>
      </c>
      <c r="CI27" s="635">
        <v>6.4560363505620204</v>
      </c>
      <c r="CJ27" s="635">
        <v>6.492278117759736</v>
      </c>
      <c r="CK27" s="635">
        <v>6.5287233326486174</v>
      </c>
      <c r="CL27" s="634">
        <v>2.0227205853706303</v>
      </c>
      <c r="CM27" s="634">
        <v>2.0456992832410528</v>
      </c>
      <c r="CN27" s="634">
        <v>2.0689390258448106</v>
      </c>
      <c r="CO27" s="635">
        <v>2.0553366594869087</v>
      </c>
      <c r="CP27" s="635">
        <v>2.0418237227198373</v>
      </c>
      <c r="CQ27" s="635">
        <v>2.0564817005943818</v>
      </c>
      <c r="CR27" s="635">
        <v>2.0712449061205502</v>
      </c>
      <c r="CS27" s="635">
        <v>2.0861140947134995</v>
      </c>
      <c r="CT27" s="635">
        <v>2.1010900272114106</v>
      </c>
      <c r="CU27" s="635">
        <v>2.1161734699144206</v>
      </c>
      <c r="CV27" s="635">
        <v>2.1280528742551259</v>
      </c>
      <c r="CW27" s="635">
        <v>2.1399989651172793</v>
      </c>
      <c r="CX27" s="635">
        <v>2.152012116854007</v>
      </c>
      <c r="CY27" s="635">
        <v>2.1640927059199124</v>
      </c>
      <c r="CZ27" s="635">
        <v>2.1762411108828723</v>
      </c>
      <c r="DA27" s="636">
        <v>0</v>
      </c>
      <c r="DB27" s="636">
        <v>0</v>
      </c>
      <c r="DC27" s="636">
        <v>0</v>
      </c>
      <c r="DD27" s="637">
        <v>0</v>
      </c>
      <c r="DE27" s="637">
        <v>0</v>
      </c>
      <c r="DF27" s="637">
        <v>0</v>
      </c>
      <c r="DG27" s="637">
        <v>0</v>
      </c>
      <c r="DH27" s="637">
        <v>0</v>
      </c>
      <c r="DI27" s="637">
        <v>0</v>
      </c>
      <c r="DJ27" s="637">
        <v>0</v>
      </c>
      <c r="DK27" s="637">
        <v>0</v>
      </c>
      <c r="DL27" s="637">
        <v>0</v>
      </c>
      <c r="DM27" s="637">
        <v>0</v>
      </c>
      <c r="DN27" s="637">
        <v>0</v>
      </c>
      <c r="DO27" s="637">
        <v>0</v>
      </c>
      <c r="DP27" s="636">
        <v>0</v>
      </c>
      <c r="DQ27" s="636">
        <v>0</v>
      </c>
      <c r="DR27" s="636">
        <v>0</v>
      </c>
      <c r="DS27" s="637">
        <v>0</v>
      </c>
      <c r="DT27" s="637">
        <v>0</v>
      </c>
      <c r="DU27" s="637">
        <v>0</v>
      </c>
      <c r="DV27" s="637">
        <v>0</v>
      </c>
      <c r="DW27" s="637">
        <v>0</v>
      </c>
      <c r="DX27" s="637">
        <v>0</v>
      </c>
      <c r="DY27" s="637">
        <v>0</v>
      </c>
      <c r="DZ27" s="637">
        <v>0</v>
      </c>
      <c r="EA27" s="637">
        <v>0</v>
      </c>
      <c r="EB27" s="637">
        <v>0</v>
      </c>
      <c r="EC27" s="637">
        <v>0</v>
      </c>
      <c r="ED27" s="637">
        <v>0</v>
      </c>
    </row>
    <row r="28" spans="1:134" ht="15" x14ac:dyDescent="0.25">
      <c r="A28" s="555">
        <v>136</v>
      </c>
      <c r="B28" s="555">
        <v>64</v>
      </c>
      <c r="C28" s="555" t="s">
        <v>1011</v>
      </c>
      <c r="D28" s="812">
        <v>99714</v>
      </c>
      <c r="E28" s="812">
        <v>99714</v>
      </c>
      <c r="F28" s="630" t="s">
        <v>989</v>
      </c>
      <c r="G28" s="45">
        <v>2</v>
      </c>
      <c r="H28" s="45">
        <v>1</v>
      </c>
      <c r="I28" s="45">
        <v>1</v>
      </c>
      <c r="J28" s="45">
        <v>0</v>
      </c>
      <c r="K28" s="45">
        <v>0</v>
      </c>
      <c r="L28" s="45">
        <v>3</v>
      </c>
      <c r="M28" s="45">
        <v>3</v>
      </c>
      <c r="N28" s="45">
        <v>0</v>
      </c>
      <c r="O28" s="45">
        <v>0</v>
      </c>
      <c r="P28" s="45">
        <v>0</v>
      </c>
      <c r="Q28" s="45">
        <v>3</v>
      </c>
      <c r="R28" s="45">
        <v>0</v>
      </c>
      <c r="S28" s="45">
        <v>2031.3333333333333</v>
      </c>
      <c r="T28" s="45">
        <v>2031.3333333333333</v>
      </c>
      <c r="U28" s="45">
        <v>0</v>
      </c>
      <c r="V28" s="45">
        <v>0</v>
      </c>
      <c r="W28" s="45">
        <v>0</v>
      </c>
      <c r="X28" s="45">
        <v>2031.3333333333333</v>
      </c>
      <c r="Y28" s="45">
        <v>0</v>
      </c>
      <c r="Z28" s="45">
        <v>1</v>
      </c>
      <c r="AA28" s="45">
        <v>0</v>
      </c>
      <c r="AB28" s="508">
        <v>0</v>
      </c>
      <c r="AC28" s="508">
        <v>0</v>
      </c>
      <c r="AD28" s="631">
        <v>1</v>
      </c>
      <c r="AE28" s="632">
        <v>0</v>
      </c>
      <c r="AF28" s="632">
        <v>1</v>
      </c>
      <c r="AG28" s="633">
        <v>1</v>
      </c>
      <c r="AH28" s="632">
        <v>0</v>
      </c>
      <c r="AI28" s="632">
        <v>0</v>
      </c>
      <c r="AJ28" s="632">
        <v>0.93813004328239469</v>
      </c>
      <c r="AK28" s="632">
        <v>0.93813004328239469</v>
      </c>
      <c r="AL28" s="632">
        <v>0</v>
      </c>
      <c r="AM28" s="632">
        <v>0</v>
      </c>
      <c r="AN28" s="632">
        <v>0.95638919772553477</v>
      </c>
      <c r="AO28" s="632">
        <v>0.95638919772553477</v>
      </c>
      <c r="AP28" s="632">
        <v>0</v>
      </c>
      <c r="AQ28" s="632">
        <v>0</v>
      </c>
      <c r="AR28" s="632">
        <v>0</v>
      </c>
      <c r="AS28" s="632">
        <v>0.88008797810902761</v>
      </c>
      <c r="AT28" s="632">
        <v>0.90864568066751805</v>
      </c>
      <c r="AU28" s="632">
        <v>0.93813004328239469</v>
      </c>
      <c r="AV28" s="632">
        <v>0.96857113485917723</v>
      </c>
      <c r="AW28" s="632">
        <v>1</v>
      </c>
      <c r="AX28" s="632">
        <v>0.91468029752609203</v>
      </c>
      <c r="AY28" s="632">
        <v>0.93530228050953268</v>
      </c>
      <c r="AZ28" s="632">
        <v>0.95638919772553477</v>
      </c>
      <c r="BA28" s="632">
        <v>0.97795153137849056</v>
      </c>
      <c r="BB28" s="632">
        <v>1</v>
      </c>
      <c r="BC28" s="632">
        <v>0</v>
      </c>
      <c r="BD28" s="632">
        <v>0</v>
      </c>
      <c r="BE28" s="632">
        <v>0</v>
      </c>
      <c r="BF28" s="632">
        <v>0</v>
      </c>
      <c r="BG28" s="632">
        <v>0</v>
      </c>
      <c r="BH28" s="634">
        <v>1.0113602926853151</v>
      </c>
      <c r="BI28" s="634">
        <v>1.0228496416205264</v>
      </c>
      <c r="BJ28" s="634">
        <v>1.0344695129224053</v>
      </c>
      <c r="BK28" s="635">
        <v>1.0276683297434543</v>
      </c>
      <c r="BL28" s="635">
        <v>1.0209118613599186</v>
      </c>
      <c r="BM28" s="635">
        <v>1.0282408502971909</v>
      </c>
      <c r="BN28" s="635">
        <v>1.0356224530602751</v>
      </c>
      <c r="BO28" s="635">
        <v>1.0430570473567498</v>
      </c>
      <c r="BP28" s="635">
        <v>1.0505450136057053</v>
      </c>
      <c r="BQ28" s="635">
        <v>1.0580867349572103</v>
      </c>
      <c r="BR28" s="635">
        <v>1.064026437127563</v>
      </c>
      <c r="BS28" s="635">
        <v>1.0699994825586396</v>
      </c>
      <c r="BT28" s="635">
        <v>1.0760060584270035</v>
      </c>
      <c r="BU28" s="635">
        <v>1.0820463529599562</v>
      </c>
      <c r="BV28" s="635">
        <v>1.0881205554414362</v>
      </c>
      <c r="BW28" s="634">
        <v>1.0113602926853151</v>
      </c>
      <c r="BX28" s="634">
        <v>1.0228496416205264</v>
      </c>
      <c r="BY28" s="634">
        <v>1.0344695129224053</v>
      </c>
      <c r="BZ28" s="635">
        <v>1.0276683297434543</v>
      </c>
      <c r="CA28" s="635">
        <v>1.0209118613599186</v>
      </c>
      <c r="CB28" s="635">
        <v>1.0282408502971909</v>
      </c>
      <c r="CC28" s="635">
        <v>1.0356224530602751</v>
      </c>
      <c r="CD28" s="635">
        <v>1.0430570473567498</v>
      </c>
      <c r="CE28" s="635">
        <v>1.0505450136057053</v>
      </c>
      <c r="CF28" s="635">
        <v>1.0580867349572103</v>
      </c>
      <c r="CG28" s="635">
        <v>1.064026437127563</v>
      </c>
      <c r="CH28" s="635">
        <v>1.0699994825586396</v>
      </c>
      <c r="CI28" s="635">
        <v>1.0760060584270035</v>
      </c>
      <c r="CJ28" s="635">
        <v>1.0820463529599562</v>
      </c>
      <c r="CK28" s="635">
        <v>1.0881205554414362</v>
      </c>
      <c r="CL28" s="634">
        <v>0</v>
      </c>
      <c r="CM28" s="634">
        <v>0</v>
      </c>
      <c r="CN28" s="634">
        <v>0</v>
      </c>
      <c r="CO28" s="635">
        <v>0</v>
      </c>
      <c r="CP28" s="635">
        <v>0</v>
      </c>
      <c r="CQ28" s="635">
        <v>0</v>
      </c>
      <c r="CR28" s="635">
        <v>0</v>
      </c>
      <c r="CS28" s="635">
        <v>0</v>
      </c>
      <c r="CT28" s="635">
        <v>0</v>
      </c>
      <c r="CU28" s="635">
        <v>0</v>
      </c>
      <c r="CV28" s="635">
        <v>0</v>
      </c>
      <c r="CW28" s="635">
        <v>0</v>
      </c>
      <c r="CX28" s="635">
        <v>0</v>
      </c>
      <c r="CY28" s="635">
        <v>0</v>
      </c>
      <c r="CZ28" s="635">
        <v>0</v>
      </c>
      <c r="DA28" s="636">
        <v>0</v>
      </c>
      <c r="DB28" s="636">
        <v>0</v>
      </c>
      <c r="DC28" s="636">
        <v>0</v>
      </c>
      <c r="DD28" s="637">
        <v>0</v>
      </c>
      <c r="DE28" s="637">
        <v>0</v>
      </c>
      <c r="DF28" s="637">
        <v>0</v>
      </c>
      <c r="DG28" s="637">
        <v>0</v>
      </c>
      <c r="DH28" s="637">
        <v>0</v>
      </c>
      <c r="DI28" s="637">
        <v>0</v>
      </c>
      <c r="DJ28" s="637">
        <v>0</v>
      </c>
      <c r="DK28" s="637">
        <v>0</v>
      </c>
      <c r="DL28" s="637">
        <v>0</v>
      </c>
      <c r="DM28" s="637">
        <v>0</v>
      </c>
      <c r="DN28" s="637">
        <v>0</v>
      </c>
      <c r="DO28" s="637">
        <v>0</v>
      </c>
      <c r="DP28" s="636">
        <v>0</v>
      </c>
      <c r="DQ28" s="636">
        <v>0</v>
      </c>
      <c r="DR28" s="636">
        <v>0</v>
      </c>
      <c r="DS28" s="637">
        <v>0</v>
      </c>
      <c r="DT28" s="637">
        <v>0</v>
      </c>
      <c r="DU28" s="637">
        <v>0</v>
      </c>
      <c r="DV28" s="637">
        <v>0</v>
      </c>
      <c r="DW28" s="637">
        <v>0</v>
      </c>
      <c r="DX28" s="637">
        <v>0</v>
      </c>
      <c r="DY28" s="637">
        <v>0</v>
      </c>
      <c r="DZ28" s="637">
        <v>0</v>
      </c>
      <c r="EA28" s="637">
        <v>0</v>
      </c>
      <c r="EB28" s="637">
        <v>0</v>
      </c>
      <c r="EC28" s="637">
        <v>0</v>
      </c>
      <c r="ED28" s="637">
        <v>0</v>
      </c>
    </row>
    <row r="29" spans="1:134" ht="15" x14ac:dyDescent="0.25">
      <c r="A29" s="555">
        <v>137</v>
      </c>
      <c r="B29" s="555">
        <v>64</v>
      </c>
      <c r="C29" s="555" t="s">
        <v>1012</v>
      </c>
      <c r="D29" s="812">
        <v>99714</v>
      </c>
      <c r="E29" s="812">
        <v>99714</v>
      </c>
      <c r="F29" s="630" t="s">
        <v>989</v>
      </c>
      <c r="G29" s="45">
        <v>2</v>
      </c>
      <c r="H29" s="45">
        <v>5</v>
      </c>
      <c r="I29" s="45">
        <v>2</v>
      </c>
      <c r="J29" s="45">
        <v>3</v>
      </c>
      <c r="K29" s="45">
        <v>1</v>
      </c>
      <c r="L29" s="45">
        <v>10</v>
      </c>
      <c r="M29" s="45">
        <v>11</v>
      </c>
      <c r="N29" s="45">
        <v>1</v>
      </c>
      <c r="O29" s="45">
        <v>0</v>
      </c>
      <c r="P29" s="45">
        <v>0</v>
      </c>
      <c r="Q29" s="45">
        <v>12</v>
      </c>
      <c r="R29" s="45">
        <v>2784</v>
      </c>
      <c r="S29" s="45">
        <v>1988.7</v>
      </c>
      <c r="T29" s="45">
        <v>2061</v>
      </c>
      <c r="U29" s="45">
        <v>2418</v>
      </c>
      <c r="V29" s="45">
        <v>0</v>
      </c>
      <c r="W29" s="45">
        <v>0</v>
      </c>
      <c r="X29" s="45">
        <v>2090.75</v>
      </c>
      <c r="Y29" s="45">
        <v>0.45454545454545453</v>
      </c>
      <c r="Z29" s="45">
        <v>4.5454545454545459</v>
      </c>
      <c r="AA29" s="45">
        <v>0</v>
      </c>
      <c r="AB29" s="508">
        <v>1</v>
      </c>
      <c r="AC29" s="508">
        <v>0</v>
      </c>
      <c r="AD29" s="631">
        <v>6</v>
      </c>
      <c r="AE29" s="632">
        <v>0.18181818181818182</v>
      </c>
      <c r="AF29" s="632">
        <v>1.8181818181818183</v>
      </c>
      <c r="AG29" s="633">
        <v>2</v>
      </c>
      <c r="AH29" s="632">
        <v>0</v>
      </c>
      <c r="AI29" s="632">
        <v>0.42642274694654303</v>
      </c>
      <c r="AJ29" s="632">
        <v>4.264227469465431</v>
      </c>
      <c r="AK29" s="632">
        <v>4.6906502164119743</v>
      </c>
      <c r="AL29" s="632">
        <v>0</v>
      </c>
      <c r="AM29" s="632">
        <v>0.17388894504100633</v>
      </c>
      <c r="AN29" s="632">
        <v>1.7388894504100634</v>
      </c>
      <c r="AO29" s="632">
        <v>1.9127783954510698</v>
      </c>
      <c r="AP29" s="632">
        <v>0</v>
      </c>
      <c r="AQ29" s="632">
        <v>0.96638421298841071</v>
      </c>
      <c r="AR29" s="632">
        <v>0</v>
      </c>
      <c r="AS29" s="632">
        <v>4.4004398905451376</v>
      </c>
      <c r="AT29" s="632">
        <v>4.54322840333759</v>
      </c>
      <c r="AU29" s="632">
        <v>4.6906502164119734</v>
      </c>
      <c r="AV29" s="632">
        <v>4.8428556742958868</v>
      </c>
      <c r="AW29" s="632">
        <v>5</v>
      </c>
      <c r="AX29" s="632">
        <v>1.8293605950521841</v>
      </c>
      <c r="AY29" s="632">
        <v>1.8706045610190654</v>
      </c>
      <c r="AZ29" s="632">
        <v>1.9127783954510695</v>
      </c>
      <c r="BA29" s="632">
        <v>1.9559030627569811</v>
      </c>
      <c r="BB29" s="632">
        <v>2</v>
      </c>
      <c r="BC29" s="632">
        <v>0.93389844711322989</v>
      </c>
      <c r="BD29" s="632">
        <v>0.95000248200971427</v>
      </c>
      <c r="BE29" s="632">
        <v>0.96638421298841071</v>
      </c>
      <c r="BF29" s="632">
        <v>0.98304842860787411</v>
      </c>
      <c r="BG29" s="632">
        <v>1</v>
      </c>
      <c r="BH29" s="634">
        <v>5.0568014634265754</v>
      </c>
      <c r="BI29" s="634">
        <v>5.1142482081026319</v>
      </c>
      <c r="BJ29" s="634">
        <v>5.1723475646120267</v>
      </c>
      <c r="BK29" s="635">
        <v>5.1383416487172724</v>
      </c>
      <c r="BL29" s="635">
        <v>5.1045593067995929</v>
      </c>
      <c r="BM29" s="635">
        <v>5.1412042514859557</v>
      </c>
      <c r="BN29" s="635">
        <v>5.1781122653013751</v>
      </c>
      <c r="BO29" s="635">
        <v>5.2152852367837488</v>
      </c>
      <c r="BP29" s="635">
        <v>5.2527250680285267</v>
      </c>
      <c r="BQ29" s="635">
        <v>5.2904336747860521</v>
      </c>
      <c r="BR29" s="635">
        <v>5.3201321856378145</v>
      </c>
      <c r="BS29" s="635">
        <v>5.3499974127931988</v>
      </c>
      <c r="BT29" s="635">
        <v>5.380030292135018</v>
      </c>
      <c r="BU29" s="635">
        <v>5.4102317647997813</v>
      </c>
      <c r="BV29" s="635">
        <v>5.4406027772071814</v>
      </c>
      <c r="BW29" s="634">
        <v>2.0227205853706303</v>
      </c>
      <c r="BX29" s="634">
        <v>2.0456992832410528</v>
      </c>
      <c r="BY29" s="634">
        <v>2.0689390258448106</v>
      </c>
      <c r="BZ29" s="635">
        <v>2.0553366594869087</v>
      </c>
      <c r="CA29" s="635">
        <v>2.0418237227198373</v>
      </c>
      <c r="CB29" s="635">
        <v>2.0564817005943818</v>
      </c>
      <c r="CC29" s="635">
        <v>2.0712449061205502</v>
      </c>
      <c r="CD29" s="635">
        <v>2.0861140947134995</v>
      </c>
      <c r="CE29" s="635">
        <v>2.1010900272114106</v>
      </c>
      <c r="CF29" s="635">
        <v>2.1161734699144206</v>
      </c>
      <c r="CG29" s="635">
        <v>2.1280528742551259</v>
      </c>
      <c r="CH29" s="635">
        <v>2.1399989651172793</v>
      </c>
      <c r="CI29" s="635">
        <v>2.152012116854007</v>
      </c>
      <c r="CJ29" s="635">
        <v>2.1640927059199124</v>
      </c>
      <c r="CK29" s="635">
        <v>2.1762411108828723</v>
      </c>
      <c r="CL29" s="634">
        <v>1.0113602926853151</v>
      </c>
      <c r="CM29" s="634">
        <v>1.0228496416205264</v>
      </c>
      <c r="CN29" s="634">
        <v>1.0344695129224053</v>
      </c>
      <c r="CO29" s="635">
        <v>1.0276683297434543</v>
      </c>
      <c r="CP29" s="635">
        <v>1.0209118613599186</v>
      </c>
      <c r="CQ29" s="635">
        <v>1.0282408502971909</v>
      </c>
      <c r="CR29" s="635">
        <v>1.0356224530602751</v>
      </c>
      <c r="CS29" s="635">
        <v>1.0430570473567498</v>
      </c>
      <c r="CT29" s="635">
        <v>1.0505450136057053</v>
      </c>
      <c r="CU29" s="635">
        <v>1.0580867349572103</v>
      </c>
      <c r="CV29" s="635">
        <v>1.064026437127563</v>
      </c>
      <c r="CW29" s="635">
        <v>1.0699994825586396</v>
      </c>
      <c r="CX29" s="635">
        <v>1.0760060584270035</v>
      </c>
      <c r="CY29" s="635">
        <v>1.0820463529599562</v>
      </c>
      <c r="CZ29" s="635">
        <v>1.0881205554414362</v>
      </c>
      <c r="DA29" s="636">
        <v>0</v>
      </c>
      <c r="DB29" s="636">
        <v>0</v>
      </c>
      <c r="DC29" s="636">
        <v>0</v>
      </c>
      <c r="DD29" s="637">
        <v>0</v>
      </c>
      <c r="DE29" s="637">
        <v>0</v>
      </c>
      <c r="DF29" s="637">
        <v>0</v>
      </c>
      <c r="DG29" s="637">
        <v>0</v>
      </c>
      <c r="DH29" s="637">
        <v>0</v>
      </c>
      <c r="DI29" s="637">
        <v>0</v>
      </c>
      <c r="DJ29" s="637">
        <v>0</v>
      </c>
      <c r="DK29" s="637">
        <v>0</v>
      </c>
      <c r="DL29" s="637">
        <v>0</v>
      </c>
      <c r="DM29" s="637">
        <v>0</v>
      </c>
      <c r="DN29" s="637">
        <v>0</v>
      </c>
      <c r="DO29" s="637">
        <v>0</v>
      </c>
      <c r="DP29" s="636">
        <v>0</v>
      </c>
      <c r="DQ29" s="636">
        <v>0</v>
      </c>
      <c r="DR29" s="636">
        <v>0</v>
      </c>
      <c r="DS29" s="637">
        <v>0</v>
      </c>
      <c r="DT29" s="637">
        <v>0</v>
      </c>
      <c r="DU29" s="637">
        <v>0</v>
      </c>
      <c r="DV29" s="637">
        <v>0</v>
      </c>
      <c r="DW29" s="637">
        <v>0</v>
      </c>
      <c r="DX29" s="637">
        <v>0</v>
      </c>
      <c r="DY29" s="637">
        <v>0</v>
      </c>
      <c r="DZ29" s="637">
        <v>0</v>
      </c>
      <c r="EA29" s="637">
        <v>0</v>
      </c>
      <c r="EB29" s="637">
        <v>0</v>
      </c>
      <c r="EC29" s="637">
        <v>0</v>
      </c>
      <c r="ED29" s="637">
        <v>0</v>
      </c>
    </row>
    <row r="30" spans="1:134" ht="15" x14ac:dyDescent="0.25">
      <c r="A30" s="555">
        <v>143</v>
      </c>
      <c r="B30" s="555">
        <v>64</v>
      </c>
      <c r="C30" s="555" t="s">
        <v>1013</v>
      </c>
      <c r="D30" s="812">
        <v>99714</v>
      </c>
      <c r="E30" s="812">
        <v>99714</v>
      </c>
      <c r="F30" s="630" t="s">
        <v>989</v>
      </c>
      <c r="G30" s="45">
        <v>15</v>
      </c>
      <c r="H30" s="45">
        <v>23</v>
      </c>
      <c r="I30" s="45">
        <v>8</v>
      </c>
      <c r="J30" s="45">
        <v>15</v>
      </c>
      <c r="K30" s="45">
        <v>0</v>
      </c>
      <c r="L30" s="45">
        <v>1</v>
      </c>
      <c r="M30" s="45">
        <v>1</v>
      </c>
      <c r="N30" s="45">
        <v>0</v>
      </c>
      <c r="O30" s="45">
        <v>0</v>
      </c>
      <c r="P30" s="45">
        <v>0</v>
      </c>
      <c r="Q30" s="45">
        <v>1</v>
      </c>
      <c r="R30" s="45">
        <v>0</v>
      </c>
      <c r="S30" s="45">
        <v>1120</v>
      </c>
      <c r="T30" s="45">
        <v>1120</v>
      </c>
      <c r="U30" s="45">
        <v>0</v>
      </c>
      <c r="V30" s="45">
        <v>0</v>
      </c>
      <c r="W30" s="45">
        <v>0</v>
      </c>
      <c r="X30" s="45">
        <v>1120</v>
      </c>
      <c r="Y30" s="45">
        <v>0</v>
      </c>
      <c r="Z30" s="45">
        <v>23</v>
      </c>
      <c r="AA30" s="45">
        <v>0</v>
      </c>
      <c r="AB30" s="508">
        <v>0</v>
      </c>
      <c r="AC30" s="508">
        <v>0</v>
      </c>
      <c r="AD30" s="631">
        <v>23</v>
      </c>
      <c r="AE30" s="632">
        <v>0</v>
      </c>
      <c r="AF30" s="632">
        <v>8</v>
      </c>
      <c r="AG30" s="633">
        <v>8</v>
      </c>
      <c r="AH30" s="632">
        <v>0</v>
      </c>
      <c r="AI30" s="632">
        <v>0</v>
      </c>
      <c r="AJ30" s="632">
        <v>21.576990995495077</v>
      </c>
      <c r="AK30" s="632">
        <v>21.576990995495077</v>
      </c>
      <c r="AL30" s="632">
        <v>0</v>
      </c>
      <c r="AM30" s="632">
        <v>0</v>
      </c>
      <c r="AN30" s="632">
        <v>7.6511135818042781</v>
      </c>
      <c r="AO30" s="632">
        <v>7.6511135818042781</v>
      </c>
      <c r="AP30" s="632">
        <v>0</v>
      </c>
      <c r="AQ30" s="632">
        <v>0</v>
      </c>
      <c r="AR30" s="632">
        <v>0</v>
      </c>
      <c r="AS30" s="632">
        <v>20.242023496507635</v>
      </c>
      <c r="AT30" s="632">
        <v>20.898850655352916</v>
      </c>
      <c r="AU30" s="632">
        <v>21.576990995495077</v>
      </c>
      <c r="AV30" s="632">
        <v>22.277136101761077</v>
      </c>
      <c r="AW30" s="632">
        <v>23</v>
      </c>
      <c r="AX30" s="632">
        <v>7.3174423802087363</v>
      </c>
      <c r="AY30" s="632">
        <v>7.4824182440762614</v>
      </c>
      <c r="AZ30" s="632">
        <v>7.6511135818042781</v>
      </c>
      <c r="BA30" s="632">
        <v>7.8236122510279245</v>
      </c>
      <c r="BB30" s="632">
        <v>8</v>
      </c>
      <c r="BC30" s="632">
        <v>0</v>
      </c>
      <c r="BD30" s="632">
        <v>0</v>
      </c>
      <c r="BE30" s="632">
        <v>0</v>
      </c>
      <c r="BF30" s="632">
        <v>0</v>
      </c>
      <c r="BG30" s="632">
        <v>0</v>
      </c>
      <c r="BH30" s="634">
        <v>23.261286731762247</v>
      </c>
      <c r="BI30" s="634">
        <v>23.525541757272109</v>
      </c>
      <c r="BJ30" s="634">
        <v>23.792798797215323</v>
      </c>
      <c r="BK30" s="635">
        <v>23.63637158409945</v>
      </c>
      <c r="BL30" s="635">
        <v>23.480972811278129</v>
      </c>
      <c r="BM30" s="635">
        <v>23.649539556835393</v>
      </c>
      <c r="BN30" s="635">
        <v>23.819316420386325</v>
      </c>
      <c r="BO30" s="635">
        <v>23.990312089205243</v>
      </c>
      <c r="BP30" s="635">
        <v>24.162535312931222</v>
      </c>
      <c r="BQ30" s="635">
        <v>24.335994904015838</v>
      </c>
      <c r="BR30" s="635">
        <v>24.472608053933946</v>
      </c>
      <c r="BS30" s="635">
        <v>24.609988098848714</v>
      </c>
      <c r="BT30" s="635">
        <v>24.748139343821084</v>
      </c>
      <c r="BU30" s="635">
        <v>24.887066118078991</v>
      </c>
      <c r="BV30" s="635">
        <v>25.026772775153034</v>
      </c>
      <c r="BW30" s="634">
        <v>8.0908823414825211</v>
      </c>
      <c r="BX30" s="634">
        <v>8.1827971329642111</v>
      </c>
      <c r="BY30" s="634">
        <v>8.2757561033792424</v>
      </c>
      <c r="BZ30" s="635">
        <v>8.2213466379476348</v>
      </c>
      <c r="CA30" s="635">
        <v>8.167294890879349</v>
      </c>
      <c r="CB30" s="635">
        <v>8.2259268023775274</v>
      </c>
      <c r="CC30" s="635">
        <v>8.2849796244822009</v>
      </c>
      <c r="CD30" s="635">
        <v>8.344456378853998</v>
      </c>
      <c r="CE30" s="635">
        <v>8.4043601088456423</v>
      </c>
      <c r="CF30" s="635">
        <v>8.4646938796576823</v>
      </c>
      <c r="CG30" s="635">
        <v>8.5122114970205036</v>
      </c>
      <c r="CH30" s="635">
        <v>8.5599958604691171</v>
      </c>
      <c r="CI30" s="635">
        <v>8.6080484674160278</v>
      </c>
      <c r="CJ30" s="635">
        <v>8.6563708236796497</v>
      </c>
      <c r="CK30" s="635">
        <v>8.7049644435314892</v>
      </c>
      <c r="CL30" s="634">
        <v>0</v>
      </c>
      <c r="CM30" s="634">
        <v>0</v>
      </c>
      <c r="CN30" s="634">
        <v>0</v>
      </c>
      <c r="CO30" s="635">
        <v>0</v>
      </c>
      <c r="CP30" s="635">
        <v>0</v>
      </c>
      <c r="CQ30" s="635">
        <v>0</v>
      </c>
      <c r="CR30" s="635">
        <v>0</v>
      </c>
      <c r="CS30" s="635">
        <v>0</v>
      </c>
      <c r="CT30" s="635">
        <v>0</v>
      </c>
      <c r="CU30" s="635">
        <v>0</v>
      </c>
      <c r="CV30" s="635">
        <v>0</v>
      </c>
      <c r="CW30" s="635">
        <v>0</v>
      </c>
      <c r="CX30" s="635">
        <v>0</v>
      </c>
      <c r="CY30" s="635">
        <v>0</v>
      </c>
      <c r="CZ30" s="635">
        <v>0</v>
      </c>
      <c r="DA30" s="636">
        <v>0</v>
      </c>
      <c r="DB30" s="636">
        <v>0</v>
      </c>
      <c r="DC30" s="636">
        <v>0</v>
      </c>
      <c r="DD30" s="637">
        <v>0</v>
      </c>
      <c r="DE30" s="637">
        <v>0</v>
      </c>
      <c r="DF30" s="637">
        <v>0</v>
      </c>
      <c r="DG30" s="637">
        <v>0</v>
      </c>
      <c r="DH30" s="637">
        <v>0</v>
      </c>
      <c r="DI30" s="637">
        <v>0</v>
      </c>
      <c r="DJ30" s="637">
        <v>0</v>
      </c>
      <c r="DK30" s="637">
        <v>0</v>
      </c>
      <c r="DL30" s="637">
        <v>0</v>
      </c>
      <c r="DM30" s="637">
        <v>0</v>
      </c>
      <c r="DN30" s="637">
        <v>0</v>
      </c>
      <c r="DO30" s="637">
        <v>0</v>
      </c>
      <c r="DP30" s="636">
        <v>0</v>
      </c>
      <c r="DQ30" s="636">
        <v>0</v>
      </c>
      <c r="DR30" s="636">
        <v>0</v>
      </c>
      <c r="DS30" s="637">
        <v>0</v>
      </c>
      <c r="DT30" s="637">
        <v>0</v>
      </c>
      <c r="DU30" s="637">
        <v>0</v>
      </c>
      <c r="DV30" s="637">
        <v>0</v>
      </c>
      <c r="DW30" s="637">
        <v>0</v>
      </c>
      <c r="DX30" s="637">
        <v>0</v>
      </c>
      <c r="DY30" s="637">
        <v>0</v>
      </c>
      <c r="DZ30" s="637">
        <v>0</v>
      </c>
      <c r="EA30" s="637">
        <v>0</v>
      </c>
      <c r="EB30" s="637">
        <v>0</v>
      </c>
      <c r="EC30" s="637">
        <v>0</v>
      </c>
      <c r="ED30" s="637">
        <v>0</v>
      </c>
    </row>
    <row r="31" spans="1:134" ht="15" x14ac:dyDescent="0.25">
      <c r="A31" s="555">
        <v>136</v>
      </c>
      <c r="B31" s="555">
        <v>65</v>
      </c>
      <c r="C31" s="555" t="s">
        <v>1014</v>
      </c>
      <c r="D31" s="812">
        <v>99714</v>
      </c>
      <c r="E31" s="812">
        <v>99714</v>
      </c>
      <c r="F31" s="630" t="s">
        <v>989</v>
      </c>
      <c r="G31" s="45">
        <v>79</v>
      </c>
      <c r="H31" s="45">
        <v>56</v>
      </c>
      <c r="I31" s="45">
        <v>36</v>
      </c>
      <c r="J31" s="45">
        <v>20</v>
      </c>
      <c r="K31" s="45">
        <v>0</v>
      </c>
      <c r="L31" s="45">
        <v>8</v>
      </c>
      <c r="M31" s="45">
        <v>8</v>
      </c>
      <c r="N31" s="45">
        <v>0</v>
      </c>
      <c r="O31" s="45">
        <v>0</v>
      </c>
      <c r="P31" s="45">
        <v>0</v>
      </c>
      <c r="Q31" s="45">
        <v>8</v>
      </c>
      <c r="R31" s="45">
        <v>0</v>
      </c>
      <c r="S31" s="45">
        <v>2156.75</v>
      </c>
      <c r="T31" s="45">
        <v>2156.75</v>
      </c>
      <c r="U31" s="45">
        <v>0</v>
      </c>
      <c r="V31" s="45">
        <v>0</v>
      </c>
      <c r="W31" s="45">
        <v>0</v>
      </c>
      <c r="X31" s="45">
        <v>2156.75</v>
      </c>
      <c r="Y31" s="45">
        <v>0</v>
      </c>
      <c r="Z31" s="45">
        <v>56</v>
      </c>
      <c r="AA31" s="45">
        <v>0</v>
      </c>
      <c r="AB31" s="508">
        <v>0</v>
      </c>
      <c r="AC31" s="508">
        <v>0</v>
      </c>
      <c r="AD31" s="631">
        <v>56</v>
      </c>
      <c r="AE31" s="632">
        <v>0</v>
      </c>
      <c r="AF31" s="632">
        <v>36</v>
      </c>
      <c r="AG31" s="633">
        <v>36</v>
      </c>
      <c r="AH31" s="632">
        <v>0</v>
      </c>
      <c r="AI31" s="632">
        <v>0</v>
      </c>
      <c r="AJ31" s="632">
        <v>52.535282423814103</v>
      </c>
      <c r="AK31" s="632">
        <v>52.535282423814103</v>
      </c>
      <c r="AL31" s="632">
        <v>0</v>
      </c>
      <c r="AM31" s="632">
        <v>0</v>
      </c>
      <c r="AN31" s="632">
        <v>34.430011118119253</v>
      </c>
      <c r="AO31" s="632">
        <v>34.430011118119253</v>
      </c>
      <c r="AP31" s="632">
        <v>0</v>
      </c>
      <c r="AQ31" s="632">
        <v>0</v>
      </c>
      <c r="AR31" s="632">
        <v>0</v>
      </c>
      <c r="AS31" s="632">
        <v>49.284926774105543</v>
      </c>
      <c r="AT31" s="632">
        <v>50.884158117381013</v>
      </c>
      <c r="AU31" s="632">
        <v>52.535282423814103</v>
      </c>
      <c r="AV31" s="632">
        <v>54.239983552113927</v>
      </c>
      <c r="AW31" s="632">
        <v>56</v>
      </c>
      <c r="AX31" s="632">
        <v>32.928490710939315</v>
      </c>
      <c r="AY31" s="632">
        <v>33.670882098343178</v>
      </c>
      <c r="AZ31" s="632">
        <v>34.430011118119253</v>
      </c>
      <c r="BA31" s="632">
        <v>35.20625512962566</v>
      </c>
      <c r="BB31" s="632">
        <v>36</v>
      </c>
      <c r="BC31" s="632">
        <v>0</v>
      </c>
      <c r="BD31" s="632">
        <v>0</v>
      </c>
      <c r="BE31" s="632">
        <v>0</v>
      </c>
      <c r="BF31" s="632">
        <v>0</v>
      </c>
      <c r="BG31" s="632">
        <v>0</v>
      </c>
      <c r="BH31" s="634">
        <v>56.636176390377649</v>
      </c>
      <c r="BI31" s="634">
        <v>57.279579930749478</v>
      </c>
      <c r="BJ31" s="634">
        <v>57.930292723654695</v>
      </c>
      <c r="BK31" s="635">
        <v>57.549426465633445</v>
      </c>
      <c r="BL31" s="635">
        <v>57.171064236155438</v>
      </c>
      <c r="BM31" s="635">
        <v>57.581487616642697</v>
      </c>
      <c r="BN31" s="635">
        <v>57.994857371375403</v>
      </c>
      <c r="BO31" s="635">
        <v>58.411194651977979</v>
      </c>
      <c r="BP31" s="635">
        <v>58.830520761919495</v>
      </c>
      <c r="BQ31" s="635">
        <v>59.252857157603778</v>
      </c>
      <c r="BR31" s="635">
        <v>59.58548047914352</v>
      </c>
      <c r="BS31" s="635">
        <v>59.919971023283821</v>
      </c>
      <c r="BT31" s="635">
        <v>60.256339271912196</v>
      </c>
      <c r="BU31" s="635">
        <v>60.594595765757539</v>
      </c>
      <c r="BV31" s="635">
        <v>60.934751104720426</v>
      </c>
      <c r="BW31" s="634">
        <v>36.408970536671347</v>
      </c>
      <c r="BX31" s="634">
        <v>36.82258709833895</v>
      </c>
      <c r="BY31" s="634">
        <v>37.240902465206588</v>
      </c>
      <c r="BZ31" s="635">
        <v>36.996059870764356</v>
      </c>
      <c r="CA31" s="635">
        <v>36.75282700895707</v>
      </c>
      <c r="CB31" s="635">
        <v>37.016670610698874</v>
      </c>
      <c r="CC31" s="635">
        <v>37.282408310169899</v>
      </c>
      <c r="CD31" s="635">
        <v>37.550053704842988</v>
      </c>
      <c r="CE31" s="635">
        <v>37.819620489805388</v>
      </c>
      <c r="CF31" s="635">
        <v>38.091122458459573</v>
      </c>
      <c r="CG31" s="635">
        <v>38.304951736592258</v>
      </c>
      <c r="CH31" s="635">
        <v>38.519981372111026</v>
      </c>
      <c r="CI31" s="635">
        <v>38.736218103372124</v>
      </c>
      <c r="CJ31" s="635">
        <v>38.953668706558418</v>
      </c>
      <c r="CK31" s="635">
        <v>39.172339995891704</v>
      </c>
      <c r="CL31" s="634">
        <v>0</v>
      </c>
      <c r="CM31" s="634">
        <v>0</v>
      </c>
      <c r="CN31" s="634">
        <v>0</v>
      </c>
      <c r="CO31" s="635">
        <v>0</v>
      </c>
      <c r="CP31" s="635">
        <v>0</v>
      </c>
      <c r="CQ31" s="635">
        <v>0</v>
      </c>
      <c r="CR31" s="635">
        <v>0</v>
      </c>
      <c r="CS31" s="635">
        <v>0</v>
      </c>
      <c r="CT31" s="635">
        <v>0</v>
      </c>
      <c r="CU31" s="635">
        <v>0</v>
      </c>
      <c r="CV31" s="635">
        <v>0</v>
      </c>
      <c r="CW31" s="635">
        <v>0</v>
      </c>
      <c r="CX31" s="635">
        <v>0</v>
      </c>
      <c r="CY31" s="635">
        <v>0</v>
      </c>
      <c r="CZ31" s="635">
        <v>0</v>
      </c>
      <c r="DA31" s="636">
        <v>0</v>
      </c>
      <c r="DB31" s="636">
        <v>0</v>
      </c>
      <c r="DC31" s="636">
        <v>0</v>
      </c>
      <c r="DD31" s="637">
        <v>0</v>
      </c>
      <c r="DE31" s="637">
        <v>0</v>
      </c>
      <c r="DF31" s="637">
        <v>0</v>
      </c>
      <c r="DG31" s="637">
        <v>0</v>
      </c>
      <c r="DH31" s="637">
        <v>0</v>
      </c>
      <c r="DI31" s="637">
        <v>0</v>
      </c>
      <c r="DJ31" s="637">
        <v>0</v>
      </c>
      <c r="DK31" s="637">
        <v>0</v>
      </c>
      <c r="DL31" s="637">
        <v>0</v>
      </c>
      <c r="DM31" s="637">
        <v>0</v>
      </c>
      <c r="DN31" s="637">
        <v>0</v>
      </c>
      <c r="DO31" s="637">
        <v>0</v>
      </c>
      <c r="DP31" s="636">
        <v>0</v>
      </c>
      <c r="DQ31" s="636">
        <v>0</v>
      </c>
      <c r="DR31" s="636">
        <v>0</v>
      </c>
      <c r="DS31" s="637">
        <v>0</v>
      </c>
      <c r="DT31" s="637">
        <v>0</v>
      </c>
      <c r="DU31" s="637">
        <v>0</v>
      </c>
      <c r="DV31" s="637">
        <v>0</v>
      </c>
      <c r="DW31" s="637">
        <v>0</v>
      </c>
      <c r="DX31" s="637">
        <v>0</v>
      </c>
      <c r="DY31" s="637">
        <v>0</v>
      </c>
      <c r="DZ31" s="637">
        <v>0</v>
      </c>
      <c r="EA31" s="637">
        <v>0</v>
      </c>
      <c r="EB31" s="637">
        <v>0</v>
      </c>
      <c r="EC31" s="637">
        <v>0</v>
      </c>
      <c r="ED31" s="637">
        <v>0</v>
      </c>
    </row>
    <row r="32" spans="1:134" ht="15" x14ac:dyDescent="0.25">
      <c r="A32" s="555">
        <v>141</v>
      </c>
      <c r="B32" s="555">
        <v>66</v>
      </c>
      <c r="C32" s="555" t="s">
        <v>1015</v>
      </c>
      <c r="D32" s="812">
        <v>99714</v>
      </c>
      <c r="E32" s="812">
        <v>99714</v>
      </c>
      <c r="F32" s="630" t="s">
        <v>989</v>
      </c>
      <c r="G32" s="45">
        <v>65</v>
      </c>
      <c r="H32" s="45">
        <v>37</v>
      </c>
      <c r="I32" s="45">
        <v>24</v>
      </c>
      <c r="J32" s="45">
        <v>13</v>
      </c>
      <c r="K32" s="45">
        <v>0</v>
      </c>
      <c r="L32" s="45">
        <v>0</v>
      </c>
      <c r="M32" s="45">
        <v>0</v>
      </c>
      <c r="N32" s="45">
        <v>0</v>
      </c>
      <c r="O32" s="45">
        <v>0</v>
      </c>
      <c r="P32" s="45">
        <v>0</v>
      </c>
      <c r="Q32" s="45">
        <v>0</v>
      </c>
      <c r="R32" s="45">
        <v>0</v>
      </c>
      <c r="S32" s="45">
        <v>834.49503068156923</v>
      </c>
      <c r="T32" s="45">
        <v>834.49503068156923</v>
      </c>
      <c r="U32" s="45">
        <v>1408.3846153846155</v>
      </c>
      <c r="V32" s="45">
        <v>0</v>
      </c>
      <c r="W32" s="45">
        <v>0</v>
      </c>
      <c r="X32" s="45">
        <v>1365.173957061457</v>
      </c>
      <c r="Y32" s="45">
        <v>0.84775641025641024</v>
      </c>
      <c r="Z32" s="45">
        <v>36.104166666666664</v>
      </c>
      <c r="AA32" s="45">
        <v>4.807692307692308E-2</v>
      </c>
      <c r="AB32" s="508">
        <v>0</v>
      </c>
      <c r="AC32" s="508">
        <v>0</v>
      </c>
      <c r="AD32" s="631">
        <v>36.999999999999993</v>
      </c>
      <c r="AE32" s="632">
        <v>0.5498960498960499</v>
      </c>
      <c r="AF32" s="632">
        <v>23.418918918918919</v>
      </c>
      <c r="AG32" s="633">
        <v>23.968814968814968</v>
      </c>
      <c r="AH32" s="632">
        <v>3.1185031185031187E-2</v>
      </c>
      <c r="AI32" s="632">
        <v>0.79530575784677371</v>
      </c>
      <c r="AJ32" s="632">
        <v>33.870403437674788</v>
      </c>
      <c r="AK32" s="632">
        <v>34.665709195521565</v>
      </c>
      <c r="AL32" s="632">
        <v>4.5102405927038208E-2</v>
      </c>
      <c r="AM32" s="632">
        <v>0.5259146419925238</v>
      </c>
      <c r="AN32" s="632">
        <v>22.397601076464213</v>
      </c>
      <c r="AO32" s="632">
        <v>22.923515718456738</v>
      </c>
      <c r="AP32" s="632">
        <v>2.9825026956097758E-2</v>
      </c>
      <c r="AQ32" s="632">
        <v>0</v>
      </c>
      <c r="AR32" s="632">
        <v>0</v>
      </c>
      <c r="AS32" s="632">
        <v>32.520943268009546</v>
      </c>
      <c r="AT32" s="632">
        <v>33.576205296204535</v>
      </c>
      <c r="AU32" s="632">
        <v>34.665709195521558</v>
      </c>
      <c r="AV32" s="632">
        <v>35.790566069844402</v>
      </c>
      <c r="AW32" s="632">
        <v>36.951923076923073</v>
      </c>
      <c r="AX32" s="632">
        <v>21.923802807023524</v>
      </c>
      <c r="AY32" s="632">
        <v>22.418087301443663</v>
      </c>
      <c r="AZ32" s="632">
        <v>22.923515718456734</v>
      </c>
      <c r="BA32" s="632">
        <v>23.440339304080286</v>
      </c>
      <c r="BB32" s="632">
        <v>23.968814968814968</v>
      </c>
      <c r="BC32" s="632">
        <v>0</v>
      </c>
      <c r="BD32" s="632">
        <v>0</v>
      </c>
      <c r="BE32" s="632">
        <v>0</v>
      </c>
      <c r="BF32" s="632">
        <v>0</v>
      </c>
      <c r="BG32" s="632">
        <v>0</v>
      </c>
      <c r="BH32" s="634">
        <v>37.371707738362169</v>
      </c>
      <c r="BI32" s="634">
        <v>37.796261276420026</v>
      </c>
      <c r="BJ32" s="634">
        <v>38.225637866930796</v>
      </c>
      <c r="BK32" s="635">
        <v>37.97432106927014</v>
      </c>
      <c r="BL32" s="635">
        <v>37.724656569290062</v>
      </c>
      <c r="BM32" s="635">
        <v>37.995476804731773</v>
      </c>
      <c r="BN32" s="635">
        <v>38.268241222217654</v>
      </c>
      <c r="BO32" s="635">
        <v>38.542963778769121</v>
      </c>
      <c r="BP32" s="635">
        <v>38.819658531603125</v>
      </c>
      <c r="BQ32" s="635">
        <v>39.098339638851527</v>
      </c>
      <c r="BR32" s="635">
        <v>39.317823056550225</v>
      </c>
      <c r="BS32" s="635">
        <v>39.538538571854339</v>
      </c>
      <c r="BT32" s="635">
        <v>39.760493101297826</v>
      </c>
      <c r="BU32" s="635">
        <v>39.983693600241452</v>
      </c>
      <c r="BV32" s="635">
        <v>40.208147063090756</v>
      </c>
      <c r="BW32" s="634">
        <v>24.241107722180868</v>
      </c>
      <c r="BX32" s="634">
        <v>24.516493800921097</v>
      </c>
      <c r="BY32" s="634">
        <v>24.795008346117278</v>
      </c>
      <c r="BZ32" s="635">
        <v>24.631992044931987</v>
      </c>
      <c r="CA32" s="635">
        <v>24.47004750440437</v>
      </c>
      <c r="CB32" s="635">
        <v>24.645714684150345</v>
      </c>
      <c r="CC32" s="635">
        <v>24.822642954951998</v>
      </c>
      <c r="CD32" s="635">
        <v>25.000841370012406</v>
      </c>
      <c r="CE32" s="635">
        <v>25.180319047526357</v>
      </c>
      <c r="CF32" s="635">
        <v>25.361085171146939</v>
      </c>
      <c r="CG32" s="635">
        <v>25.50345279343799</v>
      </c>
      <c r="CH32" s="635">
        <v>25.646619614175794</v>
      </c>
      <c r="CI32" s="635">
        <v>25.790590119760758</v>
      </c>
      <c r="CJ32" s="635">
        <v>25.935368821778241</v>
      </c>
      <c r="CK32" s="635">
        <v>26.080960257139957</v>
      </c>
      <c r="CL32" s="634">
        <v>0</v>
      </c>
      <c r="CM32" s="634">
        <v>0</v>
      </c>
      <c r="CN32" s="634">
        <v>0</v>
      </c>
      <c r="CO32" s="635">
        <v>0</v>
      </c>
      <c r="CP32" s="635">
        <v>0</v>
      </c>
      <c r="CQ32" s="635">
        <v>0</v>
      </c>
      <c r="CR32" s="635">
        <v>0</v>
      </c>
      <c r="CS32" s="635">
        <v>0</v>
      </c>
      <c r="CT32" s="635">
        <v>0</v>
      </c>
      <c r="CU32" s="635">
        <v>0</v>
      </c>
      <c r="CV32" s="635">
        <v>0</v>
      </c>
      <c r="CW32" s="635">
        <v>0</v>
      </c>
      <c r="CX32" s="635">
        <v>0</v>
      </c>
      <c r="CY32" s="635">
        <v>0</v>
      </c>
      <c r="CZ32" s="635">
        <v>0</v>
      </c>
      <c r="DA32" s="636">
        <v>4.8623090994486307E-2</v>
      </c>
      <c r="DB32" s="636">
        <v>4.9175463539448384E-2</v>
      </c>
      <c r="DC32" s="636">
        <v>4.9734111198192564E-2</v>
      </c>
      <c r="DD32" s="637">
        <v>4.9407131237666074E-2</v>
      </c>
      <c r="DE32" s="637">
        <v>4.9082301026919163E-2</v>
      </c>
      <c r="DF32" s="637">
        <v>4.9434656264288029E-2</v>
      </c>
      <c r="DG32" s="637">
        <v>4.9789541012513226E-2</v>
      </c>
      <c r="DH32" s="637">
        <v>5.0146973430612966E-2</v>
      </c>
      <c r="DI32" s="637">
        <v>5.0506971807966608E-2</v>
      </c>
      <c r="DJ32" s="637">
        <v>5.0869554565250497E-2</v>
      </c>
      <c r="DK32" s="637">
        <v>5.1155117169594373E-2</v>
      </c>
      <c r="DL32" s="637">
        <v>5.1442282815319221E-2</v>
      </c>
      <c r="DM32" s="637">
        <v>5.1731060501298248E-2</v>
      </c>
      <c r="DN32" s="637">
        <v>5.2021459276920971E-2</v>
      </c>
      <c r="DO32" s="637">
        <v>5.2313488242376742E-2</v>
      </c>
      <c r="DP32" s="636">
        <v>0</v>
      </c>
      <c r="DQ32" s="636">
        <v>0</v>
      </c>
      <c r="DR32" s="636">
        <v>0</v>
      </c>
      <c r="DS32" s="637">
        <v>0</v>
      </c>
      <c r="DT32" s="637">
        <v>0</v>
      </c>
      <c r="DU32" s="637">
        <v>0</v>
      </c>
      <c r="DV32" s="637">
        <v>0</v>
      </c>
      <c r="DW32" s="637">
        <v>0</v>
      </c>
      <c r="DX32" s="637">
        <v>0</v>
      </c>
      <c r="DY32" s="637">
        <v>0</v>
      </c>
      <c r="DZ32" s="637">
        <v>0</v>
      </c>
      <c r="EA32" s="637">
        <v>0</v>
      </c>
      <c r="EB32" s="637">
        <v>0</v>
      </c>
      <c r="EC32" s="637">
        <v>0</v>
      </c>
      <c r="ED32" s="637">
        <v>0</v>
      </c>
    </row>
    <row r="33" spans="1:134" ht="15" x14ac:dyDescent="0.25">
      <c r="A33" s="555">
        <v>152</v>
      </c>
      <c r="B33" s="555">
        <v>66</v>
      </c>
      <c r="C33" s="555" t="s">
        <v>1016</v>
      </c>
      <c r="D33" s="812">
        <v>99714</v>
      </c>
      <c r="E33" s="812">
        <v>99714</v>
      </c>
      <c r="F33" s="630" t="s">
        <v>989</v>
      </c>
      <c r="G33" s="45">
        <v>0</v>
      </c>
      <c r="H33" s="45">
        <v>28</v>
      </c>
      <c r="I33" s="45">
        <v>0</v>
      </c>
      <c r="J33" s="45">
        <v>28</v>
      </c>
      <c r="K33" s="45">
        <v>0</v>
      </c>
      <c r="L33" s="45">
        <v>1</v>
      </c>
      <c r="M33" s="45">
        <v>1</v>
      </c>
      <c r="N33" s="45">
        <v>0</v>
      </c>
      <c r="O33" s="45">
        <v>0</v>
      </c>
      <c r="P33" s="45">
        <v>0</v>
      </c>
      <c r="Q33" s="45">
        <v>1</v>
      </c>
      <c r="R33" s="45">
        <v>0</v>
      </c>
      <c r="S33" s="45">
        <v>1876</v>
      </c>
      <c r="T33" s="45">
        <v>1876</v>
      </c>
      <c r="U33" s="45">
        <v>0</v>
      </c>
      <c r="V33" s="45">
        <v>0</v>
      </c>
      <c r="W33" s="45">
        <v>0</v>
      </c>
      <c r="X33" s="45">
        <v>1876</v>
      </c>
      <c r="Y33" s="45">
        <v>0</v>
      </c>
      <c r="Z33" s="45">
        <v>28</v>
      </c>
      <c r="AA33" s="45">
        <v>0</v>
      </c>
      <c r="AB33" s="508">
        <v>0</v>
      </c>
      <c r="AC33" s="508">
        <v>0</v>
      </c>
      <c r="AD33" s="631">
        <v>28</v>
      </c>
      <c r="AE33" s="632">
        <v>0</v>
      </c>
      <c r="AF33" s="632">
        <v>0</v>
      </c>
      <c r="AG33" s="633">
        <v>0</v>
      </c>
      <c r="AH33" s="632">
        <v>0</v>
      </c>
      <c r="AI33" s="632">
        <v>0</v>
      </c>
      <c r="AJ33" s="632">
        <v>26.267641211907051</v>
      </c>
      <c r="AK33" s="632">
        <v>26.267641211907051</v>
      </c>
      <c r="AL33" s="632">
        <v>0</v>
      </c>
      <c r="AM33" s="632">
        <v>0</v>
      </c>
      <c r="AN33" s="632">
        <v>0</v>
      </c>
      <c r="AO33" s="632">
        <v>0</v>
      </c>
      <c r="AP33" s="632">
        <v>0</v>
      </c>
      <c r="AQ33" s="632">
        <v>0</v>
      </c>
      <c r="AR33" s="632">
        <v>0</v>
      </c>
      <c r="AS33" s="632">
        <v>24.642463387052771</v>
      </c>
      <c r="AT33" s="632">
        <v>25.442079058690506</v>
      </c>
      <c r="AU33" s="632">
        <v>26.267641211907051</v>
      </c>
      <c r="AV33" s="632">
        <v>27.119991776056963</v>
      </c>
      <c r="AW33" s="632">
        <v>28</v>
      </c>
      <c r="AX33" s="632">
        <v>0</v>
      </c>
      <c r="AY33" s="632">
        <v>0</v>
      </c>
      <c r="AZ33" s="632">
        <v>0</v>
      </c>
      <c r="BA33" s="632">
        <v>0</v>
      </c>
      <c r="BB33" s="632">
        <v>0</v>
      </c>
      <c r="BC33" s="632">
        <v>0</v>
      </c>
      <c r="BD33" s="632">
        <v>0</v>
      </c>
      <c r="BE33" s="632">
        <v>0</v>
      </c>
      <c r="BF33" s="632">
        <v>0</v>
      </c>
      <c r="BG33" s="632">
        <v>0</v>
      </c>
      <c r="BH33" s="634">
        <v>28.230082123902513</v>
      </c>
      <c r="BI33" s="634">
        <v>28.462054882938578</v>
      </c>
      <c r="BJ33" s="634">
        <v>28.695933812870596</v>
      </c>
      <c r="BK33" s="635">
        <v>28.507270638253651</v>
      </c>
      <c r="BL33" s="635">
        <v>28.319847841234754</v>
      </c>
      <c r="BM33" s="635">
        <v>28.523152219790184</v>
      </c>
      <c r="BN33" s="635">
        <v>28.727916093134272</v>
      </c>
      <c r="BO33" s="635">
        <v>28.934149938783797</v>
      </c>
      <c r="BP33" s="635">
        <v>29.141864309472226</v>
      </c>
      <c r="BQ33" s="635">
        <v>29.351069833689674</v>
      </c>
      <c r="BR33" s="635">
        <v>29.515835733718074</v>
      </c>
      <c r="BS33" s="635">
        <v>29.681526567725577</v>
      </c>
      <c r="BT33" s="635">
        <v>29.848147527944715</v>
      </c>
      <c r="BU33" s="635">
        <v>30.015703835755261</v>
      </c>
      <c r="BV33" s="635">
        <v>30.184200741847846</v>
      </c>
      <c r="BW33" s="634">
        <v>0</v>
      </c>
      <c r="BX33" s="634">
        <v>0</v>
      </c>
      <c r="BY33" s="634">
        <v>0</v>
      </c>
      <c r="BZ33" s="635">
        <v>0</v>
      </c>
      <c r="CA33" s="635">
        <v>0</v>
      </c>
      <c r="CB33" s="635">
        <v>0</v>
      </c>
      <c r="CC33" s="635">
        <v>0</v>
      </c>
      <c r="CD33" s="635">
        <v>0</v>
      </c>
      <c r="CE33" s="635">
        <v>0</v>
      </c>
      <c r="CF33" s="635">
        <v>0</v>
      </c>
      <c r="CG33" s="635">
        <v>0</v>
      </c>
      <c r="CH33" s="635">
        <v>0</v>
      </c>
      <c r="CI33" s="635">
        <v>0</v>
      </c>
      <c r="CJ33" s="635">
        <v>0</v>
      </c>
      <c r="CK33" s="635">
        <v>0</v>
      </c>
      <c r="CL33" s="634">
        <v>0</v>
      </c>
      <c r="CM33" s="634">
        <v>0</v>
      </c>
      <c r="CN33" s="634">
        <v>0</v>
      </c>
      <c r="CO33" s="635">
        <v>0</v>
      </c>
      <c r="CP33" s="635">
        <v>0</v>
      </c>
      <c r="CQ33" s="635">
        <v>0</v>
      </c>
      <c r="CR33" s="635">
        <v>0</v>
      </c>
      <c r="CS33" s="635">
        <v>0</v>
      </c>
      <c r="CT33" s="635">
        <v>0</v>
      </c>
      <c r="CU33" s="635">
        <v>0</v>
      </c>
      <c r="CV33" s="635">
        <v>0</v>
      </c>
      <c r="CW33" s="635">
        <v>0</v>
      </c>
      <c r="CX33" s="635">
        <v>0</v>
      </c>
      <c r="CY33" s="635">
        <v>0</v>
      </c>
      <c r="CZ33" s="635">
        <v>0</v>
      </c>
      <c r="DA33" s="636">
        <v>0</v>
      </c>
      <c r="DB33" s="636">
        <v>0</v>
      </c>
      <c r="DC33" s="636">
        <v>0</v>
      </c>
      <c r="DD33" s="637">
        <v>0</v>
      </c>
      <c r="DE33" s="637">
        <v>0</v>
      </c>
      <c r="DF33" s="637">
        <v>0</v>
      </c>
      <c r="DG33" s="637">
        <v>0</v>
      </c>
      <c r="DH33" s="637">
        <v>0</v>
      </c>
      <c r="DI33" s="637">
        <v>0</v>
      </c>
      <c r="DJ33" s="637">
        <v>0</v>
      </c>
      <c r="DK33" s="637">
        <v>0</v>
      </c>
      <c r="DL33" s="637">
        <v>0</v>
      </c>
      <c r="DM33" s="637">
        <v>0</v>
      </c>
      <c r="DN33" s="637">
        <v>0</v>
      </c>
      <c r="DO33" s="637">
        <v>0</v>
      </c>
      <c r="DP33" s="636">
        <v>0</v>
      </c>
      <c r="DQ33" s="636">
        <v>0</v>
      </c>
      <c r="DR33" s="636">
        <v>0</v>
      </c>
      <c r="DS33" s="637">
        <v>0</v>
      </c>
      <c r="DT33" s="637">
        <v>0</v>
      </c>
      <c r="DU33" s="637">
        <v>0</v>
      </c>
      <c r="DV33" s="637">
        <v>0</v>
      </c>
      <c r="DW33" s="637">
        <v>0</v>
      </c>
      <c r="DX33" s="637">
        <v>0</v>
      </c>
      <c r="DY33" s="637">
        <v>0</v>
      </c>
      <c r="DZ33" s="637">
        <v>0</v>
      </c>
      <c r="EA33" s="637">
        <v>0</v>
      </c>
      <c r="EB33" s="637">
        <v>0</v>
      </c>
      <c r="EC33" s="637">
        <v>0</v>
      </c>
      <c r="ED33" s="637">
        <v>0</v>
      </c>
    </row>
    <row r="34" spans="1:134" ht="15" x14ac:dyDescent="0.25">
      <c r="A34" s="555">
        <v>100</v>
      </c>
      <c r="B34" s="555">
        <v>68</v>
      </c>
      <c r="C34" s="555" t="s">
        <v>1017</v>
      </c>
      <c r="D34" s="812">
        <v>99760</v>
      </c>
      <c r="E34" s="812">
        <v>99760</v>
      </c>
      <c r="F34" s="630" t="s">
        <v>989</v>
      </c>
      <c r="G34" s="45">
        <v>0</v>
      </c>
      <c r="H34" s="45">
        <v>11</v>
      </c>
      <c r="I34" s="45">
        <v>0</v>
      </c>
      <c r="J34" s="45">
        <v>11</v>
      </c>
      <c r="K34" s="45">
        <v>0</v>
      </c>
      <c r="L34" s="45">
        <v>0</v>
      </c>
      <c r="M34" s="45">
        <v>0</v>
      </c>
      <c r="N34" s="45">
        <v>0</v>
      </c>
      <c r="O34" s="45">
        <v>0</v>
      </c>
      <c r="P34" s="45">
        <v>0</v>
      </c>
      <c r="Q34" s="45">
        <v>0</v>
      </c>
      <c r="R34" s="45">
        <v>0</v>
      </c>
      <c r="S34" s="45">
        <v>834.49503068156923</v>
      </c>
      <c r="T34" s="45">
        <v>834.49503068156923</v>
      </c>
      <c r="U34" s="45">
        <v>1408.3846153846155</v>
      </c>
      <c r="V34" s="45">
        <v>0</v>
      </c>
      <c r="W34" s="45">
        <v>0</v>
      </c>
      <c r="X34" s="45">
        <v>1365.173957061457</v>
      </c>
      <c r="Y34" s="45">
        <v>0.25203568953568956</v>
      </c>
      <c r="Z34" s="45">
        <v>10.733671171171171</v>
      </c>
      <c r="AA34" s="45">
        <v>1.4293139293139294E-2</v>
      </c>
      <c r="AB34" s="508">
        <v>0</v>
      </c>
      <c r="AC34" s="508">
        <v>0</v>
      </c>
      <c r="AD34" s="631">
        <v>11</v>
      </c>
      <c r="AE34" s="632">
        <v>0</v>
      </c>
      <c r="AF34" s="632">
        <v>0</v>
      </c>
      <c r="AG34" s="633">
        <v>0</v>
      </c>
      <c r="AH34" s="632">
        <v>0</v>
      </c>
      <c r="AI34" s="632">
        <v>0.23278238662920361</v>
      </c>
      <c r="AJ34" s="632">
        <v>9.9137133995639459</v>
      </c>
      <c r="AK34" s="632">
        <v>10.14649578619315</v>
      </c>
      <c r="AL34" s="632">
        <v>1.3201269563092831E-2</v>
      </c>
      <c r="AM34" s="632">
        <v>0</v>
      </c>
      <c r="AN34" s="632">
        <v>0</v>
      </c>
      <c r="AO34" s="632">
        <v>0</v>
      </c>
      <c r="AP34" s="632">
        <v>0</v>
      </c>
      <c r="AQ34" s="632">
        <v>0</v>
      </c>
      <c r="AR34" s="632">
        <v>0</v>
      </c>
      <c r="AS34" s="632">
        <v>9.3713930332026969</v>
      </c>
      <c r="AT34" s="632">
        <v>9.7512460702287171</v>
      </c>
      <c r="AU34" s="632">
        <v>10.14649578619315</v>
      </c>
      <c r="AV34" s="632">
        <v>10.55776625856603</v>
      </c>
      <c r="AW34" s="632">
        <v>10.985706860706861</v>
      </c>
      <c r="AX34" s="632">
        <v>0</v>
      </c>
      <c r="AY34" s="632">
        <v>0</v>
      </c>
      <c r="AZ34" s="632">
        <v>0</v>
      </c>
      <c r="BA34" s="632">
        <v>0</v>
      </c>
      <c r="BB34" s="632">
        <v>0</v>
      </c>
      <c r="BC34" s="632">
        <v>0</v>
      </c>
      <c r="BD34" s="632">
        <v>0</v>
      </c>
      <c r="BE34" s="632">
        <v>0</v>
      </c>
      <c r="BF34" s="632">
        <v>0</v>
      </c>
      <c r="BG34" s="632">
        <v>0</v>
      </c>
      <c r="BH34" s="634">
        <v>11.031354389986282</v>
      </c>
      <c r="BI34" s="634">
        <v>11.077191592716462</v>
      </c>
      <c r="BJ34" s="634">
        <v>11.123219257023694</v>
      </c>
      <c r="BK34" s="635">
        <v>11.050088970667611</v>
      </c>
      <c r="BL34" s="635">
        <v>10.977439483858758</v>
      </c>
      <c r="BM34" s="635">
        <v>11.056245045417823</v>
      </c>
      <c r="BN34" s="635">
        <v>11.135616341503756</v>
      </c>
      <c r="BO34" s="635">
        <v>11.215557433448636</v>
      </c>
      <c r="BP34" s="635">
        <v>11.296072411740292</v>
      </c>
      <c r="BQ34" s="635">
        <v>11.37716539623162</v>
      </c>
      <c r="BR34" s="635">
        <v>11.441032536574504</v>
      </c>
      <c r="BS34" s="635">
        <v>11.505258203094474</v>
      </c>
      <c r="BT34" s="635">
        <v>11.56984440842305</v>
      </c>
      <c r="BU34" s="635">
        <v>11.634793176489909</v>
      </c>
      <c r="BV34" s="635">
        <v>11.700106542586305</v>
      </c>
      <c r="BW34" s="634">
        <v>0</v>
      </c>
      <c r="BX34" s="634">
        <v>0</v>
      </c>
      <c r="BY34" s="634">
        <v>0</v>
      </c>
      <c r="BZ34" s="635">
        <v>0</v>
      </c>
      <c r="CA34" s="635">
        <v>0</v>
      </c>
      <c r="CB34" s="635">
        <v>0</v>
      </c>
      <c r="CC34" s="635">
        <v>0</v>
      </c>
      <c r="CD34" s="635">
        <v>0</v>
      </c>
      <c r="CE34" s="635">
        <v>0</v>
      </c>
      <c r="CF34" s="635">
        <v>0</v>
      </c>
      <c r="CG34" s="635">
        <v>0</v>
      </c>
      <c r="CH34" s="635">
        <v>0</v>
      </c>
      <c r="CI34" s="635">
        <v>0</v>
      </c>
      <c r="CJ34" s="635">
        <v>0</v>
      </c>
      <c r="CK34" s="635">
        <v>0</v>
      </c>
      <c r="CL34" s="634">
        <v>0</v>
      </c>
      <c r="CM34" s="634">
        <v>0</v>
      </c>
      <c r="CN34" s="634">
        <v>0</v>
      </c>
      <c r="CO34" s="635">
        <v>0</v>
      </c>
      <c r="CP34" s="635">
        <v>0</v>
      </c>
      <c r="CQ34" s="635">
        <v>0</v>
      </c>
      <c r="CR34" s="635">
        <v>0</v>
      </c>
      <c r="CS34" s="635">
        <v>0</v>
      </c>
      <c r="CT34" s="635">
        <v>0</v>
      </c>
      <c r="CU34" s="635">
        <v>0</v>
      </c>
      <c r="CV34" s="635">
        <v>0</v>
      </c>
      <c r="CW34" s="635">
        <v>0</v>
      </c>
      <c r="CX34" s="635">
        <v>0</v>
      </c>
      <c r="CY34" s="635">
        <v>0</v>
      </c>
      <c r="CZ34" s="635">
        <v>0</v>
      </c>
      <c r="DA34" s="636">
        <v>1.4352529781402916E-2</v>
      </c>
      <c r="DB34" s="636">
        <v>1.4412167047510359E-2</v>
      </c>
      <c r="DC34" s="636">
        <v>1.4472052116866634E-2</v>
      </c>
      <c r="DD34" s="637">
        <v>1.4376904723741363E-2</v>
      </c>
      <c r="DE34" s="637">
        <v>1.4282382882980432E-2</v>
      </c>
      <c r="DF34" s="637">
        <v>1.4384914188677886E-2</v>
      </c>
      <c r="DG34" s="637">
        <v>1.4488181552828204E-2</v>
      </c>
      <c r="DH34" s="637">
        <v>1.4592190259496015E-2</v>
      </c>
      <c r="DI34" s="637">
        <v>1.4696945630679538E-2</v>
      </c>
      <c r="DJ34" s="637">
        <v>1.4802453026582904E-2</v>
      </c>
      <c r="DK34" s="637">
        <v>1.4885548447273621E-2</v>
      </c>
      <c r="DL34" s="637">
        <v>1.4969110334497106E-2</v>
      </c>
      <c r="DM34" s="637">
        <v>1.505314130682156E-2</v>
      </c>
      <c r="DN34" s="637">
        <v>1.5137643997514844E-2</v>
      </c>
      <c r="DO34" s="637">
        <v>1.5222621054626991E-2</v>
      </c>
      <c r="DP34" s="636">
        <v>0</v>
      </c>
      <c r="DQ34" s="636">
        <v>0</v>
      </c>
      <c r="DR34" s="636">
        <v>0</v>
      </c>
      <c r="DS34" s="637">
        <v>0</v>
      </c>
      <c r="DT34" s="637">
        <v>0</v>
      </c>
      <c r="DU34" s="637">
        <v>0</v>
      </c>
      <c r="DV34" s="637">
        <v>0</v>
      </c>
      <c r="DW34" s="637">
        <v>0</v>
      </c>
      <c r="DX34" s="637">
        <v>0</v>
      </c>
      <c r="DY34" s="637">
        <v>0</v>
      </c>
      <c r="DZ34" s="637">
        <v>0</v>
      </c>
      <c r="EA34" s="637">
        <v>0</v>
      </c>
      <c r="EB34" s="637">
        <v>0</v>
      </c>
      <c r="EC34" s="637">
        <v>0</v>
      </c>
      <c r="ED34" s="637">
        <v>0</v>
      </c>
    </row>
    <row r="35" spans="1:134" ht="15" x14ac:dyDescent="0.25">
      <c r="A35" s="555">
        <v>135</v>
      </c>
      <c r="B35" s="555">
        <v>68</v>
      </c>
      <c r="C35" s="555" t="s">
        <v>1018</v>
      </c>
      <c r="D35" s="812">
        <v>99714</v>
      </c>
      <c r="E35" s="812">
        <v>99714</v>
      </c>
      <c r="F35" s="630" t="s">
        <v>989</v>
      </c>
      <c r="G35" s="45">
        <v>53</v>
      </c>
      <c r="H35" s="45">
        <v>23</v>
      </c>
      <c r="I35" s="45">
        <v>20</v>
      </c>
      <c r="J35" s="45">
        <v>3</v>
      </c>
      <c r="K35" s="45">
        <v>0</v>
      </c>
      <c r="L35" s="45">
        <v>3</v>
      </c>
      <c r="M35" s="45">
        <v>3</v>
      </c>
      <c r="N35" s="45">
        <v>1</v>
      </c>
      <c r="O35" s="45">
        <v>0</v>
      </c>
      <c r="P35" s="45">
        <v>0</v>
      </c>
      <c r="Q35" s="45">
        <v>4</v>
      </c>
      <c r="R35" s="45">
        <v>0</v>
      </c>
      <c r="S35" s="45">
        <v>2356</v>
      </c>
      <c r="T35" s="45">
        <v>2356</v>
      </c>
      <c r="U35" s="45">
        <v>6230</v>
      </c>
      <c r="V35" s="45">
        <v>0</v>
      </c>
      <c r="W35" s="45">
        <v>0</v>
      </c>
      <c r="X35" s="45">
        <v>3324.5</v>
      </c>
      <c r="Y35" s="45">
        <v>0</v>
      </c>
      <c r="Z35" s="45">
        <v>23</v>
      </c>
      <c r="AA35" s="45">
        <v>0</v>
      </c>
      <c r="AB35" s="508">
        <v>1</v>
      </c>
      <c r="AC35" s="508">
        <v>0</v>
      </c>
      <c r="AD35" s="631">
        <v>24</v>
      </c>
      <c r="AE35" s="632">
        <v>0</v>
      </c>
      <c r="AF35" s="632">
        <v>20</v>
      </c>
      <c r="AG35" s="633">
        <v>20</v>
      </c>
      <c r="AH35" s="632">
        <v>0</v>
      </c>
      <c r="AI35" s="632">
        <v>0</v>
      </c>
      <c r="AJ35" s="632">
        <v>21.576990995495077</v>
      </c>
      <c r="AK35" s="632">
        <v>21.576990995495077</v>
      </c>
      <c r="AL35" s="632">
        <v>0</v>
      </c>
      <c r="AM35" s="632">
        <v>0</v>
      </c>
      <c r="AN35" s="632">
        <v>19.127783954510694</v>
      </c>
      <c r="AO35" s="632">
        <v>19.127783954510694</v>
      </c>
      <c r="AP35" s="632">
        <v>0</v>
      </c>
      <c r="AQ35" s="632">
        <v>0.96638421298841071</v>
      </c>
      <c r="AR35" s="632">
        <v>0</v>
      </c>
      <c r="AS35" s="632">
        <v>20.242023496507635</v>
      </c>
      <c r="AT35" s="632">
        <v>20.898850655352916</v>
      </c>
      <c r="AU35" s="632">
        <v>21.576990995495077</v>
      </c>
      <c r="AV35" s="632">
        <v>22.277136101761077</v>
      </c>
      <c r="AW35" s="632">
        <v>23</v>
      </c>
      <c r="AX35" s="632">
        <v>18.29360595052184</v>
      </c>
      <c r="AY35" s="632">
        <v>18.706045610190653</v>
      </c>
      <c r="AZ35" s="632">
        <v>19.127783954510694</v>
      </c>
      <c r="BA35" s="632">
        <v>19.559030627569811</v>
      </c>
      <c r="BB35" s="632">
        <v>20</v>
      </c>
      <c r="BC35" s="632">
        <v>0.93389844711322989</v>
      </c>
      <c r="BD35" s="632">
        <v>0.95000248200971427</v>
      </c>
      <c r="BE35" s="632">
        <v>0.96638421298841071</v>
      </c>
      <c r="BF35" s="632">
        <v>0.98304842860787411</v>
      </c>
      <c r="BG35" s="632">
        <v>1</v>
      </c>
      <c r="BH35" s="634">
        <v>23.261286731762247</v>
      </c>
      <c r="BI35" s="634">
        <v>23.525541757272109</v>
      </c>
      <c r="BJ35" s="634">
        <v>23.792798797215323</v>
      </c>
      <c r="BK35" s="635">
        <v>23.63637158409945</v>
      </c>
      <c r="BL35" s="635">
        <v>23.480972811278129</v>
      </c>
      <c r="BM35" s="635">
        <v>23.649539556835393</v>
      </c>
      <c r="BN35" s="635">
        <v>23.819316420386325</v>
      </c>
      <c r="BO35" s="635">
        <v>23.990312089205243</v>
      </c>
      <c r="BP35" s="635">
        <v>24.162535312931222</v>
      </c>
      <c r="BQ35" s="635">
        <v>24.335994904015838</v>
      </c>
      <c r="BR35" s="635">
        <v>24.472608053933946</v>
      </c>
      <c r="BS35" s="635">
        <v>24.609988098848714</v>
      </c>
      <c r="BT35" s="635">
        <v>24.748139343821084</v>
      </c>
      <c r="BU35" s="635">
        <v>24.887066118078991</v>
      </c>
      <c r="BV35" s="635">
        <v>25.026772775153034</v>
      </c>
      <c r="BW35" s="634">
        <v>20.227205853706302</v>
      </c>
      <c r="BX35" s="634">
        <v>20.456992832410528</v>
      </c>
      <c r="BY35" s="634">
        <v>20.689390258448107</v>
      </c>
      <c r="BZ35" s="635">
        <v>20.55336659486909</v>
      </c>
      <c r="CA35" s="635">
        <v>20.418237227198372</v>
      </c>
      <c r="CB35" s="635">
        <v>20.564817005943823</v>
      </c>
      <c r="CC35" s="635">
        <v>20.712449061205501</v>
      </c>
      <c r="CD35" s="635">
        <v>20.861140947134995</v>
      </c>
      <c r="CE35" s="635">
        <v>21.010900272114107</v>
      </c>
      <c r="CF35" s="635">
        <v>21.161734699144208</v>
      </c>
      <c r="CG35" s="635">
        <v>21.280528742551258</v>
      </c>
      <c r="CH35" s="635">
        <v>21.399989651172795</v>
      </c>
      <c r="CI35" s="635">
        <v>21.520121168540072</v>
      </c>
      <c r="CJ35" s="635">
        <v>21.640927059199125</v>
      </c>
      <c r="CK35" s="635">
        <v>21.762411108828726</v>
      </c>
      <c r="CL35" s="634">
        <v>1.0113602926853151</v>
      </c>
      <c r="CM35" s="634">
        <v>1.0228496416205264</v>
      </c>
      <c r="CN35" s="634">
        <v>1.0344695129224053</v>
      </c>
      <c r="CO35" s="635">
        <v>1.0276683297434543</v>
      </c>
      <c r="CP35" s="635">
        <v>1.0209118613599186</v>
      </c>
      <c r="CQ35" s="635">
        <v>1.0282408502971909</v>
      </c>
      <c r="CR35" s="635">
        <v>1.0356224530602751</v>
      </c>
      <c r="CS35" s="635">
        <v>1.0430570473567498</v>
      </c>
      <c r="CT35" s="635">
        <v>1.0505450136057053</v>
      </c>
      <c r="CU35" s="635">
        <v>1.0580867349572103</v>
      </c>
      <c r="CV35" s="635">
        <v>1.064026437127563</v>
      </c>
      <c r="CW35" s="635">
        <v>1.0699994825586396</v>
      </c>
      <c r="CX35" s="635">
        <v>1.0760060584270035</v>
      </c>
      <c r="CY35" s="635">
        <v>1.0820463529599562</v>
      </c>
      <c r="CZ35" s="635">
        <v>1.0881205554414362</v>
      </c>
      <c r="DA35" s="636">
        <v>0</v>
      </c>
      <c r="DB35" s="636">
        <v>0</v>
      </c>
      <c r="DC35" s="636">
        <v>0</v>
      </c>
      <c r="DD35" s="637">
        <v>0</v>
      </c>
      <c r="DE35" s="637">
        <v>0</v>
      </c>
      <c r="DF35" s="637">
        <v>0</v>
      </c>
      <c r="DG35" s="637">
        <v>0</v>
      </c>
      <c r="DH35" s="637">
        <v>0</v>
      </c>
      <c r="DI35" s="637">
        <v>0</v>
      </c>
      <c r="DJ35" s="637">
        <v>0</v>
      </c>
      <c r="DK35" s="637">
        <v>0</v>
      </c>
      <c r="DL35" s="637">
        <v>0</v>
      </c>
      <c r="DM35" s="637">
        <v>0</v>
      </c>
      <c r="DN35" s="637">
        <v>0</v>
      </c>
      <c r="DO35" s="637">
        <v>0</v>
      </c>
      <c r="DP35" s="636">
        <v>0</v>
      </c>
      <c r="DQ35" s="636">
        <v>0</v>
      </c>
      <c r="DR35" s="636">
        <v>0</v>
      </c>
      <c r="DS35" s="637">
        <v>0</v>
      </c>
      <c r="DT35" s="637">
        <v>0</v>
      </c>
      <c r="DU35" s="637">
        <v>0</v>
      </c>
      <c r="DV35" s="637">
        <v>0</v>
      </c>
      <c r="DW35" s="637">
        <v>0</v>
      </c>
      <c r="DX35" s="637">
        <v>0</v>
      </c>
      <c r="DY35" s="637">
        <v>0</v>
      </c>
      <c r="DZ35" s="637">
        <v>0</v>
      </c>
      <c r="EA35" s="637">
        <v>0</v>
      </c>
      <c r="EB35" s="637">
        <v>0</v>
      </c>
      <c r="EC35" s="637">
        <v>0</v>
      </c>
      <c r="ED35" s="637">
        <v>0</v>
      </c>
    </row>
    <row r="36" spans="1:134" ht="15" x14ac:dyDescent="0.25">
      <c r="A36" s="555">
        <v>158</v>
      </c>
      <c r="B36" s="555">
        <v>68</v>
      </c>
      <c r="C36" s="555" t="s">
        <v>1019</v>
      </c>
      <c r="D36" s="812">
        <v>99714</v>
      </c>
      <c r="E36" s="812">
        <v>99714</v>
      </c>
      <c r="F36" s="630" t="s">
        <v>989</v>
      </c>
      <c r="G36" s="45">
        <v>0</v>
      </c>
      <c r="H36" s="45">
        <v>12</v>
      </c>
      <c r="I36" s="45">
        <v>0</v>
      </c>
      <c r="J36" s="45">
        <v>12</v>
      </c>
      <c r="K36" s="45">
        <v>0</v>
      </c>
      <c r="L36" s="45">
        <v>3</v>
      </c>
      <c r="M36" s="45">
        <v>3</v>
      </c>
      <c r="N36" s="45">
        <v>0</v>
      </c>
      <c r="O36" s="45">
        <v>0</v>
      </c>
      <c r="P36" s="45">
        <v>0</v>
      </c>
      <c r="Q36" s="45">
        <v>3</v>
      </c>
      <c r="R36" s="45">
        <v>0</v>
      </c>
      <c r="S36" s="45">
        <v>565.33333333333337</v>
      </c>
      <c r="T36" s="45">
        <v>565.33333333333337</v>
      </c>
      <c r="U36" s="45">
        <v>0</v>
      </c>
      <c r="V36" s="45">
        <v>0</v>
      </c>
      <c r="W36" s="45">
        <v>0</v>
      </c>
      <c r="X36" s="45">
        <v>565.33333333333337</v>
      </c>
      <c r="Y36" s="45">
        <v>0</v>
      </c>
      <c r="Z36" s="45">
        <v>12</v>
      </c>
      <c r="AA36" s="45">
        <v>0</v>
      </c>
      <c r="AB36" s="508">
        <v>0</v>
      </c>
      <c r="AC36" s="508">
        <v>0</v>
      </c>
      <c r="AD36" s="631">
        <v>12</v>
      </c>
      <c r="AE36" s="632">
        <v>0</v>
      </c>
      <c r="AF36" s="632">
        <v>0</v>
      </c>
      <c r="AG36" s="633">
        <v>0</v>
      </c>
      <c r="AH36" s="632">
        <v>0</v>
      </c>
      <c r="AI36" s="632">
        <v>0</v>
      </c>
      <c r="AJ36" s="632">
        <v>11.257560519388736</v>
      </c>
      <c r="AK36" s="632">
        <v>11.257560519388736</v>
      </c>
      <c r="AL36" s="632">
        <v>0</v>
      </c>
      <c r="AM36" s="632">
        <v>0</v>
      </c>
      <c r="AN36" s="632">
        <v>0</v>
      </c>
      <c r="AO36" s="632">
        <v>0</v>
      </c>
      <c r="AP36" s="632">
        <v>0</v>
      </c>
      <c r="AQ36" s="632">
        <v>0</v>
      </c>
      <c r="AR36" s="632">
        <v>0</v>
      </c>
      <c r="AS36" s="632">
        <v>10.561055737308331</v>
      </c>
      <c r="AT36" s="632">
        <v>10.903748168010218</v>
      </c>
      <c r="AU36" s="632">
        <v>11.257560519388736</v>
      </c>
      <c r="AV36" s="632">
        <v>11.622853618310128</v>
      </c>
      <c r="AW36" s="632">
        <v>12</v>
      </c>
      <c r="AX36" s="632">
        <v>0</v>
      </c>
      <c r="AY36" s="632">
        <v>0</v>
      </c>
      <c r="AZ36" s="632">
        <v>0</v>
      </c>
      <c r="BA36" s="632">
        <v>0</v>
      </c>
      <c r="BB36" s="632">
        <v>0</v>
      </c>
      <c r="BC36" s="632">
        <v>0</v>
      </c>
      <c r="BD36" s="632">
        <v>0</v>
      </c>
      <c r="BE36" s="632">
        <v>0</v>
      </c>
      <c r="BF36" s="632">
        <v>0</v>
      </c>
      <c r="BG36" s="632">
        <v>0</v>
      </c>
      <c r="BH36" s="634">
        <v>12.098606624529648</v>
      </c>
      <c r="BI36" s="634">
        <v>12.19802352125939</v>
      </c>
      <c r="BJ36" s="634">
        <v>12.298257348373113</v>
      </c>
      <c r="BK36" s="635">
        <v>12.217401702108708</v>
      </c>
      <c r="BL36" s="635">
        <v>12.137077646243466</v>
      </c>
      <c r="BM36" s="635">
        <v>12.224208094195793</v>
      </c>
      <c r="BN36" s="635">
        <v>12.311964039914688</v>
      </c>
      <c r="BO36" s="635">
        <v>12.400349973764486</v>
      </c>
      <c r="BP36" s="635">
        <v>12.48937041834524</v>
      </c>
      <c r="BQ36" s="635">
        <v>12.579029928724147</v>
      </c>
      <c r="BR36" s="635">
        <v>12.649643885879176</v>
      </c>
      <c r="BS36" s="635">
        <v>12.720654243310962</v>
      </c>
      <c r="BT36" s="635">
        <v>12.792063226262021</v>
      </c>
      <c r="BU36" s="635">
        <v>12.863873072466541</v>
      </c>
      <c r="BV36" s="635">
        <v>12.936086032220505</v>
      </c>
      <c r="BW36" s="634">
        <v>0</v>
      </c>
      <c r="BX36" s="634">
        <v>0</v>
      </c>
      <c r="BY36" s="634">
        <v>0</v>
      </c>
      <c r="BZ36" s="635">
        <v>0</v>
      </c>
      <c r="CA36" s="635">
        <v>0</v>
      </c>
      <c r="CB36" s="635">
        <v>0</v>
      </c>
      <c r="CC36" s="635">
        <v>0</v>
      </c>
      <c r="CD36" s="635">
        <v>0</v>
      </c>
      <c r="CE36" s="635">
        <v>0</v>
      </c>
      <c r="CF36" s="635">
        <v>0</v>
      </c>
      <c r="CG36" s="635">
        <v>0</v>
      </c>
      <c r="CH36" s="635">
        <v>0</v>
      </c>
      <c r="CI36" s="635">
        <v>0</v>
      </c>
      <c r="CJ36" s="635">
        <v>0</v>
      </c>
      <c r="CK36" s="635">
        <v>0</v>
      </c>
      <c r="CL36" s="634">
        <v>0</v>
      </c>
      <c r="CM36" s="634">
        <v>0</v>
      </c>
      <c r="CN36" s="634">
        <v>0</v>
      </c>
      <c r="CO36" s="635">
        <v>0</v>
      </c>
      <c r="CP36" s="635">
        <v>0</v>
      </c>
      <c r="CQ36" s="635">
        <v>0</v>
      </c>
      <c r="CR36" s="635">
        <v>0</v>
      </c>
      <c r="CS36" s="635">
        <v>0</v>
      </c>
      <c r="CT36" s="635">
        <v>0</v>
      </c>
      <c r="CU36" s="635">
        <v>0</v>
      </c>
      <c r="CV36" s="635">
        <v>0</v>
      </c>
      <c r="CW36" s="635">
        <v>0</v>
      </c>
      <c r="CX36" s="635">
        <v>0</v>
      </c>
      <c r="CY36" s="635">
        <v>0</v>
      </c>
      <c r="CZ36" s="635">
        <v>0</v>
      </c>
      <c r="DA36" s="636">
        <v>0</v>
      </c>
      <c r="DB36" s="636">
        <v>0</v>
      </c>
      <c r="DC36" s="636">
        <v>0</v>
      </c>
      <c r="DD36" s="637">
        <v>0</v>
      </c>
      <c r="DE36" s="637">
        <v>0</v>
      </c>
      <c r="DF36" s="637">
        <v>0</v>
      </c>
      <c r="DG36" s="637">
        <v>0</v>
      </c>
      <c r="DH36" s="637">
        <v>0</v>
      </c>
      <c r="DI36" s="637">
        <v>0</v>
      </c>
      <c r="DJ36" s="637">
        <v>0</v>
      </c>
      <c r="DK36" s="637">
        <v>0</v>
      </c>
      <c r="DL36" s="637">
        <v>0</v>
      </c>
      <c r="DM36" s="637">
        <v>0</v>
      </c>
      <c r="DN36" s="637">
        <v>0</v>
      </c>
      <c r="DO36" s="637">
        <v>0</v>
      </c>
      <c r="DP36" s="636">
        <v>0</v>
      </c>
      <c r="DQ36" s="636">
        <v>0</v>
      </c>
      <c r="DR36" s="636">
        <v>0</v>
      </c>
      <c r="DS36" s="637">
        <v>0</v>
      </c>
      <c r="DT36" s="637">
        <v>0</v>
      </c>
      <c r="DU36" s="637">
        <v>0</v>
      </c>
      <c r="DV36" s="637">
        <v>0</v>
      </c>
      <c r="DW36" s="637">
        <v>0</v>
      </c>
      <c r="DX36" s="637">
        <v>0</v>
      </c>
      <c r="DY36" s="637">
        <v>0</v>
      </c>
      <c r="DZ36" s="637">
        <v>0</v>
      </c>
      <c r="EA36" s="637">
        <v>0</v>
      </c>
      <c r="EB36" s="637">
        <v>0</v>
      </c>
      <c r="EC36" s="637">
        <v>0</v>
      </c>
      <c r="ED36" s="637">
        <v>0</v>
      </c>
    </row>
    <row r="37" spans="1:134" ht="15" x14ac:dyDescent="0.25">
      <c r="A37" s="555">
        <v>138</v>
      </c>
      <c r="B37" s="555">
        <v>69</v>
      </c>
      <c r="C37" s="555" t="s">
        <v>1020</v>
      </c>
      <c r="D37" s="812">
        <v>99714</v>
      </c>
      <c r="E37" s="812">
        <v>99714</v>
      </c>
      <c r="F37" s="630" t="s">
        <v>989</v>
      </c>
      <c r="G37" s="45">
        <v>106</v>
      </c>
      <c r="H37" s="45">
        <v>55</v>
      </c>
      <c r="I37" s="45">
        <v>34</v>
      </c>
      <c r="J37" s="45">
        <v>21</v>
      </c>
      <c r="K37" s="45">
        <v>0</v>
      </c>
      <c r="L37" s="45">
        <v>2</v>
      </c>
      <c r="M37" s="45">
        <v>2</v>
      </c>
      <c r="N37" s="45">
        <v>0</v>
      </c>
      <c r="O37" s="45">
        <v>0</v>
      </c>
      <c r="P37" s="45">
        <v>0</v>
      </c>
      <c r="Q37" s="45">
        <v>2</v>
      </c>
      <c r="R37" s="45">
        <v>0</v>
      </c>
      <c r="S37" s="45">
        <v>1003</v>
      </c>
      <c r="T37" s="45">
        <v>1003</v>
      </c>
      <c r="U37" s="45">
        <v>0</v>
      </c>
      <c r="V37" s="45">
        <v>0</v>
      </c>
      <c r="W37" s="45">
        <v>0</v>
      </c>
      <c r="X37" s="45">
        <v>1003</v>
      </c>
      <c r="Y37" s="45">
        <v>0</v>
      </c>
      <c r="Z37" s="45">
        <v>55</v>
      </c>
      <c r="AA37" s="45">
        <v>0</v>
      </c>
      <c r="AB37" s="508">
        <v>0</v>
      </c>
      <c r="AC37" s="508">
        <v>0</v>
      </c>
      <c r="AD37" s="631">
        <v>55</v>
      </c>
      <c r="AE37" s="632">
        <v>0</v>
      </c>
      <c r="AF37" s="632">
        <v>34</v>
      </c>
      <c r="AG37" s="633">
        <v>34</v>
      </c>
      <c r="AH37" s="632">
        <v>0</v>
      </c>
      <c r="AI37" s="632">
        <v>0</v>
      </c>
      <c r="AJ37" s="632">
        <v>51.597152380531703</v>
      </c>
      <c r="AK37" s="632">
        <v>51.597152380531703</v>
      </c>
      <c r="AL37" s="632">
        <v>0</v>
      </c>
      <c r="AM37" s="632">
        <v>0</v>
      </c>
      <c r="AN37" s="632">
        <v>32.517232722668183</v>
      </c>
      <c r="AO37" s="632">
        <v>32.517232722668183</v>
      </c>
      <c r="AP37" s="632">
        <v>0</v>
      </c>
      <c r="AQ37" s="632">
        <v>0</v>
      </c>
      <c r="AR37" s="632">
        <v>0</v>
      </c>
      <c r="AS37" s="632">
        <v>48.404838795996518</v>
      </c>
      <c r="AT37" s="632">
        <v>49.975512436713494</v>
      </c>
      <c r="AU37" s="632">
        <v>51.597152380531703</v>
      </c>
      <c r="AV37" s="632">
        <v>53.271412417254751</v>
      </c>
      <c r="AW37" s="632">
        <v>55</v>
      </c>
      <c r="AX37" s="632">
        <v>31.099130115887132</v>
      </c>
      <c r="AY37" s="632">
        <v>31.80027753732411</v>
      </c>
      <c r="AZ37" s="632">
        <v>32.517232722668183</v>
      </c>
      <c r="BA37" s="632">
        <v>33.250352066868679</v>
      </c>
      <c r="BB37" s="632">
        <v>34</v>
      </c>
      <c r="BC37" s="632">
        <v>0</v>
      </c>
      <c r="BD37" s="632">
        <v>0</v>
      </c>
      <c r="BE37" s="632">
        <v>0</v>
      </c>
      <c r="BF37" s="632">
        <v>0</v>
      </c>
      <c r="BG37" s="632">
        <v>0</v>
      </c>
      <c r="BH37" s="634">
        <v>55.624816097692332</v>
      </c>
      <c r="BI37" s="634">
        <v>56.256730289128953</v>
      </c>
      <c r="BJ37" s="634">
        <v>56.895823210732289</v>
      </c>
      <c r="BK37" s="635">
        <v>56.521758135889989</v>
      </c>
      <c r="BL37" s="635">
        <v>56.150152374795525</v>
      </c>
      <c r="BM37" s="635">
        <v>56.553246766345502</v>
      </c>
      <c r="BN37" s="635">
        <v>56.959234918315126</v>
      </c>
      <c r="BO37" s="635">
        <v>57.368137604621225</v>
      </c>
      <c r="BP37" s="635">
        <v>57.779975748313788</v>
      </c>
      <c r="BQ37" s="635">
        <v>58.194770422646563</v>
      </c>
      <c r="BR37" s="635">
        <v>58.521454042015954</v>
      </c>
      <c r="BS37" s="635">
        <v>58.849971540725178</v>
      </c>
      <c r="BT37" s="635">
        <v>59.180333213485191</v>
      </c>
      <c r="BU37" s="635">
        <v>59.512549412797583</v>
      </c>
      <c r="BV37" s="635">
        <v>59.846630549278991</v>
      </c>
      <c r="BW37" s="634">
        <v>34.386249951300712</v>
      </c>
      <c r="BX37" s="634">
        <v>34.776887815097894</v>
      </c>
      <c r="BY37" s="634">
        <v>35.171963439361782</v>
      </c>
      <c r="BZ37" s="635">
        <v>34.940723211277451</v>
      </c>
      <c r="CA37" s="635">
        <v>34.711003286237236</v>
      </c>
      <c r="CB37" s="635">
        <v>34.960188910104499</v>
      </c>
      <c r="CC37" s="635">
        <v>35.211163404049351</v>
      </c>
      <c r="CD37" s="635">
        <v>35.463939610129493</v>
      </c>
      <c r="CE37" s="635">
        <v>35.718530462593982</v>
      </c>
      <c r="CF37" s="635">
        <v>35.974948988545151</v>
      </c>
      <c r="CG37" s="635">
        <v>36.17689886233714</v>
      </c>
      <c r="CH37" s="635">
        <v>36.379982406993754</v>
      </c>
      <c r="CI37" s="635">
        <v>36.584205986518121</v>
      </c>
      <c r="CJ37" s="635">
        <v>36.789576000638512</v>
      </c>
      <c r="CK37" s="635">
        <v>36.996098885008834</v>
      </c>
      <c r="CL37" s="634">
        <v>0</v>
      </c>
      <c r="CM37" s="634">
        <v>0</v>
      </c>
      <c r="CN37" s="634">
        <v>0</v>
      </c>
      <c r="CO37" s="635">
        <v>0</v>
      </c>
      <c r="CP37" s="635">
        <v>0</v>
      </c>
      <c r="CQ37" s="635">
        <v>0</v>
      </c>
      <c r="CR37" s="635">
        <v>0</v>
      </c>
      <c r="CS37" s="635">
        <v>0</v>
      </c>
      <c r="CT37" s="635">
        <v>0</v>
      </c>
      <c r="CU37" s="635">
        <v>0</v>
      </c>
      <c r="CV37" s="635">
        <v>0</v>
      </c>
      <c r="CW37" s="635">
        <v>0</v>
      </c>
      <c r="CX37" s="635">
        <v>0</v>
      </c>
      <c r="CY37" s="635">
        <v>0</v>
      </c>
      <c r="CZ37" s="635">
        <v>0</v>
      </c>
      <c r="DA37" s="636">
        <v>0</v>
      </c>
      <c r="DB37" s="636">
        <v>0</v>
      </c>
      <c r="DC37" s="636">
        <v>0</v>
      </c>
      <c r="DD37" s="637">
        <v>0</v>
      </c>
      <c r="DE37" s="637">
        <v>0</v>
      </c>
      <c r="DF37" s="637">
        <v>0</v>
      </c>
      <c r="DG37" s="637">
        <v>0</v>
      </c>
      <c r="DH37" s="637">
        <v>0</v>
      </c>
      <c r="DI37" s="637">
        <v>0</v>
      </c>
      <c r="DJ37" s="637">
        <v>0</v>
      </c>
      <c r="DK37" s="637">
        <v>0</v>
      </c>
      <c r="DL37" s="637">
        <v>0</v>
      </c>
      <c r="DM37" s="637">
        <v>0</v>
      </c>
      <c r="DN37" s="637">
        <v>0</v>
      </c>
      <c r="DO37" s="637">
        <v>0</v>
      </c>
      <c r="DP37" s="636">
        <v>0</v>
      </c>
      <c r="DQ37" s="636">
        <v>0</v>
      </c>
      <c r="DR37" s="636">
        <v>0</v>
      </c>
      <c r="DS37" s="637">
        <v>0</v>
      </c>
      <c r="DT37" s="637">
        <v>0</v>
      </c>
      <c r="DU37" s="637">
        <v>0</v>
      </c>
      <c r="DV37" s="637">
        <v>0</v>
      </c>
      <c r="DW37" s="637">
        <v>0</v>
      </c>
      <c r="DX37" s="637">
        <v>0</v>
      </c>
      <c r="DY37" s="637">
        <v>0</v>
      </c>
      <c r="DZ37" s="637">
        <v>0</v>
      </c>
      <c r="EA37" s="637">
        <v>0</v>
      </c>
      <c r="EB37" s="637">
        <v>0</v>
      </c>
      <c r="EC37" s="637">
        <v>0</v>
      </c>
      <c r="ED37" s="637">
        <v>0</v>
      </c>
    </row>
    <row r="38" spans="1:134" ht="15" x14ac:dyDescent="0.25">
      <c r="A38" s="555">
        <v>152</v>
      </c>
      <c r="B38" s="555">
        <v>69</v>
      </c>
      <c r="C38" s="555" t="s">
        <v>1021</v>
      </c>
      <c r="D38" s="812">
        <v>99714</v>
      </c>
      <c r="E38" s="812">
        <v>99714</v>
      </c>
      <c r="F38" s="630" t="s">
        <v>989</v>
      </c>
      <c r="G38" s="45">
        <v>2</v>
      </c>
      <c r="H38" s="45">
        <v>22</v>
      </c>
      <c r="I38" s="45">
        <v>1</v>
      </c>
      <c r="J38" s="45">
        <v>21</v>
      </c>
      <c r="K38" s="45">
        <v>0</v>
      </c>
      <c r="L38" s="45">
        <v>0</v>
      </c>
      <c r="M38" s="45">
        <v>0</v>
      </c>
      <c r="N38" s="45">
        <v>0</v>
      </c>
      <c r="O38" s="45">
        <v>0</v>
      </c>
      <c r="P38" s="45">
        <v>0</v>
      </c>
      <c r="Q38" s="45">
        <v>0</v>
      </c>
      <c r="R38" s="45">
        <v>0</v>
      </c>
      <c r="S38" s="45">
        <v>834.49503068156923</v>
      </c>
      <c r="T38" s="45">
        <v>834.49503068156923</v>
      </c>
      <c r="U38" s="45">
        <v>1408.3846153846155</v>
      </c>
      <c r="V38" s="45">
        <v>0</v>
      </c>
      <c r="W38" s="45">
        <v>0</v>
      </c>
      <c r="X38" s="45">
        <v>1365.173957061457</v>
      </c>
      <c r="Y38" s="45">
        <v>0.50407137907137911</v>
      </c>
      <c r="Z38" s="45">
        <v>21.467342342342342</v>
      </c>
      <c r="AA38" s="45">
        <v>2.8586278586278588E-2</v>
      </c>
      <c r="AB38" s="508">
        <v>0</v>
      </c>
      <c r="AC38" s="508">
        <v>0</v>
      </c>
      <c r="AD38" s="631">
        <v>22</v>
      </c>
      <c r="AE38" s="632">
        <v>2.2912335412335415E-2</v>
      </c>
      <c r="AF38" s="632">
        <v>0.97578828828828823</v>
      </c>
      <c r="AG38" s="633">
        <v>0.99870062370062362</v>
      </c>
      <c r="AH38" s="632">
        <v>1.2993762993762994E-3</v>
      </c>
      <c r="AI38" s="632">
        <v>0.47288450466564924</v>
      </c>
      <c r="AJ38" s="632">
        <v>20.139158800779605</v>
      </c>
      <c r="AK38" s="632">
        <v>20.612043305445255</v>
      </c>
      <c r="AL38" s="632">
        <v>2.6817646767428122E-2</v>
      </c>
      <c r="AM38" s="632">
        <v>2.1913110083021825E-2</v>
      </c>
      <c r="AN38" s="632">
        <v>0.93323337818600882</v>
      </c>
      <c r="AO38" s="632">
        <v>0.95514648826903059</v>
      </c>
      <c r="AP38" s="632">
        <v>1.2427094565040733E-3</v>
      </c>
      <c r="AQ38" s="632">
        <v>0</v>
      </c>
      <c r="AR38" s="632">
        <v>0</v>
      </c>
      <c r="AS38" s="632">
        <v>19.336777078275947</v>
      </c>
      <c r="AT38" s="632">
        <v>19.964230176121617</v>
      </c>
      <c r="AU38" s="632">
        <v>20.612043305445255</v>
      </c>
      <c r="AV38" s="632">
        <v>21.280877122610189</v>
      </c>
      <c r="AW38" s="632">
        <v>21.971413721413722</v>
      </c>
      <c r="AX38" s="632">
        <v>0.91349178362598016</v>
      </c>
      <c r="AY38" s="632">
        <v>0.93408697089348591</v>
      </c>
      <c r="AZ38" s="632">
        <v>0.95514648826903059</v>
      </c>
      <c r="BA38" s="632">
        <v>0.97668080433667848</v>
      </c>
      <c r="BB38" s="632">
        <v>0.99870062370062362</v>
      </c>
      <c r="BC38" s="632">
        <v>0</v>
      </c>
      <c r="BD38" s="632">
        <v>0</v>
      </c>
      <c r="BE38" s="632">
        <v>0</v>
      </c>
      <c r="BF38" s="632">
        <v>0</v>
      </c>
      <c r="BG38" s="632">
        <v>0</v>
      </c>
      <c r="BH38" s="634">
        <v>22.221015411999129</v>
      </c>
      <c r="BI38" s="634">
        <v>22.47345265084434</v>
      </c>
      <c r="BJ38" s="634">
        <v>22.728757650607506</v>
      </c>
      <c r="BK38" s="635">
        <v>22.579326041187656</v>
      </c>
      <c r="BL38" s="635">
        <v>22.430876879037339</v>
      </c>
      <c r="BM38" s="635">
        <v>22.591905127137817</v>
      </c>
      <c r="BN38" s="635">
        <v>22.754089375372665</v>
      </c>
      <c r="BO38" s="635">
        <v>22.917437922511372</v>
      </c>
      <c r="BP38" s="635">
        <v>23.081959126899161</v>
      </c>
      <c r="BQ38" s="635">
        <v>23.247661406884696</v>
      </c>
      <c r="BR38" s="635">
        <v>23.37816506065149</v>
      </c>
      <c r="BS38" s="635">
        <v>23.509401312994481</v>
      </c>
      <c r="BT38" s="635">
        <v>23.641374276447362</v>
      </c>
      <c r="BU38" s="635">
        <v>23.774088086630055</v>
      </c>
      <c r="BV38" s="635">
        <v>23.907546902378293</v>
      </c>
      <c r="BW38" s="634">
        <v>1.0100461550908695</v>
      </c>
      <c r="BX38" s="634">
        <v>1.0215205750383791</v>
      </c>
      <c r="BY38" s="634">
        <v>1.0331253477548865</v>
      </c>
      <c r="BZ38" s="635">
        <v>1.0263330018721659</v>
      </c>
      <c r="CA38" s="635">
        <v>1.0195853126835153</v>
      </c>
      <c r="CB38" s="635">
        <v>1.0269047785062642</v>
      </c>
      <c r="CC38" s="635">
        <v>1.0342767897896665</v>
      </c>
      <c r="CD38" s="635">
        <v>1.0417017237505168</v>
      </c>
      <c r="CE38" s="635">
        <v>1.0491799603135981</v>
      </c>
      <c r="CF38" s="635">
        <v>1.0567118821311223</v>
      </c>
      <c r="CG38" s="635">
        <v>1.0626438663932494</v>
      </c>
      <c r="CH38" s="635">
        <v>1.0686091505906581</v>
      </c>
      <c r="CI38" s="635">
        <v>1.0746079216566982</v>
      </c>
      <c r="CJ38" s="635">
        <v>1.0806403675740934</v>
      </c>
      <c r="CK38" s="635">
        <v>1.0867066773808314</v>
      </c>
      <c r="CL38" s="634">
        <v>0</v>
      </c>
      <c r="CM38" s="634">
        <v>0</v>
      </c>
      <c r="CN38" s="634">
        <v>0</v>
      </c>
      <c r="CO38" s="635">
        <v>0</v>
      </c>
      <c r="CP38" s="635">
        <v>0</v>
      </c>
      <c r="CQ38" s="635">
        <v>0</v>
      </c>
      <c r="CR38" s="635">
        <v>0</v>
      </c>
      <c r="CS38" s="635">
        <v>0</v>
      </c>
      <c r="CT38" s="635">
        <v>0</v>
      </c>
      <c r="CU38" s="635">
        <v>0</v>
      </c>
      <c r="CV38" s="635">
        <v>0</v>
      </c>
      <c r="CW38" s="635">
        <v>0</v>
      </c>
      <c r="CX38" s="635">
        <v>0</v>
      </c>
      <c r="CY38" s="635">
        <v>0</v>
      </c>
      <c r="CZ38" s="635">
        <v>0</v>
      </c>
      <c r="DA38" s="636">
        <v>2.8911027077802669E-2</v>
      </c>
      <c r="DB38" s="636">
        <v>2.923946480723958E-2</v>
      </c>
      <c r="DC38" s="636">
        <v>2.9571633685411797E-2</v>
      </c>
      <c r="DD38" s="637">
        <v>2.9377213168341992E-2</v>
      </c>
      <c r="DE38" s="637">
        <v>2.9184070880870858E-2</v>
      </c>
      <c r="DF38" s="637">
        <v>2.939357940038748E-2</v>
      </c>
      <c r="DG38" s="637">
        <v>2.9604591953386244E-2</v>
      </c>
      <c r="DH38" s="637">
        <v>2.9817119337121226E-2</v>
      </c>
      <c r="DI38" s="637">
        <v>3.0031172426358523E-2</v>
      </c>
      <c r="DJ38" s="637">
        <v>3.0246762173932733E-2</v>
      </c>
      <c r="DK38" s="637">
        <v>3.0416556154893953E-2</v>
      </c>
      <c r="DL38" s="637">
        <v>3.0587303295595211E-2</v>
      </c>
      <c r="DM38" s="637">
        <v>3.0759008946717879E-2</v>
      </c>
      <c r="DN38" s="637">
        <v>3.0931678488980038E-2</v>
      </c>
      <c r="DO38" s="637">
        <v>3.1105317333305092E-2</v>
      </c>
      <c r="DP38" s="636">
        <v>0</v>
      </c>
      <c r="DQ38" s="636">
        <v>0</v>
      </c>
      <c r="DR38" s="636">
        <v>0</v>
      </c>
      <c r="DS38" s="637">
        <v>0</v>
      </c>
      <c r="DT38" s="637">
        <v>0</v>
      </c>
      <c r="DU38" s="637">
        <v>0</v>
      </c>
      <c r="DV38" s="637">
        <v>0</v>
      </c>
      <c r="DW38" s="637">
        <v>0</v>
      </c>
      <c r="DX38" s="637">
        <v>0</v>
      </c>
      <c r="DY38" s="637">
        <v>0</v>
      </c>
      <c r="DZ38" s="637">
        <v>0</v>
      </c>
      <c r="EA38" s="637">
        <v>0</v>
      </c>
      <c r="EB38" s="637">
        <v>0</v>
      </c>
      <c r="EC38" s="637">
        <v>0</v>
      </c>
      <c r="ED38" s="637">
        <v>0</v>
      </c>
    </row>
    <row r="39" spans="1:134" ht="15" x14ac:dyDescent="0.25">
      <c r="A39" s="555">
        <v>134</v>
      </c>
      <c r="B39" s="555">
        <v>70</v>
      </c>
      <c r="C39" s="555" t="s">
        <v>1022</v>
      </c>
      <c r="D39" s="812">
        <v>99714</v>
      </c>
      <c r="E39" s="812">
        <v>99714</v>
      </c>
      <c r="F39" s="630" t="s">
        <v>989</v>
      </c>
      <c r="G39" s="45">
        <v>127</v>
      </c>
      <c r="H39" s="45">
        <v>50</v>
      </c>
      <c r="I39" s="45">
        <v>45</v>
      </c>
      <c r="J39" s="45">
        <v>5</v>
      </c>
      <c r="K39" s="45">
        <v>0</v>
      </c>
      <c r="L39" s="45">
        <v>32</v>
      </c>
      <c r="M39" s="45">
        <v>32</v>
      </c>
      <c r="N39" s="45">
        <v>1</v>
      </c>
      <c r="O39" s="45">
        <v>0</v>
      </c>
      <c r="P39" s="45">
        <v>0</v>
      </c>
      <c r="Q39" s="45">
        <v>33</v>
      </c>
      <c r="R39" s="45">
        <v>0</v>
      </c>
      <c r="S39" s="45">
        <v>1735.09375</v>
      </c>
      <c r="T39" s="45">
        <v>1735.09375</v>
      </c>
      <c r="U39" s="45">
        <v>1452</v>
      </c>
      <c r="V39" s="45">
        <v>0</v>
      </c>
      <c r="W39" s="45">
        <v>0</v>
      </c>
      <c r="X39" s="45">
        <v>1726.5151515151515</v>
      </c>
      <c r="Y39" s="45">
        <v>0</v>
      </c>
      <c r="Z39" s="45">
        <v>50</v>
      </c>
      <c r="AA39" s="45">
        <v>0</v>
      </c>
      <c r="AB39" s="508">
        <v>1</v>
      </c>
      <c r="AC39" s="508">
        <v>0</v>
      </c>
      <c r="AD39" s="631">
        <v>51</v>
      </c>
      <c r="AE39" s="632">
        <v>0</v>
      </c>
      <c r="AF39" s="632">
        <v>45</v>
      </c>
      <c r="AG39" s="633">
        <v>45</v>
      </c>
      <c r="AH39" s="632">
        <v>0</v>
      </c>
      <c r="AI39" s="632">
        <v>0</v>
      </c>
      <c r="AJ39" s="632">
        <v>46.906502164119736</v>
      </c>
      <c r="AK39" s="632">
        <v>46.906502164119736</v>
      </c>
      <c r="AL39" s="632">
        <v>0</v>
      </c>
      <c r="AM39" s="632">
        <v>0</v>
      </c>
      <c r="AN39" s="632">
        <v>43.037513897649063</v>
      </c>
      <c r="AO39" s="632">
        <v>43.037513897649063</v>
      </c>
      <c r="AP39" s="632">
        <v>0</v>
      </c>
      <c r="AQ39" s="632">
        <v>0.96638421298841071</v>
      </c>
      <c r="AR39" s="632">
        <v>0</v>
      </c>
      <c r="AS39" s="632">
        <v>44.004398905451382</v>
      </c>
      <c r="AT39" s="632">
        <v>45.4322840333759</v>
      </c>
      <c r="AU39" s="632">
        <v>46.906502164119736</v>
      </c>
      <c r="AV39" s="632">
        <v>48.428556742958861</v>
      </c>
      <c r="AW39" s="632">
        <v>50</v>
      </c>
      <c r="AX39" s="632">
        <v>41.160613388674143</v>
      </c>
      <c r="AY39" s="632">
        <v>42.088602622928967</v>
      </c>
      <c r="AZ39" s="632">
        <v>43.037513897649063</v>
      </c>
      <c r="BA39" s="632">
        <v>44.007818912032072</v>
      </c>
      <c r="BB39" s="632">
        <v>45</v>
      </c>
      <c r="BC39" s="632">
        <v>0.93389844711322989</v>
      </c>
      <c r="BD39" s="632">
        <v>0.95000248200971427</v>
      </c>
      <c r="BE39" s="632">
        <v>0.96638421298841071</v>
      </c>
      <c r="BF39" s="632">
        <v>0.98304842860787411</v>
      </c>
      <c r="BG39" s="632">
        <v>1</v>
      </c>
      <c r="BH39" s="634">
        <v>50.568014634265758</v>
      </c>
      <c r="BI39" s="634">
        <v>51.142482081026316</v>
      </c>
      <c r="BJ39" s="634">
        <v>51.723475646120264</v>
      </c>
      <c r="BK39" s="635">
        <v>51.383416487172717</v>
      </c>
      <c r="BL39" s="635">
        <v>51.045593067995931</v>
      </c>
      <c r="BM39" s="635">
        <v>51.41204251485955</v>
      </c>
      <c r="BN39" s="635">
        <v>51.781122653013753</v>
      </c>
      <c r="BO39" s="635">
        <v>52.152852367837482</v>
      </c>
      <c r="BP39" s="635">
        <v>52.527250680285263</v>
      </c>
      <c r="BQ39" s="635">
        <v>52.904336747860519</v>
      </c>
      <c r="BR39" s="635">
        <v>53.201321856378144</v>
      </c>
      <c r="BS39" s="635">
        <v>53.499974127931985</v>
      </c>
      <c r="BT39" s="635">
        <v>53.800302921350173</v>
      </c>
      <c r="BU39" s="635">
        <v>54.102317647997808</v>
      </c>
      <c r="BV39" s="635">
        <v>54.406027772071809</v>
      </c>
      <c r="BW39" s="634">
        <v>45.511213170839184</v>
      </c>
      <c r="BX39" s="634">
        <v>46.028233872923686</v>
      </c>
      <c r="BY39" s="634">
        <v>46.551128081508239</v>
      </c>
      <c r="BZ39" s="635">
        <v>46.245074838455444</v>
      </c>
      <c r="CA39" s="635">
        <v>45.941033761196337</v>
      </c>
      <c r="CB39" s="635">
        <v>46.270838263373598</v>
      </c>
      <c r="CC39" s="635">
        <v>46.603010387712381</v>
      </c>
      <c r="CD39" s="635">
        <v>46.937567131053733</v>
      </c>
      <c r="CE39" s="635">
        <v>47.274525612256738</v>
      </c>
      <c r="CF39" s="635">
        <v>47.613903073074468</v>
      </c>
      <c r="CG39" s="635">
        <v>47.881189670740333</v>
      </c>
      <c r="CH39" s="635">
        <v>48.149976715138784</v>
      </c>
      <c r="CI39" s="635">
        <v>48.420272629215162</v>
      </c>
      <c r="CJ39" s="635">
        <v>48.692085883198025</v>
      </c>
      <c r="CK39" s="635">
        <v>48.965424994864634</v>
      </c>
      <c r="CL39" s="634">
        <v>1.0113602926853151</v>
      </c>
      <c r="CM39" s="634">
        <v>1.0228496416205264</v>
      </c>
      <c r="CN39" s="634">
        <v>1.0344695129224053</v>
      </c>
      <c r="CO39" s="635">
        <v>1.0276683297434543</v>
      </c>
      <c r="CP39" s="635">
        <v>1.0209118613599186</v>
      </c>
      <c r="CQ39" s="635">
        <v>1.0282408502971909</v>
      </c>
      <c r="CR39" s="635">
        <v>1.0356224530602751</v>
      </c>
      <c r="CS39" s="635">
        <v>1.0430570473567498</v>
      </c>
      <c r="CT39" s="635">
        <v>1.0505450136057053</v>
      </c>
      <c r="CU39" s="635">
        <v>1.0580867349572103</v>
      </c>
      <c r="CV39" s="635">
        <v>1.064026437127563</v>
      </c>
      <c r="CW39" s="635">
        <v>1.0699994825586396</v>
      </c>
      <c r="CX39" s="635">
        <v>1.0760060584270035</v>
      </c>
      <c r="CY39" s="635">
        <v>1.0820463529599562</v>
      </c>
      <c r="CZ39" s="635">
        <v>1.0881205554414362</v>
      </c>
      <c r="DA39" s="636">
        <v>0</v>
      </c>
      <c r="DB39" s="636">
        <v>0</v>
      </c>
      <c r="DC39" s="636">
        <v>0</v>
      </c>
      <c r="DD39" s="637">
        <v>0</v>
      </c>
      <c r="DE39" s="637">
        <v>0</v>
      </c>
      <c r="DF39" s="637">
        <v>0</v>
      </c>
      <c r="DG39" s="637">
        <v>0</v>
      </c>
      <c r="DH39" s="637">
        <v>0</v>
      </c>
      <c r="DI39" s="637">
        <v>0</v>
      </c>
      <c r="DJ39" s="637">
        <v>0</v>
      </c>
      <c r="DK39" s="637">
        <v>0</v>
      </c>
      <c r="DL39" s="637">
        <v>0</v>
      </c>
      <c r="DM39" s="637">
        <v>0</v>
      </c>
      <c r="DN39" s="637">
        <v>0</v>
      </c>
      <c r="DO39" s="637">
        <v>0</v>
      </c>
      <c r="DP39" s="636">
        <v>0</v>
      </c>
      <c r="DQ39" s="636">
        <v>0</v>
      </c>
      <c r="DR39" s="636">
        <v>0</v>
      </c>
      <c r="DS39" s="637">
        <v>0</v>
      </c>
      <c r="DT39" s="637">
        <v>0</v>
      </c>
      <c r="DU39" s="637">
        <v>0</v>
      </c>
      <c r="DV39" s="637">
        <v>0</v>
      </c>
      <c r="DW39" s="637">
        <v>0</v>
      </c>
      <c r="DX39" s="637">
        <v>0</v>
      </c>
      <c r="DY39" s="637">
        <v>0</v>
      </c>
      <c r="DZ39" s="637">
        <v>0</v>
      </c>
      <c r="EA39" s="637">
        <v>0</v>
      </c>
      <c r="EB39" s="637">
        <v>0</v>
      </c>
      <c r="EC39" s="637">
        <v>0</v>
      </c>
      <c r="ED39" s="637">
        <v>0</v>
      </c>
    </row>
    <row r="40" spans="1:134" ht="15" x14ac:dyDescent="0.25">
      <c r="A40" s="555">
        <v>133</v>
      </c>
      <c r="B40" s="555">
        <v>71</v>
      </c>
      <c r="C40" s="555" t="s">
        <v>1023</v>
      </c>
      <c r="D40" s="812">
        <v>99714</v>
      </c>
      <c r="E40" s="812">
        <v>99714</v>
      </c>
      <c r="F40" s="630" t="s">
        <v>989</v>
      </c>
      <c r="G40" s="45">
        <v>6</v>
      </c>
      <c r="H40" s="45">
        <v>9</v>
      </c>
      <c r="I40" s="45">
        <v>4</v>
      </c>
      <c r="J40" s="45">
        <v>5</v>
      </c>
      <c r="K40" s="45">
        <v>0</v>
      </c>
      <c r="L40" s="45">
        <v>28</v>
      </c>
      <c r="M40" s="45">
        <v>28</v>
      </c>
      <c r="N40" s="45">
        <v>2</v>
      </c>
      <c r="O40" s="45">
        <v>0</v>
      </c>
      <c r="P40" s="45">
        <v>0</v>
      </c>
      <c r="Q40" s="45">
        <v>30</v>
      </c>
      <c r="R40" s="45">
        <v>0</v>
      </c>
      <c r="S40" s="45">
        <v>1967.2142857142858</v>
      </c>
      <c r="T40" s="45">
        <v>1967.2142857142858</v>
      </c>
      <c r="U40" s="45">
        <v>1040</v>
      </c>
      <c r="V40" s="45">
        <v>0</v>
      </c>
      <c r="W40" s="45">
        <v>0</v>
      </c>
      <c r="X40" s="45">
        <v>1905.4</v>
      </c>
      <c r="Y40" s="45">
        <v>0</v>
      </c>
      <c r="Z40" s="45">
        <v>9</v>
      </c>
      <c r="AA40" s="45">
        <v>0</v>
      </c>
      <c r="AB40" s="508">
        <v>2</v>
      </c>
      <c r="AC40" s="508">
        <v>0</v>
      </c>
      <c r="AD40" s="631">
        <v>11</v>
      </c>
      <c r="AE40" s="632">
        <v>0</v>
      </c>
      <c r="AF40" s="632">
        <v>4</v>
      </c>
      <c r="AG40" s="633">
        <v>4</v>
      </c>
      <c r="AH40" s="632">
        <v>0</v>
      </c>
      <c r="AI40" s="632">
        <v>0</v>
      </c>
      <c r="AJ40" s="632">
        <v>8.4431703895415513</v>
      </c>
      <c r="AK40" s="632">
        <v>8.4431703895415513</v>
      </c>
      <c r="AL40" s="632">
        <v>0</v>
      </c>
      <c r="AM40" s="632">
        <v>0</v>
      </c>
      <c r="AN40" s="632">
        <v>3.8255567909021391</v>
      </c>
      <c r="AO40" s="632">
        <v>3.8255567909021391</v>
      </c>
      <c r="AP40" s="632">
        <v>0</v>
      </c>
      <c r="AQ40" s="632">
        <v>1.9327684259768214</v>
      </c>
      <c r="AR40" s="632">
        <v>0</v>
      </c>
      <c r="AS40" s="632">
        <v>7.9207918029812481</v>
      </c>
      <c r="AT40" s="632">
        <v>8.1778111260076631</v>
      </c>
      <c r="AU40" s="632">
        <v>8.4431703895415513</v>
      </c>
      <c r="AV40" s="632">
        <v>8.7171402137325948</v>
      </c>
      <c r="AW40" s="632">
        <v>9</v>
      </c>
      <c r="AX40" s="632">
        <v>3.6587211901043681</v>
      </c>
      <c r="AY40" s="632">
        <v>3.7412091220381307</v>
      </c>
      <c r="AZ40" s="632">
        <v>3.8255567909021391</v>
      </c>
      <c r="BA40" s="632">
        <v>3.9118061255139622</v>
      </c>
      <c r="BB40" s="632">
        <v>4</v>
      </c>
      <c r="BC40" s="632">
        <v>1.8677968942264598</v>
      </c>
      <c r="BD40" s="632">
        <v>1.9000049640194285</v>
      </c>
      <c r="BE40" s="632">
        <v>1.9327684259768214</v>
      </c>
      <c r="BF40" s="632">
        <v>1.9660968572157482</v>
      </c>
      <c r="BG40" s="632">
        <v>2</v>
      </c>
      <c r="BH40" s="634">
        <v>9.1022426341678369</v>
      </c>
      <c r="BI40" s="634">
        <v>9.2056467745847375</v>
      </c>
      <c r="BJ40" s="634">
        <v>9.310225616301647</v>
      </c>
      <c r="BK40" s="635">
        <v>9.2490149676910889</v>
      </c>
      <c r="BL40" s="635">
        <v>9.1882067522392674</v>
      </c>
      <c r="BM40" s="635">
        <v>9.2541676526747185</v>
      </c>
      <c r="BN40" s="635">
        <v>9.3206020775424747</v>
      </c>
      <c r="BO40" s="635">
        <v>9.3875134262107469</v>
      </c>
      <c r="BP40" s="635">
        <v>9.454905122451347</v>
      </c>
      <c r="BQ40" s="635">
        <v>9.5227806146148932</v>
      </c>
      <c r="BR40" s="635">
        <v>9.5762379341480646</v>
      </c>
      <c r="BS40" s="635">
        <v>9.6299953430277565</v>
      </c>
      <c r="BT40" s="635">
        <v>9.6840545258430311</v>
      </c>
      <c r="BU40" s="635">
        <v>9.7384171766396044</v>
      </c>
      <c r="BV40" s="635">
        <v>9.7930849989729261</v>
      </c>
      <c r="BW40" s="634">
        <v>4.0454411707412605</v>
      </c>
      <c r="BX40" s="634">
        <v>4.0913985664821055</v>
      </c>
      <c r="BY40" s="634">
        <v>4.1378780516896212</v>
      </c>
      <c r="BZ40" s="635">
        <v>4.1106733189738174</v>
      </c>
      <c r="CA40" s="635">
        <v>4.0836474454396745</v>
      </c>
      <c r="CB40" s="635">
        <v>4.1129634011887637</v>
      </c>
      <c r="CC40" s="635">
        <v>4.1424898122411005</v>
      </c>
      <c r="CD40" s="635">
        <v>4.172228189426999</v>
      </c>
      <c r="CE40" s="635">
        <v>4.2021800544228212</v>
      </c>
      <c r="CF40" s="635">
        <v>4.2323469398288411</v>
      </c>
      <c r="CG40" s="635">
        <v>4.2561057485102518</v>
      </c>
      <c r="CH40" s="635">
        <v>4.2799979302345585</v>
      </c>
      <c r="CI40" s="635">
        <v>4.3040242337080139</v>
      </c>
      <c r="CJ40" s="635">
        <v>4.3281854118398249</v>
      </c>
      <c r="CK40" s="635">
        <v>4.3524822217657446</v>
      </c>
      <c r="CL40" s="634">
        <v>2.0227205853706303</v>
      </c>
      <c r="CM40" s="634">
        <v>2.0456992832410528</v>
      </c>
      <c r="CN40" s="634">
        <v>2.0689390258448106</v>
      </c>
      <c r="CO40" s="635">
        <v>2.0553366594869087</v>
      </c>
      <c r="CP40" s="635">
        <v>2.0418237227198373</v>
      </c>
      <c r="CQ40" s="635">
        <v>2.0564817005943818</v>
      </c>
      <c r="CR40" s="635">
        <v>2.0712449061205502</v>
      </c>
      <c r="CS40" s="635">
        <v>2.0861140947134995</v>
      </c>
      <c r="CT40" s="635">
        <v>2.1010900272114106</v>
      </c>
      <c r="CU40" s="635">
        <v>2.1161734699144206</v>
      </c>
      <c r="CV40" s="635">
        <v>2.1280528742551259</v>
      </c>
      <c r="CW40" s="635">
        <v>2.1399989651172793</v>
      </c>
      <c r="CX40" s="635">
        <v>2.152012116854007</v>
      </c>
      <c r="CY40" s="635">
        <v>2.1640927059199124</v>
      </c>
      <c r="CZ40" s="635">
        <v>2.1762411108828723</v>
      </c>
      <c r="DA40" s="636">
        <v>0</v>
      </c>
      <c r="DB40" s="636">
        <v>0</v>
      </c>
      <c r="DC40" s="636">
        <v>0</v>
      </c>
      <c r="DD40" s="637">
        <v>0</v>
      </c>
      <c r="DE40" s="637">
        <v>0</v>
      </c>
      <c r="DF40" s="637">
        <v>0</v>
      </c>
      <c r="DG40" s="637">
        <v>0</v>
      </c>
      <c r="DH40" s="637">
        <v>0</v>
      </c>
      <c r="DI40" s="637">
        <v>0</v>
      </c>
      <c r="DJ40" s="637">
        <v>0</v>
      </c>
      <c r="DK40" s="637">
        <v>0</v>
      </c>
      <c r="DL40" s="637">
        <v>0</v>
      </c>
      <c r="DM40" s="637">
        <v>0</v>
      </c>
      <c r="DN40" s="637">
        <v>0</v>
      </c>
      <c r="DO40" s="637">
        <v>0</v>
      </c>
      <c r="DP40" s="636">
        <v>0</v>
      </c>
      <c r="DQ40" s="636">
        <v>0</v>
      </c>
      <c r="DR40" s="636">
        <v>0</v>
      </c>
      <c r="DS40" s="637">
        <v>0</v>
      </c>
      <c r="DT40" s="637">
        <v>0</v>
      </c>
      <c r="DU40" s="637">
        <v>0</v>
      </c>
      <c r="DV40" s="637">
        <v>0</v>
      </c>
      <c r="DW40" s="637">
        <v>0</v>
      </c>
      <c r="DX40" s="637">
        <v>0</v>
      </c>
      <c r="DY40" s="637">
        <v>0</v>
      </c>
      <c r="DZ40" s="637">
        <v>0</v>
      </c>
      <c r="EA40" s="637">
        <v>0</v>
      </c>
      <c r="EB40" s="637">
        <v>0</v>
      </c>
      <c r="EC40" s="637">
        <v>0</v>
      </c>
      <c r="ED40" s="637">
        <v>0</v>
      </c>
    </row>
    <row r="41" spans="1:134" ht="15" x14ac:dyDescent="0.25">
      <c r="A41" s="555">
        <v>133</v>
      </c>
      <c r="B41" s="555">
        <v>72</v>
      </c>
      <c r="C41" s="555" t="s">
        <v>1024</v>
      </c>
      <c r="D41" s="812">
        <v>99714</v>
      </c>
      <c r="E41" s="812">
        <v>99714</v>
      </c>
      <c r="F41" s="630" t="s">
        <v>989</v>
      </c>
      <c r="G41" s="45">
        <v>140</v>
      </c>
      <c r="H41" s="45">
        <v>57</v>
      </c>
      <c r="I41" s="45">
        <v>49</v>
      </c>
      <c r="J41" s="45">
        <v>8</v>
      </c>
      <c r="K41" s="45">
        <v>0</v>
      </c>
      <c r="L41" s="45">
        <v>52</v>
      </c>
      <c r="M41" s="45">
        <v>52</v>
      </c>
      <c r="N41" s="45">
        <v>2</v>
      </c>
      <c r="O41" s="45">
        <v>0</v>
      </c>
      <c r="P41" s="45">
        <v>0</v>
      </c>
      <c r="Q41" s="45">
        <v>54</v>
      </c>
      <c r="R41" s="45">
        <v>0</v>
      </c>
      <c r="S41" s="45">
        <v>1493.0769230769231</v>
      </c>
      <c r="T41" s="45">
        <v>1493.0769230769231</v>
      </c>
      <c r="U41" s="45">
        <v>4706</v>
      </c>
      <c r="V41" s="45">
        <v>0</v>
      </c>
      <c r="W41" s="45">
        <v>0</v>
      </c>
      <c r="X41" s="45">
        <v>1612.0740740740741</v>
      </c>
      <c r="Y41" s="45">
        <v>0</v>
      </c>
      <c r="Z41" s="45">
        <v>57</v>
      </c>
      <c r="AA41" s="45">
        <v>0</v>
      </c>
      <c r="AB41" s="508">
        <v>2</v>
      </c>
      <c r="AC41" s="508">
        <v>0</v>
      </c>
      <c r="AD41" s="631">
        <v>59</v>
      </c>
      <c r="AE41" s="632">
        <v>0</v>
      </c>
      <c r="AF41" s="632">
        <v>49</v>
      </c>
      <c r="AG41" s="633">
        <v>49</v>
      </c>
      <c r="AH41" s="632">
        <v>0</v>
      </c>
      <c r="AI41" s="632">
        <v>0</v>
      </c>
      <c r="AJ41" s="632">
        <v>53.473412467096495</v>
      </c>
      <c r="AK41" s="632">
        <v>53.473412467096495</v>
      </c>
      <c r="AL41" s="632">
        <v>0</v>
      </c>
      <c r="AM41" s="632">
        <v>0</v>
      </c>
      <c r="AN41" s="632">
        <v>46.863070688551204</v>
      </c>
      <c r="AO41" s="632">
        <v>46.863070688551204</v>
      </c>
      <c r="AP41" s="632">
        <v>0</v>
      </c>
      <c r="AQ41" s="632">
        <v>1.9327684259768214</v>
      </c>
      <c r="AR41" s="632">
        <v>0</v>
      </c>
      <c r="AS41" s="632">
        <v>50.165014752214574</v>
      </c>
      <c r="AT41" s="632">
        <v>51.792803798048531</v>
      </c>
      <c r="AU41" s="632">
        <v>53.473412467096495</v>
      </c>
      <c r="AV41" s="632">
        <v>55.208554686973102</v>
      </c>
      <c r="AW41" s="632">
        <v>57</v>
      </c>
      <c r="AX41" s="632">
        <v>44.819334578778509</v>
      </c>
      <c r="AY41" s="632">
        <v>45.829811744967103</v>
      </c>
      <c r="AZ41" s="632">
        <v>46.863070688551204</v>
      </c>
      <c r="BA41" s="632">
        <v>47.919625037546034</v>
      </c>
      <c r="BB41" s="632">
        <v>49</v>
      </c>
      <c r="BC41" s="632">
        <v>1.8677968942264598</v>
      </c>
      <c r="BD41" s="632">
        <v>1.9000049640194285</v>
      </c>
      <c r="BE41" s="632">
        <v>1.9327684259768214</v>
      </c>
      <c r="BF41" s="632">
        <v>1.9660968572157482</v>
      </c>
      <c r="BG41" s="632">
        <v>2</v>
      </c>
      <c r="BH41" s="634">
        <v>57.64753668306296</v>
      </c>
      <c r="BI41" s="634">
        <v>58.302429572370002</v>
      </c>
      <c r="BJ41" s="634">
        <v>58.964762236577101</v>
      </c>
      <c r="BK41" s="635">
        <v>58.577094795376901</v>
      </c>
      <c r="BL41" s="635">
        <v>58.191976097515358</v>
      </c>
      <c r="BM41" s="635">
        <v>58.609728466939885</v>
      </c>
      <c r="BN41" s="635">
        <v>59.03047982443568</v>
      </c>
      <c r="BO41" s="635">
        <v>59.454251699334726</v>
      </c>
      <c r="BP41" s="635">
        <v>59.881065775525201</v>
      </c>
      <c r="BQ41" s="635">
        <v>60.310943892560992</v>
      </c>
      <c r="BR41" s="635">
        <v>60.649506916271086</v>
      </c>
      <c r="BS41" s="635">
        <v>60.989970505842464</v>
      </c>
      <c r="BT41" s="635">
        <v>61.332345330339201</v>
      </c>
      <c r="BU41" s="635">
        <v>61.676642118717496</v>
      </c>
      <c r="BV41" s="635">
        <v>62.022871660161869</v>
      </c>
      <c r="BW41" s="634">
        <v>49.55665434158044</v>
      </c>
      <c r="BX41" s="634">
        <v>50.119632439405791</v>
      </c>
      <c r="BY41" s="634">
        <v>50.689006133197857</v>
      </c>
      <c r="BZ41" s="635">
        <v>50.355748157429261</v>
      </c>
      <c r="CA41" s="635">
        <v>50.024681206636011</v>
      </c>
      <c r="CB41" s="635">
        <v>50.383801664562355</v>
      </c>
      <c r="CC41" s="635">
        <v>50.745500199953476</v>
      </c>
      <c r="CD41" s="635">
        <v>51.109795320480728</v>
      </c>
      <c r="CE41" s="635">
        <v>51.476705666679557</v>
      </c>
      <c r="CF41" s="635">
        <v>51.846250012903305</v>
      </c>
      <c r="CG41" s="635">
        <v>52.137295419250577</v>
      </c>
      <c r="CH41" s="635">
        <v>52.429974645373342</v>
      </c>
      <c r="CI41" s="635">
        <v>52.724296862923168</v>
      </c>
      <c r="CJ41" s="635">
        <v>53.020271295037851</v>
      </c>
      <c r="CK41" s="635">
        <v>53.317907216630374</v>
      </c>
      <c r="CL41" s="634">
        <v>2.0227205853706303</v>
      </c>
      <c r="CM41" s="634">
        <v>2.0456992832410528</v>
      </c>
      <c r="CN41" s="634">
        <v>2.0689390258448106</v>
      </c>
      <c r="CO41" s="635">
        <v>2.0553366594869087</v>
      </c>
      <c r="CP41" s="635">
        <v>2.0418237227198373</v>
      </c>
      <c r="CQ41" s="635">
        <v>2.0564817005943818</v>
      </c>
      <c r="CR41" s="635">
        <v>2.0712449061205502</v>
      </c>
      <c r="CS41" s="635">
        <v>2.0861140947134995</v>
      </c>
      <c r="CT41" s="635">
        <v>2.1010900272114106</v>
      </c>
      <c r="CU41" s="635">
        <v>2.1161734699144206</v>
      </c>
      <c r="CV41" s="635">
        <v>2.1280528742551259</v>
      </c>
      <c r="CW41" s="635">
        <v>2.1399989651172793</v>
      </c>
      <c r="CX41" s="635">
        <v>2.152012116854007</v>
      </c>
      <c r="CY41" s="635">
        <v>2.1640927059199124</v>
      </c>
      <c r="CZ41" s="635">
        <v>2.1762411108828723</v>
      </c>
      <c r="DA41" s="636">
        <v>0</v>
      </c>
      <c r="DB41" s="636">
        <v>0</v>
      </c>
      <c r="DC41" s="636">
        <v>0</v>
      </c>
      <c r="DD41" s="637">
        <v>0</v>
      </c>
      <c r="DE41" s="637">
        <v>0</v>
      </c>
      <c r="DF41" s="637">
        <v>0</v>
      </c>
      <c r="DG41" s="637">
        <v>0</v>
      </c>
      <c r="DH41" s="637">
        <v>0</v>
      </c>
      <c r="DI41" s="637">
        <v>0</v>
      </c>
      <c r="DJ41" s="637">
        <v>0</v>
      </c>
      <c r="DK41" s="637">
        <v>0</v>
      </c>
      <c r="DL41" s="637">
        <v>0</v>
      </c>
      <c r="DM41" s="637">
        <v>0</v>
      </c>
      <c r="DN41" s="637">
        <v>0</v>
      </c>
      <c r="DO41" s="637">
        <v>0</v>
      </c>
      <c r="DP41" s="636">
        <v>0</v>
      </c>
      <c r="DQ41" s="636">
        <v>0</v>
      </c>
      <c r="DR41" s="636">
        <v>0</v>
      </c>
      <c r="DS41" s="637">
        <v>0</v>
      </c>
      <c r="DT41" s="637">
        <v>0</v>
      </c>
      <c r="DU41" s="637">
        <v>0</v>
      </c>
      <c r="DV41" s="637">
        <v>0</v>
      </c>
      <c r="DW41" s="637">
        <v>0</v>
      </c>
      <c r="DX41" s="637">
        <v>0</v>
      </c>
      <c r="DY41" s="637">
        <v>0</v>
      </c>
      <c r="DZ41" s="637">
        <v>0</v>
      </c>
      <c r="EA41" s="637">
        <v>0</v>
      </c>
      <c r="EB41" s="637">
        <v>0</v>
      </c>
      <c r="EC41" s="637">
        <v>0</v>
      </c>
      <c r="ED41" s="637">
        <v>0</v>
      </c>
    </row>
    <row r="42" spans="1:134" ht="15" x14ac:dyDescent="0.25">
      <c r="A42" s="555">
        <v>137</v>
      </c>
      <c r="B42" s="555">
        <v>72</v>
      </c>
      <c r="C42" s="555" t="s">
        <v>1025</v>
      </c>
      <c r="D42" s="812">
        <v>99714</v>
      </c>
      <c r="E42" s="812">
        <v>99714</v>
      </c>
      <c r="F42" s="630" t="s">
        <v>989</v>
      </c>
      <c r="G42" s="45">
        <v>140</v>
      </c>
      <c r="H42" s="45">
        <v>73</v>
      </c>
      <c r="I42" s="45">
        <v>58</v>
      </c>
      <c r="J42" s="45">
        <v>15</v>
      </c>
      <c r="K42" s="45">
        <v>0</v>
      </c>
      <c r="L42" s="45">
        <v>0</v>
      </c>
      <c r="M42" s="45">
        <v>0</v>
      </c>
      <c r="N42" s="45">
        <v>0</v>
      </c>
      <c r="O42" s="45">
        <v>0</v>
      </c>
      <c r="P42" s="45">
        <v>0</v>
      </c>
      <c r="Q42" s="45">
        <v>0</v>
      </c>
      <c r="R42" s="45">
        <v>0</v>
      </c>
      <c r="S42" s="45">
        <v>834.49503068156923</v>
      </c>
      <c r="T42" s="45">
        <v>834.49503068156923</v>
      </c>
      <c r="U42" s="45">
        <v>1408.3846153846155</v>
      </c>
      <c r="V42" s="45">
        <v>0</v>
      </c>
      <c r="W42" s="45">
        <v>0</v>
      </c>
      <c r="X42" s="45">
        <v>1365.173957061457</v>
      </c>
      <c r="Y42" s="45">
        <v>1.6726004851004852</v>
      </c>
      <c r="Z42" s="45">
        <v>71.232545045045043</v>
      </c>
      <c r="AA42" s="45">
        <v>9.4854469854469853E-2</v>
      </c>
      <c r="AB42" s="508">
        <v>0</v>
      </c>
      <c r="AC42" s="508">
        <v>0</v>
      </c>
      <c r="AD42" s="631">
        <v>73</v>
      </c>
      <c r="AE42" s="632">
        <v>1.3289154539154542</v>
      </c>
      <c r="AF42" s="632">
        <v>56.59572072072072</v>
      </c>
      <c r="AG42" s="633">
        <v>57.924636174636177</v>
      </c>
      <c r="AH42" s="632">
        <v>7.5363825363825354E-2</v>
      </c>
      <c r="AI42" s="632">
        <v>1.5691167654814724</v>
      </c>
      <c r="AJ42" s="632">
        <v>66.825390566223234</v>
      </c>
      <c r="AK42" s="632">
        <v>68.394507331704702</v>
      </c>
      <c r="AL42" s="632">
        <v>8.89858279101024E-2</v>
      </c>
      <c r="AM42" s="632">
        <v>1.270960384815266</v>
      </c>
      <c r="AN42" s="632">
        <v>54.127535934788511</v>
      </c>
      <c r="AO42" s="632">
        <v>55.39849631960378</v>
      </c>
      <c r="AP42" s="632">
        <v>7.2077148477236244E-2</v>
      </c>
      <c r="AQ42" s="632">
        <v>0</v>
      </c>
      <c r="AR42" s="632">
        <v>0</v>
      </c>
      <c r="AS42" s="632">
        <v>64.162942123370186</v>
      </c>
      <c r="AT42" s="632">
        <v>66.244945584403553</v>
      </c>
      <c r="AU42" s="632">
        <v>68.394507331704716</v>
      </c>
      <c r="AV42" s="632">
        <v>70.613819543206532</v>
      </c>
      <c r="AW42" s="632">
        <v>72.905145530145532</v>
      </c>
      <c r="AX42" s="632">
        <v>52.982523450306857</v>
      </c>
      <c r="AY42" s="632">
        <v>54.177044311822186</v>
      </c>
      <c r="AZ42" s="632">
        <v>55.39849631960378</v>
      </c>
      <c r="BA42" s="632">
        <v>56.647486651527359</v>
      </c>
      <c r="BB42" s="632">
        <v>57.924636174636177</v>
      </c>
      <c r="BC42" s="632">
        <v>0</v>
      </c>
      <c r="BD42" s="632">
        <v>0</v>
      </c>
      <c r="BE42" s="632">
        <v>0</v>
      </c>
      <c r="BF42" s="632">
        <v>0</v>
      </c>
      <c r="BG42" s="632">
        <v>0</v>
      </c>
      <c r="BH42" s="634">
        <v>73.733369321633475</v>
      </c>
      <c r="BI42" s="634">
        <v>74.571001977801672</v>
      </c>
      <c r="BJ42" s="634">
        <v>75.418150386106717</v>
      </c>
      <c r="BK42" s="635">
        <v>74.922309136668119</v>
      </c>
      <c r="BL42" s="635">
        <v>74.42972782589662</v>
      </c>
      <c r="BM42" s="635">
        <v>74.964048830957296</v>
      </c>
      <c r="BN42" s="635">
        <v>75.502205654645664</v>
      </c>
      <c r="BO42" s="635">
        <v>76.044225833787735</v>
      </c>
      <c r="BP42" s="635">
        <v>76.590137102892655</v>
      </c>
      <c r="BQ42" s="635">
        <v>77.139967395571944</v>
      </c>
      <c r="BR42" s="635">
        <v>77.573002246707219</v>
      </c>
      <c r="BS42" s="635">
        <v>78.008467993118032</v>
      </c>
      <c r="BT42" s="635">
        <v>78.446378280938958</v>
      </c>
      <c r="BU42" s="635">
        <v>78.886746832908813</v>
      </c>
      <c r="BV42" s="635">
        <v>79.329587448800694</v>
      </c>
      <c r="BW42" s="634">
        <v>58.58267699527044</v>
      </c>
      <c r="BX42" s="634">
        <v>59.248193352225989</v>
      </c>
      <c r="BY42" s="634">
        <v>59.921270169783426</v>
      </c>
      <c r="BZ42" s="635">
        <v>59.527314108585635</v>
      </c>
      <c r="CA42" s="635">
        <v>59.135948135643901</v>
      </c>
      <c r="CB42" s="635">
        <v>59.560477153363337</v>
      </c>
      <c r="CC42" s="635">
        <v>59.988053807800668</v>
      </c>
      <c r="CD42" s="635">
        <v>60.418699977529982</v>
      </c>
      <c r="CE42" s="635">
        <v>60.852437698188695</v>
      </c>
      <c r="CF42" s="635">
        <v>61.289289163605112</v>
      </c>
      <c r="CG42" s="635">
        <v>61.633344250808477</v>
      </c>
      <c r="CH42" s="635">
        <v>61.979330734258177</v>
      </c>
      <c r="CI42" s="635">
        <v>62.327259456088498</v>
      </c>
      <c r="CJ42" s="635">
        <v>62.677141319297419</v>
      </c>
      <c r="CK42" s="635">
        <v>63.028987288088231</v>
      </c>
      <c r="CL42" s="634">
        <v>0</v>
      </c>
      <c r="CM42" s="634">
        <v>0</v>
      </c>
      <c r="CN42" s="634">
        <v>0</v>
      </c>
      <c r="CO42" s="635">
        <v>0</v>
      </c>
      <c r="CP42" s="635">
        <v>0</v>
      </c>
      <c r="CQ42" s="635">
        <v>0</v>
      </c>
      <c r="CR42" s="635">
        <v>0</v>
      </c>
      <c r="CS42" s="635">
        <v>0</v>
      </c>
      <c r="CT42" s="635">
        <v>0</v>
      </c>
      <c r="CU42" s="635">
        <v>0</v>
      </c>
      <c r="CV42" s="635">
        <v>0</v>
      </c>
      <c r="CW42" s="635">
        <v>0</v>
      </c>
      <c r="CX42" s="635">
        <v>0</v>
      </c>
      <c r="CY42" s="635">
        <v>0</v>
      </c>
      <c r="CZ42" s="635">
        <v>0</v>
      </c>
      <c r="DA42" s="636">
        <v>9.593204439452703E-2</v>
      </c>
      <c r="DB42" s="636">
        <v>9.7021860496749518E-2</v>
      </c>
      <c r="DC42" s="636">
        <v>9.8124057228866399E-2</v>
      </c>
      <c r="DD42" s="637">
        <v>9.7478934604043874E-2</v>
      </c>
      <c r="DE42" s="637">
        <v>9.6838053377435104E-2</v>
      </c>
      <c r="DF42" s="637">
        <v>9.7533240737649352E-2</v>
      </c>
      <c r="DG42" s="637">
        <v>9.8233418754417975E-2</v>
      </c>
      <c r="DH42" s="637">
        <v>9.8938623254993141E-2</v>
      </c>
      <c r="DI42" s="637">
        <v>9.9648890323825998E-2</v>
      </c>
      <c r="DJ42" s="637">
        <v>0.10036425630441313</v>
      </c>
      <c r="DK42" s="637">
        <v>0.10092766360487537</v>
      </c>
      <c r="DL42" s="637">
        <v>0.10149423366265682</v>
      </c>
      <c r="DM42" s="637">
        <v>0.10206398423229113</v>
      </c>
      <c r="DN42" s="637">
        <v>0.1026369331679792</v>
      </c>
      <c r="DO42" s="637">
        <v>0.10321309842414871</v>
      </c>
      <c r="DP42" s="636">
        <v>0</v>
      </c>
      <c r="DQ42" s="636">
        <v>0</v>
      </c>
      <c r="DR42" s="636">
        <v>0</v>
      </c>
      <c r="DS42" s="637">
        <v>0</v>
      </c>
      <c r="DT42" s="637">
        <v>0</v>
      </c>
      <c r="DU42" s="637">
        <v>0</v>
      </c>
      <c r="DV42" s="637">
        <v>0</v>
      </c>
      <c r="DW42" s="637">
        <v>0</v>
      </c>
      <c r="DX42" s="637">
        <v>0</v>
      </c>
      <c r="DY42" s="637">
        <v>0</v>
      </c>
      <c r="DZ42" s="637">
        <v>0</v>
      </c>
      <c r="EA42" s="637">
        <v>0</v>
      </c>
      <c r="EB42" s="637">
        <v>0</v>
      </c>
      <c r="EC42" s="637">
        <v>0</v>
      </c>
      <c r="ED42" s="637">
        <v>0</v>
      </c>
    </row>
    <row r="43" spans="1:134" ht="15" x14ac:dyDescent="0.25">
      <c r="A43" s="555">
        <v>132</v>
      </c>
      <c r="B43" s="555">
        <v>73</v>
      </c>
      <c r="C43" s="555" t="s">
        <v>1026</v>
      </c>
      <c r="D43" s="812">
        <v>99714</v>
      </c>
      <c r="E43" s="812">
        <v>99714</v>
      </c>
      <c r="F43" s="630" t="s">
        <v>989</v>
      </c>
      <c r="G43" s="45">
        <v>46</v>
      </c>
      <c r="H43" s="45">
        <v>34</v>
      </c>
      <c r="I43" s="45">
        <v>21</v>
      </c>
      <c r="J43" s="45">
        <v>13</v>
      </c>
      <c r="K43" s="45">
        <v>0</v>
      </c>
      <c r="L43" s="45">
        <v>4</v>
      </c>
      <c r="M43" s="45">
        <v>4</v>
      </c>
      <c r="N43" s="45">
        <v>0</v>
      </c>
      <c r="O43" s="45">
        <v>0</v>
      </c>
      <c r="P43" s="45">
        <v>0</v>
      </c>
      <c r="Q43" s="45">
        <v>4</v>
      </c>
      <c r="R43" s="45">
        <v>0</v>
      </c>
      <c r="S43" s="45">
        <v>1644</v>
      </c>
      <c r="T43" s="45">
        <v>1644</v>
      </c>
      <c r="U43" s="45">
        <v>0</v>
      </c>
      <c r="V43" s="45">
        <v>0</v>
      </c>
      <c r="W43" s="45">
        <v>0</v>
      </c>
      <c r="X43" s="45">
        <v>1644</v>
      </c>
      <c r="Y43" s="45">
        <v>0</v>
      </c>
      <c r="Z43" s="45">
        <v>34</v>
      </c>
      <c r="AA43" s="45">
        <v>0</v>
      </c>
      <c r="AB43" s="508">
        <v>0</v>
      </c>
      <c r="AC43" s="508">
        <v>0</v>
      </c>
      <c r="AD43" s="631">
        <v>34</v>
      </c>
      <c r="AE43" s="632">
        <v>0</v>
      </c>
      <c r="AF43" s="632">
        <v>21</v>
      </c>
      <c r="AG43" s="633">
        <v>21</v>
      </c>
      <c r="AH43" s="632">
        <v>0</v>
      </c>
      <c r="AI43" s="632">
        <v>0</v>
      </c>
      <c r="AJ43" s="632">
        <v>31.896421471601418</v>
      </c>
      <c r="AK43" s="632">
        <v>31.896421471601418</v>
      </c>
      <c r="AL43" s="632">
        <v>0</v>
      </c>
      <c r="AM43" s="632">
        <v>0</v>
      </c>
      <c r="AN43" s="632">
        <v>20.084173152236229</v>
      </c>
      <c r="AO43" s="632">
        <v>20.084173152236229</v>
      </c>
      <c r="AP43" s="632">
        <v>0</v>
      </c>
      <c r="AQ43" s="632">
        <v>0</v>
      </c>
      <c r="AR43" s="632">
        <v>0</v>
      </c>
      <c r="AS43" s="632">
        <v>29.92299125570694</v>
      </c>
      <c r="AT43" s="632">
        <v>30.893953142695615</v>
      </c>
      <c r="AU43" s="632">
        <v>31.896421471601418</v>
      </c>
      <c r="AV43" s="632">
        <v>32.931418585212029</v>
      </c>
      <c r="AW43" s="632">
        <v>34</v>
      </c>
      <c r="AX43" s="632">
        <v>19.208286248047933</v>
      </c>
      <c r="AY43" s="632">
        <v>19.641347890700185</v>
      </c>
      <c r="AZ43" s="632">
        <v>20.084173152236229</v>
      </c>
      <c r="BA43" s="632">
        <v>20.536982158948302</v>
      </c>
      <c r="BB43" s="632">
        <v>21</v>
      </c>
      <c r="BC43" s="632">
        <v>0</v>
      </c>
      <c r="BD43" s="632">
        <v>0</v>
      </c>
      <c r="BE43" s="632">
        <v>0</v>
      </c>
      <c r="BF43" s="632">
        <v>0</v>
      </c>
      <c r="BG43" s="632">
        <v>0</v>
      </c>
      <c r="BH43" s="634">
        <v>34.386249951300712</v>
      </c>
      <c r="BI43" s="634">
        <v>34.776887815097894</v>
      </c>
      <c r="BJ43" s="634">
        <v>35.171963439361782</v>
      </c>
      <c r="BK43" s="635">
        <v>34.940723211277451</v>
      </c>
      <c r="BL43" s="635">
        <v>34.711003286237236</v>
      </c>
      <c r="BM43" s="635">
        <v>34.960188910104499</v>
      </c>
      <c r="BN43" s="635">
        <v>35.211163404049351</v>
      </c>
      <c r="BO43" s="635">
        <v>35.463939610129493</v>
      </c>
      <c r="BP43" s="635">
        <v>35.718530462593982</v>
      </c>
      <c r="BQ43" s="635">
        <v>35.974948988545151</v>
      </c>
      <c r="BR43" s="635">
        <v>36.17689886233714</v>
      </c>
      <c r="BS43" s="635">
        <v>36.379982406993754</v>
      </c>
      <c r="BT43" s="635">
        <v>36.584205986518121</v>
      </c>
      <c r="BU43" s="635">
        <v>36.789576000638512</v>
      </c>
      <c r="BV43" s="635">
        <v>36.996098885008834</v>
      </c>
      <c r="BW43" s="634">
        <v>21.238566146391619</v>
      </c>
      <c r="BX43" s="634">
        <v>21.479842474031052</v>
      </c>
      <c r="BY43" s="634">
        <v>21.72385977137051</v>
      </c>
      <c r="BZ43" s="635">
        <v>21.581034924612538</v>
      </c>
      <c r="CA43" s="635">
        <v>21.439149088558288</v>
      </c>
      <c r="CB43" s="635">
        <v>21.59305785624101</v>
      </c>
      <c r="CC43" s="635">
        <v>21.748071514265774</v>
      </c>
      <c r="CD43" s="635">
        <v>21.904197994491742</v>
      </c>
      <c r="CE43" s="635">
        <v>22.06144528571981</v>
      </c>
      <c r="CF43" s="635">
        <v>22.219821434101416</v>
      </c>
      <c r="CG43" s="635">
        <v>22.344555179678821</v>
      </c>
      <c r="CH43" s="635">
        <v>22.469989133731431</v>
      </c>
      <c r="CI43" s="635">
        <v>22.596127226967074</v>
      </c>
      <c r="CJ43" s="635">
        <v>22.722973412159078</v>
      </c>
      <c r="CK43" s="635">
        <v>22.850531664270161</v>
      </c>
      <c r="CL43" s="634">
        <v>0</v>
      </c>
      <c r="CM43" s="634">
        <v>0</v>
      </c>
      <c r="CN43" s="634">
        <v>0</v>
      </c>
      <c r="CO43" s="635">
        <v>0</v>
      </c>
      <c r="CP43" s="635">
        <v>0</v>
      </c>
      <c r="CQ43" s="635">
        <v>0</v>
      </c>
      <c r="CR43" s="635">
        <v>0</v>
      </c>
      <c r="CS43" s="635">
        <v>0</v>
      </c>
      <c r="CT43" s="635">
        <v>0</v>
      </c>
      <c r="CU43" s="635">
        <v>0</v>
      </c>
      <c r="CV43" s="635">
        <v>0</v>
      </c>
      <c r="CW43" s="635">
        <v>0</v>
      </c>
      <c r="CX43" s="635">
        <v>0</v>
      </c>
      <c r="CY43" s="635">
        <v>0</v>
      </c>
      <c r="CZ43" s="635">
        <v>0</v>
      </c>
      <c r="DA43" s="636">
        <v>0</v>
      </c>
      <c r="DB43" s="636">
        <v>0</v>
      </c>
      <c r="DC43" s="636">
        <v>0</v>
      </c>
      <c r="DD43" s="637">
        <v>0</v>
      </c>
      <c r="DE43" s="637">
        <v>0</v>
      </c>
      <c r="DF43" s="637">
        <v>0</v>
      </c>
      <c r="DG43" s="637">
        <v>0</v>
      </c>
      <c r="DH43" s="637">
        <v>0</v>
      </c>
      <c r="DI43" s="637">
        <v>0</v>
      </c>
      <c r="DJ43" s="637">
        <v>0</v>
      </c>
      <c r="DK43" s="637">
        <v>0</v>
      </c>
      <c r="DL43" s="637">
        <v>0</v>
      </c>
      <c r="DM43" s="637">
        <v>0</v>
      </c>
      <c r="DN43" s="637">
        <v>0</v>
      </c>
      <c r="DO43" s="637">
        <v>0</v>
      </c>
      <c r="DP43" s="636">
        <v>0</v>
      </c>
      <c r="DQ43" s="636">
        <v>0</v>
      </c>
      <c r="DR43" s="636">
        <v>0</v>
      </c>
      <c r="DS43" s="637">
        <v>0</v>
      </c>
      <c r="DT43" s="637">
        <v>0</v>
      </c>
      <c r="DU43" s="637">
        <v>0</v>
      </c>
      <c r="DV43" s="637">
        <v>0</v>
      </c>
      <c r="DW43" s="637">
        <v>0</v>
      </c>
      <c r="DX43" s="637">
        <v>0</v>
      </c>
      <c r="DY43" s="637">
        <v>0</v>
      </c>
      <c r="DZ43" s="637">
        <v>0</v>
      </c>
      <c r="EA43" s="637">
        <v>0</v>
      </c>
      <c r="EB43" s="637">
        <v>0</v>
      </c>
      <c r="EC43" s="637">
        <v>0</v>
      </c>
      <c r="ED43" s="637">
        <v>0</v>
      </c>
    </row>
    <row r="44" spans="1:134" ht="15" x14ac:dyDescent="0.25">
      <c r="A44" s="555">
        <v>133</v>
      </c>
      <c r="B44" s="555">
        <v>73</v>
      </c>
      <c r="C44" s="555" t="s">
        <v>1027</v>
      </c>
      <c r="D44" s="812">
        <v>99714</v>
      </c>
      <c r="E44" s="812">
        <v>99714</v>
      </c>
      <c r="F44" s="630" t="s">
        <v>989</v>
      </c>
      <c r="G44" s="45">
        <v>41</v>
      </c>
      <c r="H44" s="45">
        <v>20</v>
      </c>
      <c r="I44" s="45">
        <v>19</v>
      </c>
      <c r="J44" s="45">
        <v>1</v>
      </c>
      <c r="K44" s="45">
        <v>0</v>
      </c>
      <c r="L44" s="45">
        <v>13</v>
      </c>
      <c r="M44" s="45">
        <v>13</v>
      </c>
      <c r="N44" s="45">
        <v>0</v>
      </c>
      <c r="O44" s="45">
        <v>0</v>
      </c>
      <c r="P44" s="45">
        <v>0</v>
      </c>
      <c r="Q44" s="45">
        <v>13</v>
      </c>
      <c r="R44" s="45">
        <v>0</v>
      </c>
      <c r="S44" s="45">
        <v>1930.3076923076924</v>
      </c>
      <c r="T44" s="45">
        <v>1930.3076923076924</v>
      </c>
      <c r="U44" s="45">
        <v>0</v>
      </c>
      <c r="V44" s="45">
        <v>0</v>
      </c>
      <c r="W44" s="45">
        <v>0</v>
      </c>
      <c r="X44" s="45">
        <v>1930.3076923076924</v>
      </c>
      <c r="Y44" s="45">
        <v>0</v>
      </c>
      <c r="Z44" s="45">
        <v>20</v>
      </c>
      <c r="AA44" s="45">
        <v>0</v>
      </c>
      <c r="AB44" s="508">
        <v>0</v>
      </c>
      <c r="AC44" s="508">
        <v>0</v>
      </c>
      <c r="AD44" s="631">
        <v>20</v>
      </c>
      <c r="AE44" s="632">
        <v>0</v>
      </c>
      <c r="AF44" s="632">
        <v>19</v>
      </c>
      <c r="AG44" s="633">
        <v>19</v>
      </c>
      <c r="AH44" s="632">
        <v>0</v>
      </c>
      <c r="AI44" s="632">
        <v>0</v>
      </c>
      <c r="AJ44" s="632">
        <v>18.762600865647894</v>
      </c>
      <c r="AK44" s="632">
        <v>18.762600865647894</v>
      </c>
      <c r="AL44" s="632">
        <v>0</v>
      </c>
      <c r="AM44" s="632">
        <v>0</v>
      </c>
      <c r="AN44" s="632">
        <v>18.171394756785162</v>
      </c>
      <c r="AO44" s="632">
        <v>18.171394756785162</v>
      </c>
      <c r="AP44" s="632">
        <v>0</v>
      </c>
      <c r="AQ44" s="632">
        <v>0</v>
      </c>
      <c r="AR44" s="632">
        <v>0</v>
      </c>
      <c r="AS44" s="632">
        <v>17.60175956218055</v>
      </c>
      <c r="AT44" s="632">
        <v>18.17291361335036</v>
      </c>
      <c r="AU44" s="632">
        <v>18.762600865647894</v>
      </c>
      <c r="AV44" s="632">
        <v>19.371422697183547</v>
      </c>
      <c r="AW44" s="632">
        <v>20</v>
      </c>
      <c r="AX44" s="632">
        <v>17.378925652995751</v>
      </c>
      <c r="AY44" s="632">
        <v>17.770743329681121</v>
      </c>
      <c r="AZ44" s="632">
        <v>18.171394756785162</v>
      </c>
      <c r="BA44" s="632">
        <v>18.581079096191321</v>
      </c>
      <c r="BB44" s="632">
        <v>19</v>
      </c>
      <c r="BC44" s="632">
        <v>0</v>
      </c>
      <c r="BD44" s="632">
        <v>0</v>
      </c>
      <c r="BE44" s="632">
        <v>0</v>
      </c>
      <c r="BF44" s="632">
        <v>0</v>
      </c>
      <c r="BG44" s="632">
        <v>0</v>
      </c>
      <c r="BH44" s="634">
        <v>20.227205853706302</v>
      </c>
      <c r="BI44" s="634">
        <v>20.456992832410528</v>
      </c>
      <c r="BJ44" s="634">
        <v>20.689390258448107</v>
      </c>
      <c r="BK44" s="635">
        <v>20.55336659486909</v>
      </c>
      <c r="BL44" s="635">
        <v>20.418237227198372</v>
      </c>
      <c r="BM44" s="635">
        <v>20.564817005943823</v>
      </c>
      <c r="BN44" s="635">
        <v>20.712449061205501</v>
      </c>
      <c r="BO44" s="635">
        <v>20.861140947134995</v>
      </c>
      <c r="BP44" s="635">
        <v>21.010900272114107</v>
      </c>
      <c r="BQ44" s="635">
        <v>21.161734699144208</v>
      </c>
      <c r="BR44" s="635">
        <v>21.280528742551258</v>
      </c>
      <c r="BS44" s="635">
        <v>21.399989651172795</v>
      </c>
      <c r="BT44" s="635">
        <v>21.520121168540072</v>
      </c>
      <c r="BU44" s="635">
        <v>21.640927059199125</v>
      </c>
      <c r="BV44" s="635">
        <v>21.762411108828726</v>
      </c>
      <c r="BW44" s="634">
        <v>19.215845561020988</v>
      </c>
      <c r="BX44" s="634">
        <v>19.434143190790003</v>
      </c>
      <c r="BY44" s="634">
        <v>19.6549207455257</v>
      </c>
      <c r="BZ44" s="635">
        <v>19.525698265125634</v>
      </c>
      <c r="CA44" s="635">
        <v>19.397325365838455</v>
      </c>
      <c r="CB44" s="635">
        <v>19.536576155646628</v>
      </c>
      <c r="CC44" s="635">
        <v>19.676826608145227</v>
      </c>
      <c r="CD44" s="635">
        <v>19.818083899778244</v>
      </c>
      <c r="CE44" s="635">
        <v>19.9603552585084</v>
      </c>
      <c r="CF44" s="635">
        <v>20.103647964186997</v>
      </c>
      <c r="CG44" s="635">
        <v>20.216502305423695</v>
      </c>
      <c r="CH44" s="635">
        <v>20.329990168614152</v>
      </c>
      <c r="CI44" s="635">
        <v>20.444115110113067</v>
      </c>
      <c r="CJ44" s="635">
        <v>20.558880706239165</v>
      </c>
      <c r="CK44" s="635">
        <v>20.674290553387287</v>
      </c>
      <c r="CL44" s="634">
        <v>0</v>
      </c>
      <c r="CM44" s="634">
        <v>0</v>
      </c>
      <c r="CN44" s="634">
        <v>0</v>
      </c>
      <c r="CO44" s="635">
        <v>0</v>
      </c>
      <c r="CP44" s="635">
        <v>0</v>
      </c>
      <c r="CQ44" s="635">
        <v>0</v>
      </c>
      <c r="CR44" s="635">
        <v>0</v>
      </c>
      <c r="CS44" s="635">
        <v>0</v>
      </c>
      <c r="CT44" s="635">
        <v>0</v>
      </c>
      <c r="CU44" s="635">
        <v>0</v>
      </c>
      <c r="CV44" s="635">
        <v>0</v>
      </c>
      <c r="CW44" s="635">
        <v>0</v>
      </c>
      <c r="CX44" s="635">
        <v>0</v>
      </c>
      <c r="CY44" s="635">
        <v>0</v>
      </c>
      <c r="CZ44" s="635">
        <v>0</v>
      </c>
      <c r="DA44" s="636">
        <v>0</v>
      </c>
      <c r="DB44" s="636">
        <v>0</v>
      </c>
      <c r="DC44" s="636">
        <v>0</v>
      </c>
      <c r="DD44" s="637">
        <v>0</v>
      </c>
      <c r="DE44" s="637">
        <v>0</v>
      </c>
      <c r="DF44" s="637">
        <v>0</v>
      </c>
      <c r="DG44" s="637">
        <v>0</v>
      </c>
      <c r="DH44" s="637">
        <v>0</v>
      </c>
      <c r="DI44" s="637">
        <v>0</v>
      </c>
      <c r="DJ44" s="637">
        <v>0</v>
      </c>
      <c r="DK44" s="637">
        <v>0</v>
      </c>
      <c r="DL44" s="637">
        <v>0</v>
      </c>
      <c r="DM44" s="637">
        <v>0</v>
      </c>
      <c r="DN44" s="637">
        <v>0</v>
      </c>
      <c r="DO44" s="637">
        <v>0</v>
      </c>
      <c r="DP44" s="636">
        <v>0</v>
      </c>
      <c r="DQ44" s="636">
        <v>0</v>
      </c>
      <c r="DR44" s="636">
        <v>0</v>
      </c>
      <c r="DS44" s="637">
        <v>0</v>
      </c>
      <c r="DT44" s="637">
        <v>0</v>
      </c>
      <c r="DU44" s="637">
        <v>0</v>
      </c>
      <c r="DV44" s="637">
        <v>0</v>
      </c>
      <c r="DW44" s="637">
        <v>0</v>
      </c>
      <c r="DX44" s="637">
        <v>0</v>
      </c>
      <c r="DY44" s="637">
        <v>0</v>
      </c>
      <c r="DZ44" s="637">
        <v>0</v>
      </c>
      <c r="EA44" s="637">
        <v>0</v>
      </c>
      <c r="EB44" s="637">
        <v>0</v>
      </c>
      <c r="EC44" s="637">
        <v>0</v>
      </c>
      <c r="ED44" s="637">
        <v>0</v>
      </c>
    </row>
    <row r="45" spans="1:134" ht="15" x14ac:dyDescent="0.25">
      <c r="A45" s="555">
        <v>131</v>
      </c>
      <c r="B45" s="555">
        <v>74</v>
      </c>
      <c r="C45" s="555" t="s">
        <v>1028</v>
      </c>
      <c r="D45" s="812">
        <v>99714</v>
      </c>
      <c r="E45" s="812">
        <v>99714</v>
      </c>
      <c r="F45" s="630" t="s">
        <v>989</v>
      </c>
      <c r="G45" s="45">
        <v>2</v>
      </c>
      <c r="H45" s="45">
        <v>2</v>
      </c>
      <c r="I45" s="45">
        <v>1</v>
      </c>
      <c r="J45" s="45">
        <v>1</v>
      </c>
      <c r="K45" s="45">
        <v>0</v>
      </c>
      <c r="L45" s="45">
        <v>8</v>
      </c>
      <c r="M45" s="45">
        <v>8</v>
      </c>
      <c r="N45" s="45">
        <v>0</v>
      </c>
      <c r="O45" s="45">
        <v>0</v>
      </c>
      <c r="P45" s="45">
        <v>0</v>
      </c>
      <c r="Q45" s="45">
        <v>8</v>
      </c>
      <c r="R45" s="45">
        <v>0</v>
      </c>
      <c r="S45" s="45">
        <v>1723</v>
      </c>
      <c r="T45" s="45">
        <v>1723</v>
      </c>
      <c r="U45" s="45">
        <v>0</v>
      </c>
      <c r="V45" s="45">
        <v>0</v>
      </c>
      <c r="W45" s="45">
        <v>0</v>
      </c>
      <c r="X45" s="45">
        <v>1723</v>
      </c>
      <c r="Y45" s="45">
        <v>0</v>
      </c>
      <c r="Z45" s="45">
        <v>2</v>
      </c>
      <c r="AA45" s="45">
        <v>0</v>
      </c>
      <c r="AB45" s="508">
        <v>0</v>
      </c>
      <c r="AC45" s="508">
        <v>0</v>
      </c>
      <c r="AD45" s="631">
        <v>2</v>
      </c>
      <c r="AE45" s="632">
        <v>0</v>
      </c>
      <c r="AF45" s="632">
        <v>1</v>
      </c>
      <c r="AG45" s="633">
        <v>1</v>
      </c>
      <c r="AH45" s="632">
        <v>0</v>
      </c>
      <c r="AI45" s="632">
        <v>0</v>
      </c>
      <c r="AJ45" s="632">
        <v>1.8762600865647894</v>
      </c>
      <c r="AK45" s="632">
        <v>1.8762600865647894</v>
      </c>
      <c r="AL45" s="632">
        <v>0</v>
      </c>
      <c r="AM45" s="632">
        <v>0</v>
      </c>
      <c r="AN45" s="632">
        <v>0.95638919772553477</v>
      </c>
      <c r="AO45" s="632">
        <v>0.95638919772553477</v>
      </c>
      <c r="AP45" s="632">
        <v>0</v>
      </c>
      <c r="AQ45" s="632">
        <v>0</v>
      </c>
      <c r="AR45" s="632">
        <v>0</v>
      </c>
      <c r="AS45" s="632">
        <v>1.7601759562180552</v>
      </c>
      <c r="AT45" s="632">
        <v>1.8172913613350361</v>
      </c>
      <c r="AU45" s="632">
        <v>1.8762600865647894</v>
      </c>
      <c r="AV45" s="632">
        <v>1.9371422697183545</v>
      </c>
      <c r="AW45" s="632">
        <v>2</v>
      </c>
      <c r="AX45" s="632">
        <v>0.91468029752609203</v>
      </c>
      <c r="AY45" s="632">
        <v>0.93530228050953268</v>
      </c>
      <c r="AZ45" s="632">
        <v>0.95638919772553477</v>
      </c>
      <c r="BA45" s="632">
        <v>0.97795153137849056</v>
      </c>
      <c r="BB45" s="632">
        <v>1</v>
      </c>
      <c r="BC45" s="632">
        <v>0</v>
      </c>
      <c r="BD45" s="632">
        <v>0</v>
      </c>
      <c r="BE45" s="632">
        <v>0</v>
      </c>
      <c r="BF45" s="632">
        <v>0</v>
      </c>
      <c r="BG45" s="632">
        <v>0</v>
      </c>
      <c r="BH45" s="634">
        <v>2.0227205853706303</v>
      </c>
      <c r="BI45" s="634">
        <v>2.0456992832410528</v>
      </c>
      <c r="BJ45" s="634">
        <v>2.0689390258448106</v>
      </c>
      <c r="BK45" s="635">
        <v>2.0553366594869087</v>
      </c>
      <c r="BL45" s="635">
        <v>2.0418237227198373</v>
      </c>
      <c r="BM45" s="635">
        <v>2.0564817005943818</v>
      </c>
      <c r="BN45" s="635">
        <v>2.0712449061205502</v>
      </c>
      <c r="BO45" s="635">
        <v>2.0861140947134995</v>
      </c>
      <c r="BP45" s="635">
        <v>2.1010900272114106</v>
      </c>
      <c r="BQ45" s="635">
        <v>2.1161734699144206</v>
      </c>
      <c r="BR45" s="635">
        <v>2.1280528742551259</v>
      </c>
      <c r="BS45" s="635">
        <v>2.1399989651172793</v>
      </c>
      <c r="BT45" s="635">
        <v>2.152012116854007</v>
      </c>
      <c r="BU45" s="635">
        <v>2.1640927059199124</v>
      </c>
      <c r="BV45" s="635">
        <v>2.1762411108828723</v>
      </c>
      <c r="BW45" s="634">
        <v>1.0113602926853151</v>
      </c>
      <c r="BX45" s="634">
        <v>1.0228496416205264</v>
      </c>
      <c r="BY45" s="634">
        <v>1.0344695129224053</v>
      </c>
      <c r="BZ45" s="635">
        <v>1.0276683297434543</v>
      </c>
      <c r="CA45" s="635">
        <v>1.0209118613599186</v>
      </c>
      <c r="CB45" s="635">
        <v>1.0282408502971909</v>
      </c>
      <c r="CC45" s="635">
        <v>1.0356224530602751</v>
      </c>
      <c r="CD45" s="635">
        <v>1.0430570473567498</v>
      </c>
      <c r="CE45" s="635">
        <v>1.0505450136057053</v>
      </c>
      <c r="CF45" s="635">
        <v>1.0580867349572103</v>
      </c>
      <c r="CG45" s="635">
        <v>1.064026437127563</v>
      </c>
      <c r="CH45" s="635">
        <v>1.0699994825586396</v>
      </c>
      <c r="CI45" s="635">
        <v>1.0760060584270035</v>
      </c>
      <c r="CJ45" s="635">
        <v>1.0820463529599562</v>
      </c>
      <c r="CK45" s="635">
        <v>1.0881205554414362</v>
      </c>
      <c r="CL45" s="634">
        <v>0</v>
      </c>
      <c r="CM45" s="634">
        <v>0</v>
      </c>
      <c r="CN45" s="634">
        <v>0</v>
      </c>
      <c r="CO45" s="635">
        <v>0</v>
      </c>
      <c r="CP45" s="635">
        <v>0</v>
      </c>
      <c r="CQ45" s="635">
        <v>0</v>
      </c>
      <c r="CR45" s="635">
        <v>0</v>
      </c>
      <c r="CS45" s="635">
        <v>0</v>
      </c>
      <c r="CT45" s="635">
        <v>0</v>
      </c>
      <c r="CU45" s="635">
        <v>0</v>
      </c>
      <c r="CV45" s="635">
        <v>0</v>
      </c>
      <c r="CW45" s="635">
        <v>0</v>
      </c>
      <c r="CX45" s="635">
        <v>0</v>
      </c>
      <c r="CY45" s="635">
        <v>0</v>
      </c>
      <c r="CZ45" s="635">
        <v>0</v>
      </c>
      <c r="DA45" s="636">
        <v>0</v>
      </c>
      <c r="DB45" s="636">
        <v>0</v>
      </c>
      <c r="DC45" s="636">
        <v>0</v>
      </c>
      <c r="DD45" s="637">
        <v>0</v>
      </c>
      <c r="DE45" s="637">
        <v>0</v>
      </c>
      <c r="DF45" s="637">
        <v>0</v>
      </c>
      <c r="DG45" s="637">
        <v>0</v>
      </c>
      <c r="DH45" s="637">
        <v>0</v>
      </c>
      <c r="DI45" s="637">
        <v>0</v>
      </c>
      <c r="DJ45" s="637">
        <v>0</v>
      </c>
      <c r="DK45" s="637">
        <v>0</v>
      </c>
      <c r="DL45" s="637">
        <v>0</v>
      </c>
      <c r="DM45" s="637">
        <v>0</v>
      </c>
      <c r="DN45" s="637">
        <v>0</v>
      </c>
      <c r="DO45" s="637">
        <v>0</v>
      </c>
      <c r="DP45" s="636">
        <v>0</v>
      </c>
      <c r="DQ45" s="636">
        <v>0</v>
      </c>
      <c r="DR45" s="636">
        <v>0</v>
      </c>
      <c r="DS45" s="637">
        <v>0</v>
      </c>
      <c r="DT45" s="637">
        <v>0</v>
      </c>
      <c r="DU45" s="637">
        <v>0</v>
      </c>
      <c r="DV45" s="637">
        <v>0</v>
      </c>
      <c r="DW45" s="637">
        <v>0</v>
      </c>
      <c r="DX45" s="637">
        <v>0</v>
      </c>
      <c r="DY45" s="637">
        <v>0</v>
      </c>
      <c r="DZ45" s="637">
        <v>0</v>
      </c>
      <c r="EA45" s="637">
        <v>0</v>
      </c>
      <c r="EB45" s="637">
        <v>0</v>
      </c>
      <c r="EC45" s="637">
        <v>0</v>
      </c>
      <c r="ED45" s="637">
        <v>0</v>
      </c>
    </row>
    <row r="46" spans="1:134" ht="15" x14ac:dyDescent="0.25">
      <c r="A46" s="555">
        <v>132</v>
      </c>
      <c r="B46" s="555">
        <v>74</v>
      </c>
      <c r="C46" s="555" t="s">
        <v>1029</v>
      </c>
      <c r="D46" s="812">
        <v>99714</v>
      </c>
      <c r="E46" s="812">
        <v>99714</v>
      </c>
      <c r="F46" s="630" t="s">
        <v>989</v>
      </c>
      <c r="G46" s="45">
        <v>60</v>
      </c>
      <c r="H46" s="45">
        <v>23</v>
      </c>
      <c r="I46" s="45">
        <v>19</v>
      </c>
      <c r="J46" s="45">
        <v>4</v>
      </c>
      <c r="K46" s="45">
        <v>0</v>
      </c>
      <c r="L46" s="45">
        <v>32</v>
      </c>
      <c r="M46" s="45">
        <v>32</v>
      </c>
      <c r="N46" s="45">
        <v>0</v>
      </c>
      <c r="O46" s="45">
        <v>0</v>
      </c>
      <c r="P46" s="45">
        <v>0</v>
      </c>
      <c r="Q46" s="45">
        <v>32</v>
      </c>
      <c r="R46" s="45">
        <v>0</v>
      </c>
      <c r="S46" s="45">
        <v>1443.71875</v>
      </c>
      <c r="T46" s="45">
        <v>1443.71875</v>
      </c>
      <c r="U46" s="45">
        <v>0</v>
      </c>
      <c r="V46" s="45">
        <v>0</v>
      </c>
      <c r="W46" s="45">
        <v>0</v>
      </c>
      <c r="X46" s="45">
        <v>1443.71875</v>
      </c>
      <c r="Y46" s="45">
        <v>0</v>
      </c>
      <c r="Z46" s="45">
        <v>23</v>
      </c>
      <c r="AA46" s="45">
        <v>0</v>
      </c>
      <c r="AB46" s="508">
        <v>0</v>
      </c>
      <c r="AC46" s="508">
        <v>0</v>
      </c>
      <c r="AD46" s="631">
        <v>23</v>
      </c>
      <c r="AE46" s="632">
        <v>0</v>
      </c>
      <c r="AF46" s="632">
        <v>19</v>
      </c>
      <c r="AG46" s="633">
        <v>19</v>
      </c>
      <c r="AH46" s="632">
        <v>0</v>
      </c>
      <c r="AI46" s="632">
        <v>0</v>
      </c>
      <c r="AJ46" s="632">
        <v>21.576990995495077</v>
      </c>
      <c r="AK46" s="632">
        <v>21.576990995495077</v>
      </c>
      <c r="AL46" s="632">
        <v>0</v>
      </c>
      <c r="AM46" s="632">
        <v>0</v>
      </c>
      <c r="AN46" s="632">
        <v>18.171394756785162</v>
      </c>
      <c r="AO46" s="632">
        <v>18.171394756785162</v>
      </c>
      <c r="AP46" s="632">
        <v>0</v>
      </c>
      <c r="AQ46" s="632">
        <v>0</v>
      </c>
      <c r="AR46" s="632">
        <v>0</v>
      </c>
      <c r="AS46" s="632">
        <v>20.242023496507635</v>
      </c>
      <c r="AT46" s="632">
        <v>20.898850655352916</v>
      </c>
      <c r="AU46" s="632">
        <v>21.576990995495077</v>
      </c>
      <c r="AV46" s="632">
        <v>22.277136101761077</v>
      </c>
      <c r="AW46" s="632">
        <v>23</v>
      </c>
      <c r="AX46" s="632">
        <v>17.378925652995751</v>
      </c>
      <c r="AY46" s="632">
        <v>17.770743329681121</v>
      </c>
      <c r="AZ46" s="632">
        <v>18.171394756785162</v>
      </c>
      <c r="BA46" s="632">
        <v>18.581079096191321</v>
      </c>
      <c r="BB46" s="632">
        <v>19</v>
      </c>
      <c r="BC46" s="632">
        <v>0</v>
      </c>
      <c r="BD46" s="632">
        <v>0</v>
      </c>
      <c r="BE46" s="632">
        <v>0</v>
      </c>
      <c r="BF46" s="632">
        <v>0</v>
      </c>
      <c r="BG46" s="632">
        <v>0</v>
      </c>
      <c r="BH46" s="634">
        <v>23.261286731762247</v>
      </c>
      <c r="BI46" s="634">
        <v>23.525541757272109</v>
      </c>
      <c r="BJ46" s="634">
        <v>23.792798797215323</v>
      </c>
      <c r="BK46" s="635">
        <v>23.63637158409945</v>
      </c>
      <c r="BL46" s="635">
        <v>23.480972811278129</v>
      </c>
      <c r="BM46" s="635">
        <v>23.649539556835393</v>
      </c>
      <c r="BN46" s="635">
        <v>23.819316420386325</v>
      </c>
      <c r="BO46" s="635">
        <v>23.990312089205243</v>
      </c>
      <c r="BP46" s="635">
        <v>24.162535312931222</v>
      </c>
      <c r="BQ46" s="635">
        <v>24.335994904015838</v>
      </c>
      <c r="BR46" s="635">
        <v>24.472608053933946</v>
      </c>
      <c r="BS46" s="635">
        <v>24.609988098848714</v>
      </c>
      <c r="BT46" s="635">
        <v>24.748139343821084</v>
      </c>
      <c r="BU46" s="635">
        <v>24.887066118078991</v>
      </c>
      <c r="BV46" s="635">
        <v>25.026772775153034</v>
      </c>
      <c r="BW46" s="634">
        <v>19.215845561020988</v>
      </c>
      <c r="BX46" s="634">
        <v>19.434143190790003</v>
      </c>
      <c r="BY46" s="634">
        <v>19.6549207455257</v>
      </c>
      <c r="BZ46" s="635">
        <v>19.525698265125634</v>
      </c>
      <c r="CA46" s="635">
        <v>19.397325365838455</v>
      </c>
      <c r="CB46" s="635">
        <v>19.536576155646628</v>
      </c>
      <c r="CC46" s="635">
        <v>19.676826608145227</v>
      </c>
      <c r="CD46" s="635">
        <v>19.818083899778244</v>
      </c>
      <c r="CE46" s="635">
        <v>19.9603552585084</v>
      </c>
      <c r="CF46" s="635">
        <v>20.103647964186997</v>
      </c>
      <c r="CG46" s="635">
        <v>20.216502305423695</v>
      </c>
      <c r="CH46" s="635">
        <v>20.329990168614152</v>
      </c>
      <c r="CI46" s="635">
        <v>20.444115110113067</v>
      </c>
      <c r="CJ46" s="635">
        <v>20.558880706239165</v>
      </c>
      <c r="CK46" s="635">
        <v>20.674290553387287</v>
      </c>
      <c r="CL46" s="634">
        <v>0</v>
      </c>
      <c r="CM46" s="634">
        <v>0</v>
      </c>
      <c r="CN46" s="634">
        <v>0</v>
      </c>
      <c r="CO46" s="635">
        <v>0</v>
      </c>
      <c r="CP46" s="635">
        <v>0</v>
      </c>
      <c r="CQ46" s="635">
        <v>0</v>
      </c>
      <c r="CR46" s="635">
        <v>0</v>
      </c>
      <c r="CS46" s="635">
        <v>0</v>
      </c>
      <c r="CT46" s="635">
        <v>0</v>
      </c>
      <c r="CU46" s="635">
        <v>0</v>
      </c>
      <c r="CV46" s="635">
        <v>0</v>
      </c>
      <c r="CW46" s="635">
        <v>0</v>
      </c>
      <c r="CX46" s="635">
        <v>0</v>
      </c>
      <c r="CY46" s="635">
        <v>0</v>
      </c>
      <c r="CZ46" s="635">
        <v>0</v>
      </c>
      <c r="DA46" s="636">
        <v>0</v>
      </c>
      <c r="DB46" s="636">
        <v>0</v>
      </c>
      <c r="DC46" s="636">
        <v>0</v>
      </c>
      <c r="DD46" s="637">
        <v>0</v>
      </c>
      <c r="DE46" s="637">
        <v>0</v>
      </c>
      <c r="DF46" s="637">
        <v>0</v>
      </c>
      <c r="DG46" s="637">
        <v>0</v>
      </c>
      <c r="DH46" s="637">
        <v>0</v>
      </c>
      <c r="DI46" s="637">
        <v>0</v>
      </c>
      <c r="DJ46" s="637">
        <v>0</v>
      </c>
      <c r="DK46" s="637">
        <v>0</v>
      </c>
      <c r="DL46" s="637">
        <v>0</v>
      </c>
      <c r="DM46" s="637">
        <v>0</v>
      </c>
      <c r="DN46" s="637">
        <v>0</v>
      </c>
      <c r="DO46" s="637">
        <v>0</v>
      </c>
      <c r="DP46" s="636">
        <v>0</v>
      </c>
      <c r="DQ46" s="636">
        <v>0</v>
      </c>
      <c r="DR46" s="636">
        <v>0</v>
      </c>
      <c r="DS46" s="637">
        <v>0</v>
      </c>
      <c r="DT46" s="637">
        <v>0</v>
      </c>
      <c r="DU46" s="637">
        <v>0</v>
      </c>
      <c r="DV46" s="637">
        <v>0</v>
      </c>
      <c r="DW46" s="637">
        <v>0</v>
      </c>
      <c r="DX46" s="637">
        <v>0</v>
      </c>
      <c r="DY46" s="637">
        <v>0</v>
      </c>
      <c r="DZ46" s="637">
        <v>0</v>
      </c>
      <c r="EA46" s="637">
        <v>0</v>
      </c>
      <c r="EB46" s="637">
        <v>0</v>
      </c>
      <c r="EC46" s="637">
        <v>0</v>
      </c>
      <c r="ED46" s="637">
        <v>0</v>
      </c>
    </row>
    <row r="47" spans="1:134" ht="15" x14ac:dyDescent="0.25">
      <c r="A47" s="555">
        <v>133</v>
      </c>
      <c r="B47" s="555">
        <v>74</v>
      </c>
      <c r="C47" s="555" t="s">
        <v>1030</v>
      </c>
      <c r="D47" s="812">
        <v>99714</v>
      </c>
      <c r="E47" s="812">
        <v>99714</v>
      </c>
      <c r="F47" s="630" t="s">
        <v>989</v>
      </c>
      <c r="G47" s="45">
        <v>9</v>
      </c>
      <c r="H47" s="45">
        <v>4</v>
      </c>
      <c r="I47" s="45">
        <v>4</v>
      </c>
      <c r="J47" s="45">
        <v>0</v>
      </c>
      <c r="K47" s="45">
        <v>0</v>
      </c>
      <c r="L47" s="45">
        <v>3</v>
      </c>
      <c r="M47" s="45">
        <v>3</v>
      </c>
      <c r="N47" s="45">
        <v>0</v>
      </c>
      <c r="O47" s="45">
        <v>0</v>
      </c>
      <c r="P47" s="45">
        <v>0</v>
      </c>
      <c r="Q47" s="45">
        <v>3</v>
      </c>
      <c r="R47" s="45">
        <v>0</v>
      </c>
      <c r="S47" s="45">
        <v>1639.6666666666667</v>
      </c>
      <c r="T47" s="45">
        <v>1639.6666666666667</v>
      </c>
      <c r="U47" s="45">
        <v>0</v>
      </c>
      <c r="V47" s="45">
        <v>0</v>
      </c>
      <c r="W47" s="45">
        <v>0</v>
      </c>
      <c r="X47" s="45">
        <v>1639.6666666666667</v>
      </c>
      <c r="Y47" s="45">
        <v>0</v>
      </c>
      <c r="Z47" s="45">
        <v>4</v>
      </c>
      <c r="AA47" s="45">
        <v>0</v>
      </c>
      <c r="AB47" s="508">
        <v>0</v>
      </c>
      <c r="AC47" s="508">
        <v>0</v>
      </c>
      <c r="AD47" s="631">
        <v>4</v>
      </c>
      <c r="AE47" s="632">
        <v>0</v>
      </c>
      <c r="AF47" s="632">
        <v>4</v>
      </c>
      <c r="AG47" s="633">
        <v>4</v>
      </c>
      <c r="AH47" s="632">
        <v>0</v>
      </c>
      <c r="AI47" s="632">
        <v>0</v>
      </c>
      <c r="AJ47" s="632">
        <v>3.7525201731295788</v>
      </c>
      <c r="AK47" s="632">
        <v>3.7525201731295788</v>
      </c>
      <c r="AL47" s="632">
        <v>0</v>
      </c>
      <c r="AM47" s="632">
        <v>0</v>
      </c>
      <c r="AN47" s="632">
        <v>3.8255567909021391</v>
      </c>
      <c r="AO47" s="632">
        <v>3.8255567909021391</v>
      </c>
      <c r="AP47" s="632">
        <v>0</v>
      </c>
      <c r="AQ47" s="632">
        <v>0</v>
      </c>
      <c r="AR47" s="632">
        <v>0</v>
      </c>
      <c r="AS47" s="632">
        <v>3.5203519124361105</v>
      </c>
      <c r="AT47" s="632">
        <v>3.6345827226700722</v>
      </c>
      <c r="AU47" s="632">
        <v>3.7525201731295788</v>
      </c>
      <c r="AV47" s="632">
        <v>3.8742845394367089</v>
      </c>
      <c r="AW47" s="632">
        <v>4</v>
      </c>
      <c r="AX47" s="632">
        <v>3.6587211901043681</v>
      </c>
      <c r="AY47" s="632">
        <v>3.7412091220381307</v>
      </c>
      <c r="AZ47" s="632">
        <v>3.8255567909021391</v>
      </c>
      <c r="BA47" s="632">
        <v>3.9118061255139622</v>
      </c>
      <c r="BB47" s="632">
        <v>4</v>
      </c>
      <c r="BC47" s="632">
        <v>0</v>
      </c>
      <c r="BD47" s="632">
        <v>0</v>
      </c>
      <c r="BE47" s="632">
        <v>0</v>
      </c>
      <c r="BF47" s="632">
        <v>0</v>
      </c>
      <c r="BG47" s="632">
        <v>0</v>
      </c>
      <c r="BH47" s="634">
        <v>4.0454411707412605</v>
      </c>
      <c r="BI47" s="634">
        <v>4.0913985664821055</v>
      </c>
      <c r="BJ47" s="634">
        <v>4.1378780516896212</v>
      </c>
      <c r="BK47" s="635">
        <v>4.1106733189738174</v>
      </c>
      <c r="BL47" s="635">
        <v>4.0836474454396745</v>
      </c>
      <c r="BM47" s="635">
        <v>4.1129634011887637</v>
      </c>
      <c r="BN47" s="635">
        <v>4.1424898122411005</v>
      </c>
      <c r="BO47" s="635">
        <v>4.172228189426999</v>
      </c>
      <c r="BP47" s="635">
        <v>4.2021800544228212</v>
      </c>
      <c r="BQ47" s="635">
        <v>4.2323469398288411</v>
      </c>
      <c r="BR47" s="635">
        <v>4.2561057485102518</v>
      </c>
      <c r="BS47" s="635">
        <v>4.2799979302345585</v>
      </c>
      <c r="BT47" s="635">
        <v>4.3040242337080139</v>
      </c>
      <c r="BU47" s="635">
        <v>4.3281854118398249</v>
      </c>
      <c r="BV47" s="635">
        <v>4.3524822217657446</v>
      </c>
      <c r="BW47" s="634">
        <v>4.0454411707412605</v>
      </c>
      <c r="BX47" s="634">
        <v>4.0913985664821055</v>
      </c>
      <c r="BY47" s="634">
        <v>4.1378780516896212</v>
      </c>
      <c r="BZ47" s="635">
        <v>4.1106733189738174</v>
      </c>
      <c r="CA47" s="635">
        <v>4.0836474454396745</v>
      </c>
      <c r="CB47" s="635">
        <v>4.1129634011887637</v>
      </c>
      <c r="CC47" s="635">
        <v>4.1424898122411005</v>
      </c>
      <c r="CD47" s="635">
        <v>4.172228189426999</v>
      </c>
      <c r="CE47" s="635">
        <v>4.2021800544228212</v>
      </c>
      <c r="CF47" s="635">
        <v>4.2323469398288411</v>
      </c>
      <c r="CG47" s="635">
        <v>4.2561057485102518</v>
      </c>
      <c r="CH47" s="635">
        <v>4.2799979302345585</v>
      </c>
      <c r="CI47" s="635">
        <v>4.3040242337080139</v>
      </c>
      <c r="CJ47" s="635">
        <v>4.3281854118398249</v>
      </c>
      <c r="CK47" s="635">
        <v>4.3524822217657446</v>
      </c>
      <c r="CL47" s="634">
        <v>0</v>
      </c>
      <c r="CM47" s="634">
        <v>0</v>
      </c>
      <c r="CN47" s="634">
        <v>0</v>
      </c>
      <c r="CO47" s="635">
        <v>0</v>
      </c>
      <c r="CP47" s="635">
        <v>0</v>
      </c>
      <c r="CQ47" s="635">
        <v>0</v>
      </c>
      <c r="CR47" s="635">
        <v>0</v>
      </c>
      <c r="CS47" s="635">
        <v>0</v>
      </c>
      <c r="CT47" s="635">
        <v>0</v>
      </c>
      <c r="CU47" s="635">
        <v>0</v>
      </c>
      <c r="CV47" s="635">
        <v>0</v>
      </c>
      <c r="CW47" s="635">
        <v>0</v>
      </c>
      <c r="CX47" s="635">
        <v>0</v>
      </c>
      <c r="CY47" s="635">
        <v>0</v>
      </c>
      <c r="CZ47" s="635">
        <v>0</v>
      </c>
      <c r="DA47" s="636">
        <v>0</v>
      </c>
      <c r="DB47" s="636">
        <v>0</v>
      </c>
      <c r="DC47" s="636">
        <v>0</v>
      </c>
      <c r="DD47" s="637">
        <v>0</v>
      </c>
      <c r="DE47" s="637">
        <v>0</v>
      </c>
      <c r="DF47" s="637">
        <v>0</v>
      </c>
      <c r="DG47" s="637">
        <v>0</v>
      </c>
      <c r="DH47" s="637">
        <v>0</v>
      </c>
      <c r="DI47" s="637">
        <v>0</v>
      </c>
      <c r="DJ47" s="637">
        <v>0</v>
      </c>
      <c r="DK47" s="637">
        <v>0</v>
      </c>
      <c r="DL47" s="637">
        <v>0</v>
      </c>
      <c r="DM47" s="637">
        <v>0</v>
      </c>
      <c r="DN47" s="637">
        <v>0</v>
      </c>
      <c r="DO47" s="637">
        <v>0</v>
      </c>
      <c r="DP47" s="636">
        <v>0</v>
      </c>
      <c r="DQ47" s="636">
        <v>0</v>
      </c>
      <c r="DR47" s="636">
        <v>0</v>
      </c>
      <c r="DS47" s="637">
        <v>0</v>
      </c>
      <c r="DT47" s="637">
        <v>0</v>
      </c>
      <c r="DU47" s="637">
        <v>0</v>
      </c>
      <c r="DV47" s="637">
        <v>0</v>
      </c>
      <c r="DW47" s="637">
        <v>0</v>
      </c>
      <c r="DX47" s="637">
        <v>0</v>
      </c>
      <c r="DY47" s="637">
        <v>0</v>
      </c>
      <c r="DZ47" s="637">
        <v>0</v>
      </c>
      <c r="EA47" s="637">
        <v>0</v>
      </c>
      <c r="EB47" s="637">
        <v>0</v>
      </c>
      <c r="EC47" s="637">
        <v>0</v>
      </c>
      <c r="ED47" s="637">
        <v>0</v>
      </c>
    </row>
    <row r="48" spans="1:134" ht="15" x14ac:dyDescent="0.25">
      <c r="A48" s="555">
        <v>131</v>
      </c>
      <c r="B48" s="555">
        <v>75</v>
      </c>
      <c r="C48" s="555" t="s">
        <v>1031</v>
      </c>
      <c r="D48" s="812">
        <v>99714</v>
      </c>
      <c r="E48" s="812">
        <v>99714</v>
      </c>
      <c r="F48" s="630" t="s">
        <v>989</v>
      </c>
      <c r="G48" s="45">
        <v>67</v>
      </c>
      <c r="H48" s="45">
        <v>31</v>
      </c>
      <c r="I48" s="45">
        <v>25</v>
      </c>
      <c r="J48" s="45">
        <v>6</v>
      </c>
      <c r="K48" s="45">
        <v>0</v>
      </c>
      <c r="L48" s="45">
        <v>24</v>
      </c>
      <c r="M48" s="45">
        <v>24</v>
      </c>
      <c r="N48" s="45">
        <v>0</v>
      </c>
      <c r="O48" s="45">
        <v>0</v>
      </c>
      <c r="P48" s="45">
        <v>0</v>
      </c>
      <c r="Q48" s="45">
        <v>24</v>
      </c>
      <c r="R48" s="45">
        <v>0</v>
      </c>
      <c r="S48" s="45">
        <v>1990</v>
      </c>
      <c r="T48" s="45">
        <v>1990</v>
      </c>
      <c r="U48" s="45">
        <v>0</v>
      </c>
      <c r="V48" s="45">
        <v>0</v>
      </c>
      <c r="W48" s="45">
        <v>0</v>
      </c>
      <c r="X48" s="45">
        <v>1990</v>
      </c>
      <c r="Y48" s="45">
        <v>0</v>
      </c>
      <c r="Z48" s="45">
        <v>31</v>
      </c>
      <c r="AA48" s="45">
        <v>0</v>
      </c>
      <c r="AB48" s="508">
        <v>0</v>
      </c>
      <c r="AC48" s="508">
        <v>0</v>
      </c>
      <c r="AD48" s="631">
        <v>31</v>
      </c>
      <c r="AE48" s="632">
        <v>0</v>
      </c>
      <c r="AF48" s="632">
        <v>25</v>
      </c>
      <c r="AG48" s="633">
        <v>25</v>
      </c>
      <c r="AH48" s="632">
        <v>0</v>
      </c>
      <c r="AI48" s="632">
        <v>0</v>
      </c>
      <c r="AJ48" s="632">
        <v>29.082031341754234</v>
      </c>
      <c r="AK48" s="632">
        <v>29.082031341754234</v>
      </c>
      <c r="AL48" s="632">
        <v>0</v>
      </c>
      <c r="AM48" s="632">
        <v>0</v>
      </c>
      <c r="AN48" s="632">
        <v>23.90972994313837</v>
      </c>
      <c r="AO48" s="632">
        <v>23.90972994313837</v>
      </c>
      <c r="AP48" s="632">
        <v>0</v>
      </c>
      <c r="AQ48" s="632">
        <v>0</v>
      </c>
      <c r="AR48" s="632">
        <v>0</v>
      </c>
      <c r="AS48" s="632">
        <v>27.282727321379856</v>
      </c>
      <c r="AT48" s="632">
        <v>28.168016100693059</v>
      </c>
      <c r="AU48" s="632">
        <v>29.082031341754234</v>
      </c>
      <c r="AV48" s="632">
        <v>30.025705180634496</v>
      </c>
      <c r="AW48" s="632">
        <v>31</v>
      </c>
      <c r="AX48" s="632">
        <v>22.867007438152303</v>
      </c>
      <c r="AY48" s="632">
        <v>23.382557012738317</v>
      </c>
      <c r="AZ48" s="632">
        <v>23.90972994313837</v>
      </c>
      <c r="BA48" s="632">
        <v>24.448788284462264</v>
      </c>
      <c r="BB48" s="632">
        <v>25</v>
      </c>
      <c r="BC48" s="632">
        <v>0</v>
      </c>
      <c r="BD48" s="632">
        <v>0</v>
      </c>
      <c r="BE48" s="632">
        <v>0</v>
      </c>
      <c r="BF48" s="632">
        <v>0</v>
      </c>
      <c r="BG48" s="632">
        <v>0</v>
      </c>
      <c r="BH48" s="634">
        <v>31.35216907324477</v>
      </c>
      <c r="BI48" s="634">
        <v>31.70833889023632</v>
      </c>
      <c r="BJ48" s="634">
        <v>32.068554900594563</v>
      </c>
      <c r="BK48" s="635">
        <v>31.857718222047083</v>
      </c>
      <c r="BL48" s="635">
        <v>31.648267702157476</v>
      </c>
      <c r="BM48" s="635">
        <v>31.875466359212922</v>
      </c>
      <c r="BN48" s="635">
        <v>32.104296044868526</v>
      </c>
      <c r="BO48" s="635">
        <v>32.334768468059238</v>
      </c>
      <c r="BP48" s="635">
        <v>32.566895421776863</v>
      </c>
      <c r="BQ48" s="635">
        <v>32.800688783673522</v>
      </c>
      <c r="BR48" s="635">
        <v>32.984819550954448</v>
      </c>
      <c r="BS48" s="635">
        <v>33.169983959317833</v>
      </c>
      <c r="BT48" s="635">
        <v>33.356187811237106</v>
      </c>
      <c r="BU48" s="635">
        <v>33.543436941758642</v>
      </c>
      <c r="BV48" s="635">
        <v>33.731737218684522</v>
      </c>
      <c r="BW48" s="634">
        <v>25.284007317132879</v>
      </c>
      <c r="BX48" s="634">
        <v>25.571241040513158</v>
      </c>
      <c r="BY48" s="634">
        <v>25.861737823060132</v>
      </c>
      <c r="BZ48" s="635">
        <v>25.691708243586358</v>
      </c>
      <c r="CA48" s="635">
        <v>25.522796533997965</v>
      </c>
      <c r="CB48" s="635">
        <v>25.706021257429775</v>
      </c>
      <c r="CC48" s="635">
        <v>25.890561326506877</v>
      </c>
      <c r="CD48" s="635">
        <v>26.076426183918741</v>
      </c>
      <c r="CE48" s="635">
        <v>26.263625340142632</v>
      </c>
      <c r="CF48" s="635">
        <v>26.45216837393026</v>
      </c>
      <c r="CG48" s="635">
        <v>26.600660928189072</v>
      </c>
      <c r="CH48" s="635">
        <v>26.749987063965992</v>
      </c>
      <c r="CI48" s="635">
        <v>26.900151460675087</v>
      </c>
      <c r="CJ48" s="635">
        <v>27.051158823998904</v>
      </c>
      <c r="CK48" s="635">
        <v>27.203013886035905</v>
      </c>
      <c r="CL48" s="634">
        <v>0</v>
      </c>
      <c r="CM48" s="634">
        <v>0</v>
      </c>
      <c r="CN48" s="634">
        <v>0</v>
      </c>
      <c r="CO48" s="635">
        <v>0</v>
      </c>
      <c r="CP48" s="635">
        <v>0</v>
      </c>
      <c r="CQ48" s="635">
        <v>0</v>
      </c>
      <c r="CR48" s="635">
        <v>0</v>
      </c>
      <c r="CS48" s="635">
        <v>0</v>
      </c>
      <c r="CT48" s="635">
        <v>0</v>
      </c>
      <c r="CU48" s="635">
        <v>0</v>
      </c>
      <c r="CV48" s="635">
        <v>0</v>
      </c>
      <c r="CW48" s="635">
        <v>0</v>
      </c>
      <c r="CX48" s="635">
        <v>0</v>
      </c>
      <c r="CY48" s="635">
        <v>0</v>
      </c>
      <c r="CZ48" s="635">
        <v>0</v>
      </c>
      <c r="DA48" s="636">
        <v>0</v>
      </c>
      <c r="DB48" s="636">
        <v>0</v>
      </c>
      <c r="DC48" s="636">
        <v>0</v>
      </c>
      <c r="DD48" s="637">
        <v>0</v>
      </c>
      <c r="DE48" s="637">
        <v>0</v>
      </c>
      <c r="DF48" s="637">
        <v>0</v>
      </c>
      <c r="DG48" s="637">
        <v>0</v>
      </c>
      <c r="DH48" s="637">
        <v>0</v>
      </c>
      <c r="DI48" s="637">
        <v>0</v>
      </c>
      <c r="DJ48" s="637">
        <v>0</v>
      </c>
      <c r="DK48" s="637">
        <v>0</v>
      </c>
      <c r="DL48" s="637">
        <v>0</v>
      </c>
      <c r="DM48" s="637">
        <v>0</v>
      </c>
      <c r="DN48" s="637">
        <v>0</v>
      </c>
      <c r="DO48" s="637">
        <v>0</v>
      </c>
      <c r="DP48" s="636">
        <v>0</v>
      </c>
      <c r="DQ48" s="636">
        <v>0</v>
      </c>
      <c r="DR48" s="636">
        <v>0</v>
      </c>
      <c r="DS48" s="637">
        <v>0</v>
      </c>
      <c r="DT48" s="637">
        <v>0</v>
      </c>
      <c r="DU48" s="637">
        <v>0</v>
      </c>
      <c r="DV48" s="637">
        <v>0</v>
      </c>
      <c r="DW48" s="637">
        <v>0</v>
      </c>
      <c r="DX48" s="637">
        <v>0</v>
      </c>
      <c r="DY48" s="637">
        <v>0</v>
      </c>
      <c r="DZ48" s="637">
        <v>0</v>
      </c>
      <c r="EA48" s="637">
        <v>0</v>
      </c>
      <c r="EB48" s="637">
        <v>0</v>
      </c>
      <c r="EC48" s="637">
        <v>0</v>
      </c>
      <c r="ED48" s="637">
        <v>0</v>
      </c>
    </row>
    <row r="49" spans="1:134" ht="15" x14ac:dyDescent="0.25">
      <c r="A49" s="555">
        <v>130</v>
      </c>
      <c r="B49" s="555">
        <v>76</v>
      </c>
      <c r="C49" s="555" t="s">
        <v>1032</v>
      </c>
      <c r="D49" s="812">
        <v>99714</v>
      </c>
      <c r="E49" s="812">
        <v>99714</v>
      </c>
      <c r="F49" s="630" t="s">
        <v>989</v>
      </c>
      <c r="G49" s="45">
        <v>50</v>
      </c>
      <c r="H49" s="45">
        <v>20</v>
      </c>
      <c r="I49" s="45">
        <v>18</v>
      </c>
      <c r="J49" s="45">
        <v>2</v>
      </c>
      <c r="K49" s="45">
        <v>0</v>
      </c>
      <c r="L49" s="45">
        <v>3</v>
      </c>
      <c r="M49" s="45">
        <v>3</v>
      </c>
      <c r="N49" s="45">
        <v>0</v>
      </c>
      <c r="O49" s="45">
        <v>0</v>
      </c>
      <c r="P49" s="45">
        <v>0</v>
      </c>
      <c r="Q49" s="45">
        <v>3</v>
      </c>
      <c r="R49" s="45">
        <v>0</v>
      </c>
      <c r="S49" s="45">
        <v>2651.6666666666665</v>
      </c>
      <c r="T49" s="45">
        <v>2651.6666666666665</v>
      </c>
      <c r="U49" s="45">
        <v>0</v>
      </c>
      <c r="V49" s="45">
        <v>0</v>
      </c>
      <c r="W49" s="45">
        <v>0</v>
      </c>
      <c r="X49" s="45">
        <v>2651.6666666666665</v>
      </c>
      <c r="Y49" s="45">
        <v>0</v>
      </c>
      <c r="Z49" s="45">
        <v>20</v>
      </c>
      <c r="AA49" s="45">
        <v>0</v>
      </c>
      <c r="AB49" s="508">
        <v>0</v>
      </c>
      <c r="AC49" s="508">
        <v>0</v>
      </c>
      <c r="AD49" s="631">
        <v>20</v>
      </c>
      <c r="AE49" s="632">
        <v>0</v>
      </c>
      <c r="AF49" s="632">
        <v>18</v>
      </c>
      <c r="AG49" s="633">
        <v>18</v>
      </c>
      <c r="AH49" s="632">
        <v>0</v>
      </c>
      <c r="AI49" s="632">
        <v>0</v>
      </c>
      <c r="AJ49" s="632">
        <v>18.762600865647894</v>
      </c>
      <c r="AK49" s="632">
        <v>18.762600865647894</v>
      </c>
      <c r="AL49" s="632">
        <v>0</v>
      </c>
      <c r="AM49" s="632">
        <v>0</v>
      </c>
      <c r="AN49" s="632">
        <v>17.215005559059627</v>
      </c>
      <c r="AO49" s="632">
        <v>17.215005559059627</v>
      </c>
      <c r="AP49" s="632">
        <v>0</v>
      </c>
      <c r="AQ49" s="632">
        <v>0</v>
      </c>
      <c r="AR49" s="632">
        <v>0</v>
      </c>
      <c r="AS49" s="632">
        <v>17.60175956218055</v>
      </c>
      <c r="AT49" s="632">
        <v>18.17291361335036</v>
      </c>
      <c r="AU49" s="632">
        <v>18.762600865647894</v>
      </c>
      <c r="AV49" s="632">
        <v>19.371422697183547</v>
      </c>
      <c r="AW49" s="632">
        <v>20</v>
      </c>
      <c r="AX49" s="632">
        <v>16.464245355469657</v>
      </c>
      <c r="AY49" s="632">
        <v>16.835441049171589</v>
      </c>
      <c r="AZ49" s="632">
        <v>17.215005559059627</v>
      </c>
      <c r="BA49" s="632">
        <v>17.60312756481283</v>
      </c>
      <c r="BB49" s="632">
        <v>18</v>
      </c>
      <c r="BC49" s="632">
        <v>0</v>
      </c>
      <c r="BD49" s="632">
        <v>0</v>
      </c>
      <c r="BE49" s="632">
        <v>0</v>
      </c>
      <c r="BF49" s="632">
        <v>0</v>
      </c>
      <c r="BG49" s="632">
        <v>0</v>
      </c>
      <c r="BH49" s="634">
        <v>20.08030916595219</v>
      </c>
      <c r="BI49" s="634">
        <v>20.160940810011176</v>
      </c>
      <c r="BJ49" s="634">
        <v>20.241896227074353</v>
      </c>
      <c r="BK49" s="635">
        <v>20.108814640415765</v>
      </c>
      <c r="BL49" s="635">
        <v>19.976608006800554</v>
      </c>
      <c r="BM49" s="635">
        <v>20.120017388773103</v>
      </c>
      <c r="BN49" s="635">
        <v>20.264456287409875</v>
      </c>
      <c r="BO49" s="635">
        <v>20.409932093472538</v>
      </c>
      <c r="BP49" s="635">
        <v>20.556452250780033</v>
      </c>
      <c r="BQ49" s="635">
        <v>20.704024256589474</v>
      </c>
      <c r="BR49" s="635">
        <v>20.820248885203561</v>
      </c>
      <c r="BS49" s="635">
        <v>20.937125955300964</v>
      </c>
      <c r="BT49" s="635">
        <v>21.054659129443518</v>
      </c>
      <c r="BU49" s="635">
        <v>21.172852090753302</v>
      </c>
      <c r="BV49" s="635">
        <v>21.291708543028065</v>
      </c>
      <c r="BW49" s="634">
        <v>18.07227824935697</v>
      </c>
      <c r="BX49" s="634">
        <v>18.144846729010059</v>
      </c>
      <c r="BY49" s="634">
        <v>18.217706604366917</v>
      </c>
      <c r="BZ49" s="635">
        <v>18.097933176374191</v>
      </c>
      <c r="CA49" s="635">
        <v>17.978947206120498</v>
      </c>
      <c r="CB49" s="635">
        <v>18.10801564989579</v>
      </c>
      <c r="CC49" s="635">
        <v>18.238010658668887</v>
      </c>
      <c r="CD49" s="635">
        <v>18.368938884125285</v>
      </c>
      <c r="CE49" s="635">
        <v>18.500807025702027</v>
      </c>
      <c r="CF49" s="635">
        <v>18.633621830930526</v>
      </c>
      <c r="CG49" s="635">
        <v>18.738223996683207</v>
      </c>
      <c r="CH49" s="635">
        <v>18.843413359770867</v>
      </c>
      <c r="CI49" s="635">
        <v>18.949193216499165</v>
      </c>
      <c r="CJ49" s="635">
        <v>19.055566881677972</v>
      </c>
      <c r="CK49" s="635">
        <v>19.162537688725259</v>
      </c>
      <c r="CL49" s="634">
        <v>0</v>
      </c>
      <c r="CM49" s="634">
        <v>0</v>
      </c>
      <c r="CN49" s="634">
        <v>0</v>
      </c>
      <c r="CO49" s="635">
        <v>0</v>
      </c>
      <c r="CP49" s="635">
        <v>0</v>
      </c>
      <c r="CQ49" s="635">
        <v>0</v>
      </c>
      <c r="CR49" s="635">
        <v>0</v>
      </c>
      <c r="CS49" s="635">
        <v>0</v>
      </c>
      <c r="CT49" s="635">
        <v>0</v>
      </c>
      <c r="CU49" s="635">
        <v>0</v>
      </c>
      <c r="CV49" s="635">
        <v>0</v>
      </c>
      <c r="CW49" s="635">
        <v>0</v>
      </c>
      <c r="CX49" s="635">
        <v>0</v>
      </c>
      <c r="CY49" s="635">
        <v>0</v>
      </c>
      <c r="CZ49" s="635">
        <v>0</v>
      </c>
      <c r="DA49" s="636">
        <v>0</v>
      </c>
      <c r="DB49" s="636">
        <v>0</v>
      </c>
      <c r="DC49" s="636">
        <v>0</v>
      </c>
      <c r="DD49" s="637">
        <v>0</v>
      </c>
      <c r="DE49" s="637">
        <v>0</v>
      </c>
      <c r="DF49" s="637">
        <v>0</v>
      </c>
      <c r="DG49" s="637">
        <v>0</v>
      </c>
      <c r="DH49" s="637">
        <v>0</v>
      </c>
      <c r="DI49" s="637">
        <v>0</v>
      </c>
      <c r="DJ49" s="637">
        <v>0</v>
      </c>
      <c r="DK49" s="637">
        <v>0</v>
      </c>
      <c r="DL49" s="637">
        <v>0</v>
      </c>
      <c r="DM49" s="637">
        <v>0</v>
      </c>
      <c r="DN49" s="637">
        <v>0</v>
      </c>
      <c r="DO49" s="637">
        <v>0</v>
      </c>
      <c r="DP49" s="636">
        <v>0</v>
      </c>
      <c r="DQ49" s="636">
        <v>0</v>
      </c>
      <c r="DR49" s="636">
        <v>0</v>
      </c>
      <c r="DS49" s="637">
        <v>0</v>
      </c>
      <c r="DT49" s="637">
        <v>0</v>
      </c>
      <c r="DU49" s="637">
        <v>0</v>
      </c>
      <c r="DV49" s="637">
        <v>0</v>
      </c>
      <c r="DW49" s="637">
        <v>0</v>
      </c>
      <c r="DX49" s="637">
        <v>0</v>
      </c>
      <c r="DY49" s="637">
        <v>0</v>
      </c>
      <c r="DZ49" s="637">
        <v>0</v>
      </c>
      <c r="EA49" s="637">
        <v>0</v>
      </c>
      <c r="EB49" s="637">
        <v>0</v>
      </c>
      <c r="EC49" s="637">
        <v>0</v>
      </c>
      <c r="ED49" s="637">
        <v>0</v>
      </c>
    </row>
    <row r="50" spans="1:134" ht="15" x14ac:dyDescent="0.25">
      <c r="A50" s="555">
        <v>131</v>
      </c>
      <c r="B50" s="555">
        <v>76</v>
      </c>
      <c r="C50" s="555" t="s">
        <v>1033</v>
      </c>
      <c r="D50" s="812">
        <v>99705</v>
      </c>
      <c r="E50" s="812">
        <v>99714</v>
      </c>
      <c r="F50" s="630" t="s">
        <v>989</v>
      </c>
      <c r="G50" s="45">
        <v>6</v>
      </c>
      <c r="H50" s="45">
        <v>3</v>
      </c>
      <c r="I50" s="45">
        <v>3</v>
      </c>
      <c r="J50" s="45">
        <v>0</v>
      </c>
      <c r="K50" s="45">
        <v>0</v>
      </c>
      <c r="L50" s="45">
        <v>6</v>
      </c>
      <c r="M50" s="45">
        <v>6</v>
      </c>
      <c r="N50" s="45">
        <v>0</v>
      </c>
      <c r="O50" s="45">
        <v>0</v>
      </c>
      <c r="P50" s="45">
        <v>0</v>
      </c>
      <c r="Q50" s="45">
        <v>6</v>
      </c>
      <c r="R50" s="45">
        <v>0</v>
      </c>
      <c r="S50" s="45">
        <v>1360</v>
      </c>
      <c r="T50" s="45">
        <v>1360</v>
      </c>
      <c r="U50" s="45">
        <v>0</v>
      </c>
      <c r="V50" s="45">
        <v>0</v>
      </c>
      <c r="W50" s="45">
        <v>0</v>
      </c>
      <c r="X50" s="45">
        <v>1360</v>
      </c>
      <c r="Y50" s="45">
        <v>0</v>
      </c>
      <c r="Z50" s="45">
        <v>3</v>
      </c>
      <c r="AA50" s="45">
        <v>0</v>
      </c>
      <c r="AB50" s="508">
        <v>0</v>
      </c>
      <c r="AC50" s="508">
        <v>0</v>
      </c>
      <c r="AD50" s="631">
        <v>3</v>
      </c>
      <c r="AE50" s="632">
        <v>0</v>
      </c>
      <c r="AF50" s="632">
        <v>3</v>
      </c>
      <c r="AG50" s="633">
        <v>3</v>
      </c>
      <c r="AH50" s="632">
        <v>0</v>
      </c>
      <c r="AI50" s="632">
        <v>0</v>
      </c>
      <c r="AJ50" s="632">
        <v>2.7844551006625817</v>
      </c>
      <c r="AK50" s="632">
        <v>2.7844551006625817</v>
      </c>
      <c r="AL50" s="632">
        <v>0</v>
      </c>
      <c r="AM50" s="632">
        <v>0</v>
      </c>
      <c r="AN50" s="632">
        <v>2.798736847705618</v>
      </c>
      <c r="AO50" s="632">
        <v>2.798736847705618</v>
      </c>
      <c r="AP50" s="632">
        <v>0</v>
      </c>
      <c r="AQ50" s="632">
        <v>0</v>
      </c>
      <c r="AR50" s="632">
        <v>0</v>
      </c>
      <c r="AS50" s="632">
        <v>2.5843967358686224</v>
      </c>
      <c r="AT50" s="632">
        <v>2.6825615879836038</v>
      </c>
      <c r="AU50" s="632">
        <v>2.7844551006625817</v>
      </c>
      <c r="AV50" s="632">
        <v>2.8902189020881695</v>
      </c>
      <c r="AW50" s="632">
        <v>3</v>
      </c>
      <c r="AX50" s="632">
        <v>2.6109759809017263</v>
      </c>
      <c r="AY50" s="632">
        <v>2.703226717503358</v>
      </c>
      <c r="AZ50" s="632">
        <v>2.798736847705618</v>
      </c>
      <c r="BA50" s="632">
        <v>2.8976215320701999</v>
      </c>
      <c r="BB50" s="632">
        <v>3</v>
      </c>
      <c r="BC50" s="632">
        <v>0</v>
      </c>
      <c r="BD50" s="632">
        <v>0</v>
      </c>
      <c r="BE50" s="632">
        <v>0</v>
      </c>
      <c r="BF50" s="632">
        <v>0</v>
      </c>
      <c r="BG50" s="632">
        <v>0</v>
      </c>
      <c r="BH50" s="634">
        <v>3.0120463748928286</v>
      </c>
      <c r="BI50" s="634">
        <v>3.0241411215016765</v>
      </c>
      <c r="BJ50" s="634">
        <v>3.0362844340611526</v>
      </c>
      <c r="BK50" s="635">
        <v>3.0163221960623647</v>
      </c>
      <c r="BL50" s="635">
        <v>2.996491201020083</v>
      </c>
      <c r="BM50" s="635">
        <v>3.0180026083159648</v>
      </c>
      <c r="BN50" s="635">
        <v>3.0396684431114811</v>
      </c>
      <c r="BO50" s="635">
        <v>3.0614898140208804</v>
      </c>
      <c r="BP50" s="635">
        <v>3.0834678376170044</v>
      </c>
      <c r="BQ50" s="635">
        <v>3.1056036384884207</v>
      </c>
      <c r="BR50" s="635">
        <v>3.1230373327805339</v>
      </c>
      <c r="BS50" s="635">
        <v>3.1405688932951445</v>
      </c>
      <c r="BT50" s="635">
        <v>3.1581988694165273</v>
      </c>
      <c r="BU50" s="635">
        <v>3.1759278136129949</v>
      </c>
      <c r="BV50" s="635">
        <v>3.1937562814542093</v>
      </c>
      <c r="BW50" s="634">
        <v>3.0120463748928286</v>
      </c>
      <c r="BX50" s="634">
        <v>3.0241411215016765</v>
      </c>
      <c r="BY50" s="634">
        <v>3.0362844340611526</v>
      </c>
      <c r="BZ50" s="635">
        <v>3.0163221960623647</v>
      </c>
      <c r="CA50" s="635">
        <v>2.996491201020083</v>
      </c>
      <c r="CB50" s="635">
        <v>3.0180026083159648</v>
      </c>
      <c r="CC50" s="635">
        <v>3.0396684431114811</v>
      </c>
      <c r="CD50" s="635">
        <v>3.0614898140208804</v>
      </c>
      <c r="CE50" s="635">
        <v>3.0834678376170044</v>
      </c>
      <c r="CF50" s="635">
        <v>3.1056036384884207</v>
      </c>
      <c r="CG50" s="635">
        <v>3.1230373327805339</v>
      </c>
      <c r="CH50" s="635">
        <v>3.1405688932951445</v>
      </c>
      <c r="CI50" s="635">
        <v>3.1581988694165273</v>
      </c>
      <c r="CJ50" s="635">
        <v>3.1759278136129949</v>
      </c>
      <c r="CK50" s="635">
        <v>3.1937562814542093</v>
      </c>
      <c r="CL50" s="634">
        <v>0</v>
      </c>
      <c r="CM50" s="634">
        <v>0</v>
      </c>
      <c r="CN50" s="634">
        <v>0</v>
      </c>
      <c r="CO50" s="635">
        <v>0</v>
      </c>
      <c r="CP50" s="635">
        <v>0</v>
      </c>
      <c r="CQ50" s="635">
        <v>0</v>
      </c>
      <c r="CR50" s="635">
        <v>0</v>
      </c>
      <c r="CS50" s="635">
        <v>0</v>
      </c>
      <c r="CT50" s="635">
        <v>0</v>
      </c>
      <c r="CU50" s="635">
        <v>0</v>
      </c>
      <c r="CV50" s="635">
        <v>0</v>
      </c>
      <c r="CW50" s="635">
        <v>0</v>
      </c>
      <c r="CX50" s="635">
        <v>0</v>
      </c>
      <c r="CY50" s="635">
        <v>0</v>
      </c>
      <c r="CZ50" s="635">
        <v>0</v>
      </c>
      <c r="DA50" s="636">
        <v>0</v>
      </c>
      <c r="DB50" s="636">
        <v>0</v>
      </c>
      <c r="DC50" s="636">
        <v>0</v>
      </c>
      <c r="DD50" s="637">
        <v>0</v>
      </c>
      <c r="DE50" s="637">
        <v>0</v>
      </c>
      <c r="DF50" s="637">
        <v>0</v>
      </c>
      <c r="DG50" s="637">
        <v>0</v>
      </c>
      <c r="DH50" s="637">
        <v>0</v>
      </c>
      <c r="DI50" s="637">
        <v>0</v>
      </c>
      <c r="DJ50" s="637">
        <v>0</v>
      </c>
      <c r="DK50" s="637">
        <v>0</v>
      </c>
      <c r="DL50" s="637">
        <v>0</v>
      </c>
      <c r="DM50" s="637">
        <v>0</v>
      </c>
      <c r="DN50" s="637">
        <v>0</v>
      </c>
      <c r="DO50" s="637">
        <v>0</v>
      </c>
      <c r="DP50" s="636">
        <v>0</v>
      </c>
      <c r="DQ50" s="636">
        <v>0</v>
      </c>
      <c r="DR50" s="636">
        <v>0</v>
      </c>
      <c r="DS50" s="637">
        <v>0</v>
      </c>
      <c r="DT50" s="637">
        <v>0</v>
      </c>
      <c r="DU50" s="637">
        <v>0</v>
      </c>
      <c r="DV50" s="637">
        <v>0</v>
      </c>
      <c r="DW50" s="637">
        <v>0</v>
      </c>
      <c r="DX50" s="637">
        <v>0</v>
      </c>
      <c r="DY50" s="637">
        <v>0</v>
      </c>
      <c r="DZ50" s="637">
        <v>0</v>
      </c>
      <c r="EA50" s="637">
        <v>0</v>
      </c>
      <c r="EB50" s="637">
        <v>0</v>
      </c>
      <c r="EC50" s="637">
        <v>0</v>
      </c>
      <c r="ED50" s="637">
        <v>0</v>
      </c>
    </row>
    <row r="51" spans="1:134" ht="15" x14ac:dyDescent="0.25">
      <c r="A51" s="555">
        <v>134</v>
      </c>
      <c r="B51" s="555">
        <v>76</v>
      </c>
      <c r="C51" s="555" t="s">
        <v>1034</v>
      </c>
      <c r="D51" s="812">
        <v>99702</v>
      </c>
      <c r="E51" s="812">
        <v>99702</v>
      </c>
      <c r="F51" s="630" t="s">
        <v>989</v>
      </c>
      <c r="G51" s="45">
        <v>18</v>
      </c>
      <c r="H51" s="45">
        <v>6</v>
      </c>
      <c r="I51" s="45">
        <v>6</v>
      </c>
      <c r="J51" s="45">
        <v>0</v>
      </c>
      <c r="K51" s="45">
        <v>0</v>
      </c>
      <c r="L51" s="45">
        <v>0</v>
      </c>
      <c r="M51" s="45">
        <v>0</v>
      </c>
      <c r="N51" s="45">
        <v>0</v>
      </c>
      <c r="O51" s="45">
        <v>0</v>
      </c>
      <c r="P51" s="45">
        <v>0</v>
      </c>
      <c r="Q51" s="45">
        <v>0</v>
      </c>
      <c r="R51" s="45">
        <v>0</v>
      </c>
      <c r="S51" s="45">
        <v>834.49503068156923</v>
      </c>
      <c r="T51" s="45">
        <v>834.49503068156923</v>
      </c>
      <c r="U51" s="45">
        <v>1408.3846153846155</v>
      </c>
      <c r="V51" s="45">
        <v>0</v>
      </c>
      <c r="W51" s="45">
        <v>0</v>
      </c>
      <c r="X51" s="45">
        <v>1365.173957061457</v>
      </c>
      <c r="Y51" s="45">
        <v>0.13747401247401247</v>
      </c>
      <c r="Z51" s="45">
        <v>5.8547297297297298</v>
      </c>
      <c r="AA51" s="45">
        <v>7.7962577962577967E-3</v>
      </c>
      <c r="AB51" s="508">
        <v>0</v>
      </c>
      <c r="AC51" s="508">
        <v>0</v>
      </c>
      <c r="AD51" s="631">
        <v>6</v>
      </c>
      <c r="AE51" s="632">
        <v>0.13747401247401247</v>
      </c>
      <c r="AF51" s="632">
        <v>5.8547297297297298</v>
      </c>
      <c r="AG51" s="633">
        <v>5.992203742203742</v>
      </c>
      <c r="AH51" s="632">
        <v>7.7962577962577967E-3</v>
      </c>
      <c r="AI51" s="632">
        <v>0.15345800067764379</v>
      </c>
      <c r="AJ51" s="632">
        <v>6.5354542481410904</v>
      </c>
      <c r="AK51" s="632">
        <v>6.6889122488187338</v>
      </c>
      <c r="AL51" s="632">
        <v>8.7027221556319739E-3</v>
      </c>
      <c r="AM51" s="632">
        <v>0.160336691611878</v>
      </c>
      <c r="AN51" s="632">
        <v>6.8284032614820411</v>
      </c>
      <c r="AO51" s="632">
        <v>6.9887399530939192</v>
      </c>
      <c r="AP51" s="632">
        <v>9.0928180498229504E-3</v>
      </c>
      <c r="AQ51" s="632">
        <v>0</v>
      </c>
      <c r="AR51" s="632">
        <v>0</v>
      </c>
      <c r="AS51" s="632">
        <v>7.4666264695370277</v>
      </c>
      <c r="AT51" s="632">
        <v>7.0670792587490059</v>
      </c>
      <c r="AU51" s="632">
        <v>6.6889122488187338</v>
      </c>
      <c r="AV51" s="632">
        <v>6.330981362209501</v>
      </c>
      <c r="AW51" s="632">
        <v>5.992203742203742</v>
      </c>
      <c r="AX51" s="632">
        <v>8.1510055787937006</v>
      </c>
      <c r="AY51" s="632">
        <v>7.5475332623584341</v>
      </c>
      <c r="AZ51" s="632">
        <v>6.9887399530939183</v>
      </c>
      <c r="BA51" s="632">
        <v>6.4713177715375858</v>
      </c>
      <c r="BB51" s="632">
        <v>5.992203742203742</v>
      </c>
      <c r="BC51" s="632">
        <v>0</v>
      </c>
      <c r="BD51" s="632">
        <v>0</v>
      </c>
      <c r="BE51" s="632">
        <v>0</v>
      </c>
      <c r="BF51" s="632">
        <v>0</v>
      </c>
      <c r="BG51" s="632">
        <v>0</v>
      </c>
      <c r="BH51" s="634">
        <v>6.0162651864413412</v>
      </c>
      <c r="BI51" s="634">
        <v>6.0404232484048554</v>
      </c>
      <c r="BJ51" s="634">
        <v>6.0646783160587372</v>
      </c>
      <c r="BK51" s="635">
        <v>6.0248057169790377</v>
      </c>
      <c r="BL51" s="635">
        <v>5.9851952627443756</v>
      </c>
      <c r="BM51" s="635">
        <v>6.0281621745105269</v>
      </c>
      <c r="BN51" s="635">
        <v>6.0714375399570804</v>
      </c>
      <c r="BO51" s="635">
        <v>6.1150235734315199</v>
      </c>
      <c r="BP51" s="635">
        <v>6.1589225051778325</v>
      </c>
      <c r="BQ51" s="635">
        <v>6.2031365814506243</v>
      </c>
      <c r="BR51" s="635">
        <v>6.2379586641765039</v>
      </c>
      <c r="BS51" s="635">
        <v>6.2729762250172767</v>
      </c>
      <c r="BT51" s="635">
        <v>6.3081903613137813</v>
      </c>
      <c r="BU51" s="635">
        <v>6.3436021765669128</v>
      </c>
      <c r="BV51" s="635">
        <v>6.3792127804722076</v>
      </c>
      <c r="BW51" s="634">
        <v>6.0162651864413412</v>
      </c>
      <c r="BX51" s="634">
        <v>6.0404232484048554</v>
      </c>
      <c r="BY51" s="634">
        <v>6.0646783160587372</v>
      </c>
      <c r="BZ51" s="635">
        <v>6.0248057169790377</v>
      </c>
      <c r="CA51" s="635">
        <v>5.9851952627443756</v>
      </c>
      <c r="CB51" s="635">
        <v>6.0281621745105269</v>
      </c>
      <c r="CC51" s="635">
        <v>6.0714375399570804</v>
      </c>
      <c r="CD51" s="635">
        <v>6.1150235734315199</v>
      </c>
      <c r="CE51" s="635">
        <v>6.1589225051778325</v>
      </c>
      <c r="CF51" s="635">
        <v>6.2031365814506243</v>
      </c>
      <c r="CG51" s="635">
        <v>6.2379586641765039</v>
      </c>
      <c r="CH51" s="635">
        <v>6.2729762250172767</v>
      </c>
      <c r="CI51" s="635">
        <v>6.3081903613137813</v>
      </c>
      <c r="CJ51" s="635">
        <v>6.3436021765669128</v>
      </c>
      <c r="CK51" s="635">
        <v>6.3792127804722076</v>
      </c>
      <c r="CL51" s="634">
        <v>0</v>
      </c>
      <c r="CM51" s="634">
        <v>0</v>
      </c>
      <c r="CN51" s="634">
        <v>0</v>
      </c>
      <c r="CO51" s="635">
        <v>0</v>
      </c>
      <c r="CP51" s="635">
        <v>0</v>
      </c>
      <c r="CQ51" s="635">
        <v>0</v>
      </c>
      <c r="CR51" s="635">
        <v>0</v>
      </c>
      <c r="CS51" s="635">
        <v>0</v>
      </c>
      <c r="CT51" s="635">
        <v>0</v>
      </c>
      <c r="CU51" s="635">
        <v>0</v>
      </c>
      <c r="CV51" s="635">
        <v>0</v>
      </c>
      <c r="CW51" s="635">
        <v>0</v>
      </c>
      <c r="CX51" s="635">
        <v>0</v>
      </c>
      <c r="CY51" s="635">
        <v>0</v>
      </c>
      <c r="CZ51" s="635">
        <v>0</v>
      </c>
      <c r="DA51" s="636">
        <v>7.8275633443160835E-3</v>
      </c>
      <c r="DB51" s="636">
        <v>7.8589945984970811E-3</v>
      </c>
      <c r="DC51" s="636">
        <v>7.8905520635684841E-3</v>
      </c>
      <c r="DD51" s="637">
        <v>7.8386751456922168E-3</v>
      </c>
      <c r="DE51" s="637">
        <v>7.7871392957902363E-3</v>
      </c>
      <c r="DF51" s="637">
        <v>7.8430421214032361E-3</v>
      </c>
      <c r="DG51" s="637">
        <v>7.8993462658822275E-3</v>
      </c>
      <c r="DH51" s="637">
        <v>7.9560546102413737E-3</v>
      </c>
      <c r="DI51" s="637">
        <v>8.0131700561772469E-3</v>
      </c>
      <c r="DJ51" s="637">
        <v>8.0706955262173103E-3</v>
      </c>
      <c r="DK51" s="637">
        <v>8.1160013845647978E-3</v>
      </c>
      <c r="DL51" s="637">
        <v>8.1615615730123298E-3</v>
      </c>
      <c r="DM51" s="637">
        <v>8.2073775192737196E-3</v>
      </c>
      <c r="DN51" s="637">
        <v>8.2534506590774305E-3</v>
      </c>
      <c r="DO51" s="637">
        <v>8.2997824362115637E-3</v>
      </c>
      <c r="DP51" s="636">
        <v>0</v>
      </c>
      <c r="DQ51" s="636">
        <v>0</v>
      </c>
      <c r="DR51" s="636">
        <v>0</v>
      </c>
      <c r="DS51" s="637">
        <v>0</v>
      </c>
      <c r="DT51" s="637">
        <v>0</v>
      </c>
      <c r="DU51" s="637">
        <v>0</v>
      </c>
      <c r="DV51" s="637">
        <v>0</v>
      </c>
      <c r="DW51" s="637">
        <v>0</v>
      </c>
      <c r="DX51" s="637">
        <v>0</v>
      </c>
      <c r="DY51" s="637">
        <v>0</v>
      </c>
      <c r="DZ51" s="637">
        <v>0</v>
      </c>
      <c r="EA51" s="637">
        <v>0</v>
      </c>
      <c r="EB51" s="637">
        <v>0</v>
      </c>
      <c r="EC51" s="637">
        <v>0</v>
      </c>
      <c r="ED51" s="637">
        <v>0</v>
      </c>
    </row>
    <row r="52" spans="1:134" ht="15" x14ac:dyDescent="0.25">
      <c r="A52" s="555">
        <v>168</v>
      </c>
      <c r="B52" s="555">
        <v>76</v>
      </c>
      <c r="C52" s="555" t="s">
        <v>1035</v>
      </c>
      <c r="D52" s="812">
        <v>99712</v>
      </c>
      <c r="E52" s="812">
        <v>99712</v>
      </c>
      <c r="F52" s="630" t="s">
        <v>989</v>
      </c>
      <c r="G52" s="45">
        <v>0</v>
      </c>
      <c r="H52" s="45">
        <v>5</v>
      </c>
      <c r="I52" s="45">
        <v>0</v>
      </c>
      <c r="J52" s="45">
        <v>5</v>
      </c>
      <c r="K52" s="45">
        <v>0</v>
      </c>
      <c r="L52" s="45">
        <v>0</v>
      </c>
      <c r="M52" s="45">
        <v>0</v>
      </c>
      <c r="N52" s="45">
        <v>0</v>
      </c>
      <c r="O52" s="45">
        <v>0</v>
      </c>
      <c r="P52" s="45">
        <v>0</v>
      </c>
      <c r="Q52" s="45">
        <v>0</v>
      </c>
      <c r="R52" s="45">
        <v>0</v>
      </c>
      <c r="S52" s="45">
        <v>834.49503068156923</v>
      </c>
      <c r="T52" s="45">
        <v>834.49503068156923</v>
      </c>
      <c r="U52" s="45">
        <v>1408.3846153846155</v>
      </c>
      <c r="V52" s="45">
        <v>0</v>
      </c>
      <c r="W52" s="45">
        <v>0</v>
      </c>
      <c r="X52" s="45">
        <v>1365.173957061457</v>
      </c>
      <c r="Y52" s="45">
        <v>0.11456167706167707</v>
      </c>
      <c r="Z52" s="45">
        <v>4.8789414414414418</v>
      </c>
      <c r="AA52" s="45">
        <v>6.4968814968814972E-3</v>
      </c>
      <c r="AB52" s="508">
        <v>0</v>
      </c>
      <c r="AC52" s="508">
        <v>0</v>
      </c>
      <c r="AD52" s="631">
        <v>5</v>
      </c>
      <c r="AE52" s="632">
        <v>0</v>
      </c>
      <c r="AF52" s="632">
        <v>0</v>
      </c>
      <c r="AG52" s="633">
        <v>0</v>
      </c>
      <c r="AH52" s="632">
        <v>0</v>
      </c>
      <c r="AI52" s="632">
        <v>0.10414965256455638</v>
      </c>
      <c r="AJ52" s="632">
        <v>4.4355151656462963</v>
      </c>
      <c r="AK52" s="632">
        <v>4.539664818210853</v>
      </c>
      <c r="AL52" s="632">
        <v>5.9064075178387361E-3</v>
      </c>
      <c r="AM52" s="632">
        <v>0</v>
      </c>
      <c r="AN52" s="632">
        <v>0</v>
      </c>
      <c r="AO52" s="632">
        <v>0</v>
      </c>
      <c r="AP52" s="632">
        <v>0</v>
      </c>
      <c r="AQ52" s="632">
        <v>0</v>
      </c>
      <c r="AR52" s="632">
        <v>0</v>
      </c>
      <c r="AS52" s="632">
        <v>4.127073954422424</v>
      </c>
      <c r="AT52" s="632">
        <v>4.3284561258081187</v>
      </c>
      <c r="AU52" s="632">
        <v>4.539664818210853</v>
      </c>
      <c r="AV52" s="632">
        <v>4.7611795205279535</v>
      </c>
      <c r="AW52" s="632">
        <v>4.9935031185031189</v>
      </c>
      <c r="AX52" s="632">
        <v>0</v>
      </c>
      <c r="AY52" s="632">
        <v>0</v>
      </c>
      <c r="AZ52" s="632">
        <v>0</v>
      </c>
      <c r="BA52" s="632">
        <v>0</v>
      </c>
      <c r="BB52" s="632">
        <v>0</v>
      </c>
      <c r="BC52" s="632">
        <v>0</v>
      </c>
      <c r="BD52" s="632">
        <v>0</v>
      </c>
      <c r="BE52" s="632">
        <v>0</v>
      </c>
      <c r="BF52" s="632">
        <v>0</v>
      </c>
      <c r="BG52" s="632">
        <v>0</v>
      </c>
      <c r="BH52" s="634">
        <v>5.0567097538629424</v>
      </c>
      <c r="BI52" s="634">
        <v>5.1207164445463933</v>
      </c>
      <c r="BJ52" s="634">
        <v>5.1855333174731735</v>
      </c>
      <c r="BK52" s="635">
        <v>5.1514407110385427</v>
      </c>
      <c r="BL52" s="635">
        <v>5.1175722485332518</v>
      </c>
      <c r="BM52" s="635">
        <v>5.1543106113780439</v>
      </c>
      <c r="BN52" s="635">
        <v>5.191312713988288</v>
      </c>
      <c r="BO52" s="635">
        <v>5.2285804497162873</v>
      </c>
      <c r="BP52" s="635">
        <v>5.2661157255064666</v>
      </c>
      <c r="BQ52" s="635">
        <v>5.3039204619929459</v>
      </c>
      <c r="BR52" s="635">
        <v>5.333694682610834</v>
      </c>
      <c r="BS52" s="635">
        <v>5.3636360445385804</v>
      </c>
      <c r="BT52" s="635">
        <v>5.3937454860448257</v>
      </c>
      <c r="BU52" s="635">
        <v>5.4240239506652967</v>
      </c>
      <c r="BV52" s="635">
        <v>5.4544723872323742</v>
      </c>
      <c r="BW52" s="634">
        <v>0</v>
      </c>
      <c r="BX52" s="634">
        <v>0</v>
      </c>
      <c r="BY52" s="634">
        <v>0</v>
      </c>
      <c r="BZ52" s="635">
        <v>0</v>
      </c>
      <c r="CA52" s="635">
        <v>0</v>
      </c>
      <c r="CB52" s="635">
        <v>0</v>
      </c>
      <c r="CC52" s="635">
        <v>0</v>
      </c>
      <c r="CD52" s="635">
        <v>0</v>
      </c>
      <c r="CE52" s="635">
        <v>0</v>
      </c>
      <c r="CF52" s="635">
        <v>0</v>
      </c>
      <c r="CG52" s="635">
        <v>0</v>
      </c>
      <c r="CH52" s="635">
        <v>0</v>
      </c>
      <c r="CI52" s="635">
        <v>0</v>
      </c>
      <c r="CJ52" s="635">
        <v>0</v>
      </c>
      <c r="CK52" s="635">
        <v>0</v>
      </c>
      <c r="CL52" s="634">
        <v>0</v>
      </c>
      <c r="CM52" s="634">
        <v>0</v>
      </c>
      <c r="CN52" s="634">
        <v>0</v>
      </c>
      <c r="CO52" s="635">
        <v>0</v>
      </c>
      <c r="CP52" s="635">
        <v>0</v>
      </c>
      <c r="CQ52" s="635">
        <v>0</v>
      </c>
      <c r="CR52" s="635">
        <v>0</v>
      </c>
      <c r="CS52" s="635">
        <v>0</v>
      </c>
      <c r="CT52" s="635">
        <v>0</v>
      </c>
      <c r="CU52" s="635">
        <v>0</v>
      </c>
      <c r="CV52" s="635">
        <v>0</v>
      </c>
      <c r="CW52" s="635">
        <v>0</v>
      </c>
      <c r="CX52" s="635">
        <v>0</v>
      </c>
      <c r="CY52" s="635">
        <v>0</v>
      </c>
      <c r="CZ52" s="635">
        <v>0</v>
      </c>
      <c r="DA52" s="636">
        <v>6.5791175564180876E-3</v>
      </c>
      <c r="DB52" s="636">
        <v>6.6623945414342875E-3</v>
      </c>
      <c r="DC52" s="636">
        <v>6.746725627729864E-3</v>
      </c>
      <c r="DD52" s="637">
        <v>6.7023688668208983E-3</v>
      </c>
      <c r="DE52" s="637">
        <v>6.6583037321535929E-3</v>
      </c>
      <c r="DF52" s="637">
        <v>6.7061027990867076E-3</v>
      </c>
      <c r="DG52" s="637">
        <v>6.7542450090922294E-3</v>
      </c>
      <c r="DH52" s="637">
        <v>6.8027328255481235E-3</v>
      </c>
      <c r="DI52" s="637">
        <v>6.85156872951661E-3</v>
      </c>
      <c r="DJ52" s="637">
        <v>6.9007552198711236E-3</v>
      </c>
      <c r="DK52" s="637">
        <v>6.9394934720411576E-3</v>
      </c>
      <c r="DL52" s="637">
        <v>6.9784491862328654E-3</v>
      </c>
      <c r="DM52" s="637">
        <v>7.0176235831964943E-3</v>
      </c>
      <c r="DN52" s="637">
        <v>7.0570178905351244E-3</v>
      </c>
      <c r="DO52" s="637">
        <v>7.0966333427431357E-3</v>
      </c>
      <c r="DP52" s="636">
        <v>0</v>
      </c>
      <c r="DQ52" s="636">
        <v>0</v>
      </c>
      <c r="DR52" s="636">
        <v>0</v>
      </c>
      <c r="DS52" s="637">
        <v>0</v>
      </c>
      <c r="DT52" s="637">
        <v>0</v>
      </c>
      <c r="DU52" s="637">
        <v>0</v>
      </c>
      <c r="DV52" s="637">
        <v>0</v>
      </c>
      <c r="DW52" s="637">
        <v>0</v>
      </c>
      <c r="DX52" s="637">
        <v>0</v>
      </c>
      <c r="DY52" s="637">
        <v>0</v>
      </c>
      <c r="DZ52" s="637">
        <v>0</v>
      </c>
      <c r="EA52" s="637">
        <v>0</v>
      </c>
      <c r="EB52" s="637">
        <v>0</v>
      </c>
      <c r="EC52" s="637">
        <v>0</v>
      </c>
      <c r="ED52" s="637">
        <v>0</v>
      </c>
    </row>
    <row r="53" spans="1:134" ht="15" x14ac:dyDescent="0.25">
      <c r="A53" s="555">
        <v>130</v>
      </c>
      <c r="B53" s="555">
        <v>77</v>
      </c>
      <c r="C53" s="555" t="s">
        <v>1036</v>
      </c>
      <c r="D53" s="812">
        <v>99705</v>
      </c>
      <c r="E53" s="812">
        <v>99714</v>
      </c>
      <c r="F53" s="630" t="s">
        <v>989</v>
      </c>
      <c r="G53" s="45">
        <v>1</v>
      </c>
      <c r="H53" s="45">
        <v>1</v>
      </c>
      <c r="I53" s="45">
        <v>1</v>
      </c>
      <c r="J53" s="45">
        <v>0</v>
      </c>
      <c r="K53" s="45">
        <v>0</v>
      </c>
      <c r="L53" s="45">
        <v>5</v>
      </c>
      <c r="M53" s="45">
        <v>5</v>
      </c>
      <c r="N53" s="45">
        <v>0</v>
      </c>
      <c r="O53" s="45">
        <v>0</v>
      </c>
      <c r="P53" s="45">
        <v>0</v>
      </c>
      <c r="Q53" s="45">
        <v>5</v>
      </c>
      <c r="R53" s="45">
        <v>0</v>
      </c>
      <c r="S53" s="45">
        <v>1915.6</v>
      </c>
      <c r="T53" s="45">
        <v>1915.6</v>
      </c>
      <c r="U53" s="45">
        <v>0</v>
      </c>
      <c r="V53" s="45">
        <v>0</v>
      </c>
      <c r="W53" s="45">
        <v>0</v>
      </c>
      <c r="X53" s="45">
        <v>1915.6</v>
      </c>
      <c r="Y53" s="45">
        <v>0</v>
      </c>
      <c r="Z53" s="45">
        <v>1</v>
      </c>
      <c r="AA53" s="45">
        <v>0</v>
      </c>
      <c r="AB53" s="508">
        <v>0</v>
      </c>
      <c r="AC53" s="508">
        <v>0</v>
      </c>
      <c r="AD53" s="631">
        <v>1</v>
      </c>
      <c r="AE53" s="632">
        <v>0</v>
      </c>
      <c r="AF53" s="632">
        <v>1</v>
      </c>
      <c r="AG53" s="633">
        <v>1</v>
      </c>
      <c r="AH53" s="632">
        <v>0</v>
      </c>
      <c r="AI53" s="632">
        <v>0</v>
      </c>
      <c r="AJ53" s="632">
        <v>0.92815170022086046</v>
      </c>
      <c r="AK53" s="632">
        <v>0.92815170022086046</v>
      </c>
      <c r="AL53" s="632">
        <v>0</v>
      </c>
      <c r="AM53" s="632">
        <v>0</v>
      </c>
      <c r="AN53" s="632">
        <v>0.93291228256853931</v>
      </c>
      <c r="AO53" s="632">
        <v>0.93291228256853931</v>
      </c>
      <c r="AP53" s="632">
        <v>0</v>
      </c>
      <c r="AQ53" s="632">
        <v>0</v>
      </c>
      <c r="AR53" s="632">
        <v>0</v>
      </c>
      <c r="AS53" s="632">
        <v>0.86146557862287421</v>
      </c>
      <c r="AT53" s="632">
        <v>0.89418719599453456</v>
      </c>
      <c r="AU53" s="632">
        <v>0.92815170022086046</v>
      </c>
      <c r="AV53" s="632">
        <v>0.96340630069605648</v>
      </c>
      <c r="AW53" s="632">
        <v>1</v>
      </c>
      <c r="AX53" s="632">
        <v>0.87032532696724207</v>
      </c>
      <c r="AY53" s="632">
        <v>0.90107557250111936</v>
      </c>
      <c r="AZ53" s="632">
        <v>0.93291228256853931</v>
      </c>
      <c r="BA53" s="632">
        <v>0.96587384402340004</v>
      </c>
      <c r="BB53" s="632">
        <v>1</v>
      </c>
      <c r="BC53" s="632">
        <v>0</v>
      </c>
      <c r="BD53" s="632">
        <v>0</v>
      </c>
      <c r="BE53" s="632">
        <v>0</v>
      </c>
      <c r="BF53" s="632">
        <v>0</v>
      </c>
      <c r="BG53" s="632">
        <v>0</v>
      </c>
      <c r="BH53" s="634">
        <v>1.0040154582976095</v>
      </c>
      <c r="BI53" s="634">
        <v>1.0080470405005588</v>
      </c>
      <c r="BJ53" s="634">
        <v>1.0120948113537176</v>
      </c>
      <c r="BK53" s="635">
        <v>1.0054407320207883</v>
      </c>
      <c r="BL53" s="635">
        <v>0.99883040034002768</v>
      </c>
      <c r="BM53" s="635">
        <v>1.0060008694386551</v>
      </c>
      <c r="BN53" s="635">
        <v>1.0132228143704938</v>
      </c>
      <c r="BO53" s="635">
        <v>1.020496604673627</v>
      </c>
      <c r="BP53" s="635">
        <v>1.0278226125390015</v>
      </c>
      <c r="BQ53" s="635">
        <v>1.0352012128294736</v>
      </c>
      <c r="BR53" s="635">
        <v>1.041012444260178</v>
      </c>
      <c r="BS53" s="635">
        <v>1.0468562977650482</v>
      </c>
      <c r="BT53" s="635">
        <v>1.0527329564721757</v>
      </c>
      <c r="BU53" s="635">
        <v>1.0586426045376651</v>
      </c>
      <c r="BV53" s="635">
        <v>1.0645854271514033</v>
      </c>
      <c r="BW53" s="634">
        <v>1.0040154582976095</v>
      </c>
      <c r="BX53" s="634">
        <v>1.0080470405005588</v>
      </c>
      <c r="BY53" s="634">
        <v>1.0120948113537176</v>
      </c>
      <c r="BZ53" s="635">
        <v>1.0054407320207883</v>
      </c>
      <c r="CA53" s="635">
        <v>0.99883040034002768</v>
      </c>
      <c r="CB53" s="635">
        <v>1.0060008694386551</v>
      </c>
      <c r="CC53" s="635">
        <v>1.0132228143704938</v>
      </c>
      <c r="CD53" s="635">
        <v>1.020496604673627</v>
      </c>
      <c r="CE53" s="635">
        <v>1.0278226125390015</v>
      </c>
      <c r="CF53" s="635">
        <v>1.0352012128294736</v>
      </c>
      <c r="CG53" s="635">
        <v>1.041012444260178</v>
      </c>
      <c r="CH53" s="635">
        <v>1.0468562977650482</v>
      </c>
      <c r="CI53" s="635">
        <v>1.0527329564721757</v>
      </c>
      <c r="CJ53" s="635">
        <v>1.0586426045376651</v>
      </c>
      <c r="CK53" s="635">
        <v>1.0645854271514033</v>
      </c>
      <c r="CL53" s="634">
        <v>0</v>
      </c>
      <c r="CM53" s="634">
        <v>0</v>
      </c>
      <c r="CN53" s="634">
        <v>0</v>
      </c>
      <c r="CO53" s="635">
        <v>0</v>
      </c>
      <c r="CP53" s="635">
        <v>0</v>
      </c>
      <c r="CQ53" s="635">
        <v>0</v>
      </c>
      <c r="CR53" s="635">
        <v>0</v>
      </c>
      <c r="CS53" s="635">
        <v>0</v>
      </c>
      <c r="CT53" s="635">
        <v>0</v>
      </c>
      <c r="CU53" s="635">
        <v>0</v>
      </c>
      <c r="CV53" s="635">
        <v>0</v>
      </c>
      <c r="CW53" s="635">
        <v>0</v>
      </c>
      <c r="CX53" s="635">
        <v>0</v>
      </c>
      <c r="CY53" s="635">
        <v>0</v>
      </c>
      <c r="CZ53" s="635">
        <v>0</v>
      </c>
      <c r="DA53" s="636">
        <v>0</v>
      </c>
      <c r="DB53" s="636">
        <v>0</v>
      </c>
      <c r="DC53" s="636">
        <v>0</v>
      </c>
      <c r="DD53" s="637">
        <v>0</v>
      </c>
      <c r="DE53" s="637">
        <v>0</v>
      </c>
      <c r="DF53" s="637">
        <v>0</v>
      </c>
      <c r="DG53" s="637">
        <v>0</v>
      </c>
      <c r="DH53" s="637">
        <v>0</v>
      </c>
      <c r="DI53" s="637">
        <v>0</v>
      </c>
      <c r="DJ53" s="637">
        <v>0</v>
      </c>
      <c r="DK53" s="637">
        <v>0</v>
      </c>
      <c r="DL53" s="637">
        <v>0</v>
      </c>
      <c r="DM53" s="637">
        <v>0</v>
      </c>
      <c r="DN53" s="637">
        <v>0</v>
      </c>
      <c r="DO53" s="637">
        <v>0</v>
      </c>
      <c r="DP53" s="636">
        <v>0</v>
      </c>
      <c r="DQ53" s="636">
        <v>0</v>
      </c>
      <c r="DR53" s="636">
        <v>0</v>
      </c>
      <c r="DS53" s="637">
        <v>0</v>
      </c>
      <c r="DT53" s="637">
        <v>0</v>
      </c>
      <c r="DU53" s="637">
        <v>0</v>
      </c>
      <c r="DV53" s="637">
        <v>0</v>
      </c>
      <c r="DW53" s="637">
        <v>0</v>
      </c>
      <c r="DX53" s="637">
        <v>0</v>
      </c>
      <c r="DY53" s="637">
        <v>0</v>
      </c>
      <c r="DZ53" s="637">
        <v>0</v>
      </c>
      <c r="EA53" s="637">
        <v>0</v>
      </c>
      <c r="EB53" s="637">
        <v>0</v>
      </c>
      <c r="EC53" s="637">
        <v>0</v>
      </c>
      <c r="ED53" s="637">
        <v>0</v>
      </c>
    </row>
    <row r="54" spans="1:134" ht="15" x14ac:dyDescent="0.25">
      <c r="A54" s="555">
        <v>129</v>
      </c>
      <c r="B54" s="555">
        <v>78</v>
      </c>
      <c r="C54" s="555" t="s">
        <v>1037</v>
      </c>
      <c r="D54" s="812">
        <v>99705</v>
      </c>
      <c r="E54" s="812">
        <v>99714</v>
      </c>
      <c r="F54" s="630" t="s">
        <v>989</v>
      </c>
      <c r="G54" s="45">
        <v>14</v>
      </c>
      <c r="H54" s="45">
        <v>6</v>
      </c>
      <c r="I54" s="45">
        <v>6</v>
      </c>
      <c r="J54" s="45">
        <v>0</v>
      </c>
      <c r="K54" s="45">
        <v>0</v>
      </c>
      <c r="L54" s="45">
        <v>2</v>
      </c>
      <c r="M54" s="45">
        <v>2</v>
      </c>
      <c r="N54" s="45">
        <v>1</v>
      </c>
      <c r="O54" s="45">
        <v>0</v>
      </c>
      <c r="P54" s="45">
        <v>0</v>
      </c>
      <c r="Q54" s="45">
        <v>3</v>
      </c>
      <c r="R54" s="45">
        <v>0</v>
      </c>
      <c r="S54" s="45">
        <v>3110.5</v>
      </c>
      <c r="T54" s="45">
        <v>3110.5</v>
      </c>
      <c r="U54" s="45">
        <v>1118</v>
      </c>
      <c r="V54" s="45">
        <v>0</v>
      </c>
      <c r="W54" s="45">
        <v>0</v>
      </c>
      <c r="X54" s="45">
        <v>2446.3333333333335</v>
      </c>
      <c r="Y54" s="45">
        <v>0</v>
      </c>
      <c r="Z54" s="45">
        <v>6</v>
      </c>
      <c r="AA54" s="45">
        <v>0</v>
      </c>
      <c r="AB54" s="508">
        <v>1</v>
      </c>
      <c r="AC54" s="508">
        <v>0</v>
      </c>
      <c r="AD54" s="631">
        <v>7</v>
      </c>
      <c r="AE54" s="632">
        <v>0</v>
      </c>
      <c r="AF54" s="632">
        <v>6</v>
      </c>
      <c r="AG54" s="633">
        <v>6</v>
      </c>
      <c r="AH54" s="632">
        <v>0</v>
      </c>
      <c r="AI54" s="632">
        <v>0</v>
      </c>
      <c r="AJ54" s="632">
        <v>5.5689102013251635</v>
      </c>
      <c r="AK54" s="632">
        <v>5.5689102013251635</v>
      </c>
      <c r="AL54" s="632">
        <v>0</v>
      </c>
      <c r="AM54" s="632">
        <v>0</v>
      </c>
      <c r="AN54" s="632">
        <v>5.5974736954112361</v>
      </c>
      <c r="AO54" s="632">
        <v>5.5974736954112361</v>
      </c>
      <c r="AP54" s="632">
        <v>0</v>
      </c>
      <c r="AQ54" s="632">
        <v>0.94010766733490925</v>
      </c>
      <c r="AR54" s="632">
        <v>0</v>
      </c>
      <c r="AS54" s="632">
        <v>5.1687934717372448</v>
      </c>
      <c r="AT54" s="632">
        <v>5.3651231759672076</v>
      </c>
      <c r="AU54" s="632">
        <v>5.5689102013251635</v>
      </c>
      <c r="AV54" s="632">
        <v>5.7804378041763389</v>
      </c>
      <c r="AW54" s="632">
        <v>6</v>
      </c>
      <c r="AX54" s="632">
        <v>5.2219519618034527</v>
      </c>
      <c r="AY54" s="632">
        <v>5.4064534350067159</v>
      </c>
      <c r="AZ54" s="632">
        <v>5.5974736954112361</v>
      </c>
      <c r="BA54" s="632">
        <v>5.7952430641403998</v>
      </c>
      <c r="BB54" s="632">
        <v>6</v>
      </c>
      <c r="BC54" s="632">
        <v>0.88380242618188454</v>
      </c>
      <c r="BD54" s="632">
        <v>0.91152039870909352</v>
      </c>
      <c r="BE54" s="632">
        <v>0.94010766733490925</v>
      </c>
      <c r="BF54" s="632">
        <v>0.96959149508177378</v>
      </c>
      <c r="BG54" s="632">
        <v>1</v>
      </c>
      <c r="BH54" s="634">
        <v>6.0681617561118912</v>
      </c>
      <c r="BI54" s="634">
        <v>6.1370978497231583</v>
      </c>
      <c r="BJ54" s="634">
        <v>6.2068170775344313</v>
      </c>
      <c r="BK54" s="635">
        <v>6.1660099784607256</v>
      </c>
      <c r="BL54" s="635">
        <v>6.1254711681595113</v>
      </c>
      <c r="BM54" s="635">
        <v>6.169445101783146</v>
      </c>
      <c r="BN54" s="635">
        <v>6.2137347183616498</v>
      </c>
      <c r="BO54" s="635">
        <v>6.2583422841404976</v>
      </c>
      <c r="BP54" s="635">
        <v>6.3032700816342313</v>
      </c>
      <c r="BQ54" s="635">
        <v>6.3485204097432613</v>
      </c>
      <c r="BR54" s="635">
        <v>6.3841586227653773</v>
      </c>
      <c r="BS54" s="635">
        <v>6.4199968953518374</v>
      </c>
      <c r="BT54" s="635">
        <v>6.4560363505620204</v>
      </c>
      <c r="BU54" s="635">
        <v>6.492278117759736</v>
      </c>
      <c r="BV54" s="635">
        <v>6.5287233326486174</v>
      </c>
      <c r="BW54" s="634">
        <v>6.0681617561118912</v>
      </c>
      <c r="BX54" s="634">
        <v>6.1370978497231583</v>
      </c>
      <c r="BY54" s="634">
        <v>6.2068170775344313</v>
      </c>
      <c r="BZ54" s="635">
        <v>6.1660099784607256</v>
      </c>
      <c r="CA54" s="635">
        <v>6.1254711681595113</v>
      </c>
      <c r="CB54" s="635">
        <v>6.169445101783146</v>
      </c>
      <c r="CC54" s="635">
        <v>6.2137347183616498</v>
      </c>
      <c r="CD54" s="635">
        <v>6.2583422841404976</v>
      </c>
      <c r="CE54" s="635">
        <v>6.3032700816342313</v>
      </c>
      <c r="CF54" s="635">
        <v>6.3485204097432613</v>
      </c>
      <c r="CG54" s="635">
        <v>6.3841586227653773</v>
      </c>
      <c r="CH54" s="635">
        <v>6.4199968953518374</v>
      </c>
      <c r="CI54" s="635">
        <v>6.4560363505620204</v>
      </c>
      <c r="CJ54" s="635">
        <v>6.492278117759736</v>
      </c>
      <c r="CK54" s="635">
        <v>6.5287233326486174</v>
      </c>
      <c r="CL54" s="634">
        <v>1.0113602926853151</v>
      </c>
      <c r="CM54" s="634">
        <v>1.0228496416205264</v>
      </c>
      <c r="CN54" s="634">
        <v>1.0344695129224053</v>
      </c>
      <c r="CO54" s="635">
        <v>1.0276683297434543</v>
      </c>
      <c r="CP54" s="635">
        <v>1.0209118613599186</v>
      </c>
      <c r="CQ54" s="635">
        <v>1.0282408502971909</v>
      </c>
      <c r="CR54" s="635">
        <v>1.0356224530602751</v>
      </c>
      <c r="CS54" s="635">
        <v>1.0430570473567498</v>
      </c>
      <c r="CT54" s="635">
        <v>1.0505450136057053</v>
      </c>
      <c r="CU54" s="635">
        <v>1.0580867349572103</v>
      </c>
      <c r="CV54" s="635">
        <v>1.064026437127563</v>
      </c>
      <c r="CW54" s="635">
        <v>1.0699994825586396</v>
      </c>
      <c r="CX54" s="635">
        <v>1.0760060584270035</v>
      </c>
      <c r="CY54" s="635">
        <v>1.0820463529599562</v>
      </c>
      <c r="CZ54" s="635">
        <v>1.0881205554414362</v>
      </c>
      <c r="DA54" s="636">
        <v>0</v>
      </c>
      <c r="DB54" s="636">
        <v>0</v>
      </c>
      <c r="DC54" s="636">
        <v>0</v>
      </c>
      <c r="DD54" s="637">
        <v>0</v>
      </c>
      <c r="DE54" s="637">
        <v>0</v>
      </c>
      <c r="DF54" s="637">
        <v>0</v>
      </c>
      <c r="DG54" s="637">
        <v>0</v>
      </c>
      <c r="DH54" s="637">
        <v>0</v>
      </c>
      <c r="DI54" s="637">
        <v>0</v>
      </c>
      <c r="DJ54" s="637">
        <v>0</v>
      </c>
      <c r="DK54" s="637">
        <v>0</v>
      </c>
      <c r="DL54" s="637">
        <v>0</v>
      </c>
      <c r="DM54" s="637">
        <v>0</v>
      </c>
      <c r="DN54" s="637">
        <v>0</v>
      </c>
      <c r="DO54" s="637">
        <v>0</v>
      </c>
      <c r="DP54" s="636">
        <v>0</v>
      </c>
      <c r="DQ54" s="636">
        <v>0</v>
      </c>
      <c r="DR54" s="636">
        <v>0</v>
      </c>
      <c r="DS54" s="637">
        <v>0</v>
      </c>
      <c r="DT54" s="637">
        <v>0</v>
      </c>
      <c r="DU54" s="637">
        <v>0</v>
      </c>
      <c r="DV54" s="637">
        <v>0</v>
      </c>
      <c r="DW54" s="637">
        <v>0</v>
      </c>
      <c r="DX54" s="637">
        <v>0</v>
      </c>
      <c r="DY54" s="637">
        <v>0</v>
      </c>
      <c r="DZ54" s="637">
        <v>0</v>
      </c>
      <c r="EA54" s="637">
        <v>0</v>
      </c>
      <c r="EB54" s="637">
        <v>0</v>
      </c>
      <c r="EC54" s="637">
        <v>0</v>
      </c>
      <c r="ED54" s="637">
        <v>0</v>
      </c>
    </row>
    <row r="55" spans="1:134" ht="15" x14ac:dyDescent="0.25">
      <c r="A55" s="555">
        <v>130</v>
      </c>
      <c r="B55" s="555">
        <v>78</v>
      </c>
      <c r="C55" s="555" t="s">
        <v>1038</v>
      </c>
      <c r="D55" s="812">
        <v>99705</v>
      </c>
      <c r="E55" s="812">
        <v>99714</v>
      </c>
      <c r="F55" s="630" t="s">
        <v>989</v>
      </c>
      <c r="G55" s="45">
        <v>5</v>
      </c>
      <c r="H55" s="45">
        <v>1</v>
      </c>
      <c r="I55" s="45">
        <v>1</v>
      </c>
      <c r="J55" s="45">
        <v>0</v>
      </c>
      <c r="K55" s="45">
        <v>0</v>
      </c>
      <c r="L55" s="45">
        <v>0</v>
      </c>
      <c r="M55" s="45">
        <v>0</v>
      </c>
      <c r="N55" s="45">
        <v>1</v>
      </c>
      <c r="O55" s="45">
        <v>0</v>
      </c>
      <c r="P55" s="45">
        <v>0</v>
      </c>
      <c r="Q55" s="45">
        <v>1</v>
      </c>
      <c r="R55" s="45">
        <v>0</v>
      </c>
      <c r="S55" s="45">
        <v>0</v>
      </c>
      <c r="T55" s="45">
        <v>0</v>
      </c>
      <c r="U55" s="45">
        <v>9320</v>
      </c>
      <c r="V55" s="45">
        <v>0</v>
      </c>
      <c r="W55" s="45">
        <v>0</v>
      </c>
      <c r="X55" s="45">
        <v>9320</v>
      </c>
      <c r="Y55" s="45">
        <v>2.2912335412335411E-2</v>
      </c>
      <c r="Z55" s="45">
        <v>0.97578828828828834</v>
      </c>
      <c r="AA55" s="45">
        <v>1.2993762993762994E-3</v>
      </c>
      <c r="AB55" s="508">
        <v>1</v>
      </c>
      <c r="AC55" s="508">
        <v>0</v>
      </c>
      <c r="AD55" s="631">
        <v>2</v>
      </c>
      <c r="AE55" s="632">
        <v>2.2912335412335411E-2</v>
      </c>
      <c r="AF55" s="632">
        <v>0.97578828828828834</v>
      </c>
      <c r="AG55" s="633">
        <v>0.99870062370062374</v>
      </c>
      <c r="AH55" s="632">
        <v>1.2993762993762994E-3</v>
      </c>
      <c r="AI55" s="632">
        <v>2.1266123068989742E-2</v>
      </c>
      <c r="AJ55" s="632">
        <v>0.90567955883037798</v>
      </c>
      <c r="AK55" s="632">
        <v>0.92694568189936777</v>
      </c>
      <c r="AL55" s="632">
        <v>1.2060183214928021E-3</v>
      </c>
      <c r="AM55" s="632">
        <v>2.1375199128497804E-2</v>
      </c>
      <c r="AN55" s="632">
        <v>0.91032487933067496</v>
      </c>
      <c r="AO55" s="632">
        <v>0.9317000784591728</v>
      </c>
      <c r="AP55" s="632">
        <v>1.2122041093666051E-3</v>
      </c>
      <c r="AQ55" s="632">
        <v>0.94010766733490925</v>
      </c>
      <c r="AR55" s="632">
        <v>0</v>
      </c>
      <c r="AS55" s="632">
        <v>0.86034621066728312</v>
      </c>
      <c r="AT55" s="632">
        <v>0.89302531034485355</v>
      </c>
      <c r="AU55" s="632">
        <v>0.92694568189936777</v>
      </c>
      <c r="AV55" s="632">
        <v>0.96215447338226234</v>
      </c>
      <c r="AW55" s="632">
        <v>0.99870062370062374</v>
      </c>
      <c r="AX55" s="632">
        <v>0.86919444686463387</v>
      </c>
      <c r="AY55" s="632">
        <v>0.8999047362582645</v>
      </c>
      <c r="AZ55" s="632">
        <v>0.93170007845917269</v>
      </c>
      <c r="BA55" s="632">
        <v>0.96461881044228859</v>
      </c>
      <c r="BB55" s="632">
        <v>0.99870062370062374</v>
      </c>
      <c r="BC55" s="632">
        <v>0.88380242618188454</v>
      </c>
      <c r="BD55" s="632">
        <v>0.91152039870909352</v>
      </c>
      <c r="BE55" s="632">
        <v>0.94010766733490925</v>
      </c>
      <c r="BF55" s="632">
        <v>0.96959149508177378</v>
      </c>
      <c r="BG55" s="632">
        <v>1</v>
      </c>
      <c r="BH55" s="634">
        <v>1.0027108644068903</v>
      </c>
      <c r="BI55" s="634">
        <v>1.0067372080674759</v>
      </c>
      <c r="BJ55" s="634">
        <v>1.0107797193431229</v>
      </c>
      <c r="BK55" s="635">
        <v>1.004134286163173</v>
      </c>
      <c r="BL55" s="635">
        <v>0.99753254379072942</v>
      </c>
      <c r="BM55" s="635">
        <v>1.0046936957517545</v>
      </c>
      <c r="BN55" s="635">
        <v>1.0119062566595134</v>
      </c>
      <c r="BO55" s="635">
        <v>1.0191705955719201</v>
      </c>
      <c r="BP55" s="635">
        <v>1.0264870841963054</v>
      </c>
      <c r="BQ55" s="635">
        <v>1.0338560969084374</v>
      </c>
      <c r="BR55" s="635">
        <v>1.0396597773627507</v>
      </c>
      <c r="BS55" s="635">
        <v>1.0454960375028797</v>
      </c>
      <c r="BT55" s="635">
        <v>1.0513650602189637</v>
      </c>
      <c r="BU55" s="635">
        <v>1.057267029427819</v>
      </c>
      <c r="BV55" s="635">
        <v>1.0632021300787013</v>
      </c>
      <c r="BW55" s="634">
        <v>1.0027108644068903</v>
      </c>
      <c r="BX55" s="634">
        <v>1.0067372080674759</v>
      </c>
      <c r="BY55" s="634">
        <v>1.0107797193431229</v>
      </c>
      <c r="BZ55" s="635">
        <v>1.004134286163173</v>
      </c>
      <c r="CA55" s="635">
        <v>0.99753254379072942</v>
      </c>
      <c r="CB55" s="635">
        <v>1.0046936957517545</v>
      </c>
      <c r="CC55" s="635">
        <v>1.0119062566595134</v>
      </c>
      <c r="CD55" s="635">
        <v>1.0191705955719201</v>
      </c>
      <c r="CE55" s="635">
        <v>1.0264870841963054</v>
      </c>
      <c r="CF55" s="635">
        <v>1.0338560969084374</v>
      </c>
      <c r="CG55" s="635">
        <v>1.0396597773627507</v>
      </c>
      <c r="CH55" s="635">
        <v>1.0454960375028797</v>
      </c>
      <c r="CI55" s="635">
        <v>1.0513650602189637</v>
      </c>
      <c r="CJ55" s="635">
        <v>1.057267029427819</v>
      </c>
      <c r="CK55" s="635">
        <v>1.0632021300787013</v>
      </c>
      <c r="CL55" s="634">
        <v>1.0040154582976095</v>
      </c>
      <c r="CM55" s="634">
        <v>1.0080470405005588</v>
      </c>
      <c r="CN55" s="634">
        <v>1.0120948113537176</v>
      </c>
      <c r="CO55" s="635">
        <v>1.0054407320207883</v>
      </c>
      <c r="CP55" s="635">
        <v>0.99883040034002768</v>
      </c>
      <c r="CQ55" s="635">
        <v>1.0060008694386551</v>
      </c>
      <c r="CR55" s="635">
        <v>1.0132228143704938</v>
      </c>
      <c r="CS55" s="635">
        <v>1.020496604673627</v>
      </c>
      <c r="CT55" s="635">
        <v>1.0278226125390015</v>
      </c>
      <c r="CU55" s="635">
        <v>1.0352012128294736</v>
      </c>
      <c r="CV55" s="635">
        <v>1.041012444260178</v>
      </c>
      <c r="CW55" s="635">
        <v>1.0468562977650482</v>
      </c>
      <c r="CX55" s="635">
        <v>1.0527329564721757</v>
      </c>
      <c r="CY55" s="635">
        <v>1.0586426045376651</v>
      </c>
      <c r="CZ55" s="635">
        <v>1.0645854271514033</v>
      </c>
      <c r="DA55" s="636">
        <v>1.3045938907193472E-3</v>
      </c>
      <c r="DB55" s="636">
        <v>1.3098324330828469E-3</v>
      </c>
      <c r="DC55" s="636">
        <v>1.3150920105947474E-3</v>
      </c>
      <c r="DD55" s="637">
        <v>1.3064458576153694E-3</v>
      </c>
      <c r="DE55" s="637">
        <v>1.2978565492983729E-3</v>
      </c>
      <c r="DF55" s="637">
        <v>1.3071736869005393E-3</v>
      </c>
      <c r="DG55" s="637">
        <v>1.3165577109803712E-3</v>
      </c>
      <c r="DH55" s="637">
        <v>1.3260091017068957E-3</v>
      </c>
      <c r="DI55" s="637">
        <v>1.3355283426962079E-3</v>
      </c>
      <c r="DJ55" s="637">
        <v>1.3451159210362185E-3</v>
      </c>
      <c r="DK55" s="637">
        <v>1.3526668974274663E-3</v>
      </c>
      <c r="DL55" s="637">
        <v>1.3602602621687217E-3</v>
      </c>
      <c r="DM55" s="637">
        <v>1.3678962532122866E-3</v>
      </c>
      <c r="DN55" s="637">
        <v>1.3755751098462384E-3</v>
      </c>
      <c r="DO55" s="637">
        <v>1.3832970727019273E-3</v>
      </c>
      <c r="DP55" s="636">
        <v>0</v>
      </c>
      <c r="DQ55" s="636">
        <v>0</v>
      </c>
      <c r="DR55" s="636">
        <v>0</v>
      </c>
      <c r="DS55" s="637">
        <v>0</v>
      </c>
      <c r="DT55" s="637">
        <v>0</v>
      </c>
      <c r="DU55" s="637">
        <v>0</v>
      </c>
      <c r="DV55" s="637">
        <v>0</v>
      </c>
      <c r="DW55" s="637">
        <v>0</v>
      </c>
      <c r="DX55" s="637">
        <v>0</v>
      </c>
      <c r="DY55" s="637">
        <v>0</v>
      </c>
      <c r="DZ55" s="637">
        <v>0</v>
      </c>
      <c r="EA55" s="637">
        <v>0</v>
      </c>
      <c r="EB55" s="637">
        <v>0</v>
      </c>
      <c r="EC55" s="637">
        <v>0</v>
      </c>
      <c r="ED55" s="637">
        <v>0</v>
      </c>
    </row>
    <row r="56" spans="1:134" ht="15" x14ac:dyDescent="0.25">
      <c r="A56" s="555">
        <v>200</v>
      </c>
      <c r="B56" s="555">
        <v>78</v>
      </c>
      <c r="C56" s="555" t="s">
        <v>1039</v>
      </c>
      <c r="D56" s="812">
        <v>99712</v>
      </c>
      <c r="E56" s="812">
        <v>99712</v>
      </c>
      <c r="F56" s="630" t="s">
        <v>989</v>
      </c>
      <c r="G56" s="45">
        <v>0</v>
      </c>
      <c r="H56" s="45">
        <v>20</v>
      </c>
      <c r="I56" s="45">
        <v>0</v>
      </c>
      <c r="J56" s="45">
        <v>20</v>
      </c>
      <c r="K56" s="45">
        <v>0</v>
      </c>
      <c r="L56" s="45">
        <v>0</v>
      </c>
      <c r="M56" s="45">
        <v>0</v>
      </c>
      <c r="N56" s="45">
        <v>0</v>
      </c>
      <c r="O56" s="45">
        <v>0</v>
      </c>
      <c r="P56" s="45">
        <v>0</v>
      </c>
      <c r="Q56" s="45">
        <v>0</v>
      </c>
      <c r="R56" s="45">
        <v>0</v>
      </c>
      <c r="S56" s="45">
        <v>834.49503068156923</v>
      </c>
      <c r="T56" s="45">
        <v>834.49503068156923</v>
      </c>
      <c r="U56" s="45">
        <v>1408.3846153846155</v>
      </c>
      <c r="V56" s="45">
        <v>0</v>
      </c>
      <c r="W56" s="45">
        <v>0</v>
      </c>
      <c r="X56" s="45">
        <v>1365.173957061457</v>
      </c>
      <c r="Y56" s="45">
        <v>0.45824670824670827</v>
      </c>
      <c r="Z56" s="45">
        <v>19.515765765765767</v>
      </c>
      <c r="AA56" s="45">
        <v>2.5987525987525989E-2</v>
      </c>
      <c r="AB56" s="508">
        <v>0</v>
      </c>
      <c r="AC56" s="508">
        <v>0</v>
      </c>
      <c r="AD56" s="631">
        <v>20</v>
      </c>
      <c r="AE56" s="632">
        <v>0</v>
      </c>
      <c r="AF56" s="632">
        <v>0</v>
      </c>
      <c r="AG56" s="633">
        <v>0</v>
      </c>
      <c r="AH56" s="632">
        <v>0</v>
      </c>
      <c r="AI56" s="632">
        <v>0.41659861025822553</v>
      </c>
      <c r="AJ56" s="632">
        <v>17.742060662585185</v>
      </c>
      <c r="AK56" s="632">
        <v>18.158659272843412</v>
      </c>
      <c r="AL56" s="632">
        <v>2.3625630071354944E-2</v>
      </c>
      <c r="AM56" s="632">
        <v>0</v>
      </c>
      <c r="AN56" s="632">
        <v>0</v>
      </c>
      <c r="AO56" s="632">
        <v>0</v>
      </c>
      <c r="AP56" s="632">
        <v>0</v>
      </c>
      <c r="AQ56" s="632">
        <v>0</v>
      </c>
      <c r="AR56" s="632">
        <v>0</v>
      </c>
      <c r="AS56" s="632">
        <v>16.508295817689696</v>
      </c>
      <c r="AT56" s="632">
        <v>17.313824503232475</v>
      </c>
      <c r="AU56" s="632">
        <v>18.158659272843412</v>
      </c>
      <c r="AV56" s="632">
        <v>19.044718082111814</v>
      </c>
      <c r="AW56" s="632">
        <v>19.974012474012476</v>
      </c>
      <c r="AX56" s="632">
        <v>0</v>
      </c>
      <c r="AY56" s="632">
        <v>0</v>
      </c>
      <c r="AZ56" s="632">
        <v>0</v>
      </c>
      <c r="BA56" s="632">
        <v>0</v>
      </c>
      <c r="BB56" s="632">
        <v>0</v>
      </c>
      <c r="BC56" s="632">
        <v>0</v>
      </c>
      <c r="BD56" s="632">
        <v>0</v>
      </c>
      <c r="BE56" s="632">
        <v>0</v>
      </c>
      <c r="BF56" s="632">
        <v>0</v>
      </c>
      <c r="BG56" s="632">
        <v>0</v>
      </c>
      <c r="BH56" s="634">
        <v>20.22683901545177</v>
      </c>
      <c r="BI56" s="634">
        <v>20.482865778185573</v>
      </c>
      <c r="BJ56" s="634">
        <v>20.742133269892694</v>
      </c>
      <c r="BK56" s="635">
        <v>20.605762844154171</v>
      </c>
      <c r="BL56" s="635">
        <v>20.470288994133007</v>
      </c>
      <c r="BM56" s="635">
        <v>20.617242445512176</v>
      </c>
      <c r="BN56" s="635">
        <v>20.765250855953152</v>
      </c>
      <c r="BO56" s="635">
        <v>20.914321798865149</v>
      </c>
      <c r="BP56" s="635">
        <v>21.064462902025866</v>
      </c>
      <c r="BQ56" s="635">
        <v>21.215681847971783</v>
      </c>
      <c r="BR56" s="635">
        <v>21.334778730443336</v>
      </c>
      <c r="BS56" s="635">
        <v>21.454544178154322</v>
      </c>
      <c r="BT56" s="635">
        <v>21.574981944179303</v>
      </c>
      <c r="BU56" s="635">
        <v>21.696095802661187</v>
      </c>
      <c r="BV56" s="635">
        <v>21.817889548929497</v>
      </c>
      <c r="BW56" s="634">
        <v>0</v>
      </c>
      <c r="BX56" s="634">
        <v>0</v>
      </c>
      <c r="BY56" s="634">
        <v>0</v>
      </c>
      <c r="BZ56" s="635">
        <v>0</v>
      </c>
      <c r="CA56" s="635">
        <v>0</v>
      </c>
      <c r="CB56" s="635">
        <v>0</v>
      </c>
      <c r="CC56" s="635">
        <v>0</v>
      </c>
      <c r="CD56" s="635">
        <v>0</v>
      </c>
      <c r="CE56" s="635">
        <v>0</v>
      </c>
      <c r="CF56" s="635">
        <v>0</v>
      </c>
      <c r="CG56" s="635">
        <v>0</v>
      </c>
      <c r="CH56" s="635">
        <v>0</v>
      </c>
      <c r="CI56" s="635">
        <v>0</v>
      </c>
      <c r="CJ56" s="635">
        <v>0</v>
      </c>
      <c r="CK56" s="635">
        <v>0</v>
      </c>
      <c r="CL56" s="634">
        <v>0</v>
      </c>
      <c r="CM56" s="634">
        <v>0</v>
      </c>
      <c r="CN56" s="634">
        <v>0</v>
      </c>
      <c r="CO56" s="635">
        <v>0</v>
      </c>
      <c r="CP56" s="635">
        <v>0</v>
      </c>
      <c r="CQ56" s="635">
        <v>0</v>
      </c>
      <c r="CR56" s="635">
        <v>0</v>
      </c>
      <c r="CS56" s="635">
        <v>0</v>
      </c>
      <c r="CT56" s="635">
        <v>0</v>
      </c>
      <c r="CU56" s="635">
        <v>0</v>
      </c>
      <c r="CV56" s="635">
        <v>0</v>
      </c>
      <c r="CW56" s="635">
        <v>0</v>
      </c>
      <c r="CX56" s="635">
        <v>0</v>
      </c>
      <c r="CY56" s="635">
        <v>0</v>
      </c>
      <c r="CZ56" s="635">
        <v>0</v>
      </c>
      <c r="DA56" s="636">
        <v>2.631647022567235E-2</v>
      </c>
      <c r="DB56" s="636">
        <v>2.664957816573715E-2</v>
      </c>
      <c r="DC56" s="636">
        <v>2.6986902510919456E-2</v>
      </c>
      <c r="DD56" s="637">
        <v>2.6809475467283593E-2</v>
      </c>
      <c r="DE56" s="637">
        <v>2.6633214928614372E-2</v>
      </c>
      <c r="DF56" s="637">
        <v>2.6824411196346831E-2</v>
      </c>
      <c r="DG56" s="637">
        <v>2.7016980036368918E-2</v>
      </c>
      <c r="DH56" s="637">
        <v>2.7210931302192494E-2</v>
      </c>
      <c r="DI56" s="637">
        <v>2.740627491806644E-2</v>
      </c>
      <c r="DJ56" s="637">
        <v>2.7603020879484495E-2</v>
      </c>
      <c r="DK56" s="637">
        <v>2.775797388816463E-2</v>
      </c>
      <c r="DL56" s="637">
        <v>2.7913796744931461E-2</v>
      </c>
      <c r="DM56" s="637">
        <v>2.8070494332785977E-2</v>
      </c>
      <c r="DN56" s="637">
        <v>2.8228071562140498E-2</v>
      </c>
      <c r="DO56" s="637">
        <v>2.8386533370972543E-2</v>
      </c>
      <c r="DP56" s="636">
        <v>0</v>
      </c>
      <c r="DQ56" s="636">
        <v>0</v>
      </c>
      <c r="DR56" s="636">
        <v>0</v>
      </c>
      <c r="DS56" s="637">
        <v>0</v>
      </c>
      <c r="DT56" s="637">
        <v>0</v>
      </c>
      <c r="DU56" s="637">
        <v>0</v>
      </c>
      <c r="DV56" s="637">
        <v>0</v>
      </c>
      <c r="DW56" s="637">
        <v>0</v>
      </c>
      <c r="DX56" s="637">
        <v>0</v>
      </c>
      <c r="DY56" s="637">
        <v>0</v>
      </c>
      <c r="DZ56" s="637">
        <v>0</v>
      </c>
      <c r="EA56" s="637">
        <v>0</v>
      </c>
      <c r="EB56" s="637">
        <v>0</v>
      </c>
      <c r="EC56" s="637">
        <v>0</v>
      </c>
      <c r="ED56" s="637">
        <v>0</v>
      </c>
    </row>
    <row r="57" spans="1:134" ht="15" x14ac:dyDescent="0.25">
      <c r="A57" s="555">
        <v>128</v>
      </c>
      <c r="B57" s="555">
        <v>79</v>
      </c>
      <c r="C57" s="555" t="s">
        <v>1040</v>
      </c>
      <c r="D57" s="812">
        <v>99705</v>
      </c>
      <c r="E57" s="812">
        <v>99705</v>
      </c>
      <c r="F57" s="630" t="s">
        <v>989</v>
      </c>
      <c r="G57" s="45">
        <v>8</v>
      </c>
      <c r="H57" s="45">
        <v>3</v>
      </c>
      <c r="I57" s="45">
        <v>3</v>
      </c>
      <c r="J57" s="45">
        <v>0</v>
      </c>
      <c r="K57" s="45">
        <v>0</v>
      </c>
      <c r="L57" s="45">
        <v>3</v>
      </c>
      <c r="M57" s="45">
        <v>3</v>
      </c>
      <c r="N57" s="45">
        <v>0</v>
      </c>
      <c r="O57" s="45">
        <v>0</v>
      </c>
      <c r="P57" s="45">
        <v>0</v>
      </c>
      <c r="Q57" s="45">
        <v>3</v>
      </c>
      <c r="R57" s="45">
        <v>0</v>
      </c>
      <c r="S57" s="45">
        <v>2121</v>
      </c>
      <c r="T57" s="45">
        <v>2121</v>
      </c>
      <c r="U57" s="45">
        <v>0</v>
      </c>
      <c r="V57" s="45">
        <v>0</v>
      </c>
      <c r="W57" s="45">
        <v>0</v>
      </c>
      <c r="X57" s="45">
        <v>2121</v>
      </c>
      <c r="Y57" s="45">
        <v>0</v>
      </c>
      <c r="Z57" s="45">
        <v>3</v>
      </c>
      <c r="AA57" s="45">
        <v>0</v>
      </c>
      <c r="AB57" s="508">
        <v>0</v>
      </c>
      <c r="AC57" s="508">
        <v>0</v>
      </c>
      <c r="AD57" s="631">
        <v>3</v>
      </c>
      <c r="AE57" s="632">
        <v>0</v>
      </c>
      <c r="AF57" s="632">
        <v>3</v>
      </c>
      <c r="AG57" s="633">
        <v>3</v>
      </c>
      <c r="AH57" s="632">
        <v>0</v>
      </c>
      <c r="AI57" s="632">
        <v>0</v>
      </c>
      <c r="AJ57" s="632">
        <v>2.7844551006625817</v>
      </c>
      <c r="AK57" s="632">
        <v>2.7844551006625817</v>
      </c>
      <c r="AL57" s="632">
        <v>0</v>
      </c>
      <c r="AM57" s="632">
        <v>0</v>
      </c>
      <c r="AN57" s="632">
        <v>2.798736847705618</v>
      </c>
      <c r="AO57" s="632">
        <v>2.798736847705618</v>
      </c>
      <c r="AP57" s="632">
        <v>0</v>
      </c>
      <c r="AQ57" s="632">
        <v>0</v>
      </c>
      <c r="AR57" s="632">
        <v>0</v>
      </c>
      <c r="AS57" s="632">
        <v>2.5843967358686224</v>
      </c>
      <c r="AT57" s="632">
        <v>2.6825615879836038</v>
      </c>
      <c r="AU57" s="632">
        <v>2.7844551006625817</v>
      </c>
      <c r="AV57" s="632">
        <v>2.8902189020881695</v>
      </c>
      <c r="AW57" s="632">
        <v>3</v>
      </c>
      <c r="AX57" s="632">
        <v>2.6109759809017263</v>
      </c>
      <c r="AY57" s="632">
        <v>2.703226717503358</v>
      </c>
      <c r="AZ57" s="632">
        <v>2.798736847705618</v>
      </c>
      <c r="BA57" s="632">
        <v>2.8976215320701999</v>
      </c>
      <c r="BB57" s="632">
        <v>3</v>
      </c>
      <c r="BC57" s="632">
        <v>0</v>
      </c>
      <c r="BD57" s="632">
        <v>0</v>
      </c>
      <c r="BE57" s="632">
        <v>0</v>
      </c>
      <c r="BF57" s="632">
        <v>0</v>
      </c>
      <c r="BG57" s="632">
        <v>0</v>
      </c>
      <c r="BH57" s="634">
        <v>3.0340808780559456</v>
      </c>
      <c r="BI57" s="634">
        <v>3.0685489248615792</v>
      </c>
      <c r="BJ57" s="634">
        <v>3.1034085387672157</v>
      </c>
      <c r="BK57" s="635">
        <v>3.0830049892303628</v>
      </c>
      <c r="BL57" s="635">
        <v>3.0627355840797557</v>
      </c>
      <c r="BM57" s="635">
        <v>3.084722550891573</v>
      </c>
      <c r="BN57" s="635">
        <v>3.1068673591808249</v>
      </c>
      <c r="BO57" s="635">
        <v>3.1291711420702488</v>
      </c>
      <c r="BP57" s="635">
        <v>3.1516350408171157</v>
      </c>
      <c r="BQ57" s="635">
        <v>3.1742602048716306</v>
      </c>
      <c r="BR57" s="635">
        <v>3.1920793113826886</v>
      </c>
      <c r="BS57" s="635">
        <v>3.2099984476759187</v>
      </c>
      <c r="BT57" s="635">
        <v>3.2280181752810102</v>
      </c>
      <c r="BU57" s="635">
        <v>3.246139058879868</v>
      </c>
      <c r="BV57" s="635">
        <v>3.2643616663243087</v>
      </c>
      <c r="BW57" s="634">
        <v>3.0340808780559456</v>
      </c>
      <c r="BX57" s="634">
        <v>3.0685489248615792</v>
      </c>
      <c r="BY57" s="634">
        <v>3.1034085387672157</v>
      </c>
      <c r="BZ57" s="635">
        <v>3.0830049892303628</v>
      </c>
      <c r="CA57" s="635">
        <v>3.0627355840797557</v>
      </c>
      <c r="CB57" s="635">
        <v>3.084722550891573</v>
      </c>
      <c r="CC57" s="635">
        <v>3.1068673591808249</v>
      </c>
      <c r="CD57" s="635">
        <v>3.1291711420702488</v>
      </c>
      <c r="CE57" s="635">
        <v>3.1516350408171157</v>
      </c>
      <c r="CF57" s="635">
        <v>3.1742602048716306</v>
      </c>
      <c r="CG57" s="635">
        <v>3.1920793113826886</v>
      </c>
      <c r="CH57" s="635">
        <v>3.2099984476759187</v>
      </c>
      <c r="CI57" s="635">
        <v>3.2280181752810102</v>
      </c>
      <c r="CJ57" s="635">
        <v>3.246139058879868</v>
      </c>
      <c r="CK57" s="635">
        <v>3.2643616663243087</v>
      </c>
      <c r="CL57" s="634">
        <v>0</v>
      </c>
      <c r="CM57" s="634">
        <v>0</v>
      </c>
      <c r="CN57" s="634">
        <v>0</v>
      </c>
      <c r="CO57" s="635">
        <v>0</v>
      </c>
      <c r="CP57" s="635">
        <v>0</v>
      </c>
      <c r="CQ57" s="635">
        <v>0</v>
      </c>
      <c r="CR57" s="635">
        <v>0</v>
      </c>
      <c r="CS57" s="635">
        <v>0</v>
      </c>
      <c r="CT57" s="635">
        <v>0</v>
      </c>
      <c r="CU57" s="635">
        <v>0</v>
      </c>
      <c r="CV57" s="635">
        <v>0</v>
      </c>
      <c r="CW57" s="635">
        <v>0</v>
      </c>
      <c r="CX57" s="635">
        <v>0</v>
      </c>
      <c r="CY57" s="635">
        <v>0</v>
      </c>
      <c r="CZ57" s="635">
        <v>0</v>
      </c>
      <c r="DA57" s="636">
        <v>0</v>
      </c>
      <c r="DB57" s="636">
        <v>0</v>
      </c>
      <c r="DC57" s="636">
        <v>0</v>
      </c>
      <c r="DD57" s="637">
        <v>0</v>
      </c>
      <c r="DE57" s="637">
        <v>0</v>
      </c>
      <c r="DF57" s="637">
        <v>0</v>
      </c>
      <c r="DG57" s="637">
        <v>0</v>
      </c>
      <c r="DH57" s="637">
        <v>0</v>
      </c>
      <c r="DI57" s="637">
        <v>0</v>
      </c>
      <c r="DJ57" s="637">
        <v>0</v>
      </c>
      <c r="DK57" s="637">
        <v>0</v>
      </c>
      <c r="DL57" s="637">
        <v>0</v>
      </c>
      <c r="DM57" s="637">
        <v>0</v>
      </c>
      <c r="DN57" s="637">
        <v>0</v>
      </c>
      <c r="DO57" s="637">
        <v>0</v>
      </c>
      <c r="DP57" s="636">
        <v>0</v>
      </c>
      <c r="DQ57" s="636">
        <v>0</v>
      </c>
      <c r="DR57" s="636">
        <v>0</v>
      </c>
      <c r="DS57" s="637">
        <v>0</v>
      </c>
      <c r="DT57" s="637">
        <v>0</v>
      </c>
      <c r="DU57" s="637">
        <v>0</v>
      </c>
      <c r="DV57" s="637">
        <v>0</v>
      </c>
      <c r="DW57" s="637">
        <v>0</v>
      </c>
      <c r="DX57" s="637">
        <v>0</v>
      </c>
      <c r="DY57" s="637">
        <v>0</v>
      </c>
      <c r="DZ57" s="637">
        <v>0</v>
      </c>
      <c r="EA57" s="637">
        <v>0</v>
      </c>
      <c r="EB57" s="637">
        <v>0</v>
      </c>
      <c r="EC57" s="637">
        <v>0</v>
      </c>
      <c r="ED57" s="637">
        <v>0</v>
      </c>
    </row>
    <row r="58" spans="1:134" ht="15" x14ac:dyDescent="0.25">
      <c r="A58" s="555">
        <v>129</v>
      </c>
      <c r="B58" s="555">
        <v>79</v>
      </c>
      <c r="C58" s="555" t="s">
        <v>1041</v>
      </c>
      <c r="D58" s="812">
        <v>99705</v>
      </c>
      <c r="E58" s="812">
        <v>99714</v>
      </c>
      <c r="F58" s="630" t="s">
        <v>989</v>
      </c>
      <c r="G58" s="45">
        <v>0</v>
      </c>
      <c r="H58" s="45">
        <v>1</v>
      </c>
      <c r="I58" s="45">
        <v>0</v>
      </c>
      <c r="J58" s="45">
        <v>1</v>
      </c>
      <c r="K58" s="45">
        <v>0</v>
      </c>
      <c r="L58" s="45">
        <v>1</v>
      </c>
      <c r="M58" s="45">
        <v>1</v>
      </c>
      <c r="N58" s="45">
        <v>1</v>
      </c>
      <c r="O58" s="45">
        <v>0</v>
      </c>
      <c r="P58" s="45">
        <v>0</v>
      </c>
      <c r="Q58" s="45">
        <v>2</v>
      </c>
      <c r="R58" s="45">
        <v>0</v>
      </c>
      <c r="S58" s="45">
        <v>746</v>
      </c>
      <c r="T58" s="45">
        <v>746</v>
      </c>
      <c r="U58" s="45">
        <v>3300</v>
      </c>
      <c r="V58" s="45">
        <v>0</v>
      </c>
      <c r="W58" s="45">
        <v>0</v>
      </c>
      <c r="X58" s="45">
        <v>2023</v>
      </c>
      <c r="Y58" s="45">
        <v>0</v>
      </c>
      <c r="Z58" s="45">
        <v>1</v>
      </c>
      <c r="AA58" s="45">
        <v>0</v>
      </c>
      <c r="AB58" s="508">
        <v>1</v>
      </c>
      <c r="AC58" s="508">
        <v>0</v>
      </c>
      <c r="AD58" s="631">
        <v>2</v>
      </c>
      <c r="AE58" s="632">
        <v>0</v>
      </c>
      <c r="AF58" s="632">
        <v>0</v>
      </c>
      <c r="AG58" s="633">
        <v>0</v>
      </c>
      <c r="AH58" s="632">
        <v>0</v>
      </c>
      <c r="AI58" s="632">
        <v>0</v>
      </c>
      <c r="AJ58" s="632">
        <v>0.92815170022086046</v>
      </c>
      <c r="AK58" s="632">
        <v>0.92815170022086046</v>
      </c>
      <c r="AL58" s="632">
        <v>0</v>
      </c>
      <c r="AM58" s="632">
        <v>0</v>
      </c>
      <c r="AN58" s="632">
        <v>0</v>
      </c>
      <c r="AO58" s="632">
        <v>0</v>
      </c>
      <c r="AP58" s="632">
        <v>0</v>
      </c>
      <c r="AQ58" s="632">
        <v>0.94010766733490925</v>
      </c>
      <c r="AR58" s="632">
        <v>0</v>
      </c>
      <c r="AS58" s="632">
        <v>0.86146557862287421</v>
      </c>
      <c r="AT58" s="632">
        <v>0.89418719599453456</v>
      </c>
      <c r="AU58" s="632">
        <v>0.92815170022086046</v>
      </c>
      <c r="AV58" s="632">
        <v>0.96340630069605648</v>
      </c>
      <c r="AW58" s="632">
        <v>1</v>
      </c>
      <c r="AX58" s="632">
        <v>0</v>
      </c>
      <c r="AY58" s="632">
        <v>0</v>
      </c>
      <c r="AZ58" s="632">
        <v>0</v>
      </c>
      <c r="BA58" s="632">
        <v>0</v>
      </c>
      <c r="BB58" s="632">
        <v>0</v>
      </c>
      <c r="BC58" s="632">
        <v>0.88380242618188454</v>
      </c>
      <c r="BD58" s="632">
        <v>0.91152039870909352</v>
      </c>
      <c r="BE58" s="632">
        <v>0.94010766733490925</v>
      </c>
      <c r="BF58" s="632">
        <v>0.96959149508177378</v>
      </c>
      <c r="BG58" s="632">
        <v>1</v>
      </c>
      <c r="BH58" s="634">
        <v>1.0040154582976095</v>
      </c>
      <c r="BI58" s="634">
        <v>1.0080470405005588</v>
      </c>
      <c r="BJ58" s="634">
        <v>1.0120948113537176</v>
      </c>
      <c r="BK58" s="635">
        <v>1.0054407320207883</v>
      </c>
      <c r="BL58" s="635">
        <v>0.99883040034002768</v>
      </c>
      <c r="BM58" s="635">
        <v>1.0060008694386551</v>
      </c>
      <c r="BN58" s="635">
        <v>1.0132228143704938</v>
      </c>
      <c r="BO58" s="635">
        <v>1.020496604673627</v>
      </c>
      <c r="BP58" s="635">
        <v>1.0278226125390015</v>
      </c>
      <c r="BQ58" s="635">
        <v>1.0352012128294736</v>
      </c>
      <c r="BR58" s="635">
        <v>1.041012444260178</v>
      </c>
      <c r="BS58" s="635">
        <v>1.0468562977650482</v>
      </c>
      <c r="BT58" s="635">
        <v>1.0527329564721757</v>
      </c>
      <c r="BU58" s="635">
        <v>1.0586426045376651</v>
      </c>
      <c r="BV58" s="635">
        <v>1.0645854271514033</v>
      </c>
      <c r="BW58" s="634">
        <v>0</v>
      </c>
      <c r="BX58" s="634">
        <v>0</v>
      </c>
      <c r="BY58" s="634">
        <v>0</v>
      </c>
      <c r="BZ58" s="635">
        <v>0</v>
      </c>
      <c r="CA58" s="635">
        <v>0</v>
      </c>
      <c r="CB58" s="635">
        <v>0</v>
      </c>
      <c r="CC58" s="635">
        <v>0</v>
      </c>
      <c r="CD58" s="635">
        <v>0</v>
      </c>
      <c r="CE58" s="635">
        <v>0</v>
      </c>
      <c r="CF58" s="635">
        <v>0</v>
      </c>
      <c r="CG58" s="635">
        <v>0</v>
      </c>
      <c r="CH58" s="635">
        <v>0</v>
      </c>
      <c r="CI58" s="635">
        <v>0</v>
      </c>
      <c r="CJ58" s="635">
        <v>0</v>
      </c>
      <c r="CK58" s="635">
        <v>0</v>
      </c>
      <c r="CL58" s="634">
        <v>1.0040154582976095</v>
      </c>
      <c r="CM58" s="634">
        <v>1.0080470405005588</v>
      </c>
      <c r="CN58" s="634">
        <v>1.0120948113537176</v>
      </c>
      <c r="CO58" s="635">
        <v>1.0054407320207883</v>
      </c>
      <c r="CP58" s="635">
        <v>0.99883040034002768</v>
      </c>
      <c r="CQ58" s="635">
        <v>1.0060008694386551</v>
      </c>
      <c r="CR58" s="635">
        <v>1.0132228143704938</v>
      </c>
      <c r="CS58" s="635">
        <v>1.020496604673627</v>
      </c>
      <c r="CT58" s="635">
        <v>1.0278226125390015</v>
      </c>
      <c r="CU58" s="635">
        <v>1.0352012128294736</v>
      </c>
      <c r="CV58" s="635">
        <v>1.041012444260178</v>
      </c>
      <c r="CW58" s="635">
        <v>1.0468562977650482</v>
      </c>
      <c r="CX58" s="635">
        <v>1.0527329564721757</v>
      </c>
      <c r="CY58" s="635">
        <v>1.0586426045376651</v>
      </c>
      <c r="CZ58" s="635">
        <v>1.0645854271514033</v>
      </c>
      <c r="DA58" s="636">
        <v>0</v>
      </c>
      <c r="DB58" s="636">
        <v>0</v>
      </c>
      <c r="DC58" s="636">
        <v>0</v>
      </c>
      <c r="DD58" s="637">
        <v>0</v>
      </c>
      <c r="DE58" s="637">
        <v>0</v>
      </c>
      <c r="DF58" s="637">
        <v>0</v>
      </c>
      <c r="DG58" s="637">
        <v>0</v>
      </c>
      <c r="DH58" s="637">
        <v>0</v>
      </c>
      <c r="DI58" s="637">
        <v>0</v>
      </c>
      <c r="DJ58" s="637">
        <v>0</v>
      </c>
      <c r="DK58" s="637">
        <v>0</v>
      </c>
      <c r="DL58" s="637">
        <v>0</v>
      </c>
      <c r="DM58" s="637">
        <v>0</v>
      </c>
      <c r="DN58" s="637">
        <v>0</v>
      </c>
      <c r="DO58" s="637">
        <v>0</v>
      </c>
      <c r="DP58" s="636">
        <v>0</v>
      </c>
      <c r="DQ58" s="636">
        <v>0</v>
      </c>
      <c r="DR58" s="636">
        <v>0</v>
      </c>
      <c r="DS58" s="637">
        <v>0</v>
      </c>
      <c r="DT58" s="637">
        <v>0</v>
      </c>
      <c r="DU58" s="637">
        <v>0</v>
      </c>
      <c r="DV58" s="637">
        <v>0</v>
      </c>
      <c r="DW58" s="637">
        <v>0</v>
      </c>
      <c r="DX58" s="637">
        <v>0</v>
      </c>
      <c r="DY58" s="637">
        <v>0</v>
      </c>
      <c r="DZ58" s="637">
        <v>0</v>
      </c>
      <c r="EA58" s="637">
        <v>0</v>
      </c>
      <c r="EB58" s="637">
        <v>0</v>
      </c>
      <c r="EC58" s="637">
        <v>0</v>
      </c>
      <c r="ED58" s="637">
        <v>0</v>
      </c>
    </row>
    <row r="59" spans="1:134" ht="15" x14ac:dyDescent="0.25">
      <c r="A59" s="555">
        <v>128</v>
      </c>
      <c r="B59" s="555">
        <v>80</v>
      </c>
      <c r="C59" s="555" t="s">
        <v>1042</v>
      </c>
      <c r="D59" s="812">
        <v>99705</v>
      </c>
      <c r="E59" s="812">
        <v>99705</v>
      </c>
      <c r="F59" s="630" t="s">
        <v>989</v>
      </c>
      <c r="G59" s="45">
        <v>7</v>
      </c>
      <c r="H59" s="45">
        <v>2</v>
      </c>
      <c r="I59" s="45">
        <v>2</v>
      </c>
      <c r="J59" s="45">
        <v>0</v>
      </c>
      <c r="K59" s="45">
        <v>0</v>
      </c>
      <c r="L59" s="45">
        <v>16</v>
      </c>
      <c r="M59" s="45">
        <v>16</v>
      </c>
      <c r="N59" s="45">
        <v>0</v>
      </c>
      <c r="O59" s="45">
        <v>0</v>
      </c>
      <c r="P59" s="45">
        <v>0</v>
      </c>
      <c r="Q59" s="45">
        <v>16</v>
      </c>
      <c r="R59" s="45">
        <v>0</v>
      </c>
      <c r="S59" s="45">
        <v>2430.4375</v>
      </c>
      <c r="T59" s="45">
        <v>2430.4375</v>
      </c>
      <c r="U59" s="45">
        <v>0</v>
      </c>
      <c r="V59" s="45">
        <v>0</v>
      </c>
      <c r="W59" s="45">
        <v>0</v>
      </c>
      <c r="X59" s="45">
        <v>2430.4375</v>
      </c>
      <c r="Y59" s="45">
        <v>0</v>
      </c>
      <c r="Z59" s="45">
        <v>2</v>
      </c>
      <c r="AA59" s="45">
        <v>0</v>
      </c>
      <c r="AB59" s="508">
        <v>0</v>
      </c>
      <c r="AC59" s="508">
        <v>0</v>
      </c>
      <c r="AD59" s="631">
        <v>2</v>
      </c>
      <c r="AE59" s="632">
        <v>0</v>
      </c>
      <c r="AF59" s="632">
        <v>2</v>
      </c>
      <c r="AG59" s="633">
        <v>2</v>
      </c>
      <c r="AH59" s="632">
        <v>0</v>
      </c>
      <c r="AI59" s="632">
        <v>0</v>
      </c>
      <c r="AJ59" s="632">
        <v>1.8563034004417209</v>
      </c>
      <c r="AK59" s="632">
        <v>1.8563034004417209</v>
      </c>
      <c r="AL59" s="632">
        <v>0</v>
      </c>
      <c r="AM59" s="632">
        <v>0</v>
      </c>
      <c r="AN59" s="632">
        <v>1.8658245651370786</v>
      </c>
      <c r="AO59" s="632">
        <v>1.8658245651370786</v>
      </c>
      <c r="AP59" s="632">
        <v>0</v>
      </c>
      <c r="AQ59" s="632">
        <v>0</v>
      </c>
      <c r="AR59" s="632">
        <v>0</v>
      </c>
      <c r="AS59" s="632">
        <v>1.7229311572457484</v>
      </c>
      <c r="AT59" s="632">
        <v>1.7883743919890691</v>
      </c>
      <c r="AU59" s="632">
        <v>1.8563034004417209</v>
      </c>
      <c r="AV59" s="632">
        <v>1.926812601392113</v>
      </c>
      <c r="AW59" s="632">
        <v>2</v>
      </c>
      <c r="AX59" s="632">
        <v>1.7406506539344841</v>
      </c>
      <c r="AY59" s="632">
        <v>1.8021511450022387</v>
      </c>
      <c r="AZ59" s="632">
        <v>1.8658245651370786</v>
      </c>
      <c r="BA59" s="632">
        <v>1.9317476880468001</v>
      </c>
      <c r="BB59" s="632">
        <v>2</v>
      </c>
      <c r="BC59" s="632">
        <v>0</v>
      </c>
      <c r="BD59" s="632">
        <v>0</v>
      </c>
      <c r="BE59" s="632">
        <v>0</v>
      </c>
      <c r="BF59" s="632">
        <v>0</v>
      </c>
      <c r="BG59" s="632">
        <v>0</v>
      </c>
      <c r="BH59" s="634">
        <v>2.0227205853706303</v>
      </c>
      <c r="BI59" s="634">
        <v>2.0456992832410528</v>
      </c>
      <c r="BJ59" s="634">
        <v>2.0689390258448106</v>
      </c>
      <c r="BK59" s="635">
        <v>2.0553366594869087</v>
      </c>
      <c r="BL59" s="635">
        <v>2.0418237227198373</v>
      </c>
      <c r="BM59" s="635">
        <v>2.0564817005943818</v>
      </c>
      <c r="BN59" s="635">
        <v>2.0712449061205502</v>
      </c>
      <c r="BO59" s="635">
        <v>2.0861140947134995</v>
      </c>
      <c r="BP59" s="635">
        <v>2.1010900272114106</v>
      </c>
      <c r="BQ59" s="635">
        <v>2.1161734699144206</v>
      </c>
      <c r="BR59" s="635">
        <v>2.1280528742551259</v>
      </c>
      <c r="BS59" s="635">
        <v>2.1399989651172793</v>
      </c>
      <c r="BT59" s="635">
        <v>2.152012116854007</v>
      </c>
      <c r="BU59" s="635">
        <v>2.1640927059199124</v>
      </c>
      <c r="BV59" s="635">
        <v>2.1762411108828723</v>
      </c>
      <c r="BW59" s="634">
        <v>2.0227205853706303</v>
      </c>
      <c r="BX59" s="634">
        <v>2.0456992832410528</v>
      </c>
      <c r="BY59" s="634">
        <v>2.0689390258448106</v>
      </c>
      <c r="BZ59" s="635">
        <v>2.0553366594869087</v>
      </c>
      <c r="CA59" s="635">
        <v>2.0418237227198373</v>
      </c>
      <c r="CB59" s="635">
        <v>2.0564817005943818</v>
      </c>
      <c r="CC59" s="635">
        <v>2.0712449061205502</v>
      </c>
      <c r="CD59" s="635">
        <v>2.0861140947134995</v>
      </c>
      <c r="CE59" s="635">
        <v>2.1010900272114106</v>
      </c>
      <c r="CF59" s="635">
        <v>2.1161734699144206</v>
      </c>
      <c r="CG59" s="635">
        <v>2.1280528742551259</v>
      </c>
      <c r="CH59" s="635">
        <v>2.1399989651172793</v>
      </c>
      <c r="CI59" s="635">
        <v>2.152012116854007</v>
      </c>
      <c r="CJ59" s="635">
        <v>2.1640927059199124</v>
      </c>
      <c r="CK59" s="635">
        <v>2.1762411108828723</v>
      </c>
      <c r="CL59" s="634">
        <v>0</v>
      </c>
      <c r="CM59" s="634">
        <v>0</v>
      </c>
      <c r="CN59" s="634">
        <v>0</v>
      </c>
      <c r="CO59" s="635">
        <v>0</v>
      </c>
      <c r="CP59" s="635">
        <v>0</v>
      </c>
      <c r="CQ59" s="635">
        <v>0</v>
      </c>
      <c r="CR59" s="635">
        <v>0</v>
      </c>
      <c r="CS59" s="635">
        <v>0</v>
      </c>
      <c r="CT59" s="635">
        <v>0</v>
      </c>
      <c r="CU59" s="635">
        <v>0</v>
      </c>
      <c r="CV59" s="635">
        <v>0</v>
      </c>
      <c r="CW59" s="635">
        <v>0</v>
      </c>
      <c r="CX59" s="635">
        <v>0</v>
      </c>
      <c r="CY59" s="635">
        <v>0</v>
      </c>
      <c r="CZ59" s="635">
        <v>0</v>
      </c>
      <c r="DA59" s="636">
        <v>0</v>
      </c>
      <c r="DB59" s="636">
        <v>0</v>
      </c>
      <c r="DC59" s="636">
        <v>0</v>
      </c>
      <c r="DD59" s="637">
        <v>0</v>
      </c>
      <c r="DE59" s="637">
        <v>0</v>
      </c>
      <c r="DF59" s="637">
        <v>0</v>
      </c>
      <c r="DG59" s="637">
        <v>0</v>
      </c>
      <c r="DH59" s="637">
        <v>0</v>
      </c>
      <c r="DI59" s="637">
        <v>0</v>
      </c>
      <c r="DJ59" s="637">
        <v>0</v>
      </c>
      <c r="DK59" s="637">
        <v>0</v>
      </c>
      <c r="DL59" s="637">
        <v>0</v>
      </c>
      <c r="DM59" s="637">
        <v>0</v>
      </c>
      <c r="DN59" s="637">
        <v>0</v>
      </c>
      <c r="DO59" s="637">
        <v>0</v>
      </c>
      <c r="DP59" s="636">
        <v>0</v>
      </c>
      <c r="DQ59" s="636">
        <v>0</v>
      </c>
      <c r="DR59" s="636">
        <v>0</v>
      </c>
      <c r="DS59" s="637">
        <v>0</v>
      </c>
      <c r="DT59" s="637">
        <v>0</v>
      </c>
      <c r="DU59" s="637">
        <v>0</v>
      </c>
      <c r="DV59" s="637">
        <v>0</v>
      </c>
      <c r="DW59" s="637">
        <v>0</v>
      </c>
      <c r="DX59" s="637">
        <v>0</v>
      </c>
      <c r="DY59" s="637">
        <v>0</v>
      </c>
      <c r="DZ59" s="637">
        <v>0</v>
      </c>
      <c r="EA59" s="637">
        <v>0</v>
      </c>
      <c r="EB59" s="637">
        <v>0</v>
      </c>
      <c r="EC59" s="637">
        <v>0</v>
      </c>
      <c r="ED59" s="637">
        <v>0</v>
      </c>
    </row>
    <row r="60" spans="1:134" ht="15" x14ac:dyDescent="0.25">
      <c r="A60" s="555">
        <v>129</v>
      </c>
      <c r="B60" s="555">
        <v>80</v>
      </c>
      <c r="C60" s="555" t="s">
        <v>1043</v>
      </c>
      <c r="D60" s="812">
        <v>99705</v>
      </c>
      <c r="E60" s="812">
        <v>99705</v>
      </c>
      <c r="F60" s="630" t="s">
        <v>989</v>
      </c>
      <c r="G60" s="45">
        <v>6</v>
      </c>
      <c r="H60" s="45">
        <v>3</v>
      </c>
      <c r="I60" s="45">
        <v>3</v>
      </c>
      <c r="J60" s="45">
        <v>0</v>
      </c>
      <c r="K60" s="45">
        <v>0</v>
      </c>
      <c r="L60" s="45">
        <v>0</v>
      </c>
      <c r="M60" s="45">
        <v>0</v>
      </c>
      <c r="N60" s="45">
        <v>1</v>
      </c>
      <c r="O60" s="45">
        <v>0</v>
      </c>
      <c r="P60" s="45">
        <v>0</v>
      </c>
      <c r="Q60" s="45">
        <v>1</v>
      </c>
      <c r="R60" s="45">
        <v>0</v>
      </c>
      <c r="S60" s="45">
        <v>0</v>
      </c>
      <c r="T60" s="45">
        <v>0</v>
      </c>
      <c r="U60" s="45">
        <v>6176</v>
      </c>
      <c r="V60" s="45">
        <v>0</v>
      </c>
      <c r="W60" s="45">
        <v>0</v>
      </c>
      <c r="X60" s="45">
        <v>6176</v>
      </c>
      <c r="Y60" s="45">
        <v>6.8737006237006237E-2</v>
      </c>
      <c r="Z60" s="45">
        <v>2.9273648648648649</v>
      </c>
      <c r="AA60" s="45">
        <v>3.8981288981288983E-3</v>
      </c>
      <c r="AB60" s="508">
        <v>1</v>
      </c>
      <c r="AC60" s="508">
        <v>0</v>
      </c>
      <c r="AD60" s="631">
        <v>4</v>
      </c>
      <c r="AE60" s="632">
        <v>6.8737006237006237E-2</v>
      </c>
      <c r="AF60" s="632">
        <v>2.9273648648648649</v>
      </c>
      <c r="AG60" s="633">
        <v>2.996101871101871</v>
      </c>
      <c r="AH60" s="632">
        <v>3.8981288981288983E-3</v>
      </c>
      <c r="AI60" s="632">
        <v>6.3798369206969227E-2</v>
      </c>
      <c r="AJ60" s="632">
        <v>2.7170386764911338</v>
      </c>
      <c r="AK60" s="632">
        <v>2.7808370456981031</v>
      </c>
      <c r="AL60" s="632">
        <v>3.6180549644784068E-3</v>
      </c>
      <c r="AM60" s="632">
        <v>6.4125597385493407E-2</v>
      </c>
      <c r="AN60" s="632">
        <v>2.7309746379920248</v>
      </c>
      <c r="AO60" s="632">
        <v>2.7951002353775181</v>
      </c>
      <c r="AP60" s="632">
        <v>3.6366123280998155E-3</v>
      </c>
      <c r="AQ60" s="632">
        <v>0.94010766733490925</v>
      </c>
      <c r="AR60" s="632">
        <v>0</v>
      </c>
      <c r="AS60" s="632">
        <v>2.5810386320018495</v>
      </c>
      <c r="AT60" s="632">
        <v>2.6790759310345602</v>
      </c>
      <c r="AU60" s="632">
        <v>2.7808370456981031</v>
      </c>
      <c r="AV60" s="632">
        <v>2.8864634201467867</v>
      </c>
      <c r="AW60" s="632">
        <v>2.996101871101871</v>
      </c>
      <c r="AX60" s="632">
        <v>2.6075833405939015</v>
      </c>
      <c r="AY60" s="632">
        <v>2.6997142087747932</v>
      </c>
      <c r="AZ60" s="632">
        <v>2.7951002353775181</v>
      </c>
      <c r="BA60" s="632">
        <v>2.8938564313268653</v>
      </c>
      <c r="BB60" s="632">
        <v>2.996101871101871</v>
      </c>
      <c r="BC60" s="632">
        <v>0.88380242618188454</v>
      </c>
      <c r="BD60" s="632">
        <v>0.91152039870909352</v>
      </c>
      <c r="BE60" s="632">
        <v>0.94010766733490925</v>
      </c>
      <c r="BF60" s="632">
        <v>0.96959149508177378</v>
      </c>
      <c r="BG60" s="632">
        <v>1</v>
      </c>
      <c r="BH60" s="634">
        <v>3.0081325932206706</v>
      </c>
      <c r="BI60" s="634">
        <v>3.0202116242024277</v>
      </c>
      <c r="BJ60" s="634">
        <v>3.0323391580293686</v>
      </c>
      <c r="BK60" s="635">
        <v>3.0124028584895188</v>
      </c>
      <c r="BL60" s="635">
        <v>2.9925976313721878</v>
      </c>
      <c r="BM60" s="635">
        <v>3.0140810872552635</v>
      </c>
      <c r="BN60" s="635">
        <v>3.0357187699785402</v>
      </c>
      <c r="BO60" s="635">
        <v>3.05751178671576</v>
      </c>
      <c r="BP60" s="635">
        <v>3.0794612525889162</v>
      </c>
      <c r="BQ60" s="635">
        <v>3.1015682907253121</v>
      </c>
      <c r="BR60" s="635">
        <v>3.118979332088252</v>
      </c>
      <c r="BS60" s="635">
        <v>3.1364881125086383</v>
      </c>
      <c r="BT60" s="635">
        <v>3.1540951806568907</v>
      </c>
      <c r="BU60" s="635">
        <v>3.1718010882834564</v>
      </c>
      <c r="BV60" s="635">
        <v>3.1896063902361038</v>
      </c>
      <c r="BW60" s="634">
        <v>3.0081325932206706</v>
      </c>
      <c r="BX60" s="634">
        <v>3.0202116242024277</v>
      </c>
      <c r="BY60" s="634">
        <v>3.0323391580293686</v>
      </c>
      <c r="BZ60" s="635">
        <v>3.0124028584895188</v>
      </c>
      <c r="CA60" s="635">
        <v>2.9925976313721878</v>
      </c>
      <c r="CB60" s="635">
        <v>3.0140810872552635</v>
      </c>
      <c r="CC60" s="635">
        <v>3.0357187699785402</v>
      </c>
      <c r="CD60" s="635">
        <v>3.05751178671576</v>
      </c>
      <c r="CE60" s="635">
        <v>3.0794612525889162</v>
      </c>
      <c r="CF60" s="635">
        <v>3.1015682907253121</v>
      </c>
      <c r="CG60" s="635">
        <v>3.118979332088252</v>
      </c>
      <c r="CH60" s="635">
        <v>3.1364881125086383</v>
      </c>
      <c r="CI60" s="635">
        <v>3.1540951806568907</v>
      </c>
      <c r="CJ60" s="635">
        <v>3.1718010882834564</v>
      </c>
      <c r="CK60" s="635">
        <v>3.1896063902361038</v>
      </c>
      <c r="CL60" s="634">
        <v>1.0040154582976095</v>
      </c>
      <c r="CM60" s="634">
        <v>1.0080470405005588</v>
      </c>
      <c r="CN60" s="634">
        <v>1.0120948113537176</v>
      </c>
      <c r="CO60" s="635">
        <v>1.0054407320207883</v>
      </c>
      <c r="CP60" s="635">
        <v>0.99883040034002768</v>
      </c>
      <c r="CQ60" s="635">
        <v>1.0060008694386551</v>
      </c>
      <c r="CR60" s="635">
        <v>1.0132228143704938</v>
      </c>
      <c r="CS60" s="635">
        <v>1.020496604673627</v>
      </c>
      <c r="CT60" s="635">
        <v>1.0278226125390015</v>
      </c>
      <c r="CU60" s="635">
        <v>1.0352012128294736</v>
      </c>
      <c r="CV60" s="635">
        <v>1.041012444260178</v>
      </c>
      <c r="CW60" s="635">
        <v>1.0468562977650482</v>
      </c>
      <c r="CX60" s="635">
        <v>1.0527329564721757</v>
      </c>
      <c r="CY60" s="635">
        <v>1.0586426045376651</v>
      </c>
      <c r="CZ60" s="635">
        <v>1.0645854271514033</v>
      </c>
      <c r="DA60" s="636">
        <v>3.9137816721580418E-3</v>
      </c>
      <c r="DB60" s="636">
        <v>3.9294972992485406E-3</v>
      </c>
      <c r="DC60" s="636">
        <v>3.9452760317842421E-3</v>
      </c>
      <c r="DD60" s="637">
        <v>3.9193375728461084E-3</v>
      </c>
      <c r="DE60" s="637">
        <v>3.8935696478951181E-3</v>
      </c>
      <c r="DF60" s="637">
        <v>3.9215210607016181E-3</v>
      </c>
      <c r="DG60" s="637">
        <v>3.9496731329411137E-3</v>
      </c>
      <c r="DH60" s="637">
        <v>3.9780273051206868E-3</v>
      </c>
      <c r="DI60" s="637">
        <v>4.0065850280886234E-3</v>
      </c>
      <c r="DJ60" s="637">
        <v>4.0353477631086552E-3</v>
      </c>
      <c r="DK60" s="637">
        <v>4.0580006922823989E-3</v>
      </c>
      <c r="DL60" s="637">
        <v>4.0807807865061649E-3</v>
      </c>
      <c r="DM60" s="637">
        <v>4.1036887596368598E-3</v>
      </c>
      <c r="DN60" s="637">
        <v>4.1267253295387153E-3</v>
      </c>
      <c r="DO60" s="637">
        <v>4.1498912181057819E-3</v>
      </c>
      <c r="DP60" s="636">
        <v>0</v>
      </c>
      <c r="DQ60" s="636">
        <v>0</v>
      </c>
      <c r="DR60" s="636">
        <v>0</v>
      </c>
      <c r="DS60" s="637">
        <v>0</v>
      </c>
      <c r="DT60" s="637">
        <v>0</v>
      </c>
      <c r="DU60" s="637">
        <v>0</v>
      </c>
      <c r="DV60" s="637">
        <v>0</v>
      </c>
      <c r="DW60" s="637">
        <v>0</v>
      </c>
      <c r="DX60" s="637">
        <v>0</v>
      </c>
      <c r="DY60" s="637">
        <v>0</v>
      </c>
      <c r="DZ60" s="637">
        <v>0</v>
      </c>
      <c r="EA60" s="637">
        <v>0</v>
      </c>
      <c r="EB60" s="637">
        <v>0</v>
      </c>
      <c r="EC60" s="637">
        <v>0</v>
      </c>
      <c r="ED60" s="637">
        <v>0</v>
      </c>
    </row>
    <row r="61" spans="1:134" ht="15" x14ac:dyDescent="0.25">
      <c r="A61" s="555">
        <v>132</v>
      </c>
      <c r="B61" s="555">
        <v>80</v>
      </c>
      <c r="C61" s="555" t="s">
        <v>1044</v>
      </c>
      <c r="D61" s="812">
        <v>99702</v>
      </c>
      <c r="E61" s="812">
        <v>99702</v>
      </c>
      <c r="F61" s="630" t="s">
        <v>989</v>
      </c>
      <c r="G61" s="45">
        <v>154</v>
      </c>
      <c r="H61" s="45">
        <v>36</v>
      </c>
      <c r="I61" s="45">
        <v>30</v>
      </c>
      <c r="J61" s="45">
        <v>6</v>
      </c>
      <c r="K61" s="45">
        <v>0</v>
      </c>
      <c r="L61" s="45">
        <v>0</v>
      </c>
      <c r="M61" s="45">
        <v>0</v>
      </c>
      <c r="N61" s="45">
        <v>0</v>
      </c>
      <c r="O61" s="45">
        <v>0</v>
      </c>
      <c r="P61" s="45">
        <v>0</v>
      </c>
      <c r="Q61" s="45">
        <v>0</v>
      </c>
      <c r="R61" s="45">
        <v>0</v>
      </c>
      <c r="S61" s="45">
        <v>834.49503068156923</v>
      </c>
      <c r="T61" s="45">
        <v>834.49503068156923</v>
      </c>
      <c r="U61" s="45">
        <v>1408.3846153846155</v>
      </c>
      <c r="V61" s="45">
        <v>0</v>
      </c>
      <c r="W61" s="45">
        <v>0</v>
      </c>
      <c r="X61" s="45">
        <v>1365.173957061457</v>
      </c>
      <c r="Y61" s="45">
        <v>0.82484407484407485</v>
      </c>
      <c r="Z61" s="45">
        <v>35.128378378378379</v>
      </c>
      <c r="AA61" s="45">
        <v>4.677754677754678E-2</v>
      </c>
      <c r="AB61" s="508">
        <v>0</v>
      </c>
      <c r="AC61" s="508">
        <v>0</v>
      </c>
      <c r="AD61" s="631">
        <v>36</v>
      </c>
      <c r="AE61" s="632">
        <v>0.68737006237006237</v>
      </c>
      <c r="AF61" s="632">
        <v>29.273648648648653</v>
      </c>
      <c r="AG61" s="633">
        <v>29.961018711018713</v>
      </c>
      <c r="AH61" s="632">
        <v>3.8981288981288983E-2</v>
      </c>
      <c r="AI61" s="632">
        <v>0.92074800406586277</v>
      </c>
      <c r="AJ61" s="632">
        <v>39.212725488846544</v>
      </c>
      <c r="AK61" s="632">
        <v>40.133473492912408</v>
      </c>
      <c r="AL61" s="632">
        <v>5.221633293379184E-2</v>
      </c>
      <c r="AM61" s="632">
        <v>0.80168345805939001</v>
      </c>
      <c r="AN61" s="632">
        <v>34.142016307410209</v>
      </c>
      <c r="AO61" s="632">
        <v>34.943699765469596</v>
      </c>
      <c r="AP61" s="632">
        <v>4.5464090249114748E-2</v>
      </c>
      <c r="AQ61" s="632">
        <v>0</v>
      </c>
      <c r="AR61" s="632">
        <v>0</v>
      </c>
      <c r="AS61" s="632">
        <v>44.79975881722217</v>
      </c>
      <c r="AT61" s="632">
        <v>42.402475552494039</v>
      </c>
      <c r="AU61" s="632">
        <v>40.133473492912401</v>
      </c>
      <c r="AV61" s="632">
        <v>37.985888173257003</v>
      </c>
      <c r="AW61" s="632">
        <v>35.953222453222452</v>
      </c>
      <c r="AX61" s="632">
        <v>40.755027893968503</v>
      </c>
      <c r="AY61" s="632">
        <v>37.737666311792175</v>
      </c>
      <c r="AZ61" s="632">
        <v>34.943699765469596</v>
      </c>
      <c r="BA61" s="632">
        <v>32.356588857687932</v>
      </c>
      <c r="BB61" s="632">
        <v>29.961018711018713</v>
      </c>
      <c r="BC61" s="632">
        <v>0</v>
      </c>
      <c r="BD61" s="632">
        <v>0</v>
      </c>
      <c r="BE61" s="632">
        <v>0</v>
      </c>
      <c r="BF61" s="632">
        <v>0</v>
      </c>
      <c r="BG61" s="632">
        <v>0</v>
      </c>
      <c r="BH61" s="634">
        <v>36.097591118648047</v>
      </c>
      <c r="BI61" s="634">
        <v>36.242539490429131</v>
      </c>
      <c r="BJ61" s="634">
        <v>36.38806989635242</v>
      </c>
      <c r="BK61" s="635">
        <v>36.148834301874224</v>
      </c>
      <c r="BL61" s="635">
        <v>35.911171576466252</v>
      </c>
      <c r="BM61" s="635">
        <v>36.168973047063162</v>
      </c>
      <c r="BN61" s="635">
        <v>36.42862523974248</v>
      </c>
      <c r="BO61" s="635">
        <v>36.690141440589116</v>
      </c>
      <c r="BP61" s="635">
        <v>36.953535031066991</v>
      </c>
      <c r="BQ61" s="635">
        <v>37.218819488703744</v>
      </c>
      <c r="BR61" s="635">
        <v>37.427751985059018</v>
      </c>
      <c r="BS61" s="635">
        <v>37.637857350103658</v>
      </c>
      <c r="BT61" s="635">
        <v>37.849142167882682</v>
      </c>
      <c r="BU61" s="635">
        <v>38.061613059401473</v>
      </c>
      <c r="BV61" s="635">
        <v>38.275276682833244</v>
      </c>
      <c r="BW61" s="634">
        <v>30.081325932206706</v>
      </c>
      <c r="BX61" s="634">
        <v>30.202116242024282</v>
      </c>
      <c r="BY61" s="634">
        <v>30.323391580293688</v>
      </c>
      <c r="BZ61" s="635">
        <v>30.124028584895189</v>
      </c>
      <c r="CA61" s="635">
        <v>29.925976313721883</v>
      </c>
      <c r="CB61" s="635">
        <v>30.140810872552638</v>
      </c>
      <c r="CC61" s="635">
        <v>30.357187699785403</v>
      </c>
      <c r="CD61" s="635">
        <v>30.575117867157601</v>
      </c>
      <c r="CE61" s="635">
        <v>30.794612525889164</v>
      </c>
      <c r="CF61" s="635">
        <v>31.015682907253126</v>
      </c>
      <c r="CG61" s="635">
        <v>31.189793320882522</v>
      </c>
      <c r="CH61" s="635">
        <v>31.364881125086388</v>
      </c>
      <c r="CI61" s="635">
        <v>31.540951806568909</v>
      </c>
      <c r="CJ61" s="635">
        <v>31.718010882834566</v>
      </c>
      <c r="CK61" s="635">
        <v>31.896063902361039</v>
      </c>
      <c r="CL61" s="634">
        <v>0</v>
      </c>
      <c r="CM61" s="634">
        <v>0</v>
      </c>
      <c r="CN61" s="634">
        <v>0</v>
      </c>
      <c r="CO61" s="635">
        <v>0</v>
      </c>
      <c r="CP61" s="635">
        <v>0</v>
      </c>
      <c r="CQ61" s="635">
        <v>0</v>
      </c>
      <c r="CR61" s="635">
        <v>0</v>
      </c>
      <c r="CS61" s="635">
        <v>0</v>
      </c>
      <c r="CT61" s="635">
        <v>0</v>
      </c>
      <c r="CU61" s="635">
        <v>0</v>
      </c>
      <c r="CV61" s="635">
        <v>0</v>
      </c>
      <c r="CW61" s="635">
        <v>0</v>
      </c>
      <c r="CX61" s="635">
        <v>0</v>
      </c>
      <c r="CY61" s="635">
        <v>0</v>
      </c>
      <c r="CZ61" s="635">
        <v>0</v>
      </c>
      <c r="DA61" s="636">
        <v>4.6965380065896498E-2</v>
      </c>
      <c r="DB61" s="636">
        <v>4.7153967590982483E-2</v>
      </c>
      <c r="DC61" s="636">
        <v>4.7343312381410908E-2</v>
      </c>
      <c r="DD61" s="637">
        <v>4.7032050874153297E-2</v>
      </c>
      <c r="DE61" s="637">
        <v>4.6722835774741421E-2</v>
      </c>
      <c r="DF61" s="637">
        <v>4.7058252728419417E-2</v>
      </c>
      <c r="DG61" s="637">
        <v>4.7396077595293365E-2</v>
      </c>
      <c r="DH61" s="637">
        <v>4.7736327661448245E-2</v>
      </c>
      <c r="DI61" s="637">
        <v>4.8079020337063481E-2</v>
      </c>
      <c r="DJ61" s="637">
        <v>4.8424173157303858E-2</v>
      </c>
      <c r="DK61" s="637">
        <v>4.8696008307388787E-2</v>
      </c>
      <c r="DL61" s="637">
        <v>4.8969369438073979E-2</v>
      </c>
      <c r="DM61" s="637">
        <v>4.9244265115642318E-2</v>
      </c>
      <c r="DN61" s="637">
        <v>4.9520703954464583E-2</v>
      </c>
      <c r="DO61" s="637">
        <v>4.9798694617269379E-2</v>
      </c>
      <c r="DP61" s="636">
        <v>0</v>
      </c>
      <c r="DQ61" s="636">
        <v>0</v>
      </c>
      <c r="DR61" s="636">
        <v>0</v>
      </c>
      <c r="DS61" s="637">
        <v>0</v>
      </c>
      <c r="DT61" s="637">
        <v>0</v>
      </c>
      <c r="DU61" s="637">
        <v>0</v>
      </c>
      <c r="DV61" s="637">
        <v>0</v>
      </c>
      <c r="DW61" s="637">
        <v>0</v>
      </c>
      <c r="DX61" s="637">
        <v>0</v>
      </c>
      <c r="DY61" s="637">
        <v>0</v>
      </c>
      <c r="DZ61" s="637">
        <v>0</v>
      </c>
      <c r="EA61" s="637">
        <v>0</v>
      </c>
      <c r="EB61" s="637">
        <v>0</v>
      </c>
      <c r="EC61" s="637">
        <v>0</v>
      </c>
      <c r="ED61" s="637">
        <v>0</v>
      </c>
    </row>
    <row r="62" spans="1:134" ht="15" x14ac:dyDescent="0.25">
      <c r="A62" s="555">
        <v>81</v>
      </c>
      <c r="B62" s="555">
        <v>81</v>
      </c>
      <c r="C62" s="555" t="s">
        <v>1045</v>
      </c>
      <c r="D62" s="812">
        <v>99709</v>
      </c>
      <c r="E62" s="812">
        <v>99709</v>
      </c>
      <c r="F62" s="630" t="s">
        <v>989</v>
      </c>
      <c r="G62" s="45">
        <v>0</v>
      </c>
      <c r="H62" s="45">
        <v>3</v>
      </c>
      <c r="I62" s="45">
        <v>0</v>
      </c>
      <c r="J62" s="45">
        <v>3</v>
      </c>
      <c r="K62" s="45">
        <v>0</v>
      </c>
      <c r="L62" s="45">
        <v>0</v>
      </c>
      <c r="M62" s="45">
        <v>0</v>
      </c>
      <c r="N62" s="45">
        <v>0</v>
      </c>
      <c r="O62" s="45">
        <v>0</v>
      </c>
      <c r="P62" s="45">
        <v>0</v>
      </c>
      <c r="Q62" s="45">
        <v>0</v>
      </c>
      <c r="R62" s="45">
        <v>0</v>
      </c>
      <c r="S62" s="45">
        <v>834.49503068156923</v>
      </c>
      <c r="T62" s="45">
        <v>834.49503068156923</v>
      </c>
      <c r="U62" s="45">
        <v>1408.3846153846155</v>
      </c>
      <c r="V62" s="45">
        <v>0</v>
      </c>
      <c r="W62" s="45">
        <v>0</v>
      </c>
      <c r="X62" s="45">
        <v>1365.173957061457</v>
      </c>
      <c r="Y62" s="45">
        <v>6.8737006237006237E-2</v>
      </c>
      <c r="Z62" s="45">
        <v>2.9273648648648649</v>
      </c>
      <c r="AA62" s="45">
        <v>3.8981288981288983E-3</v>
      </c>
      <c r="AB62" s="508">
        <v>0</v>
      </c>
      <c r="AC62" s="508">
        <v>0</v>
      </c>
      <c r="AD62" s="631">
        <v>3</v>
      </c>
      <c r="AE62" s="632">
        <v>0</v>
      </c>
      <c r="AF62" s="632">
        <v>0</v>
      </c>
      <c r="AG62" s="633">
        <v>0</v>
      </c>
      <c r="AH62" s="632">
        <v>0</v>
      </c>
      <c r="AI62" s="632">
        <v>6.5448517536264822E-2</v>
      </c>
      <c r="AJ62" s="632">
        <v>2.7873150313317776</v>
      </c>
      <c r="AK62" s="632">
        <v>2.8527635488680425</v>
      </c>
      <c r="AL62" s="632">
        <v>3.7116361551756995E-3</v>
      </c>
      <c r="AM62" s="632">
        <v>0</v>
      </c>
      <c r="AN62" s="632">
        <v>0</v>
      </c>
      <c r="AO62" s="632">
        <v>0</v>
      </c>
      <c r="AP62" s="632">
        <v>0</v>
      </c>
      <c r="AQ62" s="632">
        <v>0</v>
      </c>
      <c r="AR62" s="632">
        <v>0</v>
      </c>
      <c r="AS62" s="632">
        <v>2.7162827620267778</v>
      </c>
      <c r="AT62" s="632">
        <v>2.7836868451621131</v>
      </c>
      <c r="AU62" s="632">
        <v>2.8527635488680421</v>
      </c>
      <c r="AV62" s="632">
        <v>2.9235543789323906</v>
      </c>
      <c r="AW62" s="632">
        <v>2.996101871101871</v>
      </c>
      <c r="AX62" s="632">
        <v>0</v>
      </c>
      <c r="AY62" s="632">
        <v>0</v>
      </c>
      <c r="AZ62" s="632">
        <v>0</v>
      </c>
      <c r="BA62" s="632">
        <v>0</v>
      </c>
      <c r="BB62" s="632">
        <v>0</v>
      </c>
      <c r="BC62" s="632">
        <v>0</v>
      </c>
      <c r="BD62" s="632">
        <v>0</v>
      </c>
      <c r="BE62" s="632">
        <v>0</v>
      </c>
      <c r="BF62" s="632">
        <v>0</v>
      </c>
      <c r="BG62" s="632">
        <v>0</v>
      </c>
      <c r="BH62" s="634">
        <v>3.011449789467207</v>
      </c>
      <c r="BI62" s="634">
        <v>3.0268763295244225</v>
      </c>
      <c r="BJ62" s="634">
        <v>3.042381894023277</v>
      </c>
      <c r="BK62" s="635">
        <v>3.0223795679004692</v>
      </c>
      <c r="BL62" s="635">
        <v>3.0025087482959947</v>
      </c>
      <c r="BM62" s="635">
        <v>3.0240633547543938</v>
      </c>
      <c r="BN62" s="635">
        <v>3.0457726988334044</v>
      </c>
      <c r="BO62" s="635">
        <v>3.0676378913735927</v>
      </c>
      <c r="BP62" s="635">
        <v>3.0896600511900987</v>
      </c>
      <c r="BQ62" s="635">
        <v>3.1118403051298866</v>
      </c>
      <c r="BR62" s="635">
        <v>3.1293090097299094</v>
      </c>
      <c r="BS62" s="635">
        <v>3.1468757770871703</v>
      </c>
      <c r="BT62" s="635">
        <v>3.1645411576892162</v>
      </c>
      <c r="BU62" s="635">
        <v>3.1823057051138255</v>
      </c>
      <c r="BV62" s="635">
        <v>3.2001699760463538</v>
      </c>
      <c r="BW62" s="634">
        <v>0</v>
      </c>
      <c r="BX62" s="634">
        <v>0</v>
      </c>
      <c r="BY62" s="634">
        <v>0</v>
      </c>
      <c r="BZ62" s="635">
        <v>0</v>
      </c>
      <c r="CA62" s="635">
        <v>0</v>
      </c>
      <c r="CB62" s="635">
        <v>0</v>
      </c>
      <c r="CC62" s="635">
        <v>0</v>
      </c>
      <c r="CD62" s="635">
        <v>0</v>
      </c>
      <c r="CE62" s="635">
        <v>0</v>
      </c>
      <c r="CF62" s="635">
        <v>0</v>
      </c>
      <c r="CG62" s="635">
        <v>0</v>
      </c>
      <c r="CH62" s="635">
        <v>0</v>
      </c>
      <c r="CI62" s="635">
        <v>0</v>
      </c>
      <c r="CJ62" s="635">
        <v>0</v>
      </c>
      <c r="CK62" s="635">
        <v>0</v>
      </c>
      <c r="CL62" s="634">
        <v>0</v>
      </c>
      <c r="CM62" s="634">
        <v>0</v>
      </c>
      <c r="CN62" s="634">
        <v>0</v>
      </c>
      <c r="CO62" s="635">
        <v>0</v>
      </c>
      <c r="CP62" s="635">
        <v>0</v>
      </c>
      <c r="CQ62" s="635">
        <v>0</v>
      </c>
      <c r="CR62" s="635">
        <v>0</v>
      </c>
      <c r="CS62" s="635">
        <v>0</v>
      </c>
      <c r="CT62" s="635">
        <v>0</v>
      </c>
      <c r="CU62" s="635">
        <v>0</v>
      </c>
      <c r="CV62" s="635">
        <v>0</v>
      </c>
      <c r="CW62" s="635">
        <v>0</v>
      </c>
      <c r="CX62" s="635">
        <v>0</v>
      </c>
      <c r="CY62" s="635">
        <v>0</v>
      </c>
      <c r="CZ62" s="635">
        <v>0</v>
      </c>
      <c r="DA62" s="636">
        <v>3.9180975663117455E-3</v>
      </c>
      <c r="DB62" s="636">
        <v>3.9381685265735406E-3</v>
      </c>
      <c r="DC62" s="636">
        <v>3.9583423029186538E-3</v>
      </c>
      <c r="DD62" s="637">
        <v>3.932317938980575E-3</v>
      </c>
      <c r="DE62" s="637">
        <v>3.9064646738173232E-3</v>
      </c>
      <c r="DF62" s="637">
        <v>3.9345086582805028E-3</v>
      </c>
      <c r="DG62" s="637">
        <v>3.9627539667361497E-3</v>
      </c>
      <c r="DH62" s="637">
        <v>3.9912020444621303E-3</v>
      </c>
      <c r="DI62" s="637">
        <v>4.0198543471117601E-3</v>
      </c>
      <c r="DJ62" s="637">
        <v>4.0487123407882989E-3</v>
      </c>
      <c r="DK62" s="637">
        <v>4.0714402936897088E-3</v>
      </c>
      <c r="DL62" s="637">
        <v>4.0942958327962143E-3</v>
      </c>
      <c r="DM62" s="637">
        <v>4.117279674328931E-3</v>
      </c>
      <c r="DN62" s="637">
        <v>4.1403925385295678E-3</v>
      </c>
      <c r="DO62" s="637">
        <v>4.1636351496830001E-3</v>
      </c>
      <c r="DP62" s="636">
        <v>0</v>
      </c>
      <c r="DQ62" s="636">
        <v>0</v>
      </c>
      <c r="DR62" s="636">
        <v>0</v>
      </c>
      <c r="DS62" s="637">
        <v>0</v>
      </c>
      <c r="DT62" s="637">
        <v>0</v>
      </c>
      <c r="DU62" s="637">
        <v>0</v>
      </c>
      <c r="DV62" s="637">
        <v>0</v>
      </c>
      <c r="DW62" s="637">
        <v>0</v>
      </c>
      <c r="DX62" s="637">
        <v>0</v>
      </c>
      <c r="DY62" s="637">
        <v>0</v>
      </c>
      <c r="DZ62" s="637">
        <v>0</v>
      </c>
      <c r="EA62" s="637">
        <v>0</v>
      </c>
      <c r="EB62" s="637">
        <v>0</v>
      </c>
      <c r="EC62" s="637">
        <v>0</v>
      </c>
      <c r="ED62" s="637">
        <v>0</v>
      </c>
    </row>
    <row r="63" spans="1:134" ht="15" x14ac:dyDescent="0.25">
      <c r="A63" s="555">
        <v>126</v>
      </c>
      <c r="B63" s="555">
        <v>81</v>
      </c>
      <c r="C63" s="555" t="s">
        <v>1046</v>
      </c>
      <c r="D63" s="812">
        <v>99705</v>
      </c>
      <c r="E63" s="812">
        <v>99705</v>
      </c>
      <c r="F63" s="630" t="s">
        <v>989</v>
      </c>
      <c r="G63" s="45">
        <v>36</v>
      </c>
      <c r="H63" s="45">
        <v>13</v>
      </c>
      <c r="I63" s="45">
        <v>13</v>
      </c>
      <c r="J63" s="45">
        <v>0</v>
      </c>
      <c r="K63" s="45">
        <v>0</v>
      </c>
      <c r="L63" s="45">
        <v>4</v>
      </c>
      <c r="M63" s="45">
        <v>4</v>
      </c>
      <c r="N63" s="45">
        <v>1</v>
      </c>
      <c r="O63" s="45">
        <v>0</v>
      </c>
      <c r="P63" s="45">
        <v>0</v>
      </c>
      <c r="Q63" s="45">
        <v>5</v>
      </c>
      <c r="R63" s="45">
        <v>0</v>
      </c>
      <c r="S63" s="45">
        <v>1537.25</v>
      </c>
      <c r="T63" s="45">
        <v>1537.25</v>
      </c>
      <c r="U63" s="45">
        <v>1628</v>
      </c>
      <c r="V63" s="45">
        <v>0</v>
      </c>
      <c r="W63" s="45">
        <v>0</v>
      </c>
      <c r="X63" s="45">
        <v>1555.4</v>
      </c>
      <c r="Y63" s="45">
        <v>0</v>
      </c>
      <c r="Z63" s="45">
        <v>13</v>
      </c>
      <c r="AA63" s="45">
        <v>0</v>
      </c>
      <c r="AB63" s="508">
        <v>1</v>
      </c>
      <c r="AC63" s="508">
        <v>0</v>
      </c>
      <c r="AD63" s="631">
        <v>14</v>
      </c>
      <c r="AE63" s="632">
        <v>0</v>
      </c>
      <c r="AF63" s="632">
        <v>13</v>
      </c>
      <c r="AG63" s="633">
        <v>13</v>
      </c>
      <c r="AH63" s="632">
        <v>0</v>
      </c>
      <c r="AI63" s="632">
        <v>0</v>
      </c>
      <c r="AJ63" s="632">
        <v>12.065972102871187</v>
      </c>
      <c r="AK63" s="632">
        <v>12.065972102871187</v>
      </c>
      <c r="AL63" s="632">
        <v>0</v>
      </c>
      <c r="AM63" s="632">
        <v>0</v>
      </c>
      <c r="AN63" s="632">
        <v>12.127859673391011</v>
      </c>
      <c r="AO63" s="632">
        <v>12.127859673391011</v>
      </c>
      <c r="AP63" s="632">
        <v>0</v>
      </c>
      <c r="AQ63" s="632">
        <v>0.94010766733490925</v>
      </c>
      <c r="AR63" s="632">
        <v>0</v>
      </c>
      <c r="AS63" s="632">
        <v>11.199052522097364</v>
      </c>
      <c r="AT63" s="632">
        <v>11.624433547928948</v>
      </c>
      <c r="AU63" s="632">
        <v>12.065972102871187</v>
      </c>
      <c r="AV63" s="632">
        <v>12.524281909048735</v>
      </c>
      <c r="AW63" s="632">
        <v>13</v>
      </c>
      <c r="AX63" s="632">
        <v>11.314229250574147</v>
      </c>
      <c r="AY63" s="632">
        <v>11.713982442514551</v>
      </c>
      <c r="AZ63" s="632">
        <v>12.127859673391011</v>
      </c>
      <c r="BA63" s="632">
        <v>12.5563599723042</v>
      </c>
      <c r="BB63" s="632">
        <v>13</v>
      </c>
      <c r="BC63" s="632">
        <v>0.88380242618188454</v>
      </c>
      <c r="BD63" s="632">
        <v>0.91152039870909352</v>
      </c>
      <c r="BE63" s="632">
        <v>0.94010766733490925</v>
      </c>
      <c r="BF63" s="632">
        <v>0.96959149508177378</v>
      </c>
      <c r="BG63" s="632">
        <v>1</v>
      </c>
      <c r="BH63" s="634">
        <v>13.147683804909096</v>
      </c>
      <c r="BI63" s="634">
        <v>13.297045341066843</v>
      </c>
      <c r="BJ63" s="634">
        <v>13.448103667991269</v>
      </c>
      <c r="BK63" s="635">
        <v>13.359688286664907</v>
      </c>
      <c r="BL63" s="635">
        <v>13.271854197678943</v>
      </c>
      <c r="BM63" s="635">
        <v>13.367131053863483</v>
      </c>
      <c r="BN63" s="635">
        <v>13.463091889783575</v>
      </c>
      <c r="BO63" s="635">
        <v>13.559741615637746</v>
      </c>
      <c r="BP63" s="635">
        <v>13.657085176874169</v>
      </c>
      <c r="BQ63" s="635">
        <v>13.755127554443735</v>
      </c>
      <c r="BR63" s="635">
        <v>13.832343682658317</v>
      </c>
      <c r="BS63" s="635">
        <v>13.909993273262316</v>
      </c>
      <c r="BT63" s="635">
        <v>13.988078759551046</v>
      </c>
      <c r="BU63" s="635">
        <v>14.06660258847943</v>
      </c>
      <c r="BV63" s="635">
        <v>14.145567220738672</v>
      </c>
      <c r="BW63" s="634">
        <v>13.147683804909096</v>
      </c>
      <c r="BX63" s="634">
        <v>13.297045341066843</v>
      </c>
      <c r="BY63" s="634">
        <v>13.448103667991269</v>
      </c>
      <c r="BZ63" s="635">
        <v>13.359688286664907</v>
      </c>
      <c r="CA63" s="635">
        <v>13.271854197678943</v>
      </c>
      <c r="CB63" s="635">
        <v>13.367131053863483</v>
      </c>
      <c r="CC63" s="635">
        <v>13.463091889783575</v>
      </c>
      <c r="CD63" s="635">
        <v>13.559741615637746</v>
      </c>
      <c r="CE63" s="635">
        <v>13.657085176874169</v>
      </c>
      <c r="CF63" s="635">
        <v>13.755127554443735</v>
      </c>
      <c r="CG63" s="635">
        <v>13.832343682658317</v>
      </c>
      <c r="CH63" s="635">
        <v>13.909993273262316</v>
      </c>
      <c r="CI63" s="635">
        <v>13.988078759551046</v>
      </c>
      <c r="CJ63" s="635">
        <v>14.06660258847943</v>
      </c>
      <c r="CK63" s="635">
        <v>14.145567220738672</v>
      </c>
      <c r="CL63" s="634">
        <v>1.0113602926853151</v>
      </c>
      <c r="CM63" s="634">
        <v>1.0228496416205264</v>
      </c>
      <c r="CN63" s="634">
        <v>1.0344695129224053</v>
      </c>
      <c r="CO63" s="635">
        <v>1.0276683297434543</v>
      </c>
      <c r="CP63" s="635">
        <v>1.0209118613599186</v>
      </c>
      <c r="CQ63" s="635">
        <v>1.0282408502971909</v>
      </c>
      <c r="CR63" s="635">
        <v>1.0356224530602751</v>
      </c>
      <c r="CS63" s="635">
        <v>1.0430570473567498</v>
      </c>
      <c r="CT63" s="635">
        <v>1.0505450136057053</v>
      </c>
      <c r="CU63" s="635">
        <v>1.0580867349572103</v>
      </c>
      <c r="CV63" s="635">
        <v>1.064026437127563</v>
      </c>
      <c r="CW63" s="635">
        <v>1.0699994825586396</v>
      </c>
      <c r="CX63" s="635">
        <v>1.0760060584270035</v>
      </c>
      <c r="CY63" s="635">
        <v>1.0820463529599562</v>
      </c>
      <c r="CZ63" s="635">
        <v>1.0881205554414362</v>
      </c>
      <c r="DA63" s="636">
        <v>0</v>
      </c>
      <c r="DB63" s="636">
        <v>0</v>
      </c>
      <c r="DC63" s="636">
        <v>0</v>
      </c>
      <c r="DD63" s="637">
        <v>0</v>
      </c>
      <c r="DE63" s="637">
        <v>0</v>
      </c>
      <c r="DF63" s="637">
        <v>0</v>
      </c>
      <c r="DG63" s="637">
        <v>0</v>
      </c>
      <c r="DH63" s="637">
        <v>0</v>
      </c>
      <c r="DI63" s="637">
        <v>0</v>
      </c>
      <c r="DJ63" s="637">
        <v>0</v>
      </c>
      <c r="DK63" s="637">
        <v>0</v>
      </c>
      <c r="DL63" s="637">
        <v>0</v>
      </c>
      <c r="DM63" s="637">
        <v>0</v>
      </c>
      <c r="DN63" s="637">
        <v>0</v>
      </c>
      <c r="DO63" s="637">
        <v>0</v>
      </c>
      <c r="DP63" s="636">
        <v>0</v>
      </c>
      <c r="DQ63" s="636">
        <v>0</v>
      </c>
      <c r="DR63" s="636">
        <v>0</v>
      </c>
      <c r="DS63" s="637">
        <v>0</v>
      </c>
      <c r="DT63" s="637">
        <v>0</v>
      </c>
      <c r="DU63" s="637">
        <v>0</v>
      </c>
      <c r="DV63" s="637">
        <v>0</v>
      </c>
      <c r="DW63" s="637">
        <v>0</v>
      </c>
      <c r="DX63" s="637">
        <v>0</v>
      </c>
      <c r="DY63" s="637">
        <v>0</v>
      </c>
      <c r="DZ63" s="637">
        <v>0</v>
      </c>
      <c r="EA63" s="637">
        <v>0</v>
      </c>
      <c r="EB63" s="637">
        <v>0</v>
      </c>
      <c r="EC63" s="637">
        <v>0</v>
      </c>
      <c r="ED63" s="637">
        <v>0</v>
      </c>
    </row>
    <row r="64" spans="1:134" ht="15" x14ac:dyDescent="0.25">
      <c r="A64" s="555">
        <v>128</v>
      </c>
      <c r="B64" s="555">
        <v>81</v>
      </c>
      <c r="C64" s="555" t="s">
        <v>1047</v>
      </c>
      <c r="D64" s="812">
        <v>99705</v>
      </c>
      <c r="E64" s="812">
        <v>99705</v>
      </c>
      <c r="F64" s="630" t="s">
        <v>989</v>
      </c>
      <c r="G64" s="45">
        <v>28</v>
      </c>
      <c r="H64" s="45">
        <v>11</v>
      </c>
      <c r="I64" s="45">
        <v>10</v>
      </c>
      <c r="J64" s="45">
        <v>1</v>
      </c>
      <c r="K64" s="45">
        <v>0</v>
      </c>
      <c r="L64" s="45">
        <v>1</v>
      </c>
      <c r="M64" s="45">
        <v>1</v>
      </c>
      <c r="N64" s="45">
        <v>0</v>
      </c>
      <c r="O64" s="45">
        <v>0</v>
      </c>
      <c r="P64" s="45">
        <v>0</v>
      </c>
      <c r="Q64" s="45">
        <v>1</v>
      </c>
      <c r="R64" s="45">
        <v>0</v>
      </c>
      <c r="S64" s="45">
        <v>4288</v>
      </c>
      <c r="T64" s="45">
        <v>4288</v>
      </c>
      <c r="U64" s="45">
        <v>0</v>
      </c>
      <c r="V64" s="45">
        <v>0</v>
      </c>
      <c r="W64" s="45">
        <v>0</v>
      </c>
      <c r="X64" s="45">
        <v>4288</v>
      </c>
      <c r="Y64" s="45">
        <v>0</v>
      </c>
      <c r="Z64" s="45">
        <v>11</v>
      </c>
      <c r="AA64" s="45">
        <v>0</v>
      </c>
      <c r="AB64" s="508">
        <v>0</v>
      </c>
      <c r="AC64" s="508">
        <v>0</v>
      </c>
      <c r="AD64" s="631">
        <v>11</v>
      </c>
      <c r="AE64" s="632">
        <v>0</v>
      </c>
      <c r="AF64" s="632">
        <v>10</v>
      </c>
      <c r="AG64" s="633">
        <v>10</v>
      </c>
      <c r="AH64" s="632">
        <v>0</v>
      </c>
      <c r="AI64" s="632">
        <v>0</v>
      </c>
      <c r="AJ64" s="632">
        <v>10.209668702429466</v>
      </c>
      <c r="AK64" s="632">
        <v>10.209668702429466</v>
      </c>
      <c r="AL64" s="632">
        <v>0</v>
      </c>
      <c r="AM64" s="632">
        <v>0</v>
      </c>
      <c r="AN64" s="632">
        <v>9.3291228256853937</v>
      </c>
      <c r="AO64" s="632">
        <v>9.3291228256853937</v>
      </c>
      <c r="AP64" s="632">
        <v>0</v>
      </c>
      <c r="AQ64" s="632">
        <v>0</v>
      </c>
      <c r="AR64" s="632">
        <v>0</v>
      </c>
      <c r="AS64" s="632">
        <v>9.4761213648516165</v>
      </c>
      <c r="AT64" s="632">
        <v>9.8360591559398802</v>
      </c>
      <c r="AU64" s="632">
        <v>10.209668702429466</v>
      </c>
      <c r="AV64" s="632">
        <v>10.597469307656622</v>
      </c>
      <c r="AW64" s="632">
        <v>11</v>
      </c>
      <c r="AX64" s="632">
        <v>8.7032532696724196</v>
      </c>
      <c r="AY64" s="632">
        <v>9.0107557250111938</v>
      </c>
      <c r="AZ64" s="632">
        <v>9.3291228256853937</v>
      </c>
      <c r="BA64" s="632">
        <v>9.658738440234</v>
      </c>
      <c r="BB64" s="632">
        <v>10</v>
      </c>
      <c r="BC64" s="632">
        <v>0</v>
      </c>
      <c r="BD64" s="632">
        <v>0</v>
      </c>
      <c r="BE64" s="632">
        <v>0</v>
      </c>
      <c r="BF64" s="632">
        <v>0</v>
      </c>
      <c r="BG64" s="632">
        <v>0</v>
      </c>
      <c r="BH64" s="634">
        <v>11.124963219538467</v>
      </c>
      <c r="BI64" s="634">
        <v>11.25134605782579</v>
      </c>
      <c r="BJ64" s="634">
        <v>11.379164642146458</v>
      </c>
      <c r="BK64" s="635">
        <v>11.304351627177997</v>
      </c>
      <c r="BL64" s="635">
        <v>11.230030474959104</v>
      </c>
      <c r="BM64" s="635">
        <v>11.310649353269101</v>
      </c>
      <c r="BN64" s="635">
        <v>11.391846983663026</v>
      </c>
      <c r="BO64" s="635">
        <v>11.473627520924246</v>
      </c>
      <c r="BP64" s="635">
        <v>11.555995149662758</v>
      </c>
      <c r="BQ64" s="635">
        <v>11.638954084529313</v>
      </c>
      <c r="BR64" s="635">
        <v>11.704290808403192</v>
      </c>
      <c r="BS64" s="635">
        <v>11.769994308145037</v>
      </c>
      <c r="BT64" s="635">
        <v>11.836066642697039</v>
      </c>
      <c r="BU64" s="635">
        <v>11.902509882559517</v>
      </c>
      <c r="BV64" s="635">
        <v>11.969326109855798</v>
      </c>
      <c r="BW64" s="634">
        <v>10.113602926853151</v>
      </c>
      <c r="BX64" s="634">
        <v>10.228496416205264</v>
      </c>
      <c r="BY64" s="634">
        <v>10.344695129224053</v>
      </c>
      <c r="BZ64" s="635">
        <v>10.276683297434545</v>
      </c>
      <c r="CA64" s="635">
        <v>10.209118613599186</v>
      </c>
      <c r="CB64" s="635">
        <v>10.282408502971911</v>
      </c>
      <c r="CC64" s="635">
        <v>10.35622453060275</v>
      </c>
      <c r="CD64" s="635">
        <v>10.430570473567498</v>
      </c>
      <c r="CE64" s="635">
        <v>10.505450136057053</v>
      </c>
      <c r="CF64" s="635">
        <v>10.580867349572104</v>
      </c>
      <c r="CG64" s="635">
        <v>10.640264371275629</v>
      </c>
      <c r="CH64" s="635">
        <v>10.699994825586398</v>
      </c>
      <c r="CI64" s="635">
        <v>10.760060584270036</v>
      </c>
      <c r="CJ64" s="635">
        <v>10.820463529599563</v>
      </c>
      <c r="CK64" s="635">
        <v>10.881205554414363</v>
      </c>
      <c r="CL64" s="634">
        <v>0</v>
      </c>
      <c r="CM64" s="634">
        <v>0</v>
      </c>
      <c r="CN64" s="634">
        <v>0</v>
      </c>
      <c r="CO64" s="635">
        <v>0</v>
      </c>
      <c r="CP64" s="635">
        <v>0</v>
      </c>
      <c r="CQ64" s="635">
        <v>0</v>
      </c>
      <c r="CR64" s="635">
        <v>0</v>
      </c>
      <c r="CS64" s="635">
        <v>0</v>
      </c>
      <c r="CT64" s="635">
        <v>0</v>
      </c>
      <c r="CU64" s="635">
        <v>0</v>
      </c>
      <c r="CV64" s="635">
        <v>0</v>
      </c>
      <c r="CW64" s="635">
        <v>0</v>
      </c>
      <c r="CX64" s="635">
        <v>0</v>
      </c>
      <c r="CY64" s="635">
        <v>0</v>
      </c>
      <c r="CZ64" s="635">
        <v>0</v>
      </c>
      <c r="DA64" s="636">
        <v>0</v>
      </c>
      <c r="DB64" s="636">
        <v>0</v>
      </c>
      <c r="DC64" s="636">
        <v>0</v>
      </c>
      <c r="DD64" s="637">
        <v>0</v>
      </c>
      <c r="DE64" s="637">
        <v>0</v>
      </c>
      <c r="DF64" s="637">
        <v>0</v>
      </c>
      <c r="DG64" s="637">
        <v>0</v>
      </c>
      <c r="DH64" s="637">
        <v>0</v>
      </c>
      <c r="DI64" s="637">
        <v>0</v>
      </c>
      <c r="DJ64" s="637">
        <v>0</v>
      </c>
      <c r="DK64" s="637">
        <v>0</v>
      </c>
      <c r="DL64" s="637">
        <v>0</v>
      </c>
      <c r="DM64" s="637">
        <v>0</v>
      </c>
      <c r="DN64" s="637">
        <v>0</v>
      </c>
      <c r="DO64" s="637">
        <v>0</v>
      </c>
      <c r="DP64" s="636">
        <v>0</v>
      </c>
      <c r="DQ64" s="636">
        <v>0</v>
      </c>
      <c r="DR64" s="636">
        <v>0</v>
      </c>
      <c r="DS64" s="637">
        <v>0</v>
      </c>
      <c r="DT64" s="637">
        <v>0</v>
      </c>
      <c r="DU64" s="637">
        <v>0</v>
      </c>
      <c r="DV64" s="637">
        <v>0</v>
      </c>
      <c r="DW64" s="637">
        <v>0</v>
      </c>
      <c r="DX64" s="637">
        <v>0</v>
      </c>
      <c r="DY64" s="637">
        <v>0</v>
      </c>
      <c r="DZ64" s="637">
        <v>0</v>
      </c>
      <c r="EA64" s="637">
        <v>0</v>
      </c>
      <c r="EB64" s="637">
        <v>0</v>
      </c>
      <c r="EC64" s="637">
        <v>0</v>
      </c>
      <c r="ED64" s="637">
        <v>0</v>
      </c>
    </row>
    <row r="65" spans="1:134" ht="15" x14ac:dyDescent="0.25">
      <c r="A65" s="555">
        <v>131</v>
      </c>
      <c r="B65" s="555">
        <v>81</v>
      </c>
      <c r="C65" s="555" t="s">
        <v>1048</v>
      </c>
      <c r="D65" s="812">
        <v>99702</v>
      </c>
      <c r="E65" s="812">
        <v>99702</v>
      </c>
      <c r="F65" s="630" t="s">
        <v>989</v>
      </c>
      <c r="G65" s="45">
        <v>428</v>
      </c>
      <c r="H65" s="45">
        <v>2</v>
      </c>
      <c r="I65" s="45">
        <v>2</v>
      </c>
      <c r="J65" s="45">
        <v>0</v>
      </c>
      <c r="K65" s="45">
        <v>0</v>
      </c>
      <c r="L65" s="45">
        <v>0</v>
      </c>
      <c r="M65" s="45">
        <v>0</v>
      </c>
      <c r="N65" s="45">
        <v>0</v>
      </c>
      <c r="O65" s="45">
        <v>0</v>
      </c>
      <c r="P65" s="45">
        <v>0</v>
      </c>
      <c r="Q65" s="45">
        <v>0</v>
      </c>
      <c r="R65" s="45">
        <v>0</v>
      </c>
      <c r="S65" s="45">
        <v>834.49503068156923</v>
      </c>
      <c r="T65" s="45">
        <v>834.49503068156923</v>
      </c>
      <c r="U65" s="45">
        <v>1408.3846153846155</v>
      </c>
      <c r="V65" s="45">
        <v>0</v>
      </c>
      <c r="W65" s="45">
        <v>0</v>
      </c>
      <c r="X65" s="45">
        <v>1365.173957061457</v>
      </c>
      <c r="Y65" s="45">
        <v>4.5824670824670823E-2</v>
      </c>
      <c r="Z65" s="45">
        <v>1.9515765765765767</v>
      </c>
      <c r="AA65" s="45">
        <v>2.5987525987525989E-3</v>
      </c>
      <c r="AB65" s="508">
        <v>0</v>
      </c>
      <c r="AC65" s="508">
        <v>0</v>
      </c>
      <c r="AD65" s="631">
        <v>2</v>
      </c>
      <c r="AE65" s="632">
        <v>4.5824670824670823E-2</v>
      </c>
      <c r="AF65" s="632">
        <v>1.9515765765765767</v>
      </c>
      <c r="AG65" s="633">
        <v>1.9974012474012475</v>
      </c>
      <c r="AH65" s="632">
        <v>2.5987525987525989E-3</v>
      </c>
      <c r="AI65" s="632">
        <v>5.1152666892547924E-2</v>
      </c>
      <c r="AJ65" s="632">
        <v>2.1784847493803636</v>
      </c>
      <c r="AK65" s="632">
        <v>2.2296374162729116</v>
      </c>
      <c r="AL65" s="632">
        <v>2.900907385210658E-3</v>
      </c>
      <c r="AM65" s="632">
        <v>5.3445563870625996E-2</v>
      </c>
      <c r="AN65" s="632">
        <v>2.2761344204940137</v>
      </c>
      <c r="AO65" s="632">
        <v>2.3295799843646399</v>
      </c>
      <c r="AP65" s="632">
        <v>3.0309393499409832E-3</v>
      </c>
      <c r="AQ65" s="632">
        <v>0</v>
      </c>
      <c r="AR65" s="632">
        <v>0</v>
      </c>
      <c r="AS65" s="632">
        <v>2.4888754898456762</v>
      </c>
      <c r="AT65" s="632">
        <v>2.3556930862496688</v>
      </c>
      <c r="AU65" s="632">
        <v>2.2296374162729116</v>
      </c>
      <c r="AV65" s="632">
        <v>2.1103271207365002</v>
      </c>
      <c r="AW65" s="632">
        <v>1.9974012474012475</v>
      </c>
      <c r="AX65" s="632">
        <v>2.7170018595979002</v>
      </c>
      <c r="AY65" s="632">
        <v>2.515844420786145</v>
      </c>
      <c r="AZ65" s="632">
        <v>2.3295799843646399</v>
      </c>
      <c r="BA65" s="632">
        <v>2.1571059238458621</v>
      </c>
      <c r="BB65" s="632">
        <v>1.9974012474012475</v>
      </c>
      <c r="BC65" s="632">
        <v>0</v>
      </c>
      <c r="BD65" s="632">
        <v>0</v>
      </c>
      <c r="BE65" s="632">
        <v>0</v>
      </c>
      <c r="BF65" s="632">
        <v>0</v>
      </c>
      <c r="BG65" s="632">
        <v>0</v>
      </c>
      <c r="BH65" s="634">
        <v>2.0054217288137806</v>
      </c>
      <c r="BI65" s="634">
        <v>2.0134744161349518</v>
      </c>
      <c r="BJ65" s="634">
        <v>2.0215594386862459</v>
      </c>
      <c r="BK65" s="635">
        <v>2.008268572326346</v>
      </c>
      <c r="BL65" s="635">
        <v>1.9950650875814588</v>
      </c>
      <c r="BM65" s="635">
        <v>2.009387391503509</v>
      </c>
      <c r="BN65" s="635">
        <v>2.0238125133190268</v>
      </c>
      <c r="BO65" s="635">
        <v>2.0383411911438403</v>
      </c>
      <c r="BP65" s="635">
        <v>2.0529741683926108</v>
      </c>
      <c r="BQ65" s="635">
        <v>2.0677121938168748</v>
      </c>
      <c r="BR65" s="635">
        <v>2.0793195547255015</v>
      </c>
      <c r="BS65" s="635">
        <v>2.0909920750057593</v>
      </c>
      <c r="BT65" s="635">
        <v>2.1027301204379274</v>
      </c>
      <c r="BU65" s="635">
        <v>2.1145340588556381</v>
      </c>
      <c r="BV65" s="635">
        <v>2.1264042601574027</v>
      </c>
      <c r="BW65" s="634">
        <v>2.0054217288137806</v>
      </c>
      <c r="BX65" s="634">
        <v>2.0134744161349518</v>
      </c>
      <c r="BY65" s="634">
        <v>2.0215594386862459</v>
      </c>
      <c r="BZ65" s="635">
        <v>2.008268572326346</v>
      </c>
      <c r="CA65" s="635">
        <v>1.9950650875814588</v>
      </c>
      <c r="CB65" s="635">
        <v>2.009387391503509</v>
      </c>
      <c r="CC65" s="635">
        <v>2.0238125133190268</v>
      </c>
      <c r="CD65" s="635">
        <v>2.0383411911438403</v>
      </c>
      <c r="CE65" s="635">
        <v>2.0529741683926108</v>
      </c>
      <c r="CF65" s="635">
        <v>2.0677121938168748</v>
      </c>
      <c r="CG65" s="635">
        <v>2.0793195547255015</v>
      </c>
      <c r="CH65" s="635">
        <v>2.0909920750057593</v>
      </c>
      <c r="CI65" s="635">
        <v>2.1027301204379274</v>
      </c>
      <c r="CJ65" s="635">
        <v>2.1145340588556381</v>
      </c>
      <c r="CK65" s="635">
        <v>2.1264042601574027</v>
      </c>
      <c r="CL65" s="634">
        <v>0</v>
      </c>
      <c r="CM65" s="634">
        <v>0</v>
      </c>
      <c r="CN65" s="634">
        <v>0</v>
      </c>
      <c r="CO65" s="635">
        <v>0</v>
      </c>
      <c r="CP65" s="635">
        <v>0</v>
      </c>
      <c r="CQ65" s="635">
        <v>0</v>
      </c>
      <c r="CR65" s="635">
        <v>0</v>
      </c>
      <c r="CS65" s="635">
        <v>0</v>
      </c>
      <c r="CT65" s="635">
        <v>0</v>
      </c>
      <c r="CU65" s="635">
        <v>0</v>
      </c>
      <c r="CV65" s="635">
        <v>0</v>
      </c>
      <c r="CW65" s="635">
        <v>0</v>
      </c>
      <c r="CX65" s="635">
        <v>0</v>
      </c>
      <c r="CY65" s="635">
        <v>0</v>
      </c>
      <c r="CZ65" s="635">
        <v>0</v>
      </c>
      <c r="DA65" s="636">
        <v>2.6091877814386944E-3</v>
      </c>
      <c r="DB65" s="636">
        <v>2.6196648661656937E-3</v>
      </c>
      <c r="DC65" s="636">
        <v>2.6301840211894949E-3</v>
      </c>
      <c r="DD65" s="637">
        <v>2.6128917152307388E-3</v>
      </c>
      <c r="DE65" s="637">
        <v>2.5957130985967457E-3</v>
      </c>
      <c r="DF65" s="637">
        <v>2.6143473738010786E-3</v>
      </c>
      <c r="DG65" s="637">
        <v>2.6331154219607425E-3</v>
      </c>
      <c r="DH65" s="637">
        <v>2.6520182034137914E-3</v>
      </c>
      <c r="DI65" s="637">
        <v>2.6710566853924158E-3</v>
      </c>
      <c r="DJ65" s="637">
        <v>2.6902318420724369E-3</v>
      </c>
      <c r="DK65" s="637">
        <v>2.7053337948549326E-3</v>
      </c>
      <c r="DL65" s="637">
        <v>2.7205205243374434E-3</v>
      </c>
      <c r="DM65" s="637">
        <v>2.7357925064245732E-3</v>
      </c>
      <c r="DN65" s="637">
        <v>2.7511502196924768E-3</v>
      </c>
      <c r="DO65" s="637">
        <v>2.7665941454038546E-3</v>
      </c>
      <c r="DP65" s="636">
        <v>0</v>
      </c>
      <c r="DQ65" s="636">
        <v>0</v>
      </c>
      <c r="DR65" s="636">
        <v>0</v>
      </c>
      <c r="DS65" s="637">
        <v>0</v>
      </c>
      <c r="DT65" s="637">
        <v>0</v>
      </c>
      <c r="DU65" s="637">
        <v>0</v>
      </c>
      <c r="DV65" s="637">
        <v>0</v>
      </c>
      <c r="DW65" s="637">
        <v>0</v>
      </c>
      <c r="DX65" s="637">
        <v>0</v>
      </c>
      <c r="DY65" s="637">
        <v>0</v>
      </c>
      <c r="DZ65" s="637">
        <v>0</v>
      </c>
      <c r="EA65" s="637">
        <v>0</v>
      </c>
      <c r="EB65" s="637">
        <v>0</v>
      </c>
      <c r="EC65" s="637">
        <v>0</v>
      </c>
      <c r="ED65" s="637">
        <v>0</v>
      </c>
    </row>
    <row r="66" spans="1:134" ht="15" x14ac:dyDescent="0.25">
      <c r="A66" s="555">
        <v>132</v>
      </c>
      <c r="B66" s="555">
        <v>81</v>
      </c>
      <c r="C66" s="555" t="s">
        <v>1049</v>
      </c>
      <c r="D66" s="812">
        <v>99702</v>
      </c>
      <c r="E66" s="812">
        <v>99702</v>
      </c>
      <c r="F66" s="630" t="s">
        <v>989</v>
      </c>
      <c r="G66" s="45">
        <v>1798</v>
      </c>
      <c r="H66" s="45">
        <v>718</v>
      </c>
      <c r="I66" s="45">
        <v>522</v>
      </c>
      <c r="J66" s="45">
        <v>196</v>
      </c>
      <c r="K66" s="45">
        <v>0</v>
      </c>
      <c r="L66" s="45">
        <v>0</v>
      </c>
      <c r="M66" s="45">
        <v>0</v>
      </c>
      <c r="N66" s="45">
        <v>0</v>
      </c>
      <c r="O66" s="45">
        <v>0</v>
      </c>
      <c r="P66" s="45">
        <v>0</v>
      </c>
      <c r="Q66" s="45">
        <v>0</v>
      </c>
      <c r="R66" s="45">
        <v>0</v>
      </c>
      <c r="S66" s="45">
        <v>834.49503068156923</v>
      </c>
      <c r="T66" s="45">
        <v>834.49503068156923</v>
      </c>
      <c r="U66" s="45">
        <v>1408.3846153846155</v>
      </c>
      <c r="V66" s="45">
        <v>0</v>
      </c>
      <c r="W66" s="45">
        <v>0</v>
      </c>
      <c r="X66" s="45">
        <v>1365.173957061457</v>
      </c>
      <c r="Y66" s="45">
        <v>16.451056826056828</v>
      </c>
      <c r="Z66" s="45">
        <v>700.61599099099101</v>
      </c>
      <c r="AA66" s="45">
        <v>0.93295218295218296</v>
      </c>
      <c r="AB66" s="508">
        <v>0</v>
      </c>
      <c r="AC66" s="508">
        <v>0</v>
      </c>
      <c r="AD66" s="631">
        <v>718</v>
      </c>
      <c r="AE66" s="632">
        <v>11.960239085239087</v>
      </c>
      <c r="AF66" s="632">
        <v>509.36148648648646</v>
      </c>
      <c r="AG66" s="633">
        <v>521.32172557172555</v>
      </c>
      <c r="AH66" s="632">
        <v>0.6782744282744283</v>
      </c>
      <c r="AI66" s="632">
        <v>18.363807414424709</v>
      </c>
      <c r="AJ66" s="632">
        <v>782.07602502755049</v>
      </c>
      <c r="AK66" s="632">
        <v>800.43983244197523</v>
      </c>
      <c r="AL66" s="632">
        <v>1.0414257512906262</v>
      </c>
      <c r="AM66" s="632">
        <v>13.949292170233388</v>
      </c>
      <c r="AN66" s="632">
        <v>594.07108374893755</v>
      </c>
      <c r="AO66" s="632">
        <v>608.02037591917099</v>
      </c>
      <c r="AP66" s="632">
        <v>0.79107517033459662</v>
      </c>
      <c r="AQ66" s="632">
        <v>0</v>
      </c>
      <c r="AR66" s="632">
        <v>0</v>
      </c>
      <c r="AS66" s="632">
        <v>893.50630085459773</v>
      </c>
      <c r="AT66" s="632">
        <v>845.69381796363109</v>
      </c>
      <c r="AU66" s="632">
        <v>800.43983244197523</v>
      </c>
      <c r="AV66" s="632">
        <v>757.60743634440371</v>
      </c>
      <c r="AW66" s="632">
        <v>717.06704781704786</v>
      </c>
      <c r="AX66" s="632">
        <v>709.13748535505192</v>
      </c>
      <c r="AY66" s="632">
        <v>656.63539382518377</v>
      </c>
      <c r="AZ66" s="632">
        <v>608.02037591917087</v>
      </c>
      <c r="BA66" s="632">
        <v>563.00464612376993</v>
      </c>
      <c r="BB66" s="632">
        <v>521.32172557172555</v>
      </c>
      <c r="BC66" s="632">
        <v>0</v>
      </c>
      <c r="BD66" s="632">
        <v>0</v>
      </c>
      <c r="BE66" s="632">
        <v>0</v>
      </c>
      <c r="BF66" s="632">
        <v>0</v>
      </c>
      <c r="BG66" s="632">
        <v>0</v>
      </c>
      <c r="BH66" s="634">
        <v>719.94640064414716</v>
      </c>
      <c r="BI66" s="634">
        <v>722.83731539244775</v>
      </c>
      <c r="BJ66" s="634">
        <v>725.73983848836224</v>
      </c>
      <c r="BK66" s="635">
        <v>720.96841746515815</v>
      </c>
      <c r="BL66" s="635">
        <v>716.22836644174367</v>
      </c>
      <c r="BM66" s="635">
        <v>721.37007354975981</v>
      </c>
      <c r="BN66" s="635">
        <v>726.54869228153063</v>
      </c>
      <c r="BO66" s="635">
        <v>731.76448762063865</v>
      </c>
      <c r="BP66" s="635">
        <v>737.01772645294727</v>
      </c>
      <c r="BQ66" s="635">
        <v>742.30867758025806</v>
      </c>
      <c r="BR66" s="635">
        <v>746.47572014645493</v>
      </c>
      <c r="BS66" s="635">
        <v>750.66615492706751</v>
      </c>
      <c r="BT66" s="635">
        <v>754.88011323721582</v>
      </c>
      <c r="BU66" s="635">
        <v>759.117727129174</v>
      </c>
      <c r="BV66" s="635">
        <v>763.37912939650755</v>
      </c>
      <c r="BW66" s="634">
        <v>523.41507122039661</v>
      </c>
      <c r="BX66" s="634">
        <v>525.51682261122244</v>
      </c>
      <c r="BY66" s="634">
        <v>527.62701349711006</v>
      </c>
      <c r="BZ66" s="635">
        <v>524.1580973771762</v>
      </c>
      <c r="CA66" s="635">
        <v>520.71198785876061</v>
      </c>
      <c r="CB66" s="635">
        <v>524.45010918241576</v>
      </c>
      <c r="CC66" s="635">
        <v>528.21506597626592</v>
      </c>
      <c r="CD66" s="635">
        <v>532.00705088854215</v>
      </c>
      <c r="CE66" s="635">
        <v>535.82625795047136</v>
      </c>
      <c r="CF66" s="635">
        <v>539.6728825862042</v>
      </c>
      <c r="CG66" s="635">
        <v>542.70240378335575</v>
      </c>
      <c r="CH66" s="635">
        <v>545.74893157650297</v>
      </c>
      <c r="CI66" s="635">
        <v>548.81256143429891</v>
      </c>
      <c r="CJ66" s="635">
        <v>551.8933893613214</v>
      </c>
      <c r="CK66" s="635">
        <v>554.99151190108194</v>
      </c>
      <c r="CL66" s="634">
        <v>0</v>
      </c>
      <c r="CM66" s="634">
        <v>0</v>
      </c>
      <c r="CN66" s="634">
        <v>0</v>
      </c>
      <c r="CO66" s="635">
        <v>0</v>
      </c>
      <c r="CP66" s="635">
        <v>0</v>
      </c>
      <c r="CQ66" s="635">
        <v>0</v>
      </c>
      <c r="CR66" s="635">
        <v>0</v>
      </c>
      <c r="CS66" s="635">
        <v>0</v>
      </c>
      <c r="CT66" s="635">
        <v>0</v>
      </c>
      <c r="CU66" s="635">
        <v>0</v>
      </c>
      <c r="CV66" s="635">
        <v>0</v>
      </c>
      <c r="CW66" s="635">
        <v>0</v>
      </c>
      <c r="CX66" s="635">
        <v>0</v>
      </c>
      <c r="CY66" s="635">
        <v>0</v>
      </c>
      <c r="CZ66" s="635">
        <v>0</v>
      </c>
      <c r="DA66" s="636">
        <v>0.93669841353649119</v>
      </c>
      <c r="DB66" s="636">
        <v>0.94045968695348392</v>
      </c>
      <c r="DC66" s="636">
        <v>0.94423606360702861</v>
      </c>
      <c r="DD66" s="637">
        <v>0.93802812576783523</v>
      </c>
      <c r="DE66" s="637">
        <v>0.9318610023962316</v>
      </c>
      <c r="DF66" s="637">
        <v>0.93855070719458722</v>
      </c>
      <c r="DG66" s="637">
        <v>0.94528843648390659</v>
      </c>
      <c r="DH66" s="637">
        <v>0.95207453502555106</v>
      </c>
      <c r="DI66" s="637">
        <v>0.95890935005587719</v>
      </c>
      <c r="DJ66" s="637">
        <v>0.96579323130400474</v>
      </c>
      <c r="DK66" s="637">
        <v>0.97121483235292083</v>
      </c>
      <c r="DL66" s="637">
        <v>0.97666686823714211</v>
      </c>
      <c r="DM66" s="637">
        <v>0.98214950980642179</v>
      </c>
      <c r="DN66" s="637">
        <v>0.98766292886959917</v>
      </c>
      <c r="DO66" s="637">
        <v>0.99320729819998366</v>
      </c>
      <c r="DP66" s="636">
        <v>0</v>
      </c>
      <c r="DQ66" s="636">
        <v>0</v>
      </c>
      <c r="DR66" s="636">
        <v>0</v>
      </c>
      <c r="DS66" s="637">
        <v>0</v>
      </c>
      <c r="DT66" s="637">
        <v>0</v>
      </c>
      <c r="DU66" s="637">
        <v>0</v>
      </c>
      <c r="DV66" s="637">
        <v>0</v>
      </c>
      <c r="DW66" s="637">
        <v>0</v>
      </c>
      <c r="DX66" s="637">
        <v>0</v>
      </c>
      <c r="DY66" s="637">
        <v>0</v>
      </c>
      <c r="DZ66" s="637">
        <v>0</v>
      </c>
      <c r="EA66" s="637">
        <v>0</v>
      </c>
      <c r="EB66" s="637">
        <v>0</v>
      </c>
      <c r="EC66" s="637">
        <v>0</v>
      </c>
      <c r="ED66" s="637">
        <v>0</v>
      </c>
    </row>
    <row r="67" spans="1:134" ht="15" x14ac:dyDescent="0.25">
      <c r="A67" s="555">
        <v>133</v>
      </c>
      <c r="B67" s="555">
        <v>81</v>
      </c>
      <c r="C67" s="555" t="s">
        <v>1050</v>
      </c>
      <c r="D67" s="812">
        <v>99702</v>
      </c>
      <c r="E67" s="812">
        <v>99702</v>
      </c>
      <c r="F67" s="630" t="s">
        <v>989</v>
      </c>
      <c r="G67" s="45">
        <v>57</v>
      </c>
      <c r="H67" s="45">
        <v>25</v>
      </c>
      <c r="I67" s="45">
        <v>21</v>
      </c>
      <c r="J67" s="45">
        <v>4</v>
      </c>
      <c r="K67" s="45">
        <v>0</v>
      </c>
      <c r="L67" s="45">
        <v>0</v>
      </c>
      <c r="M67" s="45">
        <v>0</v>
      </c>
      <c r="N67" s="45">
        <v>0</v>
      </c>
      <c r="O67" s="45">
        <v>0</v>
      </c>
      <c r="P67" s="45">
        <v>0</v>
      </c>
      <c r="Q67" s="45">
        <v>0</v>
      </c>
      <c r="R67" s="45">
        <v>0</v>
      </c>
      <c r="S67" s="45">
        <v>834.49503068156923</v>
      </c>
      <c r="T67" s="45">
        <v>834.49503068156923</v>
      </c>
      <c r="U67" s="45">
        <v>1408.3846153846155</v>
      </c>
      <c r="V67" s="45">
        <v>0</v>
      </c>
      <c r="W67" s="45">
        <v>0</v>
      </c>
      <c r="X67" s="45">
        <v>1365.173957061457</v>
      </c>
      <c r="Y67" s="45">
        <v>0.57280838530838529</v>
      </c>
      <c r="Z67" s="45">
        <v>24.394707207207208</v>
      </c>
      <c r="AA67" s="45">
        <v>3.2484407484407486E-2</v>
      </c>
      <c r="AB67" s="508">
        <v>0</v>
      </c>
      <c r="AC67" s="508">
        <v>0</v>
      </c>
      <c r="AD67" s="631">
        <v>25</v>
      </c>
      <c r="AE67" s="632">
        <v>0.48115904365904361</v>
      </c>
      <c r="AF67" s="632">
        <v>20.491554054054053</v>
      </c>
      <c r="AG67" s="633">
        <v>20.972713097713097</v>
      </c>
      <c r="AH67" s="632">
        <v>2.7286902286902288E-2</v>
      </c>
      <c r="AI67" s="632">
        <v>0.63940833615684911</v>
      </c>
      <c r="AJ67" s="632">
        <v>27.231059367254545</v>
      </c>
      <c r="AK67" s="632">
        <v>27.870467703411393</v>
      </c>
      <c r="AL67" s="632">
        <v>3.626134231513322E-2</v>
      </c>
      <c r="AM67" s="632">
        <v>0.56117842064157297</v>
      </c>
      <c r="AN67" s="632">
        <v>23.899411415187142</v>
      </c>
      <c r="AO67" s="632">
        <v>24.460589835828713</v>
      </c>
      <c r="AP67" s="632">
        <v>3.1824863174380325E-2</v>
      </c>
      <c r="AQ67" s="632">
        <v>0</v>
      </c>
      <c r="AR67" s="632">
        <v>0</v>
      </c>
      <c r="AS67" s="632">
        <v>31.110943623070952</v>
      </c>
      <c r="AT67" s="632">
        <v>29.44616357812086</v>
      </c>
      <c r="AU67" s="632">
        <v>27.870467703411393</v>
      </c>
      <c r="AV67" s="632">
        <v>26.379089009206254</v>
      </c>
      <c r="AW67" s="632">
        <v>24.967515592515593</v>
      </c>
      <c r="AX67" s="632">
        <v>28.528519525777948</v>
      </c>
      <c r="AY67" s="632">
        <v>26.416366418254519</v>
      </c>
      <c r="AZ67" s="632">
        <v>24.460589835828713</v>
      </c>
      <c r="BA67" s="632">
        <v>22.649612200381551</v>
      </c>
      <c r="BB67" s="632">
        <v>20.972713097713097</v>
      </c>
      <c r="BC67" s="632">
        <v>0</v>
      </c>
      <c r="BD67" s="632">
        <v>0</v>
      </c>
      <c r="BE67" s="632">
        <v>0</v>
      </c>
      <c r="BF67" s="632">
        <v>0</v>
      </c>
      <c r="BG67" s="632">
        <v>0</v>
      </c>
      <c r="BH67" s="634">
        <v>25.067771610172255</v>
      </c>
      <c r="BI67" s="634">
        <v>25.168430201686899</v>
      </c>
      <c r="BJ67" s="634">
        <v>25.269492983578072</v>
      </c>
      <c r="BK67" s="635">
        <v>25.103357154079323</v>
      </c>
      <c r="BL67" s="635">
        <v>24.938313594768232</v>
      </c>
      <c r="BM67" s="635">
        <v>25.117342393793862</v>
      </c>
      <c r="BN67" s="635">
        <v>25.297656416487836</v>
      </c>
      <c r="BO67" s="635">
        <v>25.479264889298001</v>
      </c>
      <c r="BP67" s="635">
        <v>25.662177104907634</v>
      </c>
      <c r="BQ67" s="635">
        <v>25.846402422710934</v>
      </c>
      <c r="BR67" s="635">
        <v>25.991494434068766</v>
      </c>
      <c r="BS67" s="635">
        <v>26.137400937571986</v>
      </c>
      <c r="BT67" s="635">
        <v>26.284126505474088</v>
      </c>
      <c r="BU67" s="635">
        <v>26.431675735695471</v>
      </c>
      <c r="BV67" s="635">
        <v>26.580053251967531</v>
      </c>
      <c r="BW67" s="634">
        <v>21.056928152544693</v>
      </c>
      <c r="BX67" s="634">
        <v>21.141481369416994</v>
      </c>
      <c r="BY67" s="634">
        <v>21.226374106205579</v>
      </c>
      <c r="BZ67" s="635">
        <v>21.086820009426631</v>
      </c>
      <c r="CA67" s="635">
        <v>20.948183419605314</v>
      </c>
      <c r="CB67" s="635">
        <v>21.098567610786844</v>
      </c>
      <c r="CC67" s="635">
        <v>21.250031389849781</v>
      </c>
      <c r="CD67" s="635">
        <v>21.402582507010319</v>
      </c>
      <c r="CE67" s="635">
        <v>21.556228768122413</v>
      </c>
      <c r="CF67" s="635">
        <v>21.710978035077186</v>
      </c>
      <c r="CG67" s="635">
        <v>21.832855324617764</v>
      </c>
      <c r="CH67" s="635">
        <v>21.95541678756047</v>
      </c>
      <c r="CI67" s="635">
        <v>22.078666264598233</v>
      </c>
      <c r="CJ67" s="635">
        <v>22.202607617984196</v>
      </c>
      <c r="CK67" s="635">
        <v>22.327244731652726</v>
      </c>
      <c r="CL67" s="634">
        <v>0</v>
      </c>
      <c r="CM67" s="634">
        <v>0</v>
      </c>
      <c r="CN67" s="634">
        <v>0</v>
      </c>
      <c r="CO67" s="635">
        <v>0</v>
      </c>
      <c r="CP67" s="635">
        <v>0</v>
      </c>
      <c r="CQ67" s="635">
        <v>0</v>
      </c>
      <c r="CR67" s="635">
        <v>0</v>
      </c>
      <c r="CS67" s="635">
        <v>0</v>
      </c>
      <c r="CT67" s="635">
        <v>0</v>
      </c>
      <c r="CU67" s="635">
        <v>0</v>
      </c>
      <c r="CV67" s="635">
        <v>0</v>
      </c>
      <c r="CW67" s="635">
        <v>0</v>
      </c>
      <c r="CX67" s="635">
        <v>0</v>
      </c>
      <c r="CY67" s="635">
        <v>0</v>
      </c>
      <c r="CZ67" s="635">
        <v>0</v>
      </c>
      <c r="DA67" s="636">
        <v>3.2614847267983679E-2</v>
      </c>
      <c r="DB67" s="636">
        <v>3.2745810827071169E-2</v>
      </c>
      <c r="DC67" s="636">
        <v>3.2877300264868688E-2</v>
      </c>
      <c r="DD67" s="637">
        <v>3.2661146440384238E-2</v>
      </c>
      <c r="DE67" s="637">
        <v>3.2446413732459323E-2</v>
      </c>
      <c r="DF67" s="637">
        <v>3.2679342172513483E-2</v>
      </c>
      <c r="DG67" s="637">
        <v>3.2913942774509285E-2</v>
      </c>
      <c r="DH67" s="637">
        <v>3.3150227542672397E-2</v>
      </c>
      <c r="DI67" s="637">
        <v>3.3388208567405202E-2</v>
      </c>
      <c r="DJ67" s="637">
        <v>3.3627898025905462E-2</v>
      </c>
      <c r="DK67" s="637">
        <v>3.3816672435686659E-2</v>
      </c>
      <c r="DL67" s="637">
        <v>3.4006506554218045E-2</v>
      </c>
      <c r="DM67" s="637">
        <v>3.419740633030717E-2</v>
      </c>
      <c r="DN67" s="637">
        <v>3.4389377746155962E-2</v>
      </c>
      <c r="DO67" s="637">
        <v>3.4582426817548181E-2</v>
      </c>
      <c r="DP67" s="636">
        <v>0</v>
      </c>
      <c r="DQ67" s="636">
        <v>0</v>
      </c>
      <c r="DR67" s="636">
        <v>0</v>
      </c>
      <c r="DS67" s="637">
        <v>0</v>
      </c>
      <c r="DT67" s="637">
        <v>0</v>
      </c>
      <c r="DU67" s="637">
        <v>0</v>
      </c>
      <c r="DV67" s="637">
        <v>0</v>
      </c>
      <c r="DW67" s="637">
        <v>0</v>
      </c>
      <c r="DX67" s="637">
        <v>0</v>
      </c>
      <c r="DY67" s="637">
        <v>0</v>
      </c>
      <c r="DZ67" s="637">
        <v>0</v>
      </c>
      <c r="EA67" s="637">
        <v>0</v>
      </c>
      <c r="EB67" s="637">
        <v>0</v>
      </c>
      <c r="EC67" s="637">
        <v>0</v>
      </c>
      <c r="ED67" s="637">
        <v>0</v>
      </c>
    </row>
    <row r="68" spans="1:134" ht="15" x14ac:dyDescent="0.25">
      <c r="A68" s="555">
        <v>126</v>
      </c>
      <c r="B68" s="555">
        <v>82</v>
      </c>
      <c r="C68" s="555" t="s">
        <v>1051</v>
      </c>
      <c r="D68" s="812">
        <v>99705</v>
      </c>
      <c r="E68" s="812">
        <v>99705</v>
      </c>
      <c r="F68" s="630" t="s">
        <v>989</v>
      </c>
      <c r="G68" s="45">
        <v>6</v>
      </c>
      <c r="H68" s="45">
        <v>6</v>
      </c>
      <c r="I68" s="45">
        <v>4</v>
      </c>
      <c r="J68" s="45">
        <v>2</v>
      </c>
      <c r="K68" s="45">
        <v>0</v>
      </c>
      <c r="L68" s="45">
        <v>0</v>
      </c>
      <c r="M68" s="45">
        <v>0</v>
      </c>
      <c r="N68" s="45">
        <v>0</v>
      </c>
      <c r="O68" s="45">
        <v>0</v>
      </c>
      <c r="P68" s="45">
        <v>0</v>
      </c>
      <c r="Q68" s="45">
        <v>0</v>
      </c>
      <c r="R68" s="45">
        <v>0</v>
      </c>
      <c r="S68" s="45">
        <v>834.49503068156923</v>
      </c>
      <c r="T68" s="45">
        <v>834.49503068156923</v>
      </c>
      <c r="U68" s="45">
        <v>1408.3846153846155</v>
      </c>
      <c r="V68" s="45">
        <v>0</v>
      </c>
      <c r="W68" s="45">
        <v>0</v>
      </c>
      <c r="X68" s="45">
        <v>1365.173957061457</v>
      </c>
      <c r="Y68" s="45">
        <v>0.13747401247401247</v>
      </c>
      <c r="Z68" s="45">
        <v>5.8547297297297298</v>
      </c>
      <c r="AA68" s="45">
        <v>7.7962577962577967E-3</v>
      </c>
      <c r="AB68" s="508">
        <v>0</v>
      </c>
      <c r="AC68" s="508">
        <v>0</v>
      </c>
      <c r="AD68" s="631">
        <v>6</v>
      </c>
      <c r="AE68" s="632">
        <v>9.1649341649341645E-2</v>
      </c>
      <c r="AF68" s="632">
        <v>3.9031531531531534</v>
      </c>
      <c r="AG68" s="633">
        <v>3.9948024948024949</v>
      </c>
      <c r="AH68" s="632">
        <v>5.1975051975051978E-3</v>
      </c>
      <c r="AI68" s="632">
        <v>0.12759673841393845</v>
      </c>
      <c r="AJ68" s="632">
        <v>5.4340773529822677</v>
      </c>
      <c r="AK68" s="632">
        <v>5.5616740913962062</v>
      </c>
      <c r="AL68" s="632">
        <v>7.2361099289568135E-3</v>
      </c>
      <c r="AM68" s="632">
        <v>8.5500796513991215E-2</v>
      </c>
      <c r="AN68" s="632">
        <v>3.6412995173226999</v>
      </c>
      <c r="AO68" s="632">
        <v>3.7268003138366912</v>
      </c>
      <c r="AP68" s="632">
        <v>4.8488164374664204E-3</v>
      </c>
      <c r="AQ68" s="632">
        <v>0</v>
      </c>
      <c r="AR68" s="632">
        <v>0</v>
      </c>
      <c r="AS68" s="632">
        <v>5.1620772640036989</v>
      </c>
      <c r="AT68" s="632">
        <v>5.3581518620691204</v>
      </c>
      <c r="AU68" s="632">
        <v>5.5616740913962062</v>
      </c>
      <c r="AV68" s="632">
        <v>5.7729268402935734</v>
      </c>
      <c r="AW68" s="632">
        <v>5.992203742203742</v>
      </c>
      <c r="AX68" s="632">
        <v>3.4767777874585355</v>
      </c>
      <c r="AY68" s="632">
        <v>3.599618945033058</v>
      </c>
      <c r="AZ68" s="632">
        <v>3.7268003138366907</v>
      </c>
      <c r="BA68" s="632">
        <v>3.8584752417691544</v>
      </c>
      <c r="BB68" s="632">
        <v>3.9948024948024949</v>
      </c>
      <c r="BC68" s="632">
        <v>0</v>
      </c>
      <c r="BD68" s="632">
        <v>0</v>
      </c>
      <c r="BE68" s="632">
        <v>0</v>
      </c>
      <c r="BF68" s="632">
        <v>0</v>
      </c>
      <c r="BG68" s="632">
        <v>0</v>
      </c>
      <c r="BH68" s="634">
        <v>6.0602769305452169</v>
      </c>
      <c r="BI68" s="634">
        <v>6.1291234502302743</v>
      </c>
      <c r="BJ68" s="634">
        <v>6.1987520865293195</v>
      </c>
      <c r="BK68" s="635">
        <v>6.1579980112329968</v>
      </c>
      <c r="BL68" s="635">
        <v>6.1175118761010925</v>
      </c>
      <c r="BM68" s="635">
        <v>6.1614286710375863</v>
      </c>
      <c r="BN68" s="635">
        <v>6.2056607387379996</v>
      </c>
      <c r="BO68" s="635">
        <v>6.2502103425031015</v>
      </c>
      <c r="BP68" s="635">
        <v>6.2950797618815892</v>
      </c>
      <c r="BQ68" s="635">
        <v>6.3402712927867348</v>
      </c>
      <c r="BR68" s="635">
        <v>6.3758631983594976</v>
      </c>
      <c r="BS68" s="635">
        <v>6.4116549035439485</v>
      </c>
      <c r="BT68" s="635">
        <v>6.4476475299401894</v>
      </c>
      <c r="BU68" s="635">
        <v>6.4838422054445601</v>
      </c>
      <c r="BV68" s="635">
        <v>6.5202400642849891</v>
      </c>
      <c r="BW68" s="634">
        <v>4.0401846203634788</v>
      </c>
      <c r="BX68" s="634">
        <v>4.0860823001535165</v>
      </c>
      <c r="BY68" s="634">
        <v>4.1325013910195461</v>
      </c>
      <c r="BZ68" s="635">
        <v>4.1053320074886637</v>
      </c>
      <c r="CA68" s="635">
        <v>4.0783412507340611</v>
      </c>
      <c r="CB68" s="635">
        <v>4.1076191140250566</v>
      </c>
      <c r="CC68" s="635">
        <v>4.1371071591586661</v>
      </c>
      <c r="CD68" s="635">
        <v>4.1668068950020674</v>
      </c>
      <c r="CE68" s="635">
        <v>4.1967198412543922</v>
      </c>
      <c r="CF68" s="635">
        <v>4.2268475285244893</v>
      </c>
      <c r="CG68" s="635">
        <v>4.2505754655729975</v>
      </c>
      <c r="CH68" s="635">
        <v>4.2744366023626323</v>
      </c>
      <c r="CI68" s="635">
        <v>4.2984316866267926</v>
      </c>
      <c r="CJ68" s="635">
        <v>4.3225614702963737</v>
      </c>
      <c r="CK68" s="635">
        <v>4.3468267095233255</v>
      </c>
      <c r="CL68" s="634">
        <v>0</v>
      </c>
      <c r="CM68" s="634">
        <v>0</v>
      </c>
      <c r="CN68" s="634">
        <v>0</v>
      </c>
      <c r="CO68" s="635">
        <v>0</v>
      </c>
      <c r="CP68" s="635">
        <v>0</v>
      </c>
      <c r="CQ68" s="635">
        <v>0</v>
      </c>
      <c r="CR68" s="635">
        <v>0</v>
      </c>
      <c r="CS68" s="635">
        <v>0</v>
      </c>
      <c r="CT68" s="635">
        <v>0</v>
      </c>
      <c r="CU68" s="635">
        <v>0</v>
      </c>
      <c r="CV68" s="635">
        <v>0</v>
      </c>
      <c r="CW68" s="635">
        <v>0</v>
      </c>
      <c r="CX68" s="635">
        <v>0</v>
      </c>
      <c r="CY68" s="635">
        <v>0</v>
      </c>
      <c r="CZ68" s="635">
        <v>0</v>
      </c>
      <c r="DA68" s="636">
        <v>7.8848255666734545E-3</v>
      </c>
      <c r="DB68" s="636">
        <v>7.9743994928835223E-3</v>
      </c>
      <c r="DC68" s="636">
        <v>8.0649910051123087E-3</v>
      </c>
      <c r="DD68" s="637">
        <v>8.0119672277296355E-3</v>
      </c>
      <c r="DE68" s="637">
        <v>7.9592920584193247E-3</v>
      </c>
      <c r="DF68" s="637">
        <v>8.0164307455602227E-3</v>
      </c>
      <c r="DG68" s="637">
        <v>8.0739796236507944E-3</v>
      </c>
      <c r="DH68" s="637">
        <v>8.1319416373966981E-3</v>
      </c>
      <c r="DI68" s="637">
        <v>8.1903197526432339E-3</v>
      </c>
      <c r="DJ68" s="637">
        <v>8.2491169565271083E-3</v>
      </c>
      <c r="DK68" s="637">
        <v>8.2954244058801689E-3</v>
      </c>
      <c r="DL68" s="637">
        <v>8.3419918078896042E-3</v>
      </c>
      <c r="DM68" s="637">
        <v>8.38882062183215E-3</v>
      </c>
      <c r="DN68" s="637">
        <v>8.4359123151763749E-3</v>
      </c>
      <c r="DO68" s="637">
        <v>8.4832683636286623E-3</v>
      </c>
      <c r="DP68" s="636">
        <v>0</v>
      </c>
      <c r="DQ68" s="636">
        <v>0</v>
      </c>
      <c r="DR68" s="636">
        <v>0</v>
      </c>
      <c r="DS68" s="637">
        <v>0</v>
      </c>
      <c r="DT68" s="637">
        <v>0</v>
      </c>
      <c r="DU68" s="637">
        <v>0</v>
      </c>
      <c r="DV68" s="637">
        <v>0</v>
      </c>
      <c r="DW68" s="637">
        <v>0</v>
      </c>
      <c r="DX68" s="637">
        <v>0</v>
      </c>
      <c r="DY68" s="637">
        <v>0</v>
      </c>
      <c r="DZ68" s="637">
        <v>0</v>
      </c>
      <c r="EA68" s="637">
        <v>0</v>
      </c>
      <c r="EB68" s="637">
        <v>0</v>
      </c>
      <c r="EC68" s="637">
        <v>0</v>
      </c>
      <c r="ED68" s="637">
        <v>0</v>
      </c>
    </row>
    <row r="69" spans="1:134" ht="15" x14ac:dyDescent="0.25">
      <c r="A69" s="555">
        <v>127</v>
      </c>
      <c r="B69" s="555">
        <v>82</v>
      </c>
      <c r="C69" s="555" t="s">
        <v>1052</v>
      </c>
      <c r="D69" s="812">
        <v>99705</v>
      </c>
      <c r="E69" s="812">
        <v>99705</v>
      </c>
      <c r="F69" s="630" t="s">
        <v>989</v>
      </c>
      <c r="G69" s="45">
        <v>12</v>
      </c>
      <c r="H69" s="45">
        <v>5</v>
      </c>
      <c r="I69" s="45">
        <v>3</v>
      </c>
      <c r="J69" s="45">
        <v>2</v>
      </c>
      <c r="K69" s="45">
        <v>0</v>
      </c>
      <c r="L69" s="45">
        <v>1</v>
      </c>
      <c r="M69" s="45">
        <v>1</v>
      </c>
      <c r="N69" s="45">
        <v>0</v>
      </c>
      <c r="O69" s="45">
        <v>0</v>
      </c>
      <c r="P69" s="45">
        <v>0</v>
      </c>
      <c r="Q69" s="45">
        <v>1</v>
      </c>
      <c r="R69" s="45">
        <v>0</v>
      </c>
      <c r="S69" s="45">
        <v>4837</v>
      </c>
      <c r="T69" s="45">
        <v>4837</v>
      </c>
      <c r="U69" s="45">
        <v>0</v>
      </c>
      <c r="V69" s="45">
        <v>0</v>
      </c>
      <c r="W69" s="45">
        <v>0</v>
      </c>
      <c r="X69" s="45">
        <v>4837</v>
      </c>
      <c r="Y69" s="45">
        <v>0</v>
      </c>
      <c r="Z69" s="45">
        <v>5</v>
      </c>
      <c r="AA69" s="45">
        <v>0</v>
      </c>
      <c r="AB69" s="508">
        <v>0</v>
      </c>
      <c r="AC69" s="508">
        <v>0</v>
      </c>
      <c r="AD69" s="631">
        <v>5</v>
      </c>
      <c r="AE69" s="632">
        <v>0</v>
      </c>
      <c r="AF69" s="632">
        <v>3</v>
      </c>
      <c r="AG69" s="633">
        <v>3</v>
      </c>
      <c r="AH69" s="632">
        <v>0</v>
      </c>
      <c r="AI69" s="632">
        <v>0</v>
      </c>
      <c r="AJ69" s="632">
        <v>4.6407585011043029</v>
      </c>
      <c r="AK69" s="632">
        <v>4.6407585011043029</v>
      </c>
      <c r="AL69" s="632">
        <v>0</v>
      </c>
      <c r="AM69" s="632">
        <v>0</v>
      </c>
      <c r="AN69" s="632">
        <v>2.798736847705618</v>
      </c>
      <c r="AO69" s="632">
        <v>2.798736847705618</v>
      </c>
      <c r="AP69" s="632">
        <v>0</v>
      </c>
      <c r="AQ69" s="632">
        <v>0</v>
      </c>
      <c r="AR69" s="632">
        <v>0</v>
      </c>
      <c r="AS69" s="632">
        <v>4.3073278931143708</v>
      </c>
      <c r="AT69" s="632">
        <v>4.4709359799726727</v>
      </c>
      <c r="AU69" s="632">
        <v>4.6407585011043029</v>
      </c>
      <c r="AV69" s="632">
        <v>4.8170315034802824</v>
      </c>
      <c r="AW69" s="632">
        <v>5</v>
      </c>
      <c r="AX69" s="632">
        <v>2.6109759809017263</v>
      </c>
      <c r="AY69" s="632">
        <v>2.703226717503358</v>
      </c>
      <c r="AZ69" s="632">
        <v>2.798736847705618</v>
      </c>
      <c r="BA69" s="632">
        <v>2.8976215320701999</v>
      </c>
      <c r="BB69" s="632">
        <v>3</v>
      </c>
      <c r="BC69" s="632">
        <v>0</v>
      </c>
      <c r="BD69" s="632">
        <v>0</v>
      </c>
      <c r="BE69" s="632">
        <v>0</v>
      </c>
      <c r="BF69" s="632">
        <v>0</v>
      </c>
      <c r="BG69" s="632">
        <v>0</v>
      </c>
      <c r="BH69" s="634">
        <v>5.0568014634265754</v>
      </c>
      <c r="BI69" s="634">
        <v>5.1142482081026319</v>
      </c>
      <c r="BJ69" s="634">
        <v>5.1723475646120267</v>
      </c>
      <c r="BK69" s="635">
        <v>5.1383416487172724</v>
      </c>
      <c r="BL69" s="635">
        <v>5.1045593067995929</v>
      </c>
      <c r="BM69" s="635">
        <v>5.1412042514859557</v>
      </c>
      <c r="BN69" s="635">
        <v>5.1781122653013751</v>
      </c>
      <c r="BO69" s="635">
        <v>5.2152852367837488</v>
      </c>
      <c r="BP69" s="635">
        <v>5.2527250680285267</v>
      </c>
      <c r="BQ69" s="635">
        <v>5.2904336747860521</v>
      </c>
      <c r="BR69" s="635">
        <v>5.3201321856378145</v>
      </c>
      <c r="BS69" s="635">
        <v>5.3499974127931988</v>
      </c>
      <c r="BT69" s="635">
        <v>5.380030292135018</v>
      </c>
      <c r="BU69" s="635">
        <v>5.4102317647997813</v>
      </c>
      <c r="BV69" s="635">
        <v>5.4406027772071814</v>
      </c>
      <c r="BW69" s="634">
        <v>3.0340808780559456</v>
      </c>
      <c r="BX69" s="634">
        <v>3.0685489248615792</v>
      </c>
      <c r="BY69" s="634">
        <v>3.1034085387672157</v>
      </c>
      <c r="BZ69" s="635">
        <v>3.0830049892303628</v>
      </c>
      <c r="CA69" s="635">
        <v>3.0627355840797557</v>
      </c>
      <c r="CB69" s="635">
        <v>3.084722550891573</v>
      </c>
      <c r="CC69" s="635">
        <v>3.1068673591808249</v>
      </c>
      <c r="CD69" s="635">
        <v>3.1291711420702488</v>
      </c>
      <c r="CE69" s="635">
        <v>3.1516350408171157</v>
      </c>
      <c r="CF69" s="635">
        <v>3.1742602048716306</v>
      </c>
      <c r="CG69" s="635">
        <v>3.1920793113826886</v>
      </c>
      <c r="CH69" s="635">
        <v>3.2099984476759187</v>
      </c>
      <c r="CI69" s="635">
        <v>3.2280181752810102</v>
      </c>
      <c r="CJ69" s="635">
        <v>3.246139058879868</v>
      </c>
      <c r="CK69" s="635">
        <v>3.2643616663243087</v>
      </c>
      <c r="CL69" s="634">
        <v>0</v>
      </c>
      <c r="CM69" s="634">
        <v>0</v>
      </c>
      <c r="CN69" s="634">
        <v>0</v>
      </c>
      <c r="CO69" s="635">
        <v>0</v>
      </c>
      <c r="CP69" s="635">
        <v>0</v>
      </c>
      <c r="CQ69" s="635">
        <v>0</v>
      </c>
      <c r="CR69" s="635">
        <v>0</v>
      </c>
      <c r="CS69" s="635">
        <v>0</v>
      </c>
      <c r="CT69" s="635">
        <v>0</v>
      </c>
      <c r="CU69" s="635">
        <v>0</v>
      </c>
      <c r="CV69" s="635">
        <v>0</v>
      </c>
      <c r="CW69" s="635">
        <v>0</v>
      </c>
      <c r="CX69" s="635">
        <v>0</v>
      </c>
      <c r="CY69" s="635">
        <v>0</v>
      </c>
      <c r="CZ69" s="635">
        <v>0</v>
      </c>
      <c r="DA69" s="636">
        <v>0</v>
      </c>
      <c r="DB69" s="636">
        <v>0</v>
      </c>
      <c r="DC69" s="636">
        <v>0</v>
      </c>
      <c r="DD69" s="637">
        <v>0</v>
      </c>
      <c r="DE69" s="637">
        <v>0</v>
      </c>
      <c r="DF69" s="637">
        <v>0</v>
      </c>
      <c r="DG69" s="637">
        <v>0</v>
      </c>
      <c r="DH69" s="637">
        <v>0</v>
      </c>
      <c r="DI69" s="637">
        <v>0</v>
      </c>
      <c r="DJ69" s="637">
        <v>0</v>
      </c>
      <c r="DK69" s="637">
        <v>0</v>
      </c>
      <c r="DL69" s="637">
        <v>0</v>
      </c>
      <c r="DM69" s="637">
        <v>0</v>
      </c>
      <c r="DN69" s="637">
        <v>0</v>
      </c>
      <c r="DO69" s="637">
        <v>0</v>
      </c>
      <c r="DP69" s="636">
        <v>0</v>
      </c>
      <c r="DQ69" s="636">
        <v>0</v>
      </c>
      <c r="DR69" s="636">
        <v>0</v>
      </c>
      <c r="DS69" s="637">
        <v>0</v>
      </c>
      <c r="DT69" s="637">
        <v>0</v>
      </c>
      <c r="DU69" s="637">
        <v>0</v>
      </c>
      <c r="DV69" s="637">
        <v>0</v>
      </c>
      <c r="DW69" s="637">
        <v>0</v>
      </c>
      <c r="DX69" s="637">
        <v>0</v>
      </c>
      <c r="DY69" s="637">
        <v>0</v>
      </c>
      <c r="DZ69" s="637">
        <v>0</v>
      </c>
      <c r="EA69" s="637">
        <v>0</v>
      </c>
      <c r="EB69" s="637">
        <v>0</v>
      </c>
      <c r="EC69" s="637">
        <v>0</v>
      </c>
      <c r="ED69" s="637">
        <v>0</v>
      </c>
    </row>
    <row r="70" spans="1:134" ht="15" x14ac:dyDescent="0.25">
      <c r="A70" s="555">
        <v>132</v>
      </c>
      <c r="B70" s="555">
        <v>82</v>
      </c>
      <c r="C70" s="555" t="s">
        <v>1053</v>
      </c>
      <c r="D70" s="812">
        <v>99702</v>
      </c>
      <c r="E70" s="812">
        <v>99702</v>
      </c>
      <c r="F70" s="630" t="s">
        <v>989</v>
      </c>
      <c r="G70" s="45">
        <v>192</v>
      </c>
      <c r="H70" s="45">
        <v>61</v>
      </c>
      <c r="I70" s="45">
        <v>58</v>
      </c>
      <c r="J70" s="45">
        <v>3</v>
      </c>
      <c r="K70" s="45">
        <v>0</v>
      </c>
      <c r="L70" s="45">
        <v>0</v>
      </c>
      <c r="M70" s="45">
        <v>0</v>
      </c>
      <c r="N70" s="45">
        <v>0</v>
      </c>
      <c r="O70" s="45">
        <v>0</v>
      </c>
      <c r="P70" s="45">
        <v>0</v>
      </c>
      <c r="Q70" s="45">
        <v>0</v>
      </c>
      <c r="R70" s="45">
        <v>0</v>
      </c>
      <c r="S70" s="45">
        <v>834.49503068156923</v>
      </c>
      <c r="T70" s="45">
        <v>834.49503068156923</v>
      </c>
      <c r="U70" s="45">
        <v>1408.3846153846155</v>
      </c>
      <c r="V70" s="45">
        <v>0</v>
      </c>
      <c r="W70" s="45">
        <v>0</v>
      </c>
      <c r="X70" s="45">
        <v>1365.173957061457</v>
      </c>
      <c r="Y70" s="45">
        <v>1.3976524601524603</v>
      </c>
      <c r="Z70" s="45">
        <v>59.523085585585584</v>
      </c>
      <c r="AA70" s="45">
        <v>7.9261954261954259E-2</v>
      </c>
      <c r="AB70" s="508">
        <v>0</v>
      </c>
      <c r="AC70" s="508">
        <v>0</v>
      </c>
      <c r="AD70" s="631">
        <v>60.999999999999993</v>
      </c>
      <c r="AE70" s="632">
        <v>1.328915453915454</v>
      </c>
      <c r="AF70" s="632">
        <v>56.59572072072072</v>
      </c>
      <c r="AG70" s="633">
        <v>57.924636174636177</v>
      </c>
      <c r="AH70" s="632">
        <v>7.5363825363825354E-2</v>
      </c>
      <c r="AI70" s="632">
        <v>1.5601563402227119</v>
      </c>
      <c r="AJ70" s="632">
        <v>66.44378485610109</v>
      </c>
      <c r="AK70" s="632">
        <v>68.003941196323808</v>
      </c>
      <c r="AL70" s="632">
        <v>8.8477675248925053E-2</v>
      </c>
      <c r="AM70" s="632">
        <v>1.5499213522481541</v>
      </c>
      <c r="AN70" s="632">
        <v>66.007898194326401</v>
      </c>
      <c r="AO70" s="632">
        <v>67.557819546574549</v>
      </c>
      <c r="AP70" s="632">
        <v>8.7897241148288494E-2</v>
      </c>
      <c r="AQ70" s="632">
        <v>0</v>
      </c>
      <c r="AR70" s="632">
        <v>0</v>
      </c>
      <c r="AS70" s="632">
        <v>75.910702440293122</v>
      </c>
      <c r="AT70" s="632">
        <v>71.848639130614885</v>
      </c>
      <c r="AU70" s="632">
        <v>68.003941196323794</v>
      </c>
      <c r="AV70" s="632">
        <v>64.36497718246325</v>
      </c>
      <c r="AW70" s="632">
        <v>60.920738045738041</v>
      </c>
      <c r="AX70" s="632">
        <v>78.793053928339106</v>
      </c>
      <c r="AY70" s="632">
        <v>72.959488202798198</v>
      </c>
      <c r="AZ70" s="632">
        <v>67.557819546574549</v>
      </c>
      <c r="BA70" s="632">
        <v>62.556071791530002</v>
      </c>
      <c r="BB70" s="632">
        <v>57.924636174636177</v>
      </c>
      <c r="BC70" s="632">
        <v>0</v>
      </c>
      <c r="BD70" s="632">
        <v>0</v>
      </c>
      <c r="BE70" s="632">
        <v>0</v>
      </c>
      <c r="BF70" s="632">
        <v>0</v>
      </c>
      <c r="BG70" s="632">
        <v>0</v>
      </c>
      <c r="BH70" s="634">
        <v>61.165362728820298</v>
      </c>
      <c r="BI70" s="634">
        <v>61.410969692116026</v>
      </c>
      <c r="BJ70" s="634">
        <v>61.657562879930488</v>
      </c>
      <c r="BK70" s="635">
        <v>61.252191455953543</v>
      </c>
      <c r="BL70" s="635">
        <v>60.849485171234484</v>
      </c>
      <c r="BM70" s="635">
        <v>61.286315440857017</v>
      </c>
      <c r="BN70" s="635">
        <v>61.726281656230306</v>
      </c>
      <c r="BO70" s="635">
        <v>62.169406329887117</v>
      </c>
      <c r="BP70" s="635">
        <v>62.615712135974618</v>
      </c>
      <c r="BQ70" s="635">
        <v>63.065221911414675</v>
      </c>
      <c r="BR70" s="635">
        <v>63.419246419127781</v>
      </c>
      <c r="BS70" s="635">
        <v>63.775258287675641</v>
      </c>
      <c r="BT70" s="635">
        <v>64.133268673356767</v>
      </c>
      <c r="BU70" s="635">
        <v>64.493288795096944</v>
      </c>
      <c r="BV70" s="635">
        <v>64.855329934800764</v>
      </c>
      <c r="BW70" s="634">
        <v>58.157230135599633</v>
      </c>
      <c r="BX70" s="634">
        <v>58.390758067913609</v>
      </c>
      <c r="BY70" s="634">
        <v>58.625223721901129</v>
      </c>
      <c r="BZ70" s="635">
        <v>58.239788597464035</v>
      </c>
      <c r="CA70" s="635">
        <v>57.856887539862306</v>
      </c>
      <c r="CB70" s="635">
        <v>58.272234353601768</v>
      </c>
      <c r="CC70" s="635">
        <v>58.690562886251776</v>
      </c>
      <c r="CD70" s="635">
        <v>59.111894543171367</v>
      </c>
      <c r="CE70" s="635">
        <v>59.536250883385712</v>
      </c>
      <c r="CF70" s="635">
        <v>59.963653620689371</v>
      </c>
      <c r="CG70" s="635">
        <v>60.300267087039543</v>
      </c>
      <c r="CH70" s="635">
        <v>60.638770175167011</v>
      </c>
      <c r="CI70" s="635">
        <v>60.979173492699886</v>
      </c>
      <c r="CJ70" s="635">
        <v>61.3214877068135</v>
      </c>
      <c r="CK70" s="635">
        <v>61.665723544564678</v>
      </c>
      <c r="CL70" s="634">
        <v>0</v>
      </c>
      <c r="CM70" s="634">
        <v>0</v>
      </c>
      <c r="CN70" s="634">
        <v>0</v>
      </c>
      <c r="CO70" s="635">
        <v>0</v>
      </c>
      <c r="CP70" s="635">
        <v>0</v>
      </c>
      <c r="CQ70" s="635">
        <v>0</v>
      </c>
      <c r="CR70" s="635">
        <v>0</v>
      </c>
      <c r="CS70" s="635">
        <v>0</v>
      </c>
      <c r="CT70" s="635">
        <v>0</v>
      </c>
      <c r="CU70" s="635">
        <v>0</v>
      </c>
      <c r="CV70" s="635">
        <v>0</v>
      </c>
      <c r="CW70" s="635">
        <v>0</v>
      </c>
      <c r="CX70" s="635">
        <v>0</v>
      </c>
      <c r="CY70" s="635">
        <v>0</v>
      </c>
      <c r="CZ70" s="635">
        <v>0</v>
      </c>
      <c r="DA70" s="636">
        <v>7.9580227333880163E-2</v>
      </c>
      <c r="DB70" s="636">
        <v>7.9899778418053652E-2</v>
      </c>
      <c r="DC70" s="636">
        <v>8.0220612646279582E-2</v>
      </c>
      <c r="DD70" s="637">
        <v>7.9693197314537528E-2</v>
      </c>
      <c r="DE70" s="637">
        <v>7.9169249507200737E-2</v>
      </c>
      <c r="DF70" s="637">
        <v>7.9737594900932893E-2</v>
      </c>
      <c r="DG70" s="637">
        <v>8.0310020369802643E-2</v>
      </c>
      <c r="DH70" s="637">
        <v>8.0886555204120622E-2</v>
      </c>
      <c r="DI70" s="637">
        <v>8.1467228904468669E-2</v>
      </c>
      <c r="DJ70" s="637">
        <v>8.2052071183209313E-2</v>
      </c>
      <c r="DK70" s="637">
        <v>8.2512680743075439E-2</v>
      </c>
      <c r="DL70" s="637">
        <v>8.2975875992292017E-2</v>
      </c>
      <c r="DM70" s="637">
        <v>8.3441671445949481E-2</v>
      </c>
      <c r="DN70" s="637">
        <v>8.3910081700620531E-2</v>
      </c>
      <c r="DO70" s="637">
        <v>8.4381121434817546E-2</v>
      </c>
      <c r="DP70" s="636">
        <v>0</v>
      </c>
      <c r="DQ70" s="636">
        <v>0</v>
      </c>
      <c r="DR70" s="636">
        <v>0</v>
      </c>
      <c r="DS70" s="637">
        <v>0</v>
      </c>
      <c r="DT70" s="637">
        <v>0</v>
      </c>
      <c r="DU70" s="637">
        <v>0</v>
      </c>
      <c r="DV70" s="637">
        <v>0</v>
      </c>
      <c r="DW70" s="637">
        <v>0</v>
      </c>
      <c r="DX70" s="637">
        <v>0</v>
      </c>
      <c r="DY70" s="637">
        <v>0</v>
      </c>
      <c r="DZ70" s="637">
        <v>0</v>
      </c>
      <c r="EA70" s="637">
        <v>0</v>
      </c>
      <c r="EB70" s="637">
        <v>0</v>
      </c>
      <c r="EC70" s="637">
        <v>0</v>
      </c>
      <c r="ED70" s="637">
        <v>0</v>
      </c>
    </row>
    <row r="71" spans="1:134" ht="15" x14ac:dyDescent="0.25">
      <c r="A71" s="555">
        <v>178</v>
      </c>
      <c r="B71" s="555">
        <v>82</v>
      </c>
      <c r="C71" s="555" t="s">
        <v>1054</v>
      </c>
      <c r="D71" s="812">
        <v>99712</v>
      </c>
      <c r="E71" s="812">
        <v>99712</v>
      </c>
      <c r="F71" s="630" t="s">
        <v>989</v>
      </c>
      <c r="G71" s="45">
        <v>0</v>
      </c>
      <c r="H71" s="45">
        <v>6</v>
      </c>
      <c r="I71" s="45">
        <v>0</v>
      </c>
      <c r="J71" s="45">
        <v>6</v>
      </c>
      <c r="K71" s="45">
        <v>0</v>
      </c>
      <c r="L71" s="45">
        <v>0</v>
      </c>
      <c r="M71" s="45">
        <v>0</v>
      </c>
      <c r="N71" s="45">
        <v>0</v>
      </c>
      <c r="O71" s="45">
        <v>0</v>
      </c>
      <c r="P71" s="45">
        <v>0</v>
      </c>
      <c r="Q71" s="45">
        <v>0</v>
      </c>
      <c r="R71" s="45">
        <v>0</v>
      </c>
      <c r="S71" s="45">
        <v>834.49503068156923</v>
      </c>
      <c r="T71" s="45">
        <v>834.49503068156923</v>
      </c>
      <c r="U71" s="45">
        <v>1408.3846153846155</v>
      </c>
      <c r="V71" s="45">
        <v>0</v>
      </c>
      <c r="W71" s="45">
        <v>0</v>
      </c>
      <c r="X71" s="45">
        <v>1365.173957061457</v>
      </c>
      <c r="Y71" s="45">
        <v>0.13747401247401247</v>
      </c>
      <c r="Z71" s="45">
        <v>5.8547297297297298</v>
      </c>
      <c r="AA71" s="45">
        <v>7.7962577962577967E-3</v>
      </c>
      <c r="AB71" s="508">
        <v>0</v>
      </c>
      <c r="AC71" s="508">
        <v>0</v>
      </c>
      <c r="AD71" s="631">
        <v>6</v>
      </c>
      <c r="AE71" s="632">
        <v>0</v>
      </c>
      <c r="AF71" s="632">
        <v>0</v>
      </c>
      <c r="AG71" s="633">
        <v>0</v>
      </c>
      <c r="AH71" s="632">
        <v>0</v>
      </c>
      <c r="AI71" s="632">
        <v>0.12497958307746765</v>
      </c>
      <c r="AJ71" s="632">
        <v>5.3226181987755554</v>
      </c>
      <c r="AK71" s="632">
        <v>5.4475977818530232</v>
      </c>
      <c r="AL71" s="632">
        <v>7.0876890214064837E-3</v>
      </c>
      <c r="AM71" s="632">
        <v>0</v>
      </c>
      <c r="AN71" s="632">
        <v>0</v>
      </c>
      <c r="AO71" s="632">
        <v>0</v>
      </c>
      <c r="AP71" s="632">
        <v>0</v>
      </c>
      <c r="AQ71" s="632">
        <v>0</v>
      </c>
      <c r="AR71" s="632">
        <v>0</v>
      </c>
      <c r="AS71" s="632">
        <v>4.9524887453069084</v>
      </c>
      <c r="AT71" s="632">
        <v>5.1941473509697413</v>
      </c>
      <c r="AU71" s="632">
        <v>5.4475977818530223</v>
      </c>
      <c r="AV71" s="632">
        <v>5.7134154246335429</v>
      </c>
      <c r="AW71" s="632">
        <v>5.992203742203742</v>
      </c>
      <c r="AX71" s="632">
        <v>0</v>
      </c>
      <c r="AY71" s="632">
        <v>0</v>
      </c>
      <c r="AZ71" s="632">
        <v>0</v>
      </c>
      <c r="BA71" s="632">
        <v>0</v>
      </c>
      <c r="BB71" s="632">
        <v>0</v>
      </c>
      <c r="BC71" s="632">
        <v>0</v>
      </c>
      <c r="BD71" s="632">
        <v>0</v>
      </c>
      <c r="BE71" s="632">
        <v>0</v>
      </c>
      <c r="BF71" s="632">
        <v>0</v>
      </c>
      <c r="BG71" s="632">
        <v>0</v>
      </c>
      <c r="BH71" s="634">
        <v>6.06805170463553</v>
      </c>
      <c r="BI71" s="634">
        <v>6.1448597334556716</v>
      </c>
      <c r="BJ71" s="634">
        <v>6.2226399809678075</v>
      </c>
      <c r="BK71" s="635">
        <v>6.1817288532462502</v>
      </c>
      <c r="BL71" s="635">
        <v>6.1410866982399011</v>
      </c>
      <c r="BM71" s="635">
        <v>6.1851727336536513</v>
      </c>
      <c r="BN71" s="635">
        <v>6.2295752567859441</v>
      </c>
      <c r="BO71" s="635">
        <v>6.2742965396595443</v>
      </c>
      <c r="BP71" s="635">
        <v>6.3193388706077593</v>
      </c>
      <c r="BQ71" s="635">
        <v>6.3647045543915342</v>
      </c>
      <c r="BR71" s="635">
        <v>6.4004336191329996</v>
      </c>
      <c r="BS71" s="635">
        <v>6.436363253446296</v>
      </c>
      <c r="BT71" s="635">
        <v>6.4724945832537903</v>
      </c>
      <c r="BU71" s="635">
        <v>6.5088287407983554</v>
      </c>
      <c r="BV71" s="635">
        <v>6.5453668646788481</v>
      </c>
      <c r="BW71" s="634">
        <v>0</v>
      </c>
      <c r="BX71" s="634">
        <v>0</v>
      </c>
      <c r="BY71" s="634">
        <v>0</v>
      </c>
      <c r="BZ71" s="635">
        <v>0</v>
      </c>
      <c r="CA71" s="635">
        <v>0</v>
      </c>
      <c r="CB71" s="635">
        <v>0</v>
      </c>
      <c r="CC71" s="635">
        <v>0</v>
      </c>
      <c r="CD71" s="635">
        <v>0</v>
      </c>
      <c r="CE71" s="635">
        <v>0</v>
      </c>
      <c r="CF71" s="635">
        <v>0</v>
      </c>
      <c r="CG71" s="635">
        <v>0</v>
      </c>
      <c r="CH71" s="635">
        <v>0</v>
      </c>
      <c r="CI71" s="635">
        <v>0</v>
      </c>
      <c r="CJ71" s="635">
        <v>0</v>
      </c>
      <c r="CK71" s="635">
        <v>0</v>
      </c>
      <c r="CL71" s="634">
        <v>0</v>
      </c>
      <c r="CM71" s="634">
        <v>0</v>
      </c>
      <c r="CN71" s="634">
        <v>0</v>
      </c>
      <c r="CO71" s="635">
        <v>0</v>
      </c>
      <c r="CP71" s="635">
        <v>0</v>
      </c>
      <c r="CQ71" s="635">
        <v>0</v>
      </c>
      <c r="CR71" s="635">
        <v>0</v>
      </c>
      <c r="CS71" s="635">
        <v>0</v>
      </c>
      <c r="CT71" s="635">
        <v>0</v>
      </c>
      <c r="CU71" s="635">
        <v>0</v>
      </c>
      <c r="CV71" s="635">
        <v>0</v>
      </c>
      <c r="CW71" s="635">
        <v>0</v>
      </c>
      <c r="CX71" s="635">
        <v>0</v>
      </c>
      <c r="CY71" s="635">
        <v>0</v>
      </c>
      <c r="CZ71" s="635">
        <v>0</v>
      </c>
      <c r="DA71" s="636">
        <v>7.8949410677017062E-3</v>
      </c>
      <c r="DB71" s="636">
        <v>7.9948734497211453E-3</v>
      </c>
      <c r="DC71" s="636">
        <v>8.0960707532758362E-3</v>
      </c>
      <c r="DD71" s="637">
        <v>8.0428426401850765E-3</v>
      </c>
      <c r="DE71" s="637">
        <v>7.9899644785843115E-3</v>
      </c>
      <c r="DF71" s="637">
        <v>8.0473233589040492E-3</v>
      </c>
      <c r="DG71" s="637">
        <v>8.1050940109106753E-3</v>
      </c>
      <c r="DH71" s="637">
        <v>8.1632793906577482E-3</v>
      </c>
      <c r="DI71" s="637">
        <v>8.2218824754199307E-3</v>
      </c>
      <c r="DJ71" s="637">
        <v>8.2809062638453477E-3</v>
      </c>
      <c r="DK71" s="637">
        <v>8.3273921664493884E-3</v>
      </c>
      <c r="DL71" s="637">
        <v>8.3741390234794381E-3</v>
      </c>
      <c r="DM71" s="637">
        <v>8.4211482998357932E-3</v>
      </c>
      <c r="DN71" s="637">
        <v>8.4684214686421479E-3</v>
      </c>
      <c r="DO71" s="637">
        <v>8.5159600112917622E-3</v>
      </c>
      <c r="DP71" s="636">
        <v>0</v>
      </c>
      <c r="DQ71" s="636">
        <v>0</v>
      </c>
      <c r="DR71" s="636">
        <v>0</v>
      </c>
      <c r="DS71" s="637">
        <v>0</v>
      </c>
      <c r="DT71" s="637">
        <v>0</v>
      </c>
      <c r="DU71" s="637">
        <v>0</v>
      </c>
      <c r="DV71" s="637">
        <v>0</v>
      </c>
      <c r="DW71" s="637">
        <v>0</v>
      </c>
      <c r="DX71" s="637">
        <v>0</v>
      </c>
      <c r="DY71" s="637">
        <v>0</v>
      </c>
      <c r="DZ71" s="637">
        <v>0</v>
      </c>
      <c r="EA71" s="637">
        <v>0</v>
      </c>
      <c r="EB71" s="637">
        <v>0</v>
      </c>
      <c r="EC71" s="637">
        <v>0</v>
      </c>
      <c r="ED71" s="637">
        <v>0</v>
      </c>
    </row>
    <row r="72" spans="1:134" ht="15" x14ac:dyDescent="0.25">
      <c r="A72" s="555">
        <v>88</v>
      </c>
      <c r="B72" s="555">
        <v>83</v>
      </c>
      <c r="C72" s="555" t="s">
        <v>1055</v>
      </c>
      <c r="D72" s="812">
        <v>99709</v>
      </c>
      <c r="E72" s="812">
        <v>99709</v>
      </c>
      <c r="F72" s="630" t="s">
        <v>989</v>
      </c>
      <c r="G72" s="45">
        <v>0</v>
      </c>
      <c r="H72" s="45">
        <v>11</v>
      </c>
      <c r="I72" s="45">
        <v>0</v>
      </c>
      <c r="J72" s="45">
        <v>11</v>
      </c>
      <c r="K72" s="45">
        <v>0</v>
      </c>
      <c r="L72" s="45">
        <v>0</v>
      </c>
      <c r="M72" s="45">
        <v>0</v>
      </c>
      <c r="N72" s="45">
        <v>0</v>
      </c>
      <c r="O72" s="45">
        <v>0</v>
      </c>
      <c r="P72" s="45">
        <v>0</v>
      </c>
      <c r="Q72" s="45">
        <v>0</v>
      </c>
      <c r="R72" s="45">
        <v>0</v>
      </c>
      <c r="S72" s="45">
        <v>834.49503068156923</v>
      </c>
      <c r="T72" s="45">
        <v>834.49503068156923</v>
      </c>
      <c r="U72" s="45">
        <v>1408.3846153846155</v>
      </c>
      <c r="V72" s="45">
        <v>0</v>
      </c>
      <c r="W72" s="45">
        <v>0</v>
      </c>
      <c r="X72" s="45">
        <v>1365.173957061457</v>
      </c>
      <c r="Y72" s="45">
        <v>0.25203568953568956</v>
      </c>
      <c r="Z72" s="45">
        <v>10.733671171171171</v>
      </c>
      <c r="AA72" s="45">
        <v>1.4293139293139294E-2</v>
      </c>
      <c r="AB72" s="508">
        <v>0</v>
      </c>
      <c r="AC72" s="508">
        <v>0</v>
      </c>
      <c r="AD72" s="631">
        <v>11</v>
      </c>
      <c r="AE72" s="632">
        <v>0</v>
      </c>
      <c r="AF72" s="632">
        <v>0</v>
      </c>
      <c r="AG72" s="633">
        <v>0</v>
      </c>
      <c r="AH72" s="632">
        <v>0</v>
      </c>
      <c r="AI72" s="632">
        <v>0.23997789763297106</v>
      </c>
      <c r="AJ72" s="632">
        <v>10.220155114883184</v>
      </c>
      <c r="AK72" s="632">
        <v>10.460133012516154</v>
      </c>
      <c r="AL72" s="632">
        <v>1.3609332568977565E-2</v>
      </c>
      <c r="AM72" s="632">
        <v>0</v>
      </c>
      <c r="AN72" s="632">
        <v>0</v>
      </c>
      <c r="AO72" s="632">
        <v>0</v>
      </c>
      <c r="AP72" s="632">
        <v>0</v>
      </c>
      <c r="AQ72" s="632">
        <v>0</v>
      </c>
      <c r="AR72" s="632">
        <v>0</v>
      </c>
      <c r="AS72" s="632">
        <v>9.9597034607648514</v>
      </c>
      <c r="AT72" s="632">
        <v>10.206851765594415</v>
      </c>
      <c r="AU72" s="632">
        <v>10.460133012516156</v>
      </c>
      <c r="AV72" s="632">
        <v>10.719699389418766</v>
      </c>
      <c r="AW72" s="632">
        <v>10.985706860706861</v>
      </c>
      <c r="AX72" s="632">
        <v>0</v>
      </c>
      <c r="AY72" s="632">
        <v>0</v>
      </c>
      <c r="AZ72" s="632">
        <v>0</v>
      </c>
      <c r="BA72" s="632">
        <v>0</v>
      </c>
      <c r="BB72" s="632">
        <v>0</v>
      </c>
      <c r="BC72" s="632">
        <v>0</v>
      </c>
      <c r="BD72" s="632">
        <v>0</v>
      </c>
      <c r="BE72" s="632">
        <v>0</v>
      </c>
      <c r="BF72" s="632">
        <v>0</v>
      </c>
      <c r="BG72" s="632">
        <v>0</v>
      </c>
      <c r="BH72" s="634">
        <v>11.04198256137976</v>
      </c>
      <c r="BI72" s="634">
        <v>11.098546541589551</v>
      </c>
      <c r="BJ72" s="634">
        <v>11.155400278085349</v>
      </c>
      <c r="BK72" s="635">
        <v>11.082058415635053</v>
      </c>
      <c r="BL72" s="635">
        <v>11.00919874375198</v>
      </c>
      <c r="BM72" s="635">
        <v>11.08823230076611</v>
      </c>
      <c r="BN72" s="635">
        <v>11.167833229055816</v>
      </c>
      <c r="BO72" s="635">
        <v>11.248005601703174</v>
      </c>
      <c r="BP72" s="635">
        <v>11.328753521030361</v>
      </c>
      <c r="BQ72" s="635">
        <v>11.410081118809583</v>
      </c>
      <c r="BR72" s="635">
        <v>11.474133035676335</v>
      </c>
      <c r="BS72" s="635">
        <v>11.53854451598629</v>
      </c>
      <c r="BT72" s="635">
        <v>11.603317578193792</v>
      </c>
      <c r="BU72" s="635">
        <v>11.668454252084027</v>
      </c>
      <c r="BV72" s="635">
        <v>11.733956578836629</v>
      </c>
      <c r="BW72" s="634">
        <v>0</v>
      </c>
      <c r="BX72" s="634">
        <v>0</v>
      </c>
      <c r="BY72" s="634">
        <v>0</v>
      </c>
      <c r="BZ72" s="635">
        <v>0</v>
      </c>
      <c r="CA72" s="635">
        <v>0</v>
      </c>
      <c r="CB72" s="635">
        <v>0</v>
      </c>
      <c r="CC72" s="635">
        <v>0</v>
      </c>
      <c r="CD72" s="635">
        <v>0</v>
      </c>
      <c r="CE72" s="635">
        <v>0</v>
      </c>
      <c r="CF72" s="635">
        <v>0</v>
      </c>
      <c r="CG72" s="635">
        <v>0</v>
      </c>
      <c r="CH72" s="635">
        <v>0</v>
      </c>
      <c r="CI72" s="635">
        <v>0</v>
      </c>
      <c r="CJ72" s="635">
        <v>0</v>
      </c>
      <c r="CK72" s="635">
        <v>0</v>
      </c>
      <c r="CL72" s="634">
        <v>0</v>
      </c>
      <c r="CM72" s="634">
        <v>0</v>
      </c>
      <c r="CN72" s="634">
        <v>0</v>
      </c>
      <c r="CO72" s="635">
        <v>0</v>
      </c>
      <c r="CP72" s="635">
        <v>0</v>
      </c>
      <c r="CQ72" s="635">
        <v>0</v>
      </c>
      <c r="CR72" s="635">
        <v>0</v>
      </c>
      <c r="CS72" s="635">
        <v>0</v>
      </c>
      <c r="CT72" s="635">
        <v>0</v>
      </c>
      <c r="CU72" s="635">
        <v>0</v>
      </c>
      <c r="CV72" s="635">
        <v>0</v>
      </c>
      <c r="CW72" s="635">
        <v>0</v>
      </c>
      <c r="CX72" s="635">
        <v>0</v>
      </c>
      <c r="CY72" s="635">
        <v>0</v>
      </c>
      <c r="CZ72" s="635">
        <v>0</v>
      </c>
      <c r="DA72" s="636">
        <v>1.4366357743143066E-2</v>
      </c>
      <c r="DB72" s="636">
        <v>1.443995126410298E-2</v>
      </c>
      <c r="DC72" s="636">
        <v>1.4513921777368398E-2</v>
      </c>
      <c r="DD72" s="637">
        <v>1.441849910959544E-2</v>
      </c>
      <c r="DE72" s="637">
        <v>1.4323703803996854E-2</v>
      </c>
      <c r="DF72" s="637">
        <v>1.442653174702851E-2</v>
      </c>
      <c r="DG72" s="637">
        <v>1.453009787803255E-2</v>
      </c>
      <c r="DH72" s="637">
        <v>1.4634407496361143E-2</v>
      </c>
      <c r="DI72" s="637">
        <v>1.4739465939409788E-2</v>
      </c>
      <c r="DJ72" s="637">
        <v>1.484527858289043E-2</v>
      </c>
      <c r="DK72" s="637">
        <v>1.4928614410195598E-2</v>
      </c>
      <c r="DL72" s="637">
        <v>1.5012418053586121E-2</v>
      </c>
      <c r="DM72" s="637">
        <v>1.5096692139206081E-2</v>
      </c>
      <c r="DN72" s="637">
        <v>1.518143930794175E-2</v>
      </c>
      <c r="DO72" s="637">
        <v>1.5266662215504335E-2</v>
      </c>
      <c r="DP72" s="636">
        <v>0</v>
      </c>
      <c r="DQ72" s="636">
        <v>0</v>
      </c>
      <c r="DR72" s="636">
        <v>0</v>
      </c>
      <c r="DS72" s="637">
        <v>0</v>
      </c>
      <c r="DT72" s="637">
        <v>0</v>
      </c>
      <c r="DU72" s="637">
        <v>0</v>
      </c>
      <c r="DV72" s="637">
        <v>0</v>
      </c>
      <c r="DW72" s="637">
        <v>0</v>
      </c>
      <c r="DX72" s="637">
        <v>0</v>
      </c>
      <c r="DY72" s="637">
        <v>0</v>
      </c>
      <c r="DZ72" s="637">
        <v>0</v>
      </c>
      <c r="EA72" s="637">
        <v>0</v>
      </c>
      <c r="EB72" s="637">
        <v>0</v>
      </c>
      <c r="EC72" s="637">
        <v>0</v>
      </c>
      <c r="ED72" s="637">
        <v>0</v>
      </c>
    </row>
    <row r="73" spans="1:134" ht="15" x14ac:dyDescent="0.25">
      <c r="A73" s="555">
        <v>129</v>
      </c>
      <c r="B73" s="555">
        <v>83</v>
      </c>
      <c r="C73" s="555" t="s">
        <v>1056</v>
      </c>
      <c r="D73" s="812">
        <v>99705</v>
      </c>
      <c r="E73" s="812">
        <v>99705</v>
      </c>
      <c r="F73" s="630" t="s">
        <v>989</v>
      </c>
      <c r="G73" s="45">
        <v>98</v>
      </c>
      <c r="H73" s="45">
        <v>42</v>
      </c>
      <c r="I73" s="45">
        <v>33</v>
      </c>
      <c r="J73" s="45">
        <v>9</v>
      </c>
      <c r="K73" s="45">
        <v>5</v>
      </c>
      <c r="L73" s="45">
        <v>29</v>
      </c>
      <c r="M73" s="45">
        <v>34</v>
      </c>
      <c r="N73" s="45">
        <v>5</v>
      </c>
      <c r="O73" s="45">
        <v>0</v>
      </c>
      <c r="P73" s="45">
        <v>0</v>
      </c>
      <c r="Q73" s="45">
        <v>39</v>
      </c>
      <c r="R73" s="45">
        <v>4566.2</v>
      </c>
      <c r="S73" s="45">
        <v>1846.7931034482758</v>
      </c>
      <c r="T73" s="45">
        <v>2246.705882352941</v>
      </c>
      <c r="U73" s="45">
        <v>5453.2</v>
      </c>
      <c r="V73" s="45">
        <v>0</v>
      </c>
      <c r="W73" s="45">
        <v>0</v>
      </c>
      <c r="X73" s="45">
        <v>2657.7948717948716</v>
      </c>
      <c r="Y73" s="45">
        <v>6.1764705882352944</v>
      </c>
      <c r="Z73" s="45">
        <v>35.823529411764703</v>
      </c>
      <c r="AA73" s="45">
        <v>0</v>
      </c>
      <c r="AB73" s="508">
        <v>5</v>
      </c>
      <c r="AC73" s="508">
        <v>0</v>
      </c>
      <c r="AD73" s="631">
        <v>47</v>
      </c>
      <c r="AE73" s="632">
        <v>4.8529411764705888</v>
      </c>
      <c r="AF73" s="632">
        <v>28.147058823529409</v>
      </c>
      <c r="AG73" s="633">
        <v>33</v>
      </c>
      <c r="AH73" s="632">
        <v>0</v>
      </c>
      <c r="AI73" s="632">
        <v>5.7327016778347266</v>
      </c>
      <c r="AJ73" s="632">
        <v>33.249669731441415</v>
      </c>
      <c r="AK73" s="632">
        <v>38.982371409276141</v>
      </c>
      <c r="AL73" s="632">
        <v>0</v>
      </c>
      <c r="AM73" s="632">
        <v>4.5273684301120296</v>
      </c>
      <c r="AN73" s="632">
        <v>26.258736894649765</v>
      </c>
      <c r="AO73" s="632">
        <v>30.786105324761795</v>
      </c>
      <c r="AP73" s="632">
        <v>0</v>
      </c>
      <c r="AQ73" s="632">
        <v>4.7005383366745468</v>
      </c>
      <c r="AR73" s="632">
        <v>0</v>
      </c>
      <c r="AS73" s="632">
        <v>36.181554302160713</v>
      </c>
      <c r="AT73" s="632">
        <v>37.555862231770448</v>
      </c>
      <c r="AU73" s="632">
        <v>38.982371409276141</v>
      </c>
      <c r="AV73" s="632">
        <v>40.463064629234374</v>
      </c>
      <c r="AW73" s="632">
        <v>42</v>
      </c>
      <c r="AX73" s="632">
        <v>28.720735789918987</v>
      </c>
      <c r="AY73" s="632">
        <v>29.73549389253694</v>
      </c>
      <c r="AZ73" s="632">
        <v>30.786105324761795</v>
      </c>
      <c r="BA73" s="632">
        <v>31.8738368527722</v>
      </c>
      <c r="BB73" s="632">
        <v>33</v>
      </c>
      <c r="BC73" s="632">
        <v>4.4190121309094232</v>
      </c>
      <c r="BD73" s="632">
        <v>4.5576019935454681</v>
      </c>
      <c r="BE73" s="632">
        <v>4.7005383366745468</v>
      </c>
      <c r="BF73" s="632">
        <v>4.8479574754088688</v>
      </c>
      <c r="BG73" s="632">
        <v>5</v>
      </c>
      <c r="BH73" s="634">
        <v>42.477132292783239</v>
      </c>
      <c r="BI73" s="634">
        <v>42.959684948062105</v>
      </c>
      <c r="BJ73" s="634">
        <v>43.447719542741019</v>
      </c>
      <c r="BK73" s="635">
        <v>43.558397271642306</v>
      </c>
      <c r="BL73" s="635">
        <v>43.669075000543586</v>
      </c>
      <c r="BM73" s="635">
        <v>43.779752729444866</v>
      </c>
      <c r="BN73" s="635">
        <v>43.89043045834616</v>
      </c>
      <c r="BO73" s="635">
        <v>44.021299613623455</v>
      </c>
      <c r="BP73" s="635">
        <v>44.152168768900751</v>
      </c>
      <c r="BQ73" s="635">
        <v>44.514975636358677</v>
      </c>
      <c r="BR73" s="635">
        <v>44.947235185841144</v>
      </c>
      <c r="BS73" s="635">
        <v>45.137031843683971</v>
      </c>
      <c r="BT73" s="635">
        <v>45.24125983274574</v>
      </c>
      <c r="BU73" s="635">
        <v>45.349197749705731</v>
      </c>
      <c r="BV73" s="635">
        <v>45.459732616194451</v>
      </c>
      <c r="BW73" s="634">
        <v>33.374889658615402</v>
      </c>
      <c r="BX73" s="634">
        <v>33.754038173477369</v>
      </c>
      <c r="BY73" s="634">
        <v>34.137493926439376</v>
      </c>
      <c r="BZ73" s="635">
        <v>34.224454999147532</v>
      </c>
      <c r="CA73" s="635">
        <v>34.311416071855682</v>
      </c>
      <c r="CB73" s="635">
        <v>34.398377144563831</v>
      </c>
      <c r="CC73" s="635">
        <v>34.48533821727198</v>
      </c>
      <c r="CD73" s="635">
        <v>34.58816398213272</v>
      </c>
      <c r="CE73" s="635">
        <v>34.690989746993452</v>
      </c>
      <c r="CF73" s="635">
        <v>34.976052285710395</v>
      </c>
      <c r="CG73" s="635">
        <v>35.315684788875188</v>
      </c>
      <c r="CH73" s="635">
        <v>35.464810734323123</v>
      </c>
      <c r="CI73" s="635">
        <v>35.54670415430023</v>
      </c>
      <c r="CJ73" s="635">
        <v>35.631512517625936</v>
      </c>
      <c r="CK73" s="635">
        <v>35.718361341295648</v>
      </c>
      <c r="CL73" s="634">
        <v>5.0568014634265754</v>
      </c>
      <c r="CM73" s="634">
        <v>5.1142482081026319</v>
      </c>
      <c r="CN73" s="634">
        <v>5.1723475646120267</v>
      </c>
      <c r="CO73" s="635">
        <v>5.1855234847193232</v>
      </c>
      <c r="CP73" s="635">
        <v>5.198699404826618</v>
      </c>
      <c r="CQ73" s="635">
        <v>5.2118753249339136</v>
      </c>
      <c r="CR73" s="635">
        <v>5.2250512450412092</v>
      </c>
      <c r="CS73" s="635">
        <v>5.2406309063837453</v>
      </c>
      <c r="CT73" s="635">
        <v>5.2562105677262805</v>
      </c>
      <c r="CU73" s="635">
        <v>5.2994018614712717</v>
      </c>
      <c r="CV73" s="635">
        <v>5.3508613316477556</v>
      </c>
      <c r="CW73" s="635">
        <v>5.3734561718671392</v>
      </c>
      <c r="CX73" s="635">
        <v>5.3858642658030655</v>
      </c>
      <c r="CY73" s="635">
        <v>5.3987140178221109</v>
      </c>
      <c r="CZ73" s="635">
        <v>5.4118729304993405</v>
      </c>
      <c r="DA73" s="636">
        <v>0</v>
      </c>
      <c r="DB73" s="636">
        <v>0</v>
      </c>
      <c r="DC73" s="636">
        <v>0</v>
      </c>
      <c r="DD73" s="637">
        <v>0</v>
      </c>
      <c r="DE73" s="637">
        <v>0</v>
      </c>
      <c r="DF73" s="637">
        <v>0</v>
      </c>
      <c r="DG73" s="637">
        <v>0</v>
      </c>
      <c r="DH73" s="637">
        <v>0</v>
      </c>
      <c r="DI73" s="637">
        <v>0</v>
      </c>
      <c r="DJ73" s="637">
        <v>0</v>
      </c>
      <c r="DK73" s="637">
        <v>0</v>
      </c>
      <c r="DL73" s="637">
        <v>0</v>
      </c>
      <c r="DM73" s="637">
        <v>0</v>
      </c>
      <c r="DN73" s="637">
        <v>0</v>
      </c>
      <c r="DO73" s="637">
        <v>0</v>
      </c>
      <c r="DP73" s="636">
        <v>0</v>
      </c>
      <c r="DQ73" s="636">
        <v>0</v>
      </c>
      <c r="DR73" s="636">
        <v>0</v>
      </c>
      <c r="DS73" s="637">
        <v>0</v>
      </c>
      <c r="DT73" s="637">
        <v>0</v>
      </c>
      <c r="DU73" s="637">
        <v>0</v>
      </c>
      <c r="DV73" s="637">
        <v>0</v>
      </c>
      <c r="DW73" s="637">
        <v>0</v>
      </c>
      <c r="DX73" s="637">
        <v>0</v>
      </c>
      <c r="DY73" s="637">
        <v>0</v>
      </c>
      <c r="DZ73" s="637">
        <v>0</v>
      </c>
      <c r="EA73" s="637">
        <v>0</v>
      </c>
      <c r="EB73" s="637">
        <v>0</v>
      </c>
      <c r="EC73" s="637">
        <v>0</v>
      </c>
      <c r="ED73" s="637">
        <v>0</v>
      </c>
    </row>
    <row r="74" spans="1:134" ht="15" x14ac:dyDescent="0.25">
      <c r="A74" s="555">
        <v>130</v>
      </c>
      <c r="B74" s="555">
        <v>83</v>
      </c>
      <c r="C74" s="555" t="s">
        <v>1057</v>
      </c>
      <c r="D74" s="812">
        <v>99705</v>
      </c>
      <c r="E74" s="812">
        <v>99705</v>
      </c>
      <c r="F74" s="630" t="s">
        <v>989</v>
      </c>
      <c r="G74" s="45">
        <v>139</v>
      </c>
      <c r="H74" s="45">
        <v>69</v>
      </c>
      <c r="I74" s="45">
        <v>65</v>
      </c>
      <c r="J74" s="45">
        <v>4</v>
      </c>
      <c r="K74" s="45">
        <v>3</v>
      </c>
      <c r="L74" s="45">
        <v>11</v>
      </c>
      <c r="M74" s="45">
        <v>14</v>
      </c>
      <c r="N74" s="45">
        <v>2</v>
      </c>
      <c r="O74" s="45">
        <v>0</v>
      </c>
      <c r="P74" s="45">
        <v>0</v>
      </c>
      <c r="Q74" s="45">
        <v>16</v>
      </c>
      <c r="R74" s="45">
        <v>5424</v>
      </c>
      <c r="S74" s="45">
        <v>2372.6363636363635</v>
      </c>
      <c r="T74" s="45">
        <v>3026.5</v>
      </c>
      <c r="U74" s="45">
        <v>3908</v>
      </c>
      <c r="V74" s="45">
        <v>0</v>
      </c>
      <c r="W74" s="45">
        <v>0</v>
      </c>
      <c r="X74" s="45">
        <v>3136.6875</v>
      </c>
      <c r="Y74" s="45">
        <v>14.785714285714286</v>
      </c>
      <c r="Z74" s="45">
        <v>54.214285714285715</v>
      </c>
      <c r="AA74" s="45">
        <v>0</v>
      </c>
      <c r="AB74" s="508">
        <v>2</v>
      </c>
      <c r="AC74" s="508">
        <v>0</v>
      </c>
      <c r="AD74" s="631">
        <v>71</v>
      </c>
      <c r="AE74" s="632">
        <v>13.928571428571431</v>
      </c>
      <c r="AF74" s="632">
        <v>51.071428571428577</v>
      </c>
      <c r="AG74" s="633">
        <v>65</v>
      </c>
      <c r="AH74" s="632">
        <v>0</v>
      </c>
      <c r="AI74" s="632">
        <v>13.723385853265581</v>
      </c>
      <c r="AJ74" s="632">
        <v>50.319081461973795</v>
      </c>
      <c r="AK74" s="632">
        <v>64.042467315239378</v>
      </c>
      <c r="AL74" s="632">
        <v>0</v>
      </c>
      <c r="AM74" s="632">
        <v>12.994135364347514</v>
      </c>
      <c r="AN74" s="632">
        <v>47.645163002607546</v>
      </c>
      <c r="AO74" s="632">
        <v>60.63929836695506</v>
      </c>
      <c r="AP74" s="632">
        <v>0</v>
      </c>
      <c r="AQ74" s="632">
        <v>1.8802153346698185</v>
      </c>
      <c r="AR74" s="632">
        <v>0</v>
      </c>
      <c r="AS74" s="632">
        <v>59.441124924978318</v>
      </c>
      <c r="AT74" s="632">
        <v>61.698916523622884</v>
      </c>
      <c r="AU74" s="632">
        <v>64.042467315239378</v>
      </c>
      <c r="AV74" s="632">
        <v>66.475034748027895</v>
      </c>
      <c r="AW74" s="632">
        <v>69</v>
      </c>
      <c r="AX74" s="632">
        <v>56.571146252870733</v>
      </c>
      <c r="AY74" s="632">
        <v>58.56991221257276</v>
      </c>
      <c r="AZ74" s="632">
        <v>60.639298366955053</v>
      </c>
      <c r="BA74" s="632">
        <v>62.781799861521002</v>
      </c>
      <c r="BB74" s="632">
        <v>65</v>
      </c>
      <c r="BC74" s="632">
        <v>1.7676048523637691</v>
      </c>
      <c r="BD74" s="632">
        <v>1.823040797418187</v>
      </c>
      <c r="BE74" s="632">
        <v>1.8802153346698185</v>
      </c>
      <c r="BF74" s="632">
        <v>1.9391829901635476</v>
      </c>
      <c r="BG74" s="632">
        <v>2</v>
      </c>
      <c r="BH74" s="634">
        <v>70.482732770880915</v>
      </c>
      <c r="BI74" s="634">
        <v>71.997327809440719</v>
      </c>
      <c r="BJ74" s="634">
        <v>73.544469800149614</v>
      </c>
      <c r="BK74" s="635">
        <v>74.21246102107115</v>
      </c>
      <c r="BL74" s="635">
        <v>74.880452241992671</v>
      </c>
      <c r="BM74" s="635">
        <v>75.548443462914179</v>
      </c>
      <c r="BN74" s="635">
        <v>76.216434683835715</v>
      </c>
      <c r="BO74" s="635">
        <v>77.006290490261065</v>
      </c>
      <c r="BP74" s="635">
        <v>77.796146296686416</v>
      </c>
      <c r="BQ74" s="635">
        <v>79.985853338543834</v>
      </c>
      <c r="BR74" s="635">
        <v>82.594739399725327</v>
      </c>
      <c r="BS74" s="635">
        <v>83.740249905387486</v>
      </c>
      <c r="BT74" s="635">
        <v>84.36931396695374</v>
      </c>
      <c r="BU74" s="635">
        <v>85.020769157167607</v>
      </c>
      <c r="BV74" s="635">
        <v>85.6878981374348</v>
      </c>
      <c r="BW74" s="634">
        <v>66.396777247931297</v>
      </c>
      <c r="BX74" s="634">
        <v>67.823569675560094</v>
      </c>
      <c r="BY74" s="634">
        <v>69.281022275503261</v>
      </c>
      <c r="BZ74" s="635">
        <v>69.910289367675716</v>
      </c>
      <c r="CA74" s="635">
        <v>70.539556459848157</v>
      </c>
      <c r="CB74" s="635">
        <v>71.168823552020612</v>
      </c>
      <c r="CC74" s="635">
        <v>71.798090644193067</v>
      </c>
      <c r="CD74" s="635">
        <v>72.542157708216948</v>
      </c>
      <c r="CE74" s="635">
        <v>73.286224772240828</v>
      </c>
      <c r="CF74" s="635">
        <v>75.348992275439841</v>
      </c>
      <c r="CG74" s="635">
        <v>77.806638564958646</v>
      </c>
      <c r="CH74" s="635">
        <v>78.885742664495453</v>
      </c>
      <c r="CI74" s="635">
        <v>79.47833924423179</v>
      </c>
      <c r="CJ74" s="635">
        <v>80.092028916172382</v>
      </c>
      <c r="CK74" s="635">
        <v>80.72048375265598</v>
      </c>
      <c r="CL74" s="634">
        <v>2.042977761474809</v>
      </c>
      <c r="CM74" s="634">
        <v>2.0868790669403108</v>
      </c>
      <c r="CN74" s="634">
        <v>2.1317237623231771</v>
      </c>
      <c r="CO74" s="635">
        <v>2.1510858266977144</v>
      </c>
      <c r="CP74" s="635">
        <v>2.1704478910722509</v>
      </c>
      <c r="CQ74" s="635">
        <v>2.1898099554467878</v>
      </c>
      <c r="CR74" s="635">
        <v>2.2091720198213247</v>
      </c>
      <c r="CS74" s="635">
        <v>2.2320663910220597</v>
      </c>
      <c r="CT74" s="635">
        <v>2.2549607622227947</v>
      </c>
      <c r="CU74" s="635">
        <v>2.3184305315519951</v>
      </c>
      <c r="CV74" s="635">
        <v>2.3940504173833426</v>
      </c>
      <c r="CW74" s="635">
        <v>2.427253620446014</v>
      </c>
      <c r="CX74" s="635">
        <v>2.4454873613609776</v>
      </c>
      <c r="CY74" s="635">
        <v>2.4643701204976116</v>
      </c>
      <c r="CZ74" s="635">
        <v>2.4837071923894145</v>
      </c>
      <c r="DA74" s="636">
        <v>0</v>
      </c>
      <c r="DB74" s="636">
        <v>0</v>
      </c>
      <c r="DC74" s="636">
        <v>0</v>
      </c>
      <c r="DD74" s="637">
        <v>0</v>
      </c>
      <c r="DE74" s="637">
        <v>0</v>
      </c>
      <c r="DF74" s="637">
        <v>0</v>
      </c>
      <c r="DG74" s="637">
        <v>0</v>
      </c>
      <c r="DH74" s="637">
        <v>0</v>
      </c>
      <c r="DI74" s="637">
        <v>0</v>
      </c>
      <c r="DJ74" s="637">
        <v>0</v>
      </c>
      <c r="DK74" s="637">
        <v>0</v>
      </c>
      <c r="DL74" s="637">
        <v>0</v>
      </c>
      <c r="DM74" s="637">
        <v>0</v>
      </c>
      <c r="DN74" s="637">
        <v>0</v>
      </c>
      <c r="DO74" s="637">
        <v>0</v>
      </c>
      <c r="DP74" s="636">
        <v>0</v>
      </c>
      <c r="DQ74" s="636">
        <v>0</v>
      </c>
      <c r="DR74" s="636">
        <v>0</v>
      </c>
      <c r="DS74" s="637">
        <v>0</v>
      </c>
      <c r="DT74" s="637">
        <v>0</v>
      </c>
      <c r="DU74" s="637">
        <v>0</v>
      </c>
      <c r="DV74" s="637">
        <v>0</v>
      </c>
      <c r="DW74" s="637">
        <v>0</v>
      </c>
      <c r="DX74" s="637">
        <v>0</v>
      </c>
      <c r="DY74" s="637">
        <v>0</v>
      </c>
      <c r="DZ74" s="637">
        <v>0</v>
      </c>
      <c r="EA74" s="637">
        <v>0</v>
      </c>
      <c r="EB74" s="637">
        <v>0</v>
      </c>
      <c r="EC74" s="637">
        <v>0</v>
      </c>
      <c r="ED74" s="637">
        <v>0</v>
      </c>
    </row>
    <row r="75" spans="1:134" ht="15" x14ac:dyDescent="0.25">
      <c r="A75" s="555">
        <v>124</v>
      </c>
      <c r="B75" s="555">
        <v>84</v>
      </c>
      <c r="C75" s="555" t="s">
        <v>1058</v>
      </c>
      <c r="D75" s="812">
        <v>99705</v>
      </c>
      <c r="E75" s="812">
        <v>99705</v>
      </c>
      <c r="F75" s="630" t="s">
        <v>311</v>
      </c>
      <c r="G75" s="45">
        <v>36</v>
      </c>
      <c r="H75" s="45">
        <v>13</v>
      </c>
      <c r="I75" s="45">
        <v>13</v>
      </c>
      <c r="J75" s="45">
        <v>0</v>
      </c>
      <c r="K75" s="45">
        <v>0</v>
      </c>
      <c r="L75" s="45">
        <v>32</v>
      </c>
      <c r="M75" s="45">
        <v>32</v>
      </c>
      <c r="N75" s="45">
        <v>3</v>
      </c>
      <c r="O75" s="45">
        <v>0</v>
      </c>
      <c r="P75" s="45">
        <v>0</v>
      </c>
      <c r="Q75" s="45">
        <v>35</v>
      </c>
      <c r="R75" s="45">
        <v>0</v>
      </c>
      <c r="S75" s="45">
        <v>2107</v>
      </c>
      <c r="T75" s="45">
        <v>2107</v>
      </c>
      <c r="U75" s="45">
        <v>4266.666666666667</v>
      </c>
      <c r="V75" s="45">
        <v>0</v>
      </c>
      <c r="W75" s="45">
        <v>0</v>
      </c>
      <c r="X75" s="45">
        <v>2292.1142857142859</v>
      </c>
      <c r="Y75" s="45">
        <v>0</v>
      </c>
      <c r="Z75" s="45">
        <v>13</v>
      </c>
      <c r="AA75" s="45">
        <v>0</v>
      </c>
      <c r="AB75" s="508">
        <v>3</v>
      </c>
      <c r="AC75" s="508">
        <v>0</v>
      </c>
      <c r="AD75" s="631">
        <v>16</v>
      </c>
      <c r="AE75" s="632">
        <v>0</v>
      </c>
      <c r="AF75" s="632">
        <v>13</v>
      </c>
      <c r="AG75" s="633">
        <v>13</v>
      </c>
      <c r="AH75" s="632">
        <v>0</v>
      </c>
      <c r="AI75" s="632">
        <v>0</v>
      </c>
      <c r="AJ75" s="632">
        <v>12.065972102871187</v>
      </c>
      <c r="AK75" s="632">
        <v>12.065972102871187</v>
      </c>
      <c r="AL75" s="632">
        <v>0</v>
      </c>
      <c r="AM75" s="632">
        <v>0</v>
      </c>
      <c r="AN75" s="632">
        <v>12.127859673391011</v>
      </c>
      <c r="AO75" s="632">
        <v>12.127859673391011</v>
      </c>
      <c r="AP75" s="632">
        <v>0</v>
      </c>
      <c r="AQ75" s="632">
        <v>2.8203230020047281</v>
      </c>
      <c r="AR75" s="632">
        <v>0</v>
      </c>
      <c r="AS75" s="632">
        <v>11.199052522097364</v>
      </c>
      <c r="AT75" s="632">
        <v>11.624433547928948</v>
      </c>
      <c r="AU75" s="632">
        <v>12.065972102871187</v>
      </c>
      <c r="AV75" s="632">
        <v>12.524281909048735</v>
      </c>
      <c r="AW75" s="632">
        <v>13</v>
      </c>
      <c r="AX75" s="632">
        <v>11.314229250574147</v>
      </c>
      <c r="AY75" s="632">
        <v>11.713982442514551</v>
      </c>
      <c r="AZ75" s="632">
        <v>12.127859673391011</v>
      </c>
      <c r="BA75" s="632">
        <v>12.5563599723042</v>
      </c>
      <c r="BB75" s="632">
        <v>13</v>
      </c>
      <c r="BC75" s="632">
        <v>2.6514072785456535</v>
      </c>
      <c r="BD75" s="632">
        <v>2.7345611961272809</v>
      </c>
      <c r="BE75" s="632">
        <v>2.8203230020047281</v>
      </c>
      <c r="BF75" s="632">
        <v>2.9087744852453215</v>
      </c>
      <c r="BG75" s="632">
        <v>3</v>
      </c>
      <c r="BH75" s="634">
        <v>13.054017268816354</v>
      </c>
      <c r="BI75" s="634">
        <v>13.108258988811967</v>
      </c>
      <c r="BJ75" s="634">
        <v>13.162726092620662</v>
      </c>
      <c r="BK75" s="635">
        <v>13.076186943644325</v>
      </c>
      <c r="BL75" s="635">
        <v>12.990216751603873</v>
      </c>
      <c r="BM75" s="635">
        <v>13.083471770444048</v>
      </c>
      <c r="BN75" s="635">
        <v>13.177396254521419</v>
      </c>
      <c r="BO75" s="635">
        <v>13.271995009836884</v>
      </c>
      <c r="BP75" s="635">
        <v>13.367272876892967</v>
      </c>
      <c r="BQ75" s="635">
        <v>13.463234730941512</v>
      </c>
      <c r="BR75" s="635">
        <v>13.538812282298464</v>
      </c>
      <c r="BS75" s="635">
        <v>13.614814097688784</v>
      </c>
      <c r="BT75" s="635">
        <v>13.691242558771668</v>
      </c>
      <c r="BU75" s="635">
        <v>13.768100060576046</v>
      </c>
      <c r="BV75" s="635">
        <v>13.845389011575646</v>
      </c>
      <c r="BW75" s="634">
        <v>13.054017268816354</v>
      </c>
      <c r="BX75" s="634">
        <v>13.108258988811967</v>
      </c>
      <c r="BY75" s="634">
        <v>13.162726092620662</v>
      </c>
      <c r="BZ75" s="635">
        <v>13.076186943644325</v>
      </c>
      <c r="CA75" s="635">
        <v>12.990216751603873</v>
      </c>
      <c r="CB75" s="635">
        <v>13.083471770444048</v>
      </c>
      <c r="CC75" s="635">
        <v>13.177396254521419</v>
      </c>
      <c r="CD75" s="635">
        <v>13.271995009836884</v>
      </c>
      <c r="CE75" s="635">
        <v>13.367272876892967</v>
      </c>
      <c r="CF75" s="635">
        <v>13.463234730941512</v>
      </c>
      <c r="CG75" s="635">
        <v>13.538812282298464</v>
      </c>
      <c r="CH75" s="635">
        <v>13.614814097688784</v>
      </c>
      <c r="CI75" s="635">
        <v>13.691242558771668</v>
      </c>
      <c r="CJ75" s="635">
        <v>13.768100060576046</v>
      </c>
      <c r="CK75" s="635">
        <v>13.845389011575646</v>
      </c>
      <c r="CL75" s="634">
        <v>3.0124655235730047</v>
      </c>
      <c r="CM75" s="634">
        <v>3.0249828435719923</v>
      </c>
      <c r="CN75" s="634">
        <v>3.0375521752201529</v>
      </c>
      <c r="CO75" s="635">
        <v>3.0175816023794599</v>
      </c>
      <c r="CP75" s="635">
        <v>2.9977423272932016</v>
      </c>
      <c r="CQ75" s="635">
        <v>3.0192627162563186</v>
      </c>
      <c r="CR75" s="635">
        <v>3.0409375971972503</v>
      </c>
      <c r="CS75" s="635">
        <v>3.0627680791931269</v>
      </c>
      <c r="CT75" s="635">
        <v>3.0847552792829922</v>
      </c>
      <c r="CU75" s="635">
        <v>3.1069003225249641</v>
      </c>
      <c r="CV75" s="635">
        <v>3.1243412959150301</v>
      </c>
      <c r="CW75" s="635">
        <v>3.1418801763897197</v>
      </c>
      <c r="CX75" s="635">
        <v>3.1595175135626925</v>
      </c>
      <c r="CY75" s="635">
        <v>3.1772538601329336</v>
      </c>
      <c r="CZ75" s="635">
        <v>3.1950897719020723</v>
      </c>
      <c r="DA75" s="636">
        <v>0</v>
      </c>
      <c r="DB75" s="636">
        <v>0</v>
      </c>
      <c r="DC75" s="636">
        <v>0</v>
      </c>
      <c r="DD75" s="637">
        <v>0</v>
      </c>
      <c r="DE75" s="637">
        <v>0</v>
      </c>
      <c r="DF75" s="637">
        <v>0</v>
      </c>
      <c r="DG75" s="637">
        <v>0</v>
      </c>
      <c r="DH75" s="637">
        <v>0</v>
      </c>
      <c r="DI75" s="637">
        <v>0</v>
      </c>
      <c r="DJ75" s="637">
        <v>0</v>
      </c>
      <c r="DK75" s="637">
        <v>0</v>
      </c>
      <c r="DL75" s="637">
        <v>0</v>
      </c>
      <c r="DM75" s="637">
        <v>0</v>
      </c>
      <c r="DN75" s="637">
        <v>0</v>
      </c>
      <c r="DO75" s="637">
        <v>0</v>
      </c>
      <c r="DP75" s="636">
        <v>0</v>
      </c>
      <c r="DQ75" s="636">
        <v>0</v>
      </c>
      <c r="DR75" s="636">
        <v>0</v>
      </c>
      <c r="DS75" s="637">
        <v>0</v>
      </c>
      <c r="DT75" s="637">
        <v>0</v>
      </c>
      <c r="DU75" s="637">
        <v>0</v>
      </c>
      <c r="DV75" s="637">
        <v>0</v>
      </c>
      <c r="DW75" s="637">
        <v>0</v>
      </c>
      <c r="DX75" s="637">
        <v>0</v>
      </c>
      <c r="DY75" s="637">
        <v>0</v>
      </c>
      <c r="DZ75" s="637">
        <v>0</v>
      </c>
      <c r="EA75" s="637">
        <v>0</v>
      </c>
      <c r="EB75" s="637">
        <v>0</v>
      </c>
      <c r="EC75" s="637">
        <v>0</v>
      </c>
      <c r="ED75" s="637">
        <v>0</v>
      </c>
    </row>
    <row r="76" spans="1:134" ht="15" x14ac:dyDescent="0.25">
      <c r="A76" s="555">
        <v>125</v>
      </c>
      <c r="B76" s="555">
        <v>84</v>
      </c>
      <c r="C76" s="555" t="s">
        <v>1059</v>
      </c>
      <c r="D76" s="812">
        <v>99705</v>
      </c>
      <c r="E76" s="812">
        <v>99705</v>
      </c>
      <c r="F76" s="630" t="s">
        <v>311</v>
      </c>
      <c r="G76" s="45">
        <v>91</v>
      </c>
      <c r="H76" s="45">
        <v>33</v>
      </c>
      <c r="I76" s="45">
        <v>30</v>
      </c>
      <c r="J76" s="45">
        <v>3</v>
      </c>
      <c r="K76" s="45">
        <v>0</v>
      </c>
      <c r="L76" s="45">
        <v>16</v>
      </c>
      <c r="M76" s="45">
        <v>16</v>
      </c>
      <c r="N76" s="45">
        <v>0</v>
      </c>
      <c r="O76" s="45">
        <v>0</v>
      </c>
      <c r="P76" s="45">
        <v>0</v>
      </c>
      <c r="Q76" s="45">
        <v>16</v>
      </c>
      <c r="R76" s="45">
        <v>0</v>
      </c>
      <c r="S76" s="45">
        <v>2302.8125</v>
      </c>
      <c r="T76" s="45">
        <v>2302.8125</v>
      </c>
      <c r="U76" s="45">
        <v>0</v>
      </c>
      <c r="V76" s="45">
        <v>0</v>
      </c>
      <c r="W76" s="45">
        <v>0</v>
      </c>
      <c r="X76" s="45">
        <v>2302.8125</v>
      </c>
      <c r="Y76" s="45">
        <v>0</v>
      </c>
      <c r="Z76" s="45">
        <v>33</v>
      </c>
      <c r="AA76" s="45">
        <v>0</v>
      </c>
      <c r="AB76" s="508">
        <v>0</v>
      </c>
      <c r="AC76" s="508">
        <v>0</v>
      </c>
      <c r="AD76" s="631">
        <v>33</v>
      </c>
      <c r="AE76" s="632">
        <v>0</v>
      </c>
      <c r="AF76" s="632">
        <v>30</v>
      </c>
      <c r="AG76" s="633">
        <v>30</v>
      </c>
      <c r="AH76" s="632">
        <v>0</v>
      </c>
      <c r="AI76" s="632">
        <v>0</v>
      </c>
      <c r="AJ76" s="632">
        <v>30.629006107288397</v>
      </c>
      <c r="AK76" s="632">
        <v>30.629006107288397</v>
      </c>
      <c r="AL76" s="632">
        <v>0</v>
      </c>
      <c r="AM76" s="632">
        <v>0</v>
      </c>
      <c r="AN76" s="632">
        <v>27.987368477056179</v>
      </c>
      <c r="AO76" s="632">
        <v>27.987368477056179</v>
      </c>
      <c r="AP76" s="632">
        <v>0</v>
      </c>
      <c r="AQ76" s="632">
        <v>0</v>
      </c>
      <c r="AR76" s="632">
        <v>0</v>
      </c>
      <c r="AS76" s="632">
        <v>28.428364094554848</v>
      </c>
      <c r="AT76" s="632">
        <v>29.508177467819639</v>
      </c>
      <c r="AU76" s="632">
        <v>30.629006107288397</v>
      </c>
      <c r="AV76" s="632">
        <v>31.792407922969865</v>
      </c>
      <c r="AW76" s="632">
        <v>33</v>
      </c>
      <c r="AX76" s="632">
        <v>26.109759809017262</v>
      </c>
      <c r="AY76" s="632">
        <v>27.032267175033581</v>
      </c>
      <c r="AZ76" s="632">
        <v>27.987368477056179</v>
      </c>
      <c r="BA76" s="632">
        <v>28.976215320702</v>
      </c>
      <c r="BB76" s="632">
        <v>30</v>
      </c>
      <c r="BC76" s="632">
        <v>0</v>
      </c>
      <c r="BD76" s="632">
        <v>0</v>
      </c>
      <c r="BE76" s="632">
        <v>0</v>
      </c>
      <c r="BF76" s="632">
        <v>0</v>
      </c>
      <c r="BG76" s="632">
        <v>0</v>
      </c>
      <c r="BH76" s="634">
        <v>33.374889658615402</v>
      </c>
      <c r="BI76" s="634">
        <v>33.754038173477369</v>
      </c>
      <c r="BJ76" s="634">
        <v>34.137493926439376</v>
      </c>
      <c r="BK76" s="635">
        <v>34.334518597906637</v>
      </c>
      <c r="BL76" s="635">
        <v>34.531543269373906</v>
      </c>
      <c r="BM76" s="635">
        <v>34.728567940841167</v>
      </c>
      <c r="BN76" s="635">
        <v>34.925592612308428</v>
      </c>
      <c r="BO76" s="635">
        <v>35.158561363833009</v>
      </c>
      <c r="BP76" s="635">
        <v>35.39153011535759</v>
      </c>
      <c r="BQ76" s="635">
        <v>36.037386373672398</v>
      </c>
      <c r="BR76" s="635">
        <v>36.806879898438638</v>
      </c>
      <c r="BS76" s="635">
        <v>37.144749355359096</v>
      </c>
      <c r="BT76" s="635">
        <v>37.330292422663142</v>
      </c>
      <c r="BU76" s="635">
        <v>37.522439775513767</v>
      </c>
      <c r="BV76" s="635">
        <v>37.719210128247006</v>
      </c>
      <c r="BW76" s="634">
        <v>30.340808780559453</v>
      </c>
      <c r="BX76" s="634">
        <v>30.685489248615792</v>
      </c>
      <c r="BY76" s="634">
        <v>31.03408538767216</v>
      </c>
      <c r="BZ76" s="635">
        <v>31.213198725369672</v>
      </c>
      <c r="CA76" s="635">
        <v>31.392312063067184</v>
      </c>
      <c r="CB76" s="635">
        <v>31.571425400764696</v>
      </c>
      <c r="CC76" s="635">
        <v>31.750538738462211</v>
      </c>
      <c r="CD76" s="635">
        <v>31.962328512575464</v>
      </c>
      <c r="CE76" s="635">
        <v>32.174118286688717</v>
      </c>
      <c r="CF76" s="635">
        <v>32.761260339702183</v>
      </c>
      <c r="CG76" s="635">
        <v>33.460799907671493</v>
      </c>
      <c r="CH76" s="635">
        <v>33.767953959417355</v>
      </c>
      <c r="CI76" s="635">
        <v>33.936629475148308</v>
      </c>
      <c r="CJ76" s="635">
        <v>34.111308886830699</v>
      </c>
      <c r="CK76" s="635">
        <v>34.2901910256791</v>
      </c>
      <c r="CL76" s="634">
        <v>0</v>
      </c>
      <c r="CM76" s="634">
        <v>0</v>
      </c>
      <c r="CN76" s="634">
        <v>0</v>
      </c>
      <c r="CO76" s="635">
        <v>0</v>
      </c>
      <c r="CP76" s="635">
        <v>0</v>
      </c>
      <c r="CQ76" s="635">
        <v>0</v>
      </c>
      <c r="CR76" s="635">
        <v>0</v>
      </c>
      <c r="CS76" s="635">
        <v>0</v>
      </c>
      <c r="CT76" s="635">
        <v>0</v>
      </c>
      <c r="CU76" s="635">
        <v>0</v>
      </c>
      <c r="CV76" s="635">
        <v>0</v>
      </c>
      <c r="CW76" s="635">
        <v>0</v>
      </c>
      <c r="CX76" s="635">
        <v>0</v>
      </c>
      <c r="CY76" s="635">
        <v>0</v>
      </c>
      <c r="CZ76" s="635">
        <v>0</v>
      </c>
      <c r="DA76" s="636">
        <v>0</v>
      </c>
      <c r="DB76" s="636">
        <v>0</v>
      </c>
      <c r="DC76" s="636">
        <v>0</v>
      </c>
      <c r="DD76" s="637">
        <v>0</v>
      </c>
      <c r="DE76" s="637">
        <v>0</v>
      </c>
      <c r="DF76" s="637">
        <v>0</v>
      </c>
      <c r="DG76" s="637">
        <v>0</v>
      </c>
      <c r="DH76" s="637">
        <v>0</v>
      </c>
      <c r="DI76" s="637">
        <v>0</v>
      </c>
      <c r="DJ76" s="637">
        <v>0</v>
      </c>
      <c r="DK76" s="637">
        <v>0</v>
      </c>
      <c r="DL76" s="637">
        <v>0</v>
      </c>
      <c r="DM76" s="637">
        <v>0</v>
      </c>
      <c r="DN76" s="637">
        <v>0</v>
      </c>
      <c r="DO76" s="637">
        <v>0</v>
      </c>
      <c r="DP76" s="636">
        <v>0</v>
      </c>
      <c r="DQ76" s="636">
        <v>0</v>
      </c>
      <c r="DR76" s="636">
        <v>0</v>
      </c>
      <c r="DS76" s="637">
        <v>0</v>
      </c>
      <c r="DT76" s="637">
        <v>0</v>
      </c>
      <c r="DU76" s="637">
        <v>0</v>
      </c>
      <c r="DV76" s="637">
        <v>0</v>
      </c>
      <c r="DW76" s="637">
        <v>0</v>
      </c>
      <c r="DX76" s="637">
        <v>0</v>
      </c>
      <c r="DY76" s="637">
        <v>0</v>
      </c>
      <c r="DZ76" s="637">
        <v>0</v>
      </c>
      <c r="EA76" s="637">
        <v>0</v>
      </c>
      <c r="EB76" s="637">
        <v>0</v>
      </c>
      <c r="EC76" s="637">
        <v>0</v>
      </c>
      <c r="ED76" s="637">
        <v>0</v>
      </c>
    </row>
    <row r="77" spans="1:134" ht="15" x14ac:dyDescent="0.25">
      <c r="A77" s="555">
        <v>128</v>
      </c>
      <c r="B77" s="555">
        <v>84</v>
      </c>
      <c r="C77" s="555" t="s">
        <v>1060</v>
      </c>
      <c r="D77" s="812">
        <v>99705</v>
      </c>
      <c r="E77" s="812">
        <v>99705</v>
      </c>
      <c r="F77" s="630" t="s">
        <v>989</v>
      </c>
      <c r="G77" s="45">
        <v>215</v>
      </c>
      <c r="H77" s="45">
        <v>87</v>
      </c>
      <c r="I77" s="45">
        <v>80</v>
      </c>
      <c r="J77" s="45">
        <v>7</v>
      </c>
      <c r="K77" s="45">
        <v>2</v>
      </c>
      <c r="L77" s="45">
        <v>55</v>
      </c>
      <c r="M77" s="45">
        <v>57</v>
      </c>
      <c r="N77" s="45">
        <v>4</v>
      </c>
      <c r="O77" s="45">
        <v>0</v>
      </c>
      <c r="P77" s="45">
        <v>0</v>
      </c>
      <c r="Q77" s="45">
        <v>61</v>
      </c>
      <c r="R77" s="45">
        <v>7079.5</v>
      </c>
      <c r="S77" s="45">
        <v>1760.2</v>
      </c>
      <c r="T77" s="45">
        <v>1946.8421052631579</v>
      </c>
      <c r="U77" s="45">
        <v>3928.5</v>
      </c>
      <c r="V77" s="45">
        <v>0</v>
      </c>
      <c r="W77" s="45">
        <v>0</v>
      </c>
      <c r="X77" s="45">
        <v>2076.7868852459014</v>
      </c>
      <c r="Y77" s="45">
        <v>3.0526315789473686</v>
      </c>
      <c r="Z77" s="45">
        <v>83.94736842105263</v>
      </c>
      <c r="AA77" s="45">
        <v>0</v>
      </c>
      <c r="AB77" s="508">
        <v>4</v>
      </c>
      <c r="AC77" s="508">
        <v>0</v>
      </c>
      <c r="AD77" s="631">
        <v>91</v>
      </c>
      <c r="AE77" s="632">
        <v>2.8070175438596494</v>
      </c>
      <c r="AF77" s="632">
        <v>77.192982456140342</v>
      </c>
      <c r="AG77" s="633">
        <v>79.999999999999986</v>
      </c>
      <c r="AH77" s="632">
        <v>0</v>
      </c>
      <c r="AI77" s="632">
        <v>2.8333051901478901</v>
      </c>
      <c r="AJ77" s="632">
        <v>77.915892729066968</v>
      </c>
      <c r="AK77" s="632">
        <v>80.749197919214865</v>
      </c>
      <c r="AL77" s="632">
        <v>0</v>
      </c>
      <c r="AM77" s="632">
        <v>2.6187011440520402</v>
      </c>
      <c r="AN77" s="632">
        <v>72.014281461431096</v>
      </c>
      <c r="AO77" s="632">
        <v>74.632982605483136</v>
      </c>
      <c r="AP77" s="632">
        <v>0</v>
      </c>
      <c r="AQ77" s="632">
        <v>3.760430669339637</v>
      </c>
      <c r="AR77" s="632">
        <v>0</v>
      </c>
      <c r="AS77" s="632">
        <v>74.947505340190048</v>
      </c>
      <c r="AT77" s="632">
        <v>77.794286051524509</v>
      </c>
      <c r="AU77" s="632">
        <v>80.749197919214865</v>
      </c>
      <c r="AV77" s="632">
        <v>83.816348160556913</v>
      </c>
      <c r="AW77" s="632">
        <v>87</v>
      </c>
      <c r="AX77" s="632">
        <v>69.626026157379357</v>
      </c>
      <c r="AY77" s="632">
        <v>72.086045800089536</v>
      </c>
      <c r="AZ77" s="632">
        <v>74.632982605483136</v>
      </c>
      <c r="BA77" s="632">
        <v>77.269907521871986</v>
      </c>
      <c r="BB77" s="632">
        <v>79.999999999999986</v>
      </c>
      <c r="BC77" s="632">
        <v>3.5352097047275381</v>
      </c>
      <c r="BD77" s="632">
        <v>3.6460815948363741</v>
      </c>
      <c r="BE77" s="632">
        <v>3.760430669339637</v>
      </c>
      <c r="BF77" s="632">
        <v>3.8783659803270951</v>
      </c>
      <c r="BG77" s="632">
        <v>4</v>
      </c>
      <c r="BH77" s="634">
        <v>88.869532624154189</v>
      </c>
      <c r="BI77" s="634">
        <v>90.779239411903518</v>
      </c>
      <c r="BJ77" s="634">
        <v>92.729983661058199</v>
      </c>
      <c r="BK77" s="635">
        <v>93.572233461350564</v>
      </c>
      <c r="BL77" s="635">
        <v>94.414483261642914</v>
      </c>
      <c r="BM77" s="635">
        <v>95.256733061935265</v>
      </c>
      <c r="BN77" s="635">
        <v>96.098982862227629</v>
      </c>
      <c r="BO77" s="635">
        <v>97.094888009459581</v>
      </c>
      <c r="BP77" s="635">
        <v>98.090793156691561</v>
      </c>
      <c r="BQ77" s="635">
        <v>100.85172812251179</v>
      </c>
      <c r="BR77" s="635">
        <v>104.1411931561754</v>
      </c>
      <c r="BS77" s="635">
        <v>105.5855324894016</v>
      </c>
      <c r="BT77" s="635">
        <v>106.37870021920253</v>
      </c>
      <c r="BU77" s="635">
        <v>107.2001002416461</v>
      </c>
      <c r="BV77" s="635">
        <v>108.04126286893953</v>
      </c>
      <c r="BW77" s="634">
        <v>81.719110458992347</v>
      </c>
      <c r="BX77" s="634">
        <v>83.475162677612417</v>
      </c>
      <c r="BY77" s="634">
        <v>85.268950492927061</v>
      </c>
      <c r="BZ77" s="635">
        <v>86.043433067908552</v>
      </c>
      <c r="CA77" s="635">
        <v>86.817915642890014</v>
      </c>
      <c r="CB77" s="635">
        <v>87.592398217871491</v>
      </c>
      <c r="CC77" s="635">
        <v>88.366880792852982</v>
      </c>
      <c r="CD77" s="635">
        <v>89.282655640882354</v>
      </c>
      <c r="CE77" s="635">
        <v>90.198430488911768</v>
      </c>
      <c r="CF77" s="635">
        <v>92.737221262079785</v>
      </c>
      <c r="CG77" s="635">
        <v>95.762016695333685</v>
      </c>
      <c r="CH77" s="635">
        <v>97.090144817840525</v>
      </c>
      <c r="CI77" s="635">
        <v>97.819494454439081</v>
      </c>
      <c r="CJ77" s="635">
        <v>98.574804819904429</v>
      </c>
      <c r="CK77" s="635">
        <v>99.348287695576559</v>
      </c>
      <c r="CL77" s="634">
        <v>4.0859555229496181</v>
      </c>
      <c r="CM77" s="634">
        <v>4.1737581338806216</v>
      </c>
      <c r="CN77" s="634">
        <v>4.2634475246463541</v>
      </c>
      <c r="CO77" s="635">
        <v>4.3021716533954288</v>
      </c>
      <c r="CP77" s="635">
        <v>4.3408957821445018</v>
      </c>
      <c r="CQ77" s="635">
        <v>4.3796199108935756</v>
      </c>
      <c r="CR77" s="635">
        <v>4.4183440396426494</v>
      </c>
      <c r="CS77" s="635">
        <v>4.4641327820441195</v>
      </c>
      <c r="CT77" s="635">
        <v>4.5099215244455895</v>
      </c>
      <c r="CU77" s="635">
        <v>4.6368610631039902</v>
      </c>
      <c r="CV77" s="635">
        <v>4.7881008347666851</v>
      </c>
      <c r="CW77" s="635">
        <v>4.854507240892028</v>
      </c>
      <c r="CX77" s="635">
        <v>4.8909747227219551</v>
      </c>
      <c r="CY77" s="635">
        <v>4.9287402409952232</v>
      </c>
      <c r="CZ77" s="635">
        <v>4.967414384778829</v>
      </c>
      <c r="DA77" s="636">
        <v>0</v>
      </c>
      <c r="DB77" s="636">
        <v>0</v>
      </c>
      <c r="DC77" s="636">
        <v>0</v>
      </c>
      <c r="DD77" s="637">
        <v>0</v>
      </c>
      <c r="DE77" s="637">
        <v>0</v>
      </c>
      <c r="DF77" s="637">
        <v>0</v>
      </c>
      <c r="DG77" s="637">
        <v>0</v>
      </c>
      <c r="DH77" s="637">
        <v>0</v>
      </c>
      <c r="DI77" s="637">
        <v>0</v>
      </c>
      <c r="DJ77" s="637">
        <v>0</v>
      </c>
      <c r="DK77" s="637">
        <v>0</v>
      </c>
      <c r="DL77" s="637">
        <v>0</v>
      </c>
      <c r="DM77" s="637">
        <v>0</v>
      </c>
      <c r="DN77" s="637">
        <v>0</v>
      </c>
      <c r="DO77" s="637">
        <v>0</v>
      </c>
      <c r="DP77" s="636">
        <v>0</v>
      </c>
      <c r="DQ77" s="636">
        <v>0</v>
      </c>
      <c r="DR77" s="636">
        <v>0</v>
      </c>
      <c r="DS77" s="637">
        <v>0</v>
      </c>
      <c r="DT77" s="637">
        <v>0</v>
      </c>
      <c r="DU77" s="637">
        <v>0</v>
      </c>
      <c r="DV77" s="637">
        <v>0</v>
      </c>
      <c r="DW77" s="637">
        <v>0</v>
      </c>
      <c r="DX77" s="637">
        <v>0</v>
      </c>
      <c r="DY77" s="637">
        <v>0</v>
      </c>
      <c r="DZ77" s="637">
        <v>0</v>
      </c>
      <c r="EA77" s="637">
        <v>0</v>
      </c>
      <c r="EB77" s="637">
        <v>0</v>
      </c>
      <c r="EC77" s="637">
        <v>0</v>
      </c>
      <c r="ED77" s="637">
        <v>0</v>
      </c>
    </row>
    <row r="78" spans="1:134" ht="15" x14ac:dyDescent="0.25">
      <c r="A78" s="555">
        <v>129</v>
      </c>
      <c r="B78" s="555">
        <v>84</v>
      </c>
      <c r="C78" s="555" t="s">
        <v>1061</v>
      </c>
      <c r="D78" s="812">
        <v>99705</v>
      </c>
      <c r="E78" s="812">
        <v>99705</v>
      </c>
      <c r="F78" s="630" t="s">
        <v>989</v>
      </c>
      <c r="G78" s="45">
        <v>295</v>
      </c>
      <c r="H78" s="45">
        <v>134</v>
      </c>
      <c r="I78" s="45">
        <v>127</v>
      </c>
      <c r="J78" s="45">
        <v>7</v>
      </c>
      <c r="K78" s="45">
        <v>6</v>
      </c>
      <c r="L78" s="45">
        <v>53</v>
      </c>
      <c r="M78" s="45">
        <v>59</v>
      </c>
      <c r="N78" s="45">
        <v>0</v>
      </c>
      <c r="O78" s="45">
        <v>0</v>
      </c>
      <c r="P78" s="45">
        <v>0</v>
      </c>
      <c r="Q78" s="45">
        <v>59</v>
      </c>
      <c r="R78" s="45">
        <v>54341.333333333336</v>
      </c>
      <c r="S78" s="45">
        <v>1797.2830188679245</v>
      </c>
      <c r="T78" s="45">
        <v>7140.7457627118647</v>
      </c>
      <c r="U78" s="45">
        <v>0</v>
      </c>
      <c r="V78" s="45">
        <v>0</v>
      </c>
      <c r="W78" s="45">
        <v>0</v>
      </c>
      <c r="X78" s="45">
        <v>7140.7457627118647</v>
      </c>
      <c r="Y78" s="45">
        <v>13.627118644067796</v>
      </c>
      <c r="Z78" s="45">
        <v>120.37288135593221</v>
      </c>
      <c r="AA78" s="45">
        <v>0</v>
      </c>
      <c r="AB78" s="508">
        <v>0</v>
      </c>
      <c r="AC78" s="508">
        <v>0</v>
      </c>
      <c r="AD78" s="631">
        <v>134</v>
      </c>
      <c r="AE78" s="632">
        <v>12.915254237288135</v>
      </c>
      <c r="AF78" s="632">
        <v>114.08474576271188</v>
      </c>
      <c r="AG78" s="633">
        <v>127.00000000000001</v>
      </c>
      <c r="AH78" s="632">
        <v>0</v>
      </c>
      <c r="AI78" s="632">
        <v>12.648033338602913</v>
      </c>
      <c r="AJ78" s="632">
        <v>111.72429449099241</v>
      </c>
      <c r="AK78" s="632">
        <v>124.37232782959532</v>
      </c>
      <c r="AL78" s="632">
        <v>0</v>
      </c>
      <c r="AM78" s="632">
        <v>12.048799310461472</v>
      </c>
      <c r="AN78" s="632">
        <v>106.43106057574303</v>
      </c>
      <c r="AO78" s="632">
        <v>118.47985988620451</v>
      </c>
      <c r="AP78" s="632">
        <v>0</v>
      </c>
      <c r="AQ78" s="632">
        <v>0</v>
      </c>
      <c r="AR78" s="632">
        <v>0</v>
      </c>
      <c r="AS78" s="632">
        <v>115.43638753546514</v>
      </c>
      <c r="AT78" s="632">
        <v>119.82108426326762</v>
      </c>
      <c r="AU78" s="632">
        <v>124.37232782959531</v>
      </c>
      <c r="AV78" s="632">
        <v>129.09644429327159</v>
      </c>
      <c r="AW78" s="632">
        <v>134</v>
      </c>
      <c r="AX78" s="632">
        <v>110.53131652483975</v>
      </c>
      <c r="AY78" s="632">
        <v>114.43659770764218</v>
      </c>
      <c r="AZ78" s="632">
        <v>118.47985988620451</v>
      </c>
      <c r="BA78" s="632">
        <v>122.66597819097181</v>
      </c>
      <c r="BB78" s="632">
        <v>127.00000000000001</v>
      </c>
      <c r="BC78" s="632">
        <v>0</v>
      </c>
      <c r="BD78" s="632">
        <v>0</v>
      </c>
      <c r="BE78" s="632">
        <v>0</v>
      </c>
      <c r="BF78" s="632">
        <v>0</v>
      </c>
      <c r="BG78" s="632">
        <v>0</v>
      </c>
      <c r="BH78" s="634">
        <v>136.8795100188122</v>
      </c>
      <c r="BI78" s="634">
        <v>139.82089748500081</v>
      </c>
      <c r="BJ78" s="634">
        <v>142.82549207565287</v>
      </c>
      <c r="BK78" s="635">
        <v>144.12275038874688</v>
      </c>
      <c r="BL78" s="635">
        <v>145.42000870184083</v>
      </c>
      <c r="BM78" s="635">
        <v>146.71726701493478</v>
      </c>
      <c r="BN78" s="635">
        <v>148.01452532802878</v>
      </c>
      <c r="BO78" s="635">
        <v>149.54844819847801</v>
      </c>
      <c r="BP78" s="635">
        <v>151.08237106892724</v>
      </c>
      <c r="BQ78" s="635">
        <v>155.33484561398367</v>
      </c>
      <c r="BR78" s="635">
        <v>160.40137796468397</v>
      </c>
      <c r="BS78" s="635">
        <v>162.62599256988292</v>
      </c>
      <c r="BT78" s="635">
        <v>163.84765321118553</v>
      </c>
      <c r="BU78" s="635">
        <v>165.11279807333997</v>
      </c>
      <c r="BV78" s="635">
        <v>166.40838189009077</v>
      </c>
      <c r="BW78" s="634">
        <v>129.72908785365038</v>
      </c>
      <c r="BX78" s="634">
        <v>132.51682075070974</v>
      </c>
      <c r="BY78" s="634">
        <v>135.36445890752177</v>
      </c>
      <c r="BZ78" s="635">
        <v>136.59394999530488</v>
      </c>
      <c r="CA78" s="635">
        <v>137.82344108308797</v>
      </c>
      <c r="CB78" s="635">
        <v>139.05293217087103</v>
      </c>
      <c r="CC78" s="635">
        <v>140.28242325865415</v>
      </c>
      <c r="CD78" s="635">
        <v>141.7362158299008</v>
      </c>
      <c r="CE78" s="635">
        <v>143.19000840114748</v>
      </c>
      <c r="CF78" s="635">
        <v>147.22033875355172</v>
      </c>
      <c r="CG78" s="635">
        <v>152.0222015038423</v>
      </c>
      <c r="CH78" s="635">
        <v>154.13060489832191</v>
      </c>
      <c r="CI78" s="635">
        <v>155.28844744642211</v>
      </c>
      <c r="CJ78" s="635">
        <v>156.48750265159836</v>
      </c>
      <c r="CK78" s="635">
        <v>157.71540671672784</v>
      </c>
      <c r="CL78" s="634">
        <v>0</v>
      </c>
      <c r="CM78" s="634">
        <v>0</v>
      </c>
      <c r="CN78" s="634">
        <v>0</v>
      </c>
      <c r="CO78" s="635">
        <v>0</v>
      </c>
      <c r="CP78" s="635">
        <v>0</v>
      </c>
      <c r="CQ78" s="635">
        <v>0</v>
      </c>
      <c r="CR78" s="635">
        <v>0</v>
      </c>
      <c r="CS78" s="635">
        <v>0</v>
      </c>
      <c r="CT78" s="635">
        <v>0</v>
      </c>
      <c r="CU78" s="635">
        <v>0</v>
      </c>
      <c r="CV78" s="635">
        <v>0</v>
      </c>
      <c r="CW78" s="635">
        <v>0</v>
      </c>
      <c r="CX78" s="635">
        <v>0</v>
      </c>
      <c r="CY78" s="635">
        <v>0</v>
      </c>
      <c r="CZ78" s="635">
        <v>0</v>
      </c>
      <c r="DA78" s="636">
        <v>0</v>
      </c>
      <c r="DB78" s="636">
        <v>0</v>
      </c>
      <c r="DC78" s="636">
        <v>0</v>
      </c>
      <c r="DD78" s="637">
        <v>0</v>
      </c>
      <c r="DE78" s="637">
        <v>0</v>
      </c>
      <c r="DF78" s="637">
        <v>0</v>
      </c>
      <c r="DG78" s="637">
        <v>0</v>
      </c>
      <c r="DH78" s="637">
        <v>0</v>
      </c>
      <c r="DI78" s="637">
        <v>0</v>
      </c>
      <c r="DJ78" s="637">
        <v>0</v>
      </c>
      <c r="DK78" s="637">
        <v>0</v>
      </c>
      <c r="DL78" s="637">
        <v>0</v>
      </c>
      <c r="DM78" s="637">
        <v>0</v>
      </c>
      <c r="DN78" s="637">
        <v>0</v>
      </c>
      <c r="DO78" s="637">
        <v>0</v>
      </c>
      <c r="DP78" s="636">
        <v>0</v>
      </c>
      <c r="DQ78" s="636">
        <v>0</v>
      </c>
      <c r="DR78" s="636">
        <v>0</v>
      </c>
      <c r="DS78" s="637">
        <v>0</v>
      </c>
      <c r="DT78" s="637">
        <v>0</v>
      </c>
      <c r="DU78" s="637">
        <v>0</v>
      </c>
      <c r="DV78" s="637">
        <v>0</v>
      </c>
      <c r="DW78" s="637">
        <v>0</v>
      </c>
      <c r="DX78" s="637">
        <v>0</v>
      </c>
      <c r="DY78" s="637">
        <v>0</v>
      </c>
      <c r="DZ78" s="637">
        <v>0</v>
      </c>
      <c r="EA78" s="637">
        <v>0</v>
      </c>
      <c r="EB78" s="637">
        <v>0</v>
      </c>
      <c r="EC78" s="637">
        <v>0</v>
      </c>
      <c r="ED78" s="637">
        <v>0</v>
      </c>
    </row>
    <row r="79" spans="1:134" ht="15" x14ac:dyDescent="0.25">
      <c r="A79" s="555">
        <v>122</v>
      </c>
      <c r="B79" s="555">
        <v>85</v>
      </c>
      <c r="C79" s="555" t="s">
        <v>1062</v>
      </c>
      <c r="D79" s="812">
        <v>99705</v>
      </c>
      <c r="E79" s="812">
        <v>99705</v>
      </c>
      <c r="F79" s="630" t="s">
        <v>311</v>
      </c>
      <c r="G79" s="45">
        <v>3</v>
      </c>
      <c r="H79" s="45">
        <v>1</v>
      </c>
      <c r="I79" s="45">
        <v>1</v>
      </c>
      <c r="J79" s="45">
        <v>0</v>
      </c>
      <c r="K79" s="45">
        <v>0</v>
      </c>
      <c r="L79" s="45">
        <v>0</v>
      </c>
      <c r="M79" s="45">
        <v>0</v>
      </c>
      <c r="N79" s="45">
        <v>1</v>
      </c>
      <c r="O79" s="45">
        <v>0</v>
      </c>
      <c r="P79" s="45">
        <v>0</v>
      </c>
      <c r="Q79" s="45">
        <v>1</v>
      </c>
      <c r="R79" s="45">
        <v>0</v>
      </c>
      <c r="S79" s="45">
        <v>0</v>
      </c>
      <c r="T79" s="45">
        <v>0</v>
      </c>
      <c r="U79" s="45">
        <v>10931</v>
      </c>
      <c r="V79" s="45">
        <v>0</v>
      </c>
      <c r="W79" s="45">
        <v>0</v>
      </c>
      <c r="X79" s="45">
        <v>10931</v>
      </c>
      <c r="Y79" s="45">
        <v>2.2912335412335411E-2</v>
      </c>
      <c r="Z79" s="45">
        <v>0.97578828828828834</v>
      </c>
      <c r="AA79" s="45">
        <v>1.2993762993762994E-3</v>
      </c>
      <c r="AB79" s="508">
        <v>1</v>
      </c>
      <c r="AC79" s="508">
        <v>0</v>
      </c>
      <c r="AD79" s="631">
        <v>2</v>
      </c>
      <c r="AE79" s="632">
        <v>2.2912335412335411E-2</v>
      </c>
      <c r="AF79" s="632">
        <v>0.97578828828828834</v>
      </c>
      <c r="AG79" s="633">
        <v>0.99870062370062374</v>
      </c>
      <c r="AH79" s="632">
        <v>1.2993762993762994E-3</v>
      </c>
      <c r="AI79" s="632">
        <v>2.1266123068989742E-2</v>
      </c>
      <c r="AJ79" s="632">
        <v>0.90567955883037798</v>
      </c>
      <c r="AK79" s="632">
        <v>0.92694568189936777</v>
      </c>
      <c r="AL79" s="632">
        <v>1.2060183214928021E-3</v>
      </c>
      <c r="AM79" s="632">
        <v>2.1375199128497804E-2</v>
      </c>
      <c r="AN79" s="632">
        <v>0.91032487933067496</v>
      </c>
      <c r="AO79" s="632">
        <v>0.9317000784591728</v>
      </c>
      <c r="AP79" s="632">
        <v>1.2122041093666051E-3</v>
      </c>
      <c r="AQ79" s="632">
        <v>0.94010766733490925</v>
      </c>
      <c r="AR79" s="632">
        <v>0</v>
      </c>
      <c r="AS79" s="632">
        <v>0.86034621066728312</v>
      </c>
      <c r="AT79" s="632">
        <v>0.89302531034485355</v>
      </c>
      <c r="AU79" s="632">
        <v>0.92694568189936777</v>
      </c>
      <c r="AV79" s="632">
        <v>0.96215447338226234</v>
      </c>
      <c r="AW79" s="632">
        <v>0.99870062370062374</v>
      </c>
      <c r="AX79" s="632">
        <v>0.86919444686463387</v>
      </c>
      <c r="AY79" s="632">
        <v>0.8999047362582645</v>
      </c>
      <c r="AZ79" s="632">
        <v>0.93170007845917269</v>
      </c>
      <c r="BA79" s="632">
        <v>0.96461881044228859</v>
      </c>
      <c r="BB79" s="632">
        <v>0.99870062370062374</v>
      </c>
      <c r="BC79" s="632">
        <v>0.88380242618188454</v>
      </c>
      <c r="BD79" s="632">
        <v>0.91152039870909352</v>
      </c>
      <c r="BE79" s="632">
        <v>0.94010766733490925</v>
      </c>
      <c r="BF79" s="632">
        <v>0.96959149508177378</v>
      </c>
      <c r="BG79" s="632">
        <v>1</v>
      </c>
      <c r="BH79" s="634">
        <v>1.0214468128158165</v>
      </c>
      <c r="BI79" s="634">
        <v>1.0447110642081177</v>
      </c>
      <c r="BJ79" s="634">
        <v>1.0685051771517533</v>
      </c>
      <c r="BK79" s="635">
        <v>1.0685051771517533</v>
      </c>
      <c r="BL79" s="635">
        <v>1.0685051771517533</v>
      </c>
      <c r="BM79" s="635">
        <v>1.0685051771517533</v>
      </c>
      <c r="BN79" s="635">
        <v>1.0685051771517533</v>
      </c>
      <c r="BO79" s="635">
        <v>1.0685051771517533</v>
      </c>
      <c r="BP79" s="635">
        <v>1.0685051771517533</v>
      </c>
      <c r="BQ79" s="635">
        <v>1.0685051771517533</v>
      </c>
      <c r="BR79" s="635">
        <v>1.0685051771517533</v>
      </c>
      <c r="BS79" s="635">
        <v>1.0685051771517533</v>
      </c>
      <c r="BT79" s="635">
        <v>1.0685051771517533</v>
      </c>
      <c r="BU79" s="635">
        <v>1.0685051771517533</v>
      </c>
      <c r="BV79" s="635">
        <v>1.0685051771517533</v>
      </c>
      <c r="BW79" s="634">
        <v>1.0214468128158165</v>
      </c>
      <c r="BX79" s="634">
        <v>1.0447110642081177</v>
      </c>
      <c r="BY79" s="634">
        <v>1.0685051771517533</v>
      </c>
      <c r="BZ79" s="635">
        <v>1.0685051771517533</v>
      </c>
      <c r="CA79" s="635">
        <v>1.0685051771517533</v>
      </c>
      <c r="CB79" s="635">
        <v>1.0685051771517533</v>
      </c>
      <c r="CC79" s="635">
        <v>1.0685051771517533</v>
      </c>
      <c r="CD79" s="635">
        <v>1.0685051771517533</v>
      </c>
      <c r="CE79" s="635">
        <v>1.0685051771517533</v>
      </c>
      <c r="CF79" s="635">
        <v>1.0685051771517533</v>
      </c>
      <c r="CG79" s="635">
        <v>1.0685051771517533</v>
      </c>
      <c r="CH79" s="635">
        <v>1.0685051771517533</v>
      </c>
      <c r="CI79" s="635">
        <v>1.0685051771517533</v>
      </c>
      <c r="CJ79" s="635">
        <v>1.0685051771517533</v>
      </c>
      <c r="CK79" s="635">
        <v>1.0685051771517533</v>
      </c>
      <c r="CL79" s="634">
        <v>1.0227757834283793</v>
      </c>
      <c r="CM79" s="634">
        <v>1.0460703031675349</v>
      </c>
      <c r="CN79" s="634">
        <v>1.0698953738433377</v>
      </c>
      <c r="CO79" s="635">
        <v>1.0698953738433377</v>
      </c>
      <c r="CP79" s="635">
        <v>1.0698953738433377</v>
      </c>
      <c r="CQ79" s="635">
        <v>1.0698953738433377</v>
      </c>
      <c r="CR79" s="635">
        <v>1.0698953738433377</v>
      </c>
      <c r="CS79" s="635">
        <v>1.0698953738433377</v>
      </c>
      <c r="CT79" s="635">
        <v>1.0698953738433377</v>
      </c>
      <c r="CU79" s="635">
        <v>1.0698953738433377</v>
      </c>
      <c r="CV79" s="635">
        <v>1.0698953738433377</v>
      </c>
      <c r="CW79" s="635">
        <v>1.0698953738433377</v>
      </c>
      <c r="CX79" s="635">
        <v>1.0698953738433377</v>
      </c>
      <c r="CY79" s="635">
        <v>1.0698953738433377</v>
      </c>
      <c r="CZ79" s="635">
        <v>1.0698953738433377</v>
      </c>
      <c r="DA79" s="636">
        <v>1.3289706125628629E-3</v>
      </c>
      <c r="DB79" s="636">
        <v>1.3592389594172753E-3</v>
      </c>
      <c r="DC79" s="636">
        <v>1.3901966915843785E-3</v>
      </c>
      <c r="DD79" s="637">
        <v>1.3901966915843785E-3</v>
      </c>
      <c r="DE79" s="637">
        <v>1.3901966915843785E-3</v>
      </c>
      <c r="DF79" s="637">
        <v>1.3901966915843785E-3</v>
      </c>
      <c r="DG79" s="637">
        <v>1.3901966915843785E-3</v>
      </c>
      <c r="DH79" s="637">
        <v>1.3901966915843785E-3</v>
      </c>
      <c r="DI79" s="637">
        <v>1.3901966915843785E-3</v>
      </c>
      <c r="DJ79" s="637">
        <v>1.3901966915843785E-3</v>
      </c>
      <c r="DK79" s="637">
        <v>1.3901966915843785E-3</v>
      </c>
      <c r="DL79" s="637">
        <v>1.3901966915843785E-3</v>
      </c>
      <c r="DM79" s="637">
        <v>1.3901966915843785E-3</v>
      </c>
      <c r="DN79" s="637">
        <v>1.3901966915843785E-3</v>
      </c>
      <c r="DO79" s="637">
        <v>1.3901966915843785E-3</v>
      </c>
      <c r="DP79" s="636">
        <v>0</v>
      </c>
      <c r="DQ79" s="636">
        <v>0</v>
      </c>
      <c r="DR79" s="636">
        <v>0</v>
      </c>
      <c r="DS79" s="637">
        <v>0</v>
      </c>
      <c r="DT79" s="637">
        <v>0</v>
      </c>
      <c r="DU79" s="637">
        <v>0</v>
      </c>
      <c r="DV79" s="637">
        <v>0</v>
      </c>
      <c r="DW79" s="637">
        <v>0</v>
      </c>
      <c r="DX79" s="637">
        <v>0</v>
      </c>
      <c r="DY79" s="637">
        <v>0</v>
      </c>
      <c r="DZ79" s="637">
        <v>0</v>
      </c>
      <c r="EA79" s="637">
        <v>0</v>
      </c>
      <c r="EB79" s="637">
        <v>0</v>
      </c>
      <c r="EC79" s="637">
        <v>0</v>
      </c>
      <c r="ED79" s="637">
        <v>0</v>
      </c>
    </row>
    <row r="80" spans="1:134" ht="15" x14ac:dyDescent="0.25">
      <c r="A80" s="555">
        <v>123</v>
      </c>
      <c r="B80" s="555">
        <v>85</v>
      </c>
      <c r="C80" s="555" t="s">
        <v>1063</v>
      </c>
      <c r="D80" s="812">
        <v>99705</v>
      </c>
      <c r="E80" s="812">
        <v>99705</v>
      </c>
      <c r="F80" s="630" t="s">
        <v>311</v>
      </c>
      <c r="G80" s="45">
        <v>154</v>
      </c>
      <c r="H80" s="45">
        <v>59</v>
      </c>
      <c r="I80" s="45">
        <v>55</v>
      </c>
      <c r="J80" s="45">
        <v>4</v>
      </c>
      <c r="K80" s="45">
        <v>0</v>
      </c>
      <c r="L80" s="45">
        <v>52</v>
      </c>
      <c r="M80" s="45">
        <v>52</v>
      </c>
      <c r="N80" s="45">
        <v>2</v>
      </c>
      <c r="O80" s="45">
        <v>0</v>
      </c>
      <c r="P80" s="45">
        <v>0</v>
      </c>
      <c r="Q80" s="45">
        <v>54</v>
      </c>
      <c r="R80" s="45">
        <v>0</v>
      </c>
      <c r="S80" s="45">
        <v>2155.5961538461538</v>
      </c>
      <c r="T80" s="45">
        <v>2155.5961538461538</v>
      </c>
      <c r="U80" s="45">
        <v>4976</v>
      </c>
      <c r="V80" s="45">
        <v>0</v>
      </c>
      <c r="W80" s="45">
        <v>0</v>
      </c>
      <c r="X80" s="45">
        <v>2260.0555555555557</v>
      </c>
      <c r="Y80" s="45">
        <v>0</v>
      </c>
      <c r="Z80" s="45">
        <v>59</v>
      </c>
      <c r="AA80" s="45">
        <v>0</v>
      </c>
      <c r="AB80" s="508">
        <v>2</v>
      </c>
      <c r="AC80" s="508">
        <v>0</v>
      </c>
      <c r="AD80" s="631">
        <v>61</v>
      </c>
      <c r="AE80" s="632">
        <v>0</v>
      </c>
      <c r="AF80" s="632">
        <v>55</v>
      </c>
      <c r="AG80" s="633">
        <v>55</v>
      </c>
      <c r="AH80" s="632">
        <v>0</v>
      </c>
      <c r="AI80" s="632">
        <v>0</v>
      </c>
      <c r="AJ80" s="632">
        <v>54.760950313030769</v>
      </c>
      <c r="AK80" s="632">
        <v>54.760950313030769</v>
      </c>
      <c r="AL80" s="632">
        <v>0</v>
      </c>
      <c r="AM80" s="632">
        <v>0</v>
      </c>
      <c r="AN80" s="632">
        <v>51.310175541269658</v>
      </c>
      <c r="AO80" s="632">
        <v>51.310175541269658</v>
      </c>
      <c r="AP80" s="632">
        <v>0</v>
      </c>
      <c r="AQ80" s="632">
        <v>1.8802153346698185</v>
      </c>
      <c r="AR80" s="632">
        <v>0</v>
      </c>
      <c r="AS80" s="632">
        <v>50.826469138749573</v>
      </c>
      <c r="AT80" s="632">
        <v>52.757044563677539</v>
      </c>
      <c r="AU80" s="632">
        <v>54.760950313030769</v>
      </c>
      <c r="AV80" s="632">
        <v>56.840971741067335</v>
      </c>
      <c r="AW80" s="632">
        <v>59</v>
      </c>
      <c r="AX80" s="632">
        <v>47.86789298319831</v>
      </c>
      <c r="AY80" s="632">
        <v>49.559156487561566</v>
      </c>
      <c r="AZ80" s="632">
        <v>51.310175541269658</v>
      </c>
      <c r="BA80" s="632">
        <v>53.123061421286998</v>
      </c>
      <c r="BB80" s="632">
        <v>55</v>
      </c>
      <c r="BC80" s="632">
        <v>1.7676048523637691</v>
      </c>
      <c r="BD80" s="632">
        <v>1.823040797418187</v>
      </c>
      <c r="BE80" s="632">
        <v>1.8802153346698185</v>
      </c>
      <c r="BF80" s="632">
        <v>1.9391829901635476</v>
      </c>
      <c r="BG80" s="632">
        <v>2</v>
      </c>
      <c r="BH80" s="634">
        <v>59.245155296935756</v>
      </c>
      <c r="BI80" s="634">
        <v>59.491329256915847</v>
      </c>
      <c r="BJ80" s="634">
        <v>59.73852611266301</v>
      </c>
      <c r="BK80" s="635">
        <v>59.937429141735365</v>
      </c>
      <c r="BL80" s="635">
        <v>60.136332170807727</v>
      </c>
      <c r="BM80" s="635">
        <v>60.335235199880067</v>
      </c>
      <c r="BN80" s="635">
        <v>60.534138228952429</v>
      </c>
      <c r="BO80" s="635">
        <v>60.769328015147011</v>
      </c>
      <c r="BP80" s="635">
        <v>61.004517801341578</v>
      </c>
      <c r="BQ80" s="635">
        <v>61.6565314053612</v>
      </c>
      <c r="BR80" s="635">
        <v>62.433360986081986</v>
      </c>
      <c r="BS80" s="635">
        <v>62.774451560739671</v>
      </c>
      <c r="BT80" s="635">
        <v>62.961763524441032</v>
      </c>
      <c r="BU80" s="635">
        <v>63.155742736412833</v>
      </c>
      <c r="BV80" s="635">
        <v>63.354389022173962</v>
      </c>
      <c r="BW80" s="634">
        <v>55.228534598838422</v>
      </c>
      <c r="BX80" s="634">
        <v>55.458018798819857</v>
      </c>
      <c r="BY80" s="634">
        <v>55.688456545702806</v>
      </c>
      <c r="BZ80" s="635">
        <v>55.873874623651616</v>
      </c>
      <c r="CA80" s="635">
        <v>56.05929270160042</v>
      </c>
      <c r="CB80" s="635">
        <v>56.244710779549216</v>
      </c>
      <c r="CC80" s="635">
        <v>56.430128857498026</v>
      </c>
      <c r="CD80" s="635">
        <v>56.649373573442126</v>
      </c>
      <c r="CE80" s="635">
        <v>56.86861828938622</v>
      </c>
      <c r="CF80" s="635">
        <v>57.476427581268915</v>
      </c>
      <c r="CG80" s="635">
        <v>58.200590749737444</v>
      </c>
      <c r="CH80" s="635">
        <v>58.518556539672574</v>
      </c>
      <c r="CI80" s="635">
        <v>58.693169387190792</v>
      </c>
      <c r="CJ80" s="635">
        <v>58.873997466147557</v>
      </c>
      <c r="CK80" s="635">
        <v>59.059176207111321</v>
      </c>
      <c r="CL80" s="634">
        <v>2.0083103490486698</v>
      </c>
      <c r="CM80" s="634">
        <v>2.0166552290479949</v>
      </c>
      <c r="CN80" s="634">
        <v>2.0250347834801019</v>
      </c>
      <c r="CO80" s="635">
        <v>2.0317772590418768</v>
      </c>
      <c r="CP80" s="635">
        <v>2.0385197346036517</v>
      </c>
      <c r="CQ80" s="635">
        <v>2.0452622101654261</v>
      </c>
      <c r="CR80" s="635">
        <v>2.052004685727201</v>
      </c>
      <c r="CS80" s="635">
        <v>2.0599772208524407</v>
      </c>
      <c r="CT80" s="635">
        <v>2.0679497559776805</v>
      </c>
      <c r="CU80" s="635">
        <v>2.090051912046142</v>
      </c>
      <c r="CV80" s="635">
        <v>2.1163851181722708</v>
      </c>
      <c r="CW80" s="635">
        <v>2.1279475105335481</v>
      </c>
      <c r="CX80" s="635">
        <v>2.1342970686251195</v>
      </c>
      <c r="CY80" s="635">
        <v>2.1408726351326384</v>
      </c>
      <c r="CZ80" s="635">
        <v>2.1476064075313208</v>
      </c>
      <c r="DA80" s="636">
        <v>0</v>
      </c>
      <c r="DB80" s="636">
        <v>0</v>
      </c>
      <c r="DC80" s="636">
        <v>0</v>
      </c>
      <c r="DD80" s="637">
        <v>0</v>
      </c>
      <c r="DE80" s="637">
        <v>0</v>
      </c>
      <c r="DF80" s="637">
        <v>0</v>
      </c>
      <c r="DG80" s="637">
        <v>0</v>
      </c>
      <c r="DH80" s="637">
        <v>0</v>
      </c>
      <c r="DI80" s="637">
        <v>0</v>
      </c>
      <c r="DJ80" s="637">
        <v>0</v>
      </c>
      <c r="DK80" s="637">
        <v>0</v>
      </c>
      <c r="DL80" s="637">
        <v>0</v>
      </c>
      <c r="DM80" s="637">
        <v>0</v>
      </c>
      <c r="DN80" s="637">
        <v>0</v>
      </c>
      <c r="DO80" s="637">
        <v>0</v>
      </c>
      <c r="DP80" s="636">
        <v>0</v>
      </c>
      <c r="DQ80" s="636">
        <v>0</v>
      </c>
      <c r="DR80" s="636">
        <v>0</v>
      </c>
      <c r="DS80" s="637">
        <v>0</v>
      </c>
      <c r="DT80" s="637">
        <v>0</v>
      </c>
      <c r="DU80" s="637">
        <v>0</v>
      </c>
      <c r="DV80" s="637">
        <v>0</v>
      </c>
      <c r="DW80" s="637">
        <v>0</v>
      </c>
      <c r="DX80" s="637">
        <v>0</v>
      </c>
      <c r="DY80" s="637">
        <v>0</v>
      </c>
      <c r="DZ80" s="637">
        <v>0</v>
      </c>
      <c r="EA80" s="637">
        <v>0</v>
      </c>
      <c r="EB80" s="637">
        <v>0</v>
      </c>
      <c r="EC80" s="637">
        <v>0</v>
      </c>
      <c r="ED80" s="637">
        <v>0</v>
      </c>
    </row>
    <row r="81" spans="1:134" ht="15" x14ac:dyDescent="0.25">
      <c r="A81" s="555">
        <v>124</v>
      </c>
      <c r="B81" s="555">
        <v>85</v>
      </c>
      <c r="C81" s="555" t="s">
        <v>1064</v>
      </c>
      <c r="D81" s="812">
        <v>99705</v>
      </c>
      <c r="E81" s="812">
        <v>99705</v>
      </c>
      <c r="F81" s="630" t="s">
        <v>311</v>
      </c>
      <c r="G81" s="45">
        <v>645</v>
      </c>
      <c r="H81" s="45">
        <v>232</v>
      </c>
      <c r="I81" s="45">
        <v>218</v>
      </c>
      <c r="J81" s="45">
        <v>14</v>
      </c>
      <c r="K81" s="45">
        <v>0</v>
      </c>
      <c r="L81" s="45">
        <v>204</v>
      </c>
      <c r="M81" s="45">
        <v>204</v>
      </c>
      <c r="N81" s="45">
        <v>1</v>
      </c>
      <c r="O81" s="45">
        <v>0</v>
      </c>
      <c r="P81" s="45">
        <v>0</v>
      </c>
      <c r="Q81" s="45">
        <v>205</v>
      </c>
      <c r="R81" s="45">
        <v>0</v>
      </c>
      <c r="S81" s="45">
        <v>2188.6568627450979</v>
      </c>
      <c r="T81" s="45">
        <v>2188.6568627450979</v>
      </c>
      <c r="U81" s="45">
        <v>3060</v>
      </c>
      <c r="V81" s="45">
        <v>0</v>
      </c>
      <c r="W81" s="45">
        <v>0</v>
      </c>
      <c r="X81" s="45">
        <v>2192.9073170731708</v>
      </c>
      <c r="Y81" s="45">
        <v>0</v>
      </c>
      <c r="Z81" s="45">
        <v>232</v>
      </c>
      <c r="AA81" s="45">
        <v>0</v>
      </c>
      <c r="AB81" s="508">
        <v>1</v>
      </c>
      <c r="AC81" s="508">
        <v>0</v>
      </c>
      <c r="AD81" s="631">
        <v>233</v>
      </c>
      <c r="AE81" s="632">
        <v>0</v>
      </c>
      <c r="AF81" s="632">
        <v>218</v>
      </c>
      <c r="AG81" s="633">
        <v>218</v>
      </c>
      <c r="AH81" s="632">
        <v>0</v>
      </c>
      <c r="AI81" s="632">
        <v>0</v>
      </c>
      <c r="AJ81" s="632">
        <v>215.33119445123964</v>
      </c>
      <c r="AK81" s="632">
        <v>215.33119445123964</v>
      </c>
      <c r="AL81" s="632">
        <v>0</v>
      </c>
      <c r="AM81" s="632">
        <v>0</v>
      </c>
      <c r="AN81" s="632">
        <v>203.37487759994156</v>
      </c>
      <c r="AO81" s="632">
        <v>203.37487759994156</v>
      </c>
      <c r="AP81" s="632">
        <v>0</v>
      </c>
      <c r="AQ81" s="632">
        <v>0.94010766733490925</v>
      </c>
      <c r="AR81" s="632">
        <v>0</v>
      </c>
      <c r="AS81" s="632">
        <v>199.86001424050681</v>
      </c>
      <c r="AT81" s="632">
        <v>207.45142947073202</v>
      </c>
      <c r="AU81" s="632">
        <v>215.33119445123964</v>
      </c>
      <c r="AV81" s="632">
        <v>223.51026176148511</v>
      </c>
      <c r="AW81" s="632">
        <v>232</v>
      </c>
      <c r="AX81" s="632">
        <v>189.73092127885877</v>
      </c>
      <c r="AY81" s="632">
        <v>196.43447480524401</v>
      </c>
      <c r="AZ81" s="632">
        <v>203.37487759994156</v>
      </c>
      <c r="BA81" s="632">
        <v>210.56049799710121</v>
      </c>
      <c r="BB81" s="632">
        <v>218</v>
      </c>
      <c r="BC81" s="632">
        <v>0.88380242618188454</v>
      </c>
      <c r="BD81" s="632">
        <v>0.91152039870909352</v>
      </c>
      <c r="BE81" s="632">
        <v>0.94010766733490925</v>
      </c>
      <c r="BF81" s="632">
        <v>0.96959149508177378</v>
      </c>
      <c r="BG81" s="632">
        <v>1</v>
      </c>
      <c r="BH81" s="634">
        <v>236.86409476015379</v>
      </c>
      <c r="BI81" s="634">
        <v>241.83016976959962</v>
      </c>
      <c r="BJ81" s="634">
        <v>246.90036313866608</v>
      </c>
      <c r="BK81" s="635">
        <v>251.53728730088551</v>
      </c>
      <c r="BL81" s="635">
        <v>256.17421146310488</v>
      </c>
      <c r="BM81" s="635">
        <v>260.81113562532425</v>
      </c>
      <c r="BN81" s="635">
        <v>265.44805978754374</v>
      </c>
      <c r="BO81" s="635">
        <v>270.93091848204926</v>
      </c>
      <c r="BP81" s="635">
        <v>276.41377717655485</v>
      </c>
      <c r="BQ81" s="635">
        <v>291.6138354596016</v>
      </c>
      <c r="BR81" s="635">
        <v>309.72366450328451</v>
      </c>
      <c r="BS81" s="635">
        <v>317.67533388967752</v>
      </c>
      <c r="BT81" s="635">
        <v>322.04204149795487</v>
      </c>
      <c r="BU81" s="635">
        <v>326.56417924093097</v>
      </c>
      <c r="BV81" s="635">
        <v>331.19511807819629</v>
      </c>
      <c r="BW81" s="634">
        <v>222.57057180048935</v>
      </c>
      <c r="BX81" s="634">
        <v>227.23696986971001</v>
      </c>
      <c r="BY81" s="634">
        <v>232.0012032940914</v>
      </c>
      <c r="BZ81" s="635">
        <v>236.35831306721138</v>
      </c>
      <c r="CA81" s="635">
        <v>240.71542284033131</v>
      </c>
      <c r="CB81" s="635">
        <v>245.07253261345124</v>
      </c>
      <c r="CC81" s="635">
        <v>249.42964238657126</v>
      </c>
      <c r="CD81" s="635">
        <v>254.58163891847732</v>
      </c>
      <c r="CE81" s="635">
        <v>259.73363545038342</v>
      </c>
      <c r="CF81" s="635">
        <v>274.01644883703943</v>
      </c>
      <c r="CG81" s="635">
        <v>291.03344336946566</v>
      </c>
      <c r="CH81" s="635">
        <v>298.5052706377142</v>
      </c>
      <c r="CI81" s="635">
        <v>302.60847002825068</v>
      </c>
      <c r="CJ81" s="635">
        <v>306.85772014880581</v>
      </c>
      <c r="CK81" s="635">
        <v>311.20920578037408</v>
      </c>
      <c r="CL81" s="634">
        <v>1.0209659256903181</v>
      </c>
      <c r="CM81" s="634">
        <v>1.0423714214206881</v>
      </c>
      <c r="CN81" s="634">
        <v>1.0642257031839055</v>
      </c>
      <c r="CO81" s="635">
        <v>1.0842124452624375</v>
      </c>
      <c r="CP81" s="635">
        <v>1.1041991873409693</v>
      </c>
      <c r="CQ81" s="635">
        <v>1.1241859294195011</v>
      </c>
      <c r="CR81" s="635">
        <v>1.1441726714980334</v>
      </c>
      <c r="CS81" s="635">
        <v>1.1678056831122814</v>
      </c>
      <c r="CT81" s="635">
        <v>1.1914386947265294</v>
      </c>
      <c r="CU81" s="635">
        <v>1.256956187325869</v>
      </c>
      <c r="CV81" s="635">
        <v>1.3350157952727781</v>
      </c>
      <c r="CW81" s="635">
        <v>1.3692902322830929</v>
      </c>
      <c r="CX81" s="635">
        <v>1.3881122478360122</v>
      </c>
      <c r="CY81" s="635">
        <v>1.4076042208660817</v>
      </c>
      <c r="CZ81" s="635">
        <v>1.4275651641301563</v>
      </c>
      <c r="DA81" s="636">
        <v>0</v>
      </c>
      <c r="DB81" s="636">
        <v>0</v>
      </c>
      <c r="DC81" s="636">
        <v>0</v>
      </c>
      <c r="DD81" s="637">
        <v>0</v>
      </c>
      <c r="DE81" s="637">
        <v>0</v>
      </c>
      <c r="DF81" s="637">
        <v>0</v>
      </c>
      <c r="DG81" s="637">
        <v>0</v>
      </c>
      <c r="DH81" s="637">
        <v>0</v>
      </c>
      <c r="DI81" s="637">
        <v>0</v>
      </c>
      <c r="DJ81" s="637">
        <v>0</v>
      </c>
      <c r="DK81" s="637">
        <v>0</v>
      </c>
      <c r="DL81" s="637">
        <v>0</v>
      </c>
      <c r="DM81" s="637">
        <v>0</v>
      </c>
      <c r="DN81" s="637">
        <v>0</v>
      </c>
      <c r="DO81" s="637">
        <v>0</v>
      </c>
      <c r="DP81" s="636">
        <v>0</v>
      </c>
      <c r="DQ81" s="636">
        <v>0</v>
      </c>
      <c r="DR81" s="636">
        <v>0</v>
      </c>
      <c r="DS81" s="637">
        <v>0</v>
      </c>
      <c r="DT81" s="637">
        <v>0</v>
      </c>
      <c r="DU81" s="637">
        <v>0</v>
      </c>
      <c r="DV81" s="637">
        <v>0</v>
      </c>
      <c r="DW81" s="637">
        <v>0</v>
      </c>
      <c r="DX81" s="637">
        <v>0</v>
      </c>
      <c r="DY81" s="637">
        <v>0</v>
      </c>
      <c r="DZ81" s="637">
        <v>0</v>
      </c>
      <c r="EA81" s="637">
        <v>0</v>
      </c>
      <c r="EB81" s="637">
        <v>0</v>
      </c>
      <c r="EC81" s="637">
        <v>0</v>
      </c>
      <c r="ED81" s="637">
        <v>0</v>
      </c>
    </row>
    <row r="82" spans="1:134" ht="15" x14ac:dyDescent="0.25">
      <c r="A82" s="555">
        <v>125</v>
      </c>
      <c r="B82" s="555">
        <v>85</v>
      </c>
      <c r="C82" s="555" t="s">
        <v>1065</v>
      </c>
      <c r="D82" s="812">
        <v>99705</v>
      </c>
      <c r="E82" s="812">
        <v>99705</v>
      </c>
      <c r="F82" s="630" t="s">
        <v>311</v>
      </c>
      <c r="G82" s="45">
        <v>570</v>
      </c>
      <c r="H82" s="45">
        <v>190</v>
      </c>
      <c r="I82" s="45">
        <v>183</v>
      </c>
      <c r="J82" s="45">
        <v>7</v>
      </c>
      <c r="K82" s="45">
        <v>3</v>
      </c>
      <c r="L82" s="45">
        <v>138</v>
      </c>
      <c r="M82" s="45">
        <v>141</v>
      </c>
      <c r="N82" s="45">
        <v>4</v>
      </c>
      <c r="O82" s="45">
        <v>0</v>
      </c>
      <c r="P82" s="45">
        <v>0</v>
      </c>
      <c r="Q82" s="45">
        <v>145</v>
      </c>
      <c r="R82" s="45">
        <v>3403</v>
      </c>
      <c r="S82" s="45">
        <v>2294.1884057971015</v>
      </c>
      <c r="T82" s="45">
        <v>2317.7801418439717</v>
      </c>
      <c r="U82" s="45">
        <v>7495</v>
      </c>
      <c r="V82" s="45">
        <v>0</v>
      </c>
      <c r="W82" s="45">
        <v>0</v>
      </c>
      <c r="X82" s="45">
        <v>2460.6</v>
      </c>
      <c r="Y82" s="45">
        <v>4.042553191489362</v>
      </c>
      <c r="Z82" s="45">
        <v>185.95744680851064</v>
      </c>
      <c r="AA82" s="45">
        <v>0</v>
      </c>
      <c r="AB82" s="508">
        <v>4</v>
      </c>
      <c r="AC82" s="508">
        <v>0</v>
      </c>
      <c r="AD82" s="631">
        <v>194</v>
      </c>
      <c r="AE82" s="632">
        <v>3.8936170212765959</v>
      </c>
      <c r="AF82" s="632">
        <v>179.10638297872342</v>
      </c>
      <c r="AG82" s="633">
        <v>183</v>
      </c>
      <c r="AH82" s="632">
        <v>0</v>
      </c>
      <c r="AI82" s="632">
        <v>3.752102617914117</v>
      </c>
      <c r="AJ82" s="632">
        <v>172.59672042404938</v>
      </c>
      <c r="AK82" s="632">
        <v>176.3488230419635</v>
      </c>
      <c r="AL82" s="632">
        <v>0</v>
      </c>
      <c r="AM82" s="632">
        <v>3.6324031427668659</v>
      </c>
      <c r="AN82" s="632">
        <v>167.09054456727583</v>
      </c>
      <c r="AO82" s="632">
        <v>170.72294771004269</v>
      </c>
      <c r="AP82" s="632">
        <v>0</v>
      </c>
      <c r="AQ82" s="632">
        <v>3.760430669339637</v>
      </c>
      <c r="AR82" s="632">
        <v>0</v>
      </c>
      <c r="AS82" s="632">
        <v>163.67845993834609</v>
      </c>
      <c r="AT82" s="632">
        <v>169.89556723896155</v>
      </c>
      <c r="AU82" s="632">
        <v>176.3488230419635</v>
      </c>
      <c r="AV82" s="632">
        <v>183.04719713225074</v>
      </c>
      <c r="AW82" s="632">
        <v>190</v>
      </c>
      <c r="AX82" s="632">
        <v>159.26953483500529</v>
      </c>
      <c r="AY82" s="632">
        <v>164.89682976770484</v>
      </c>
      <c r="AZ82" s="632">
        <v>170.72294771004269</v>
      </c>
      <c r="BA82" s="632">
        <v>176.7549134562822</v>
      </c>
      <c r="BB82" s="632">
        <v>183</v>
      </c>
      <c r="BC82" s="632">
        <v>3.5352097047275381</v>
      </c>
      <c r="BD82" s="632">
        <v>3.6460815948363741</v>
      </c>
      <c r="BE82" s="632">
        <v>3.760430669339637</v>
      </c>
      <c r="BF82" s="632">
        <v>3.8783659803270951</v>
      </c>
      <c r="BG82" s="632">
        <v>4</v>
      </c>
      <c r="BH82" s="634">
        <v>191.7639582947387</v>
      </c>
      <c r="BI82" s="634">
        <v>193.5442931624541</v>
      </c>
      <c r="BJ82" s="634">
        <v>195.34115664310278</v>
      </c>
      <c r="BK82" s="635">
        <v>199.00266586367135</v>
      </c>
      <c r="BL82" s="635">
        <v>202.66417508423996</v>
      </c>
      <c r="BM82" s="635">
        <v>206.3256843048085</v>
      </c>
      <c r="BN82" s="635">
        <v>209.98719352537708</v>
      </c>
      <c r="BO82" s="635">
        <v>214.3166880270507</v>
      </c>
      <c r="BP82" s="635">
        <v>218.64618252872438</v>
      </c>
      <c r="BQ82" s="635">
        <v>230.64878416927323</v>
      </c>
      <c r="BR82" s="635">
        <v>244.94906248019285</v>
      </c>
      <c r="BS82" s="635">
        <v>251.22803314234307</v>
      </c>
      <c r="BT82" s="635">
        <v>254.67616807228359</v>
      </c>
      <c r="BU82" s="635">
        <v>258.24703713619834</v>
      </c>
      <c r="BV82" s="635">
        <v>261.90382009389509</v>
      </c>
      <c r="BW82" s="634">
        <v>184.69897035756412</v>
      </c>
      <c r="BX82" s="634">
        <v>186.41371394067949</v>
      </c>
      <c r="BY82" s="634">
        <v>188.14437718783057</v>
      </c>
      <c r="BZ82" s="635">
        <v>191.67098870027294</v>
      </c>
      <c r="CA82" s="635">
        <v>195.19760021271532</v>
      </c>
      <c r="CB82" s="635">
        <v>198.72421172515766</v>
      </c>
      <c r="CC82" s="635">
        <v>202.25082323760003</v>
      </c>
      <c r="CD82" s="635">
        <v>206.42081004710676</v>
      </c>
      <c r="CE82" s="635">
        <v>210.59079685661348</v>
      </c>
      <c r="CF82" s="635">
        <v>222.15119738408947</v>
      </c>
      <c r="CG82" s="635">
        <v>235.92462333618576</v>
      </c>
      <c r="CH82" s="635">
        <v>241.97226350025676</v>
      </c>
      <c r="CI82" s="635">
        <v>245.29336188014682</v>
      </c>
      <c r="CJ82" s="635">
        <v>248.73267261012791</v>
      </c>
      <c r="CK82" s="635">
        <v>252.25473198517264</v>
      </c>
      <c r="CL82" s="634">
        <v>4.0371359640997619</v>
      </c>
      <c r="CM82" s="634">
        <v>4.0746166981569285</v>
      </c>
      <c r="CN82" s="634">
        <v>4.11244540301269</v>
      </c>
      <c r="CO82" s="635">
        <v>4.1895298076562391</v>
      </c>
      <c r="CP82" s="635">
        <v>4.2666142122997881</v>
      </c>
      <c r="CQ82" s="635">
        <v>4.3436986169433371</v>
      </c>
      <c r="CR82" s="635">
        <v>4.4207830215868862</v>
      </c>
      <c r="CS82" s="635">
        <v>4.5119302742536993</v>
      </c>
      <c r="CT82" s="635">
        <v>4.6030775269205133</v>
      </c>
      <c r="CU82" s="635">
        <v>4.8557638772478571</v>
      </c>
      <c r="CV82" s="635">
        <v>5.1568223680040601</v>
      </c>
      <c r="CW82" s="635">
        <v>5.2890112240493279</v>
      </c>
      <c r="CX82" s="635">
        <v>5.3616035383638652</v>
      </c>
      <c r="CY82" s="635">
        <v>5.4367797291831232</v>
      </c>
      <c r="CZ82" s="635">
        <v>5.5137646335556862</v>
      </c>
      <c r="DA82" s="636">
        <v>0</v>
      </c>
      <c r="DB82" s="636">
        <v>0</v>
      </c>
      <c r="DC82" s="636">
        <v>0</v>
      </c>
      <c r="DD82" s="637">
        <v>0</v>
      </c>
      <c r="DE82" s="637">
        <v>0</v>
      </c>
      <c r="DF82" s="637">
        <v>0</v>
      </c>
      <c r="DG82" s="637">
        <v>0</v>
      </c>
      <c r="DH82" s="637">
        <v>0</v>
      </c>
      <c r="DI82" s="637">
        <v>0</v>
      </c>
      <c r="DJ82" s="637">
        <v>0</v>
      </c>
      <c r="DK82" s="637">
        <v>0</v>
      </c>
      <c r="DL82" s="637">
        <v>0</v>
      </c>
      <c r="DM82" s="637">
        <v>0</v>
      </c>
      <c r="DN82" s="637">
        <v>0</v>
      </c>
      <c r="DO82" s="637">
        <v>0</v>
      </c>
      <c r="DP82" s="636">
        <v>0</v>
      </c>
      <c r="DQ82" s="636">
        <v>0</v>
      </c>
      <c r="DR82" s="636">
        <v>0</v>
      </c>
      <c r="DS82" s="637">
        <v>0</v>
      </c>
      <c r="DT82" s="637">
        <v>0</v>
      </c>
      <c r="DU82" s="637">
        <v>0</v>
      </c>
      <c r="DV82" s="637">
        <v>0</v>
      </c>
      <c r="DW82" s="637">
        <v>0</v>
      </c>
      <c r="DX82" s="637">
        <v>0</v>
      </c>
      <c r="DY82" s="637">
        <v>0</v>
      </c>
      <c r="DZ82" s="637">
        <v>0</v>
      </c>
      <c r="EA82" s="637">
        <v>0</v>
      </c>
      <c r="EB82" s="637">
        <v>0</v>
      </c>
      <c r="EC82" s="637">
        <v>0</v>
      </c>
      <c r="ED82" s="637">
        <v>0</v>
      </c>
    </row>
    <row r="83" spans="1:134" ht="15" x14ac:dyDescent="0.25">
      <c r="A83" s="555">
        <v>126</v>
      </c>
      <c r="B83" s="555">
        <v>85</v>
      </c>
      <c r="C83" s="555" t="s">
        <v>1066</v>
      </c>
      <c r="D83" s="812">
        <v>99705</v>
      </c>
      <c r="E83" s="812">
        <v>99705</v>
      </c>
      <c r="F83" s="630" t="s">
        <v>311</v>
      </c>
      <c r="G83" s="45">
        <v>38</v>
      </c>
      <c r="H83" s="45">
        <v>11</v>
      </c>
      <c r="I83" s="45">
        <v>11</v>
      </c>
      <c r="J83" s="45">
        <v>0</v>
      </c>
      <c r="K83" s="45">
        <v>0</v>
      </c>
      <c r="L83" s="45">
        <v>3</v>
      </c>
      <c r="M83" s="45">
        <v>3</v>
      </c>
      <c r="N83" s="45">
        <v>1</v>
      </c>
      <c r="O83" s="45">
        <v>0</v>
      </c>
      <c r="P83" s="45">
        <v>0</v>
      </c>
      <c r="Q83" s="45">
        <v>4</v>
      </c>
      <c r="R83" s="45">
        <v>0</v>
      </c>
      <c r="S83" s="45">
        <v>4303.333333333333</v>
      </c>
      <c r="T83" s="45">
        <v>4303.333333333333</v>
      </c>
      <c r="U83" s="45">
        <v>10776</v>
      </c>
      <c r="V83" s="45">
        <v>0</v>
      </c>
      <c r="W83" s="45">
        <v>0</v>
      </c>
      <c r="X83" s="45">
        <v>5921.5</v>
      </c>
      <c r="Y83" s="45">
        <v>0</v>
      </c>
      <c r="Z83" s="45">
        <v>11</v>
      </c>
      <c r="AA83" s="45">
        <v>0</v>
      </c>
      <c r="AB83" s="508">
        <v>1</v>
      </c>
      <c r="AC83" s="508">
        <v>0</v>
      </c>
      <c r="AD83" s="631">
        <v>12</v>
      </c>
      <c r="AE83" s="632">
        <v>0</v>
      </c>
      <c r="AF83" s="632">
        <v>11</v>
      </c>
      <c r="AG83" s="633">
        <v>11</v>
      </c>
      <c r="AH83" s="632">
        <v>0</v>
      </c>
      <c r="AI83" s="632">
        <v>0</v>
      </c>
      <c r="AJ83" s="632">
        <v>10.209668702429466</v>
      </c>
      <c r="AK83" s="632">
        <v>10.209668702429466</v>
      </c>
      <c r="AL83" s="632">
        <v>0</v>
      </c>
      <c r="AM83" s="632">
        <v>0</v>
      </c>
      <c r="AN83" s="632">
        <v>10.262035108253933</v>
      </c>
      <c r="AO83" s="632">
        <v>10.262035108253933</v>
      </c>
      <c r="AP83" s="632">
        <v>0</v>
      </c>
      <c r="AQ83" s="632">
        <v>0.94010766733490925</v>
      </c>
      <c r="AR83" s="632">
        <v>0</v>
      </c>
      <c r="AS83" s="632">
        <v>9.4761213648516165</v>
      </c>
      <c r="AT83" s="632">
        <v>9.8360591559398802</v>
      </c>
      <c r="AU83" s="632">
        <v>10.209668702429466</v>
      </c>
      <c r="AV83" s="632">
        <v>10.597469307656622</v>
      </c>
      <c r="AW83" s="632">
        <v>11</v>
      </c>
      <c r="AX83" s="632">
        <v>9.5735785966396634</v>
      </c>
      <c r="AY83" s="632">
        <v>9.9118312975123128</v>
      </c>
      <c r="AZ83" s="632">
        <v>10.262035108253933</v>
      </c>
      <c r="BA83" s="632">
        <v>10.624612284257401</v>
      </c>
      <c r="BB83" s="632">
        <v>11</v>
      </c>
      <c r="BC83" s="632">
        <v>0.88380242618188454</v>
      </c>
      <c r="BD83" s="632">
        <v>0.91152039870909352</v>
      </c>
      <c r="BE83" s="632">
        <v>0.94010766733490925</v>
      </c>
      <c r="BF83" s="632">
        <v>0.96959149508177378</v>
      </c>
      <c r="BG83" s="632">
        <v>1</v>
      </c>
      <c r="BH83" s="634">
        <v>11.088735958264374</v>
      </c>
      <c r="BI83" s="634">
        <v>11.178187741100484</v>
      </c>
      <c r="BJ83" s="634">
        <v>11.268361122997359</v>
      </c>
      <c r="BK83" s="635">
        <v>14.765558338903947</v>
      </c>
      <c r="BL83" s="635">
        <v>18.262755554810532</v>
      </c>
      <c r="BM83" s="635">
        <v>21.759952770717117</v>
      </c>
      <c r="BN83" s="635">
        <v>25.257149986623705</v>
      </c>
      <c r="BO83" s="635">
        <v>29.39235631970644</v>
      </c>
      <c r="BP83" s="635">
        <v>33.527562652789179</v>
      </c>
      <c r="BQ83" s="635">
        <v>44.991541715074604</v>
      </c>
      <c r="BR83" s="635">
        <v>58.650088091170232</v>
      </c>
      <c r="BS83" s="635">
        <v>64.647286895170765</v>
      </c>
      <c r="BT83" s="635">
        <v>67.940685095376807</v>
      </c>
      <c r="BU83" s="635">
        <v>71.351309675683183</v>
      </c>
      <c r="BV83" s="635">
        <v>74.843992722059838</v>
      </c>
      <c r="BW83" s="634">
        <v>11.088735958264374</v>
      </c>
      <c r="BX83" s="634">
        <v>11.178187741100484</v>
      </c>
      <c r="BY83" s="634">
        <v>11.268361122997359</v>
      </c>
      <c r="BZ83" s="635">
        <v>14.765558338903947</v>
      </c>
      <c r="CA83" s="635">
        <v>18.262755554810532</v>
      </c>
      <c r="CB83" s="635">
        <v>21.759952770717117</v>
      </c>
      <c r="CC83" s="635">
        <v>25.257149986623705</v>
      </c>
      <c r="CD83" s="635">
        <v>29.39235631970644</v>
      </c>
      <c r="CE83" s="635">
        <v>33.527562652789179</v>
      </c>
      <c r="CF83" s="635">
        <v>44.991541715074604</v>
      </c>
      <c r="CG83" s="635">
        <v>58.650088091170232</v>
      </c>
      <c r="CH83" s="635">
        <v>64.647286895170765</v>
      </c>
      <c r="CI83" s="635">
        <v>67.940685095376807</v>
      </c>
      <c r="CJ83" s="635">
        <v>71.351309675683183</v>
      </c>
      <c r="CK83" s="635">
        <v>74.843992722059838</v>
      </c>
      <c r="CL83" s="634">
        <v>1.0080669052967612</v>
      </c>
      <c r="CM83" s="634">
        <v>1.0161988855545894</v>
      </c>
      <c r="CN83" s="634">
        <v>1.0243964657270326</v>
      </c>
      <c r="CO83" s="635">
        <v>1.3423234853549042</v>
      </c>
      <c r="CP83" s="635">
        <v>1.6602505049827756</v>
      </c>
      <c r="CQ83" s="635">
        <v>1.978177524610647</v>
      </c>
      <c r="CR83" s="635">
        <v>2.2961045442385184</v>
      </c>
      <c r="CS83" s="635">
        <v>2.6720323927005856</v>
      </c>
      <c r="CT83" s="635">
        <v>3.0479602411626523</v>
      </c>
      <c r="CU83" s="635">
        <v>4.090140155915873</v>
      </c>
      <c r="CV83" s="635">
        <v>5.3318261901063844</v>
      </c>
      <c r="CW83" s="635">
        <v>5.8770260813791602</v>
      </c>
      <c r="CX83" s="635">
        <v>6.1764259177615282</v>
      </c>
      <c r="CY83" s="635">
        <v>6.4864826977893797</v>
      </c>
      <c r="CZ83" s="635">
        <v>6.8039993383690769</v>
      </c>
      <c r="DA83" s="636">
        <v>0</v>
      </c>
      <c r="DB83" s="636">
        <v>0</v>
      </c>
      <c r="DC83" s="636">
        <v>0</v>
      </c>
      <c r="DD83" s="637">
        <v>0</v>
      </c>
      <c r="DE83" s="637">
        <v>0</v>
      </c>
      <c r="DF83" s="637">
        <v>0</v>
      </c>
      <c r="DG83" s="637">
        <v>0</v>
      </c>
      <c r="DH83" s="637">
        <v>0</v>
      </c>
      <c r="DI83" s="637">
        <v>0</v>
      </c>
      <c r="DJ83" s="637">
        <v>0</v>
      </c>
      <c r="DK83" s="637">
        <v>0</v>
      </c>
      <c r="DL83" s="637">
        <v>0</v>
      </c>
      <c r="DM83" s="637">
        <v>0</v>
      </c>
      <c r="DN83" s="637">
        <v>0</v>
      </c>
      <c r="DO83" s="637">
        <v>0</v>
      </c>
      <c r="DP83" s="636">
        <v>0</v>
      </c>
      <c r="DQ83" s="636">
        <v>0</v>
      </c>
      <c r="DR83" s="636">
        <v>0</v>
      </c>
      <c r="DS83" s="637">
        <v>0</v>
      </c>
      <c r="DT83" s="637">
        <v>0</v>
      </c>
      <c r="DU83" s="637">
        <v>0</v>
      </c>
      <c r="DV83" s="637">
        <v>0</v>
      </c>
      <c r="DW83" s="637">
        <v>0</v>
      </c>
      <c r="DX83" s="637">
        <v>0</v>
      </c>
      <c r="DY83" s="637">
        <v>0</v>
      </c>
      <c r="DZ83" s="637">
        <v>0</v>
      </c>
      <c r="EA83" s="637">
        <v>0</v>
      </c>
      <c r="EB83" s="637">
        <v>0</v>
      </c>
      <c r="EC83" s="637">
        <v>0</v>
      </c>
      <c r="ED83" s="637">
        <v>0</v>
      </c>
    </row>
    <row r="84" spans="1:134" ht="15" x14ac:dyDescent="0.25">
      <c r="A84" s="555">
        <v>96</v>
      </c>
      <c r="B84" s="555">
        <v>86</v>
      </c>
      <c r="C84" s="555" t="s">
        <v>1067</v>
      </c>
      <c r="D84" s="812">
        <v>99709</v>
      </c>
      <c r="E84" s="812">
        <v>99709</v>
      </c>
      <c r="F84" s="630" t="s">
        <v>989</v>
      </c>
      <c r="G84" s="45">
        <v>38</v>
      </c>
      <c r="H84" s="45">
        <v>18</v>
      </c>
      <c r="I84" s="45">
        <v>13</v>
      </c>
      <c r="J84" s="45">
        <v>5</v>
      </c>
      <c r="K84" s="45">
        <v>0</v>
      </c>
      <c r="L84" s="45">
        <v>5</v>
      </c>
      <c r="M84" s="45">
        <v>5</v>
      </c>
      <c r="N84" s="45">
        <v>1</v>
      </c>
      <c r="O84" s="45">
        <v>0</v>
      </c>
      <c r="P84" s="45">
        <v>0</v>
      </c>
      <c r="Q84" s="45">
        <v>6</v>
      </c>
      <c r="R84" s="45">
        <v>0</v>
      </c>
      <c r="S84" s="45">
        <v>2236.6</v>
      </c>
      <c r="T84" s="45">
        <v>2236.6</v>
      </c>
      <c r="U84" s="45">
        <v>2324</v>
      </c>
      <c r="V84" s="45">
        <v>0</v>
      </c>
      <c r="W84" s="45">
        <v>0</v>
      </c>
      <c r="X84" s="45">
        <v>2251.1666666666665</v>
      </c>
      <c r="Y84" s="45">
        <v>0</v>
      </c>
      <c r="Z84" s="45">
        <v>18</v>
      </c>
      <c r="AA84" s="45">
        <v>0</v>
      </c>
      <c r="AB84" s="508">
        <v>1</v>
      </c>
      <c r="AC84" s="508">
        <v>0</v>
      </c>
      <c r="AD84" s="631">
        <v>19</v>
      </c>
      <c r="AE84" s="632">
        <v>0</v>
      </c>
      <c r="AF84" s="632">
        <v>13</v>
      </c>
      <c r="AG84" s="633">
        <v>13</v>
      </c>
      <c r="AH84" s="632">
        <v>0</v>
      </c>
      <c r="AI84" s="632">
        <v>0</v>
      </c>
      <c r="AJ84" s="632">
        <v>17.13885111013931</v>
      </c>
      <c r="AK84" s="632">
        <v>17.13885111013931</v>
      </c>
      <c r="AL84" s="632">
        <v>0</v>
      </c>
      <c r="AM84" s="632">
        <v>0</v>
      </c>
      <c r="AN84" s="632">
        <v>12.401410175673693</v>
      </c>
      <c r="AO84" s="632">
        <v>12.401410175673693</v>
      </c>
      <c r="AP84" s="632">
        <v>0</v>
      </c>
      <c r="AQ84" s="632">
        <v>0.95966573850124082</v>
      </c>
      <c r="AR84" s="632">
        <v>0</v>
      </c>
      <c r="AS84" s="632">
        <v>16.318900965306856</v>
      </c>
      <c r="AT84" s="632">
        <v>16.723851647437645</v>
      </c>
      <c r="AU84" s="632">
        <v>17.13885111013931</v>
      </c>
      <c r="AV84" s="632">
        <v>17.564148712149631</v>
      </c>
      <c r="AW84" s="632">
        <v>18</v>
      </c>
      <c r="AX84" s="632">
        <v>11.830382641946384</v>
      </c>
      <c r="AY84" s="632">
        <v>12.112531844249052</v>
      </c>
      <c r="AZ84" s="632">
        <v>12.401410175673693</v>
      </c>
      <c r="BA84" s="632">
        <v>12.697178122864859</v>
      </c>
      <c r="BB84" s="632">
        <v>13</v>
      </c>
      <c r="BC84" s="632">
        <v>0.92095832965313207</v>
      </c>
      <c r="BD84" s="632">
        <v>0.94011284192667122</v>
      </c>
      <c r="BE84" s="632">
        <v>0.95966573850124082</v>
      </c>
      <c r="BF84" s="632">
        <v>0.97962530515561963</v>
      </c>
      <c r="BG84" s="632">
        <v>1</v>
      </c>
      <c r="BH84" s="634">
        <v>18.168179835822947</v>
      </c>
      <c r="BI84" s="634">
        <v>18.337931030377973</v>
      </c>
      <c r="BJ84" s="634">
        <v>18.50926826537917</v>
      </c>
      <c r="BK84" s="635">
        <v>18.769376163191438</v>
      </c>
      <c r="BL84" s="635">
        <v>19.029484061003707</v>
      </c>
      <c r="BM84" s="635">
        <v>19.289591958815972</v>
      </c>
      <c r="BN84" s="635">
        <v>19.549699856628241</v>
      </c>
      <c r="BO84" s="635">
        <v>19.857260385793108</v>
      </c>
      <c r="BP84" s="635">
        <v>20.164820914957971</v>
      </c>
      <c r="BQ84" s="635">
        <v>21.017466994193146</v>
      </c>
      <c r="BR84" s="635">
        <v>22.033336436413499</v>
      </c>
      <c r="BS84" s="635">
        <v>22.479384708033905</v>
      </c>
      <c r="BT84" s="635">
        <v>22.724334829410527</v>
      </c>
      <c r="BU84" s="635">
        <v>22.978003792023024</v>
      </c>
      <c r="BV84" s="635">
        <v>23.23777594350064</v>
      </c>
      <c r="BW84" s="634">
        <v>13.121463214761016</v>
      </c>
      <c r="BX84" s="634">
        <v>13.244061299717426</v>
      </c>
      <c r="BY84" s="634">
        <v>13.3678048583294</v>
      </c>
      <c r="BZ84" s="635">
        <v>13.555660562304928</v>
      </c>
      <c r="CA84" s="635">
        <v>13.743516266280453</v>
      </c>
      <c r="CB84" s="635">
        <v>13.931371970255981</v>
      </c>
      <c r="CC84" s="635">
        <v>14.119227674231507</v>
      </c>
      <c r="CD84" s="635">
        <v>14.341354723072801</v>
      </c>
      <c r="CE84" s="635">
        <v>14.563481771914089</v>
      </c>
      <c r="CF84" s="635">
        <v>15.179281718028383</v>
      </c>
      <c r="CG84" s="635">
        <v>15.912965204076414</v>
      </c>
      <c r="CH84" s="635">
        <v>16.235111178024486</v>
      </c>
      <c r="CI84" s="635">
        <v>16.412019599018713</v>
      </c>
      <c r="CJ84" s="635">
        <v>16.595224960905519</v>
      </c>
      <c r="CK84" s="635">
        <v>16.782838181417127</v>
      </c>
      <c r="CL84" s="634">
        <v>1.0093433242123859</v>
      </c>
      <c r="CM84" s="634">
        <v>1.0187739461321097</v>
      </c>
      <c r="CN84" s="634">
        <v>1.0282926814099538</v>
      </c>
      <c r="CO84" s="635">
        <v>1.0427431201773021</v>
      </c>
      <c r="CP84" s="635">
        <v>1.0571935589446502</v>
      </c>
      <c r="CQ84" s="635">
        <v>1.0716439977119985</v>
      </c>
      <c r="CR84" s="635">
        <v>1.0860944364793466</v>
      </c>
      <c r="CS84" s="635">
        <v>1.1031811325440615</v>
      </c>
      <c r="CT84" s="635">
        <v>1.1202678286087762</v>
      </c>
      <c r="CU84" s="635">
        <v>1.1676370552329525</v>
      </c>
      <c r="CV84" s="635">
        <v>1.2240742464674164</v>
      </c>
      <c r="CW84" s="635">
        <v>1.2488547060018835</v>
      </c>
      <c r="CX84" s="635">
        <v>1.2624630460783623</v>
      </c>
      <c r="CY84" s="635">
        <v>1.2765557662235012</v>
      </c>
      <c r="CZ84" s="635">
        <v>1.290987552416702</v>
      </c>
      <c r="DA84" s="636">
        <v>0</v>
      </c>
      <c r="DB84" s="636">
        <v>0</v>
      </c>
      <c r="DC84" s="636">
        <v>0</v>
      </c>
      <c r="DD84" s="637">
        <v>0</v>
      </c>
      <c r="DE84" s="637">
        <v>0</v>
      </c>
      <c r="DF84" s="637">
        <v>0</v>
      </c>
      <c r="DG84" s="637">
        <v>0</v>
      </c>
      <c r="DH84" s="637">
        <v>0</v>
      </c>
      <c r="DI84" s="637">
        <v>0</v>
      </c>
      <c r="DJ84" s="637">
        <v>0</v>
      </c>
      <c r="DK84" s="637">
        <v>0</v>
      </c>
      <c r="DL84" s="637">
        <v>0</v>
      </c>
      <c r="DM84" s="637">
        <v>0</v>
      </c>
      <c r="DN84" s="637">
        <v>0</v>
      </c>
      <c r="DO84" s="637">
        <v>0</v>
      </c>
      <c r="DP84" s="636">
        <v>0</v>
      </c>
      <c r="DQ84" s="636">
        <v>0</v>
      </c>
      <c r="DR84" s="636">
        <v>0</v>
      </c>
      <c r="DS84" s="637">
        <v>0</v>
      </c>
      <c r="DT84" s="637">
        <v>0</v>
      </c>
      <c r="DU84" s="637">
        <v>0</v>
      </c>
      <c r="DV84" s="637">
        <v>0</v>
      </c>
      <c r="DW84" s="637">
        <v>0</v>
      </c>
      <c r="DX84" s="637">
        <v>0</v>
      </c>
      <c r="DY84" s="637">
        <v>0</v>
      </c>
      <c r="DZ84" s="637">
        <v>0</v>
      </c>
      <c r="EA84" s="637">
        <v>0</v>
      </c>
      <c r="EB84" s="637">
        <v>0</v>
      </c>
      <c r="EC84" s="637">
        <v>0</v>
      </c>
      <c r="ED84" s="637">
        <v>0</v>
      </c>
    </row>
    <row r="85" spans="1:134" ht="15" x14ac:dyDescent="0.25">
      <c r="A85" s="555">
        <v>122</v>
      </c>
      <c r="B85" s="555">
        <v>86</v>
      </c>
      <c r="C85" s="555" t="s">
        <v>1068</v>
      </c>
      <c r="D85" s="812">
        <v>99705</v>
      </c>
      <c r="E85" s="812">
        <v>99705</v>
      </c>
      <c r="F85" s="630" t="s">
        <v>311</v>
      </c>
      <c r="G85" s="45">
        <v>659</v>
      </c>
      <c r="H85" s="45">
        <v>256</v>
      </c>
      <c r="I85" s="45">
        <v>234</v>
      </c>
      <c r="J85" s="45">
        <v>22</v>
      </c>
      <c r="K85" s="45">
        <v>1</v>
      </c>
      <c r="L85" s="45">
        <v>206</v>
      </c>
      <c r="M85" s="45">
        <v>207</v>
      </c>
      <c r="N85" s="45">
        <v>5</v>
      </c>
      <c r="O85" s="45">
        <v>0</v>
      </c>
      <c r="P85" s="45">
        <v>0</v>
      </c>
      <c r="Q85" s="45">
        <v>212</v>
      </c>
      <c r="R85" s="45">
        <v>3808</v>
      </c>
      <c r="S85" s="45">
        <v>1952.5776699029127</v>
      </c>
      <c r="T85" s="45">
        <v>1961.5410628019324</v>
      </c>
      <c r="U85" s="45">
        <v>10572.8</v>
      </c>
      <c r="V85" s="45">
        <v>0</v>
      </c>
      <c r="W85" s="45">
        <v>0</v>
      </c>
      <c r="X85" s="45">
        <v>2164.6367924528304</v>
      </c>
      <c r="Y85" s="45">
        <v>1.2367149758454106</v>
      </c>
      <c r="Z85" s="45">
        <v>254.76328502415458</v>
      </c>
      <c r="AA85" s="45">
        <v>0</v>
      </c>
      <c r="AB85" s="508">
        <v>5</v>
      </c>
      <c r="AC85" s="508">
        <v>0</v>
      </c>
      <c r="AD85" s="631">
        <v>261</v>
      </c>
      <c r="AE85" s="632">
        <v>1.1304347826086956</v>
      </c>
      <c r="AF85" s="632">
        <v>232.86956521739131</v>
      </c>
      <c r="AG85" s="633">
        <v>234</v>
      </c>
      <c r="AH85" s="632">
        <v>0</v>
      </c>
      <c r="AI85" s="632">
        <v>1.1478591075195184</v>
      </c>
      <c r="AJ85" s="632">
        <v>236.45897614902077</v>
      </c>
      <c r="AK85" s="632">
        <v>237.60683525654028</v>
      </c>
      <c r="AL85" s="632">
        <v>0</v>
      </c>
      <c r="AM85" s="632">
        <v>1.0545964933383487</v>
      </c>
      <c r="AN85" s="632">
        <v>217.24687762769986</v>
      </c>
      <c r="AO85" s="632">
        <v>218.30147412103821</v>
      </c>
      <c r="AP85" s="632">
        <v>0</v>
      </c>
      <c r="AQ85" s="632">
        <v>4.7005383366745468</v>
      </c>
      <c r="AR85" s="632">
        <v>0</v>
      </c>
      <c r="AS85" s="632">
        <v>220.5351881274558</v>
      </c>
      <c r="AT85" s="632">
        <v>228.91192217460085</v>
      </c>
      <c r="AU85" s="632">
        <v>237.60683525654028</v>
      </c>
      <c r="AV85" s="632">
        <v>246.63201297819046</v>
      </c>
      <c r="AW85" s="632">
        <v>256</v>
      </c>
      <c r="AX85" s="632">
        <v>203.65612651033464</v>
      </c>
      <c r="AY85" s="632">
        <v>210.85168396526194</v>
      </c>
      <c r="AZ85" s="632">
        <v>218.30147412103818</v>
      </c>
      <c r="BA85" s="632">
        <v>226.01447950147559</v>
      </c>
      <c r="BB85" s="632">
        <v>234</v>
      </c>
      <c r="BC85" s="632">
        <v>4.4190121309094232</v>
      </c>
      <c r="BD85" s="632">
        <v>4.5576019935454681</v>
      </c>
      <c r="BE85" s="632">
        <v>4.7005383366745468</v>
      </c>
      <c r="BF85" s="632">
        <v>4.8479574754088688</v>
      </c>
      <c r="BG85" s="632">
        <v>5</v>
      </c>
      <c r="BH85" s="634">
        <v>261.83060055766509</v>
      </c>
      <c r="BI85" s="634">
        <v>267.79399761088894</v>
      </c>
      <c r="BJ85" s="634">
        <v>273.89321570389444</v>
      </c>
      <c r="BK85" s="635">
        <v>276.99148801244428</v>
      </c>
      <c r="BL85" s="635">
        <v>280.08976032099412</v>
      </c>
      <c r="BM85" s="635">
        <v>283.1880326295439</v>
      </c>
      <c r="BN85" s="635">
        <v>286.28630493809374</v>
      </c>
      <c r="BO85" s="635">
        <v>289.94980873297732</v>
      </c>
      <c r="BP85" s="635">
        <v>293.61331252786096</v>
      </c>
      <c r="BQ85" s="635">
        <v>303.76959674109384</v>
      </c>
      <c r="BR85" s="635">
        <v>315.87011421251998</v>
      </c>
      <c r="BS85" s="635">
        <v>321.18321319898541</v>
      </c>
      <c r="BT85" s="635">
        <v>324.10093382346582</v>
      </c>
      <c r="BU85" s="635">
        <v>327.12250882757473</v>
      </c>
      <c r="BV85" s="635">
        <v>330.21678189742363</v>
      </c>
      <c r="BW85" s="634">
        <v>239.32953332224076</v>
      </c>
      <c r="BX85" s="634">
        <v>244.78045094120316</v>
      </c>
      <c r="BY85" s="634">
        <v>250.35551747934102</v>
      </c>
      <c r="BZ85" s="635">
        <v>253.18753201137486</v>
      </c>
      <c r="CA85" s="635">
        <v>256.01954654340869</v>
      </c>
      <c r="CB85" s="635">
        <v>258.85156107544248</v>
      </c>
      <c r="CC85" s="635">
        <v>261.68357560747631</v>
      </c>
      <c r="CD85" s="635">
        <v>265.03224704498712</v>
      </c>
      <c r="CE85" s="635">
        <v>268.38091848249792</v>
      </c>
      <c r="CF85" s="635">
        <v>277.66439702115611</v>
      </c>
      <c r="CG85" s="635">
        <v>288.72502627238151</v>
      </c>
      <c r="CH85" s="635">
        <v>293.5815308146976</v>
      </c>
      <c r="CI85" s="635">
        <v>296.24850982301177</v>
      </c>
      <c r="CJ85" s="635">
        <v>299.01041822520506</v>
      </c>
      <c r="CK85" s="635">
        <v>301.83877720311381</v>
      </c>
      <c r="CL85" s="634">
        <v>5.1138789171418964</v>
      </c>
      <c r="CM85" s="634">
        <v>5.2303515158376745</v>
      </c>
      <c r="CN85" s="634">
        <v>5.3494768692166881</v>
      </c>
      <c r="CO85" s="635">
        <v>5.4099900002430523</v>
      </c>
      <c r="CP85" s="635">
        <v>5.4705031312694157</v>
      </c>
      <c r="CQ85" s="635">
        <v>5.531016262295779</v>
      </c>
      <c r="CR85" s="635">
        <v>5.5915293933221424</v>
      </c>
      <c r="CS85" s="635">
        <v>5.6630822018159632</v>
      </c>
      <c r="CT85" s="635">
        <v>5.7346350103097841</v>
      </c>
      <c r="CU85" s="635">
        <v>5.9329999363494892</v>
      </c>
      <c r="CV85" s="635">
        <v>6.1693381682132804</v>
      </c>
      <c r="CW85" s="635">
        <v>6.273109632792683</v>
      </c>
      <c r="CX85" s="635">
        <v>6.3300963637395666</v>
      </c>
      <c r="CY85" s="635">
        <v>6.3891115005385695</v>
      </c>
      <c r="CZ85" s="635">
        <v>6.4495465214340548</v>
      </c>
      <c r="DA85" s="636">
        <v>0</v>
      </c>
      <c r="DB85" s="636">
        <v>0</v>
      </c>
      <c r="DC85" s="636">
        <v>0</v>
      </c>
      <c r="DD85" s="637">
        <v>0</v>
      </c>
      <c r="DE85" s="637">
        <v>0</v>
      </c>
      <c r="DF85" s="637">
        <v>0</v>
      </c>
      <c r="DG85" s="637">
        <v>0</v>
      </c>
      <c r="DH85" s="637">
        <v>0</v>
      </c>
      <c r="DI85" s="637">
        <v>0</v>
      </c>
      <c r="DJ85" s="637">
        <v>0</v>
      </c>
      <c r="DK85" s="637">
        <v>0</v>
      </c>
      <c r="DL85" s="637">
        <v>0</v>
      </c>
      <c r="DM85" s="637">
        <v>0</v>
      </c>
      <c r="DN85" s="637">
        <v>0</v>
      </c>
      <c r="DO85" s="637">
        <v>0</v>
      </c>
      <c r="DP85" s="636">
        <v>0</v>
      </c>
      <c r="DQ85" s="636">
        <v>0</v>
      </c>
      <c r="DR85" s="636">
        <v>0</v>
      </c>
      <c r="DS85" s="637">
        <v>0</v>
      </c>
      <c r="DT85" s="637">
        <v>0</v>
      </c>
      <c r="DU85" s="637">
        <v>0</v>
      </c>
      <c r="DV85" s="637">
        <v>0</v>
      </c>
      <c r="DW85" s="637">
        <v>0</v>
      </c>
      <c r="DX85" s="637">
        <v>0</v>
      </c>
      <c r="DY85" s="637">
        <v>0</v>
      </c>
      <c r="DZ85" s="637">
        <v>0</v>
      </c>
      <c r="EA85" s="637">
        <v>0</v>
      </c>
      <c r="EB85" s="637">
        <v>0</v>
      </c>
      <c r="EC85" s="637">
        <v>0</v>
      </c>
      <c r="ED85" s="637">
        <v>0</v>
      </c>
    </row>
    <row r="86" spans="1:134" ht="15" x14ac:dyDescent="0.25">
      <c r="A86" s="555">
        <v>123</v>
      </c>
      <c r="B86" s="555">
        <v>86</v>
      </c>
      <c r="C86" s="555" t="s">
        <v>1069</v>
      </c>
      <c r="D86" s="812">
        <v>99705</v>
      </c>
      <c r="E86" s="812">
        <v>99705</v>
      </c>
      <c r="F86" s="630" t="s">
        <v>311</v>
      </c>
      <c r="G86" s="45">
        <v>772</v>
      </c>
      <c r="H86" s="45">
        <v>358</v>
      </c>
      <c r="I86" s="45">
        <v>338</v>
      </c>
      <c r="J86" s="45">
        <v>20</v>
      </c>
      <c r="K86" s="45">
        <v>25</v>
      </c>
      <c r="L86" s="45">
        <v>154</v>
      </c>
      <c r="M86" s="45">
        <v>179</v>
      </c>
      <c r="N86" s="45">
        <v>7</v>
      </c>
      <c r="O86" s="45">
        <v>0</v>
      </c>
      <c r="P86" s="45">
        <v>0</v>
      </c>
      <c r="Q86" s="45">
        <v>186</v>
      </c>
      <c r="R86" s="45">
        <v>4898.24</v>
      </c>
      <c r="S86" s="45">
        <v>2368.0324675324673</v>
      </c>
      <c r="T86" s="45">
        <v>2721.4134078212287</v>
      </c>
      <c r="U86" s="45">
        <v>12532.285714285714</v>
      </c>
      <c r="V86" s="45">
        <v>0</v>
      </c>
      <c r="W86" s="45">
        <v>0</v>
      </c>
      <c r="X86" s="45">
        <v>3090.6397849462364</v>
      </c>
      <c r="Y86" s="45">
        <v>50</v>
      </c>
      <c r="Z86" s="45">
        <v>308</v>
      </c>
      <c r="AA86" s="45">
        <v>0</v>
      </c>
      <c r="AB86" s="508">
        <v>7</v>
      </c>
      <c r="AC86" s="508">
        <v>0</v>
      </c>
      <c r="AD86" s="631">
        <v>365</v>
      </c>
      <c r="AE86" s="632">
        <v>47.206703910614522</v>
      </c>
      <c r="AF86" s="632">
        <v>290.79329608938548</v>
      </c>
      <c r="AG86" s="633">
        <v>338</v>
      </c>
      <c r="AH86" s="632">
        <v>0</v>
      </c>
      <c r="AI86" s="632">
        <v>46.407585011043025</v>
      </c>
      <c r="AJ86" s="632">
        <v>285.87072366802505</v>
      </c>
      <c r="AK86" s="632">
        <v>332.27830867906806</v>
      </c>
      <c r="AL86" s="632">
        <v>0</v>
      </c>
      <c r="AM86" s="632">
        <v>44.03971389778858</v>
      </c>
      <c r="AN86" s="632">
        <v>271.28463761037767</v>
      </c>
      <c r="AO86" s="632">
        <v>315.32435150816627</v>
      </c>
      <c r="AP86" s="632">
        <v>0</v>
      </c>
      <c r="AQ86" s="632">
        <v>6.5807536713443655</v>
      </c>
      <c r="AR86" s="632">
        <v>0</v>
      </c>
      <c r="AS86" s="632">
        <v>308.40467714698894</v>
      </c>
      <c r="AT86" s="632">
        <v>320.11901616604337</v>
      </c>
      <c r="AU86" s="632">
        <v>332.27830867906806</v>
      </c>
      <c r="AV86" s="632">
        <v>344.89945564918821</v>
      </c>
      <c r="AW86" s="632">
        <v>358</v>
      </c>
      <c r="AX86" s="632">
        <v>294.16996051492782</v>
      </c>
      <c r="AY86" s="632">
        <v>304.56354350537833</v>
      </c>
      <c r="AZ86" s="632">
        <v>315.32435150816627</v>
      </c>
      <c r="BA86" s="632">
        <v>326.46535927990919</v>
      </c>
      <c r="BB86" s="632">
        <v>338</v>
      </c>
      <c r="BC86" s="632">
        <v>6.1866169832731917</v>
      </c>
      <c r="BD86" s="632">
        <v>6.3806427909636545</v>
      </c>
      <c r="BE86" s="632">
        <v>6.5807536713443655</v>
      </c>
      <c r="BF86" s="632">
        <v>6.7871404655724161</v>
      </c>
      <c r="BG86" s="632">
        <v>7</v>
      </c>
      <c r="BH86" s="634">
        <v>364.92604878700394</v>
      </c>
      <c r="BI86" s="634">
        <v>371.98609241143782</v>
      </c>
      <c r="BJ86" s="634">
        <v>379.18272320509311</v>
      </c>
      <c r="BK86" s="635">
        <v>390.14330307466912</v>
      </c>
      <c r="BL86" s="635">
        <v>401.10388294424519</v>
      </c>
      <c r="BM86" s="635">
        <v>412.06446281382114</v>
      </c>
      <c r="BN86" s="635">
        <v>423.02504268339715</v>
      </c>
      <c r="BO86" s="635">
        <v>435.98520949491643</v>
      </c>
      <c r="BP86" s="635">
        <v>448.94537630643566</v>
      </c>
      <c r="BQ86" s="635">
        <v>484.87467922473093</v>
      </c>
      <c r="BR86" s="635">
        <v>527.68198439373487</v>
      </c>
      <c r="BS86" s="635">
        <v>546.47782930233654</v>
      </c>
      <c r="BT86" s="635">
        <v>556.79968185657356</v>
      </c>
      <c r="BU86" s="635">
        <v>567.48893408048536</v>
      </c>
      <c r="BV86" s="635">
        <v>578.43536607316946</v>
      </c>
      <c r="BW86" s="634">
        <v>344.53911868717131</v>
      </c>
      <c r="BX86" s="634">
        <v>351.2047464666648</v>
      </c>
      <c r="BY86" s="634">
        <v>357.99933084726666</v>
      </c>
      <c r="BZ86" s="635">
        <v>368.34758781910102</v>
      </c>
      <c r="CA86" s="635">
        <v>378.69584479093538</v>
      </c>
      <c r="CB86" s="635">
        <v>389.04410176276963</v>
      </c>
      <c r="CC86" s="635">
        <v>399.39235873460399</v>
      </c>
      <c r="CD86" s="635">
        <v>411.62849388067525</v>
      </c>
      <c r="CE86" s="635">
        <v>423.86462902674651</v>
      </c>
      <c r="CF86" s="635">
        <v>457.78670831832136</v>
      </c>
      <c r="CG86" s="635">
        <v>498.20254392481115</v>
      </c>
      <c r="CH86" s="635">
        <v>515.94834163181497</v>
      </c>
      <c r="CI86" s="635">
        <v>525.69355437855268</v>
      </c>
      <c r="CJ86" s="635">
        <v>535.7856416737543</v>
      </c>
      <c r="CK86" s="635">
        <v>546.12054115288061</v>
      </c>
      <c r="CL86" s="634">
        <v>7.1354255349414171</v>
      </c>
      <c r="CM86" s="634">
        <v>7.2734710806705722</v>
      </c>
      <c r="CN86" s="634">
        <v>7.4141873252392507</v>
      </c>
      <c r="CO86" s="635">
        <v>7.6285003394488378</v>
      </c>
      <c r="CP86" s="635">
        <v>7.8428133536584248</v>
      </c>
      <c r="CQ86" s="635">
        <v>8.0571263678680101</v>
      </c>
      <c r="CR86" s="635">
        <v>8.2714393820775971</v>
      </c>
      <c r="CS86" s="635">
        <v>8.5248504649843984</v>
      </c>
      <c r="CT86" s="635">
        <v>8.7782615478911996</v>
      </c>
      <c r="CU86" s="635">
        <v>9.4807898172433429</v>
      </c>
      <c r="CV86" s="635">
        <v>10.317804164123308</v>
      </c>
      <c r="CW86" s="635">
        <v>10.685320684682559</v>
      </c>
      <c r="CX86" s="635">
        <v>10.887144617307305</v>
      </c>
      <c r="CY86" s="635">
        <v>11.096152342355859</v>
      </c>
      <c r="CZ86" s="635">
        <v>11.310188722101078</v>
      </c>
      <c r="DA86" s="636">
        <v>0</v>
      </c>
      <c r="DB86" s="636">
        <v>0</v>
      </c>
      <c r="DC86" s="636">
        <v>0</v>
      </c>
      <c r="DD86" s="637">
        <v>0</v>
      </c>
      <c r="DE86" s="637">
        <v>0</v>
      </c>
      <c r="DF86" s="637">
        <v>0</v>
      </c>
      <c r="DG86" s="637">
        <v>0</v>
      </c>
      <c r="DH86" s="637">
        <v>0</v>
      </c>
      <c r="DI86" s="637">
        <v>0</v>
      </c>
      <c r="DJ86" s="637">
        <v>0</v>
      </c>
      <c r="DK86" s="637">
        <v>0</v>
      </c>
      <c r="DL86" s="637">
        <v>0</v>
      </c>
      <c r="DM86" s="637">
        <v>0</v>
      </c>
      <c r="DN86" s="637">
        <v>0</v>
      </c>
      <c r="DO86" s="637">
        <v>0</v>
      </c>
      <c r="DP86" s="636">
        <v>0</v>
      </c>
      <c r="DQ86" s="636">
        <v>0</v>
      </c>
      <c r="DR86" s="636">
        <v>0</v>
      </c>
      <c r="DS86" s="637">
        <v>0</v>
      </c>
      <c r="DT86" s="637">
        <v>0</v>
      </c>
      <c r="DU86" s="637">
        <v>0</v>
      </c>
      <c r="DV86" s="637">
        <v>0</v>
      </c>
      <c r="DW86" s="637">
        <v>0</v>
      </c>
      <c r="DX86" s="637">
        <v>0</v>
      </c>
      <c r="DY86" s="637">
        <v>0</v>
      </c>
      <c r="DZ86" s="637">
        <v>0</v>
      </c>
      <c r="EA86" s="637">
        <v>0</v>
      </c>
      <c r="EB86" s="637">
        <v>0</v>
      </c>
      <c r="EC86" s="637">
        <v>0</v>
      </c>
      <c r="ED86" s="637">
        <v>0</v>
      </c>
    </row>
    <row r="87" spans="1:134" ht="15" x14ac:dyDescent="0.25">
      <c r="A87" s="555">
        <v>124</v>
      </c>
      <c r="B87" s="555">
        <v>86</v>
      </c>
      <c r="C87" s="555" t="s">
        <v>1070</v>
      </c>
      <c r="D87" s="812">
        <v>99705</v>
      </c>
      <c r="E87" s="812">
        <v>99705</v>
      </c>
      <c r="F87" s="630" t="s">
        <v>311</v>
      </c>
      <c r="G87" s="45">
        <v>403</v>
      </c>
      <c r="H87" s="45">
        <v>144</v>
      </c>
      <c r="I87" s="45">
        <v>140</v>
      </c>
      <c r="J87" s="45">
        <v>4</v>
      </c>
      <c r="K87" s="45">
        <v>2</v>
      </c>
      <c r="L87" s="45">
        <v>153</v>
      </c>
      <c r="M87" s="45">
        <v>155</v>
      </c>
      <c r="N87" s="45">
        <v>1</v>
      </c>
      <c r="O87" s="45">
        <v>0</v>
      </c>
      <c r="P87" s="45">
        <v>0</v>
      </c>
      <c r="Q87" s="45">
        <v>156</v>
      </c>
      <c r="R87" s="45">
        <v>4080</v>
      </c>
      <c r="S87" s="45">
        <v>2515.9607843137255</v>
      </c>
      <c r="T87" s="45">
        <v>2536.1419354838708</v>
      </c>
      <c r="U87" s="45">
        <v>4172</v>
      </c>
      <c r="V87" s="45">
        <v>0</v>
      </c>
      <c r="W87" s="45">
        <v>0</v>
      </c>
      <c r="X87" s="45">
        <v>2546.6282051282051</v>
      </c>
      <c r="Y87" s="45">
        <v>1.8580645161290323</v>
      </c>
      <c r="Z87" s="45">
        <v>142.14193548387098</v>
      </c>
      <c r="AA87" s="45">
        <v>0</v>
      </c>
      <c r="AB87" s="508">
        <v>1</v>
      </c>
      <c r="AC87" s="508">
        <v>0</v>
      </c>
      <c r="AD87" s="631">
        <v>145</v>
      </c>
      <c r="AE87" s="632">
        <v>1.8064516129032258</v>
      </c>
      <c r="AF87" s="632">
        <v>138.19354838709677</v>
      </c>
      <c r="AG87" s="633">
        <v>140</v>
      </c>
      <c r="AH87" s="632">
        <v>0</v>
      </c>
      <c r="AI87" s="632">
        <v>1.7245657397652119</v>
      </c>
      <c r="AJ87" s="632">
        <v>131.92927909203871</v>
      </c>
      <c r="AK87" s="632">
        <v>133.65384483180392</v>
      </c>
      <c r="AL87" s="632">
        <v>0</v>
      </c>
      <c r="AM87" s="632">
        <v>1.6852608975431678</v>
      </c>
      <c r="AN87" s="632">
        <v>128.92245866205232</v>
      </c>
      <c r="AO87" s="632">
        <v>130.60771955959549</v>
      </c>
      <c r="AP87" s="632">
        <v>0</v>
      </c>
      <c r="AQ87" s="632">
        <v>0.94010766733490925</v>
      </c>
      <c r="AR87" s="632">
        <v>0</v>
      </c>
      <c r="AS87" s="632">
        <v>124.05104332169388</v>
      </c>
      <c r="AT87" s="632">
        <v>128.76295622321297</v>
      </c>
      <c r="AU87" s="632">
        <v>133.65384483180392</v>
      </c>
      <c r="AV87" s="632">
        <v>138.73050730023215</v>
      </c>
      <c r="AW87" s="632">
        <v>144</v>
      </c>
      <c r="AX87" s="632">
        <v>121.84554577541388</v>
      </c>
      <c r="AY87" s="632">
        <v>126.15058015015671</v>
      </c>
      <c r="AZ87" s="632">
        <v>130.60771955959549</v>
      </c>
      <c r="BA87" s="632">
        <v>135.22233816327599</v>
      </c>
      <c r="BB87" s="632">
        <v>140</v>
      </c>
      <c r="BC87" s="632">
        <v>0.88380242618188454</v>
      </c>
      <c r="BD87" s="632">
        <v>0.91152039870909352</v>
      </c>
      <c r="BE87" s="632">
        <v>0.94010766733490925</v>
      </c>
      <c r="BF87" s="632">
        <v>0.96959149508177378</v>
      </c>
      <c r="BG87" s="632">
        <v>1</v>
      </c>
      <c r="BH87" s="634">
        <v>147.0190932994058</v>
      </c>
      <c r="BI87" s="634">
        <v>150.10148468457908</v>
      </c>
      <c r="BJ87" s="634">
        <v>153.24850125848241</v>
      </c>
      <c r="BK87" s="635">
        <v>153.41000789942666</v>
      </c>
      <c r="BL87" s="635">
        <v>153.57151454037086</v>
      </c>
      <c r="BM87" s="635">
        <v>153.73302118131508</v>
      </c>
      <c r="BN87" s="635">
        <v>153.89452782225931</v>
      </c>
      <c r="BO87" s="635">
        <v>154.08549883225263</v>
      </c>
      <c r="BP87" s="635">
        <v>154.27646984224589</v>
      </c>
      <c r="BQ87" s="635">
        <v>154.80589630460935</v>
      </c>
      <c r="BR87" s="635">
        <v>155.43667169678639</v>
      </c>
      <c r="BS87" s="635">
        <v>155.71363275277241</v>
      </c>
      <c r="BT87" s="635">
        <v>155.86572760123784</v>
      </c>
      <c r="BU87" s="635">
        <v>156.02323616752108</v>
      </c>
      <c r="BV87" s="635">
        <v>156.18453433627673</v>
      </c>
      <c r="BW87" s="634">
        <v>142.93522959664452</v>
      </c>
      <c r="BX87" s="634">
        <v>145.93199899889632</v>
      </c>
      <c r="BY87" s="634">
        <v>148.99159844574677</v>
      </c>
      <c r="BZ87" s="635">
        <v>149.14861879110924</v>
      </c>
      <c r="CA87" s="635">
        <v>149.30563913647165</v>
      </c>
      <c r="CB87" s="635">
        <v>149.46265948183409</v>
      </c>
      <c r="CC87" s="635">
        <v>149.61967982719656</v>
      </c>
      <c r="CD87" s="635">
        <v>149.80534608691227</v>
      </c>
      <c r="CE87" s="635">
        <v>149.99101234662794</v>
      </c>
      <c r="CF87" s="635">
        <v>150.50573251837017</v>
      </c>
      <c r="CG87" s="635">
        <v>151.11898637187565</v>
      </c>
      <c r="CH87" s="635">
        <v>151.38825406519538</v>
      </c>
      <c r="CI87" s="635">
        <v>151.53612405675901</v>
      </c>
      <c r="CJ87" s="635">
        <v>151.68925738508992</v>
      </c>
      <c r="CK87" s="635">
        <v>151.84607504915792</v>
      </c>
      <c r="CL87" s="634">
        <v>1.0209659256903181</v>
      </c>
      <c r="CM87" s="634">
        <v>1.0423714214206881</v>
      </c>
      <c r="CN87" s="634">
        <v>1.0642257031839055</v>
      </c>
      <c r="CO87" s="635">
        <v>1.0653472770793517</v>
      </c>
      <c r="CP87" s="635">
        <v>1.0664688509747975</v>
      </c>
      <c r="CQ87" s="635">
        <v>1.0675904248702435</v>
      </c>
      <c r="CR87" s="635">
        <v>1.0687119987656897</v>
      </c>
      <c r="CS87" s="635">
        <v>1.0700381863350876</v>
      </c>
      <c r="CT87" s="635">
        <v>1.0713643739044854</v>
      </c>
      <c r="CU87" s="635">
        <v>1.075040946559787</v>
      </c>
      <c r="CV87" s="635">
        <v>1.0794213312276832</v>
      </c>
      <c r="CW87" s="635">
        <v>1.0813446718942528</v>
      </c>
      <c r="CX87" s="635">
        <v>1.0824008861197072</v>
      </c>
      <c r="CY87" s="635">
        <v>1.0834946956077851</v>
      </c>
      <c r="CZ87" s="635">
        <v>1.0846148217796994</v>
      </c>
      <c r="DA87" s="636">
        <v>0</v>
      </c>
      <c r="DB87" s="636">
        <v>0</v>
      </c>
      <c r="DC87" s="636">
        <v>0</v>
      </c>
      <c r="DD87" s="637">
        <v>0</v>
      </c>
      <c r="DE87" s="637">
        <v>0</v>
      </c>
      <c r="DF87" s="637">
        <v>0</v>
      </c>
      <c r="DG87" s="637">
        <v>0</v>
      </c>
      <c r="DH87" s="637">
        <v>0</v>
      </c>
      <c r="DI87" s="637">
        <v>0</v>
      </c>
      <c r="DJ87" s="637">
        <v>0</v>
      </c>
      <c r="DK87" s="637">
        <v>0</v>
      </c>
      <c r="DL87" s="637">
        <v>0</v>
      </c>
      <c r="DM87" s="637">
        <v>0</v>
      </c>
      <c r="DN87" s="637">
        <v>0</v>
      </c>
      <c r="DO87" s="637">
        <v>0</v>
      </c>
      <c r="DP87" s="636">
        <v>0</v>
      </c>
      <c r="DQ87" s="636">
        <v>0</v>
      </c>
      <c r="DR87" s="636">
        <v>0</v>
      </c>
      <c r="DS87" s="637">
        <v>0</v>
      </c>
      <c r="DT87" s="637">
        <v>0</v>
      </c>
      <c r="DU87" s="637">
        <v>0</v>
      </c>
      <c r="DV87" s="637">
        <v>0</v>
      </c>
      <c r="DW87" s="637">
        <v>0</v>
      </c>
      <c r="DX87" s="637">
        <v>0</v>
      </c>
      <c r="DY87" s="637">
        <v>0</v>
      </c>
      <c r="DZ87" s="637">
        <v>0</v>
      </c>
      <c r="EA87" s="637">
        <v>0</v>
      </c>
      <c r="EB87" s="637">
        <v>0</v>
      </c>
      <c r="EC87" s="637">
        <v>0</v>
      </c>
      <c r="ED87" s="637">
        <v>0</v>
      </c>
    </row>
    <row r="88" spans="1:134" ht="15" x14ac:dyDescent="0.25">
      <c r="A88" s="555">
        <v>125</v>
      </c>
      <c r="B88" s="555">
        <v>86</v>
      </c>
      <c r="C88" s="555" t="s">
        <v>1071</v>
      </c>
      <c r="D88" s="812">
        <v>99705</v>
      </c>
      <c r="E88" s="812">
        <v>99705</v>
      </c>
      <c r="F88" s="630" t="s">
        <v>311</v>
      </c>
      <c r="G88" s="45">
        <v>493</v>
      </c>
      <c r="H88" s="45">
        <v>158</v>
      </c>
      <c r="I88" s="45">
        <v>152</v>
      </c>
      <c r="J88" s="45">
        <v>6</v>
      </c>
      <c r="K88" s="45">
        <v>0</v>
      </c>
      <c r="L88" s="45">
        <v>134</v>
      </c>
      <c r="M88" s="45">
        <v>134</v>
      </c>
      <c r="N88" s="45">
        <v>2</v>
      </c>
      <c r="O88" s="45">
        <v>0</v>
      </c>
      <c r="P88" s="45">
        <v>0</v>
      </c>
      <c r="Q88" s="45">
        <v>136</v>
      </c>
      <c r="R88" s="45">
        <v>0</v>
      </c>
      <c r="S88" s="45">
        <v>2435.9328358208954</v>
      </c>
      <c r="T88" s="45">
        <v>2435.9328358208954</v>
      </c>
      <c r="U88" s="45">
        <v>2460</v>
      </c>
      <c r="V88" s="45">
        <v>0</v>
      </c>
      <c r="W88" s="45">
        <v>0</v>
      </c>
      <c r="X88" s="45">
        <v>2436.2867647058824</v>
      </c>
      <c r="Y88" s="45">
        <v>0</v>
      </c>
      <c r="Z88" s="45">
        <v>158</v>
      </c>
      <c r="AA88" s="45">
        <v>0</v>
      </c>
      <c r="AB88" s="508">
        <v>2</v>
      </c>
      <c r="AC88" s="508">
        <v>0</v>
      </c>
      <c r="AD88" s="631">
        <v>160</v>
      </c>
      <c r="AE88" s="632">
        <v>0</v>
      </c>
      <c r="AF88" s="632">
        <v>152</v>
      </c>
      <c r="AG88" s="633">
        <v>152</v>
      </c>
      <c r="AH88" s="632">
        <v>0</v>
      </c>
      <c r="AI88" s="632">
        <v>0</v>
      </c>
      <c r="AJ88" s="632">
        <v>146.64796863489596</v>
      </c>
      <c r="AK88" s="632">
        <v>146.64796863489596</v>
      </c>
      <c r="AL88" s="632">
        <v>0</v>
      </c>
      <c r="AM88" s="632">
        <v>0</v>
      </c>
      <c r="AN88" s="632">
        <v>141.80266695041797</v>
      </c>
      <c r="AO88" s="632">
        <v>141.80266695041797</v>
      </c>
      <c r="AP88" s="632">
        <v>0</v>
      </c>
      <c r="AQ88" s="632">
        <v>1.8802153346698185</v>
      </c>
      <c r="AR88" s="632">
        <v>0</v>
      </c>
      <c r="AS88" s="632">
        <v>136.11156142241413</v>
      </c>
      <c r="AT88" s="632">
        <v>141.28157696713646</v>
      </c>
      <c r="AU88" s="632">
        <v>146.64796863489596</v>
      </c>
      <c r="AV88" s="632">
        <v>152.21819550997694</v>
      </c>
      <c r="AW88" s="632">
        <v>158</v>
      </c>
      <c r="AX88" s="632">
        <v>132.28944969902079</v>
      </c>
      <c r="AY88" s="632">
        <v>136.96348702017013</v>
      </c>
      <c r="AZ88" s="632">
        <v>141.80266695041797</v>
      </c>
      <c r="BA88" s="632">
        <v>146.81282429155681</v>
      </c>
      <c r="BB88" s="632">
        <v>152</v>
      </c>
      <c r="BC88" s="632">
        <v>1.7676048523637691</v>
      </c>
      <c r="BD88" s="632">
        <v>1.823040797418187</v>
      </c>
      <c r="BE88" s="632">
        <v>1.8802153346698185</v>
      </c>
      <c r="BF88" s="632">
        <v>1.9391829901635476</v>
      </c>
      <c r="BG88" s="632">
        <v>2</v>
      </c>
      <c r="BH88" s="634">
        <v>159.46687058194058</v>
      </c>
      <c r="BI88" s="634">
        <v>160.94735957719868</v>
      </c>
      <c r="BJ88" s="634">
        <v>162.44159341900126</v>
      </c>
      <c r="BK88" s="635">
        <v>163.46131717251822</v>
      </c>
      <c r="BL88" s="635">
        <v>164.48104092603521</v>
      </c>
      <c r="BM88" s="635">
        <v>165.50076467955222</v>
      </c>
      <c r="BN88" s="635">
        <v>166.52048843306918</v>
      </c>
      <c r="BO88" s="635">
        <v>167.7262448897994</v>
      </c>
      <c r="BP88" s="635">
        <v>168.9320013465296</v>
      </c>
      <c r="BQ88" s="635">
        <v>172.27470438496931</v>
      </c>
      <c r="BR88" s="635">
        <v>176.25730625679634</v>
      </c>
      <c r="BS88" s="635">
        <v>178.00598832916771</v>
      </c>
      <c r="BT88" s="635">
        <v>178.96628772528558</v>
      </c>
      <c r="BU88" s="635">
        <v>179.96076835767553</v>
      </c>
      <c r="BV88" s="635">
        <v>180.97917585545605</v>
      </c>
      <c r="BW88" s="634">
        <v>153.41116663579095</v>
      </c>
      <c r="BX88" s="634">
        <v>154.83543452996329</v>
      </c>
      <c r="BY88" s="634">
        <v>156.27292531448222</v>
      </c>
      <c r="BZ88" s="635">
        <v>157.25392538115676</v>
      </c>
      <c r="CA88" s="635">
        <v>158.23492544783133</v>
      </c>
      <c r="CB88" s="635">
        <v>159.21592551450593</v>
      </c>
      <c r="CC88" s="635">
        <v>160.19692558118047</v>
      </c>
      <c r="CD88" s="635">
        <v>161.35689381803485</v>
      </c>
      <c r="CE88" s="635">
        <v>162.51686205488923</v>
      </c>
      <c r="CF88" s="635">
        <v>165.7326270032616</v>
      </c>
      <c r="CG88" s="635">
        <v>169.56399082932305</v>
      </c>
      <c r="CH88" s="635">
        <v>171.24626725337652</v>
      </c>
      <c r="CI88" s="635">
        <v>172.17009958381905</v>
      </c>
      <c r="CJ88" s="635">
        <v>173.12681512890305</v>
      </c>
      <c r="CK88" s="635">
        <v>174.10654892423619</v>
      </c>
      <c r="CL88" s="634">
        <v>2.018567982049881</v>
      </c>
      <c r="CM88" s="634">
        <v>2.0373083490784643</v>
      </c>
      <c r="CN88" s="634">
        <v>2.056222701506345</v>
      </c>
      <c r="CO88" s="635">
        <v>2.0691305971204836</v>
      </c>
      <c r="CP88" s="635">
        <v>2.0820384927346227</v>
      </c>
      <c r="CQ88" s="635">
        <v>2.0949463883487618</v>
      </c>
      <c r="CR88" s="635">
        <v>2.1078542839629009</v>
      </c>
      <c r="CS88" s="635">
        <v>2.1231170239215111</v>
      </c>
      <c r="CT88" s="635">
        <v>2.1383797638801214</v>
      </c>
      <c r="CU88" s="635">
        <v>2.1806924605692317</v>
      </c>
      <c r="CV88" s="635">
        <v>2.231105142491093</v>
      </c>
      <c r="CW88" s="635">
        <v>2.2532403585970595</v>
      </c>
      <c r="CX88" s="635">
        <v>2.2653960471555137</v>
      </c>
      <c r="CY88" s="635">
        <v>2.2779844095908293</v>
      </c>
      <c r="CZ88" s="635">
        <v>2.2908756437399496</v>
      </c>
      <c r="DA88" s="636">
        <v>0</v>
      </c>
      <c r="DB88" s="636">
        <v>0</v>
      </c>
      <c r="DC88" s="636">
        <v>0</v>
      </c>
      <c r="DD88" s="637">
        <v>0</v>
      </c>
      <c r="DE88" s="637">
        <v>0</v>
      </c>
      <c r="DF88" s="637">
        <v>0</v>
      </c>
      <c r="DG88" s="637">
        <v>0</v>
      </c>
      <c r="DH88" s="637">
        <v>0</v>
      </c>
      <c r="DI88" s="637">
        <v>0</v>
      </c>
      <c r="DJ88" s="637">
        <v>0</v>
      </c>
      <c r="DK88" s="637">
        <v>0</v>
      </c>
      <c r="DL88" s="637">
        <v>0</v>
      </c>
      <c r="DM88" s="637">
        <v>0</v>
      </c>
      <c r="DN88" s="637">
        <v>0</v>
      </c>
      <c r="DO88" s="637">
        <v>0</v>
      </c>
      <c r="DP88" s="636">
        <v>0</v>
      </c>
      <c r="DQ88" s="636">
        <v>0</v>
      </c>
      <c r="DR88" s="636">
        <v>0</v>
      </c>
      <c r="DS88" s="637">
        <v>0</v>
      </c>
      <c r="DT88" s="637">
        <v>0</v>
      </c>
      <c r="DU88" s="637">
        <v>0</v>
      </c>
      <c r="DV88" s="637">
        <v>0</v>
      </c>
      <c r="DW88" s="637">
        <v>0</v>
      </c>
      <c r="DX88" s="637">
        <v>0</v>
      </c>
      <c r="DY88" s="637">
        <v>0</v>
      </c>
      <c r="DZ88" s="637">
        <v>0</v>
      </c>
      <c r="EA88" s="637">
        <v>0</v>
      </c>
      <c r="EB88" s="637">
        <v>0</v>
      </c>
      <c r="EC88" s="637">
        <v>0</v>
      </c>
      <c r="ED88" s="637">
        <v>0</v>
      </c>
    </row>
    <row r="89" spans="1:134" ht="15" x14ac:dyDescent="0.25">
      <c r="A89" s="555">
        <v>126</v>
      </c>
      <c r="B89" s="555">
        <v>86</v>
      </c>
      <c r="C89" s="555" t="s">
        <v>1072</v>
      </c>
      <c r="D89" s="812">
        <v>99705</v>
      </c>
      <c r="E89" s="812">
        <v>99705</v>
      </c>
      <c r="F89" s="630" t="s">
        <v>311</v>
      </c>
      <c r="G89" s="45">
        <v>284</v>
      </c>
      <c r="H89" s="45">
        <v>110</v>
      </c>
      <c r="I89" s="45">
        <v>98</v>
      </c>
      <c r="J89" s="45">
        <v>12</v>
      </c>
      <c r="K89" s="45">
        <v>0</v>
      </c>
      <c r="L89" s="45">
        <v>130</v>
      </c>
      <c r="M89" s="45">
        <v>130</v>
      </c>
      <c r="N89" s="45">
        <v>0</v>
      </c>
      <c r="O89" s="45">
        <v>0</v>
      </c>
      <c r="P89" s="45">
        <v>0</v>
      </c>
      <c r="Q89" s="45">
        <v>130</v>
      </c>
      <c r="R89" s="45">
        <v>0</v>
      </c>
      <c r="S89" s="45">
        <v>2084.7615384615383</v>
      </c>
      <c r="T89" s="45">
        <v>2084.7615384615383</v>
      </c>
      <c r="U89" s="45">
        <v>0</v>
      </c>
      <c r="V89" s="45">
        <v>0</v>
      </c>
      <c r="W89" s="45">
        <v>0</v>
      </c>
      <c r="X89" s="45">
        <v>2084.7615384615383</v>
      </c>
      <c r="Y89" s="45">
        <v>0</v>
      </c>
      <c r="Z89" s="45">
        <v>110</v>
      </c>
      <c r="AA89" s="45">
        <v>0</v>
      </c>
      <c r="AB89" s="508">
        <v>0</v>
      </c>
      <c r="AC89" s="508">
        <v>0</v>
      </c>
      <c r="AD89" s="631">
        <v>110</v>
      </c>
      <c r="AE89" s="632">
        <v>0</v>
      </c>
      <c r="AF89" s="632">
        <v>98</v>
      </c>
      <c r="AG89" s="633">
        <v>98</v>
      </c>
      <c r="AH89" s="632">
        <v>0</v>
      </c>
      <c r="AI89" s="632">
        <v>0</v>
      </c>
      <c r="AJ89" s="632">
        <v>102.09668702429465</v>
      </c>
      <c r="AK89" s="632">
        <v>102.09668702429465</v>
      </c>
      <c r="AL89" s="632">
        <v>0</v>
      </c>
      <c r="AM89" s="632">
        <v>0</v>
      </c>
      <c r="AN89" s="632">
        <v>91.425403691716852</v>
      </c>
      <c r="AO89" s="632">
        <v>91.425403691716852</v>
      </c>
      <c r="AP89" s="632">
        <v>0</v>
      </c>
      <c r="AQ89" s="632">
        <v>0</v>
      </c>
      <c r="AR89" s="632">
        <v>0</v>
      </c>
      <c r="AS89" s="632">
        <v>94.761213648516161</v>
      </c>
      <c r="AT89" s="632">
        <v>98.360591559398799</v>
      </c>
      <c r="AU89" s="632">
        <v>102.09668702429465</v>
      </c>
      <c r="AV89" s="632">
        <v>105.97469307656623</v>
      </c>
      <c r="AW89" s="632">
        <v>110</v>
      </c>
      <c r="AX89" s="632">
        <v>85.291882042789723</v>
      </c>
      <c r="AY89" s="632">
        <v>88.305406105109697</v>
      </c>
      <c r="AZ89" s="632">
        <v>91.425403691716852</v>
      </c>
      <c r="BA89" s="632">
        <v>94.655636714293209</v>
      </c>
      <c r="BB89" s="632">
        <v>98</v>
      </c>
      <c r="BC89" s="632">
        <v>0</v>
      </c>
      <c r="BD89" s="632">
        <v>0</v>
      </c>
      <c r="BE89" s="632">
        <v>0</v>
      </c>
      <c r="BF89" s="632">
        <v>0</v>
      </c>
      <c r="BG89" s="632">
        <v>0</v>
      </c>
      <c r="BH89" s="634">
        <v>110.88735958264374</v>
      </c>
      <c r="BI89" s="634">
        <v>111.78187741100483</v>
      </c>
      <c r="BJ89" s="634">
        <v>112.68361122997358</v>
      </c>
      <c r="BK89" s="635">
        <v>114.65805670963715</v>
      </c>
      <c r="BL89" s="635">
        <v>116.63250218930072</v>
      </c>
      <c r="BM89" s="635">
        <v>118.60694766896432</v>
      </c>
      <c r="BN89" s="635">
        <v>120.5813931486279</v>
      </c>
      <c r="BO89" s="635">
        <v>122.91604542808615</v>
      </c>
      <c r="BP89" s="635">
        <v>125.25069770754442</v>
      </c>
      <c r="BQ89" s="635">
        <v>131.7230240423404</v>
      </c>
      <c r="BR89" s="635">
        <v>139.43435785800182</v>
      </c>
      <c r="BS89" s="635">
        <v>142.82025271555932</v>
      </c>
      <c r="BT89" s="635">
        <v>144.67963747074344</v>
      </c>
      <c r="BU89" s="635">
        <v>146.60520582439136</v>
      </c>
      <c r="BV89" s="635">
        <v>148.57710269696403</v>
      </c>
      <c r="BW89" s="634">
        <v>98.790556719082602</v>
      </c>
      <c r="BX89" s="634">
        <v>99.587490784349754</v>
      </c>
      <c r="BY89" s="634">
        <v>100.39085364124919</v>
      </c>
      <c r="BZ89" s="635">
        <v>102.14990506858584</v>
      </c>
      <c r="CA89" s="635">
        <v>103.90895649592247</v>
      </c>
      <c r="CB89" s="635">
        <v>105.66800792325913</v>
      </c>
      <c r="CC89" s="635">
        <v>107.42705935059577</v>
      </c>
      <c r="CD89" s="635">
        <v>109.50702229047675</v>
      </c>
      <c r="CE89" s="635">
        <v>111.58698523035777</v>
      </c>
      <c r="CF89" s="635">
        <v>117.35323960135781</v>
      </c>
      <c r="CG89" s="635">
        <v>124.22333700076526</v>
      </c>
      <c r="CH89" s="635">
        <v>127.23986151022559</v>
      </c>
      <c r="CI89" s="635">
        <v>128.8964042921169</v>
      </c>
      <c r="CJ89" s="635">
        <v>130.6119106435487</v>
      </c>
      <c r="CK89" s="635">
        <v>132.36869149365887</v>
      </c>
      <c r="CL89" s="634">
        <v>0</v>
      </c>
      <c r="CM89" s="634">
        <v>0</v>
      </c>
      <c r="CN89" s="634">
        <v>0</v>
      </c>
      <c r="CO89" s="635">
        <v>0</v>
      </c>
      <c r="CP89" s="635">
        <v>0</v>
      </c>
      <c r="CQ89" s="635">
        <v>0</v>
      </c>
      <c r="CR89" s="635">
        <v>0</v>
      </c>
      <c r="CS89" s="635">
        <v>0</v>
      </c>
      <c r="CT89" s="635">
        <v>0</v>
      </c>
      <c r="CU89" s="635">
        <v>0</v>
      </c>
      <c r="CV89" s="635">
        <v>0</v>
      </c>
      <c r="CW89" s="635">
        <v>0</v>
      </c>
      <c r="CX89" s="635">
        <v>0</v>
      </c>
      <c r="CY89" s="635">
        <v>0</v>
      </c>
      <c r="CZ89" s="635">
        <v>0</v>
      </c>
      <c r="DA89" s="636">
        <v>0</v>
      </c>
      <c r="DB89" s="636">
        <v>0</v>
      </c>
      <c r="DC89" s="636">
        <v>0</v>
      </c>
      <c r="DD89" s="637">
        <v>0</v>
      </c>
      <c r="DE89" s="637">
        <v>0</v>
      </c>
      <c r="DF89" s="637">
        <v>0</v>
      </c>
      <c r="DG89" s="637">
        <v>0</v>
      </c>
      <c r="DH89" s="637">
        <v>0</v>
      </c>
      <c r="DI89" s="637">
        <v>0</v>
      </c>
      <c r="DJ89" s="637">
        <v>0</v>
      </c>
      <c r="DK89" s="637">
        <v>0</v>
      </c>
      <c r="DL89" s="637">
        <v>0</v>
      </c>
      <c r="DM89" s="637">
        <v>0</v>
      </c>
      <c r="DN89" s="637">
        <v>0</v>
      </c>
      <c r="DO89" s="637">
        <v>0</v>
      </c>
      <c r="DP89" s="636">
        <v>0</v>
      </c>
      <c r="DQ89" s="636">
        <v>0</v>
      </c>
      <c r="DR89" s="636">
        <v>0</v>
      </c>
      <c r="DS89" s="637">
        <v>0</v>
      </c>
      <c r="DT89" s="637">
        <v>0</v>
      </c>
      <c r="DU89" s="637">
        <v>0</v>
      </c>
      <c r="DV89" s="637">
        <v>0</v>
      </c>
      <c r="DW89" s="637">
        <v>0</v>
      </c>
      <c r="DX89" s="637">
        <v>0</v>
      </c>
      <c r="DY89" s="637">
        <v>0</v>
      </c>
      <c r="DZ89" s="637">
        <v>0</v>
      </c>
      <c r="EA89" s="637">
        <v>0</v>
      </c>
      <c r="EB89" s="637">
        <v>0</v>
      </c>
      <c r="EC89" s="637">
        <v>0</v>
      </c>
      <c r="ED89" s="637">
        <v>0</v>
      </c>
    </row>
    <row r="90" spans="1:134" ht="15" x14ac:dyDescent="0.25">
      <c r="A90" s="555">
        <v>83</v>
      </c>
      <c r="B90" s="555">
        <v>87</v>
      </c>
      <c r="C90" s="555" t="s">
        <v>1073</v>
      </c>
      <c r="D90" s="812">
        <v>99760</v>
      </c>
      <c r="E90" s="812">
        <v>99760</v>
      </c>
      <c r="F90" s="630" t="s">
        <v>989</v>
      </c>
      <c r="G90" s="45">
        <v>28</v>
      </c>
      <c r="H90" s="45">
        <v>30</v>
      </c>
      <c r="I90" s="45">
        <v>16</v>
      </c>
      <c r="J90" s="45">
        <v>14</v>
      </c>
      <c r="K90" s="45">
        <v>0</v>
      </c>
      <c r="L90" s="45">
        <v>0</v>
      </c>
      <c r="M90" s="45">
        <v>0</v>
      </c>
      <c r="N90" s="45">
        <v>0</v>
      </c>
      <c r="O90" s="45">
        <v>0</v>
      </c>
      <c r="P90" s="45">
        <v>0</v>
      </c>
      <c r="Q90" s="45">
        <v>0</v>
      </c>
      <c r="R90" s="45">
        <v>0</v>
      </c>
      <c r="S90" s="45">
        <v>834.49503068156923</v>
      </c>
      <c r="T90" s="45">
        <v>834.49503068156923</v>
      </c>
      <c r="U90" s="45">
        <v>1408.3846153846155</v>
      </c>
      <c r="V90" s="45">
        <v>0</v>
      </c>
      <c r="W90" s="45">
        <v>0</v>
      </c>
      <c r="X90" s="45">
        <v>1365.173957061457</v>
      </c>
      <c r="Y90" s="45">
        <v>0.68737006237006237</v>
      </c>
      <c r="Z90" s="45">
        <v>29.273648648648649</v>
      </c>
      <c r="AA90" s="45">
        <v>3.8981288981288983E-2</v>
      </c>
      <c r="AB90" s="508">
        <v>0</v>
      </c>
      <c r="AC90" s="508">
        <v>0</v>
      </c>
      <c r="AD90" s="631">
        <v>30</v>
      </c>
      <c r="AE90" s="632">
        <v>0.36659736659736658</v>
      </c>
      <c r="AF90" s="632">
        <v>15.612612612612613</v>
      </c>
      <c r="AG90" s="633">
        <v>15.97920997920998</v>
      </c>
      <c r="AH90" s="632">
        <v>2.0790020790020791E-2</v>
      </c>
      <c r="AI90" s="632">
        <v>0.63486105444328256</v>
      </c>
      <c r="AJ90" s="632">
        <v>27.037400180628946</v>
      </c>
      <c r="AK90" s="632">
        <v>27.672261235072227</v>
      </c>
      <c r="AL90" s="632">
        <v>3.6003462444798635E-2</v>
      </c>
      <c r="AM90" s="632">
        <v>0.34189362157627051</v>
      </c>
      <c r="AN90" s="632">
        <v>14.560531947999619</v>
      </c>
      <c r="AO90" s="632">
        <v>14.90242556957589</v>
      </c>
      <c r="AP90" s="632">
        <v>1.9389052263304566E-2</v>
      </c>
      <c r="AQ90" s="632">
        <v>0</v>
      </c>
      <c r="AR90" s="632">
        <v>0</v>
      </c>
      <c r="AS90" s="632">
        <v>25.558344636007355</v>
      </c>
      <c r="AT90" s="632">
        <v>26.594307464260137</v>
      </c>
      <c r="AU90" s="632">
        <v>27.672261235072227</v>
      </c>
      <c r="AV90" s="632">
        <v>28.793907977907352</v>
      </c>
      <c r="AW90" s="632">
        <v>29.96101871101871</v>
      </c>
      <c r="AX90" s="632">
        <v>13.898201985310489</v>
      </c>
      <c r="AY90" s="632">
        <v>14.391557269351409</v>
      </c>
      <c r="AZ90" s="632">
        <v>14.90242556957589</v>
      </c>
      <c r="BA90" s="632">
        <v>15.431428559138686</v>
      </c>
      <c r="BB90" s="632">
        <v>15.97920997920998</v>
      </c>
      <c r="BC90" s="632">
        <v>0</v>
      </c>
      <c r="BD90" s="632">
        <v>0</v>
      </c>
      <c r="BE90" s="632">
        <v>0</v>
      </c>
      <c r="BF90" s="632">
        <v>0</v>
      </c>
      <c r="BG90" s="632">
        <v>0</v>
      </c>
      <c r="BH90" s="634">
        <v>30.11449789467207</v>
      </c>
      <c r="BI90" s="634">
        <v>30.268763295244227</v>
      </c>
      <c r="BJ90" s="634">
        <v>30.423818940232771</v>
      </c>
      <c r="BK90" s="635">
        <v>30.223795679004695</v>
      </c>
      <c r="BL90" s="635">
        <v>30.025087482959947</v>
      </c>
      <c r="BM90" s="635">
        <v>30.24063354754394</v>
      </c>
      <c r="BN90" s="635">
        <v>30.457726988334045</v>
      </c>
      <c r="BO90" s="635">
        <v>30.676378913735928</v>
      </c>
      <c r="BP90" s="635">
        <v>30.896600511900989</v>
      </c>
      <c r="BQ90" s="635">
        <v>31.118403051298866</v>
      </c>
      <c r="BR90" s="635">
        <v>31.293090097299096</v>
      </c>
      <c r="BS90" s="635">
        <v>31.468757770871701</v>
      </c>
      <c r="BT90" s="635">
        <v>31.645411576892162</v>
      </c>
      <c r="BU90" s="635">
        <v>31.823057051138257</v>
      </c>
      <c r="BV90" s="635">
        <v>32.001699760463538</v>
      </c>
      <c r="BW90" s="634">
        <v>16.061065543825105</v>
      </c>
      <c r="BX90" s="634">
        <v>16.143340424130255</v>
      </c>
      <c r="BY90" s="634">
        <v>16.226036768124146</v>
      </c>
      <c r="BZ90" s="635">
        <v>16.119357695469173</v>
      </c>
      <c r="CA90" s="635">
        <v>16.013379990911975</v>
      </c>
      <c r="CB90" s="635">
        <v>16.128337892023435</v>
      </c>
      <c r="CC90" s="635">
        <v>16.244121060444826</v>
      </c>
      <c r="CD90" s="635">
        <v>16.360735420659164</v>
      </c>
      <c r="CE90" s="635">
        <v>16.47818693968053</v>
      </c>
      <c r="CF90" s="635">
        <v>16.596481627359395</v>
      </c>
      <c r="CG90" s="635">
        <v>16.689648051892853</v>
      </c>
      <c r="CH90" s="635">
        <v>16.783337477798245</v>
      </c>
      <c r="CI90" s="635">
        <v>16.877552841009155</v>
      </c>
      <c r="CJ90" s="635">
        <v>16.972297093940405</v>
      </c>
      <c r="CK90" s="635">
        <v>17.067573205580555</v>
      </c>
      <c r="CL90" s="634">
        <v>0</v>
      </c>
      <c r="CM90" s="634">
        <v>0</v>
      </c>
      <c r="CN90" s="634">
        <v>0</v>
      </c>
      <c r="CO90" s="635">
        <v>0</v>
      </c>
      <c r="CP90" s="635">
        <v>0</v>
      </c>
      <c r="CQ90" s="635">
        <v>0</v>
      </c>
      <c r="CR90" s="635">
        <v>0</v>
      </c>
      <c r="CS90" s="635">
        <v>0</v>
      </c>
      <c r="CT90" s="635">
        <v>0</v>
      </c>
      <c r="CU90" s="635">
        <v>0</v>
      </c>
      <c r="CV90" s="635">
        <v>0</v>
      </c>
      <c r="CW90" s="635">
        <v>0</v>
      </c>
      <c r="CX90" s="635">
        <v>0</v>
      </c>
      <c r="CY90" s="635">
        <v>0</v>
      </c>
      <c r="CZ90" s="635">
        <v>0</v>
      </c>
      <c r="DA90" s="636">
        <v>3.918097566311745E-2</v>
      </c>
      <c r="DB90" s="636">
        <v>3.9381685265735399E-2</v>
      </c>
      <c r="DC90" s="636">
        <v>3.9583423029186535E-2</v>
      </c>
      <c r="DD90" s="637">
        <v>3.9323179389805743E-2</v>
      </c>
      <c r="DE90" s="637">
        <v>3.9064646738173232E-2</v>
      </c>
      <c r="DF90" s="637">
        <v>3.9345086582805021E-2</v>
      </c>
      <c r="DG90" s="637">
        <v>3.9627539667361496E-2</v>
      </c>
      <c r="DH90" s="637">
        <v>3.9912020444621298E-2</v>
      </c>
      <c r="DI90" s="637">
        <v>4.01985434711176E-2</v>
      </c>
      <c r="DJ90" s="637">
        <v>4.0487123407882991E-2</v>
      </c>
      <c r="DK90" s="637">
        <v>4.0714402936897084E-2</v>
      </c>
      <c r="DL90" s="637">
        <v>4.0942958327962145E-2</v>
      </c>
      <c r="DM90" s="637">
        <v>4.117279674328931E-2</v>
      </c>
      <c r="DN90" s="637">
        <v>4.1403925385295678E-2</v>
      </c>
      <c r="DO90" s="637">
        <v>4.1636351496830003E-2</v>
      </c>
      <c r="DP90" s="636">
        <v>0</v>
      </c>
      <c r="DQ90" s="636">
        <v>0</v>
      </c>
      <c r="DR90" s="636">
        <v>0</v>
      </c>
      <c r="DS90" s="637">
        <v>0</v>
      </c>
      <c r="DT90" s="637">
        <v>0</v>
      </c>
      <c r="DU90" s="637">
        <v>0</v>
      </c>
      <c r="DV90" s="637">
        <v>0</v>
      </c>
      <c r="DW90" s="637">
        <v>0</v>
      </c>
      <c r="DX90" s="637">
        <v>0</v>
      </c>
      <c r="DY90" s="637">
        <v>0</v>
      </c>
      <c r="DZ90" s="637">
        <v>0</v>
      </c>
      <c r="EA90" s="637">
        <v>0</v>
      </c>
      <c r="EB90" s="637">
        <v>0</v>
      </c>
      <c r="EC90" s="637">
        <v>0</v>
      </c>
      <c r="ED90" s="637">
        <v>0</v>
      </c>
    </row>
    <row r="91" spans="1:134" ht="15" x14ac:dyDescent="0.25">
      <c r="A91" s="555">
        <v>96</v>
      </c>
      <c r="B91" s="555">
        <v>87</v>
      </c>
      <c r="C91" s="555" t="s">
        <v>1074</v>
      </c>
      <c r="D91" s="812">
        <v>99709</v>
      </c>
      <c r="E91" s="812">
        <v>99709</v>
      </c>
      <c r="F91" s="630" t="s">
        <v>989</v>
      </c>
      <c r="G91" s="45">
        <v>48</v>
      </c>
      <c r="H91" s="45">
        <v>21</v>
      </c>
      <c r="I91" s="45">
        <v>19</v>
      </c>
      <c r="J91" s="45">
        <v>2</v>
      </c>
      <c r="K91" s="45">
        <v>0</v>
      </c>
      <c r="L91" s="45">
        <v>18</v>
      </c>
      <c r="M91" s="45">
        <v>18</v>
      </c>
      <c r="N91" s="45">
        <v>0</v>
      </c>
      <c r="O91" s="45">
        <v>0</v>
      </c>
      <c r="P91" s="45">
        <v>0</v>
      </c>
      <c r="Q91" s="45">
        <v>18</v>
      </c>
      <c r="R91" s="45">
        <v>0</v>
      </c>
      <c r="S91" s="45">
        <v>1779.7777777777778</v>
      </c>
      <c r="T91" s="45">
        <v>1779.7777777777778</v>
      </c>
      <c r="U91" s="45">
        <v>0</v>
      </c>
      <c r="V91" s="45">
        <v>0</v>
      </c>
      <c r="W91" s="45">
        <v>0</v>
      </c>
      <c r="X91" s="45">
        <v>1779.7777777777778</v>
      </c>
      <c r="Y91" s="45">
        <v>0</v>
      </c>
      <c r="Z91" s="45">
        <v>21</v>
      </c>
      <c r="AA91" s="45">
        <v>0</v>
      </c>
      <c r="AB91" s="508">
        <v>0</v>
      </c>
      <c r="AC91" s="508">
        <v>0</v>
      </c>
      <c r="AD91" s="631">
        <v>21</v>
      </c>
      <c r="AE91" s="632">
        <v>0</v>
      </c>
      <c r="AF91" s="632">
        <v>19</v>
      </c>
      <c r="AG91" s="633">
        <v>19</v>
      </c>
      <c r="AH91" s="632">
        <v>0</v>
      </c>
      <c r="AI91" s="632">
        <v>0</v>
      </c>
      <c r="AJ91" s="632">
        <v>19.995326295162528</v>
      </c>
      <c r="AK91" s="632">
        <v>19.995326295162528</v>
      </c>
      <c r="AL91" s="632">
        <v>0</v>
      </c>
      <c r="AM91" s="632">
        <v>0</v>
      </c>
      <c r="AN91" s="632">
        <v>18.12513794906155</v>
      </c>
      <c r="AO91" s="632">
        <v>18.12513794906155</v>
      </c>
      <c r="AP91" s="632">
        <v>0</v>
      </c>
      <c r="AQ91" s="632">
        <v>0</v>
      </c>
      <c r="AR91" s="632">
        <v>0</v>
      </c>
      <c r="AS91" s="632">
        <v>19.038717792857998</v>
      </c>
      <c r="AT91" s="632">
        <v>19.511160255343917</v>
      </c>
      <c r="AU91" s="632">
        <v>19.995326295162528</v>
      </c>
      <c r="AV91" s="632">
        <v>20.491506830841235</v>
      </c>
      <c r="AW91" s="632">
        <v>21</v>
      </c>
      <c r="AX91" s="632">
        <v>17.290559245921639</v>
      </c>
      <c r="AY91" s="632">
        <v>17.702931156979382</v>
      </c>
      <c r="AZ91" s="632">
        <v>18.12513794906155</v>
      </c>
      <c r="BA91" s="632">
        <v>18.557414179571719</v>
      </c>
      <c r="BB91" s="632">
        <v>19</v>
      </c>
      <c r="BC91" s="632">
        <v>0</v>
      </c>
      <c r="BD91" s="632">
        <v>0</v>
      </c>
      <c r="BE91" s="632">
        <v>0</v>
      </c>
      <c r="BF91" s="632">
        <v>0</v>
      </c>
      <c r="BG91" s="632">
        <v>0</v>
      </c>
      <c r="BH91" s="634">
        <v>21.107575209234632</v>
      </c>
      <c r="BI91" s="634">
        <v>21.215701486356974</v>
      </c>
      <c r="BJ91" s="634">
        <v>21.324381654283371</v>
      </c>
      <c r="BK91" s="635">
        <v>21.379664810701115</v>
      </c>
      <c r="BL91" s="635">
        <v>21.434947967118863</v>
      </c>
      <c r="BM91" s="635">
        <v>21.490231123536606</v>
      </c>
      <c r="BN91" s="635">
        <v>21.54551427995435</v>
      </c>
      <c r="BO91" s="635">
        <v>21.610882986497881</v>
      </c>
      <c r="BP91" s="635">
        <v>21.676251693041419</v>
      </c>
      <c r="BQ91" s="635">
        <v>21.857472513184891</v>
      </c>
      <c r="BR91" s="635">
        <v>22.073384716338403</v>
      </c>
      <c r="BS91" s="635">
        <v>22.168187513859195</v>
      </c>
      <c r="BT91" s="635">
        <v>22.220249046740385</v>
      </c>
      <c r="BU91" s="635">
        <v>22.274163676232163</v>
      </c>
      <c r="BV91" s="635">
        <v>22.329375473351359</v>
      </c>
      <c r="BW91" s="634">
        <v>19.097329951212288</v>
      </c>
      <c r="BX91" s="634">
        <v>19.195158487656311</v>
      </c>
      <c r="BY91" s="634">
        <v>19.293488163399239</v>
      </c>
      <c r="BZ91" s="635">
        <v>19.343506257301009</v>
      </c>
      <c r="CA91" s="635">
        <v>19.393524351202778</v>
      </c>
      <c r="CB91" s="635">
        <v>19.443542445104548</v>
      </c>
      <c r="CC91" s="635">
        <v>19.493560539006317</v>
      </c>
      <c r="CD91" s="635">
        <v>19.552703654450465</v>
      </c>
      <c r="CE91" s="635">
        <v>19.611846769894616</v>
      </c>
      <c r="CF91" s="635">
        <v>19.775808464310138</v>
      </c>
      <c r="CG91" s="635">
        <v>19.971157600496646</v>
      </c>
      <c r="CH91" s="635">
        <v>20.056931560158318</v>
      </c>
      <c r="CI91" s="635">
        <v>20.104034851812727</v>
      </c>
      <c r="CJ91" s="635">
        <v>20.15281475468624</v>
      </c>
      <c r="CK91" s="635">
        <v>20.202768285413132</v>
      </c>
      <c r="CL91" s="634">
        <v>0</v>
      </c>
      <c r="CM91" s="634">
        <v>0</v>
      </c>
      <c r="CN91" s="634">
        <v>0</v>
      </c>
      <c r="CO91" s="635">
        <v>0</v>
      </c>
      <c r="CP91" s="635">
        <v>0</v>
      </c>
      <c r="CQ91" s="635">
        <v>0</v>
      </c>
      <c r="CR91" s="635">
        <v>0</v>
      </c>
      <c r="CS91" s="635">
        <v>0</v>
      </c>
      <c r="CT91" s="635">
        <v>0</v>
      </c>
      <c r="CU91" s="635">
        <v>0</v>
      </c>
      <c r="CV91" s="635">
        <v>0</v>
      </c>
      <c r="CW91" s="635">
        <v>0</v>
      </c>
      <c r="CX91" s="635">
        <v>0</v>
      </c>
      <c r="CY91" s="635">
        <v>0</v>
      </c>
      <c r="CZ91" s="635">
        <v>0</v>
      </c>
      <c r="DA91" s="636">
        <v>0</v>
      </c>
      <c r="DB91" s="636">
        <v>0</v>
      </c>
      <c r="DC91" s="636">
        <v>0</v>
      </c>
      <c r="DD91" s="637">
        <v>0</v>
      </c>
      <c r="DE91" s="637">
        <v>0</v>
      </c>
      <c r="DF91" s="637">
        <v>0</v>
      </c>
      <c r="DG91" s="637">
        <v>0</v>
      </c>
      <c r="DH91" s="637">
        <v>0</v>
      </c>
      <c r="DI91" s="637">
        <v>0</v>
      </c>
      <c r="DJ91" s="637">
        <v>0</v>
      </c>
      <c r="DK91" s="637">
        <v>0</v>
      </c>
      <c r="DL91" s="637">
        <v>0</v>
      </c>
      <c r="DM91" s="637">
        <v>0</v>
      </c>
      <c r="DN91" s="637">
        <v>0</v>
      </c>
      <c r="DO91" s="637">
        <v>0</v>
      </c>
      <c r="DP91" s="636">
        <v>0</v>
      </c>
      <c r="DQ91" s="636">
        <v>0</v>
      </c>
      <c r="DR91" s="636">
        <v>0</v>
      </c>
      <c r="DS91" s="637">
        <v>0</v>
      </c>
      <c r="DT91" s="637">
        <v>0</v>
      </c>
      <c r="DU91" s="637">
        <v>0</v>
      </c>
      <c r="DV91" s="637">
        <v>0</v>
      </c>
      <c r="DW91" s="637">
        <v>0</v>
      </c>
      <c r="DX91" s="637">
        <v>0</v>
      </c>
      <c r="DY91" s="637">
        <v>0</v>
      </c>
      <c r="DZ91" s="637">
        <v>0</v>
      </c>
      <c r="EA91" s="637">
        <v>0</v>
      </c>
      <c r="EB91" s="637">
        <v>0</v>
      </c>
      <c r="EC91" s="637">
        <v>0</v>
      </c>
      <c r="ED91" s="637">
        <v>0</v>
      </c>
    </row>
    <row r="92" spans="1:134" ht="15" x14ac:dyDescent="0.25">
      <c r="A92" s="555">
        <v>98</v>
      </c>
      <c r="B92" s="555">
        <v>87</v>
      </c>
      <c r="C92" s="555" t="s">
        <v>1075</v>
      </c>
      <c r="D92" s="812">
        <v>99709</v>
      </c>
      <c r="E92" s="812">
        <v>99709</v>
      </c>
      <c r="F92" s="630" t="s">
        <v>989</v>
      </c>
      <c r="G92" s="45">
        <v>296</v>
      </c>
      <c r="H92" s="45">
        <v>147</v>
      </c>
      <c r="I92" s="45">
        <v>128</v>
      </c>
      <c r="J92" s="45">
        <v>19</v>
      </c>
      <c r="K92" s="45">
        <v>0</v>
      </c>
      <c r="L92" s="45">
        <v>20</v>
      </c>
      <c r="M92" s="45">
        <v>20</v>
      </c>
      <c r="N92" s="45">
        <v>0</v>
      </c>
      <c r="O92" s="45">
        <v>0</v>
      </c>
      <c r="P92" s="45">
        <v>0</v>
      </c>
      <c r="Q92" s="45">
        <v>20</v>
      </c>
      <c r="R92" s="45">
        <v>0</v>
      </c>
      <c r="S92" s="45">
        <v>2541.1999999999998</v>
      </c>
      <c r="T92" s="45">
        <v>2541.1999999999998</v>
      </c>
      <c r="U92" s="45">
        <v>0</v>
      </c>
      <c r="V92" s="45">
        <v>0</v>
      </c>
      <c r="W92" s="45">
        <v>0</v>
      </c>
      <c r="X92" s="45">
        <v>2541.1999999999998</v>
      </c>
      <c r="Y92" s="45">
        <v>0</v>
      </c>
      <c r="Z92" s="45">
        <v>147</v>
      </c>
      <c r="AA92" s="45">
        <v>0</v>
      </c>
      <c r="AB92" s="508">
        <v>0</v>
      </c>
      <c r="AC92" s="508">
        <v>0</v>
      </c>
      <c r="AD92" s="631">
        <v>147</v>
      </c>
      <c r="AE92" s="632">
        <v>0</v>
      </c>
      <c r="AF92" s="632">
        <v>128</v>
      </c>
      <c r="AG92" s="633">
        <v>128</v>
      </c>
      <c r="AH92" s="632">
        <v>0</v>
      </c>
      <c r="AI92" s="632">
        <v>0</v>
      </c>
      <c r="AJ92" s="632">
        <v>139.96728406613769</v>
      </c>
      <c r="AK92" s="632">
        <v>139.96728406613769</v>
      </c>
      <c r="AL92" s="632">
        <v>0</v>
      </c>
      <c r="AM92" s="632">
        <v>0</v>
      </c>
      <c r="AN92" s="632">
        <v>122.10619249894097</v>
      </c>
      <c r="AO92" s="632">
        <v>122.10619249894097</v>
      </c>
      <c r="AP92" s="632">
        <v>0</v>
      </c>
      <c r="AQ92" s="632">
        <v>0</v>
      </c>
      <c r="AR92" s="632">
        <v>0</v>
      </c>
      <c r="AS92" s="632">
        <v>133.27102455000599</v>
      </c>
      <c r="AT92" s="632">
        <v>136.57812178740744</v>
      </c>
      <c r="AU92" s="632">
        <v>139.96728406613769</v>
      </c>
      <c r="AV92" s="632">
        <v>143.44054781588866</v>
      </c>
      <c r="AW92" s="632">
        <v>147</v>
      </c>
      <c r="AX92" s="632">
        <v>116.48376755147208</v>
      </c>
      <c r="AY92" s="632">
        <v>119.26185200491373</v>
      </c>
      <c r="AZ92" s="632">
        <v>122.10619249894097</v>
      </c>
      <c r="BA92" s="632">
        <v>125.01836920974631</v>
      </c>
      <c r="BB92" s="632">
        <v>128</v>
      </c>
      <c r="BC92" s="632">
        <v>0</v>
      </c>
      <c r="BD92" s="632">
        <v>0</v>
      </c>
      <c r="BE92" s="632">
        <v>0</v>
      </c>
      <c r="BF92" s="632">
        <v>0</v>
      </c>
      <c r="BG92" s="632">
        <v>0</v>
      </c>
      <c r="BH92" s="634">
        <v>148.37346865922072</v>
      </c>
      <c r="BI92" s="634">
        <v>149.75977008142013</v>
      </c>
      <c r="BJ92" s="634">
        <v>151.1590241672632</v>
      </c>
      <c r="BK92" s="635">
        <v>153.2832386660634</v>
      </c>
      <c r="BL92" s="635">
        <v>155.40745316486357</v>
      </c>
      <c r="BM92" s="635">
        <v>157.53166766366377</v>
      </c>
      <c r="BN92" s="635">
        <v>159.65588216246394</v>
      </c>
      <c r="BO92" s="635">
        <v>162.16762648397702</v>
      </c>
      <c r="BP92" s="635">
        <v>164.67937080549007</v>
      </c>
      <c r="BQ92" s="635">
        <v>171.642647119244</v>
      </c>
      <c r="BR92" s="635">
        <v>179.9389142307102</v>
      </c>
      <c r="BS92" s="635">
        <v>183.58164178227688</v>
      </c>
      <c r="BT92" s="635">
        <v>185.58206777351927</v>
      </c>
      <c r="BU92" s="635">
        <v>187.65369763485469</v>
      </c>
      <c r="BV92" s="635">
        <v>189.77517020525519</v>
      </c>
      <c r="BW92" s="634">
        <v>129.1959454991854</v>
      </c>
      <c r="BX92" s="634">
        <v>130.40306510491004</v>
      </c>
      <c r="BY92" s="634">
        <v>131.62146322047408</v>
      </c>
      <c r="BZ92" s="635">
        <v>133.47111938269467</v>
      </c>
      <c r="CA92" s="635">
        <v>135.32077554491522</v>
      </c>
      <c r="CB92" s="635">
        <v>137.1704317071358</v>
      </c>
      <c r="CC92" s="635">
        <v>139.02008786935636</v>
      </c>
      <c r="CD92" s="635">
        <v>141.20718496563987</v>
      </c>
      <c r="CE92" s="635">
        <v>143.39428206192335</v>
      </c>
      <c r="CF92" s="635">
        <v>149.45754306981792</v>
      </c>
      <c r="CG92" s="635">
        <v>156.68150354782929</v>
      </c>
      <c r="CH92" s="635">
        <v>159.85340236824109</v>
      </c>
      <c r="CI92" s="635">
        <v>161.59526989803038</v>
      </c>
      <c r="CJ92" s="635">
        <v>163.39913807660815</v>
      </c>
      <c r="CK92" s="635">
        <v>165.24640670933786</v>
      </c>
      <c r="CL92" s="634">
        <v>0</v>
      </c>
      <c r="CM92" s="634">
        <v>0</v>
      </c>
      <c r="CN92" s="634">
        <v>0</v>
      </c>
      <c r="CO92" s="635">
        <v>0</v>
      </c>
      <c r="CP92" s="635">
        <v>0</v>
      </c>
      <c r="CQ92" s="635">
        <v>0</v>
      </c>
      <c r="CR92" s="635">
        <v>0</v>
      </c>
      <c r="CS92" s="635">
        <v>0</v>
      </c>
      <c r="CT92" s="635">
        <v>0</v>
      </c>
      <c r="CU92" s="635">
        <v>0</v>
      </c>
      <c r="CV92" s="635">
        <v>0</v>
      </c>
      <c r="CW92" s="635">
        <v>0</v>
      </c>
      <c r="CX92" s="635">
        <v>0</v>
      </c>
      <c r="CY92" s="635">
        <v>0</v>
      </c>
      <c r="CZ92" s="635">
        <v>0</v>
      </c>
      <c r="DA92" s="636">
        <v>0</v>
      </c>
      <c r="DB92" s="636">
        <v>0</v>
      </c>
      <c r="DC92" s="636">
        <v>0</v>
      </c>
      <c r="DD92" s="637">
        <v>0</v>
      </c>
      <c r="DE92" s="637">
        <v>0</v>
      </c>
      <c r="DF92" s="637">
        <v>0</v>
      </c>
      <c r="DG92" s="637">
        <v>0</v>
      </c>
      <c r="DH92" s="637">
        <v>0</v>
      </c>
      <c r="DI92" s="637">
        <v>0</v>
      </c>
      <c r="DJ92" s="637">
        <v>0</v>
      </c>
      <c r="DK92" s="637">
        <v>0</v>
      </c>
      <c r="DL92" s="637">
        <v>0</v>
      </c>
      <c r="DM92" s="637">
        <v>0</v>
      </c>
      <c r="DN92" s="637">
        <v>0</v>
      </c>
      <c r="DO92" s="637">
        <v>0</v>
      </c>
      <c r="DP92" s="636">
        <v>0</v>
      </c>
      <c r="DQ92" s="636">
        <v>0</v>
      </c>
      <c r="DR92" s="636">
        <v>0</v>
      </c>
      <c r="DS92" s="637">
        <v>0</v>
      </c>
      <c r="DT92" s="637">
        <v>0</v>
      </c>
      <c r="DU92" s="637">
        <v>0</v>
      </c>
      <c r="DV92" s="637">
        <v>0</v>
      </c>
      <c r="DW92" s="637">
        <v>0</v>
      </c>
      <c r="DX92" s="637">
        <v>0</v>
      </c>
      <c r="DY92" s="637">
        <v>0</v>
      </c>
      <c r="DZ92" s="637">
        <v>0</v>
      </c>
      <c r="EA92" s="637">
        <v>0</v>
      </c>
      <c r="EB92" s="637">
        <v>0</v>
      </c>
      <c r="EC92" s="637">
        <v>0</v>
      </c>
      <c r="ED92" s="637">
        <v>0</v>
      </c>
    </row>
    <row r="93" spans="1:134" ht="15" x14ac:dyDescent="0.25">
      <c r="A93" s="555">
        <v>120</v>
      </c>
      <c r="B93" s="555">
        <v>87</v>
      </c>
      <c r="C93" s="555" t="s">
        <v>1076</v>
      </c>
      <c r="D93" s="812">
        <v>99705</v>
      </c>
      <c r="E93" s="812">
        <v>99705</v>
      </c>
      <c r="F93" s="630" t="s">
        <v>311</v>
      </c>
      <c r="G93" s="45">
        <v>222</v>
      </c>
      <c r="H93" s="45">
        <v>110</v>
      </c>
      <c r="I93" s="45">
        <v>89</v>
      </c>
      <c r="J93" s="45">
        <v>21</v>
      </c>
      <c r="K93" s="45">
        <v>0</v>
      </c>
      <c r="L93" s="45">
        <v>1</v>
      </c>
      <c r="M93" s="45">
        <v>1</v>
      </c>
      <c r="N93" s="45">
        <v>0</v>
      </c>
      <c r="O93" s="45">
        <v>0</v>
      </c>
      <c r="P93" s="45">
        <v>0</v>
      </c>
      <c r="Q93" s="45">
        <v>1</v>
      </c>
      <c r="R93" s="45">
        <v>0</v>
      </c>
      <c r="S93" s="45">
        <v>3407</v>
      </c>
      <c r="T93" s="45">
        <v>3407</v>
      </c>
      <c r="U93" s="45">
        <v>0</v>
      </c>
      <c r="V93" s="45">
        <v>0</v>
      </c>
      <c r="W93" s="45">
        <v>0</v>
      </c>
      <c r="X93" s="45">
        <v>3407</v>
      </c>
      <c r="Y93" s="45">
        <v>0</v>
      </c>
      <c r="Z93" s="45">
        <v>110</v>
      </c>
      <c r="AA93" s="45">
        <v>0</v>
      </c>
      <c r="AB93" s="508">
        <v>0</v>
      </c>
      <c r="AC93" s="508">
        <v>0</v>
      </c>
      <c r="AD93" s="631">
        <v>110</v>
      </c>
      <c r="AE93" s="632">
        <v>0</v>
      </c>
      <c r="AF93" s="632">
        <v>89</v>
      </c>
      <c r="AG93" s="633">
        <v>89</v>
      </c>
      <c r="AH93" s="632">
        <v>0</v>
      </c>
      <c r="AI93" s="632">
        <v>0</v>
      </c>
      <c r="AJ93" s="632">
        <v>102.09668702429465</v>
      </c>
      <c r="AK93" s="632">
        <v>102.09668702429465</v>
      </c>
      <c r="AL93" s="632">
        <v>0</v>
      </c>
      <c r="AM93" s="632">
        <v>0</v>
      </c>
      <c r="AN93" s="632">
        <v>83.029193148600001</v>
      </c>
      <c r="AO93" s="632">
        <v>83.029193148600001</v>
      </c>
      <c r="AP93" s="632">
        <v>0</v>
      </c>
      <c r="AQ93" s="632">
        <v>0</v>
      </c>
      <c r="AR93" s="632">
        <v>0</v>
      </c>
      <c r="AS93" s="632">
        <v>94.761213648516161</v>
      </c>
      <c r="AT93" s="632">
        <v>98.360591559398799</v>
      </c>
      <c r="AU93" s="632">
        <v>102.09668702429465</v>
      </c>
      <c r="AV93" s="632">
        <v>105.97469307656623</v>
      </c>
      <c r="AW93" s="632">
        <v>110</v>
      </c>
      <c r="AX93" s="632">
        <v>77.45895410008454</v>
      </c>
      <c r="AY93" s="632">
        <v>80.195725952599616</v>
      </c>
      <c r="AZ93" s="632">
        <v>83.029193148600001</v>
      </c>
      <c r="BA93" s="632">
        <v>85.962772118082597</v>
      </c>
      <c r="BB93" s="632">
        <v>89</v>
      </c>
      <c r="BC93" s="632">
        <v>0</v>
      </c>
      <c r="BD93" s="632">
        <v>0</v>
      </c>
      <c r="BE93" s="632">
        <v>0</v>
      </c>
      <c r="BF93" s="632">
        <v>0</v>
      </c>
      <c r="BG93" s="632">
        <v>0</v>
      </c>
      <c r="BH93" s="634">
        <v>111.13011494749193</v>
      </c>
      <c r="BI93" s="634">
        <v>112.27184043857062</v>
      </c>
      <c r="BJ93" s="634">
        <v>113.4252957573166</v>
      </c>
      <c r="BK93" s="635">
        <v>113.4252957573166</v>
      </c>
      <c r="BL93" s="635">
        <v>113.4252957573166</v>
      </c>
      <c r="BM93" s="635">
        <v>113.4252957573166</v>
      </c>
      <c r="BN93" s="635">
        <v>113.4252957573166</v>
      </c>
      <c r="BO93" s="635">
        <v>113.4252957573166</v>
      </c>
      <c r="BP93" s="635">
        <v>113.4252957573166</v>
      </c>
      <c r="BQ93" s="635">
        <v>113.4252957573166</v>
      </c>
      <c r="BR93" s="635">
        <v>113.4252957573166</v>
      </c>
      <c r="BS93" s="635">
        <v>113.4252957573166</v>
      </c>
      <c r="BT93" s="635">
        <v>113.4252957573166</v>
      </c>
      <c r="BU93" s="635">
        <v>113.4252957573166</v>
      </c>
      <c r="BV93" s="635">
        <v>113.4252957573166</v>
      </c>
      <c r="BW93" s="634">
        <v>89.914365730243475</v>
      </c>
      <c r="BX93" s="634">
        <v>90.838125445752596</v>
      </c>
      <c r="BY93" s="634">
        <v>91.771375658192525</v>
      </c>
      <c r="BZ93" s="635">
        <v>91.771375658192525</v>
      </c>
      <c r="CA93" s="635">
        <v>91.771375658192525</v>
      </c>
      <c r="CB93" s="635">
        <v>91.771375658192525</v>
      </c>
      <c r="CC93" s="635">
        <v>91.771375658192525</v>
      </c>
      <c r="CD93" s="635">
        <v>91.771375658192525</v>
      </c>
      <c r="CE93" s="635">
        <v>91.771375658192525</v>
      </c>
      <c r="CF93" s="635">
        <v>91.771375658192525</v>
      </c>
      <c r="CG93" s="635">
        <v>91.771375658192525</v>
      </c>
      <c r="CH93" s="635">
        <v>91.771375658192525</v>
      </c>
      <c r="CI93" s="635">
        <v>91.771375658192525</v>
      </c>
      <c r="CJ93" s="635">
        <v>91.771375658192525</v>
      </c>
      <c r="CK93" s="635">
        <v>91.771375658192525</v>
      </c>
      <c r="CL93" s="634">
        <v>0</v>
      </c>
      <c r="CM93" s="634">
        <v>0</v>
      </c>
      <c r="CN93" s="634">
        <v>0</v>
      </c>
      <c r="CO93" s="635">
        <v>0</v>
      </c>
      <c r="CP93" s="635">
        <v>0</v>
      </c>
      <c r="CQ93" s="635">
        <v>0</v>
      </c>
      <c r="CR93" s="635">
        <v>0</v>
      </c>
      <c r="CS93" s="635">
        <v>0</v>
      </c>
      <c r="CT93" s="635">
        <v>0</v>
      </c>
      <c r="CU93" s="635">
        <v>0</v>
      </c>
      <c r="CV93" s="635">
        <v>0</v>
      </c>
      <c r="CW93" s="635">
        <v>0</v>
      </c>
      <c r="CX93" s="635">
        <v>0</v>
      </c>
      <c r="CY93" s="635">
        <v>0</v>
      </c>
      <c r="CZ93" s="635">
        <v>0</v>
      </c>
      <c r="DA93" s="636">
        <v>0</v>
      </c>
      <c r="DB93" s="636">
        <v>0</v>
      </c>
      <c r="DC93" s="636">
        <v>0</v>
      </c>
      <c r="DD93" s="637">
        <v>0</v>
      </c>
      <c r="DE93" s="637">
        <v>0</v>
      </c>
      <c r="DF93" s="637">
        <v>0</v>
      </c>
      <c r="DG93" s="637">
        <v>0</v>
      </c>
      <c r="DH93" s="637">
        <v>0</v>
      </c>
      <c r="DI93" s="637">
        <v>0</v>
      </c>
      <c r="DJ93" s="637">
        <v>0</v>
      </c>
      <c r="DK93" s="637">
        <v>0</v>
      </c>
      <c r="DL93" s="637">
        <v>0</v>
      </c>
      <c r="DM93" s="637">
        <v>0</v>
      </c>
      <c r="DN93" s="637">
        <v>0</v>
      </c>
      <c r="DO93" s="637">
        <v>0</v>
      </c>
      <c r="DP93" s="636">
        <v>0</v>
      </c>
      <c r="DQ93" s="636">
        <v>0</v>
      </c>
      <c r="DR93" s="636">
        <v>0</v>
      </c>
      <c r="DS93" s="637">
        <v>0</v>
      </c>
      <c r="DT93" s="637">
        <v>0</v>
      </c>
      <c r="DU93" s="637">
        <v>0</v>
      </c>
      <c r="DV93" s="637">
        <v>0</v>
      </c>
      <c r="DW93" s="637">
        <v>0</v>
      </c>
      <c r="DX93" s="637">
        <v>0</v>
      </c>
      <c r="DY93" s="637">
        <v>0</v>
      </c>
      <c r="DZ93" s="637">
        <v>0</v>
      </c>
      <c r="EA93" s="637">
        <v>0</v>
      </c>
      <c r="EB93" s="637">
        <v>0</v>
      </c>
      <c r="EC93" s="637">
        <v>0</v>
      </c>
      <c r="ED93" s="637">
        <v>0</v>
      </c>
    </row>
    <row r="94" spans="1:134" ht="15" x14ac:dyDescent="0.25">
      <c r="A94" s="555">
        <v>121</v>
      </c>
      <c r="B94" s="555">
        <v>87</v>
      </c>
      <c r="C94" s="555" t="s">
        <v>1077</v>
      </c>
      <c r="D94" s="812">
        <v>99705</v>
      </c>
      <c r="E94" s="812">
        <v>99705</v>
      </c>
      <c r="F94" s="630" t="s">
        <v>311</v>
      </c>
      <c r="G94" s="45">
        <v>118</v>
      </c>
      <c r="H94" s="45">
        <v>46</v>
      </c>
      <c r="I94" s="45">
        <v>39</v>
      </c>
      <c r="J94" s="45">
        <v>7</v>
      </c>
      <c r="K94" s="45">
        <v>0</v>
      </c>
      <c r="L94" s="45">
        <v>57</v>
      </c>
      <c r="M94" s="45">
        <v>57</v>
      </c>
      <c r="N94" s="45">
        <v>7</v>
      </c>
      <c r="O94" s="45">
        <v>0</v>
      </c>
      <c r="P94" s="45">
        <v>0</v>
      </c>
      <c r="Q94" s="45">
        <v>64</v>
      </c>
      <c r="R94" s="45">
        <v>0</v>
      </c>
      <c r="S94" s="45">
        <v>1870.0877192982457</v>
      </c>
      <c r="T94" s="45">
        <v>1870.0877192982457</v>
      </c>
      <c r="U94" s="45">
        <v>4787</v>
      </c>
      <c r="V94" s="45">
        <v>0</v>
      </c>
      <c r="W94" s="45">
        <v>0</v>
      </c>
      <c r="X94" s="45">
        <v>2189.125</v>
      </c>
      <c r="Y94" s="45">
        <v>0</v>
      </c>
      <c r="Z94" s="45">
        <v>46</v>
      </c>
      <c r="AA94" s="45">
        <v>0</v>
      </c>
      <c r="AB94" s="508">
        <v>7</v>
      </c>
      <c r="AC94" s="508">
        <v>0</v>
      </c>
      <c r="AD94" s="631">
        <v>53</v>
      </c>
      <c r="AE94" s="632">
        <v>0</v>
      </c>
      <c r="AF94" s="632">
        <v>39</v>
      </c>
      <c r="AG94" s="633">
        <v>39</v>
      </c>
      <c r="AH94" s="632">
        <v>0</v>
      </c>
      <c r="AI94" s="632">
        <v>0</v>
      </c>
      <c r="AJ94" s="632">
        <v>42.694978210159583</v>
      </c>
      <c r="AK94" s="632">
        <v>42.694978210159583</v>
      </c>
      <c r="AL94" s="632">
        <v>0</v>
      </c>
      <c r="AM94" s="632">
        <v>0</v>
      </c>
      <c r="AN94" s="632">
        <v>36.38357902017303</v>
      </c>
      <c r="AO94" s="632">
        <v>36.38357902017303</v>
      </c>
      <c r="AP94" s="632">
        <v>0</v>
      </c>
      <c r="AQ94" s="632">
        <v>6.5807536713443655</v>
      </c>
      <c r="AR94" s="632">
        <v>0</v>
      </c>
      <c r="AS94" s="632">
        <v>39.627416616652212</v>
      </c>
      <c r="AT94" s="632">
        <v>41.132611015748587</v>
      </c>
      <c r="AU94" s="632">
        <v>42.694978210159583</v>
      </c>
      <c r="AV94" s="632">
        <v>44.316689832018604</v>
      </c>
      <c r="AW94" s="632">
        <v>46</v>
      </c>
      <c r="AX94" s="632">
        <v>33.942687751722438</v>
      </c>
      <c r="AY94" s="632">
        <v>35.141947327543654</v>
      </c>
      <c r="AZ94" s="632">
        <v>36.38357902017303</v>
      </c>
      <c r="BA94" s="632">
        <v>37.669079916912601</v>
      </c>
      <c r="BB94" s="632">
        <v>39</v>
      </c>
      <c r="BC94" s="632">
        <v>6.1866169832731917</v>
      </c>
      <c r="BD94" s="632">
        <v>6.3806427909636545</v>
      </c>
      <c r="BE94" s="632">
        <v>6.5807536713443655</v>
      </c>
      <c r="BF94" s="632">
        <v>6.7871404655724161</v>
      </c>
      <c r="BG94" s="632">
        <v>7</v>
      </c>
      <c r="BH94" s="634">
        <v>47.047686037705446</v>
      </c>
      <c r="BI94" s="634">
        <v>48.119233945706604</v>
      </c>
      <c r="BJ94" s="634">
        <v>49.215187196793529</v>
      </c>
      <c r="BK94" s="635">
        <v>50.449552045002186</v>
      </c>
      <c r="BL94" s="635">
        <v>51.683916893210842</v>
      </c>
      <c r="BM94" s="635">
        <v>52.918281741419499</v>
      </c>
      <c r="BN94" s="635">
        <v>54.152646589628162</v>
      </c>
      <c r="BO94" s="635">
        <v>55.612202062917071</v>
      </c>
      <c r="BP94" s="635">
        <v>57.071757536205965</v>
      </c>
      <c r="BQ94" s="635">
        <v>61.118064307446161</v>
      </c>
      <c r="BR94" s="635">
        <v>65.938961867239541</v>
      </c>
      <c r="BS94" s="635">
        <v>68.0557230718141</v>
      </c>
      <c r="BT94" s="635">
        <v>69.218155362162975</v>
      </c>
      <c r="BU94" s="635">
        <v>70.421963678496439</v>
      </c>
      <c r="BV94" s="635">
        <v>71.654735213019151</v>
      </c>
      <c r="BW94" s="634">
        <v>39.888255553706792</v>
      </c>
      <c r="BX94" s="634">
        <v>40.796741823533864</v>
      </c>
      <c r="BY94" s="634">
        <v>41.725919579890167</v>
      </c>
      <c r="BZ94" s="635">
        <v>42.772446299023592</v>
      </c>
      <c r="CA94" s="635">
        <v>43.818973018157024</v>
      </c>
      <c r="CB94" s="635">
        <v>44.865499737290449</v>
      </c>
      <c r="CC94" s="635">
        <v>45.912026456423874</v>
      </c>
      <c r="CD94" s="635">
        <v>47.149475662038384</v>
      </c>
      <c r="CE94" s="635">
        <v>48.386924867652887</v>
      </c>
      <c r="CF94" s="635">
        <v>51.817489304139137</v>
      </c>
      <c r="CG94" s="635">
        <v>55.904772017877001</v>
      </c>
      <c r="CH94" s="635">
        <v>57.699417386972819</v>
      </c>
      <c r="CI94" s="635">
        <v>58.684957807051219</v>
      </c>
      <c r="CJ94" s="635">
        <v>59.705577901333946</v>
      </c>
      <c r="CK94" s="635">
        <v>60.750753767559715</v>
      </c>
      <c r="CL94" s="634">
        <v>7.1594304839986549</v>
      </c>
      <c r="CM94" s="634">
        <v>7.3224921221727444</v>
      </c>
      <c r="CN94" s="634">
        <v>7.4892676169033638</v>
      </c>
      <c r="CO94" s="635">
        <v>7.6771057459785945</v>
      </c>
      <c r="CP94" s="635">
        <v>7.8649438750538252</v>
      </c>
      <c r="CQ94" s="635">
        <v>8.052782004129055</v>
      </c>
      <c r="CR94" s="635">
        <v>8.2406201332042865</v>
      </c>
      <c r="CS94" s="635">
        <v>8.4627264008786849</v>
      </c>
      <c r="CT94" s="635">
        <v>8.6848326685530832</v>
      </c>
      <c r="CU94" s="635">
        <v>9.300575003307026</v>
      </c>
      <c r="CV94" s="635">
        <v>10.034189849362539</v>
      </c>
      <c r="CW94" s="635">
        <v>10.356305684841276</v>
      </c>
      <c r="CX94" s="635">
        <v>10.533197555111759</v>
      </c>
      <c r="CY94" s="635">
        <v>10.716385777162504</v>
      </c>
      <c r="CZ94" s="635">
        <v>10.903981445459436</v>
      </c>
      <c r="DA94" s="636">
        <v>0</v>
      </c>
      <c r="DB94" s="636">
        <v>0</v>
      </c>
      <c r="DC94" s="636">
        <v>0</v>
      </c>
      <c r="DD94" s="637">
        <v>0</v>
      </c>
      <c r="DE94" s="637">
        <v>0</v>
      </c>
      <c r="DF94" s="637">
        <v>0</v>
      </c>
      <c r="DG94" s="637">
        <v>0</v>
      </c>
      <c r="DH94" s="637">
        <v>0</v>
      </c>
      <c r="DI94" s="637">
        <v>0</v>
      </c>
      <c r="DJ94" s="637">
        <v>0</v>
      </c>
      <c r="DK94" s="637">
        <v>0</v>
      </c>
      <c r="DL94" s="637">
        <v>0</v>
      </c>
      <c r="DM94" s="637">
        <v>0</v>
      </c>
      <c r="DN94" s="637">
        <v>0</v>
      </c>
      <c r="DO94" s="637">
        <v>0</v>
      </c>
      <c r="DP94" s="636">
        <v>0</v>
      </c>
      <c r="DQ94" s="636">
        <v>0</v>
      </c>
      <c r="DR94" s="636">
        <v>0</v>
      </c>
      <c r="DS94" s="637">
        <v>0</v>
      </c>
      <c r="DT94" s="637">
        <v>0</v>
      </c>
      <c r="DU94" s="637">
        <v>0</v>
      </c>
      <c r="DV94" s="637">
        <v>0</v>
      </c>
      <c r="DW94" s="637">
        <v>0</v>
      </c>
      <c r="DX94" s="637">
        <v>0</v>
      </c>
      <c r="DY94" s="637">
        <v>0</v>
      </c>
      <c r="DZ94" s="637">
        <v>0</v>
      </c>
      <c r="EA94" s="637">
        <v>0</v>
      </c>
      <c r="EB94" s="637">
        <v>0</v>
      </c>
      <c r="EC94" s="637">
        <v>0</v>
      </c>
      <c r="ED94" s="637">
        <v>0</v>
      </c>
    </row>
    <row r="95" spans="1:134" ht="15" x14ac:dyDescent="0.25">
      <c r="A95" s="555">
        <v>122</v>
      </c>
      <c r="B95" s="555">
        <v>87</v>
      </c>
      <c r="C95" s="555" t="s">
        <v>1078</v>
      </c>
      <c r="D95" s="812">
        <v>99705</v>
      </c>
      <c r="E95" s="812">
        <v>99705</v>
      </c>
      <c r="F95" s="630" t="s">
        <v>311</v>
      </c>
      <c r="G95" s="45">
        <v>545</v>
      </c>
      <c r="H95" s="45">
        <v>241</v>
      </c>
      <c r="I95" s="45">
        <v>206</v>
      </c>
      <c r="J95" s="45">
        <v>35</v>
      </c>
      <c r="K95" s="45">
        <v>5</v>
      </c>
      <c r="L95" s="45">
        <v>147</v>
      </c>
      <c r="M95" s="45">
        <v>152</v>
      </c>
      <c r="N95" s="45">
        <v>39</v>
      </c>
      <c r="O95" s="45">
        <v>0</v>
      </c>
      <c r="P95" s="45">
        <v>0</v>
      </c>
      <c r="Q95" s="45">
        <v>191</v>
      </c>
      <c r="R95" s="45">
        <v>9196.4</v>
      </c>
      <c r="S95" s="45">
        <v>2370.2176870748299</v>
      </c>
      <c r="T95" s="45">
        <v>2594.7631578947367</v>
      </c>
      <c r="U95" s="45">
        <v>9219.6923076923085</v>
      </c>
      <c r="V95" s="45">
        <v>0</v>
      </c>
      <c r="W95" s="45">
        <v>0</v>
      </c>
      <c r="X95" s="45">
        <v>3947.4973821989529</v>
      </c>
      <c r="Y95" s="45">
        <v>7.9276315789473681</v>
      </c>
      <c r="Z95" s="45">
        <v>233.07236842105263</v>
      </c>
      <c r="AA95" s="45">
        <v>0</v>
      </c>
      <c r="AB95" s="508">
        <v>39</v>
      </c>
      <c r="AC95" s="508">
        <v>0</v>
      </c>
      <c r="AD95" s="631">
        <v>280</v>
      </c>
      <c r="AE95" s="632">
        <v>6.7763157894736841</v>
      </c>
      <c r="AF95" s="632">
        <v>199.2236842105263</v>
      </c>
      <c r="AG95" s="633">
        <v>205.99999999999997</v>
      </c>
      <c r="AH95" s="632">
        <v>0</v>
      </c>
      <c r="AI95" s="632">
        <v>7.3580447287245851</v>
      </c>
      <c r="AJ95" s="632">
        <v>216.32651502450281</v>
      </c>
      <c r="AK95" s="632">
        <v>223.6845597532274</v>
      </c>
      <c r="AL95" s="632">
        <v>0</v>
      </c>
      <c r="AM95" s="632">
        <v>6.3217082305631278</v>
      </c>
      <c r="AN95" s="632">
        <v>185.85822197855595</v>
      </c>
      <c r="AO95" s="632">
        <v>192.17993020911908</v>
      </c>
      <c r="AP95" s="632">
        <v>0</v>
      </c>
      <c r="AQ95" s="632">
        <v>36.664199026061461</v>
      </c>
      <c r="AR95" s="632">
        <v>0</v>
      </c>
      <c r="AS95" s="632">
        <v>207.61320444811267</v>
      </c>
      <c r="AT95" s="632">
        <v>215.49911423468282</v>
      </c>
      <c r="AU95" s="632">
        <v>223.68455975322738</v>
      </c>
      <c r="AV95" s="632">
        <v>232.18091846774962</v>
      </c>
      <c r="AW95" s="632">
        <v>241</v>
      </c>
      <c r="AX95" s="632">
        <v>179.28701735525183</v>
      </c>
      <c r="AY95" s="632">
        <v>185.62156793523056</v>
      </c>
      <c r="AZ95" s="632">
        <v>192.17993020911908</v>
      </c>
      <c r="BA95" s="632">
        <v>198.97001186882036</v>
      </c>
      <c r="BB95" s="632">
        <v>205.99999999999997</v>
      </c>
      <c r="BC95" s="632">
        <v>34.468294621093499</v>
      </c>
      <c r="BD95" s="632">
        <v>35.549295549654651</v>
      </c>
      <c r="BE95" s="632">
        <v>36.664199026061461</v>
      </c>
      <c r="BF95" s="632">
        <v>37.814068308189178</v>
      </c>
      <c r="BG95" s="632">
        <v>39</v>
      </c>
      <c r="BH95" s="634">
        <v>245.66250770298308</v>
      </c>
      <c r="BI95" s="634">
        <v>250.41521863451541</v>
      </c>
      <c r="BJ95" s="634">
        <v>255.25987791180847</v>
      </c>
      <c r="BK95" s="635">
        <v>257.03186054594187</v>
      </c>
      <c r="BL95" s="635">
        <v>258.80384318007526</v>
      </c>
      <c r="BM95" s="635">
        <v>260.57582581420871</v>
      </c>
      <c r="BN95" s="635">
        <v>262.34780844834211</v>
      </c>
      <c r="BO95" s="635">
        <v>264.44306169212615</v>
      </c>
      <c r="BP95" s="635">
        <v>266.53831493591025</v>
      </c>
      <c r="BQ95" s="635">
        <v>272.34695841876652</v>
      </c>
      <c r="BR95" s="635">
        <v>279.26755954353689</v>
      </c>
      <c r="BS95" s="635">
        <v>282.30625924448577</v>
      </c>
      <c r="BT95" s="635">
        <v>283.97497966765997</v>
      </c>
      <c r="BU95" s="635">
        <v>285.7030971156446</v>
      </c>
      <c r="BV95" s="635">
        <v>287.47279248099653</v>
      </c>
      <c r="BW95" s="634">
        <v>209.98538002827596</v>
      </c>
      <c r="BX95" s="634">
        <v>214.04786323116252</v>
      </c>
      <c r="BY95" s="634">
        <v>218.1889412856122</v>
      </c>
      <c r="BZ95" s="635">
        <v>219.70358204341917</v>
      </c>
      <c r="CA95" s="635">
        <v>221.21822280122612</v>
      </c>
      <c r="CB95" s="635">
        <v>222.73286355903315</v>
      </c>
      <c r="CC95" s="635">
        <v>224.24750431684009</v>
      </c>
      <c r="CD95" s="635">
        <v>226.03846767044806</v>
      </c>
      <c r="CE95" s="635">
        <v>227.82943102405608</v>
      </c>
      <c r="CF95" s="635">
        <v>232.79449557786677</v>
      </c>
      <c r="CG95" s="635">
        <v>238.71003014924727</v>
      </c>
      <c r="CH95" s="635">
        <v>241.30742491437371</v>
      </c>
      <c r="CI95" s="635">
        <v>242.73380004787529</v>
      </c>
      <c r="CJ95" s="635">
        <v>244.21094608225221</v>
      </c>
      <c r="CK95" s="635">
        <v>245.72363174724182</v>
      </c>
      <c r="CL95" s="634">
        <v>39.754513694673612</v>
      </c>
      <c r="CM95" s="634">
        <v>40.523624592307478</v>
      </c>
      <c r="CN95" s="634">
        <v>41.307615097761534</v>
      </c>
      <c r="CO95" s="635">
        <v>41.594367474239554</v>
      </c>
      <c r="CP95" s="635">
        <v>41.881119850717567</v>
      </c>
      <c r="CQ95" s="635">
        <v>42.167872227195595</v>
      </c>
      <c r="CR95" s="635">
        <v>42.454624603673615</v>
      </c>
      <c r="CS95" s="635">
        <v>42.79369048129842</v>
      </c>
      <c r="CT95" s="635">
        <v>43.132756358923238</v>
      </c>
      <c r="CU95" s="635">
        <v>44.072744308431091</v>
      </c>
      <c r="CV95" s="635">
        <v>45.19267561077983</v>
      </c>
      <c r="CW95" s="635">
        <v>45.684415396410557</v>
      </c>
      <c r="CX95" s="635">
        <v>45.954457290617164</v>
      </c>
      <c r="CY95" s="635">
        <v>46.234111151494353</v>
      </c>
      <c r="CZ95" s="635">
        <v>46.520493389040929</v>
      </c>
      <c r="DA95" s="636">
        <v>0</v>
      </c>
      <c r="DB95" s="636">
        <v>0</v>
      </c>
      <c r="DC95" s="636">
        <v>0</v>
      </c>
      <c r="DD95" s="637">
        <v>0</v>
      </c>
      <c r="DE95" s="637">
        <v>0</v>
      </c>
      <c r="DF95" s="637">
        <v>0</v>
      </c>
      <c r="DG95" s="637">
        <v>0</v>
      </c>
      <c r="DH95" s="637">
        <v>0</v>
      </c>
      <c r="DI95" s="637">
        <v>0</v>
      </c>
      <c r="DJ95" s="637">
        <v>0</v>
      </c>
      <c r="DK95" s="637">
        <v>0</v>
      </c>
      <c r="DL95" s="637">
        <v>0</v>
      </c>
      <c r="DM95" s="637">
        <v>0</v>
      </c>
      <c r="DN95" s="637">
        <v>0</v>
      </c>
      <c r="DO95" s="637">
        <v>0</v>
      </c>
      <c r="DP95" s="636">
        <v>0</v>
      </c>
      <c r="DQ95" s="636">
        <v>0</v>
      </c>
      <c r="DR95" s="636">
        <v>0</v>
      </c>
      <c r="DS95" s="637">
        <v>0</v>
      </c>
      <c r="DT95" s="637">
        <v>0</v>
      </c>
      <c r="DU95" s="637">
        <v>0</v>
      </c>
      <c r="DV95" s="637">
        <v>0</v>
      </c>
      <c r="DW95" s="637">
        <v>0</v>
      </c>
      <c r="DX95" s="637">
        <v>0</v>
      </c>
      <c r="DY95" s="637">
        <v>0</v>
      </c>
      <c r="DZ95" s="637">
        <v>0</v>
      </c>
      <c r="EA95" s="637">
        <v>0</v>
      </c>
      <c r="EB95" s="637">
        <v>0</v>
      </c>
      <c r="EC95" s="637">
        <v>0</v>
      </c>
      <c r="ED95" s="637">
        <v>0</v>
      </c>
    </row>
    <row r="96" spans="1:134" ht="15" x14ac:dyDescent="0.25">
      <c r="A96" s="555">
        <v>123</v>
      </c>
      <c r="B96" s="555">
        <v>87</v>
      </c>
      <c r="C96" s="555" t="s">
        <v>1079</v>
      </c>
      <c r="D96" s="812">
        <v>99705</v>
      </c>
      <c r="E96" s="812">
        <v>99705</v>
      </c>
      <c r="F96" s="630" t="s">
        <v>311</v>
      </c>
      <c r="G96" s="45">
        <v>478</v>
      </c>
      <c r="H96" s="45">
        <v>199</v>
      </c>
      <c r="I96" s="45">
        <v>188</v>
      </c>
      <c r="J96" s="45">
        <v>11</v>
      </c>
      <c r="K96" s="45">
        <v>8</v>
      </c>
      <c r="L96" s="45">
        <v>178</v>
      </c>
      <c r="M96" s="45">
        <v>186</v>
      </c>
      <c r="N96" s="45">
        <v>9</v>
      </c>
      <c r="O96" s="45">
        <v>0</v>
      </c>
      <c r="P96" s="45">
        <v>0</v>
      </c>
      <c r="Q96" s="45">
        <v>195</v>
      </c>
      <c r="R96" s="45">
        <v>13122.75</v>
      </c>
      <c r="S96" s="45">
        <v>2458.2584269662921</v>
      </c>
      <c r="T96" s="45">
        <v>2916.9462365591398</v>
      </c>
      <c r="U96" s="45">
        <v>5029.2222222222226</v>
      </c>
      <c r="V96" s="45">
        <v>0</v>
      </c>
      <c r="W96" s="45">
        <v>0</v>
      </c>
      <c r="X96" s="45">
        <v>3014.4358974358975</v>
      </c>
      <c r="Y96" s="45">
        <v>8.5591397849462361</v>
      </c>
      <c r="Z96" s="45">
        <v>190.44086021505376</v>
      </c>
      <c r="AA96" s="45">
        <v>0</v>
      </c>
      <c r="AB96" s="508">
        <v>9</v>
      </c>
      <c r="AC96" s="508">
        <v>0</v>
      </c>
      <c r="AD96" s="631">
        <v>208</v>
      </c>
      <c r="AE96" s="632">
        <v>8.086021505376344</v>
      </c>
      <c r="AF96" s="632">
        <v>179.91397849462365</v>
      </c>
      <c r="AG96" s="633">
        <v>188</v>
      </c>
      <c r="AH96" s="632">
        <v>0</v>
      </c>
      <c r="AI96" s="632">
        <v>7.944180143825859</v>
      </c>
      <c r="AJ96" s="632">
        <v>176.75800820012537</v>
      </c>
      <c r="AK96" s="632">
        <v>184.70218834395124</v>
      </c>
      <c r="AL96" s="632">
        <v>0</v>
      </c>
      <c r="AM96" s="632">
        <v>7.5435487794789413</v>
      </c>
      <c r="AN96" s="632">
        <v>167.84396034340645</v>
      </c>
      <c r="AO96" s="632">
        <v>175.3875091228854</v>
      </c>
      <c r="AP96" s="632">
        <v>0</v>
      </c>
      <c r="AQ96" s="632">
        <v>8.4609690060141833</v>
      </c>
      <c r="AR96" s="632">
        <v>0</v>
      </c>
      <c r="AS96" s="632">
        <v>171.43165014595195</v>
      </c>
      <c r="AT96" s="632">
        <v>177.94325200291237</v>
      </c>
      <c r="AU96" s="632">
        <v>184.70218834395124</v>
      </c>
      <c r="AV96" s="632">
        <v>191.71785383851525</v>
      </c>
      <c r="AW96" s="632">
        <v>199</v>
      </c>
      <c r="AX96" s="632">
        <v>163.6211614698415</v>
      </c>
      <c r="AY96" s="632">
        <v>169.40220763021043</v>
      </c>
      <c r="AZ96" s="632">
        <v>175.38750912288538</v>
      </c>
      <c r="BA96" s="632">
        <v>181.5842826763992</v>
      </c>
      <c r="BB96" s="632">
        <v>188</v>
      </c>
      <c r="BC96" s="632">
        <v>7.9542218356369609</v>
      </c>
      <c r="BD96" s="632">
        <v>8.2036835883818426</v>
      </c>
      <c r="BE96" s="632">
        <v>8.4609690060141833</v>
      </c>
      <c r="BF96" s="632">
        <v>8.7263234557359635</v>
      </c>
      <c r="BG96" s="632">
        <v>9</v>
      </c>
      <c r="BH96" s="634">
        <v>202.84995449333456</v>
      </c>
      <c r="BI96" s="634">
        <v>206.77439215049199</v>
      </c>
      <c r="BJ96" s="634">
        <v>210.77475396037298</v>
      </c>
      <c r="BK96" s="635">
        <v>211.80716600266339</v>
      </c>
      <c r="BL96" s="635">
        <v>212.83957804495381</v>
      </c>
      <c r="BM96" s="635">
        <v>213.87199008724428</v>
      </c>
      <c r="BN96" s="635">
        <v>214.9044021295347</v>
      </c>
      <c r="BO96" s="635">
        <v>216.12516165553799</v>
      </c>
      <c r="BP96" s="635">
        <v>217.34592118154134</v>
      </c>
      <c r="BQ96" s="635">
        <v>220.73021703498546</v>
      </c>
      <c r="BR96" s="635">
        <v>224.76237389898091</v>
      </c>
      <c r="BS96" s="635">
        <v>226.53281459277372</v>
      </c>
      <c r="BT96" s="635">
        <v>227.50506286818842</v>
      </c>
      <c r="BU96" s="635">
        <v>228.5119176925102</v>
      </c>
      <c r="BV96" s="635">
        <v>229.54299710106682</v>
      </c>
      <c r="BW96" s="634">
        <v>191.63714293842665</v>
      </c>
      <c r="BX96" s="634">
        <v>195.34465188086679</v>
      </c>
      <c r="BY96" s="634">
        <v>199.12388816356844</v>
      </c>
      <c r="BZ96" s="635">
        <v>200.09923220352121</v>
      </c>
      <c r="CA96" s="635">
        <v>201.07457624347396</v>
      </c>
      <c r="CB96" s="635">
        <v>202.04992028342676</v>
      </c>
      <c r="CC96" s="635">
        <v>203.02526432337953</v>
      </c>
      <c r="CD96" s="635">
        <v>204.17854467960373</v>
      </c>
      <c r="CE96" s="635">
        <v>205.33182503582802</v>
      </c>
      <c r="CF96" s="635">
        <v>208.52904925918224</v>
      </c>
      <c r="CG96" s="635">
        <v>212.33832308044427</v>
      </c>
      <c r="CH96" s="635">
        <v>214.01090021829879</v>
      </c>
      <c r="CI96" s="635">
        <v>214.92940612673078</v>
      </c>
      <c r="CJ96" s="635">
        <v>215.88060565925585</v>
      </c>
      <c r="CK96" s="635">
        <v>216.85469072864606</v>
      </c>
      <c r="CL96" s="634">
        <v>9.1741185449246796</v>
      </c>
      <c r="CM96" s="634">
        <v>9.3516056751478782</v>
      </c>
      <c r="CN96" s="634">
        <v>9.5325265610218928</v>
      </c>
      <c r="CO96" s="635">
        <v>9.5792185629345248</v>
      </c>
      <c r="CP96" s="635">
        <v>9.6259105648471568</v>
      </c>
      <c r="CQ96" s="635">
        <v>9.6726025667597906</v>
      </c>
      <c r="CR96" s="635">
        <v>9.7192945686724226</v>
      </c>
      <c r="CS96" s="635">
        <v>9.7745047984916678</v>
      </c>
      <c r="CT96" s="635">
        <v>9.8297150283109147</v>
      </c>
      <c r="CU96" s="635">
        <v>9.9827736347480851</v>
      </c>
      <c r="CV96" s="635">
        <v>10.165132487893608</v>
      </c>
      <c r="CW96" s="635">
        <v>10.245202670024941</v>
      </c>
      <c r="CX96" s="635">
        <v>10.28917369755626</v>
      </c>
      <c r="CY96" s="635">
        <v>10.334709845389908</v>
      </c>
      <c r="CZ96" s="635">
        <v>10.381341577435183</v>
      </c>
      <c r="DA96" s="636">
        <v>0</v>
      </c>
      <c r="DB96" s="636">
        <v>0</v>
      </c>
      <c r="DC96" s="636">
        <v>0</v>
      </c>
      <c r="DD96" s="637">
        <v>0</v>
      </c>
      <c r="DE96" s="637">
        <v>0</v>
      </c>
      <c r="DF96" s="637">
        <v>0</v>
      </c>
      <c r="DG96" s="637">
        <v>0</v>
      </c>
      <c r="DH96" s="637">
        <v>0</v>
      </c>
      <c r="DI96" s="637">
        <v>0</v>
      </c>
      <c r="DJ96" s="637">
        <v>0</v>
      </c>
      <c r="DK96" s="637">
        <v>0</v>
      </c>
      <c r="DL96" s="637">
        <v>0</v>
      </c>
      <c r="DM96" s="637">
        <v>0</v>
      </c>
      <c r="DN96" s="637">
        <v>0</v>
      </c>
      <c r="DO96" s="637">
        <v>0</v>
      </c>
      <c r="DP96" s="636">
        <v>0</v>
      </c>
      <c r="DQ96" s="636">
        <v>0</v>
      </c>
      <c r="DR96" s="636">
        <v>0</v>
      </c>
      <c r="DS96" s="637">
        <v>0</v>
      </c>
      <c r="DT96" s="637">
        <v>0</v>
      </c>
      <c r="DU96" s="637">
        <v>0</v>
      </c>
      <c r="DV96" s="637">
        <v>0</v>
      </c>
      <c r="DW96" s="637">
        <v>0</v>
      </c>
      <c r="DX96" s="637">
        <v>0</v>
      </c>
      <c r="DY96" s="637">
        <v>0</v>
      </c>
      <c r="DZ96" s="637">
        <v>0</v>
      </c>
      <c r="EA96" s="637">
        <v>0</v>
      </c>
      <c r="EB96" s="637">
        <v>0</v>
      </c>
      <c r="EC96" s="637">
        <v>0</v>
      </c>
      <c r="ED96" s="637">
        <v>0</v>
      </c>
    </row>
    <row r="97" spans="1:134" ht="15" x14ac:dyDescent="0.25">
      <c r="A97" s="555">
        <v>124</v>
      </c>
      <c r="B97" s="555">
        <v>87</v>
      </c>
      <c r="C97" s="555" t="s">
        <v>1080</v>
      </c>
      <c r="D97" s="812">
        <v>99705</v>
      </c>
      <c r="E97" s="812">
        <v>99705</v>
      </c>
      <c r="F97" s="630" t="s">
        <v>311</v>
      </c>
      <c r="G97" s="45">
        <v>931</v>
      </c>
      <c r="H97" s="45">
        <v>349</v>
      </c>
      <c r="I97" s="45">
        <v>330</v>
      </c>
      <c r="J97" s="45">
        <v>19</v>
      </c>
      <c r="K97" s="45">
        <v>3</v>
      </c>
      <c r="L97" s="45">
        <v>211</v>
      </c>
      <c r="M97" s="45">
        <v>214</v>
      </c>
      <c r="N97" s="45">
        <v>2</v>
      </c>
      <c r="O97" s="45">
        <v>0</v>
      </c>
      <c r="P97" s="45">
        <v>0</v>
      </c>
      <c r="Q97" s="45">
        <v>216</v>
      </c>
      <c r="R97" s="45">
        <v>3358.6666666666665</v>
      </c>
      <c r="S97" s="45">
        <v>2376.4075829383883</v>
      </c>
      <c r="T97" s="45">
        <v>2390.1775700934577</v>
      </c>
      <c r="U97" s="45">
        <v>3396</v>
      </c>
      <c r="V97" s="45">
        <v>0</v>
      </c>
      <c r="W97" s="45">
        <v>0</v>
      </c>
      <c r="X97" s="45">
        <v>2399.4907407407409</v>
      </c>
      <c r="Y97" s="45">
        <v>4.8925233644859816</v>
      </c>
      <c r="Z97" s="45">
        <v>344.10747663551405</v>
      </c>
      <c r="AA97" s="45">
        <v>0</v>
      </c>
      <c r="AB97" s="508">
        <v>2</v>
      </c>
      <c r="AC97" s="508">
        <v>0</v>
      </c>
      <c r="AD97" s="631">
        <v>351</v>
      </c>
      <c r="AE97" s="632">
        <v>4.6261682242990663</v>
      </c>
      <c r="AF97" s="632">
        <v>325.37383177570092</v>
      </c>
      <c r="AG97" s="633">
        <v>330</v>
      </c>
      <c r="AH97" s="632">
        <v>0</v>
      </c>
      <c r="AI97" s="632">
        <v>4.541003879117949</v>
      </c>
      <c r="AJ97" s="632">
        <v>319.38393949796239</v>
      </c>
      <c r="AK97" s="632">
        <v>323.92494337708035</v>
      </c>
      <c r="AL97" s="632">
        <v>0</v>
      </c>
      <c r="AM97" s="632">
        <v>4.3158091576768882</v>
      </c>
      <c r="AN97" s="632">
        <v>303.54524408994109</v>
      </c>
      <c r="AO97" s="632">
        <v>307.86105324761797</v>
      </c>
      <c r="AP97" s="632">
        <v>0</v>
      </c>
      <c r="AQ97" s="632">
        <v>1.8802153346698185</v>
      </c>
      <c r="AR97" s="632">
        <v>0</v>
      </c>
      <c r="AS97" s="632">
        <v>300.65148693938306</v>
      </c>
      <c r="AT97" s="632">
        <v>312.07133140209254</v>
      </c>
      <c r="AU97" s="632">
        <v>323.9249433770803</v>
      </c>
      <c r="AV97" s="632">
        <v>336.22879894292373</v>
      </c>
      <c r="AW97" s="632">
        <v>349</v>
      </c>
      <c r="AX97" s="632">
        <v>287.2073578991899</v>
      </c>
      <c r="AY97" s="632">
        <v>297.35493892536937</v>
      </c>
      <c r="AZ97" s="632">
        <v>307.86105324761797</v>
      </c>
      <c r="BA97" s="632">
        <v>318.738368527722</v>
      </c>
      <c r="BB97" s="632">
        <v>330</v>
      </c>
      <c r="BC97" s="632">
        <v>1.7676048523637691</v>
      </c>
      <c r="BD97" s="632">
        <v>1.823040797418187</v>
      </c>
      <c r="BE97" s="632">
        <v>1.8802153346698185</v>
      </c>
      <c r="BF97" s="632">
        <v>1.9391829901635476</v>
      </c>
      <c r="BG97" s="632">
        <v>2</v>
      </c>
      <c r="BH97" s="634">
        <v>352.24011286770423</v>
      </c>
      <c r="BI97" s="634">
        <v>355.51030691419203</v>
      </c>
      <c r="BJ97" s="634">
        <v>358.81086141285721</v>
      </c>
      <c r="BK97" s="635">
        <v>360.63019034812822</v>
      </c>
      <c r="BL97" s="635">
        <v>362.4495192833993</v>
      </c>
      <c r="BM97" s="635">
        <v>364.26884821867037</v>
      </c>
      <c r="BN97" s="635">
        <v>366.08817715394139</v>
      </c>
      <c r="BO97" s="635">
        <v>368.23941429346416</v>
      </c>
      <c r="BP97" s="635">
        <v>370.39065143298683</v>
      </c>
      <c r="BQ97" s="635">
        <v>376.35449834630725</v>
      </c>
      <c r="BR97" s="635">
        <v>383.46001373524439</v>
      </c>
      <c r="BS97" s="635">
        <v>386.57990564899291</v>
      </c>
      <c r="BT97" s="635">
        <v>388.2932132696647</v>
      </c>
      <c r="BU97" s="635">
        <v>390.06750496762066</v>
      </c>
      <c r="BV97" s="635">
        <v>391.88448551967582</v>
      </c>
      <c r="BW97" s="634">
        <v>333.06371703823038</v>
      </c>
      <c r="BX97" s="634">
        <v>336.15587759794658</v>
      </c>
      <c r="BY97" s="634">
        <v>339.27674574854694</v>
      </c>
      <c r="BZ97" s="635">
        <v>340.997028122872</v>
      </c>
      <c r="CA97" s="635">
        <v>342.71731049719705</v>
      </c>
      <c r="CB97" s="635">
        <v>344.43759287152216</v>
      </c>
      <c r="CC97" s="635">
        <v>346.15787524584721</v>
      </c>
      <c r="CD97" s="635">
        <v>348.19199632333289</v>
      </c>
      <c r="CE97" s="635">
        <v>350.22611740081851</v>
      </c>
      <c r="CF97" s="635">
        <v>355.8652849692877</v>
      </c>
      <c r="CG97" s="635">
        <v>362.58396714220817</v>
      </c>
      <c r="CH97" s="635">
        <v>365.53400820678416</v>
      </c>
      <c r="CI97" s="635">
        <v>367.15404120054257</v>
      </c>
      <c r="CJ97" s="635">
        <v>368.83173822153248</v>
      </c>
      <c r="CK97" s="635">
        <v>370.54980006158462</v>
      </c>
      <c r="CL97" s="634">
        <v>2.018567982049881</v>
      </c>
      <c r="CM97" s="634">
        <v>2.0373083490784643</v>
      </c>
      <c r="CN97" s="634">
        <v>2.056222701506345</v>
      </c>
      <c r="CO97" s="635">
        <v>2.0666486552901331</v>
      </c>
      <c r="CP97" s="635">
        <v>2.0770746090739216</v>
      </c>
      <c r="CQ97" s="635">
        <v>2.0875005628577101</v>
      </c>
      <c r="CR97" s="635">
        <v>2.0979265166414982</v>
      </c>
      <c r="CS97" s="635">
        <v>2.1102545231717142</v>
      </c>
      <c r="CT97" s="635">
        <v>2.1225825297019303</v>
      </c>
      <c r="CU97" s="635">
        <v>2.1567593028441676</v>
      </c>
      <c r="CV97" s="635">
        <v>2.1974785887406556</v>
      </c>
      <c r="CW97" s="635">
        <v>2.2153576254956615</v>
      </c>
      <c r="CX97" s="635">
        <v>2.2251760072760152</v>
      </c>
      <c r="CY97" s="635">
        <v>2.2353438680092874</v>
      </c>
      <c r="CZ97" s="635">
        <v>2.2457563640096034</v>
      </c>
      <c r="DA97" s="636">
        <v>0</v>
      </c>
      <c r="DB97" s="636">
        <v>0</v>
      </c>
      <c r="DC97" s="636">
        <v>0</v>
      </c>
      <c r="DD97" s="637">
        <v>0</v>
      </c>
      <c r="DE97" s="637">
        <v>0</v>
      </c>
      <c r="DF97" s="637">
        <v>0</v>
      </c>
      <c r="DG97" s="637">
        <v>0</v>
      </c>
      <c r="DH97" s="637">
        <v>0</v>
      </c>
      <c r="DI97" s="637">
        <v>0</v>
      </c>
      <c r="DJ97" s="637">
        <v>0</v>
      </c>
      <c r="DK97" s="637">
        <v>0</v>
      </c>
      <c r="DL97" s="637">
        <v>0</v>
      </c>
      <c r="DM97" s="637">
        <v>0</v>
      </c>
      <c r="DN97" s="637">
        <v>0</v>
      </c>
      <c r="DO97" s="637">
        <v>0</v>
      </c>
      <c r="DP97" s="636">
        <v>0</v>
      </c>
      <c r="DQ97" s="636">
        <v>0</v>
      </c>
      <c r="DR97" s="636">
        <v>0</v>
      </c>
      <c r="DS97" s="637">
        <v>0</v>
      </c>
      <c r="DT97" s="637">
        <v>0</v>
      </c>
      <c r="DU97" s="637">
        <v>0</v>
      </c>
      <c r="DV97" s="637">
        <v>0</v>
      </c>
      <c r="DW97" s="637">
        <v>0</v>
      </c>
      <c r="DX97" s="637">
        <v>0</v>
      </c>
      <c r="DY97" s="637">
        <v>0</v>
      </c>
      <c r="DZ97" s="637">
        <v>0</v>
      </c>
      <c r="EA97" s="637">
        <v>0</v>
      </c>
      <c r="EB97" s="637">
        <v>0</v>
      </c>
      <c r="EC97" s="637">
        <v>0</v>
      </c>
      <c r="ED97" s="637">
        <v>0</v>
      </c>
    </row>
    <row r="98" spans="1:134" ht="15" x14ac:dyDescent="0.25">
      <c r="A98" s="555">
        <v>125</v>
      </c>
      <c r="B98" s="555">
        <v>87</v>
      </c>
      <c r="C98" s="555" t="s">
        <v>1081</v>
      </c>
      <c r="D98" s="812">
        <v>99705</v>
      </c>
      <c r="E98" s="812">
        <v>99705</v>
      </c>
      <c r="F98" s="630" t="s">
        <v>311</v>
      </c>
      <c r="G98" s="45">
        <v>634</v>
      </c>
      <c r="H98" s="45">
        <v>218</v>
      </c>
      <c r="I98" s="45">
        <v>209</v>
      </c>
      <c r="J98" s="45">
        <v>9</v>
      </c>
      <c r="K98" s="45">
        <v>0</v>
      </c>
      <c r="L98" s="45">
        <v>172</v>
      </c>
      <c r="M98" s="45">
        <v>172</v>
      </c>
      <c r="N98" s="45">
        <v>2</v>
      </c>
      <c r="O98" s="45">
        <v>0</v>
      </c>
      <c r="P98" s="45">
        <v>0</v>
      </c>
      <c r="Q98" s="45">
        <v>174</v>
      </c>
      <c r="R98" s="45">
        <v>0</v>
      </c>
      <c r="S98" s="45">
        <v>2376.3023255813955</v>
      </c>
      <c r="T98" s="45">
        <v>2376.3023255813955</v>
      </c>
      <c r="U98" s="45">
        <v>1576</v>
      </c>
      <c r="V98" s="45">
        <v>0</v>
      </c>
      <c r="W98" s="45">
        <v>0</v>
      </c>
      <c r="X98" s="45">
        <v>2367.1034482758619</v>
      </c>
      <c r="Y98" s="45">
        <v>0</v>
      </c>
      <c r="Z98" s="45">
        <v>218</v>
      </c>
      <c r="AA98" s="45">
        <v>0</v>
      </c>
      <c r="AB98" s="508">
        <v>2</v>
      </c>
      <c r="AC98" s="508">
        <v>0</v>
      </c>
      <c r="AD98" s="631">
        <v>220</v>
      </c>
      <c r="AE98" s="632">
        <v>0</v>
      </c>
      <c r="AF98" s="632">
        <v>209</v>
      </c>
      <c r="AG98" s="633">
        <v>209</v>
      </c>
      <c r="AH98" s="632">
        <v>0</v>
      </c>
      <c r="AI98" s="632">
        <v>0</v>
      </c>
      <c r="AJ98" s="632">
        <v>202.3370706481476</v>
      </c>
      <c r="AK98" s="632">
        <v>202.3370706481476</v>
      </c>
      <c r="AL98" s="632">
        <v>0</v>
      </c>
      <c r="AM98" s="632">
        <v>0</v>
      </c>
      <c r="AN98" s="632">
        <v>194.97866705682472</v>
      </c>
      <c r="AO98" s="632">
        <v>194.97866705682472</v>
      </c>
      <c r="AP98" s="632">
        <v>0</v>
      </c>
      <c r="AQ98" s="632">
        <v>1.8802153346698185</v>
      </c>
      <c r="AR98" s="632">
        <v>0</v>
      </c>
      <c r="AS98" s="632">
        <v>187.79949613978658</v>
      </c>
      <c r="AT98" s="632">
        <v>194.93280872680853</v>
      </c>
      <c r="AU98" s="632">
        <v>202.3370706481476</v>
      </c>
      <c r="AV98" s="632">
        <v>210.02257355174032</v>
      </c>
      <c r="AW98" s="632">
        <v>218</v>
      </c>
      <c r="AX98" s="632">
        <v>181.89799333615358</v>
      </c>
      <c r="AY98" s="632">
        <v>188.32479465273394</v>
      </c>
      <c r="AZ98" s="632">
        <v>194.97866705682472</v>
      </c>
      <c r="BA98" s="632">
        <v>201.86763340089061</v>
      </c>
      <c r="BB98" s="632">
        <v>209</v>
      </c>
      <c r="BC98" s="632">
        <v>1.7676048523637691</v>
      </c>
      <c r="BD98" s="632">
        <v>1.823040797418187</v>
      </c>
      <c r="BE98" s="632">
        <v>1.8802153346698185</v>
      </c>
      <c r="BF98" s="632">
        <v>1.9391829901635476</v>
      </c>
      <c r="BG98" s="632">
        <v>2</v>
      </c>
      <c r="BH98" s="634">
        <v>220.02391004343701</v>
      </c>
      <c r="BI98" s="634">
        <v>222.06661004955259</v>
      </c>
      <c r="BJ98" s="634">
        <v>224.12827446419161</v>
      </c>
      <c r="BK98" s="635">
        <v>225.72240413950439</v>
      </c>
      <c r="BL98" s="635">
        <v>227.31653381481718</v>
      </c>
      <c r="BM98" s="635">
        <v>228.91066349012996</v>
      </c>
      <c r="BN98" s="635">
        <v>230.50479316544278</v>
      </c>
      <c r="BO98" s="635">
        <v>232.38974695046966</v>
      </c>
      <c r="BP98" s="635">
        <v>234.27470073549651</v>
      </c>
      <c r="BQ98" s="635">
        <v>239.50033374733573</v>
      </c>
      <c r="BR98" s="635">
        <v>245.72631780129066</v>
      </c>
      <c r="BS98" s="635">
        <v>248.4600248220797</v>
      </c>
      <c r="BT98" s="635">
        <v>249.96125665987563</v>
      </c>
      <c r="BU98" s="635">
        <v>251.51592387454915</v>
      </c>
      <c r="BV98" s="635">
        <v>253.10799585303712</v>
      </c>
      <c r="BW98" s="634">
        <v>210.94035412421258</v>
      </c>
      <c r="BX98" s="634">
        <v>212.89872247869951</v>
      </c>
      <c r="BY98" s="634">
        <v>214.87527230741304</v>
      </c>
      <c r="BZ98" s="635">
        <v>216.40358928970832</v>
      </c>
      <c r="CA98" s="635">
        <v>217.93190627200363</v>
      </c>
      <c r="CB98" s="635">
        <v>219.46022325429891</v>
      </c>
      <c r="CC98" s="635">
        <v>220.98854023659419</v>
      </c>
      <c r="CD98" s="635">
        <v>222.79567482866128</v>
      </c>
      <c r="CE98" s="635">
        <v>224.60280942072831</v>
      </c>
      <c r="CF98" s="635">
        <v>229.61270528987691</v>
      </c>
      <c r="CG98" s="635">
        <v>235.58165330490709</v>
      </c>
      <c r="CH98" s="635">
        <v>238.2025008615351</v>
      </c>
      <c r="CI98" s="635">
        <v>239.64175523813762</v>
      </c>
      <c r="CJ98" s="635">
        <v>241.13223894394849</v>
      </c>
      <c r="CK98" s="635">
        <v>242.65858318020528</v>
      </c>
      <c r="CL98" s="634">
        <v>2.018567982049881</v>
      </c>
      <c r="CM98" s="634">
        <v>2.0373083490784643</v>
      </c>
      <c r="CN98" s="634">
        <v>2.056222701506345</v>
      </c>
      <c r="CO98" s="635">
        <v>2.0708477443991229</v>
      </c>
      <c r="CP98" s="635">
        <v>2.0854727872919008</v>
      </c>
      <c r="CQ98" s="635">
        <v>2.1000978301846787</v>
      </c>
      <c r="CR98" s="635">
        <v>2.1147228730774565</v>
      </c>
      <c r="CS98" s="635">
        <v>2.1320160270685289</v>
      </c>
      <c r="CT98" s="635">
        <v>2.1493091810596012</v>
      </c>
      <c r="CU98" s="635">
        <v>2.1972507683241811</v>
      </c>
      <c r="CV98" s="635">
        <v>2.2543698880852352</v>
      </c>
      <c r="CW98" s="635">
        <v>2.2794497690099056</v>
      </c>
      <c r="CX98" s="635">
        <v>2.2932225381639966</v>
      </c>
      <c r="CY98" s="635">
        <v>2.3074855401334786</v>
      </c>
      <c r="CZ98" s="635">
        <v>2.3220917050737349</v>
      </c>
      <c r="DA98" s="636">
        <v>0</v>
      </c>
      <c r="DB98" s="636">
        <v>0</v>
      </c>
      <c r="DC98" s="636">
        <v>0</v>
      </c>
      <c r="DD98" s="637">
        <v>0</v>
      </c>
      <c r="DE98" s="637">
        <v>0</v>
      </c>
      <c r="DF98" s="637">
        <v>0</v>
      </c>
      <c r="DG98" s="637">
        <v>0</v>
      </c>
      <c r="DH98" s="637">
        <v>0</v>
      </c>
      <c r="DI98" s="637">
        <v>0</v>
      </c>
      <c r="DJ98" s="637">
        <v>0</v>
      </c>
      <c r="DK98" s="637">
        <v>0</v>
      </c>
      <c r="DL98" s="637">
        <v>0</v>
      </c>
      <c r="DM98" s="637">
        <v>0</v>
      </c>
      <c r="DN98" s="637">
        <v>0</v>
      </c>
      <c r="DO98" s="637">
        <v>0</v>
      </c>
      <c r="DP98" s="636">
        <v>0</v>
      </c>
      <c r="DQ98" s="636">
        <v>0</v>
      </c>
      <c r="DR98" s="636">
        <v>0</v>
      </c>
      <c r="DS98" s="637">
        <v>0</v>
      </c>
      <c r="DT98" s="637">
        <v>0</v>
      </c>
      <c r="DU98" s="637">
        <v>0</v>
      </c>
      <c r="DV98" s="637">
        <v>0</v>
      </c>
      <c r="DW98" s="637">
        <v>0</v>
      </c>
      <c r="DX98" s="637">
        <v>0</v>
      </c>
      <c r="DY98" s="637">
        <v>0</v>
      </c>
      <c r="DZ98" s="637">
        <v>0</v>
      </c>
      <c r="EA98" s="637">
        <v>0</v>
      </c>
      <c r="EB98" s="637">
        <v>0</v>
      </c>
      <c r="EC98" s="637">
        <v>0</v>
      </c>
      <c r="ED98" s="637">
        <v>0</v>
      </c>
    </row>
    <row r="99" spans="1:134" ht="15" x14ac:dyDescent="0.25">
      <c r="A99" s="555">
        <v>126</v>
      </c>
      <c r="B99" s="555">
        <v>87</v>
      </c>
      <c r="C99" s="555" t="s">
        <v>1082</v>
      </c>
      <c r="D99" s="812">
        <v>99705</v>
      </c>
      <c r="E99" s="812">
        <v>99705</v>
      </c>
      <c r="F99" s="630" t="s">
        <v>311</v>
      </c>
      <c r="G99" s="45">
        <v>288</v>
      </c>
      <c r="H99" s="45">
        <v>124</v>
      </c>
      <c r="I99" s="45">
        <v>111</v>
      </c>
      <c r="J99" s="45">
        <v>13</v>
      </c>
      <c r="K99" s="45">
        <v>0</v>
      </c>
      <c r="L99" s="45">
        <v>143</v>
      </c>
      <c r="M99" s="45">
        <v>143</v>
      </c>
      <c r="N99" s="45">
        <v>0</v>
      </c>
      <c r="O99" s="45">
        <v>0</v>
      </c>
      <c r="P99" s="45">
        <v>0</v>
      </c>
      <c r="Q99" s="45">
        <v>143</v>
      </c>
      <c r="R99" s="45">
        <v>0</v>
      </c>
      <c r="S99" s="45">
        <v>2043.4685314685314</v>
      </c>
      <c r="T99" s="45">
        <v>2043.4685314685314</v>
      </c>
      <c r="U99" s="45">
        <v>0</v>
      </c>
      <c r="V99" s="45">
        <v>0</v>
      </c>
      <c r="W99" s="45">
        <v>0</v>
      </c>
      <c r="X99" s="45">
        <v>2043.4685314685314</v>
      </c>
      <c r="Y99" s="45">
        <v>0</v>
      </c>
      <c r="Z99" s="45">
        <v>124</v>
      </c>
      <c r="AA99" s="45">
        <v>0</v>
      </c>
      <c r="AB99" s="508">
        <v>0</v>
      </c>
      <c r="AC99" s="508">
        <v>0</v>
      </c>
      <c r="AD99" s="631">
        <v>124</v>
      </c>
      <c r="AE99" s="632">
        <v>0</v>
      </c>
      <c r="AF99" s="632">
        <v>111</v>
      </c>
      <c r="AG99" s="633">
        <v>111</v>
      </c>
      <c r="AH99" s="632">
        <v>0</v>
      </c>
      <c r="AI99" s="632">
        <v>0</v>
      </c>
      <c r="AJ99" s="632">
        <v>115.0908108273867</v>
      </c>
      <c r="AK99" s="632">
        <v>115.0908108273867</v>
      </c>
      <c r="AL99" s="632">
        <v>0</v>
      </c>
      <c r="AM99" s="632">
        <v>0</v>
      </c>
      <c r="AN99" s="632">
        <v>103.55326336510787</v>
      </c>
      <c r="AO99" s="632">
        <v>103.55326336510787</v>
      </c>
      <c r="AP99" s="632">
        <v>0</v>
      </c>
      <c r="AQ99" s="632">
        <v>0</v>
      </c>
      <c r="AR99" s="632">
        <v>0</v>
      </c>
      <c r="AS99" s="632">
        <v>106.82173174923639</v>
      </c>
      <c r="AT99" s="632">
        <v>110.87921230332228</v>
      </c>
      <c r="AU99" s="632">
        <v>115.0908108273867</v>
      </c>
      <c r="AV99" s="632">
        <v>119.46238128631101</v>
      </c>
      <c r="AW99" s="632">
        <v>124</v>
      </c>
      <c r="AX99" s="632">
        <v>96.606111293363867</v>
      </c>
      <c r="AY99" s="632">
        <v>100.01938854762425</v>
      </c>
      <c r="AZ99" s="632">
        <v>103.55326336510787</v>
      </c>
      <c r="BA99" s="632">
        <v>107.2119966865974</v>
      </c>
      <c r="BB99" s="632">
        <v>111</v>
      </c>
      <c r="BC99" s="632">
        <v>0</v>
      </c>
      <c r="BD99" s="632">
        <v>0</v>
      </c>
      <c r="BE99" s="632">
        <v>0</v>
      </c>
      <c r="BF99" s="632">
        <v>0</v>
      </c>
      <c r="BG99" s="632">
        <v>0</v>
      </c>
      <c r="BH99" s="634">
        <v>125.00029625679839</v>
      </c>
      <c r="BI99" s="634">
        <v>126.00866180876908</v>
      </c>
      <c r="BJ99" s="634">
        <v>127.02516175015204</v>
      </c>
      <c r="BK99" s="635">
        <v>127.94484593563359</v>
      </c>
      <c r="BL99" s="635">
        <v>128.86453012111517</v>
      </c>
      <c r="BM99" s="635">
        <v>129.78421430659671</v>
      </c>
      <c r="BN99" s="635">
        <v>130.70389849207828</v>
      </c>
      <c r="BO99" s="635">
        <v>131.79136472101769</v>
      </c>
      <c r="BP99" s="635">
        <v>132.87883094995709</v>
      </c>
      <c r="BQ99" s="635">
        <v>135.8935995190046</v>
      </c>
      <c r="BR99" s="635">
        <v>139.48548991672854</v>
      </c>
      <c r="BS99" s="635">
        <v>141.06261827315674</v>
      </c>
      <c r="BT99" s="635">
        <v>141.92870790271678</v>
      </c>
      <c r="BU99" s="635">
        <v>142.82562543280508</v>
      </c>
      <c r="BV99" s="635">
        <v>143.74412249326309</v>
      </c>
      <c r="BW99" s="634">
        <v>111.8954264879405</v>
      </c>
      <c r="BX99" s="634">
        <v>112.79807629655942</v>
      </c>
      <c r="BY99" s="634">
        <v>113.70800769570062</v>
      </c>
      <c r="BZ99" s="635">
        <v>114.53127337786556</v>
      </c>
      <c r="CA99" s="635">
        <v>115.3545390600305</v>
      </c>
      <c r="CB99" s="635">
        <v>116.17780474219546</v>
      </c>
      <c r="CC99" s="635">
        <v>117.00107042436041</v>
      </c>
      <c r="CD99" s="635">
        <v>117.97452809704004</v>
      </c>
      <c r="CE99" s="635">
        <v>118.94798576971966</v>
      </c>
      <c r="CF99" s="635">
        <v>121.64668989201219</v>
      </c>
      <c r="CG99" s="635">
        <v>124.86201113513603</v>
      </c>
      <c r="CH99" s="635">
        <v>126.27379538968064</v>
      </c>
      <c r="CI99" s="635">
        <v>127.04908530001259</v>
      </c>
      <c r="CJ99" s="635">
        <v>127.85197115355939</v>
      </c>
      <c r="CK99" s="635">
        <v>128.67417416735645</v>
      </c>
      <c r="CL99" s="634">
        <v>0</v>
      </c>
      <c r="CM99" s="634">
        <v>0</v>
      </c>
      <c r="CN99" s="634">
        <v>0</v>
      </c>
      <c r="CO99" s="635">
        <v>0</v>
      </c>
      <c r="CP99" s="635">
        <v>0</v>
      </c>
      <c r="CQ99" s="635">
        <v>0</v>
      </c>
      <c r="CR99" s="635">
        <v>0</v>
      </c>
      <c r="CS99" s="635">
        <v>0</v>
      </c>
      <c r="CT99" s="635">
        <v>0</v>
      </c>
      <c r="CU99" s="635">
        <v>0</v>
      </c>
      <c r="CV99" s="635">
        <v>0</v>
      </c>
      <c r="CW99" s="635">
        <v>0</v>
      </c>
      <c r="CX99" s="635">
        <v>0</v>
      </c>
      <c r="CY99" s="635">
        <v>0</v>
      </c>
      <c r="CZ99" s="635">
        <v>0</v>
      </c>
      <c r="DA99" s="636">
        <v>0</v>
      </c>
      <c r="DB99" s="636">
        <v>0</v>
      </c>
      <c r="DC99" s="636">
        <v>0</v>
      </c>
      <c r="DD99" s="637">
        <v>0</v>
      </c>
      <c r="DE99" s="637">
        <v>0</v>
      </c>
      <c r="DF99" s="637">
        <v>0</v>
      </c>
      <c r="DG99" s="637">
        <v>0</v>
      </c>
      <c r="DH99" s="637">
        <v>0</v>
      </c>
      <c r="DI99" s="637">
        <v>0</v>
      </c>
      <c r="DJ99" s="637">
        <v>0</v>
      </c>
      <c r="DK99" s="637">
        <v>0</v>
      </c>
      <c r="DL99" s="637">
        <v>0</v>
      </c>
      <c r="DM99" s="637">
        <v>0</v>
      </c>
      <c r="DN99" s="637">
        <v>0</v>
      </c>
      <c r="DO99" s="637">
        <v>0</v>
      </c>
      <c r="DP99" s="636">
        <v>0</v>
      </c>
      <c r="DQ99" s="636">
        <v>0</v>
      </c>
      <c r="DR99" s="636">
        <v>0</v>
      </c>
      <c r="DS99" s="637">
        <v>0</v>
      </c>
      <c r="DT99" s="637">
        <v>0</v>
      </c>
      <c r="DU99" s="637">
        <v>0</v>
      </c>
      <c r="DV99" s="637">
        <v>0</v>
      </c>
      <c r="DW99" s="637">
        <v>0</v>
      </c>
      <c r="DX99" s="637">
        <v>0</v>
      </c>
      <c r="DY99" s="637">
        <v>0</v>
      </c>
      <c r="DZ99" s="637">
        <v>0</v>
      </c>
      <c r="EA99" s="637">
        <v>0</v>
      </c>
      <c r="EB99" s="637">
        <v>0</v>
      </c>
      <c r="EC99" s="637">
        <v>0</v>
      </c>
      <c r="ED99" s="637">
        <v>0</v>
      </c>
    </row>
    <row r="100" spans="1:134" ht="15" x14ac:dyDescent="0.25">
      <c r="A100" s="555">
        <v>95</v>
      </c>
      <c r="B100" s="555">
        <v>88</v>
      </c>
      <c r="C100" s="555" t="s">
        <v>1083</v>
      </c>
      <c r="D100" s="812">
        <v>99709</v>
      </c>
      <c r="E100" s="812">
        <v>99709</v>
      </c>
      <c r="F100" s="630" t="s">
        <v>989</v>
      </c>
      <c r="G100" s="45">
        <v>68</v>
      </c>
      <c r="H100" s="45">
        <v>25</v>
      </c>
      <c r="I100" s="45">
        <v>24</v>
      </c>
      <c r="J100" s="45">
        <v>1</v>
      </c>
      <c r="K100" s="45">
        <v>0</v>
      </c>
      <c r="L100" s="45">
        <v>0</v>
      </c>
      <c r="M100" s="45">
        <v>0</v>
      </c>
      <c r="N100" s="45">
        <v>0</v>
      </c>
      <c r="O100" s="45">
        <v>0</v>
      </c>
      <c r="P100" s="45">
        <v>0</v>
      </c>
      <c r="Q100" s="45">
        <v>0</v>
      </c>
      <c r="R100" s="45">
        <v>0</v>
      </c>
      <c r="S100" s="45">
        <v>834.49503068156923</v>
      </c>
      <c r="T100" s="45">
        <v>834.49503068156923</v>
      </c>
      <c r="U100" s="45">
        <v>1408.3846153846155</v>
      </c>
      <c r="V100" s="45">
        <v>0</v>
      </c>
      <c r="W100" s="45">
        <v>0</v>
      </c>
      <c r="X100" s="45">
        <v>1365.173957061457</v>
      </c>
      <c r="Y100" s="45">
        <v>0.57280838530838529</v>
      </c>
      <c r="Z100" s="45">
        <v>24.394707207207208</v>
      </c>
      <c r="AA100" s="45">
        <v>3.2484407484407486E-2</v>
      </c>
      <c r="AB100" s="508">
        <v>0</v>
      </c>
      <c r="AC100" s="508">
        <v>0</v>
      </c>
      <c r="AD100" s="631">
        <v>25</v>
      </c>
      <c r="AE100" s="632">
        <v>0.5498960498960499</v>
      </c>
      <c r="AF100" s="632">
        <v>23.418918918918919</v>
      </c>
      <c r="AG100" s="633">
        <v>23.968814968814968</v>
      </c>
      <c r="AH100" s="632">
        <v>3.118503118503119E-2</v>
      </c>
      <c r="AI100" s="632">
        <v>0.54540431280220691</v>
      </c>
      <c r="AJ100" s="632">
        <v>23.227625261098147</v>
      </c>
      <c r="AK100" s="632">
        <v>23.773029573900356</v>
      </c>
      <c r="AL100" s="632">
        <v>3.0930301293130829E-2</v>
      </c>
      <c r="AM100" s="632">
        <v>0.52457588221104934</v>
      </c>
      <c r="AN100" s="632">
        <v>22.340586106489095</v>
      </c>
      <c r="AO100" s="632">
        <v>22.865161988700144</v>
      </c>
      <c r="AP100" s="632">
        <v>2.9749104851288247E-2</v>
      </c>
      <c r="AQ100" s="632">
        <v>0</v>
      </c>
      <c r="AR100" s="632">
        <v>0</v>
      </c>
      <c r="AS100" s="632">
        <v>22.635689683556482</v>
      </c>
      <c r="AT100" s="632">
        <v>23.197390376350942</v>
      </c>
      <c r="AU100" s="632">
        <v>23.773029573900352</v>
      </c>
      <c r="AV100" s="632">
        <v>24.362953157769923</v>
      </c>
      <c r="AW100" s="632">
        <v>24.967515592515593</v>
      </c>
      <c r="AX100" s="632">
        <v>21.812327119622555</v>
      </c>
      <c r="AY100" s="632">
        <v>22.332541121437281</v>
      </c>
      <c r="AZ100" s="632">
        <v>22.865161988700141</v>
      </c>
      <c r="BA100" s="632">
        <v>23.41048561946409</v>
      </c>
      <c r="BB100" s="632">
        <v>23.968814968814968</v>
      </c>
      <c r="BC100" s="632">
        <v>0</v>
      </c>
      <c r="BD100" s="632">
        <v>0</v>
      </c>
      <c r="BE100" s="632">
        <v>0</v>
      </c>
      <c r="BF100" s="632">
        <v>0</v>
      </c>
      <c r="BG100" s="632">
        <v>0</v>
      </c>
      <c r="BH100" s="634">
        <v>25.095414912226726</v>
      </c>
      <c r="BI100" s="634">
        <v>25.223969412703525</v>
      </c>
      <c r="BJ100" s="634">
        <v>25.353182450193977</v>
      </c>
      <c r="BK100" s="635">
        <v>25.418910215425573</v>
      </c>
      <c r="BL100" s="635">
        <v>25.484637980657169</v>
      </c>
      <c r="BM100" s="635">
        <v>25.550365745888765</v>
      </c>
      <c r="BN100" s="635">
        <v>25.616093511120361</v>
      </c>
      <c r="BO100" s="635">
        <v>25.693812282543611</v>
      </c>
      <c r="BP100" s="635">
        <v>25.771531053966864</v>
      </c>
      <c r="BQ100" s="635">
        <v>25.986989799329752</v>
      </c>
      <c r="BR100" s="635">
        <v>26.243694146894018</v>
      </c>
      <c r="BS100" s="635">
        <v>26.356407971908997</v>
      </c>
      <c r="BT100" s="635">
        <v>26.418305454479537</v>
      </c>
      <c r="BU100" s="635">
        <v>26.48240613793195</v>
      </c>
      <c r="BV100" s="635">
        <v>26.548049062001677</v>
      </c>
      <c r="BW100" s="634">
        <v>24.091598315737656</v>
      </c>
      <c r="BX100" s="634">
        <v>24.21501063619538</v>
      </c>
      <c r="BY100" s="634">
        <v>24.339055152186216</v>
      </c>
      <c r="BZ100" s="635">
        <v>24.402153806808549</v>
      </c>
      <c r="CA100" s="635">
        <v>24.465252461430882</v>
      </c>
      <c r="CB100" s="635">
        <v>24.528351116053212</v>
      </c>
      <c r="CC100" s="635">
        <v>24.591449770675545</v>
      </c>
      <c r="CD100" s="635">
        <v>24.666059791241864</v>
      </c>
      <c r="CE100" s="635">
        <v>24.740669811808186</v>
      </c>
      <c r="CF100" s="635">
        <v>24.947510207356562</v>
      </c>
      <c r="CG100" s="635">
        <v>25.193946381018257</v>
      </c>
      <c r="CH100" s="635">
        <v>25.302151653032634</v>
      </c>
      <c r="CI100" s="635">
        <v>25.361573236300352</v>
      </c>
      <c r="CJ100" s="635">
        <v>25.423109892414672</v>
      </c>
      <c r="CK100" s="635">
        <v>25.48612709952161</v>
      </c>
      <c r="CL100" s="634">
        <v>0</v>
      </c>
      <c r="CM100" s="634">
        <v>0</v>
      </c>
      <c r="CN100" s="634">
        <v>0</v>
      </c>
      <c r="CO100" s="635">
        <v>0</v>
      </c>
      <c r="CP100" s="635">
        <v>0</v>
      </c>
      <c r="CQ100" s="635">
        <v>0</v>
      </c>
      <c r="CR100" s="635">
        <v>0</v>
      </c>
      <c r="CS100" s="635">
        <v>0</v>
      </c>
      <c r="CT100" s="635">
        <v>0</v>
      </c>
      <c r="CU100" s="635">
        <v>0</v>
      </c>
      <c r="CV100" s="635">
        <v>0</v>
      </c>
      <c r="CW100" s="635">
        <v>0</v>
      </c>
      <c r="CX100" s="635">
        <v>0</v>
      </c>
      <c r="CY100" s="635">
        <v>0</v>
      </c>
      <c r="CZ100" s="635">
        <v>0</v>
      </c>
      <c r="DA100" s="636">
        <v>3.2650813052597878E-2</v>
      </c>
      <c r="DB100" s="636">
        <v>3.2818071054779505E-2</v>
      </c>
      <c r="DC100" s="636">
        <v>3.2986185857655448E-2</v>
      </c>
      <c r="DD100" s="637">
        <v>3.3071702075755362E-2</v>
      </c>
      <c r="DE100" s="637">
        <v>3.3157218293855283E-2</v>
      </c>
      <c r="DF100" s="637">
        <v>3.3242734511955196E-2</v>
      </c>
      <c r="DG100" s="637">
        <v>3.3328250730055117E-2</v>
      </c>
      <c r="DH100" s="637">
        <v>3.3429368049106963E-2</v>
      </c>
      <c r="DI100" s="637">
        <v>3.3530485368158815E-2</v>
      </c>
      <c r="DJ100" s="637">
        <v>3.3810811604644483E-2</v>
      </c>
      <c r="DK100" s="637">
        <v>3.4144801127887092E-2</v>
      </c>
      <c r="DL100" s="637">
        <v>3.4291449351950297E-2</v>
      </c>
      <c r="DM100" s="637">
        <v>3.4371982116158648E-2</v>
      </c>
      <c r="DN100" s="637">
        <v>3.4455381392053022E-2</v>
      </c>
      <c r="DO100" s="637">
        <v>3.4540787226127606E-2</v>
      </c>
      <c r="DP100" s="636">
        <v>0</v>
      </c>
      <c r="DQ100" s="636">
        <v>0</v>
      </c>
      <c r="DR100" s="636">
        <v>0</v>
      </c>
      <c r="DS100" s="637">
        <v>0</v>
      </c>
      <c r="DT100" s="637">
        <v>0</v>
      </c>
      <c r="DU100" s="637">
        <v>0</v>
      </c>
      <c r="DV100" s="637">
        <v>0</v>
      </c>
      <c r="DW100" s="637">
        <v>0</v>
      </c>
      <c r="DX100" s="637">
        <v>0</v>
      </c>
      <c r="DY100" s="637">
        <v>0</v>
      </c>
      <c r="DZ100" s="637">
        <v>0</v>
      </c>
      <c r="EA100" s="637">
        <v>0</v>
      </c>
      <c r="EB100" s="637">
        <v>0</v>
      </c>
      <c r="EC100" s="637">
        <v>0</v>
      </c>
      <c r="ED100" s="637">
        <v>0</v>
      </c>
    </row>
    <row r="101" spans="1:134" ht="15" x14ac:dyDescent="0.25">
      <c r="A101" s="555">
        <v>97</v>
      </c>
      <c r="B101" s="555">
        <v>88</v>
      </c>
      <c r="C101" s="555" t="s">
        <v>1084</v>
      </c>
      <c r="D101" s="812">
        <v>99709</v>
      </c>
      <c r="E101" s="812">
        <v>99709</v>
      </c>
      <c r="F101" s="630" t="s">
        <v>989</v>
      </c>
      <c r="G101" s="45">
        <v>43</v>
      </c>
      <c r="H101" s="45">
        <v>18</v>
      </c>
      <c r="I101" s="45">
        <v>16</v>
      </c>
      <c r="J101" s="45">
        <v>2</v>
      </c>
      <c r="K101" s="45">
        <v>0</v>
      </c>
      <c r="L101" s="45">
        <v>23</v>
      </c>
      <c r="M101" s="45">
        <v>23</v>
      </c>
      <c r="N101" s="45">
        <v>0</v>
      </c>
      <c r="O101" s="45">
        <v>0</v>
      </c>
      <c r="P101" s="45">
        <v>0</v>
      </c>
      <c r="Q101" s="45">
        <v>23</v>
      </c>
      <c r="R101" s="45">
        <v>0</v>
      </c>
      <c r="S101" s="45">
        <v>1447.6521739130435</v>
      </c>
      <c r="T101" s="45">
        <v>1447.6521739130435</v>
      </c>
      <c r="U101" s="45">
        <v>0</v>
      </c>
      <c r="V101" s="45">
        <v>0</v>
      </c>
      <c r="W101" s="45">
        <v>0</v>
      </c>
      <c r="X101" s="45">
        <v>1447.6521739130435</v>
      </c>
      <c r="Y101" s="45">
        <v>0</v>
      </c>
      <c r="Z101" s="45">
        <v>18</v>
      </c>
      <c r="AA101" s="45">
        <v>0</v>
      </c>
      <c r="AB101" s="508">
        <v>0</v>
      </c>
      <c r="AC101" s="508">
        <v>0</v>
      </c>
      <c r="AD101" s="631">
        <v>18</v>
      </c>
      <c r="AE101" s="632">
        <v>0</v>
      </c>
      <c r="AF101" s="632">
        <v>16</v>
      </c>
      <c r="AG101" s="633">
        <v>16</v>
      </c>
      <c r="AH101" s="632">
        <v>0</v>
      </c>
      <c r="AI101" s="632">
        <v>0</v>
      </c>
      <c r="AJ101" s="632">
        <v>17.13885111013931</v>
      </c>
      <c r="AK101" s="632">
        <v>17.13885111013931</v>
      </c>
      <c r="AL101" s="632">
        <v>0</v>
      </c>
      <c r="AM101" s="632">
        <v>0</v>
      </c>
      <c r="AN101" s="632">
        <v>15.263274062367621</v>
      </c>
      <c r="AO101" s="632">
        <v>15.263274062367621</v>
      </c>
      <c r="AP101" s="632">
        <v>0</v>
      </c>
      <c r="AQ101" s="632">
        <v>0</v>
      </c>
      <c r="AR101" s="632">
        <v>0</v>
      </c>
      <c r="AS101" s="632">
        <v>16.318900965306856</v>
      </c>
      <c r="AT101" s="632">
        <v>16.723851647437645</v>
      </c>
      <c r="AU101" s="632">
        <v>17.13885111013931</v>
      </c>
      <c r="AV101" s="632">
        <v>17.564148712149631</v>
      </c>
      <c r="AW101" s="632">
        <v>18</v>
      </c>
      <c r="AX101" s="632">
        <v>14.560470943934011</v>
      </c>
      <c r="AY101" s="632">
        <v>14.907731500614217</v>
      </c>
      <c r="AZ101" s="632">
        <v>15.263274062367621</v>
      </c>
      <c r="BA101" s="632">
        <v>15.627296151218289</v>
      </c>
      <c r="BB101" s="632">
        <v>16</v>
      </c>
      <c r="BC101" s="632">
        <v>0</v>
      </c>
      <c r="BD101" s="632">
        <v>0</v>
      </c>
      <c r="BE101" s="632">
        <v>0</v>
      </c>
      <c r="BF101" s="632">
        <v>0</v>
      </c>
      <c r="BG101" s="632">
        <v>0</v>
      </c>
      <c r="BH101" s="634">
        <v>18.168179835822947</v>
      </c>
      <c r="BI101" s="634">
        <v>18.337931030377973</v>
      </c>
      <c r="BJ101" s="634">
        <v>18.50926826537917</v>
      </c>
      <c r="BK101" s="635">
        <v>18.769376163191438</v>
      </c>
      <c r="BL101" s="635">
        <v>19.029484061003707</v>
      </c>
      <c r="BM101" s="635">
        <v>19.289591958815972</v>
      </c>
      <c r="BN101" s="635">
        <v>19.549699856628241</v>
      </c>
      <c r="BO101" s="635">
        <v>19.857260385793108</v>
      </c>
      <c r="BP101" s="635">
        <v>20.164820914957971</v>
      </c>
      <c r="BQ101" s="635">
        <v>21.017466994193146</v>
      </c>
      <c r="BR101" s="635">
        <v>22.033336436413499</v>
      </c>
      <c r="BS101" s="635">
        <v>22.479384708033905</v>
      </c>
      <c r="BT101" s="635">
        <v>22.724334829410527</v>
      </c>
      <c r="BU101" s="635">
        <v>22.978003792023024</v>
      </c>
      <c r="BV101" s="635">
        <v>23.23777594350064</v>
      </c>
      <c r="BW101" s="634">
        <v>16.149493187398175</v>
      </c>
      <c r="BX101" s="634">
        <v>16.300383138113755</v>
      </c>
      <c r="BY101" s="634">
        <v>16.45268290255926</v>
      </c>
      <c r="BZ101" s="635">
        <v>16.683889922836833</v>
      </c>
      <c r="CA101" s="635">
        <v>16.915096943114403</v>
      </c>
      <c r="CB101" s="635">
        <v>17.146303963391976</v>
      </c>
      <c r="CC101" s="635">
        <v>17.377510983669545</v>
      </c>
      <c r="CD101" s="635">
        <v>17.650898120704984</v>
      </c>
      <c r="CE101" s="635">
        <v>17.924285257740419</v>
      </c>
      <c r="CF101" s="635">
        <v>18.68219288372724</v>
      </c>
      <c r="CG101" s="635">
        <v>19.585187943478662</v>
      </c>
      <c r="CH101" s="635">
        <v>19.981675296030136</v>
      </c>
      <c r="CI101" s="635">
        <v>20.199408737253798</v>
      </c>
      <c r="CJ101" s="635">
        <v>20.424892259576019</v>
      </c>
      <c r="CK101" s="635">
        <v>20.655800838667233</v>
      </c>
      <c r="CL101" s="634">
        <v>0</v>
      </c>
      <c r="CM101" s="634">
        <v>0</v>
      </c>
      <c r="CN101" s="634">
        <v>0</v>
      </c>
      <c r="CO101" s="635">
        <v>0</v>
      </c>
      <c r="CP101" s="635">
        <v>0</v>
      </c>
      <c r="CQ101" s="635">
        <v>0</v>
      </c>
      <c r="CR101" s="635">
        <v>0</v>
      </c>
      <c r="CS101" s="635">
        <v>0</v>
      </c>
      <c r="CT101" s="635">
        <v>0</v>
      </c>
      <c r="CU101" s="635">
        <v>0</v>
      </c>
      <c r="CV101" s="635">
        <v>0</v>
      </c>
      <c r="CW101" s="635">
        <v>0</v>
      </c>
      <c r="CX101" s="635">
        <v>0</v>
      </c>
      <c r="CY101" s="635">
        <v>0</v>
      </c>
      <c r="CZ101" s="635">
        <v>0</v>
      </c>
      <c r="DA101" s="636">
        <v>0</v>
      </c>
      <c r="DB101" s="636">
        <v>0</v>
      </c>
      <c r="DC101" s="636">
        <v>0</v>
      </c>
      <c r="DD101" s="637">
        <v>0</v>
      </c>
      <c r="DE101" s="637">
        <v>0</v>
      </c>
      <c r="DF101" s="637">
        <v>0</v>
      </c>
      <c r="DG101" s="637">
        <v>0</v>
      </c>
      <c r="DH101" s="637">
        <v>0</v>
      </c>
      <c r="DI101" s="637">
        <v>0</v>
      </c>
      <c r="DJ101" s="637">
        <v>0</v>
      </c>
      <c r="DK101" s="637">
        <v>0</v>
      </c>
      <c r="DL101" s="637">
        <v>0</v>
      </c>
      <c r="DM101" s="637">
        <v>0</v>
      </c>
      <c r="DN101" s="637">
        <v>0</v>
      </c>
      <c r="DO101" s="637">
        <v>0</v>
      </c>
      <c r="DP101" s="636">
        <v>0</v>
      </c>
      <c r="DQ101" s="636">
        <v>0</v>
      </c>
      <c r="DR101" s="636">
        <v>0</v>
      </c>
      <c r="DS101" s="637">
        <v>0</v>
      </c>
      <c r="DT101" s="637">
        <v>0</v>
      </c>
      <c r="DU101" s="637">
        <v>0</v>
      </c>
      <c r="DV101" s="637">
        <v>0</v>
      </c>
      <c r="DW101" s="637">
        <v>0</v>
      </c>
      <c r="DX101" s="637">
        <v>0</v>
      </c>
      <c r="DY101" s="637">
        <v>0</v>
      </c>
      <c r="DZ101" s="637">
        <v>0</v>
      </c>
      <c r="EA101" s="637">
        <v>0</v>
      </c>
      <c r="EB101" s="637">
        <v>0</v>
      </c>
      <c r="EC101" s="637">
        <v>0</v>
      </c>
      <c r="ED101" s="637">
        <v>0</v>
      </c>
    </row>
    <row r="102" spans="1:134" ht="15" x14ac:dyDescent="0.25">
      <c r="A102" s="555">
        <v>98</v>
      </c>
      <c r="B102" s="555">
        <v>88</v>
      </c>
      <c r="C102" s="555" t="s">
        <v>1085</v>
      </c>
      <c r="D102" s="812">
        <v>99709</v>
      </c>
      <c r="E102" s="812">
        <v>99709</v>
      </c>
      <c r="F102" s="630" t="s">
        <v>989</v>
      </c>
      <c r="G102" s="45">
        <v>60</v>
      </c>
      <c r="H102" s="45">
        <v>31</v>
      </c>
      <c r="I102" s="45">
        <v>27</v>
      </c>
      <c r="J102" s="45">
        <v>4</v>
      </c>
      <c r="K102" s="45">
        <v>0</v>
      </c>
      <c r="L102" s="45">
        <v>48</v>
      </c>
      <c r="M102" s="45">
        <v>48</v>
      </c>
      <c r="N102" s="45">
        <v>0</v>
      </c>
      <c r="O102" s="45">
        <v>0</v>
      </c>
      <c r="P102" s="45">
        <v>0</v>
      </c>
      <c r="Q102" s="45">
        <v>48</v>
      </c>
      <c r="R102" s="45">
        <v>0</v>
      </c>
      <c r="S102" s="45">
        <v>1689.0416666666667</v>
      </c>
      <c r="T102" s="45">
        <v>1689.0416666666667</v>
      </c>
      <c r="U102" s="45">
        <v>0</v>
      </c>
      <c r="V102" s="45">
        <v>0</v>
      </c>
      <c r="W102" s="45">
        <v>0</v>
      </c>
      <c r="X102" s="45">
        <v>1689.0416666666667</v>
      </c>
      <c r="Y102" s="45">
        <v>0</v>
      </c>
      <c r="Z102" s="45">
        <v>31</v>
      </c>
      <c r="AA102" s="45">
        <v>0</v>
      </c>
      <c r="AB102" s="508">
        <v>0</v>
      </c>
      <c r="AC102" s="508">
        <v>0</v>
      </c>
      <c r="AD102" s="631">
        <v>31</v>
      </c>
      <c r="AE102" s="632">
        <v>0</v>
      </c>
      <c r="AF102" s="632">
        <v>27</v>
      </c>
      <c r="AG102" s="633">
        <v>27</v>
      </c>
      <c r="AH102" s="632">
        <v>0</v>
      </c>
      <c r="AI102" s="632">
        <v>0</v>
      </c>
      <c r="AJ102" s="632">
        <v>29.51691024523992</v>
      </c>
      <c r="AK102" s="632">
        <v>29.51691024523992</v>
      </c>
      <c r="AL102" s="632">
        <v>0</v>
      </c>
      <c r="AM102" s="632">
        <v>0</v>
      </c>
      <c r="AN102" s="632">
        <v>25.75677498024536</v>
      </c>
      <c r="AO102" s="632">
        <v>25.75677498024536</v>
      </c>
      <c r="AP102" s="632">
        <v>0</v>
      </c>
      <c r="AQ102" s="632">
        <v>0</v>
      </c>
      <c r="AR102" s="632">
        <v>0</v>
      </c>
      <c r="AS102" s="632">
        <v>28.104773884695138</v>
      </c>
      <c r="AT102" s="632">
        <v>28.802188948364833</v>
      </c>
      <c r="AU102" s="632">
        <v>29.51691024523992</v>
      </c>
      <c r="AV102" s="632">
        <v>30.249367226479919</v>
      </c>
      <c r="AW102" s="632">
        <v>31</v>
      </c>
      <c r="AX102" s="632">
        <v>24.570794717888642</v>
      </c>
      <c r="AY102" s="632">
        <v>25.156796907286491</v>
      </c>
      <c r="AZ102" s="632">
        <v>25.75677498024536</v>
      </c>
      <c r="BA102" s="632">
        <v>26.37106225518086</v>
      </c>
      <c r="BB102" s="632">
        <v>27</v>
      </c>
      <c r="BC102" s="632">
        <v>0</v>
      </c>
      <c r="BD102" s="632">
        <v>0</v>
      </c>
      <c r="BE102" s="632">
        <v>0</v>
      </c>
      <c r="BF102" s="632">
        <v>0</v>
      </c>
      <c r="BG102" s="632">
        <v>0</v>
      </c>
      <c r="BH102" s="634">
        <v>31.289643050583965</v>
      </c>
      <c r="BI102" s="634">
        <v>31.5819923300954</v>
      </c>
      <c r="BJ102" s="634">
        <v>31.877073123708566</v>
      </c>
      <c r="BK102" s="635">
        <v>32.325036725496361</v>
      </c>
      <c r="BL102" s="635">
        <v>32.773000327284159</v>
      </c>
      <c r="BM102" s="635">
        <v>33.220963929071949</v>
      </c>
      <c r="BN102" s="635">
        <v>33.668927530859747</v>
      </c>
      <c r="BO102" s="635">
        <v>34.198615108865901</v>
      </c>
      <c r="BP102" s="635">
        <v>34.728302686872055</v>
      </c>
      <c r="BQ102" s="635">
        <v>36.196748712221527</v>
      </c>
      <c r="BR102" s="635">
        <v>37.946301640489907</v>
      </c>
      <c r="BS102" s="635">
        <v>38.714495886058387</v>
      </c>
      <c r="BT102" s="635">
        <v>39.136354428429236</v>
      </c>
      <c r="BU102" s="635">
        <v>39.573228752928536</v>
      </c>
      <c r="BV102" s="635">
        <v>40.020614124917763</v>
      </c>
      <c r="BW102" s="634">
        <v>27.252269753734421</v>
      </c>
      <c r="BX102" s="634">
        <v>27.506896545566963</v>
      </c>
      <c r="BY102" s="634">
        <v>27.763902398068751</v>
      </c>
      <c r="BZ102" s="635">
        <v>28.154064244787154</v>
      </c>
      <c r="CA102" s="635">
        <v>28.544226091505553</v>
      </c>
      <c r="CB102" s="635">
        <v>28.934387938223956</v>
      </c>
      <c r="CC102" s="635">
        <v>29.324549784942359</v>
      </c>
      <c r="CD102" s="635">
        <v>29.78589057868966</v>
      </c>
      <c r="CE102" s="635">
        <v>30.247231372436953</v>
      </c>
      <c r="CF102" s="635">
        <v>31.526200491289718</v>
      </c>
      <c r="CG102" s="635">
        <v>33.050004654620246</v>
      </c>
      <c r="CH102" s="635">
        <v>33.71907706205085</v>
      </c>
      <c r="CI102" s="635">
        <v>34.086502244115785</v>
      </c>
      <c r="CJ102" s="635">
        <v>34.467005688034533</v>
      </c>
      <c r="CK102" s="635">
        <v>34.856663915250955</v>
      </c>
      <c r="CL102" s="634">
        <v>0</v>
      </c>
      <c r="CM102" s="634">
        <v>0</v>
      </c>
      <c r="CN102" s="634">
        <v>0</v>
      </c>
      <c r="CO102" s="635">
        <v>0</v>
      </c>
      <c r="CP102" s="635">
        <v>0</v>
      </c>
      <c r="CQ102" s="635">
        <v>0</v>
      </c>
      <c r="CR102" s="635">
        <v>0</v>
      </c>
      <c r="CS102" s="635">
        <v>0</v>
      </c>
      <c r="CT102" s="635">
        <v>0</v>
      </c>
      <c r="CU102" s="635">
        <v>0</v>
      </c>
      <c r="CV102" s="635">
        <v>0</v>
      </c>
      <c r="CW102" s="635">
        <v>0</v>
      </c>
      <c r="CX102" s="635">
        <v>0</v>
      </c>
      <c r="CY102" s="635">
        <v>0</v>
      </c>
      <c r="CZ102" s="635">
        <v>0</v>
      </c>
      <c r="DA102" s="636">
        <v>0</v>
      </c>
      <c r="DB102" s="636">
        <v>0</v>
      </c>
      <c r="DC102" s="636">
        <v>0</v>
      </c>
      <c r="DD102" s="637">
        <v>0</v>
      </c>
      <c r="DE102" s="637">
        <v>0</v>
      </c>
      <c r="DF102" s="637">
        <v>0</v>
      </c>
      <c r="DG102" s="637">
        <v>0</v>
      </c>
      <c r="DH102" s="637">
        <v>0</v>
      </c>
      <c r="DI102" s="637">
        <v>0</v>
      </c>
      <c r="DJ102" s="637">
        <v>0</v>
      </c>
      <c r="DK102" s="637">
        <v>0</v>
      </c>
      <c r="DL102" s="637">
        <v>0</v>
      </c>
      <c r="DM102" s="637">
        <v>0</v>
      </c>
      <c r="DN102" s="637">
        <v>0</v>
      </c>
      <c r="DO102" s="637">
        <v>0</v>
      </c>
      <c r="DP102" s="636">
        <v>0</v>
      </c>
      <c r="DQ102" s="636">
        <v>0</v>
      </c>
      <c r="DR102" s="636">
        <v>0</v>
      </c>
      <c r="DS102" s="637">
        <v>0</v>
      </c>
      <c r="DT102" s="637">
        <v>0</v>
      </c>
      <c r="DU102" s="637">
        <v>0</v>
      </c>
      <c r="DV102" s="637">
        <v>0</v>
      </c>
      <c r="DW102" s="637">
        <v>0</v>
      </c>
      <c r="DX102" s="637">
        <v>0</v>
      </c>
      <c r="DY102" s="637">
        <v>0</v>
      </c>
      <c r="DZ102" s="637">
        <v>0</v>
      </c>
      <c r="EA102" s="637">
        <v>0</v>
      </c>
      <c r="EB102" s="637">
        <v>0</v>
      </c>
      <c r="EC102" s="637">
        <v>0</v>
      </c>
      <c r="ED102" s="637">
        <v>0</v>
      </c>
    </row>
    <row r="103" spans="1:134" ht="15" x14ac:dyDescent="0.25">
      <c r="A103" s="555">
        <v>119</v>
      </c>
      <c r="B103" s="555">
        <v>88</v>
      </c>
      <c r="C103" s="555" t="s">
        <v>1086</v>
      </c>
      <c r="D103" s="812">
        <v>99705</v>
      </c>
      <c r="E103" s="812">
        <v>99705</v>
      </c>
      <c r="F103" s="630" t="s">
        <v>311</v>
      </c>
      <c r="G103" s="45">
        <v>16</v>
      </c>
      <c r="H103" s="45">
        <v>6</v>
      </c>
      <c r="I103" s="45">
        <v>6</v>
      </c>
      <c r="J103" s="45">
        <v>0</v>
      </c>
      <c r="K103" s="45">
        <v>0</v>
      </c>
      <c r="L103" s="45">
        <v>14</v>
      </c>
      <c r="M103" s="45">
        <v>14</v>
      </c>
      <c r="N103" s="45">
        <v>7</v>
      </c>
      <c r="O103" s="45">
        <v>0</v>
      </c>
      <c r="P103" s="45">
        <v>0</v>
      </c>
      <c r="Q103" s="45">
        <v>21</v>
      </c>
      <c r="R103" s="45">
        <v>0</v>
      </c>
      <c r="S103" s="45">
        <v>1348.9285714285713</v>
      </c>
      <c r="T103" s="45">
        <v>1348.9285714285713</v>
      </c>
      <c r="U103" s="45">
        <v>3902.8571428571427</v>
      </c>
      <c r="V103" s="45">
        <v>0</v>
      </c>
      <c r="W103" s="45">
        <v>0</v>
      </c>
      <c r="X103" s="45">
        <v>2200.2380952380954</v>
      </c>
      <c r="Y103" s="45">
        <v>0</v>
      </c>
      <c r="Z103" s="45">
        <v>6</v>
      </c>
      <c r="AA103" s="45">
        <v>0</v>
      </c>
      <c r="AB103" s="508">
        <v>7</v>
      </c>
      <c r="AC103" s="508">
        <v>0</v>
      </c>
      <c r="AD103" s="631">
        <v>13</v>
      </c>
      <c r="AE103" s="632">
        <v>0</v>
      </c>
      <c r="AF103" s="632">
        <v>6</v>
      </c>
      <c r="AG103" s="633">
        <v>6</v>
      </c>
      <c r="AH103" s="632">
        <v>0</v>
      </c>
      <c r="AI103" s="632">
        <v>0</v>
      </c>
      <c r="AJ103" s="632">
        <v>5.5689102013251635</v>
      </c>
      <c r="AK103" s="632">
        <v>5.5689102013251635</v>
      </c>
      <c r="AL103" s="632">
        <v>0</v>
      </c>
      <c r="AM103" s="632">
        <v>0</v>
      </c>
      <c r="AN103" s="632">
        <v>5.5974736954112361</v>
      </c>
      <c r="AO103" s="632">
        <v>5.5974736954112361</v>
      </c>
      <c r="AP103" s="632">
        <v>0</v>
      </c>
      <c r="AQ103" s="632">
        <v>6.5807536713443655</v>
      </c>
      <c r="AR103" s="632">
        <v>0</v>
      </c>
      <c r="AS103" s="632">
        <v>5.1687934717372448</v>
      </c>
      <c r="AT103" s="632">
        <v>5.3651231759672076</v>
      </c>
      <c r="AU103" s="632">
        <v>5.5689102013251635</v>
      </c>
      <c r="AV103" s="632">
        <v>5.7804378041763389</v>
      </c>
      <c r="AW103" s="632">
        <v>6</v>
      </c>
      <c r="AX103" s="632">
        <v>5.2219519618034527</v>
      </c>
      <c r="AY103" s="632">
        <v>5.4064534350067159</v>
      </c>
      <c r="AZ103" s="632">
        <v>5.5974736954112361</v>
      </c>
      <c r="BA103" s="632">
        <v>5.7952430641403998</v>
      </c>
      <c r="BB103" s="632">
        <v>6</v>
      </c>
      <c r="BC103" s="632">
        <v>6.1866169832731917</v>
      </c>
      <c r="BD103" s="632">
        <v>6.3806427909636545</v>
      </c>
      <c r="BE103" s="632">
        <v>6.5807536713443655</v>
      </c>
      <c r="BF103" s="632">
        <v>6.7871404655724161</v>
      </c>
      <c r="BG103" s="632">
        <v>7</v>
      </c>
      <c r="BH103" s="634">
        <v>6.0616426334995595</v>
      </c>
      <c r="BI103" s="634">
        <v>6.1239185693765794</v>
      </c>
      <c r="BJ103" s="634">
        <v>6.1868343140354511</v>
      </c>
      <c r="BK103" s="635">
        <v>6.1868343140354511</v>
      </c>
      <c r="BL103" s="635">
        <v>6.1868343140354511</v>
      </c>
      <c r="BM103" s="635">
        <v>6.1868343140354511</v>
      </c>
      <c r="BN103" s="635">
        <v>6.1868343140354511</v>
      </c>
      <c r="BO103" s="635">
        <v>6.1868343140354511</v>
      </c>
      <c r="BP103" s="635">
        <v>6.1868343140354511</v>
      </c>
      <c r="BQ103" s="635">
        <v>6.1868343140354511</v>
      </c>
      <c r="BR103" s="635">
        <v>6.1868343140354511</v>
      </c>
      <c r="BS103" s="635">
        <v>6.1868343140354511</v>
      </c>
      <c r="BT103" s="635">
        <v>6.1868343140354511</v>
      </c>
      <c r="BU103" s="635">
        <v>6.1868343140354511</v>
      </c>
      <c r="BV103" s="635">
        <v>6.1868343140354511</v>
      </c>
      <c r="BW103" s="634">
        <v>6.0616426334995595</v>
      </c>
      <c r="BX103" s="634">
        <v>6.1239185693765794</v>
      </c>
      <c r="BY103" s="634">
        <v>6.1868343140354511</v>
      </c>
      <c r="BZ103" s="635">
        <v>6.1868343140354511</v>
      </c>
      <c r="CA103" s="635">
        <v>6.1868343140354511</v>
      </c>
      <c r="CB103" s="635">
        <v>6.1868343140354511</v>
      </c>
      <c r="CC103" s="635">
        <v>6.1868343140354511</v>
      </c>
      <c r="CD103" s="635">
        <v>6.1868343140354511</v>
      </c>
      <c r="CE103" s="635">
        <v>6.1868343140354511</v>
      </c>
      <c r="CF103" s="635">
        <v>6.1868343140354511</v>
      </c>
      <c r="CG103" s="635">
        <v>6.1868343140354511</v>
      </c>
      <c r="CH103" s="635">
        <v>6.1868343140354511</v>
      </c>
      <c r="CI103" s="635">
        <v>6.1868343140354511</v>
      </c>
      <c r="CJ103" s="635">
        <v>6.1868343140354511</v>
      </c>
      <c r="CK103" s="635">
        <v>6.1868343140354511</v>
      </c>
      <c r="CL103" s="634">
        <v>7.0719164057494863</v>
      </c>
      <c r="CM103" s="634">
        <v>7.144571664272676</v>
      </c>
      <c r="CN103" s="634">
        <v>7.217973366374693</v>
      </c>
      <c r="CO103" s="635">
        <v>7.217973366374693</v>
      </c>
      <c r="CP103" s="635">
        <v>7.217973366374693</v>
      </c>
      <c r="CQ103" s="635">
        <v>7.217973366374693</v>
      </c>
      <c r="CR103" s="635">
        <v>7.217973366374693</v>
      </c>
      <c r="CS103" s="635">
        <v>7.217973366374693</v>
      </c>
      <c r="CT103" s="635">
        <v>7.217973366374693</v>
      </c>
      <c r="CU103" s="635">
        <v>7.217973366374693</v>
      </c>
      <c r="CV103" s="635">
        <v>7.217973366374693</v>
      </c>
      <c r="CW103" s="635">
        <v>7.217973366374693</v>
      </c>
      <c r="CX103" s="635">
        <v>7.217973366374693</v>
      </c>
      <c r="CY103" s="635">
        <v>7.217973366374693</v>
      </c>
      <c r="CZ103" s="635">
        <v>7.217973366374693</v>
      </c>
      <c r="DA103" s="636">
        <v>0</v>
      </c>
      <c r="DB103" s="636">
        <v>0</v>
      </c>
      <c r="DC103" s="636">
        <v>0</v>
      </c>
      <c r="DD103" s="637">
        <v>0</v>
      </c>
      <c r="DE103" s="637">
        <v>0</v>
      </c>
      <c r="DF103" s="637">
        <v>0</v>
      </c>
      <c r="DG103" s="637">
        <v>0</v>
      </c>
      <c r="DH103" s="637">
        <v>0</v>
      </c>
      <c r="DI103" s="637">
        <v>0</v>
      </c>
      <c r="DJ103" s="637">
        <v>0</v>
      </c>
      <c r="DK103" s="637">
        <v>0</v>
      </c>
      <c r="DL103" s="637">
        <v>0</v>
      </c>
      <c r="DM103" s="637">
        <v>0</v>
      </c>
      <c r="DN103" s="637">
        <v>0</v>
      </c>
      <c r="DO103" s="637">
        <v>0</v>
      </c>
      <c r="DP103" s="636">
        <v>0</v>
      </c>
      <c r="DQ103" s="636">
        <v>0</v>
      </c>
      <c r="DR103" s="636">
        <v>0</v>
      </c>
      <c r="DS103" s="637">
        <v>0</v>
      </c>
      <c r="DT103" s="637">
        <v>0</v>
      </c>
      <c r="DU103" s="637">
        <v>0</v>
      </c>
      <c r="DV103" s="637">
        <v>0</v>
      </c>
      <c r="DW103" s="637">
        <v>0</v>
      </c>
      <c r="DX103" s="637">
        <v>0</v>
      </c>
      <c r="DY103" s="637">
        <v>0</v>
      </c>
      <c r="DZ103" s="637">
        <v>0</v>
      </c>
      <c r="EA103" s="637">
        <v>0</v>
      </c>
      <c r="EB103" s="637">
        <v>0</v>
      </c>
      <c r="EC103" s="637">
        <v>0</v>
      </c>
      <c r="ED103" s="637">
        <v>0</v>
      </c>
    </row>
    <row r="104" spans="1:134" ht="15" x14ac:dyDescent="0.25">
      <c r="A104" s="555">
        <v>120</v>
      </c>
      <c r="B104" s="555">
        <v>88</v>
      </c>
      <c r="C104" s="555" t="s">
        <v>1087</v>
      </c>
      <c r="D104" s="812">
        <v>99705</v>
      </c>
      <c r="E104" s="812">
        <v>99705</v>
      </c>
      <c r="F104" s="630" t="s">
        <v>311</v>
      </c>
      <c r="G104" s="45">
        <v>59</v>
      </c>
      <c r="H104" s="45">
        <v>34</v>
      </c>
      <c r="I104" s="45">
        <v>21</v>
      </c>
      <c r="J104" s="45">
        <v>13</v>
      </c>
      <c r="K104" s="45">
        <v>0</v>
      </c>
      <c r="L104" s="45">
        <v>44</v>
      </c>
      <c r="M104" s="45">
        <v>44</v>
      </c>
      <c r="N104" s="45">
        <v>6</v>
      </c>
      <c r="O104" s="45">
        <v>0</v>
      </c>
      <c r="P104" s="45">
        <v>0</v>
      </c>
      <c r="Q104" s="45">
        <v>50</v>
      </c>
      <c r="R104" s="45">
        <v>0</v>
      </c>
      <c r="S104" s="45">
        <v>2236.7954545454545</v>
      </c>
      <c r="T104" s="45">
        <v>2236.7954545454545</v>
      </c>
      <c r="U104" s="45">
        <v>3832.5</v>
      </c>
      <c r="V104" s="45">
        <v>0</v>
      </c>
      <c r="W104" s="45">
        <v>0</v>
      </c>
      <c r="X104" s="45">
        <v>2428.2800000000002</v>
      </c>
      <c r="Y104" s="45">
        <v>0</v>
      </c>
      <c r="Z104" s="45">
        <v>34</v>
      </c>
      <c r="AA104" s="45">
        <v>0</v>
      </c>
      <c r="AB104" s="508">
        <v>6</v>
      </c>
      <c r="AC104" s="508">
        <v>0</v>
      </c>
      <c r="AD104" s="631">
        <v>40</v>
      </c>
      <c r="AE104" s="632">
        <v>0</v>
      </c>
      <c r="AF104" s="632">
        <v>21</v>
      </c>
      <c r="AG104" s="633">
        <v>21</v>
      </c>
      <c r="AH104" s="632">
        <v>0</v>
      </c>
      <c r="AI104" s="632">
        <v>0</v>
      </c>
      <c r="AJ104" s="632">
        <v>31.557157807509256</v>
      </c>
      <c r="AK104" s="632">
        <v>31.557157807509256</v>
      </c>
      <c r="AL104" s="632">
        <v>0</v>
      </c>
      <c r="AM104" s="632">
        <v>0</v>
      </c>
      <c r="AN104" s="632">
        <v>19.591157933939325</v>
      </c>
      <c r="AO104" s="632">
        <v>19.591157933939325</v>
      </c>
      <c r="AP104" s="632">
        <v>0</v>
      </c>
      <c r="AQ104" s="632">
        <v>5.6406460040094561</v>
      </c>
      <c r="AR104" s="632">
        <v>0</v>
      </c>
      <c r="AS104" s="632">
        <v>29.289829673177721</v>
      </c>
      <c r="AT104" s="632">
        <v>30.402364663814176</v>
      </c>
      <c r="AU104" s="632">
        <v>31.557157807509256</v>
      </c>
      <c r="AV104" s="632">
        <v>32.755814223665922</v>
      </c>
      <c r="AW104" s="632">
        <v>34</v>
      </c>
      <c r="AX104" s="632">
        <v>18.276831866312083</v>
      </c>
      <c r="AY104" s="632">
        <v>18.922587022523505</v>
      </c>
      <c r="AZ104" s="632">
        <v>19.591157933939325</v>
      </c>
      <c r="BA104" s="632">
        <v>20.283350724491399</v>
      </c>
      <c r="BB104" s="632">
        <v>21</v>
      </c>
      <c r="BC104" s="632">
        <v>5.302814557091307</v>
      </c>
      <c r="BD104" s="632">
        <v>5.4691223922545618</v>
      </c>
      <c r="BE104" s="632">
        <v>5.6406460040094561</v>
      </c>
      <c r="BF104" s="632">
        <v>5.8175489704906429</v>
      </c>
      <c r="BG104" s="632">
        <v>6</v>
      </c>
      <c r="BH104" s="634">
        <v>34.349308256497508</v>
      </c>
      <c r="BI104" s="634">
        <v>34.702205226467285</v>
      </c>
      <c r="BJ104" s="634">
        <v>35.058727779534223</v>
      </c>
      <c r="BK104" s="635">
        <v>36.981410478054784</v>
      </c>
      <c r="BL104" s="635">
        <v>38.904093176575337</v>
      </c>
      <c r="BM104" s="635">
        <v>40.82677587509589</v>
      </c>
      <c r="BN104" s="635">
        <v>42.749458573616444</v>
      </c>
      <c r="BO104" s="635">
        <v>45.022904759398607</v>
      </c>
      <c r="BP104" s="635">
        <v>47.296350945180762</v>
      </c>
      <c r="BQ104" s="635">
        <v>53.598996417676439</v>
      </c>
      <c r="BR104" s="635">
        <v>61.108167100077296</v>
      </c>
      <c r="BS104" s="635">
        <v>64.405296106012102</v>
      </c>
      <c r="BT104" s="635">
        <v>66.215934553873652</v>
      </c>
      <c r="BU104" s="635">
        <v>68.091021506899281</v>
      </c>
      <c r="BV104" s="635">
        <v>70.011222413539812</v>
      </c>
      <c r="BW104" s="634">
        <v>21.215749217248458</v>
      </c>
      <c r="BX104" s="634">
        <v>21.433714992818029</v>
      </c>
      <c r="BY104" s="634">
        <v>21.653920099124079</v>
      </c>
      <c r="BZ104" s="635">
        <v>22.841459412916187</v>
      </c>
      <c r="CA104" s="635">
        <v>24.028998726708299</v>
      </c>
      <c r="CB104" s="635">
        <v>25.216538040500403</v>
      </c>
      <c r="CC104" s="635">
        <v>26.404077354292511</v>
      </c>
      <c r="CD104" s="635">
        <v>27.808264704334434</v>
      </c>
      <c r="CE104" s="635">
        <v>29.212452054376353</v>
      </c>
      <c r="CF104" s="635">
        <v>33.105262493270743</v>
      </c>
      <c r="CG104" s="635">
        <v>37.743279679459505</v>
      </c>
      <c r="CH104" s="635">
        <v>39.77974171253689</v>
      </c>
      <c r="CI104" s="635">
        <v>40.898077224451377</v>
      </c>
      <c r="CJ104" s="635">
        <v>42.056219166026032</v>
      </c>
      <c r="CK104" s="635">
        <v>43.242225608362823</v>
      </c>
      <c r="CL104" s="634">
        <v>6.0616426334995595</v>
      </c>
      <c r="CM104" s="634">
        <v>6.1239185693765794</v>
      </c>
      <c r="CN104" s="634">
        <v>6.1868343140354511</v>
      </c>
      <c r="CO104" s="635">
        <v>6.5261312608331963</v>
      </c>
      <c r="CP104" s="635">
        <v>6.8654282076309423</v>
      </c>
      <c r="CQ104" s="635">
        <v>7.2047251544286866</v>
      </c>
      <c r="CR104" s="635">
        <v>7.5440221012264317</v>
      </c>
      <c r="CS104" s="635">
        <v>7.9452184869526947</v>
      </c>
      <c r="CT104" s="635">
        <v>8.3464148726789578</v>
      </c>
      <c r="CU104" s="635">
        <v>9.4586464266487837</v>
      </c>
      <c r="CV104" s="635">
        <v>10.783794194131287</v>
      </c>
      <c r="CW104" s="635">
        <v>11.365640489296254</v>
      </c>
      <c r="CX104" s="635">
        <v>11.685164921271822</v>
      </c>
      <c r="CY104" s="635">
        <v>12.016062618864579</v>
      </c>
      <c r="CZ104" s="635">
        <v>12.354921602389378</v>
      </c>
      <c r="DA104" s="636">
        <v>0</v>
      </c>
      <c r="DB104" s="636">
        <v>0</v>
      </c>
      <c r="DC104" s="636">
        <v>0</v>
      </c>
      <c r="DD104" s="637">
        <v>0</v>
      </c>
      <c r="DE104" s="637">
        <v>0</v>
      </c>
      <c r="DF104" s="637">
        <v>0</v>
      </c>
      <c r="DG104" s="637">
        <v>0</v>
      </c>
      <c r="DH104" s="637">
        <v>0</v>
      </c>
      <c r="DI104" s="637">
        <v>0</v>
      </c>
      <c r="DJ104" s="637">
        <v>0</v>
      </c>
      <c r="DK104" s="637">
        <v>0</v>
      </c>
      <c r="DL104" s="637">
        <v>0</v>
      </c>
      <c r="DM104" s="637">
        <v>0</v>
      </c>
      <c r="DN104" s="637">
        <v>0</v>
      </c>
      <c r="DO104" s="637">
        <v>0</v>
      </c>
      <c r="DP104" s="636">
        <v>0</v>
      </c>
      <c r="DQ104" s="636">
        <v>0</v>
      </c>
      <c r="DR104" s="636">
        <v>0</v>
      </c>
      <c r="DS104" s="637">
        <v>0</v>
      </c>
      <c r="DT104" s="637">
        <v>0</v>
      </c>
      <c r="DU104" s="637">
        <v>0</v>
      </c>
      <c r="DV104" s="637">
        <v>0</v>
      </c>
      <c r="DW104" s="637">
        <v>0</v>
      </c>
      <c r="DX104" s="637">
        <v>0</v>
      </c>
      <c r="DY104" s="637">
        <v>0</v>
      </c>
      <c r="DZ104" s="637">
        <v>0</v>
      </c>
      <c r="EA104" s="637">
        <v>0</v>
      </c>
      <c r="EB104" s="637">
        <v>0</v>
      </c>
      <c r="EC104" s="637">
        <v>0</v>
      </c>
      <c r="ED104" s="637">
        <v>0</v>
      </c>
    </row>
    <row r="105" spans="1:134" ht="15" x14ac:dyDescent="0.25">
      <c r="A105" s="555">
        <v>121</v>
      </c>
      <c r="B105" s="555">
        <v>88</v>
      </c>
      <c r="C105" s="555" t="s">
        <v>1088</v>
      </c>
      <c r="D105" s="812">
        <v>99705</v>
      </c>
      <c r="E105" s="812">
        <v>99705</v>
      </c>
      <c r="F105" s="630" t="s">
        <v>311</v>
      </c>
      <c r="G105" s="45">
        <v>57</v>
      </c>
      <c r="H105" s="45">
        <v>24</v>
      </c>
      <c r="I105" s="45">
        <v>23</v>
      </c>
      <c r="J105" s="45">
        <v>1</v>
      </c>
      <c r="K105" s="45">
        <v>0</v>
      </c>
      <c r="L105" s="45">
        <v>55</v>
      </c>
      <c r="M105" s="45">
        <v>55</v>
      </c>
      <c r="N105" s="45">
        <v>6</v>
      </c>
      <c r="O105" s="45">
        <v>0</v>
      </c>
      <c r="P105" s="45">
        <v>0</v>
      </c>
      <c r="Q105" s="45">
        <v>61</v>
      </c>
      <c r="R105" s="45">
        <v>0</v>
      </c>
      <c r="S105" s="45">
        <v>1767.5454545454545</v>
      </c>
      <c r="T105" s="45">
        <v>1767.5454545454545</v>
      </c>
      <c r="U105" s="45">
        <v>5690.5</v>
      </c>
      <c r="V105" s="45">
        <v>0</v>
      </c>
      <c r="W105" s="45">
        <v>0</v>
      </c>
      <c r="X105" s="45">
        <v>2153.4098360655739</v>
      </c>
      <c r="Y105" s="45">
        <v>0</v>
      </c>
      <c r="Z105" s="45">
        <v>24</v>
      </c>
      <c r="AA105" s="45">
        <v>0</v>
      </c>
      <c r="AB105" s="508">
        <v>6</v>
      </c>
      <c r="AC105" s="508">
        <v>0</v>
      </c>
      <c r="AD105" s="631">
        <v>30</v>
      </c>
      <c r="AE105" s="632">
        <v>0</v>
      </c>
      <c r="AF105" s="632">
        <v>23</v>
      </c>
      <c r="AG105" s="633">
        <v>23</v>
      </c>
      <c r="AH105" s="632">
        <v>0</v>
      </c>
      <c r="AI105" s="632">
        <v>0</v>
      </c>
      <c r="AJ105" s="632">
        <v>22.275640805300654</v>
      </c>
      <c r="AK105" s="632">
        <v>22.275640805300654</v>
      </c>
      <c r="AL105" s="632">
        <v>0</v>
      </c>
      <c r="AM105" s="632">
        <v>0</v>
      </c>
      <c r="AN105" s="632">
        <v>21.456982499076403</v>
      </c>
      <c r="AO105" s="632">
        <v>21.456982499076403</v>
      </c>
      <c r="AP105" s="632">
        <v>0</v>
      </c>
      <c r="AQ105" s="632">
        <v>5.6406460040094561</v>
      </c>
      <c r="AR105" s="632">
        <v>0</v>
      </c>
      <c r="AS105" s="632">
        <v>20.675173886948979</v>
      </c>
      <c r="AT105" s="632">
        <v>21.46049270386883</v>
      </c>
      <c r="AU105" s="632">
        <v>22.275640805300654</v>
      </c>
      <c r="AV105" s="632">
        <v>23.121751216705356</v>
      </c>
      <c r="AW105" s="632">
        <v>24</v>
      </c>
      <c r="AX105" s="632">
        <v>20.017482520246567</v>
      </c>
      <c r="AY105" s="632">
        <v>20.724738167525746</v>
      </c>
      <c r="AZ105" s="632">
        <v>21.456982499076403</v>
      </c>
      <c r="BA105" s="632">
        <v>22.2150984125382</v>
      </c>
      <c r="BB105" s="632">
        <v>23</v>
      </c>
      <c r="BC105" s="632">
        <v>5.302814557091307</v>
      </c>
      <c r="BD105" s="632">
        <v>5.4691223922545618</v>
      </c>
      <c r="BE105" s="632">
        <v>5.6406460040094561</v>
      </c>
      <c r="BF105" s="632">
        <v>5.8175489704906429</v>
      </c>
      <c r="BG105" s="632">
        <v>6</v>
      </c>
      <c r="BH105" s="634">
        <v>24.676508898528645</v>
      </c>
      <c r="BI105" s="634">
        <v>25.372087142465141</v>
      </c>
      <c r="BJ105" s="634">
        <v>26.087272256053552</v>
      </c>
      <c r="BK105" s="635">
        <v>41.299126840288956</v>
      </c>
      <c r="BL105" s="635">
        <v>56.51098142452436</v>
      </c>
      <c r="BM105" s="635">
        <v>71.722836008759771</v>
      </c>
      <c r="BN105" s="635">
        <v>86.934690592995167</v>
      </c>
      <c r="BO105" s="635">
        <v>104.92171092131748</v>
      </c>
      <c r="BP105" s="635">
        <v>122.90873124963979</v>
      </c>
      <c r="BQ105" s="635">
        <v>172.77391519151769</v>
      </c>
      <c r="BR105" s="635">
        <v>232.18486872887516</v>
      </c>
      <c r="BS105" s="635">
        <v>258.27104874304894</v>
      </c>
      <c r="BT105" s="635">
        <v>272.59643316279193</v>
      </c>
      <c r="BU105" s="635">
        <v>287.43172038109941</v>
      </c>
      <c r="BV105" s="635">
        <v>302.62393955840224</v>
      </c>
      <c r="BW105" s="634">
        <v>23.648321027756619</v>
      </c>
      <c r="BX105" s="634">
        <v>24.314916844862427</v>
      </c>
      <c r="BY105" s="634">
        <v>25.000302578717985</v>
      </c>
      <c r="BZ105" s="635">
        <v>39.578329888610241</v>
      </c>
      <c r="CA105" s="635">
        <v>54.156357198502505</v>
      </c>
      <c r="CB105" s="635">
        <v>68.734384508394768</v>
      </c>
      <c r="CC105" s="635">
        <v>83.312411818287032</v>
      </c>
      <c r="CD105" s="635">
        <v>100.54997296626259</v>
      </c>
      <c r="CE105" s="635">
        <v>117.78753411423813</v>
      </c>
      <c r="CF105" s="635">
        <v>165.57500205853779</v>
      </c>
      <c r="CG105" s="635">
        <v>222.51049919850533</v>
      </c>
      <c r="CH105" s="635">
        <v>247.50975504542185</v>
      </c>
      <c r="CI105" s="635">
        <v>261.23824844767557</v>
      </c>
      <c r="CJ105" s="635">
        <v>275.45539869855361</v>
      </c>
      <c r="CK105" s="635">
        <v>290.01460874346878</v>
      </c>
      <c r="CL105" s="634">
        <v>6.1691272246321613</v>
      </c>
      <c r="CM105" s="634">
        <v>6.3430217856162852</v>
      </c>
      <c r="CN105" s="634">
        <v>6.521818064013388</v>
      </c>
      <c r="CO105" s="635">
        <v>10.324781710072239</v>
      </c>
      <c r="CP105" s="635">
        <v>14.12774535613109</v>
      </c>
      <c r="CQ105" s="635">
        <v>17.930709002189943</v>
      </c>
      <c r="CR105" s="635">
        <v>21.733672648248792</v>
      </c>
      <c r="CS105" s="635">
        <v>26.230427730329371</v>
      </c>
      <c r="CT105" s="635">
        <v>30.727182812409946</v>
      </c>
      <c r="CU105" s="635">
        <v>43.193478797879422</v>
      </c>
      <c r="CV105" s="635">
        <v>58.04621718221879</v>
      </c>
      <c r="CW105" s="635">
        <v>64.567762185762234</v>
      </c>
      <c r="CX105" s="635">
        <v>68.149108290697981</v>
      </c>
      <c r="CY105" s="635">
        <v>71.857930095274853</v>
      </c>
      <c r="CZ105" s="635">
        <v>75.65598488960056</v>
      </c>
      <c r="DA105" s="636">
        <v>0</v>
      </c>
      <c r="DB105" s="636">
        <v>0</v>
      </c>
      <c r="DC105" s="636">
        <v>0</v>
      </c>
      <c r="DD105" s="637">
        <v>0</v>
      </c>
      <c r="DE105" s="637">
        <v>0</v>
      </c>
      <c r="DF105" s="637">
        <v>0</v>
      </c>
      <c r="DG105" s="637">
        <v>0</v>
      </c>
      <c r="DH105" s="637">
        <v>0</v>
      </c>
      <c r="DI105" s="637">
        <v>0</v>
      </c>
      <c r="DJ105" s="637">
        <v>0</v>
      </c>
      <c r="DK105" s="637">
        <v>0</v>
      </c>
      <c r="DL105" s="637">
        <v>0</v>
      </c>
      <c r="DM105" s="637">
        <v>0</v>
      </c>
      <c r="DN105" s="637">
        <v>0</v>
      </c>
      <c r="DO105" s="637">
        <v>0</v>
      </c>
      <c r="DP105" s="636">
        <v>0</v>
      </c>
      <c r="DQ105" s="636">
        <v>0</v>
      </c>
      <c r="DR105" s="636">
        <v>0</v>
      </c>
      <c r="DS105" s="637">
        <v>0</v>
      </c>
      <c r="DT105" s="637">
        <v>0</v>
      </c>
      <c r="DU105" s="637">
        <v>0</v>
      </c>
      <c r="DV105" s="637">
        <v>0</v>
      </c>
      <c r="DW105" s="637">
        <v>0</v>
      </c>
      <c r="DX105" s="637">
        <v>0</v>
      </c>
      <c r="DY105" s="637">
        <v>0</v>
      </c>
      <c r="DZ105" s="637">
        <v>0</v>
      </c>
      <c r="EA105" s="637">
        <v>0</v>
      </c>
      <c r="EB105" s="637">
        <v>0</v>
      </c>
      <c r="EC105" s="637">
        <v>0</v>
      </c>
      <c r="ED105" s="637">
        <v>0</v>
      </c>
    </row>
    <row r="106" spans="1:134" ht="15" x14ac:dyDescent="0.25">
      <c r="A106" s="555">
        <v>122</v>
      </c>
      <c r="B106" s="555">
        <v>88</v>
      </c>
      <c r="C106" s="555" t="s">
        <v>1089</v>
      </c>
      <c r="D106" s="812">
        <v>99705</v>
      </c>
      <c r="E106" s="812">
        <v>99705</v>
      </c>
      <c r="F106" s="630" t="s">
        <v>311</v>
      </c>
      <c r="G106" s="45">
        <v>304</v>
      </c>
      <c r="H106" s="45">
        <v>136</v>
      </c>
      <c r="I106" s="45">
        <v>114</v>
      </c>
      <c r="J106" s="45">
        <v>22</v>
      </c>
      <c r="K106" s="45">
        <v>7</v>
      </c>
      <c r="L106" s="45">
        <v>41</v>
      </c>
      <c r="M106" s="45">
        <v>48</v>
      </c>
      <c r="N106" s="45">
        <v>11</v>
      </c>
      <c r="O106" s="45">
        <v>0</v>
      </c>
      <c r="P106" s="45">
        <v>0</v>
      </c>
      <c r="Q106" s="45">
        <v>59</v>
      </c>
      <c r="R106" s="45">
        <v>6557.5714285714284</v>
      </c>
      <c r="S106" s="45">
        <v>1965.7073170731708</v>
      </c>
      <c r="T106" s="45">
        <v>2635.3541666666665</v>
      </c>
      <c r="U106" s="45">
        <v>7188.545454545455</v>
      </c>
      <c r="V106" s="45">
        <v>0</v>
      </c>
      <c r="W106" s="45">
        <v>0</v>
      </c>
      <c r="X106" s="45">
        <v>3484.2542372881358</v>
      </c>
      <c r="Y106" s="45">
        <v>19.833333333333332</v>
      </c>
      <c r="Z106" s="45">
        <v>116.16666666666667</v>
      </c>
      <c r="AA106" s="45">
        <v>0</v>
      </c>
      <c r="AB106" s="508">
        <v>11</v>
      </c>
      <c r="AC106" s="508">
        <v>0</v>
      </c>
      <c r="AD106" s="631">
        <v>147</v>
      </c>
      <c r="AE106" s="632">
        <v>16.625</v>
      </c>
      <c r="AF106" s="632">
        <v>97.375</v>
      </c>
      <c r="AG106" s="633">
        <v>114</v>
      </c>
      <c r="AH106" s="632">
        <v>0</v>
      </c>
      <c r="AI106" s="632">
        <v>18.408342054380398</v>
      </c>
      <c r="AJ106" s="632">
        <v>107.82028917565664</v>
      </c>
      <c r="AK106" s="632">
        <v>126.22863123003704</v>
      </c>
      <c r="AL106" s="632">
        <v>0</v>
      </c>
      <c r="AM106" s="632">
        <v>15.509666697701965</v>
      </c>
      <c r="AN106" s="632">
        <v>90.84233351511152</v>
      </c>
      <c r="AO106" s="632">
        <v>106.35200021281348</v>
      </c>
      <c r="AP106" s="632">
        <v>0</v>
      </c>
      <c r="AQ106" s="632">
        <v>10.341184340684002</v>
      </c>
      <c r="AR106" s="632">
        <v>0</v>
      </c>
      <c r="AS106" s="632">
        <v>117.15931869271088</v>
      </c>
      <c r="AT106" s="632">
        <v>121.6094586552567</v>
      </c>
      <c r="AU106" s="632">
        <v>126.22863123003702</v>
      </c>
      <c r="AV106" s="632">
        <v>131.02325689466369</v>
      </c>
      <c r="AW106" s="632">
        <v>136</v>
      </c>
      <c r="AX106" s="632">
        <v>99.217087274265594</v>
      </c>
      <c r="AY106" s="632">
        <v>102.7226152651276</v>
      </c>
      <c r="AZ106" s="632">
        <v>106.35200021281348</v>
      </c>
      <c r="BA106" s="632">
        <v>110.10961821866761</v>
      </c>
      <c r="BB106" s="632">
        <v>114</v>
      </c>
      <c r="BC106" s="632">
        <v>9.7218266880007302</v>
      </c>
      <c r="BD106" s="632">
        <v>10.02672438580003</v>
      </c>
      <c r="BE106" s="632">
        <v>10.341184340684002</v>
      </c>
      <c r="BF106" s="632">
        <v>10.665506445899512</v>
      </c>
      <c r="BG106" s="632">
        <v>11</v>
      </c>
      <c r="BH106" s="634">
        <v>139.83355042499565</v>
      </c>
      <c r="BI106" s="634">
        <v>143.77516047396912</v>
      </c>
      <c r="BJ106" s="634">
        <v>147.82787611763678</v>
      </c>
      <c r="BK106" s="635">
        <v>150.39787936150515</v>
      </c>
      <c r="BL106" s="635">
        <v>152.96788260537352</v>
      </c>
      <c r="BM106" s="635">
        <v>155.53788584924192</v>
      </c>
      <c r="BN106" s="635">
        <v>158.10788909311029</v>
      </c>
      <c r="BO106" s="635">
        <v>161.14674936720343</v>
      </c>
      <c r="BP106" s="635">
        <v>164.18560964129657</v>
      </c>
      <c r="BQ106" s="635">
        <v>172.61020269647403</v>
      </c>
      <c r="BR106" s="635">
        <v>182.64752868239006</v>
      </c>
      <c r="BS106" s="635">
        <v>187.05472090772457</v>
      </c>
      <c r="BT106" s="635">
        <v>189.47495732429894</v>
      </c>
      <c r="BU106" s="635">
        <v>191.98134049169272</v>
      </c>
      <c r="BV106" s="635">
        <v>194.54802638466003</v>
      </c>
      <c r="BW106" s="634">
        <v>117.21341726801107</v>
      </c>
      <c r="BX106" s="634">
        <v>120.51741392670942</v>
      </c>
      <c r="BY106" s="634">
        <v>123.91454321625436</v>
      </c>
      <c r="BZ106" s="635">
        <v>126.06881064126168</v>
      </c>
      <c r="CA106" s="635">
        <v>128.22307806626898</v>
      </c>
      <c r="CB106" s="635">
        <v>130.37734549127632</v>
      </c>
      <c r="CC106" s="635">
        <v>132.53161291628362</v>
      </c>
      <c r="CD106" s="635">
        <v>135.07889285192053</v>
      </c>
      <c r="CE106" s="635">
        <v>137.62617278755741</v>
      </c>
      <c r="CF106" s="635">
        <v>144.6879640249856</v>
      </c>
      <c r="CG106" s="635">
        <v>153.10160492494461</v>
      </c>
      <c r="CH106" s="635">
        <v>156.7958689961809</v>
      </c>
      <c r="CI106" s="635">
        <v>158.82459658066236</v>
      </c>
      <c r="CJ106" s="635">
        <v>160.92553541215418</v>
      </c>
      <c r="CK106" s="635">
        <v>163.07702211655328</v>
      </c>
      <c r="CL106" s="634">
        <v>11.310066578492297</v>
      </c>
      <c r="CM106" s="634">
        <v>11.628873273629857</v>
      </c>
      <c r="CN106" s="634">
        <v>11.956666450691211</v>
      </c>
      <c r="CO106" s="635">
        <v>12.164534360121742</v>
      </c>
      <c r="CP106" s="635">
        <v>12.372402269552271</v>
      </c>
      <c r="CQ106" s="635">
        <v>12.580270178982802</v>
      </c>
      <c r="CR106" s="635">
        <v>12.788138088413334</v>
      </c>
      <c r="CS106" s="635">
        <v>13.033928257641456</v>
      </c>
      <c r="CT106" s="635">
        <v>13.279718426869575</v>
      </c>
      <c r="CU106" s="635">
        <v>13.961119335744225</v>
      </c>
      <c r="CV106" s="635">
        <v>14.772961878722727</v>
      </c>
      <c r="CW106" s="635">
        <v>15.129425955771842</v>
      </c>
      <c r="CX106" s="635">
        <v>15.325180371818298</v>
      </c>
      <c r="CY106" s="635">
        <v>15.527902539769265</v>
      </c>
      <c r="CZ106" s="635">
        <v>15.735502134053387</v>
      </c>
      <c r="DA106" s="636">
        <v>0</v>
      </c>
      <c r="DB106" s="636">
        <v>0</v>
      </c>
      <c r="DC106" s="636">
        <v>0</v>
      </c>
      <c r="DD106" s="637">
        <v>0</v>
      </c>
      <c r="DE106" s="637">
        <v>0</v>
      </c>
      <c r="DF106" s="637">
        <v>0</v>
      </c>
      <c r="DG106" s="637">
        <v>0</v>
      </c>
      <c r="DH106" s="637">
        <v>0</v>
      </c>
      <c r="DI106" s="637">
        <v>0</v>
      </c>
      <c r="DJ106" s="637">
        <v>0</v>
      </c>
      <c r="DK106" s="637">
        <v>0</v>
      </c>
      <c r="DL106" s="637">
        <v>0</v>
      </c>
      <c r="DM106" s="637">
        <v>0</v>
      </c>
      <c r="DN106" s="637">
        <v>0</v>
      </c>
      <c r="DO106" s="637">
        <v>0</v>
      </c>
      <c r="DP106" s="636">
        <v>0</v>
      </c>
      <c r="DQ106" s="636">
        <v>0</v>
      </c>
      <c r="DR106" s="636">
        <v>0</v>
      </c>
      <c r="DS106" s="637">
        <v>0</v>
      </c>
      <c r="DT106" s="637">
        <v>0</v>
      </c>
      <c r="DU106" s="637">
        <v>0</v>
      </c>
      <c r="DV106" s="637">
        <v>0</v>
      </c>
      <c r="DW106" s="637">
        <v>0</v>
      </c>
      <c r="DX106" s="637">
        <v>0</v>
      </c>
      <c r="DY106" s="637">
        <v>0</v>
      </c>
      <c r="DZ106" s="637">
        <v>0</v>
      </c>
      <c r="EA106" s="637">
        <v>0</v>
      </c>
      <c r="EB106" s="637">
        <v>0</v>
      </c>
      <c r="EC106" s="637">
        <v>0</v>
      </c>
      <c r="ED106" s="637">
        <v>0</v>
      </c>
    </row>
    <row r="107" spans="1:134" ht="15" x14ac:dyDescent="0.25">
      <c r="A107" s="555">
        <v>123</v>
      </c>
      <c r="B107" s="555">
        <v>88</v>
      </c>
      <c r="C107" s="555" t="s">
        <v>1090</v>
      </c>
      <c r="D107" s="812">
        <v>99705</v>
      </c>
      <c r="E107" s="812">
        <v>99705</v>
      </c>
      <c r="F107" s="630" t="s">
        <v>311</v>
      </c>
      <c r="G107" s="45">
        <v>601</v>
      </c>
      <c r="H107" s="45">
        <v>205</v>
      </c>
      <c r="I107" s="45">
        <v>190</v>
      </c>
      <c r="J107" s="45">
        <v>15</v>
      </c>
      <c r="K107" s="45">
        <v>1</v>
      </c>
      <c r="L107" s="45">
        <v>167</v>
      </c>
      <c r="M107" s="45">
        <v>168</v>
      </c>
      <c r="N107" s="45">
        <v>1</v>
      </c>
      <c r="O107" s="45">
        <v>0</v>
      </c>
      <c r="P107" s="45">
        <v>0</v>
      </c>
      <c r="Q107" s="45">
        <v>169</v>
      </c>
      <c r="R107" s="45">
        <v>18192</v>
      </c>
      <c r="S107" s="45">
        <v>2794.1197604790418</v>
      </c>
      <c r="T107" s="45">
        <v>2885.7738095238096</v>
      </c>
      <c r="U107" s="45">
        <v>4980</v>
      </c>
      <c r="V107" s="45">
        <v>0</v>
      </c>
      <c r="W107" s="45">
        <v>0</v>
      </c>
      <c r="X107" s="45">
        <v>2898.165680473373</v>
      </c>
      <c r="Y107" s="45">
        <v>1.2202380952380953</v>
      </c>
      <c r="Z107" s="45">
        <v>203.7797619047619</v>
      </c>
      <c r="AA107" s="45">
        <v>0</v>
      </c>
      <c r="AB107" s="508">
        <v>1</v>
      </c>
      <c r="AC107" s="508">
        <v>0</v>
      </c>
      <c r="AD107" s="631">
        <v>206</v>
      </c>
      <c r="AE107" s="632">
        <v>1.1309523809523809</v>
      </c>
      <c r="AF107" s="632">
        <v>188.86904761904762</v>
      </c>
      <c r="AG107" s="633">
        <v>190</v>
      </c>
      <c r="AH107" s="632">
        <v>0</v>
      </c>
      <c r="AI107" s="632">
        <v>1.1325660627695024</v>
      </c>
      <c r="AJ107" s="632">
        <v>189.13853248250689</v>
      </c>
      <c r="AK107" s="632">
        <v>190.2710985452764</v>
      </c>
      <c r="AL107" s="632">
        <v>0</v>
      </c>
      <c r="AM107" s="632">
        <v>1.0550793671906098</v>
      </c>
      <c r="AN107" s="632">
        <v>176.19825432083186</v>
      </c>
      <c r="AO107" s="632">
        <v>177.25333368802248</v>
      </c>
      <c r="AP107" s="632">
        <v>0</v>
      </c>
      <c r="AQ107" s="632">
        <v>0.94010766733490925</v>
      </c>
      <c r="AR107" s="632">
        <v>0</v>
      </c>
      <c r="AS107" s="632">
        <v>176.60044361768919</v>
      </c>
      <c r="AT107" s="632">
        <v>183.30837517887957</v>
      </c>
      <c r="AU107" s="632">
        <v>190.2710985452764</v>
      </c>
      <c r="AV107" s="632">
        <v>197.49829164269158</v>
      </c>
      <c r="AW107" s="632">
        <v>205</v>
      </c>
      <c r="AX107" s="632">
        <v>165.36181212377599</v>
      </c>
      <c r="AY107" s="632">
        <v>171.20435877521268</v>
      </c>
      <c r="AZ107" s="632">
        <v>177.25333368802245</v>
      </c>
      <c r="BA107" s="632">
        <v>183.51603036444601</v>
      </c>
      <c r="BB107" s="632">
        <v>190</v>
      </c>
      <c r="BC107" s="632">
        <v>0.88380242618188454</v>
      </c>
      <c r="BD107" s="632">
        <v>0.91152039870909352</v>
      </c>
      <c r="BE107" s="632">
        <v>0.94010766733490925</v>
      </c>
      <c r="BF107" s="632">
        <v>0.96959149508177378</v>
      </c>
      <c r="BG107" s="632">
        <v>1</v>
      </c>
      <c r="BH107" s="634">
        <v>209.54797612861344</v>
      </c>
      <c r="BI107" s="634">
        <v>214.19685024194121</v>
      </c>
      <c r="BJ107" s="634">
        <v>218.94886078693898</v>
      </c>
      <c r="BK107" s="635">
        <v>222.26575964388422</v>
      </c>
      <c r="BL107" s="635">
        <v>225.58265850082947</v>
      </c>
      <c r="BM107" s="635">
        <v>228.89955735777477</v>
      </c>
      <c r="BN107" s="635">
        <v>232.21645621472001</v>
      </c>
      <c r="BO107" s="635">
        <v>236.13847156376841</v>
      </c>
      <c r="BP107" s="635">
        <v>240.0604869128168</v>
      </c>
      <c r="BQ107" s="635">
        <v>250.9334393659376</v>
      </c>
      <c r="BR107" s="635">
        <v>263.88781799129657</v>
      </c>
      <c r="BS107" s="635">
        <v>269.57583059961792</v>
      </c>
      <c r="BT107" s="635">
        <v>272.69943731989179</v>
      </c>
      <c r="BU107" s="635">
        <v>275.9342268022902</v>
      </c>
      <c r="BV107" s="635">
        <v>279.2468442181758</v>
      </c>
      <c r="BW107" s="634">
        <v>194.21519738749538</v>
      </c>
      <c r="BX107" s="634">
        <v>198.52390998033576</v>
      </c>
      <c r="BY107" s="634">
        <v>202.92821243667515</v>
      </c>
      <c r="BZ107" s="635">
        <v>206.00241137725854</v>
      </c>
      <c r="CA107" s="635">
        <v>209.07661031784195</v>
      </c>
      <c r="CB107" s="635">
        <v>212.1508092584254</v>
      </c>
      <c r="CC107" s="635">
        <v>215.22500819900878</v>
      </c>
      <c r="CD107" s="635">
        <v>218.86004681519998</v>
      </c>
      <c r="CE107" s="635">
        <v>222.49508543139117</v>
      </c>
      <c r="CF107" s="635">
        <v>232.57245599769826</v>
      </c>
      <c r="CG107" s="635">
        <v>244.57895326022611</v>
      </c>
      <c r="CH107" s="635">
        <v>249.85076982403609</v>
      </c>
      <c r="CI107" s="635">
        <v>252.74581995502169</v>
      </c>
      <c r="CJ107" s="635">
        <v>255.74391752407385</v>
      </c>
      <c r="CK107" s="635">
        <v>258.81414829977274</v>
      </c>
      <c r="CL107" s="634">
        <v>1.0221852494078705</v>
      </c>
      <c r="CM107" s="634">
        <v>1.0448626841070303</v>
      </c>
      <c r="CN107" s="634">
        <v>1.0680432233509218</v>
      </c>
      <c r="CO107" s="635">
        <v>1.084223217775045</v>
      </c>
      <c r="CP107" s="635">
        <v>1.100403212199168</v>
      </c>
      <c r="CQ107" s="635">
        <v>1.1165832066232915</v>
      </c>
      <c r="CR107" s="635">
        <v>1.1327632010474147</v>
      </c>
      <c r="CS107" s="635">
        <v>1.1518949832378946</v>
      </c>
      <c r="CT107" s="635">
        <v>1.1710267654283746</v>
      </c>
      <c r="CU107" s="635">
        <v>1.2240655578826225</v>
      </c>
      <c r="CV107" s="635">
        <v>1.2872576487380321</v>
      </c>
      <c r="CW107" s="635">
        <v>1.3150040517054531</v>
      </c>
      <c r="CX107" s="635">
        <v>1.3302411576580089</v>
      </c>
      <c r="CY107" s="635">
        <v>1.346020618547757</v>
      </c>
      <c r="CZ107" s="635">
        <v>1.3621797278935406</v>
      </c>
      <c r="DA107" s="636">
        <v>0</v>
      </c>
      <c r="DB107" s="636">
        <v>0</v>
      </c>
      <c r="DC107" s="636">
        <v>0</v>
      </c>
      <c r="DD107" s="637">
        <v>0</v>
      </c>
      <c r="DE107" s="637">
        <v>0</v>
      </c>
      <c r="DF107" s="637">
        <v>0</v>
      </c>
      <c r="DG107" s="637">
        <v>0</v>
      </c>
      <c r="DH107" s="637">
        <v>0</v>
      </c>
      <c r="DI107" s="637">
        <v>0</v>
      </c>
      <c r="DJ107" s="637">
        <v>0</v>
      </c>
      <c r="DK107" s="637">
        <v>0</v>
      </c>
      <c r="DL107" s="637">
        <v>0</v>
      </c>
      <c r="DM107" s="637">
        <v>0</v>
      </c>
      <c r="DN107" s="637">
        <v>0</v>
      </c>
      <c r="DO107" s="637">
        <v>0</v>
      </c>
      <c r="DP107" s="636">
        <v>0</v>
      </c>
      <c r="DQ107" s="636">
        <v>0</v>
      </c>
      <c r="DR107" s="636">
        <v>0</v>
      </c>
      <c r="DS107" s="637">
        <v>0</v>
      </c>
      <c r="DT107" s="637">
        <v>0</v>
      </c>
      <c r="DU107" s="637">
        <v>0</v>
      </c>
      <c r="DV107" s="637">
        <v>0</v>
      </c>
      <c r="DW107" s="637">
        <v>0</v>
      </c>
      <c r="DX107" s="637">
        <v>0</v>
      </c>
      <c r="DY107" s="637">
        <v>0</v>
      </c>
      <c r="DZ107" s="637">
        <v>0</v>
      </c>
      <c r="EA107" s="637">
        <v>0</v>
      </c>
      <c r="EB107" s="637">
        <v>0</v>
      </c>
      <c r="EC107" s="637">
        <v>0</v>
      </c>
      <c r="ED107" s="637">
        <v>0</v>
      </c>
    </row>
    <row r="108" spans="1:134" ht="15" x14ac:dyDescent="0.25">
      <c r="A108" s="555">
        <v>124</v>
      </c>
      <c r="B108" s="555">
        <v>88</v>
      </c>
      <c r="C108" s="555" t="s">
        <v>1091</v>
      </c>
      <c r="D108" s="812">
        <v>99705</v>
      </c>
      <c r="E108" s="812">
        <v>99705</v>
      </c>
      <c r="F108" s="630" t="s">
        <v>311</v>
      </c>
      <c r="G108" s="45">
        <v>580</v>
      </c>
      <c r="H108" s="45">
        <v>222</v>
      </c>
      <c r="I108" s="45">
        <v>200</v>
      </c>
      <c r="J108" s="45">
        <v>22</v>
      </c>
      <c r="K108" s="45">
        <v>3</v>
      </c>
      <c r="L108" s="45">
        <v>163</v>
      </c>
      <c r="M108" s="45">
        <v>166</v>
      </c>
      <c r="N108" s="45">
        <v>2</v>
      </c>
      <c r="O108" s="45">
        <v>0</v>
      </c>
      <c r="P108" s="45">
        <v>0</v>
      </c>
      <c r="Q108" s="45">
        <v>168</v>
      </c>
      <c r="R108" s="45">
        <v>4097.333333333333</v>
      </c>
      <c r="S108" s="45">
        <v>1908.0368098159508</v>
      </c>
      <c r="T108" s="45">
        <v>1947.6024096385543</v>
      </c>
      <c r="U108" s="45">
        <v>3980</v>
      </c>
      <c r="V108" s="45">
        <v>0</v>
      </c>
      <c r="W108" s="45">
        <v>0</v>
      </c>
      <c r="X108" s="45">
        <v>1971.797619047619</v>
      </c>
      <c r="Y108" s="45">
        <v>4.0120481927710845</v>
      </c>
      <c r="Z108" s="45">
        <v>217.98795180722891</v>
      </c>
      <c r="AA108" s="45">
        <v>0</v>
      </c>
      <c r="AB108" s="508">
        <v>2</v>
      </c>
      <c r="AC108" s="508">
        <v>0</v>
      </c>
      <c r="AD108" s="631">
        <v>224</v>
      </c>
      <c r="AE108" s="632">
        <v>3.6144578313253017</v>
      </c>
      <c r="AF108" s="632">
        <v>196.38554216867468</v>
      </c>
      <c r="AG108" s="633">
        <v>199.99999999999997</v>
      </c>
      <c r="AH108" s="632">
        <v>0</v>
      </c>
      <c r="AI108" s="632">
        <v>3.723789351488513</v>
      </c>
      <c r="AJ108" s="632">
        <v>202.3258880975425</v>
      </c>
      <c r="AK108" s="632">
        <v>206.04967744903101</v>
      </c>
      <c r="AL108" s="632">
        <v>0</v>
      </c>
      <c r="AM108" s="632">
        <v>3.3719721056694194</v>
      </c>
      <c r="AN108" s="632">
        <v>183.21048440803841</v>
      </c>
      <c r="AO108" s="632">
        <v>186.58245651370783</v>
      </c>
      <c r="AP108" s="632">
        <v>0</v>
      </c>
      <c r="AQ108" s="632">
        <v>1.8802153346698185</v>
      </c>
      <c r="AR108" s="632">
        <v>0</v>
      </c>
      <c r="AS108" s="632">
        <v>191.24535845427806</v>
      </c>
      <c r="AT108" s="632">
        <v>198.50955751078666</v>
      </c>
      <c r="AU108" s="632">
        <v>206.04967744903104</v>
      </c>
      <c r="AV108" s="632">
        <v>213.87619875452455</v>
      </c>
      <c r="AW108" s="632">
        <v>222</v>
      </c>
      <c r="AX108" s="632">
        <v>174.06506539344838</v>
      </c>
      <c r="AY108" s="632">
        <v>180.21511450022385</v>
      </c>
      <c r="AZ108" s="632">
        <v>186.58245651370783</v>
      </c>
      <c r="BA108" s="632">
        <v>193.17476880467999</v>
      </c>
      <c r="BB108" s="632">
        <v>199.99999999999997</v>
      </c>
      <c r="BC108" s="632">
        <v>1.7676048523637691</v>
      </c>
      <c r="BD108" s="632">
        <v>1.823040797418187</v>
      </c>
      <c r="BE108" s="632">
        <v>1.8802153346698185</v>
      </c>
      <c r="BF108" s="632">
        <v>1.9391829901635476</v>
      </c>
      <c r="BG108" s="632">
        <v>2</v>
      </c>
      <c r="BH108" s="634">
        <v>226.92512536854724</v>
      </c>
      <c r="BI108" s="634">
        <v>231.95951587176074</v>
      </c>
      <c r="BJ108" s="634">
        <v>237.10559558390466</v>
      </c>
      <c r="BK108" s="635">
        <v>238.14829832377831</v>
      </c>
      <c r="BL108" s="635">
        <v>239.19100106365195</v>
      </c>
      <c r="BM108" s="635">
        <v>240.23370380352566</v>
      </c>
      <c r="BN108" s="635">
        <v>241.2764065433993</v>
      </c>
      <c r="BO108" s="635">
        <v>242.50933414434687</v>
      </c>
      <c r="BP108" s="635">
        <v>243.7422617452944</v>
      </c>
      <c r="BQ108" s="635">
        <v>247.16029099561234</v>
      </c>
      <c r="BR108" s="635">
        <v>251.23263889302839</v>
      </c>
      <c r="BS108" s="635">
        <v>253.02072667831428</v>
      </c>
      <c r="BT108" s="635">
        <v>254.00266596135805</v>
      </c>
      <c r="BU108" s="635">
        <v>255.01955673846106</v>
      </c>
      <c r="BV108" s="635">
        <v>256.0609135614057</v>
      </c>
      <c r="BW108" s="634">
        <v>204.43704988157407</v>
      </c>
      <c r="BX108" s="634">
        <v>208.97253682140604</v>
      </c>
      <c r="BY108" s="634">
        <v>213.60864467018433</v>
      </c>
      <c r="BZ108" s="635">
        <v>214.54801650790833</v>
      </c>
      <c r="CA108" s="635">
        <v>215.48738834563235</v>
      </c>
      <c r="CB108" s="635">
        <v>216.42676018335641</v>
      </c>
      <c r="CC108" s="635">
        <v>217.36613202108043</v>
      </c>
      <c r="CD108" s="635">
        <v>218.47687760751964</v>
      </c>
      <c r="CE108" s="635">
        <v>219.58762319395888</v>
      </c>
      <c r="CF108" s="635">
        <v>222.66692882487595</v>
      </c>
      <c r="CG108" s="635">
        <v>226.33571071443993</v>
      </c>
      <c r="CH108" s="635">
        <v>227.94660061109388</v>
      </c>
      <c r="CI108" s="635">
        <v>228.831230595818</v>
      </c>
      <c r="CJ108" s="635">
        <v>229.74734841302794</v>
      </c>
      <c r="CK108" s="635">
        <v>230.68550771297805</v>
      </c>
      <c r="CL108" s="634">
        <v>2.044370498815741</v>
      </c>
      <c r="CM108" s="634">
        <v>2.0897253682140606</v>
      </c>
      <c r="CN108" s="634">
        <v>2.1360864467018437</v>
      </c>
      <c r="CO108" s="635">
        <v>2.1454801650790838</v>
      </c>
      <c r="CP108" s="635">
        <v>2.1548738834563239</v>
      </c>
      <c r="CQ108" s="635">
        <v>2.1642676018335645</v>
      </c>
      <c r="CR108" s="635">
        <v>2.1736613202108046</v>
      </c>
      <c r="CS108" s="635">
        <v>2.1847687760751966</v>
      </c>
      <c r="CT108" s="635">
        <v>2.195876231939589</v>
      </c>
      <c r="CU108" s="635">
        <v>2.2266692882487598</v>
      </c>
      <c r="CV108" s="635">
        <v>2.2633571071443996</v>
      </c>
      <c r="CW108" s="635">
        <v>2.2794660061109395</v>
      </c>
      <c r="CX108" s="635">
        <v>2.2883123059581805</v>
      </c>
      <c r="CY108" s="635">
        <v>2.29747348413028</v>
      </c>
      <c r="CZ108" s="635">
        <v>2.3068550771297809</v>
      </c>
      <c r="DA108" s="636">
        <v>0</v>
      </c>
      <c r="DB108" s="636">
        <v>0</v>
      </c>
      <c r="DC108" s="636">
        <v>0</v>
      </c>
      <c r="DD108" s="637">
        <v>0</v>
      </c>
      <c r="DE108" s="637">
        <v>0</v>
      </c>
      <c r="DF108" s="637">
        <v>0</v>
      </c>
      <c r="DG108" s="637">
        <v>0</v>
      </c>
      <c r="DH108" s="637">
        <v>0</v>
      </c>
      <c r="DI108" s="637">
        <v>0</v>
      </c>
      <c r="DJ108" s="637">
        <v>0</v>
      </c>
      <c r="DK108" s="637">
        <v>0</v>
      </c>
      <c r="DL108" s="637">
        <v>0</v>
      </c>
      <c r="DM108" s="637">
        <v>0</v>
      </c>
      <c r="DN108" s="637">
        <v>0</v>
      </c>
      <c r="DO108" s="637">
        <v>0</v>
      </c>
      <c r="DP108" s="636">
        <v>0</v>
      </c>
      <c r="DQ108" s="636">
        <v>0</v>
      </c>
      <c r="DR108" s="636">
        <v>0</v>
      </c>
      <c r="DS108" s="637">
        <v>0</v>
      </c>
      <c r="DT108" s="637">
        <v>0</v>
      </c>
      <c r="DU108" s="637">
        <v>0</v>
      </c>
      <c r="DV108" s="637">
        <v>0</v>
      </c>
      <c r="DW108" s="637">
        <v>0</v>
      </c>
      <c r="DX108" s="637">
        <v>0</v>
      </c>
      <c r="DY108" s="637">
        <v>0</v>
      </c>
      <c r="DZ108" s="637">
        <v>0</v>
      </c>
      <c r="EA108" s="637">
        <v>0</v>
      </c>
      <c r="EB108" s="637">
        <v>0</v>
      </c>
      <c r="EC108" s="637">
        <v>0</v>
      </c>
      <c r="ED108" s="637">
        <v>0</v>
      </c>
    </row>
    <row r="109" spans="1:134" ht="15" x14ac:dyDescent="0.25">
      <c r="A109" s="555">
        <v>125</v>
      </c>
      <c r="B109" s="555">
        <v>88</v>
      </c>
      <c r="C109" s="555" t="s">
        <v>1092</v>
      </c>
      <c r="D109" s="812">
        <v>99705</v>
      </c>
      <c r="E109" s="812">
        <v>99705</v>
      </c>
      <c r="F109" s="630" t="s">
        <v>311</v>
      </c>
      <c r="G109" s="45">
        <v>456</v>
      </c>
      <c r="H109" s="45">
        <v>153</v>
      </c>
      <c r="I109" s="45">
        <v>144</v>
      </c>
      <c r="J109" s="45">
        <v>9</v>
      </c>
      <c r="K109" s="45">
        <v>0</v>
      </c>
      <c r="L109" s="45">
        <v>134</v>
      </c>
      <c r="M109" s="45">
        <v>134</v>
      </c>
      <c r="N109" s="45">
        <v>1</v>
      </c>
      <c r="O109" s="45">
        <v>0</v>
      </c>
      <c r="P109" s="45">
        <v>0</v>
      </c>
      <c r="Q109" s="45">
        <v>135</v>
      </c>
      <c r="R109" s="45">
        <v>0</v>
      </c>
      <c r="S109" s="45">
        <v>2169.7462686567164</v>
      </c>
      <c r="T109" s="45">
        <v>2169.7462686567164</v>
      </c>
      <c r="U109" s="45">
        <v>1500</v>
      </c>
      <c r="V109" s="45">
        <v>0</v>
      </c>
      <c r="W109" s="45">
        <v>0</v>
      </c>
      <c r="X109" s="45">
        <v>2164.7851851851851</v>
      </c>
      <c r="Y109" s="45">
        <v>0</v>
      </c>
      <c r="Z109" s="45">
        <v>153</v>
      </c>
      <c r="AA109" s="45">
        <v>0</v>
      </c>
      <c r="AB109" s="508">
        <v>1</v>
      </c>
      <c r="AC109" s="508">
        <v>0</v>
      </c>
      <c r="AD109" s="631">
        <v>154</v>
      </c>
      <c r="AE109" s="632">
        <v>0</v>
      </c>
      <c r="AF109" s="632">
        <v>144</v>
      </c>
      <c r="AG109" s="633">
        <v>144</v>
      </c>
      <c r="AH109" s="632">
        <v>0</v>
      </c>
      <c r="AI109" s="632">
        <v>0</v>
      </c>
      <c r="AJ109" s="632">
        <v>142.00721013379166</v>
      </c>
      <c r="AK109" s="632">
        <v>142.00721013379166</v>
      </c>
      <c r="AL109" s="632">
        <v>0</v>
      </c>
      <c r="AM109" s="632">
        <v>0</v>
      </c>
      <c r="AN109" s="632">
        <v>134.33936868986964</v>
      </c>
      <c r="AO109" s="632">
        <v>134.33936868986964</v>
      </c>
      <c r="AP109" s="632">
        <v>0</v>
      </c>
      <c r="AQ109" s="632">
        <v>0.94010766733490925</v>
      </c>
      <c r="AR109" s="632">
        <v>0</v>
      </c>
      <c r="AS109" s="632">
        <v>131.80423352929975</v>
      </c>
      <c r="AT109" s="632">
        <v>136.81064098716379</v>
      </c>
      <c r="AU109" s="632">
        <v>142.00721013379166</v>
      </c>
      <c r="AV109" s="632">
        <v>147.40116400649666</v>
      </c>
      <c r="AW109" s="632">
        <v>153</v>
      </c>
      <c r="AX109" s="632">
        <v>125.32684708328286</v>
      </c>
      <c r="AY109" s="632">
        <v>129.7548824401612</v>
      </c>
      <c r="AZ109" s="632">
        <v>134.33936868986964</v>
      </c>
      <c r="BA109" s="632">
        <v>139.08583353936962</v>
      </c>
      <c r="BB109" s="632">
        <v>144</v>
      </c>
      <c r="BC109" s="632">
        <v>0.88380242618188454</v>
      </c>
      <c r="BD109" s="632">
        <v>0.91152039870909352</v>
      </c>
      <c r="BE109" s="632">
        <v>0.94010766733490925</v>
      </c>
      <c r="BF109" s="632">
        <v>0.96959149508177378</v>
      </c>
      <c r="BG109" s="632">
        <v>1</v>
      </c>
      <c r="BH109" s="634">
        <v>154.23423651040446</v>
      </c>
      <c r="BI109" s="634">
        <v>155.47842948985218</v>
      </c>
      <c r="BJ109" s="634">
        <v>156.73265925623599</v>
      </c>
      <c r="BK109" s="635">
        <v>156.99099730692109</v>
      </c>
      <c r="BL109" s="635">
        <v>157.24933535760618</v>
      </c>
      <c r="BM109" s="635">
        <v>157.50767340829134</v>
      </c>
      <c r="BN109" s="635">
        <v>157.76601145897644</v>
      </c>
      <c r="BO109" s="635">
        <v>158.07147925999448</v>
      </c>
      <c r="BP109" s="635">
        <v>158.37694706101252</v>
      </c>
      <c r="BQ109" s="635">
        <v>159.22379149705841</v>
      </c>
      <c r="BR109" s="635">
        <v>160.2327486785247</v>
      </c>
      <c r="BS109" s="635">
        <v>160.6757619125367</v>
      </c>
      <c r="BT109" s="635">
        <v>160.91904532455055</v>
      </c>
      <c r="BU109" s="635">
        <v>161.17098825235789</v>
      </c>
      <c r="BV109" s="635">
        <v>161.42899284122063</v>
      </c>
      <c r="BW109" s="634">
        <v>145.16163436273362</v>
      </c>
      <c r="BX109" s="634">
        <v>146.33263951986086</v>
      </c>
      <c r="BY109" s="634">
        <v>147.5130910646927</v>
      </c>
      <c r="BZ109" s="635">
        <v>147.75623275945514</v>
      </c>
      <c r="CA109" s="635">
        <v>147.99937445421759</v>
      </c>
      <c r="CB109" s="635">
        <v>148.24251614898009</v>
      </c>
      <c r="CC109" s="635">
        <v>148.48565784374253</v>
      </c>
      <c r="CD109" s="635">
        <v>148.77315695058303</v>
      </c>
      <c r="CE109" s="635">
        <v>149.06065605742353</v>
      </c>
      <c r="CF109" s="635">
        <v>149.8576861148785</v>
      </c>
      <c r="CG109" s="635">
        <v>150.80729287390562</v>
      </c>
      <c r="CH109" s="635">
        <v>151.22424650591691</v>
      </c>
      <c r="CI109" s="635">
        <v>151.45321912898876</v>
      </c>
      <c r="CJ109" s="635">
        <v>151.69034188457212</v>
      </c>
      <c r="CK109" s="635">
        <v>151.93316973291354</v>
      </c>
      <c r="CL109" s="634">
        <v>1.0080669052967612</v>
      </c>
      <c r="CM109" s="634">
        <v>1.0161988855545894</v>
      </c>
      <c r="CN109" s="634">
        <v>1.0243964657270326</v>
      </c>
      <c r="CO109" s="635">
        <v>1.0260849497184386</v>
      </c>
      <c r="CP109" s="635">
        <v>1.0277734337098443</v>
      </c>
      <c r="CQ109" s="635">
        <v>1.0294619177012505</v>
      </c>
      <c r="CR109" s="635">
        <v>1.0311504016926563</v>
      </c>
      <c r="CS109" s="635">
        <v>1.0331469232679376</v>
      </c>
      <c r="CT109" s="635">
        <v>1.0351434448432189</v>
      </c>
      <c r="CU109" s="635">
        <v>1.0406783757977673</v>
      </c>
      <c r="CV109" s="635">
        <v>1.0472728671799001</v>
      </c>
      <c r="CW109" s="635">
        <v>1.0501683785133118</v>
      </c>
      <c r="CX109" s="635">
        <v>1.0517584661735329</v>
      </c>
      <c r="CY109" s="635">
        <v>1.0534051519761953</v>
      </c>
      <c r="CZ109" s="635">
        <v>1.0550914564785661</v>
      </c>
      <c r="DA109" s="636">
        <v>0</v>
      </c>
      <c r="DB109" s="636">
        <v>0</v>
      </c>
      <c r="DC109" s="636">
        <v>0</v>
      </c>
      <c r="DD109" s="637">
        <v>0</v>
      </c>
      <c r="DE109" s="637">
        <v>0</v>
      </c>
      <c r="DF109" s="637">
        <v>0</v>
      </c>
      <c r="DG109" s="637">
        <v>0</v>
      </c>
      <c r="DH109" s="637">
        <v>0</v>
      </c>
      <c r="DI109" s="637">
        <v>0</v>
      </c>
      <c r="DJ109" s="637">
        <v>0</v>
      </c>
      <c r="DK109" s="637">
        <v>0</v>
      </c>
      <c r="DL109" s="637">
        <v>0</v>
      </c>
      <c r="DM109" s="637">
        <v>0</v>
      </c>
      <c r="DN109" s="637">
        <v>0</v>
      </c>
      <c r="DO109" s="637">
        <v>0</v>
      </c>
      <c r="DP109" s="636">
        <v>0</v>
      </c>
      <c r="DQ109" s="636">
        <v>0</v>
      </c>
      <c r="DR109" s="636">
        <v>0</v>
      </c>
      <c r="DS109" s="637">
        <v>0</v>
      </c>
      <c r="DT109" s="637">
        <v>0</v>
      </c>
      <c r="DU109" s="637">
        <v>0</v>
      </c>
      <c r="DV109" s="637">
        <v>0</v>
      </c>
      <c r="DW109" s="637">
        <v>0</v>
      </c>
      <c r="DX109" s="637">
        <v>0</v>
      </c>
      <c r="DY109" s="637">
        <v>0</v>
      </c>
      <c r="DZ109" s="637">
        <v>0</v>
      </c>
      <c r="EA109" s="637">
        <v>0</v>
      </c>
      <c r="EB109" s="637">
        <v>0</v>
      </c>
      <c r="EC109" s="637">
        <v>0</v>
      </c>
      <c r="ED109" s="637">
        <v>0</v>
      </c>
    </row>
    <row r="110" spans="1:134" ht="15" x14ac:dyDescent="0.25">
      <c r="A110" s="555">
        <v>126</v>
      </c>
      <c r="B110" s="555">
        <v>88</v>
      </c>
      <c r="C110" s="555" t="s">
        <v>1093</v>
      </c>
      <c r="D110" s="812">
        <v>99705</v>
      </c>
      <c r="E110" s="812">
        <v>99705</v>
      </c>
      <c r="F110" s="630" t="s">
        <v>311</v>
      </c>
      <c r="G110" s="45">
        <v>220</v>
      </c>
      <c r="H110" s="45">
        <v>76</v>
      </c>
      <c r="I110" s="45">
        <v>73</v>
      </c>
      <c r="J110" s="45">
        <v>3</v>
      </c>
      <c r="K110" s="45">
        <v>1</v>
      </c>
      <c r="L110" s="45">
        <v>171</v>
      </c>
      <c r="M110" s="45">
        <v>172</v>
      </c>
      <c r="N110" s="45">
        <v>1</v>
      </c>
      <c r="O110" s="45">
        <v>0</v>
      </c>
      <c r="P110" s="45">
        <v>0</v>
      </c>
      <c r="Q110" s="45">
        <v>173</v>
      </c>
      <c r="R110" s="45">
        <v>3216</v>
      </c>
      <c r="S110" s="45">
        <v>2358.9356725146199</v>
      </c>
      <c r="T110" s="45">
        <v>2363.9186046511627</v>
      </c>
      <c r="U110" s="45">
        <v>192</v>
      </c>
      <c r="V110" s="45">
        <v>0</v>
      </c>
      <c r="W110" s="45">
        <v>0</v>
      </c>
      <c r="X110" s="45">
        <v>2351.3641618497109</v>
      </c>
      <c r="Y110" s="45">
        <v>0.44186046511627908</v>
      </c>
      <c r="Z110" s="45">
        <v>75.558139534883722</v>
      </c>
      <c r="AA110" s="45">
        <v>0</v>
      </c>
      <c r="AB110" s="508">
        <v>1</v>
      </c>
      <c r="AC110" s="508">
        <v>0</v>
      </c>
      <c r="AD110" s="631">
        <v>77</v>
      </c>
      <c r="AE110" s="632">
        <v>0.42441860465116277</v>
      </c>
      <c r="AF110" s="632">
        <v>72.575581395348834</v>
      </c>
      <c r="AG110" s="633">
        <v>73</v>
      </c>
      <c r="AH110" s="632">
        <v>0</v>
      </c>
      <c r="AI110" s="632">
        <v>0.41011354195805466</v>
      </c>
      <c r="AJ110" s="632">
        <v>70.129415674827342</v>
      </c>
      <c r="AK110" s="632">
        <v>70.539529216785397</v>
      </c>
      <c r="AL110" s="632">
        <v>0</v>
      </c>
      <c r="AM110" s="632">
        <v>0.39594532922967074</v>
      </c>
      <c r="AN110" s="632">
        <v>67.706651298273698</v>
      </c>
      <c r="AO110" s="632">
        <v>68.102596627503374</v>
      </c>
      <c r="AP110" s="632">
        <v>0</v>
      </c>
      <c r="AQ110" s="632">
        <v>0.94010766733490925</v>
      </c>
      <c r="AR110" s="632">
        <v>0</v>
      </c>
      <c r="AS110" s="632">
        <v>65.471383975338441</v>
      </c>
      <c r="AT110" s="632">
        <v>67.95822689558463</v>
      </c>
      <c r="AU110" s="632">
        <v>70.539529216785397</v>
      </c>
      <c r="AV110" s="632">
        <v>73.218878852900303</v>
      </c>
      <c r="AW110" s="632">
        <v>76</v>
      </c>
      <c r="AX110" s="632">
        <v>63.533748868608669</v>
      </c>
      <c r="AY110" s="632">
        <v>65.778516792581712</v>
      </c>
      <c r="AZ110" s="632">
        <v>68.102596627503374</v>
      </c>
      <c r="BA110" s="632">
        <v>70.5087906137082</v>
      </c>
      <c r="BB110" s="632">
        <v>73</v>
      </c>
      <c r="BC110" s="632">
        <v>0.88380242618188454</v>
      </c>
      <c r="BD110" s="632">
        <v>0.91152039870909352</v>
      </c>
      <c r="BE110" s="632">
        <v>0.94010766733490925</v>
      </c>
      <c r="BF110" s="632">
        <v>0.96959149508177378</v>
      </c>
      <c r="BG110" s="632">
        <v>1</v>
      </c>
      <c r="BH110" s="634">
        <v>76.613084802553857</v>
      </c>
      <c r="BI110" s="634">
        <v>77.231115302148794</v>
      </c>
      <c r="BJ110" s="634">
        <v>77.85413139525447</v>
      </c>
      <c r="BK110" s="635">
        <v>78.441964793397332</v>
      </c>
      <c r="BL110" s="635">
        <v>79.029798191540209</v>
      </c>
      <c r="BM110" s="635">
        <v>79.6176315896831</v>
      </c>
      <c r="BN110" s="635">
        <v>80.205464987825962</v>
      </c>
      <c r="BO110" s="635">
        <v>80.900539426219581</v>
      </c>
      <c r="BP110" s="635">
        <v>81.595613864613171</v>
      </c>
      <c r="BQ110" s="635">
        <v>83.522559745094497</v>
      </c>
      <c r="BR110" s="635">
        <v>85.818383867747215</v>
      </c>
      <c r="BS110" s="635">
        <v>86.826435039771297</v>
      </c>
      <c r="BT110" s="635">
        <v>87.3800124721961</v>
      </c>
      <c r="BU110" s="635">
        <v>87.953294135498382</v>
      </c>
      <c r="BV110" s="635">
        <v>88.54036876041495</v>
      </c>
      <c r="BW110" s="634">
        <v>73.588884086663569</v>
      </c>
      <c r="BX110" s="634">
        <v>74.182518645485018</v>
      </c>
      <c r="BY110" s="634">
        <v>74.780941998073374</v>
      </c>
      <c r="BZ110" s="635">
        <v>75.34557144628954</v>
      </c>
      <c r="CA110" s="635">
        <v>75.910200894505735</v>
      </c>
      <c r="CB110" s="635">
        <v>76.474830342721916</v>
      </c>
      <c r="CC110" s="635">
        <v>77.039459790938096</v>
      </c>
      <c r="CD110" s="635">
        <v>77.707097080447753</v>
      </c>
      <c r="CE110" s="635">
        <v>78.374734369957395</v>
      </c>
      <c r="CF110" s="635">
        <v>80.225616597261819</v>
      </c>
      <c r="CG110" s="635">
        <v>82.430816083494037</v>
      </c>
      <c r="CH110" s="635">
        <v>83.399075761885584</v>
      </c>
      <c r="CI110" s="635">
        <v>83.930801453556782</v>
      </c>
      <c r="CJ110" s="635">
        <v>84.481453577518181</v>
      </c>
      <c r="CK110" s="635">
        <v>85.045354204082784</v>
      </c>
      <c r="CL110" s="634">
        <v>1.0080669052967612</v>
      </c>
      <c r="CM110" s="634">
        <v>1.0161988855545894</v>
      </c>
      <c r="CN110" s="634">
        <v>1.0243964657270326</v>
      </c>
      <c r="CO110" s="635">
        <v>1.0321311157025965</v>
      </c>
      <c r="CP110" s="635">
        <v>1.0398657656781609</v>
      </c>
      <c r="CQ110" s="635">
        <v>1.0476004156537251</v>
      </c>
      <c r="CR110" s="635">
        <v>1.055335065629289</v>
      </c>
      <c r="CS110" s="635">
        <v>1.0644807819239419</v>
      </c>
      <c r="CT110" s="635">
        <v>1.0736264982185943</v>
      </c>
      <c r="CU110" s="635">
        <v>1.0989810492775591</v>
      </c>
      <c r="CV110" s="635">
        <v>1.1291892614177266</v>
      </c>
      <c r="CW110" s="635">
        <v>1.1424530926285696</v>
      </c>
      <c r="CX110" s="635">
        <v>1.1497370062131067</v>
      </c>
      <c r="CY110" s="635">
        <v>1.1572801859933999</v>
      </c>
      <c r="CZ110" s="635">
        <v>1.165004852110723</v>
      </c>
      <c r="DA110" s="636">
        <v>0</v>
      </c>
      <c r="DB110" s="636">
        <v>0</v>
      </c>
      <c r="DC110" s="636">
        <v>0</v>
      </c>
      <c r="DD110" s="637">
        <v>0</v>
      </c>
      <c r="DE110" s="637">
        <v>0</v>
      </c>
      <c r="DF110" s="637">
        <v>0</v>
      </c>
      <c r="DG110" s="637">
        <v>0</v>
      </c>
      <c r="DH110" s="637">
        <v>0</v>
      </c>
      <c r="DI110" s="637">
        <v>0</v>
      </c>
      <c r="DJ110" s="637">
        <v>0</v>
      </c>
      <c r="DK110" s="637">
        <v>0</v>
      </c>
      <c r="DL110" s="637">
        <v>0</v>
      </c>
      <c r="DM110" s="637">
        <v>0</v>
      </c>
      <c r="DN110" s="637">
        <v>0</v>
      </c>
      <c r="DO110" s="637">
        <v>0</v>
      </c>
      <c r="DP110" s="636">
        <v>0</v>
      </c>
      <c r="DQ110" s="636">
        <v>0</v>
      </c>
      <c r="DR110" s="636">
        <v>0</v>
      </c>
      <c r="DS110" s="637">
        <v>0</v>
      </c>
      <c r="DT110" s="637">
        <v>0</v>
      </c>
      <c r="DU110" s="637">
        <v>0</v>
      </c>
      <c r="DV110" s="637">
        <v>0</v>
      </c>
      <c r="DW110" s="637">
        <v>0</v>
      </c>
      <c r="DX110" s="637">
        <v>0</v>
      </c>
      <c r="DY110" s="637">
        <v>0</v>
      </c>
      <c r="DZ110" s="637">
        <v>0</v>
      </c>
      <c r="EA110" s="637">
        <v>0</v>
      </c>
      <c r="EB110" s="637">
        <v>0</v>
      </c>
      <c r="EC110" s="637">
        <v>0</v>
      </c>
      <c r="ED110" s="637">
        <v>0</v>
      </c>
    </row>
    <row r="111" spans="1:134" ht="15" x14ac:dyDescent="0.25">
      <c r="A111" s="555">
        <v>129</v>
      </c>
      <c r="B111" s="555">
        <v>88</v>
      </c>
      <c r="C111" s="555" t="s">
        <v>1094</v>
      </c>
      <c r="D111" s="812">
        <v>99705</v>
      </c>
      <c r="E111" s="812">
        <v>99705</v>
      </c>
      <c r="F111" s="630" t="s">
        <v>989</v>
      </c>
      <c r="G111" s="45">
        <v>7</v>
      </c>
      <c r="H111" s="45">
        <v>3</v>
      </c>
      <c r="I111" s="45">
        <v>3</v>
      </c>
      <c r="J111" s="45">
        <v>0</v>
      </c>
      <c r="K111" s="45">
        <v>0</v>
      </c>
      <c r="L111" s="45">
        <v>0</v>
      </c>
      <c r="M111" s="45">
        <v>0</v>
      </c>
      <c r="N111" s="45">
        <v>0</v>
      </c>
      <c r="O111" s="45">
        <v>0</v>
      </c>
      <c r="P111" s="45">
        <v>0</v>
      </c>
      <c r="Q111" s="45">
        <v>0</v>
      </c>
      <c r="R111" s="45">
        <v>0</v>
      </c>
      <c r="S111" s="45">
        <v>834.49503068156923</v>
      </c>
      <c r="T111" s="45">
        <v>834.49503068156923</v>
      </c>
      <c r="U111" s="45">
        <v>1408.3846153846155</v>
      </c>
      <c r="V111" s="45">
        <v>0</v>
      </c>
      <c r="W111" s="45">
        <v>0</v>
      </c>
      <c r="X111" s="45">
        <v>1365.173957061457</v>
      </c>
      <c r="Y111" s="45">
        <v>6.8737006237006237E-2</v>
      </c>
      <c r="Z111" s="45">
        <v>2.9273648648648649</v>
      </c>
      <c r="AA111" s="45">
        <v>3.8981288981288983E-3</v>
      </c>
      <c r="AB111" s="508">
        <v>0</v>
      </c>
      <c r="AC111" s="508">
        <v>0</v>
      </c>
      <c r="AD111" s="631">
        <v>3</v>
      </c>
      <c r="AE111" s="632">
        <v>6.8737006237006237E-2</v>
      </c>
      <c r="AF111" s="632">
        <v>2.9273648648648649</v>
      </c>
      <c r="AG111" s="633">
        <v>2.996101871101871</v>
      </c>
      <c r="AH111" s="632">
        <v>3.8981288981288983E-3</v>
      </c>
      <c r="AI111" s="632">
        <v>6.3798369206969227E-2</v>
      </c>
      <c r="AJ111" s="632">
        <v>2.7170386764911338</v>
      </c>
      <c r="AK111" s="632">
        <v>2.7808370456981031</v>
      </c>
      <c r="AL111" s="632">
        <v>3.6180549644784068E-3</v>
      </c>
      <c r="AM111" s="632">
        <v>6.4125597385493407E-2</v>
      </c>
      <c r="AN111" s="632">
        <v>2.7309746379920248</v>
      </c>
      <c r="AO111" s="632">
        <v>2.7951002353775181</v>
      </c>
      <c r="AP111" s="632">
        <v>3.6366123280998155E-3</v>
      </c>
      <c r="AQ111" s="632">
        <v>0</v>
      </c>
      <c r="AR111" s="632">
        <v>0</v>
      </c>
      <c r="AS111" s="632">
        <v>2.5810386320018495</v>
      </c>
      <c r="AT111" s="632">
        <v>2.6790759310345602</v>
      </c>
      <c r="AU111" s="632">
        <v>2.7808370456981031</v>
      </c>
      <c r="AV111" s="632">
        <v>2.8864634201467867</v>
      </c>
      <c r="AW111" s="632">
        <v>2.996101871101871</v>
      </c>
      <c r="AX111" s="632">
        <v>2.6075833405939015</v>
      </c>
      <c r="AY111" s="632">
        <v>2.6997142087747932</v>
      </c>
      <c r="AZ111" s="632">
        <v>2.7951002353775181</v>
      </c>
      <c r="BA111" s="632">
        <v>2.8938564313268653</v>
      </c>
      <c r="BB111" s="632">
        <v>2.996101871101871</v>
      </c>
      <c r="BC111" s="632">
        <v>0</v>
      </c>
      <c r="BD111" s="632">
        <v>0</v>
      </c>
      <c r="BE111" s="632">
        <v>0</v>
      </c>
      <c r="BF111" s="632">
        <v>0</v>
      </c>
      <c r="BG111" s="632">
        <v>0</v>
      </c>
      <c r="BH111" s="634">
        <v>3.020271141155499</v>
      </c>
      <c r="BI111" s="634">
        <v>3.0446353824217414</v>
      </c>
      <c r="BJ111" s="634">
        <v>3.0691961677149058</v>
      </c>
      <c r="BK111" s="635">
        <v>3.0691961677149058</v>
      </c>
      <c r="BL111" s="635">
        <v>3.0691961677149058</v>
      </c>
      <c r="BM111" s="635">
        <v>3.0691961677149058</v>
      </c>
      <c r="BN111" s="635">
        <v>3.0691961677149058</v>
      </c>
      <c r="BO111" s="635">
        <v>3.0691961677149058</v>
      </c>
      <c r="BP111" s="635">
        <v>3.0691961677149058</v>
      </c>
      <c r="BQ111" s="635">
        <v>3.0691961677149058</v>
      </c>
      <c r="BR111" s="635">
        <v>3.0691961677149058</v>
      </c>
      <c r="BS111" s="635">
        <v>3.0691961677149058</v>
      </c>
      <c r="BT111" s="635">
        <v>3.0691961677149058</v>
      </c>
      <c r="BU111" s="635">
        <v>3.0691961677149058</v>
      </c>
      <c r="BV111" s="635">
        <v>3.0691961677149058</v>
      </c>
      <c r="BW111" s="634">
        <v>3.020271141155499</v>
      </c>
      <c r="BX111" s="634">
        <v>3.0446353824217414</v>
      </c>
      <c r="BY111" s="634">
        <v>3.0691961677149058</v>
      </c>
      <c r="BZ111" s="635">
        <v>3.0691961677149058</v>
      </c>
      <c r="CA111" s="635">
        <v>3.0691961677149058</v>
      </c>
      <c r="CB111" s="635">
        <v>3.0691961677149058</v>
      </c>
      <c r="CC111" s="635">
        <v>3.0691961677149058</v>
      </c>
      <c r="CD111" s="635">
        <v>3.0691961677149058</v>
      </c>
      <c r="CE111" s="635">
        <v>3.0691961677149058</v>
      </c>
      <c r="CF111" s="635">
        <v>3.0691961677149058</v>
      </c>
      <c r="CG111" s="635">
        <v>3.0691961677149058</v>
      </c>
      <c r="CH111" s="635">
        <v>3.0691961677149058</v>
      </c>
      <c r="CI111" s="635">
        <v>3.0691961677149058</v>
      </c>
      <c r="CJ111" s="635">
        <v>3.0691961677149058</v>
      </c>
      <c r="CK111" s="635">
        <v>3.0691961677149058</v>
      </c>
      <c r="CL111" s="634">
        <v>0</v>
      </c>
      <c r="CM111" s="634">
        <v>0</v>
      </c>
      <c r="CN111" s="634">
        <v>0</v>
      </c>
      <c r="CO111" s="635">
        <v>0</v>
      </c>
      <c r="CP111" s="635">
        <v>0</v>
      </c>
      <c r="CQ111" s="635">
        <v>0</v>
      </c>
      <c r="CR111" s="635">
        <v>0</v>
      </c>
      <c r="CS111" s="635">
        <v>0</v>
      </c>
      <c r="CT111" s="635">
        <v>0</v>
      </c>
      <c r="CU111" s="635">
        <v>0</v>
      </c>
      <c r="CV111" s="635">
        <v>0</v>
      </c>
      <c r="CW111" s="635">
        <v>0</v>
      </c>
      <c r="CX111" s="635">
        <v>0</v>
      </c>
      <c r="CY111" s="635">
        <v>0</v>
      </c>
      <c r="CZ111" s="635">
        <v>0</v>
      </c>
      <c r="DA111" s="636">
        <v>3.9295747347846723E-3</v>
      </c>
      <c r="DB111" s="636">
        <v>3.9612742420267258E-3</v>
      </c>
      <c r="DC111" s="636">
        <v>3.9932294661916556E-3</v>
      </c>
      <c r="DD111" s="637">
        <v>3.9932294661916556E-3</v>
      </c>
      <c r="DE111" s="637">
        <v>3.9932294661916556E-3</v>
      </c>
      <c r="DF111" s="637">
        <v>3.9932294661916556E-3</v>
      </c>
      <c r="DG111" s="637">
        <v>3.9932294661916556E-3</v>
      </c>
      <c r="DH111" s="637">
        <v>3.9932294661916556E-3</v>
      </c>
      <c r="DI111" s="637">
        <v>3.9932294661916556E-3</v>
      </c>
      <c r="DJ111" s="637">
        <v>3.9932294661916556E-3</v>
      </c>
      <c r="DK111" s="637">
        <v>3.9932294661916556E-3</v>
      </c>
      <c r="DL111" s="637">
        <v>3.9932294661916556E-3</v>
      </c>
      <c r="DM111" s="637">
        <v>3.9932294661916556E-3</v>
      </c>
      <c r="DN111" s="637">
        <v>3.9932294661916556E-3</v>
      </c>
      <c r="DO111" s="637">
        <v>3.9932294661916556E-3</v>
      </c>
      <c r="DP111" s="636">
        <v>0</v>
      </c>
      <c r="DQ111" s="636">
        <v>0</v>
      </c>
      <c r="DR111" s="636">
        <v>0</v>
      </c>
      <c r="DS111" s="637">
        <v>0</v>
      </c>
      <c r="DT111" s="637">
        <v>0</v>
      </c>
      <c r="DU111" s="637">
        <v>0</v>
      </c>
      <c r="DV111" s="637">
        <v>0</v>
      </c>
      <c r="DW111" s="637">
        <v>0</v>
      </c>
      <c r="DX111" s="637">
        <v>0</v>
      </c>
      <c r="DY111" s="637">
        <v>0</v>
      </c>
      <c r="DZ111" s="637">
        <v>0</v>
      </c>
      <c r="EA111" s="637">
        <v>0</v>
      </c>
      <c r="EB111" s="637">
        <v>0</v>
      </c>
      <c r="EC111" s="637">
        <v>0</v>
      </c>
      <c r="ED111" s="637">
        <v>0</v>
      </c>
    </row>
    <row r="112" spans="1:134" ht="15" x14ac:dyDescent="0.25">
      <c r="A112" s="555">
        <v>98</v>
      </c>
      <c r="B112" s="555">
        <v>89</v>
      </c>
      <c r="C112" s="555" t="s">
        <v>1095</v>
      </c>
      <c r="D112" s="812">
        <v>99709</v>
      </c>
      <c r="E112" s="812">
        <v>99709</v>
      </c>
      <c r="F112" s="630" t="s">
        <v>989</v>
      </c>
      <c r="G112" s="45">
        <v>89</v>
      </c>
      <c r="H112" s="45">
        <v>47</v>
      </c>
      <c r="I112" s="45">
        <v>43</v>
      </c>
      <c r="J112" s="45">
        <v>4</v>
      </c>
      <c r="K112" s="45">
        <v>0</v>
      </c>
      <c r="L112" s="45">
        <v>83</v>
      </c>
      <c r="M112" s="45">
        <v>83</v>
      </c>
      <c r="N112" s="45">
        <v>0</v>
      </c>
      <c r="O112" s="45">
        <v>0</v>
      </c>
      <c r="P112" s="45">
        <v>0</v>
      </c>
      <c r="Q112" s="45">
        <v>83</v>
      </c>
      <c r="R112" s="45">
        <v>0</v>
      </c>
      <c r="S112" s="45">
        <v>1835.1084337349398</v>
      </c>
      <c r="T112" s="45">
        <v>1835.1084337349398</v>
      </c>
      <c r="U112" s="45">
        <v>0</v>
      </c>
      <c r="V112" s="45">
        <v>0</v>
      </c>
      <c r="W112" s="45">
        <v>0</v>
      </c>
      <c r="X112" s="45">
        <v>1835.1084337349398</v>
      </c>
      <c r="Y112" s="45">
        <v>0</v>
      </c>
      <c r="Z112" s="45">
        <v>47</v>
      </c>
      <c r="AA112" s="45">
        <v>0</v>
      </c>
      <c r="AB112" s="508">
        <v>0</v>
      </c>
      <c r="AC112" s="508">
        <v>0</v>
      </c>
      <c r="AD112" s="631">
        <v>47</v>
      </c>
      <c r="AE112" s="632">
        <v>0</v>
      </c>
      <c r="AF112" s="632">
        <v>43</v>
      </c>
      <c r="AG112" s="633">
        <v>43</v>
      </c>
      <c r="AH112" s="632">
        <v>0</v>
      </c>
      <c r="AI112" s="632">
        <v>0</v>
      </c>
      <c r="AJ112" s="632">
        <v>44.751444565363748</v>
      </c>
      <c r="AK112" s="632">
        <v>44.751444565363748</v>
      </c>
      <c r="AL112" s="632">
        <v>0</v>
      </c>
      <c r="AM112" s="632">
        <v>0</v>
      </c>
      <c r="AN112" s="632">
        <v>41.020049042612982</v>
      </c>
      <c r="AO112" s="632">
        <v>41.020049042612982</v>
      </c>
      <c r="AP112" s="632">
        <v>0</v>
      </c>
      <c r="AQ112" s="632">
        <v>0</v>
      </c>
      <c r="AR112" s="632">
        <v>0</v>
      </c>
      <c r="AS112" s="632">
        <v>42.610463631634566</v>
      </c>
      <c r="AT112" s="632">
        <v>43.667834857198294</v>
      </c>
      <c r="AU112" s="632">
        <v>44.751444565363748</v>
      </c>
      <c r="AV112" s="632">
        <v>45.861943859501814</v>
      </c>
      <c r="AW112" s="632">
        <v>47</v>
      </c>
      <c r="AX112" s="632">
        <v>39.131265661822653</v>
      </c>
      <c r="AY112" s="632">
        <v>40.06452840790071</v>
      </c>
      <c r="AZ112" s="632">
        <v>41.020049042612982</v>
      </c>
      <c r="BA112" s="632">
        <v>41.998358406399149</v>
      </c>
      <c r="BB112" s="632">
        <v>43</v>
      </c>
      <c r="BC112" s="632">
        <v>0</v>
      </c>
      <c r="BD112" s="632">
        <v>0</v>
      </c>
      <c r="BE112" s="632">
        <v>0</v>
      </c>
      <c r="BF112" s="632">
        <v>0</v>
      </c>
      <c r="BG112" s="632">
        <v>0</v>
      </c>
      <c r="BH112" s="634">
        <v>47.43913623798214</v>
      </c>
      <c r="BI112" s="634">
        <v>47.882375468209155</v>
      </c>
      <c r="BJ112" s="634">
        <v>48.32975602626783</v>
      </c>
      <c r="BK112" s="635">
        <v>48.47120597669371</v>
      </c>
      <c r="BL112" s="635">
        <v>48.612655927119597</v>
      </c>
      <c r="BM112" s="635">
        <v>48.75410587754547</v>
      </c>
      <c r="BN112" s="635">
        <v>48.89555582797135</v>
      </c>
      <c r="BO112" s="635">
        <v>49.062811116908129</v>
      </c>
      <c r="BP112" s="635">
        <v>49.230066405844909</v>
      </c>
      <c r="BQ112" s="635">
        <v>49.693746081291309</v>
      </c>
      <c r="BR112" s="635">
        <v>50.246188677036514</v>
      </c>
      <c r="BS112" s="635">
        <v>50.488755344327004</v>
      </c>
      <c r="BT112" s="635">
        <v>50.62196230504199</v>
      </c>
      <c r="BU112" s="635">
        <v>50.759910681419314</v>
      </c>
      <c r="BV112" s="635">
        <v>50.901178048760293</v>
      </c>
      <c r="BW112" s="634">
        <v>43.401762941132596</v>
      </c>
      <c r="BX112" s="634">
        <v>43.807279683680719</v>
      </c>
      <c r="BY112" s="634">
        <v>44.216585300628012</v>
      </c>
      <c r="BZ112" s="635">
        <v>44.345996957400629</v>
      </c>
      <c r="CA112" s="635">
        <v>44.47540861417324</v>
      </c>
      <c r="CB112" s="635">
        <v>44.604820270945851</v>
      </c>
      <c r="CC112" s="635">
        <v>44.734231927718469</v>
      </c>
      <c r="CD112" s="635">
        <v>44.887252723979778</v>
      </c>
      <c r="CE112" s="635">
        <v>45.040273520241087</v>
      </c>
      <c r="CF112" s="635">
        <v>45.464491095649493</v>
      </c>
      <c r="CG112" s="635">
        <v>45.969917300267447</v>
      </c>
      <c r="CH112" s="635">
        <v>46.191839995873636</v>
      </c>
      <c r="CI112" s="635">
        <v>46.313710193974586</v>
      </c>
      <c r="CJ112" s="635">
        <v>46.439918283000651</v>
      </c>
      <c r="CK112" s="635">
        <v>46.56916289567431</v>
      </c>
      <c r="CL112" s="634">
        <v>0</v>
      </c>
      <c r="CM112" s="634">
        <v>0</v>
      </c>
      <c r="CN112" s="634">
        <v>0</v>
      </c>
      <c r="CO112" s="635">
        <v>0</v>
      </c>
      <c r="CP112" s="635">
        <v>0</v>
      </c>
      <c r="CQ112" s="635">
        <v>0</v>
      </c>
      <c r="CR112" s="635">
        <v>0</v>
      </c>
      <c r="CS112" s="635">
        <v>0</v>
      </c>
      <c r="CT112" s="635">
        <v>0</v>
      </c>
      <c r="CU112" s="635">
        <v>0</v>
      </c>
      <c r="CV112" s="635">
        <v>0</v>
      </c>
      <c r="CW112" s="635">
        <v>0</v>
      </c>
      <c r="CX112" s="635">
        <v>0</v>
      </c>
      <c r="CY112" s="635">
        <v>0</v>
      </c>
      <c r="CZ112" s="635">
        <v>0</v>
      </c>
      <c r="DA112" s="636">
        <v>0</v>
      </c>
      <c r="DB112" s="636">
        <v>0</v>
      </c>
      <c r="DC112" s="636">
        <v>0</v>
      </c>
      <c r="DD112" s="637">
        <v>0</v>
      </c>
      <c r="DE112" s="637">
        <v>0</v>
      </c>
      <c r="DF112" s="637">
        <v>0</v>
      </c>
      <c r="DG112" s="637">
        <v>0</v>
      </c>
      <c r="DH112" s="637">
        <v>0</v>
      </c>
      <c r="DI112" s="637">
        <v>0</v>
      </c>
      <c r="DJ112" s="637">
        <v>0</v>
      </c>
      <c r="DK112" s="637">
        <v>0</v>
      </c>
      <c r="DL112" s="637">
        <v>0</v>
      </c>
      <c r="DM112" s="637">
        <v>0</v>
      </c>
      <c r="DN112" s="637">
        <v>0</v>
      </c>
      <c r="DO112" s="637">
        <v>0</v>
      </c>
      <c r="DP112" s="636">
        <v>0</v>
      </c>
      <c r="DQ112" s="636">
        <v>0</v>
      </c>
      <c r="DR112" s="636">
        <v>0</v>
      </c>
      <c r="DS112" s="637">
        <v>0</v>
      </c>
      <c r="DT112" s="637">
        <v>0</v>
      </c>
      <c r="DU112" s="637">
        <v>0</v>
      </c>
      <c r="DV112" s="637">
        <v>0</v>
      </c>
      <c r="DW112" s="637">
        <v>0</v>
      </c>
      <c r="DX112" s="637">
        <v>0</v>
      </c>
      <c r="DY112" s="637">
        <v>0</v>
      </c>
      <c r="DZ112" s="637">
        <v>0</v>
      </c>
      <c r="EA112" s="637">
        <v>0</v>
      </c>
      <c r="EB112" s="637">
        <v>0</v>
      </c>
      <c r="EC112" s="637">
        <v>0</v>
      </c>
      <c r="ED112" s="637">
        <v>0</v>
      </c>
    </row>
    <row r="113" spans="1:134" ht="15" x14ac:dyDescent="0.25">
      <c r="A113" s="555">
        <v>99</v>
      </c>
      <c r="B113" s="555">
        <v>89</v>
      </c>
      <c r="C113" s="555" t="s">
        <v>1096</v>
      </c>
      <c r="D113" s="812">
        <v>99709</v>
      </c>
      <c r="E113" s="812">
        <v>99709</v>
      </c>
      <c r="F113" s="630" t="s">
        <v>311</v>
      </c>
      <c r="G113" s="45">
        <v>111</v>
      </c>
      <c r="H113" s="45">
        <v>58</v>
      </c>
      <c r="I113" s="45">
        <v>49</v>
      </c>
      <c r="J113" s="45">
        <v>9</v>
      </c>
      <c r="K113" s="45">
        <v>0</v>
      </c>
      <c r="L113" s="45">
        <v>76</v>
      </c>
      <c r="M113" s="45">
        <v>76</v>
      </c>
      <c r="N113" s="45">
        <v>0</v>
      </c>
      <c r="O113" s="45">
        <v>0</v>
      </c>
      <c r="P113" s="45">
        <v>0</v>
      </c>
      <c r="Q113" s="45">
        <v>76</v>
      </c>
      <c r="R113" s="45">
        <v>0</v>
      </c>
      <c r="S113" s="45">
        <v>1872.5394736842106</v>
      </c>
      <c r="T113" s="45">
        <v>1872.5394736842106</v>
      </c>
      <c r="U113" s="45">
        <v>0</v>
      </c>
      <c r="V113" s="45">
        <v>0</v>
      </c>
      <c r="W113" s="45">
        <v>0</v>
      </c>
      <c r="X113" s="45">
        <v>1872.5394736842106</v>
      </c>
      <c r="Y113" s="45">
        <v>0</v>
      </c>
      <c r="Z113" s="45">
        <v>58</v>
      </c>
      <c r="AA113" s="45">
        <v>0</v>
      </c>
      <c r="AB113" s="508">
        <v>0</v>
      </c>
      <c r="AC113" s="508">
        <v>0</v>
      </c>
      <c r="AD113" s="631">
        <v>58</v>
      </c>
      <c r="AE113" s="632">
        <v>0</v>
      </c>
      <c r="AF113" s="632">
        <v>49</v>
      </c>
      <c r="AG113" s="633">
        <v>49</v>
      </c>
      <c r="AH113" s="632">
        <v>0</v>
      </c>
      <c r="AI113" s="632">
        <v>0</v>
      </c>
      <c r="AJ113" s="632">
        <v>55.225186910448883</v>
      </c>
      <c r="AK113" s="632">
        <v>55.225186910448883</v>
      </c>
      <c r="AL113" s="632">
        <v>0</v>
      </c>
      <c r="AM113" s="632">
        <v>0</v>
      </c>
      <c r="AN113" s="632">
        <v>46.743776816000839</v>
      </c>
      <c r="AO113" s="632">
        <v>46.743776816000839</v>
      </c>
      <c r="AP113" s="632">
        <v>0</v>
      </c>
      <c r="AQ113" s="632">
        <v>0</v>
      </c>
      <c r="AR113" s="632">
        <v>0</v>
      </c>
      <c r="AS113" s="632">
        <v>52.58312533265542</v>
      </c>
      <c r="AT113" s="632">
        <v>53.887966419521298</v>
      </c>
      <c r="AU113" s="632">
        <v>55.225186910448883</v>
      </c>
      <c r="AV113" s="632">
        <v>56.595590294704365</v>
      </c>
      <c r="AW113" s="632">
        <v>58</v>
      </c>
      <c r="AX113" s="632">
        <v>44.591442265797909</v>
      </c>
      <c r="AY113" s="632">
        <v>45.654927720631036</v>
      </c>
      <c r="AZ113" s="632">
        <v>46.743776816000839</v>
      </c>
      <c r="BA113" s="632">
        <v>47.858594463106009</v>
      </c>
      <c r="BB113" s="632">
        <v>49</v>
      </c>
      <c r="BC113" s="632">
        <v>0</v>
      </c>
      <c r="BD113" s="632">
        <v>0</v>
      </c>
      <c r="BE113" s="632">
        <v>0</v>
      </c>
      <c r="BF113" s="632">
        <v>0</v>
      </c>
      <c r="BG113" s="632">
        <v>0</v>
      </c>
      <c r="BH113" s="634">
        <v>58.541912804318386</v>
      </c>
      <c r="BI113" s="634">
        <v>59.088888875662363</v>
      </c>
      <c r="BJ113" s="634">
        <v>59.640975521777321</v>
      </c>
      <c r="BK113" s="635">
        <v>60.093436424212491</v>
      </c>
      <c r="BL113" s="635">
        <v>60.545897326647662</v>
      </c>
      <c r="BM113" s="635">
        <v>60.998358229082847</v>
      </c>
      <c r="BN113" s="635">
        <v>61.450819131518017</v>
      </c>
      <c r="BO113" s="635">
        <v>61.985824472570023</v>
      </c>
      <c r="BP113" s="635">
        <v>62.520829813622044</v>
      </c>
      <c r="BQ113" s="635">
        <v>64.004018204721945</v>
      </c>
      <c r="BR113" s="635">
        <v>65.771135652709177</v>
      </c>
      <c r="BS113" s="635">
        <v>66.547042133075564</v>
      </c>
      <c r="BT113" s="635">
        <v>66.973135896094121</v>
      </c>
      <c r="BU113" s="635">
        <v>67.414396191182433</v>
      </c>
      <c r="BV113" s="635">
        <v>67.866273058719614</v>
      </c>
      <c r="BW113" s="634">
        <v>49.457822886406909</v>
      </c>
      <c r="BX113" s="634">
        <v>49.919923360473376</v>
      </c>
      <c r="BY113" s="634">
        <v>50.386341389087733</v>
      </c>
      <c r="BZ113" s="635">
        <v>50.768592841145029</v>
      </c>
      <c r="CA113" s="635">
        <v>51.150844293202333</v>
      </c>
      <c r="CB113" s="635">
        <v>51.533095745259644</v>
      </c>
      <c r="CC113" s="635">
        <v>51.91534719731694</v>
      </c>
      <c r="CD113" s="635">
        <v>52.367334468205705</v>
      </c>
      <c r="CE113" s="635">
        <v>52.819321739094484</v>
      </c>
      <c r="CF113" s="635">
        <v>54.072360207437505</v>
      </c>
      <c r="CG113" s="635">
        <v>55.565269775564644</v>
      </c>
      <c r="CH113" s="635">
        <v>56.220776974494875</v>
      </c>
      <c r="CI113" s="635">
        <v>56.580752739803643</v>
      </c>
      <c r="CJ113" s="635">
        <v>56.953541609792055</v>
      </c>
      <c r="CK113" s="635">
        <v>57.335299653056225</v>
      </c>
      <c r="CL113" s="634">
        <v>0</v>
      </c>
      <c r="CM113" s="634">
        <v>0</v>
      </c>
      <c r="CN113" s="634">
        <v>0</v>
      </c>
      <c r="CO113" s="635">
        <v>0</v>
      </c>
      <c r="CP113" s="635">
        <v>0</v>
      </c>
      <c r="CQ113" s="635">
        <v>0</v>
      </c>
      <c r="CR113" s="635">
        <v>0</v>
      </c>
      <c r="CS113" s="635">
        <v>0</v>
      </c>
      <c r="CT113" s="635">
        <v>0</v>
      </c>
      <c r="CU113" s="635">
        <v>0</v>
      </c>
      <c r="CV113" s="635">
        <v>0</v>
      </c>
      <c r="CW113" s="635">
        <v>0</v>
      </c>
      <c r="CX113" s="635">
        <v>0</v>
      </c>
      <c r="CY113" s="635">
        <v>0</v>
      </c>
      <c r="CZ113" s="635">
        <v>0</v>
      </c>
      <c r="DA113" s="636">
        <v>0</v>
      </c>
      <c r="DB113" s="636">
        <v>0</v>
      </c>
      <c r="DC113" s="636">
        <v>0</v>
      </c>
      <c r="DD113" s="637">
        <v>0</v>
      </c>
      <c r="DE113" s="637">
        <v>0</v>
      </c>
      <c r="DF113" s="637">
        <v>0</v>
      </c>
      <c r="DG113" s="637">
        <v>0</v>
      </c>
      <c r="DH113" s="637">
        <v>0</v>
      </c>
      <c r="DI113" s="637">
        <v>0</v>
      </c>
      <c r="DJ113" s="637">
        <v>0</v>
      </c>
      <c r="DK113" s="637">
        <v>0</v>
      </c>
      <c r="DL113" s="637">
        <v>0</v>
      </c>
      <c r="DM113" s="637">
        <v>0</v>
      </c>
      <c r="DN113" s="637">
        <v>0</v>
      </c>
      <c r="DO113" s="637">
        <v>0</v>
      </c>
      <c r="DP113" s="636">
        <v>0</v>
      </c>
      <c r="DQ113" s="636">
        <v>0</v>
      </c>
      <c r="DR113" s="636">
        <v>0</v>
      </c>
      <c r="DS113" s="637">
        <v>0</v>
      </c>
      <c r="DT113" s="637">
        <v>0</v>
      </c>
      <c r="DU113" s="637">
        <v>0</v>
      </c>
      <c r="DV113" s="637">
        <v>0</v>
      </c>
      <c r="DW113" s="637">
        <v>0</v>
      </c>
      <c r="DX113" s="637">
        <v>0</v>
      </c>
      <c r="DY113" s="637">
        <v>0</v>
      </c>
      <c r="DZ113" s="637">
        <v>0</v>
      </c>
      <c r="EA113" s="637">
        <v>0</v>
      </c>
      <c r="EB113" s="637">
        <v>0</v>
      </c>
      <c r="EC113" s="637">
        <v>0</v>
      </c>
      <c r="ED113" s="637">
        <v>0</v>
      </c>
    </row>
    <row r="114" spans="1:134" ht="15" x14ac:dyDescent="0.25">
      <c r="A114" s="555">
        <v>100</v>
      </c>
      <c r="B114" s="555">
        <v>89</v>
      </c>
      <c r="C114" s="555" t="s">
        <v>1097</v>
      </c>
      <c r="D114" s="812">
        <v>99709</v>
      </c>
      <c r="E114" s="812">
        <v>99709</v>
      </c>
      <c r="F114" s="630" t="s">
        <v>311</v>
      </c>
      <c r="G114" s="45">
        <v>32</v>
      </c>
      <c r="H114" s="45">
        <v>19</v>
      </c>
      <c r="I114" s="45">
        <v>13</v>
      </c>
      <c r="J114" s="45">
        <v>6</v>
      </c>
      <c r="K114" s="45">
        <v>0</v>
      </c>
      <c r="L114" s="45">
        <v>44</v>
      </c>
      <c r="M114" s="45">
        <v>44</v>
      </c>
      <c r="N114" s="45">
        <v>0</v>
      </c>
      <c r="O114" s="45">
        <v>0</v>
      </c>
      <c r="P114" s="45">
        <v>0</v>
      </c>
      <c r="Q114" s="45">
        <v>44</v>
      </c>
      <c r="R114" s="45">
        <v>0</v>
      </c>
      <c r="S114" s="45">
        <v>1936.340909090909</v>
      </c>
      <c r="T114" s="45">
        <v>1936.340909090909</v>
      </c>
      <c r="U114" s="45">
        <v>0</v>
      </c>
      <c r="V114" s="45">
        <v>0</v>
      </c>
      <c r="W114" s="45">
        <v>0</v>
      </c>
      <c r="X114" s="45">
        <v>1936.340909090909</v>
      </c>
      <c r="Y114" s="45">
        <v>0</v>
      </c>
      <c r="Z114" s="45">
        <v>19</v>
      </c>
      <c r="AA114" s="45">
        <v>0</v>
      </c>
      <c r="AB114" s="508">
        <v>0</v>
      </c>
      <c r="AC114" s="508">
        <v>0</v>
      </c>
      <c r="AD114" s="631">
        <v>19</v>
      </c>
      <c r="AE114" s="632">
        <v>0</v>
      </c>
      <c r="AF114" s="632">
        <v>13</v>
      </c>
      <c r="AG114" s="633">
        <v>13</v>
      </c>
      <c r="AH114" s="632">
        <v>0</v>
      </c>
      <c r="AI114" s="632">
        <v>0</v>
      </c>
      <c r="AJ114" s="632">
        <v>18.091009505147049</v>
      </c>
      <c r="AK114" s="632">
        <v>18.091009505147049</v>
      </c>
      <c r="AL114" s="632">
        <v>0</v>
      </c>
      <c r="AM114" s="632">
        <v>0</v>
      </c>
      <c r="AN114" s="632">
        <v>12.401410175673693</v>
      </c>
      <c r="AO114" s="632">
        <v>12.401410175673693</v>
      </c>
      <c r="AP114" s="632">
        <v>0</v>
      </c>
      <c r="AQ114" s="632">
        <v>0</v>
      </c>
      <c r="AR114" s="632">
        <v>0</v>
      </c>
      <c r="AS114" s="632">
        <v>17.22550657449057</v>
      </c>
      <c r="AT114" s="632">
        <v>17.652954516739737</v>
      </c>
      <c r="AU114" s="632">
        <v>18.091009505147049</v>
      </c>
      <c r="AV114" s="632">
        <v>18.539934751713499</v>
      </c>
      <c r="AW114" s="632">
        <v>19</v>
      </c>
      <c r="AX114" s="632">
        <v>11.830382641946384</v>
      </c>
      <c r="AY114" s="632">
        <v>12.112531844249052</v>
      </c>
      <c r="AZ114" s="632">
        <v>12.401410175673693</v>
      </c>
      <c r="BA114" s="632">
        <v>12.697178122864859</v>
      </c>
      <c r="BB114" s="632">
        <v>13</v>
      </c>
      <c r="BC114" s="632">
        <v>0</v>
      </c>
      <c r="BD114" s="632">
        <v>0</v>
      </c>
      <c r="BE114" s="632">
        <v>0</v>
      </c>
      <c r="BF114" s="632">
        <v>0</v>
      </c>
      <c r="BG114" s="632">
        <v>0</v>
      </c>
      <c r="BH114" s="634">
        <v>19.177523160035332</v>
      </c>
      <c r="BI114" s="634">
        <v>19.356704976510084</v>
      </c>
      <c r="BJ114" s="634">
        <v>19.537560946789121</v>
      </c>
      <c r="BK114" s="635">
        <v>19.699504314723004</v>
      </c>
      <c r="BL114" s="635">
        <v>19.861447682656884</v>
      </c>
      <c r="BM114" s="635">
        <v>20.023391050590771</v>
      </c>
      <c r="BN114" s="635">
        <v>20.185334418524654</v>
      </c>
      <c r="BO114" s="635">
        <v>20.376821829539118</v>
      </c>
      <c r="BP114" s="635">
        <v>20.568309240553582</v>
      </c>
      <c r="BQ114" s="635">
        <v>21.099167314792538</v>
      </c>
      <c r="BR114" s="635">
        <v>21.731648374529584</v>
      </c>
      <c r="BS114" s="635">
        <v>22.009358355559964</v>
      </c>
      <c r="BT114" s="635">
        <v>22.161864480768717</v>
      </c>
      <c r="BU114" s="635">
        <v>22.319798962925088</v>
      </c>
      <c r="BV114" s="635">
        <v>22.481533294944786</v>
      </c>
      <c r="BW114" s="634">
        <v>13.121463214761016</v>
      </c>
      <c r="BX114" s="634">
        <v>13.244061299717426</v>
      </c>
      <c r="BY114" s="634">
        <v>13.3678048583294</v>
      </c>
      <c r="BZ114" s="635">
        <v>13.478608215336793</v>
      </c>
      <c r="CA114" s="635">
        <v>13.589411572344186</v>
      </c>
      <c r="CB114" s="635">
        <v>13.700214929351581</v>
      </c>
      <c r="CC114" s="635">
        <v>13.811018286358975</v>
      </c>
      <c r="CD114" s="635">
        <v>13.94203598863203</v>
      </c>
      <c r="CE114" s="635">
        <v>14.073053690905084</v>
      </c>
      <c r="CF114" s="635">
        <v>14.436272373279108</v>
      </c>
      <c r="CG114" s="635">
        <v>14.869022572046561</v>
      </c>
      <c r="CH114" s="635">
        <v>15.059034664330502</v>
      </c>
      <c r="CI114" s="635">
        <v>15.163380960525966</v>
      </c>
      <c r="CJ114" s="635">
        <v>15.271441395685589</v>
      </c>
      <c r="CK114" s="635">
        <v>15.382101728120119</v>
      </c>
      <c r="CL114" s="634">
        <v>0</v>
      </c>
      <c r="CM114" s="634">
        <v>0</v>
      </c>
      <c r="CN114" s="634">
        <v>0</v>
      </c>
      <c r="CO114" s="635">
        <v>0</v>
      </c>
      <c r="CP114" s="635">
        <v>0</v>
      </c>
      <c r="CQ114" s="635">
        <v>0</v>
      </c>
      <c r="CR114" s="635">
        <v>0</v>
      </c>
      <c r="CS114" s="635">
        <v>0</v>
      </c>
      <c r="CT114" s="635">
        <v>0</v>
      </c>
      <c r="CU114" s="635">
        <v>0</v>
      </c>
      <c r="CV114" s="635">
        <v>0</v>
      </c>
      <c r="CW114" s="635">
        <v>0</v>
      </c>
      <c r="CX114" s="635">
        <v>0</v>
      </c>
      <c r="CY114" s="635">
        <v>0</v>
      </c>
      <c r="CZ114" s="635">
        <v>0</v>
      </c>
      <c r="DA114" s="636">
        <v>0</v>
      </c>
      <c r="DB114" s="636">
        <v>0</v>
      </c>
      <c r="DC114" s="636">
        <v>0</v>
      </c>
      <c r="DD114" s="637">
        <v>0</v>
      </c>
      <c r="DE114" s="637">
        <v>0</v>
      </c>
      <c r="DF114" s="637">
        <v>0</v>
      </c>
      <c r="DG114" s="637">
        <v>0</v>
      </c>
      <c r="DH114" s="637">
        <v>0</v>
      </c>
      <c r="DI114" s="637">
        <v>0</v>
      </c>
      <c r="DJ114" s="637">
        <v>0</v>
      </c>
      <c r="DK114" s="637">
        <v>0</v>
      </c>
      <c r="DL114" s="637">
        <v>0</v>
      </c>
      <c r="DM114" s="637">
        <v>0</v>
      </c>
      <c r="DN114" s="637">
        <v>0</v>
      </c>
      <c r="DO114" s="637">
        <v>0</v>
      </c>
      <c r="DP114" s="636">
        <v>0</v>
      </c>
      <c r="DQ114" s="636">
        <v>0</v>
      </c>
      <c r="DR114" s="636">
        <v>0</v>
      </c>
      <c r="DS114" s="637">
        <v>0</v>
      </c>
      <c r="DT114" s="637">
        <v>0</v>
      </c>
      <c r="DU114" s="637">
        <v>0</v>
      </c>
      <c r="DV114" s="637">
        <v>0</v>
      </c>
      <c r="DW114" s="637">
        <v>0</v>
      </c>
      <c r="DX114" s="637">
        <v>0</v>
      </c>
      <c r="DY114" s="637">
        <v>0</v>
      </c>
      <c r="DZ114" s="637">
        <v>0</v>
      </c>
      <c r="EA114" s="637">
        <v>0</v>
      </c>
      <c r="EB114" s="637">
        <v>0</v>
      </c>
      <c r="EC114" s="637">
        <v>0</v>
      </c>
      <c r="ED114" s="637">
        <v>0</v>
      </c>
    </row>
    <row r="115" spans="1:134" ht="15" x14ac:dyDescent="0.25">
      <c r="A115" s="555">
        <v>116</v>
      </c>
      <c r="B115" s="555">
        <v>89</v>
      </c>
      <c r="C115" s="555" t="s">
        <v>1098</v>
      </c>
      <c r="D115" s="812">
        <v>99705</v>
      </c>
      <c r="E115" s="812">
        <v>99705</v>
      </c>
      <c r="F115" s="630" t="s">
        <v>311</v>
      </c>
      <c r="G115" s="45">
        <v>132</v>
      </c>
      <c r="H115" s="45">
        <v>61</v>
      </c>
      <c r="I115" s="45">
        <v>56</v>
      </c>
      <c r="J115" s="45">
        <v>5</v>
      </c>
      <c r="K115" s="45">
        <v>1</v>
      </c>
      <c r="L115" s="45">
        <v>30</v>
      </c>
      <c r="M115" s="45">
        <v>31</v>
      </c>
      <c r="N115" s="45">
        <v>0</v>
      </c>
      <c r="O115" s="45">
        <v>0</v>
      </c>
      <c r="P115" s="45">
        <v>0</v>
      </c>
      <c r="Q115" s="45">
        <v>31</v>
      </c>
      <c r="R115" s="45">
        <v>5824</v>
      </c>
      <c r="S115" s="45">
        <v>1614.9</v>
      </c>
      <c r="T115" s="45">
        <v>1750.6774193548388</v>
      </c>
      <c r="U115" s="45">
        <v>0</v>
      </c>
      <c r="V115" s="45">
        <v>0</v>
      </c>
      <c r="W115" s="45">
        <v>0</v>
      </c>
      <c r="X115" s="45">
        <v>1750.6774193548388</v>
      </c>
      <c r="Y115" s="45">
        <v>1.967741935483871</v>
      </c>
      <c r="Z115" s="45">
        <v>59.032258064516128</v>
      </c>
      <c r="AA115" s="45">
        <v>0</v>
      </c>
      <c r="AB115" s="508">
        <v>0</v>
      </c>
      <c r="AC115" s="508">
        <v>0</v>
      </c>
      <c r="AD115" s="631">
        <v>61</v>
      </c>
      <c r="AE115" s="632">
        <v>1.8064516129032258</v>
      </c>
      <c r="AF115" s="632">
        <v>54.193548387096776</v>
      </c>
      <c r="AG115" s="633">
        <v>56</v>
      </c>
      <c r="AH115" s="632">
        <v>0</v>
      </c>
      <c r="AI115" s="632">
        <v>1.8263630230152417</v>
      </c>
      <c r="AJ115" s="632">
        <v>54.790890690457246</v>
      </c>
      <c r="AK115" s="632">
        <v>56.617253713472486</v>
      </c>
      <c r="AL115" s="632">
        <v>0</v>
      </c>
      <c r="AM115" s="632">
        <v>1.6852608975431678</v>
      </c>
      <c r="AN115" s="632">
        <v>50.557826926295036</v>
      </c>
      <c r="AO115" s="632">
        <v>52.243087823838202</v>
      </c>
      <c r="AP115" s="632">
        <v>0</v>
      </c>
      <c r="AQ115" s="632">
        <v>0</v>
      </c>
      <c r="AR115" s="632">
        <v>0</v>
      </c>
      <c r="AS115" s="632">
        <v>52.549400295995326</v>
      </c>
      <c r="AT115" s="632">
        <v>54.545418955666605</v>
      </c>
      <c r="AU115" s="632">
        <v>56.617253713472493</v>
      </c>
      <c r="AV115" s="632">
        <v>58.76778434245945</v>
      </c>
      <c r="AW115" s="632">
        <v>61</v>
      </c>
      <c r="AX115" s="632">
        <v>48.738218310165557</v>
      </c>
      <c r="AY115" s="632">
        <v>50.460232060062687</v>
      </c>
      <c r="AZ115" s="632">
        <v>52.243087823838202</v>
      </c>
      <c r="BA115" s="632">
        <v>54.088935265310404</v>
      </c>
      <c r="BB115" s="632">
        <v>56</v>
      </c>
      <c r="BC115" s="632">
        <v>0</v>
      </c>
      <c r="BD115" s="632">
        <v>0</v>
      </c>
      <c r="BE115" s="632">
        <v>0</v>
      </c>
      <c r="BF115" s="632">
        <v>0</v>
      </c>
      <c r="BG115" s="632">
        <v>0</v>
      </c>
      <c r="BH115" s="634">
        <v>61.626700107245526</v>
      </c>
      <c r="BI115" s="634">
        <v>62.259838788661888</v>
      </c>
      <c r="BJ115" s="634">
        <v>62.899482192693753</v>
      </c>
      <c r="BK115" s="635">
        <v>63.668717544062879</v>
      </c>
      <c r="BL115" s="635">
        <v>64.437952895432005</v>
      </c>
      <c r="BM115" s="635">
        <v>65.20718824680111</v>
      </c>
      <c r="BN115" s="635">
        <v>65.976423598170243</v>
      </c>
      <c r="BO115" s="635">
        <v>66.885993948433736</v>
      </c>
      <c r="BP115" s="635">
        <v>67.795564298697244</v>
      </c>
      <c r="BQ115" s="635">
        <v>70.317154422913134</v>
      </c>
      <c r="BR115" s="635">
        <v>73.321456460275826</v>
      </c>
      <c r="BS115" s="635">
        <v>74.640586336121245</v>
      </c>
      <c r="BT115" s="635">
        <v>75.364994530835304</v>
      </c>
      <c r="BU115" s="635">
        <v>76.115187566986407</v>
      </c>
      <c r="BV115" s="635">
        <v>76.883429992143434</v>
      </c>
      <c r="BW115" s="634">
        <v>56.575331245995891</v>
      </c>
      <c r="BX115" s="634">
        <v>57.156573314181408</v>
      </c>
      <c r="BY115" s="634">
        <v>57.743786930997544</v>
      </c>
      <c r="BZ115" s="635">
        <v>58.449970204385593</v>
      </c>
      <c r="CA115" s="635">
        <v>59.156153477773643</v>
      </c>
      <c r="CB115" s="635">
        <v>59.862336751161678</v>
      </c>
      <c r="CC115" s="635">
        <v>60.568520024549727</v>
      </c>
      <c r="CD115" s="635">
        <v>61.40353542807032</v>
      </c>
      <c r="CE115" s="635">
        <v>62.238550831590914</v>
      </c>
      <c r="CF115" s="635">
        <v>64.553453240707142</v>
      </c>
      <c r="CG115" s="635">
        <v>67.311501012712242</v>
      </c>
      <c r="CH115" s="635">
        <v>68.52250548889819</v>
      </c>
      <c r="CI115" s="635">
        <v>69.187535962734046</v>
      </c>
      <c r="CJ115" s="635">
        <v>69.876237766413752</v>
      </c>
      <c r="CK115" s="635">
        <v>70.58150950098414</v>
      </c>
      <c r="CL115" s="634">
        <v>0</v>
      </c>
      <c r="CM115" s="634">
        <v>0</v>
      </c>
      <c r="CN115" s="634">
        <v>0</v>
      </c>
      <c r="CO115" s="635">
        <v>0</v>
      </c>
      <c r="CP115" s="635">
        <v>0</v>
      </c>
      <c r="CQ115" s="635">
        <v>0</v>
      </c>
      <c r="CR115" s="635">
        <v>0</v>
      </c>
      <c r="CS115" s="635">
        <v>0</v>
      </c>
      <c r="CT115" s="635">
        <v>0</v>
      </c>
      <c r="CU115" s="635">
        <v>0</v>
      </c>
      <c r="CV115" s="635">
        <v>0</v>
      </c>
      <c r="CW115" s="635">
        <v>0</v>
      </c>
      <c r="CX115" s="635">
        <v>0</v>
      </c>
      <c r="CY115" s="635">
        <v>0</v>
      </c>
      <c r="CZ115" s="635">
        <v>0</v>
      </c>
      <c r="DA115" s="636">
        <v>0</v>
      </c>
      <c r="DB115" s="636">
        <v>0</v>
      </c>
      <c r="DC115" s="636">
        <v>0</v>
      </c>
      <c r="DD115" s="637">
        <v>0</v>
      </c>
      <c r="DE115" s="637">
        <v>0</v>
      </c>
      <c r="DF115" s="637">
        <v>0</v>
      </c>
      <c r="DG115" s="637">
        <v>0</v>
      </c>
      <c r="DH115" s="637">
        <v>0</v>
      </c>
      <c r="DI115" s="637">
        <v>0</v>
      </c>
      <c r="DJ115" s="637">
        <v>0</v>
      </c>
      <c r="DK115" s="637">
        <v>0</v>
      </c>
      <c r="DL115" s="637">
        <v>0</v>
      </c>
      <c r="DM115" s="637">
        <v>0</v>
      </c>
      <c r="DN115" s="637">
        <v>0</v>
      </c>
      <c r="DO115" s="637">
        <v>0</v>
      </c>
      <c r="DP115" s="636">
        <v>0</v>
      </c>
      <c r="DQ115" s="636">
        <v>0</v>
      </c>
      <c r="DR115" s="636">
        <v>0</v>
      </c>
      <c r="DS115" s="637">
        <v>0</v>
      </c>
      <c r="DT115" s="637">
        <v>0</v>
      </c>
      <c r="DU115" s="637">
        <v>0</v>
      </c>
      <c r="DV115" s="637">
        <v>0</v>
      </c>
      <c r="DW115" s="637">
        <v>0</v>
      </c>
      <c r="DX115" s="637">
        <v>0</v>
      </c>
      <c r="DY115" s="637">
        <v>0</v>
      </c>
      <c r="DZ115" s="637">
        <v>0</v>
      </c>
      <c r="EA115" s="637">
        <v>0</v>
      </c>
      <c r="EB115" s="637">
        <v>0</v>
      </c>
      <c r="EC115" s="637">
        <v>0</v>
      </c>
      <c r="ED115" s="637">
        <v>0</v>
      </c>
    </row>
    <row r="116" spans="1:134" ht="15" x14ac:dyDescent="0.25">
      <c r="A116" s="555">
        <v>117</v>
      </c>
      <c r="B116" s="555">
        <v>89</v>
      </c>
      <c r="C116" s="555" t="s">
        <v>1099</v>
      </c>
      <c r="D116" s="812">
        <v>99705</v>
      </c>
      <c r="E116" s="812">
        <v>99705</v>
      </c>
      <c r="F116" s="630" t="s">
        <v>311</v>
      </c>
      <c r="G116" s="45">
        <v>46</v>
      </c>
      <c r="H116" s="45">
        <v>15</v>
      </c>
      <c r="I116" s="45">
        <v>12</v>
      </c>
      <c r="J116" s="45">
        <v>3</v>
      </c>
      <c r="K116" s="45">
        <v>0</v>
      </c>
      <c r="L116" s="45">
        <v>18</v>
      </c>
      <c r="M116" s="45">
        <v>18</v>
      </c>
      <c r="N116" s="45">
        <v>5</v>
      </c>
      <c r="O116" s="45">
        <v>0</v>
      </c>
      <c r="P116" s="45">
        <v>0</v>
      </c>
      <c r="Q116" s="45">
        <v>23</v>
      </c>
      <c r="R116" s="45">
        <v>0</v>
      </c>
      <c r="S116" s="45">
        <v>1696.7222222222222</v>
      </c>
      <c r="T116" s="45">
        <v>1696.7222222222222</v>
      </c>
      <c r="U116" s="45">
        <v>10182.200000000001</v>
      </c>
      <c r="V116" s="45">
        <v>0</v>
      </c>
      <c r="W116" s="45">
        <v>0</v>
      </c>
      <c r="X116" s="45">
        <v>3541.391304347826</v>
      </c>
      <c r="Y116" s="45">
        <v>0</v>
      </c>
      <c r="Z116" s="45">
        <v>15</v>
      </c>
      <c r="AA116" s="45">
        <v>0</v>
      </c>
      <c r="AB116" s="508">
        <v>5</v>
      </c>
      <c r="AC116" s="508">
        <v>0</v>
      </c>
      <c r="AD116" s="631">
        <v>20</v>
      </c>
      <c r="AE116" s="632">
        <v>0</v>
      </c>
      <c r="AF116" s="632">
        <v>12</v>
      </c>
      <c r="AG116" s="633">
        <v>12</v>
      </c>
      <c r="AH116" s="632">
        <v>0</v>
      </c>
      <c r="AI116" s="632">
        <v>0</v>
      </c>
      <c r="AJ116" s="632">
        <v>13.922275503312909</v>
      </c>
      <c r="AK116" s="632">
        <v>13.922275503312909</v>
      </c>
      <c r="AL116" s="632">
        <v>0</v>
      </c>
      <c r="AM116" s="632">
        <v>0</v>
      </c>
      <c r="AN116" s="632">
        <v>11.194947390822472</v>
      </c>
      <c r="AO116" s="632">
        <v>11.194947390822472</v>
      </c>
      <c r="AP116" s="632">
        <v>0</v>
      </c>
      <c r="AQ116" s="632">
        <v>4.7005383366745468</v>
      </c>
      <c r="AR116" s="632">
        <v>0</v>
      </c>
      <c r="AS116" s="632">
        <v>12.921983679343112</v>
      </c>
      <c r="AT116" s="632">
        <v>13.412807939918018</v>
      </c>
      <c r="AU116" s="632">
        <v>13.922275503312909</v>
      </c>
      <c r="AV116" s="632">
        <v>14.451094510440848</v>
      </c>
      <c r="AW116" s="632">
        <v>15</v>
      </c>
      <c r="AX116" s="632">
        <v>10.443903923606905</v>
      </c>
      <c r="AY116" s="632">
        <v>10.812906870013432</v>
      </c>
      <c r="AZ116" s="632">
        <v>11.194947390822472</v>
      </c>
      <c r="BA116" s="632">
        <v>11.5904861282808</v>
      </c>
      <c r="BB116" s="632">
        <v>12</v>
      </c>
      <c r="BC116" s="632">
        <v>4.4190121309094232</v>
      </c>
      <c r="BD116" s="632">
        <v>4.5576019935454681</v>
      </c>
      <c r="BE116" s="632">
        <v>4.7005383366745468</v>
      </c>
      <c r="BF116" s="632">
        <v>4.8479574754088688</v>
      </c>
      <c r="BG116" s="632">
        <v>5</v>
      </c>
      <c r="BH116" s="634">
        <v>15.1541065837489</v>
      </c>
      <c r="BI116" s="634">
        <v>15.309796423441448</v>
      </c>
      <c r="BJ116" s="634">
        <v>15.467085785088628</v>
      </c>
      <c r="BK116" s="635">
        <v>15.568106079809789</v>
      </c>
      <c r="BL116" s="635">
        <v>15.669126374530951</v>
      </c>
      <c r="BM116" s="635">
        <v>15.770146669252107</v>
      </c>
      <c r="BN116" s="635">
        <v>15.871166963973268</v>
      </c>
      <c r="BO116" s="635">
        <v>15.990616836745895</v>
      </c>
      <c r="BP116" s="635">
        <v>16.11006670951852</v>
      </c>
      <c r="BQ116" s="635">
        <v>16.441216047703346</v>
      </c>
      <c r="BR116" s="635">
        <v>16.835757817924367</v>
      </c>
      <c r="BS116" s="635">
        <v>17.008993341481897</v>
      </c>
      <c r="BT116" s="635">
        <v>17.104126682920494</v>
      </c>
      <c r="BU116" s="635">
        <v>17.202646234153889</v>
      </c>
      <c r="BV116" s="635">
        <v>17.303536132243636</v>
      </c>
      <c r="BW116" s="634">
        <v>12.123285266999119</v>
      </c>
      <c r="BX116" s="634">
        <v>12.247837138753159</v>
      </c>
      <c r="BY116" s="634">
        <v>12.373668628070902</v>
      </c>
      <c r="BZ116" s="635">
        <v>12.454484863847831</v>
      </c>
      <c r="CA116" s="635">
        <v>12.53530109962476</v>
      </c>
      <c r="CB116" s="635">
        <v>12.616117335401686</v>
      </c>
      <c r="CC116" s="635">
        <v>12.696933571178615</v>
      </c>
      <c r="CD116" s="635">
        <v>12.792493469396716</v>
      </c>
      <c r="CE116" s="635">
        <v>12.888053367614818</v>
      </c>
      <c r="CF116" s="635">
        <v>13.152972838162675</v>
      </c>
      <c r="CG116" s="635">
        <v>13.468606254339493</v>
      </c>
      <c r="CH116" s="635">
        <v>13.607194673185518</v>
      </c>
      <c r="CI116" s="635">
        <v>13.683301346336396</v>
      </c>
      <c r="CJ116" s="635">
        <v>13.762116987323111</v>
      </c>
      <c r="CK116" s="635">
        <v>13.84282890579491</v>
      </c>
      <c r="CL116" s="634">
        <v>5.0513688612496335</v>
      </c>
      <c r="CM116" s="634">
        <v>5.1032654744804828</v>
      </c>
      <c r="CN116" s="634">
        <v>5.1556952616962093</v>
      </c>
      <c r="CO116" s="635">
        <v>5.1893686932699294</v>
      </c>
      <c r="CP116" s="635">
        <v>5.2230421248436496</v>
      </c>
      <c r="CQ116" s="635">
        <v>5.2567155564173689</v>
      </c>
      <c r="CR116" s="635">
        <v>5.290388987991089</v>
      </c>
      <c r="CS116" s="635">
        <v>5.3302056122486317</v>
      </c>
      <c r="CT116" s="635">
        <v>5.3700222365061734</v>
      </c>
      <c r="CU116" s="635">
        <v>5.4804053492344478</v>
      </c>
      <c r="CV116" s="635">
        <v>5.6119192726414555</v>
      </c>
      <c r="CW116" s="635">
        <v>5.669664447160633</v>
      </c>
      <c r="CX116" s="635">
        <v>5.7013755609734984</v>
      </c>
      <c r="CY116" s="635">
        <v>5.7342154113846293</v>
      </c>
      <c r="CZ116" s="635">
        <v>5.7678453774145453</v>
      </c>
      <c r="DA116" s="636">
        <v>0</v>
      </c>
      <c r="DB116" s="636">
        <v>0</v>
      </c>
      <c r="DC116" s="636">
        <v>0</v>
      </c>
      <c r="DD116" s="637">
        <v>0</v>
      </c>
      <c r="DE116" s="637">
        <v>0</v>
      </c>
      <c r="DF116" s="637">
        <v>0</v>
      </c>
      <c r="DG116" s="637">
        <v>0</v>
      </c>
      <c r="DH116" s="637">
        <v>0</v>
      </c>
      <c r="DI116" s="637">
        <v>0</v>
      </c>
      <c r="DJ116" s="637">
        <v>0</v>
      </c>
      <c r="DK116" s="637">
        <v>0</v>
      </c>
      <c r="DL116" s="637">
        <v>0</v>
      </c>
      <c r="DM116" s="637">
        <v>0</v>
      </c>
      <c r="DN116" s="637">
        <v>0</v>
      </c>
      <c r="DO116" s="637">
        <v>0</v>
      </c>
      <c r="DP116" s="636">
        <v>0</v>
      </c>
      <c r="DQ116" s="636">
        <v>0</v>
      </c>
      <c r="DR116" s="636">
        <v>0</v>
      </c>
      <c r="DS116" s="637">
        <v>0</v>
      </c>
      <c r="DT116" s="637">
        <v>0</v>
      </c>
      <c r="DU116" s="637">
        <v>0</v>
      </c>
      <c r="DV116" s="637">
        <v>0</v>
      </c>
      <c r="DW116" s="637">
        <v>0</v>
      </c>
      <c r="DX116" s="637">
        <v>0</v>
      </c>
      <c r="DY116" s="637">
        <v>0</v>
      </c>
      <c r="DZ116" s="637">
        <v>0</v>
      </c>
      <c r="EA116" s="637">
        <v>0</v>
      </c>
      <c r="EB116" s="637">
        <v>0</v>
      </c>
      <c r="EC116" s="637">
        <v>0</v>
      </c>
      <c r="ED116" s="637">
        <v>0</v>
      </c>
    </row>
    <row r="117" spans="1:134" ht="15" x14ac:dyDescent="0.25">
      <c r="A117" s="555">
        <v>118</v>
      </c>
      <c r="B117" s="555">
        <v>89</v>
      </c>
      <c r="C117" s="555" t="s">
        <v>1100</v>
      </c>
      <c r="D117" s="812">
        <v>99705</v>
      </c>
      <c r="E117" s="812">
        <v>99705</v>
      </c>
      <c r="F117" s="630" t="s">
        <v>311</v>
      </c>
      <c r="G117" s="45">
        <v>3</v>
      </c>
      <c r="H117" s="45">
        <v>2</v>
      </c>
      <c r="I117" s="45">
        <v>2</v>
      </c>
      <c r="J117" s="45">
        <v>0</v>
      </c>
      <c r="K117" s="45">
        <v>0</v>
      </c>
      <c r="L117" s="45">
        <v>8</v>
      </c>
      <c r="M117" s="45">
        <v>8</v>
      </c>
      <c r="N117" s="45">
        <v>11</v>
      </c>
      <c r="O117" s="45">
        <v>0</v>
      </c>
      <c r="P117" s="45">
        <v>0</v>
      </c>
      <c r="Q117" s="45">
        <v>19</v>
      </c>
      <c r="R117" s="45">
        <v>0</v>
      </c>
      <c r="S117" s="45">
        <v>1998.125</v>
      </c>
      <c r="T117" s="45">
        <v>1998.125</v>
      </c>
      <c r="U117" s="45">
        <v>10060.454545454546</v>
      </c>
      <c r="V117" s="45">
        <v>0</v>
      </c>
      <c r="W117" s="45">
        <v>0</v>
      </c>
      <c r="X117" s="45">
        <v>6665.7894736842109</v>
      </c>
      <c r="Y117" s="45">
        <v>0</v>
      </c>
      <c r="Z117" s="45">
        <v>2</v>
      </c>
      <c r="AA117" s="45">
        <v>0</v>
      </c>
      <c r="AB117" s="508">
        <v>11</v>
      </c>
      <c r="AC117" s="508">
        <v>0</v>
      </c>
      <c r="AD117" s="631">
        <v>13</v>
      </c>
      <c r="AE117" s="632">
        <v>0</v>
      </c>
      <c r="AF117" s="632">
        <v>2</v>
      </c>
      <c r="AG117" s="633">
        <v>2</v>
      </c>
      <c r="AH117" s="632">
        <v>0</v>
      </c>
      <c r="AI117" s="632">
        <v>0</v>
      </c>
      <c r="AJ117" s="632">
        <v>1.8563034004417209</v>
      </c>
      <c r="AK117" s="632">
        <v>1.8563034004417209</v>
      </c>
      <c r="AL117" s="632">
        <v>0</v>
      </c>
      <c r="AM117" s="632">
        <v>0</v>
      </c>
      <c r="AN117" s="632">
        <v>1.8658245651370786</v>
      </c>
      <c r="AO117" s="632">
        <v>1.8658245651370786</v>
      </c>
      <c r="AP117" s="632">
        <v>0</v>
      </c>
      <c r="AQ117" s="632">
        <v>10.341184340684002</v>
      </c>
      <c r="AR117" s="632">
        <v>0</v>
      </c>
      <c r="AS117" s="632">
        <v>1.7229311572457484</v>
      </c>
      <c r="AT117" s="632">
        <v>1.7883743919890691</v>
      </c>
      <c r="AU117" s="632">
        <v>1.8563034004417209</v>
      </c>
      <c r="AV117" s="632">
        <v>1.926812601392113</v>
      </c>
      <c r="AW117" s="632">
        <v>2</v>
      </c>
      <c r="AX117" s="632">
        <v>1.7406506539344841</v>
      </c>
      <c r="AY117" s="632">
        <v>1.8021511450022387</v>
      </c>
      <c r="AZ117" s="632">
        <v>1.8658245651370786</v>
      </c>
      <c r="BA117" s="632">
        <v>1.9317476880468001</v>
      </c>
      <c r="BB117" s="632">
        <v>2</v>
      </c>
      <c r="BC117" s="632">
        <v>9.7218266880007302</v>
      </c>
      <c r="BD117" s="632">
        <v>10.02672438580003</v>
      </c>
      <c r="BE117" s="632">
        <v>10.341184340684002</v>
      </c>
      <c r="BF117" s="632">
        <v>10.665506445899512</v>
      </c>
      <c r="BG117" s="632">
        <v>11</v>
      </c>
      <c r="BH117" s="634">
        <v>2.0205475444998533</v>
      </c>
      <c r="BI117" s="634">
        <v>2.0413061897921931</v>
      </c>
      <c r="BJ117" s="634">
        <v>2.0622781046784837</v>
      </c>
      <c r="BK117" s="635">
        <v>2.1753770869443989</v>
      </c>
      <c r="BL117" s="635">
        <v>2.2884760692103141</v>
      </c>
      <c r="BM117" s="635">
        <v>2.4015750514762289</v>
      </c>
      <c r="BN117" s="635">
        <v>2.514674033742144</v>
      </c>
      <c r="BO117" s="635">
        <v>2.6484061623175652</v>
      </c>
      <c r="BP117" s="635">
        <v>2.7821382908929859</v>
      </c>
      <c r="BQ117" s="635">
        <v>3.152882142216261</v>
      </c>
      <c r="BR117" s="635">
        <v>3.5945980647104294</v>
      </c>
      <c r="BS117" s="635">
        <v>3.7885468297654179</v>
      </c>
      <c r="BT117" s="635">
        <v>3.8950549737572739</v>
      </c>
      <c r="BU117" s="635">
        <v>4.0053542062881933</v>
      </c>
      <c r="BV117" s="635">
        <v>4.1183072007964592</v>
      </c>
      <c r="BW117" s="634">
        <v>2.0205475444998533</v>
      </c>
      <c r="BX117" s="634">
        <v>2.0413061897921931</v>
      </c>
      <c r="BY117" s="634">
        <v>2.0622781046784837</v>
      </c>
      <c r="BZ117" s="635">
        <v>2.1753770869443989</v>
      </c>
      <c r="CA117" s="635">
        <v>2.2884760692103141</v>
      </c>
      <c r="CB117" s="635">
        <v>2.4015750514762289</v>
      </c>
      <c r="CC117" s="635">
        <v>2.514674033742144</v>
      </c>
      <c r="CD117" s="635">
        <v>2.6484061623175652</v>
      </c>
      <c r="CE117" s="635">
        <v>2.7821382908929859</v>
      </c>
      <c r="CF117" s="635">
        <v>3.152882142216261</v>
      </c>
      <c r="CG117" s="635">
        <v>3.5945980647104294</v>
      </c>
      <c r="CH117" s="635">
        <v>3.7885468297654179</v>
      </c>
      <c r="CI117" s="635">
        <v>3.8950549737572739</v>
      </c>
      <c r="CJ117" s="635">
        <v>4.0053542062881933</v>
      </c>
      <c r="CK117" s="635">
        <v>4.1183072007964592</v>
      </c>
      <c r="CL117" s="634">
        <v>11.113011494749193</v>
      </c>
      <c r="CM117" s="634">
        <v>11.227184043857061</v>
      </c>
      <c r="CN117" s="634">
        <v>11.34252957573166</v>
      </c>
      <c r="CO117" s="635">
        <v>11.964573978194194</v>
      </c>
      <c r="CP117" s="635">
        <v>12.586618380656727</v>
      </c>
      <c r="CQ117" s="635">
        <v>13.208662783119259</v>
      </c>
      <c r="CR117" s="635">
        <v>13.830707185581792</v>
      </c>
      <c r="CS117" s="635">
        <v>14.566233892746608</v>
      </c>
      <c r="CT117" s="635">
        <v>15.301760599911423</v>
      </c>
      <c r="CU117" s="635">
        <v>17.340851782189436</v>
      </c>
      <c r="CV117" s="635">
        <v>19.770289355907362</v>
      </c>
      <c r="CW117" s="635">
        <v>20.837007563709797</v>
      </c>
      <c r="CX117" s="635">
        <v>21.422802355665006</v>
      </c>
      <c r="CY117" s="635">
        <v>22.029448134585063</v>
      </c>
      <c r="CZ117" s="635">
        <v>22.650689604380528</v>
      </c>
      <c r="DA117" s="636">
        <v>0</v>
      </c>
      <c r="DB117" s="636">
        <v>0</v>
      </c>
      <c r="DC117" s="636">
        <v>0</v>
      </c>
      <c r="DD117" s="637">
        <v>0</v>
      </c>
      <c r="DE117" s="637">
        <v>0</v>
      </c>
      <c r="DF117" s="637">
        <v>0</v>
      </c>
      <c r="DG117" s="637">
        <v>0</v>
      </c>
      <c r="DH117" s="637">
        <v>0</v>
      </c>
      <c r="DI117" s="637">
        <v>0</v>
      </c>
      <c r="DJ117" s="637">
        <v>0</v>
      </c>
      <c r="DK117" s="637">
        <v>0</v>
      </c>
      <c r="DL117" s="637">
        <v>0</v>
      </c>
      <c r="DM117" s="637">
        <v>0</v>
      </c>
      <c r="DN117" s="637">
        <v>0</v>
      </c>
      <c r="DO117" s="637">
        <v>0</v>
      </c>
      <c r="DP117" s="636">
        <v>0</v>
      </c>
      <c r="DQ117" s="636">
        <v>0</v>
      </c>
      <c r="DR117" s="636">
        <v>0</v>
      </c>
      <c r="DS117" s="637">
        <v>0</v>
      </c>
      <c r="DT117" s="637">
        <v>0</v>
      </c>
      <c r="DU117" s="637">
        <v>0</v>
      </c>
      <c r="DV117" s="637">
        <v>0</v>
      </c>
      <c r="DW117" s="637">
        <v>0</v>
      </c>
      <c r="DX117" s="637">
        <v>0</v>
      </c>
      <c r="DY117" s="637">
        <v>0</v>
      </c>
      <c r="DZ117" s="637">
        <v>0</v>
      </c>
      <c r="EA117" s="637">
        <v>0</v>
      </c>
      <c r="EB117" s="637">
        <v>0</v>
      </c>
      <c r="EC117" s="637">
        <v>0</v>
      </c>
      <c r="ED117" s="637">
        <v>0</v>
      </c>
    </row>
    <row r="118" spans="1:134" ht="15" x14ac:dyDescent="0.25">
      <c r="A118" s="555">
        <v>120</v>
      </c>
      <c r="B118" s="555">
        <v>89</v>
      </c>
      <c r="C118" s="555" t="s">
        <v>1101</v>
      </c>
      <c r="D118" s="812">
        <v>99705</v>
      </c>
      <c r="E118" s="812">
        <v>99705</v>
      </c>
      <c r="F118" s="630" t="s">
        <v>311</v>
      </c>
      <c r="G118" s="45">
        <v>13</v>
      </c>
      <c r="H118" s="45">
        <v>12</v>
      </c>
      <c r="I118" s="45">
        <v>8</v>
      </c>
      <c r="J118" s="45">
        <v>4</v>
      </c>
      <c r="K118" s="45">
        <v>0</v>
      </c>
      <c r="L118" s="45">
        <v>1</v>
      </c>
      <c r="M118" s="45">
        <v>1</v>
      </c>
      <c r="N118" s="45">
        <v>0</v>
      </c>
      <c r="O118" s="45">
        <v>0</v>
      </c>
      <c r="P118" s="45">
        <v>0</v>
      </c>
      <c r="Q118" s="45">
        <v>1</v>
      </c>
      <c r="R118" s="45">
        <v>0</v>
      </c>
      <c r="S118" s="45">
        <v>2688</v>
      </c>
      <c r="T118" s="45">
        <v>2688</v>
      </c>
      <c r="U118" s="45">
        <v>0</v>
      </c>
      <c r="V118" s="45">
        <v>0</v>
      </c>
      <c r="W118" s="45">
        <v>0</v>
      </c>
      <c r="X118" s="45">
        <v>2688</v>
      </c>
      <c r="Y118" s="45">
        <v>0</v>
      </c>
      <c r="Z118" s="45">
        <v>12</v>
      </c>
      <c r="AA118" s="45">
        <v>0</v>
      </c>
      <c r="AB118" s="508">
        <v>0</v>
      </c>
      <c r="AC118" s="508">
        <v>0</v>
      </c>
      <c r="AD118" s="631">
        <v>12</v>
      </c>
      <c r="AE118" s="632">
        <v>0</v>
      </c>
      <c r="AF118" s="632">
        <v>8</v>
      </c>
      <c r="AG118" s="633">
        <v>8</v>
      </c>
      <c r="AH118" s="632">
        <v>0</v>
      </c>
      <c r="AI118" s="632">
        <v>0</v>
      </c>
      <c r="AJ118" s="632">
        <v>11.137820402650327</v>
      </c>
      <c r="AK118" s="632">
        <v>11.137820402650327</v>
      </c>
      <c r="AL118" s="632">
        <v>0</v>
      </c>
      <c r="AM118" s="632">
        <v>0</v>
      </c>
      <c r="AN118" s="632">
        <v>7.4632982605483145</v>
      </c>
      <c r="AO118" s="632">
        <v>7.4632982605483145</v>
      </c>
      <c r="AP118" s="632">
        <v>0</v>
      </c>
      <c r="AQ118" s="632">
        <v>0</v>
      </c>
      <c r="AR118" s="632">
        <v>0</v>
      </c>
      <c r="AS118" s="632">
        <v>10.33758694347449</v>
      </c>
      <c r="AT118" s="632">
        <v>10.730246351934415</v>
      </c>
      <c r="AU118" s="632">
        <v>11.137820402650327</v>
      </c>
      <c r="AV118" s="632">
        <v>11.560875608352678</v>
      </c>
      <c r="AW118" s="632">
        <v>12</v>
      </c>
      <c r="AX118" s="632">
        <v>6.9626026157379366</v>
      </c>
      <c r="AY118" s="632">
        <v>7.2086045800089549</v>
      </c>
      <c r="AZ118" s="632">
        <v>7.4632982605483145</v>
      </c>
      <c r="BA118" s="632">
        <v>7.7269907521872003</v>
      </c>
      <c r="BB118" s="632">
        <v>8</v>
      </c>
      <c r="BC118" s="632">
        <v>0</v>
      </c>
      <c r="BD118" s="632">
        <v>0</v>
      </c>
      <c r="BE118" s="632">
        <v>0</v>
      </c>
      <c r="BF118" s="632">
        <v>0</v>
      </c>
      <c r="BG118" s="632">
        <v>0</v>
      </c>
      <c r="BH118" s="634">
        <v>12.338254449264323</v>
      </c>
      <c r="BI118" s="634">
        <v>12.68604357123257</v>
      </c>
      <c r="BJ118" s="634">
        <v>13.043636128026776</v>
      </c>
      <c r="BK118" s="635">
        <v>13.173254457320169</v>
      </c>
      <c r="BL118" s="635">
        <v>13.302872786613564</v>
      </c>
      <c r="BM118" s="635">
        <v>13.432491115906958</v>
      </c>
      <c r="BN118" s="635">
        <v>13.562109445200353</v>
      </c>
      <c r="BO118" s="635">
        <v>13.715374618162208</v>
      </c>
      <c r="BP118" s="635">
        <v>13.868639791124066</v>
      </c>
      <c r="BQ118" s="635">
        <v>14.293534848900409</v>
      </c>
      <c r="BR118" s="635">
        <v>14.799768227388022</v>
      </c>
      <c r="BS118" s="635">
        <v>15.022045337148722</v>
      </c>
      <c r="BT118" s="635">
        <v>15.144110163938285</v>
      </c>
      <c r="BU118" s="635">
        <v>15.270519809335335</v>
      </c>
      <c r="BV118" s="635">
        <v>15.399970827757622</v>
      </c>
      <c r="BW118" s="634">
        <v>8.2255029661762151</v>
      </c>
      <c r="BX118" s="634">
        <v>8.4573623808217135</v>
      </c>
      <c r="BY118" s="634">
        <v>8.6957574186845168</v>
      </c>
      <c r="BZ118" s="635">
        <v>8.7821696382134462</v>
      </c>
      <c r="CA118" s="635">
        <v>8.8685818577423756</v>
      </c>
      <c r="CB118" s="635">
        <v>8.954994077271305</v>
      </c>
      <c r="CC118" s="635">
        <v>9.0414062968002344</v>
      </c>
      <c r="CD118" s="635">
        <v>9.1435830787748049</v>
      </c>
      <c r="CE118" s="635">
        <v>9.2457598607493772</v>
      </c>
      <c r="CF118" s="635">
        <v>9.529023232600272</v>
      </c>
      <c r="CG118" s="635">
        <v>9.8665121515920138</v>
      </c>
      <c r="CH118" s="635">
        <v>10.014696891432481</v>
      </c>
      <c r="CI118" s="635">
        <v>10.096073442625523</v>
      </c>
      <c r="CJ118" s="635">
        <v>10.180346539556888</v>
      </c>
      <c r="CK118" s="635">
        <v>10.266647218505081</v>
      </c>
      <c r="CL118" s="634">
        <v>0</v>
      </c>
      <c r="CM118" s="634">
        <v>0</v>
      </c>
      <c r="CN118" s="634">
        <v>0</v>
      </c>
      <c r="CO118" s="635">
        <v>0</v>
      </c>
      <c r="CP118" s="635">
        <v>0</v>
      </c>
      <c r="CQ118" s="635">
        <v>0</v>
      </c>
      <c r="CR118" s="635">
        <v>0</v>
      </c>
      <c r="CS118" s="635">
        <v>0</v>
      </c>
      <c r="CT118" s="635">
        <v>0</v>
      </c>
      <c r="CU118" s="635">
        <v>0</v>
      </c>
      <c r="CV118" s="635">
        <v>0</v>
      </c>
      <c r="CW118" s="635">
        <v>0</v>
      </c>
      <c r="CX118" s="635">
        <v>0</v>
      </c>
      <c r="CY118" s="635">
        <v>0</v>
      </c>
      <c r="CZ118" s="635">
        <v>0</v>
      </c>
      <c r="DA118" s="636">
        <v>0</v>
      </c>
      <c r="DB118" s="636">
        <v>0</v>
      </c>
      <c r="DC118" s="636">
        <v>0</v>
      </c>
      <c r="DD118" s="637">
        <v>0</v>
      </c>
      <c r="DE118" s="637">
        <v>0</v>
      </c>
      <c r="DF118" s="637">
        <v>0</v>
      </c>
      <c r="DG118" s="637">
        <v>0</v>
      </c>
      <c r="DH118" s="637">
        <v>0</v>
      </c>
      <c r="DI118" s="637">
        <v>0</v>
      </c>
      <c r="DJ118" s="637">
        <v>0</v>
      </c>
      <c r="DK118" s="637">
        <v>0</v>
      </c>
      <c r="DL118" s="637">
        <v>0</v>
      </c>
      <c r="DM118" s="637">
        <v>0</v>
      </c>
      <c r="DN118" s="637">
        <v>0</v>
      </c>
      <c r="DO118" s="637">
        <v>0</v>
      </c>
      <c r="DP118" s="636">
        <v>0</v>
      </c>
      <c r="DQ118" s="636">
        <v>0</v>
      </c>
      <c r="DR118" s="636">
        <v>0</v>
      </c>
      <c r="DS118" s="637">
        <v>0</v>
      </c>
      <c r="DT118" s="637">
        <v>0</v>
      </c>
      <c r="DU118" s="637">
        <v>0</v>
      </c>
      <c r="DV118" s="637">
        <v>0</v>
      </c>
      <c r="DW118" s="637">
        <v>0</v>
      </c>
      <c r="DX118" s="637">
        <v>0</v>
      </c>
      <c r="DY118" s="637">
        <v>0</v>
      </c>
      <c r="DZ118" s="637">
        <v>0</v>
      </c>
      <c r="EA118" s="637">
        <v>0</v>
      </c>
      <c r="EB118" s="637">
        <v>0</v>
      </c>
      <c r="EC118" s="637">
        <v>0</v>
      </c>
      <c r="ED118" s="637">
        <v>0</v>
      </c>
    </row>
    <row r="119" spans="1:134" ht="15" x14ac:dyDescent="0.25">
      <c r="A119" s="555">
        <v>121</v>
      </c>
      <c r="B119" s="555">
        <v>89</v>
      </c>
      <c r="C119" s="555" t="s">
        <v>1102</v>
      </c>
      <c r="D119" s="812">
        <v>99705</v>
      </c>
      <c r="E119" s="812">
        <v>99705</v>
      </c>
      <c r="F119" s="630" t="s">
        <v>311</v>
      </c>
      <c r="G119" s="45">
        <v>321</v>
      </c>
      <c r="H119" s="45">
        <v>137</v>
      </c>
      <c r="I119" s="45">
        <v>115</v>
      </c>
      <c r="J119" s="45">
        <v>22</v>
      </c>
      <c r="K119" s="45">
        <v>0</v>
      </c>
      <c r="L119" s="45">
        <v>132</v>
      </c>
      <c r="M119" s="45">
        <v>132</v>
      </c>
      <c r="N119" s="45">
        <v>2</v>
      </c>
      <c r="O119" s="45">
        <v>0</v>
      </c>
      <c r="P119" s="45">
        <v>0</v>
      </c>
      <c r="Q119" s="45">
        <v>134</v>
      </c>
      <c r="R119" s="45">
        <v>0</v>
      </c>
      <c r="S119" s="45">
        <v>1946.4924242424242</v>
      </c>
      <c r="T119" s="45">
        <v>1946.4924242424242</v>
      </c>
      <c r="U119" s="45">
        <v>4724</v>
      </c>
      <c r="V119" s="45">
        <v>0</v>
      </c>
      <c r="W119" s="45">
        <v>0</v>
      </c>
      <c r="X119" s="45">
        <v>1987.9477611940299</v>
      </c>
      <c r="Y119" s="45">
        <v>0</v>
      </c>
      <c r="Z119" s="45">
        <v>137</v>
      </c>
      <c r="AA119" s="45">
        <v>0</v>
      </c>
      <c r="AB119" s="508">
        <v>2</v>
      </c>
      <c r="AC119" s="508">
        <v>0</v>
      </c>
      <c r="AD119" s="631">
        <v>139</v>
      </c>
      <c r="AE119" s="632">
        <v>0</v>
      </c>
      <c r="AF119" s="632">
        <v>115</v>
      </c>
      <c r="AG119" s="633">
        <v>115</v>
      </c>
      <c r="AH119" s="632">
        <v>0</v>
      </c>
      <c r="AI119" s="632">
        <v>0</v>
      </c>
      <c r="AJ119" s="632">
        <v>127.15678293025789</v>
      </c>
      <c r="AK119" s="632">
        <v>127.15678293025789</v>
      </c>
      <c r="AL119" s="632">
        <v>0</v>
      </c>
      <c r="AM119" s="632">
        <v>0</v>
      </c>
      <c r="AN119" s="632">
        <v>107.28491249538202</v>
      </c>
      <c r="AO119" s="632">
        <v>107.28491249538202</v>
      </c>
      <c r="AP119" s="632">
        <v>0</v>
      </c>
      <c r="AQ119" s="632">
        <v>1.8802153346698185</v>
      </c>
      <c r="AR119" s="632">
        <v>0</v>
      </c>
      <c r="AS119" s="632">
        <v>118.02078427133377</v>
      </c>
      <c r="AT119" s="632">
        <v>122.50364585125124</v>
      </c>
      <c r="AU119" s="632">
        <v>127.15678293025789</v>
      </c>
      <c r="AV119" s="632">
        <v>131.98666319535974</v>
      </c>
      <c r="AW119" s="632">
        <v>137</v>
      </c>
      <c r="AX119" s="632">
        <v>100.08741260123284</v>
      </c>
      <c r="AY119" s="632">
        <v>103.62369083762873</v>
      </c>
      <c r="AZ119" s="632">
        <v>107.28491249538202</v>
      </c>
      <c r="BA119" s="632">
        <v>111.075492062691</v>
      </c>
      <c r="BB119" s="632">
        <v>115</v>
      </c>
      <c r="BC119" s="632">
        <v>1.7676048523637691</v>
      </c>
      <c r="BD119" s="632">
        <v>1.823040797418187</v>
      </c>
      <c r="BE119" s="632">
        <v>1.8802153346698185</v>
      </c>
      <c r="BF119" s="632">
        <v>1.9391829901635476</v>
      </c>
      <c r="BG119" s="632">
        <v>2</v>
      </c>
      <c r="BH119" s="634">
        <v>140.86173829576768</v>
      </c>
      <c r="BI119" s="634">
        <v>144.83233077157183</v>
      </c>
      <c r="BJ119" s="634">
        <v>148.91484579497234</v>
      </c>
      <c r="BK119" s="635">
        <v>150.39465505440526</v>
      </c>
      <c r="BL119" s="635">
        <v>151.87446431383816</v>
      </c>
      <c r="BM119" s="635">
        <v>153.35427357327109</v>
      </c>
      <c r="BN119" s="635">
        <v>154.83408283270398</v>
      </c>
      <c r="BO119" s="635">
        <v>156.58386022401854</v>
      </c>
      <c r="BP119" s="635">
        <v>158.33363761533306</v>
      </c>
      <c r="BQ119" s="635">
        <v>163.18452285827965</v>
      </c>
      <c r="BR119" s="635">
        <v>168.96402059601323</v>
      </c>
      <c r="BS119" s="635">
        <v>171.50168426578122</v>
      </c>
      <c r="BT119" s="635">
        <v>172.89525770496206</v>
      </c>
      <c r="BU119" s="635">
        <v>174.33843448991172</v>
      </c>
      <c r="BV119" s="635">
        <v>175.8163336168995</v>
      </c>
      <c r="BW119" s="634">
        <v>118.24160513878309</v>
      </c>
      <c r="BX119" s="634">
        <v>121.57458422431213</v>
      </c>
      <c r="BY119" s="634">
        <v>125.00151289358993</v>
      </c>
      <c r="BZ119" s="635">
        <v>126.24368854931829</v>
      </c>
      <c r="CA119" s="635">
        <v>127.48586420504665</v>
      </c>
      <c r="CB119" s="635">
        <v>128.728039860775</v>
      </c>
      <c r="CC119" s="635">
        <v>129.97021551650337</v>
      </c>
      <c r="CD119" s="635">
        <v>131.43900675738783</v>
      </c>
      <c r="CE119" s="635">
        <v>132.90779799827229</v>
      </c>
      <c r="CF119" s="635">
        <v>136.97970896862893</v>
      </c>
      <c r="CG119" s="635">
        <v>141.8311121791352</v>
      </c>
      <c r="CH119" s="635">
        <v>143.96126781434191</v>
      </c>
      <c r="CI119" s="635">
        <v>145.13105573774189</v>
      </c>
      <c r="CJ119" s="635">
        <v>146.34248150613027</v>
      </c>
      <c r="CK119" s="635">
        <v>147.58305376601055</v>
      </c>
      <c r="CL119" s="634">
        <v>2.0563757415440538</v>
      </c>
      <c r="CM119" s="634">
        <v>2.1143405952054284</v>
      </c>
      <c r="CN119" s="634">
        <v>2.1739393546711292</v>
      </c>
      <c r="CO119" s="635">
        <v>2.1955424095533616</v>
      </c>
      <c r="CP119" s="635">
        <v>2.2171454644355939</v>
      </c>
      <c r="CQ119" s="635">
        <v>2.2387485193178263</v>
      </c>
      <c r="CR119" s="635">
        <v>2.2603515742000586</v>
      </c>
      <c r="CS119" s="635">
        <v>2.2858957696937012</v>
      </c>
      <c r="CT119" s="635">
        <v>2.3114399651873443</v>
      </c>
      <c r="CU119" s="635">
        <v>2.382255808150068</v>
      </c>
      <c r="CV119" s="635">
        <v>2.4666280378980034</v>
      </c>
      <c r="CW119" s="635">
        <v>2.5036742228581201</v>
      </c>
      <c r="CX119" s="635">
        <v>2.5240183606563806</v>
      </c>
      <c r="CY119" s="635">
        <v>2.545086634889222</v>
      </c>
      <c r="CZ119" s="635">
        <v>2.5666618046262704</v>
      </c>
      <c r="DA119" s="636">
        <v>0</v>
      </c>
      <c r="DB119" s="636">
        <v>0</v>
      </c>
      <c r="DC119" s="636">
        <v>0</v>
      </c>
      <c r="DD119" s="637">
        <v>0</v>
      </c>
      <c r="DE119" s="637">
        <v>0</v>
      </c>
      <c r="DF119" s="637">
        <v>0</v>
      </c>
      <c r="DG119" s="637">
        <v>0</v>
      </c>
      <c r="DH119" s="637">
        <v>0</v>
      </c>
      <c r="DI119" s="637">
        <v>0</v>
      </c>
      <c r="DJ119" s="637">
        <v>0</v>
      </c>
      <c r="DK119" s="637">
        <v>0</v>
      </c>
      <c r="DL119" s="637">
        <v>0</v>
      </c>
      <c r="DM119" s="637">
        <v>0</v>
      </c>
      <c r="DN119" s="637">
        <v>0</v>
      </c>
      <c r="DO119" s="637">
        <v>0</v>
      </c>
      <c r="DP119" s="636">
        <v>0</v>
      </c>
      <c r="DQ119" s="636">
        <v>0</v>
      </c>
      <c r="DR119" s="636">
        <v>0</v>
      </c>
      <c r="DS119" s="637">
        <v>0</v>
      </c>
      <c r="DT119" s="637">
        <v>0</v>
      </c>
      <c r="DU119" s="637">
        <v>0</v>
      </c>
      <c r="DV119" s="637">
        <v>0</v>
      </c>
      <c r="DW119" s="637">
        <v>0</v>
      </c>
      <c r="DX119" s="637">
        <v>0</v>
      </c>
      <c r="DY119" s="637">
        <v>0</v>
      </c>
      <c r="DZ119" s="637">
        <v>0</v>
      </c>
      <c r="EA119" s="637">
        <v>0</v>
      </c>
      <c r="EB119" s="637">
        <v>0</v>
      </c>
      <c r="EC119" s="637">
        <v>0</v>
      </c>
      <c r="ED119" s="637">
        <v>0</v>
      </c>
    </row>
    <row r="120" spans="1:134" ht="15" x14ac:dyDescent="0.25">
      <c r="A120" s="555">
        <v>122</v>
      </c>
      <c r="B120" s="555">
        <v>89</v>
      </c>
      <c r="C120" s="555" t="s">
        <v>1103</v>
      </c>
      <c r="D120" s="812">
        <v>99705</v>
      </c>
      <c r="E120" s="812">
        <v>99705</v>
      </c>
      <c r="F120" s="630" t="s">
        <v>311</v>
      </c>
      <c r="G120" s="45">
        <v>355</v>
      </c>
      <c r="H120" s="45">
        <v>124</v>
      </c>
      <c r="I120" s="45">
        <v>115</v>
      </c>
      <c r="J120" s="45">
        <v>9</v>
      </c>
      <c r="K120" s="45">
        <v>1</v>
      </c>
      <c r="L120" s="45">
        <v>132</v>
      </c>
      <c r="M120" s="45">
        <v>133</v>
      </c>
      <c r="N120" s="45">
        <v>4</v>
      </c>
      <c r="O120" s="45">
        <v>0</v>
      </c>
      <c r="P120" s="45">
        <v>0</v>
      </c>
      <c r="Q120" s="45">
        <v>137</v>
      </c>
      <c r="R120" s="45">
        <v>3824</v>
      </c>
      <c r="S120" s="45">
        <v>2442.560606060606</v>
      </c>
      <c r="T120" s="45">
        <v>2452.9473684210525</v>
      </c>
      <c r="U120" s="45">
        <v>6541.25</v>
      </c>
      <c r="V120" s="45">
        <v>0</v>
      </c>
      <c r="W120" s="45">
        <v>0</v>
      </c>
      <c r="X120" s="45">
        <v>2572.3138686131388</v>
      </c>
      <c r="Y120" s="45">
        <v>0.93233082706766912</v>
      </c>
      <c r="Z120" s="45">
        <v>123.06766917293233</v>
      </c>
      <c r="AA120" s="45">
        <v>0</v>
      </c>
      <c r="AB120" s="508">
        <v>4</v>
      </c>
      <c r="AC120" s="508">
        <v>0</v>
      </c>
      <c r="AD120" s="631">
        <v>128</v>
      </c>
      <c r="AE120" s="632">
        <v>0.86466165413533835</v>
      </c>
      <c r="AF120" s="632">
        <v>114.13533834586465</v>
      </c>
      <c r="AG120" s="633">
        <v>114.99999999999999</v>
      </c>
      <c r="AH120" s="632">
        <v>0</v>
      </c>
      <c r="AI120" s="632">
        <v>0.86534444231117813</v>
      </c>
      <c r="AJ120" s="632">
        <v>114.22546638507552</v>
      </c>
      <c r="AK120" s="632">
        <v>115.0908108273867</v>
      </c>
      <c r="AL120" s="632">
        <v>0</v>
      </c>
      <c r="AM120" s="632">
        <v>0.80665347740888738</v>
      </c>
      <c r="AN120" s="632">
        <v>106.47825901797312</v>
      </c>
      <c r="AO120" s="632">
        <v>107.284912495382</v>
      </c>
      <c r="AP120" s="632">
        <v>0</v>
      </c>
      <c r="AQ120" s="632">
        <v>3.760430669339637</v>
      </c>
      <c r="AR120" s="632">
        <v>0</v>
      </c>
      <c r="AS120" s="632">
        <v>106.82173174923639</v>
      </c>
      <c r="AT120" s="632">
        <v>110.87921230332228</v>
      </c>
      <c r="AU120" s="632">
        <v>115.0908108273867</v>
      </c>
      <c r="AV120" s="632">
        <v>119.46238128631101</v>
      </c>
      <c r="AW120" s="632">
        <v>124</v>
      </c>
      <c r="AX120" s="632">
        <v>100.08741260123283</v>
      </c>
      <c r="AY120" s="632">
        <v>103.62369083762871</v>
      </c>
      <c r="AZ120" s="632">
        <v>107.284912495382</v>
      </c>
      <c r="BA120" s="632">
        <v>111.07549206269098</v>
      </c>
      <c r="BB120" s="632">
        <v>114.99999999999999</v>
      </c>
      <c r="BC120" s="632">
        <v>3.5352097047275381</v>
      </c>
      <c r="BD120" s="632">
        <v>3.6460815948363741</v>
      </c>
      <c r="BE120" s="632">
        <v>3.760430669339637</v>
      </c>
      <c r="BF120" s="632">
        <v>3.8783659803270951</v>
      </c>
      <c r="BG120" s="632">
        <v>4</v>
      </c>
      <c r="BH120" s="634">
        <v>126.49728368432417</v>
      </c>
      <c r="BI120" s="634">
        <v>129.04486112509989</v>
      </c>
      <c r="BJ120" s="634">
        <v>131.64374520762885</v>
      </c>
      <c r="BK120" s="635">
        <v>132.52702042457065</v>
      </c>
      <c r="BL120" s="635">
        <v>133.41029564151245</v>
      </c>
      <c r="BM120" s="635">
        <v>134.2935708584543</v>
      </c>
      <c r="BN120" s="635">
        <v>135.1768460753961</v>
      </c>
      <c r="BO120" s="635">
        <v>136.22126108703446</v>
      </c>
      <c r="BP120" s="635">
        <v>137.26567609867288</v>
      </c>
      <c r="BQ120" s="635">
        <v>140.16109433451052</v>
      </c>
      <c r="BR120" s="635">
        <v>143.61078697940422</v>
      </c>
      <c r="BS120" s="635">
        <v>145.12547910215702</v>
      </c>
      <c r="BT120" s="635">
        <v>145.95728149423593</v>
      </c>
      <c r="BU120" s="635">
        <v>146.818691354788</v>
      </c>
      <c r="BV120" s="635">
        <v>147.70082644327135</v>
      </c>
      <c r="BW120" s="634">
        <v>117.31602922336515</v>
      </c>
      <c r="BX120" s="634">
        <v>119.67870184989103</v>
      </c>
      <c r="BY120" s="634">
        <v>122.08895724901062</v>
      </c>
      <c r="BZ120" s="635">
        <v>122.90812378085181</v>
      </c>
      <c r="CA120" s="635">
        <v>123.727290312693</v>
      </c>
      <c r="CB120" s="635">
        <v>124.54645684453421</v>
      </c>
      <c r="CC120" s="635">
        <v>125.3656233763754</v>
      </c>
      <c r="CD120" s="635">
        <v>126.33423407265292</v>
      </c>
      <c r="CE120" s="635">
        <v>127.30284476893047</v>
      </c>
      <c r="CF120" s="635">
        <v>129.98811168119926</v>
      </c>
      <c r="CG120" s="635">
        <v>133.18742340831841</v>
      </c>
      <c r="CH120" s="635">
        <v>134.5921781995811</v>
      </c>
      <c r="CI120" s="635">
        <v>135.36360783739622</v>
      </c>
      <c r="CJ120" s="635">
        <v>136.16249601452114</v>
      </c>
      <c r="CK120" s="635">
        <v>136.98060516916294</v>
      </c>
      <c r="CL120" s="634">
        <v>4.0805575382040056</v>
      </c>
      <c r="CM120" s="634">
        <v>4.1627374556483838</v>
      </c>
      <c r="CN120" s="634">
        <v>4.2465724260525439</v>
      </c>
      <c r="CO120" s="635">
        <v>4.2750651749861506</v>
      </c>
      <c r="CP120" s="635">
        <v>4.3035579239197572</v>
      </c>
      <c r="CQ120" s="635">
        <v>4.3320506728533648</v>
      </c>
      <c r="CR120" s="635">
        <v>4.3605434217869714</v>
      </c>
      <c r="CS120" s="635">
        <v>4.3942342286140157</v>
      </c>
      <c r="CT120" s="635">
        <v>4.4279250354410609</v>
      </c>
      <c r="CU120" s="635">
        <v>4.5213256236938877</v>
      </c>
      <c r="CV120" s="635">
        <v>4.632606031593685</v>
      </c>
      <c r="CW120" s="635">
        <v>4.6814670678115169</v>
      </c>
      <c r="CX120" s="635">
        <v>4.7082994030398693</v>
      </c>
      <c r="CY120" s="635">
        <v>4.7360868178963873</v>
      </c>
      <c r="CZ120" s="635">
        <v>4.7645427884926246</v>
      </c>
      <c r="DA120" s="636">
        <v>0</v>
      </c>
      <c r="DB120" s="636">
        <v>0</v>
      </c>
      <c r="DC120" s="636">
        <v>0</v>
      </c>
      <c r="DD120" s="637">
        <v>0</v>
      </c>
      <c r="DE120" s="637">
        <v>0</v>
      </c>
      <c r="DF120" s="637">
        <v>0</v>
      </c>
      <c r="DG120" s="637">
        <v>0</v>
      </c>
      <c r="DH120" s="637">
        <v>0</v>
      </c>
      <c r="DI120" s="637">
        <v>0</v>
      </c>
      <c r="DJ120" s="637">
        <v>0</v>
      </c>
      <c r="DK120" s="637">
        <v>0</v>
      </c>
      <c r="DL120" s="637">
        <v>0</v>
      </c>
      <c r="DM120" s="637">
        <v>0</v>
      </c>
      <c r="DN120" s="637">
        <v>0</v>
      </c>
      <c r="DO120" s="637">
        <v>0</v>
      </c>
      <c r="DP120" s="636">
        <v>0</v>
      </c>
      <c r="DQ120" s="636">
        <v>0</v>
      </c>
      <c r="DR120" s="636">
        <v>0</v>
      </c>
      <c r="DS120" s="637">
        <v>0</v>
      </c>
      <c r="DT120" s="637">
        <v>0</v>
      </c>
      <c r="DU120" s="637">
        <v>0</v>
      </c>
      <c r="DV120" s="637">
        <v>0</v>
      </c>
      <c r="DW120" s="637">
        <v>0</v>
      </c>
      <c r="DX120" s="637">
        <v>0</v>
      </c>
      <c r="DY120" s="637">
        <v>0</v>
      </c>
      <c r="DZ120" s="637">
        <v>0</v>
      </c>
      <c r="EA120" s="637">
        <v>0</v>
      </c>
      <c r="EB120" s="637">
        <v>0</v>
      </c>
      <c r="EC120" s="637">
        <v>0</v>
      </c>
      <c r="ED120" s="637">
        <v>0</v>
      </c>
    </row>
    <row r="121" spans="1:134" ht="15" x14ac:dyDescent="0.25">
      <c r="A121" s="555">
        <v>123</v>
      </c>
      <c r="B121" s="555">
        <v>89</v>
      </c>
      <c r="C121" s="555" t="s">
        <v>1104</v>
      </c>
      <c r="D121" s="812">
        <v>99705</v>
      </c>
      <c r="E121" s="812">
        <v>99705</v>
      </c>
      <c r="F121" s="630" t="s">
        <v>311</v>
      </c>
      <c r="G121" s="45">
        <v>538</v>
      </c>
      <c r="H121" s="45">
        <v>203</v>
      </c>
      <c r="I121" s="45">
        <v>190</v>
      </c>
      <c r="J121" s="45">
        <v>13</v>
      </c>
      <c r="K121" s="45">
        <v>1</v>
      </c>
      <c r="L121" s="45">
        <v>163</v>
      </c>
      <c r="M121" s="45">
        <v>164</v>
      </c>
      <c r="N121" s="45">
        <v>1</v>
      </c>
      <c r="O121" s="45">
        <v>0</v>
      </c>
      <c r="P121" s="45">
        <v>0</v>
      </c>
      <c r="Q121" s="45">
        <v>165</v>
      </c>
      <c r="R121" s="45">
        <v>4968</v>
      </c>
      <c r="S121" s="45">
        <v>2189.9877300613498</v>
      </c>
      <c r="T121" s="45">
        <v>2206.9268292682927</v>
      </c>
      <c r="U121" s="45">
        <v>5760</v>
      </c>
      <c r="V121" s="45">
        <v>0</v>
      </c>
      <c r="W121" s="45">
        <v>0</v>
      </c>
      <c r="X121" s="45">
        <v>2228.4606060606061</v>
      </c>
      <c r="Y121" s="45">
        <v>1.2378048780487805</v>
      </c>
      <c r="Z121" s="45">
        <v>201.76219512195121</v>
      </c>
      <c r="AA121" s="45">
        <v>0</v>
      </c>
      <c r="AB121" s="508">
        <v>1</v>
      </c>
      <c r="AC121" s="508">
        <v>0</v>
      </c>
      <c r="AD121" s="631">
        <v>204</v>
      </c>
      <c r="AE121" s="632">
        <v>1.1585365853658536</v>
      </c>
      <c r="AF121" s="632">
        <v>188.84146341463412</v>
      </c>
      <c r="AG121" s="633">
        <v>189.99999999999997</v>
      </c>
      <c r="AH121" s="632">
        <v>0</v>
      </c>
      <c r="AI121" s="632">
        <v>1.1488707021026505</v>
      </c>
      <c r="AJ121" s="632">
        <v>187.26592444273203</v>
      </c>
      <c r="AK121" s="632">
        <v>188.41479514483467</v>
      </c>
      <c r="AL121" s="632">
        <v>0</v>
      </c>
      <c r="AM121" s="632">
        <v>1.0808130102928197</v>
      </c>
      <c r="AN121" s="632">
        <v>176.17252067772961</v>
      </c>
      <c r="AO121" s="632">
        <v>177.25333368802242</v>
      </c>
      <c r="AP121" s="632">
        <v>0</v>
      </c>
      <c r="AQ121" s="632">
        <v>0.94010766733490925</v>
      </c>
      <c r="AR121" s="632">
        <v>0</v>
      </c>
      <c r="AS121" s="632">
        <v>174.87751246044346</v>
      </c>
      <c r="AT121" s="632">
        <v>181.52000078689051</v>
      </c>
      <c r="AU121" s="632">
        <v>188.4147951448347</v>
      </c>
      <c r="AV121" s="632">
        <v>195.57147904129948</v>
      </c>
      <c r="AW121" s="632">
        <v>203</v>
      </c>
      <c r="AX121" s="632">
        <v>165.36181212377596</v>
      </c>
      <c r="AY121" s="632">
        <v>171.20435877521265</v>
      </c>
      <c r="AZ121" s="632">
        <v>177.25333368802245</v>
      </c>
      <c r="BA121" s="632">
        <v>183.51603036444598</v>
      </c>
      <c r="BB121" s="632">
        <v>189.99999999999997</v>
      </c>
      <c r="BC121" s="632">
        <v>0.88380242618188454</v>
      </c>
      <c r="BD121" s="632">
        <v>0.91152039870909352</v>
      </c>
      <c r="BE121" s="632">
        <v>0.94010766733490925</v>
      </c>
      <c r="BF121" s="632">
        <v>0.96959149508177378</v>
      </c>
      <c r="BG121" s="632">
        <v>1</v>
      </c>
      <c r="BH121" s="634">
        <v>207.08829506385328</v>
      </c>
      <c r="BI121" s="634">
        <v>211.25892587415547</v>
      </c>
      <c r="BJ121" s="634">
        <v>215.5135506221666</v>
      </c>
      <c r="BK121" s="635">
        <v>219.96433267069068</v>
      </c>
      <c r="BL121" s="635">
        <v>224.41511471921473</v>
      </c>
      <c r="BM121" s="635">
        <v>228.86589676773886</v>
      </c>
      <c r="BN121" s="635">
        <v>233.31667881626291</v>
      </c>
      <c r="BO121" s="635">
        <v>238.57943667004227</v>
      </c>
      <c r="BP121" s="635">
        <v>243.8421945238216</v>
      </c>
      <c r="BQ121" s="635">
        <v>258.43207009131908</v>
      </c>
      <c r="BR121" s="635">
        <v>275.81490819468894</v>
      </c>
      <c r="BS121" s="635">
        <v>283.44737017220319</v>
      </c>
      <c r="BT121" s="635">
        <v>287.63878309036733</v>
      </c>
      <c r="BU121" s="635">
        <v>291.97938664204531</v>
      </c>
      <c r="BV121" s="635">
        <v>296.42442363718311</v>
      </c>
      <c r="BW121" s="634">
        <v>193.82648306469022</v>
      </c>
      <c r="BX121" s="634">
        <v>197.7300291432982</v>
      </c>
      <c r="BY121" s="634">
        <v>201.7121902374958</v>
      </c>
      <c r="BZ121" s="635">
        <v>205.87794683463656</v>
      </c>
      <c r="CA121" s="635">
        <v>210.04370343177732</v>
      </c>
      <c r="CB121" s="635">
        <v>214.2094600289181</v>
      </c>
      <c r="CC121" s="635">
        <v>218.37521662605886</v>
      </c>
      <c r="CD121" s="635">
        <v>223.30095057787204</v>
      </c>
      <c r="CE121" s="635">
        <v>228.2266845296852</v>
      </c>
      <c r="CF121" s="635">
        <v>241.88223309039714</v>
      </c>
      <c r="CG121" s="635">
        <v>258.15188451719649</v>
      </c>
      <c r="CH121" s="635">
        <v>265.29556814147088</v>
      </c>
      <c r="CI121" s="635">
        <v>269.21856545403836</v>
      </c>
      <c r="CJ121" s="635">
        <v>273.2811993201409</v>
      </c>
      <c r="CK121" s="635">
        <v>277.44157877371816</v>
      </c>
      <c r="CL121" s="634">
        <v>1.0201393845510014</v>
      </c>
      <c r="CM121" s="634">
        <v>1.040684363912096</v>
      </c>
      <c r="CN121" s="634">
        <v>1.061643106513136</v>
      </c>
      <c r="CO121" s="635">
        <v>1.0835681412349294</v>
      </c>
      <c r="CP121" s="635">
        <v>1.1054931759567228</v>
      </c>
      <c r="CQ121" s="635">
        <v>1.1274182106785164</v>
      </c>
      <c r="CR121" s="635">
        <v>1.1493432454003099</v>
      </c>
      <c r="CS121" s="635">
        <v>1.1752681609361688</v>
      </c>
      <c r="CT121" s="635">
        <v>1.2011930764720276</v>
      </c>
      <c r="CU121" s="635">
        <v>1.273064384686301</v>
      </c>
      <c r="CV121" s="635">
        <v>1.3586941290378767</v>
      </c>
      <c r="CW121" s="635">
        <v>1.3962924639024787</v>
      </c>
      <c r="CX121" s="635">
        <v>1.4169398181791495</v>
      </c>
      <c r="CY121" s="635">
        <v>1.4383221016849521</v>
      </c>
      <c r="CZ121" s="635">
        <v>1.4602188356511483</v>
      </c>
      <c r="DA121" s="636">
        <v>0</v>
      </c>
      <c r="DB121" s="636">
        <v>0</v>
      </c>
      <c r="DC121" s="636">
        <v>0</v>
      </c>
      <c r="DD121" s="637">
        <v>0</v>
      </c>
      <c r="DE121" s="637">
        <v>0</v>
      </c>
      <c r="DF121" s="637">
        <v>0</v>
      </c>
      <c r="DG121" s="637">
        <v>0</v>
      </c>
      <c r="DH121" s="637">
        <v>0</v>
      </c>
      <c r="DI121" s="637">
        <v>0</v>
      </c>
      <c r="DJ121" s="637">
        <v>0</v>
      </c>
      <c r="DK121" s="637">
        <v>0</v>
      </c>
      <c r="DL121" s="637">
        <v>0</v>
      </c>
      <c r="DM121" s="637">
        <v>0</v>
      </c>
      <c r="DN121" s="637">
        <v>0</v>
      </c>
      <c r="DO121" s="637">
        <v>0</v>
      </c>
      <c r="DP121" s="636">
        <v>0</v>
      </c>
      <c r="DQ121" s="636">
        <v>0</v>
      </c>
      <c r="DR121" s="636">
        <v>0</v>
      </c>
      <c r="DS121" s="637">
        <v>0</v>
      </c>
      <c r="DT121" s="637">
        <v>0</v>
      </c>
      <c r="DU121" s="637">
        <v>0</v>
      </c>
      <c r="DV121" s="637">
        <v>0</v>
      </c>
      <c r="DW121" s="637">
        <v>0</v>
      </c>
      <c r="DX121" s="637">
        <v>0</v>
      </c>
      <c r="DY121" s="637">
        <v>0</v>
      </c>
      <c r="DZ121" s="637">
        <v>0</v>
      </c>
      <c r="EA121" s="637">
        <v>0</v>
      </c>
      <c r="EB121" s="637">
        <v>0</v>
      </c>
      <c r="EC121" s="637">
        <v>0</v>
      </c>
      <c r="ED121" s="637">
        <v>0</v>
      </c>
    </row>
    <row r="122" spans="1:134" ht="15" x14ac:dyDescent="0.25">
      <c r="A122" s="555">
        <v>124</v>
      </c>
      <c r="B122" s="555">
        <v>89</v>
      </c>
      <c r="C122" s="555" t="s">
        <v>1105</v>
      </c>
      <c r="D122" s="812">
        <v>99705</v>
      </c>
      <c r="E122" s="812">
        <v>99705</v>
      </c>
      <c r="F122" s="630" t="s">
        <v>311</v>
      </c>
      <c r="G122" s="45">
        <v>336</v>
      </c>
      <c r="H122" s="45">
        <v>130</v>
      </c>
      <c r="I122" s="45">
        <v>119</v>
      </c>
      <c r="J122" s="45">
        <v>11</v>
      </c>
      <c r="K122" s="45">
        <v>0</v>
      </c>
      <c r="L122" s="45">
        <v>134</v>
      </c>
      <c r="M122" s="45">
        <v>134</v>
      </c>
      <c r="N122" s="45">
        <v>0</v>
      </c>
      <c r="O122" s="45">
        <v>0</v>
      </c>
      <c r="P122" s="45">
        <v>0</v>
      </c>
      <c r="Q122" s="45">
        <v>134</v>
      </c>
      <c r="R122" s="45">
        <v>0</v>
      </c>
      <c r="S122" s="45">
        <v>2016.8656716417911</v>
      </c>
      <c r="T122" s="45">
        <v>2016.8656716417911</v>
      </c>
      <c r="U122" s="45">
        <v>0</v>
      </c>
      <c r="V122" s="45">
        <v>0</v>
      </c>
      <c r="W122" s="45">
        <v>0</v>
      </c>
      <c r="X122" s="45">
        <v>2016.8656716417911</v>
      </c>
      <c r="Y122" s="45">
        <v>0</v>
      </c>
      <c r="Z122" s="45">
        <v>130</v>
      </c>
      <c r="AA122" s="45">
        <v>0</v>
      </c>
      <c r="AB122" s="508">
        <v>0</v>
      </c>
      <c r="AC122" s="508">
        <v>0</v>
      </c>
      <c r="AD122" s="631">
        <v>130</v>
      </c>
      <c r="AE122" s="632">
        <v>0</v>
      </c>
      <c r="AF122" s="632">
        <v>119</v>
      </c>
      <c r="AG122" s="633">
        <v>119</v>
      </c>
      <c r="AH122" s="632">
        <v>0</v>
      </c>
      <c r="AI122" s="632">
        <v>0</v>
      </c>
      <c r="AJ122" s="632">
        <v>120.65972102871187</v>
      </c>
      <c r="AK122" s="632">
        <v>120.65972102871187</v>
      </c>
      <c r="AL122" s="632">
        <v>0</v>
      </c>
      <c r="AM122" s="632">
        <v>0</v>
      </c>
      <c r="AN122" s="632">
        <v>111.01656162565618</v>
      </c>
      <c r="AO122" s="632">
        <v>111.01656162565618</v>
      </c>
      <c r="AP122" s="632">
        <v>0</v>
      </c>
      <c r="AQ122" s="632">
        <v>0</v>
      </c>
      <c r="AR122" s="632">
        <v>0</v>
      </c>
      <c r="AS122" s="632">
        <v>111.99052522097364</v>
      </c>
      <c r="AT122" s="632">
        <v>116.24433547928949</v>
      </c>
      <c r="AU122" s="632">
        <v>120.65972102871187</v>
      </c>
      <c r="AV122" s="632">
        <v>125.24281909048734</v>
      </c>
      <c r="AW122" s="632">
        <v>130</v>
      </c>
      <c r="AX122" s="632">
        <v>103.5687139091018</v>
      </c>
      <c r="AY122" s="632">
        <v>107.2279931276332</v>
      </c>
      <c r="AZ122" s="632">
        <v>111.01656162565618</v>
      </c>
      <c r="BA122" s="632">
        <v>114.93898743878461</v>
      </c>
      <c r="BB122" s="632">
        <v>119</v>
      </c>
      <c r="BC122" s="632">
        <v>0</v>
      </c>
      <c r="BD122" s="632">
        <v>0</v>
      </c>
      <c r="BE122" s="632">
        <v>0</v>
      </c>
      <c r="BF122" s="632">
        <v>0</v>
      </c>
      <c r="BG122" s="632">
        <v>0</v>
      </c>
      <c r="BH122" s="634">
        <v>132.61811999163018</v>
      </c>
      <c r="BI122" s="634">
        <v>135.28896730857247</v>
      </c>
      <c r="BJ122" s="634">
        <v>138.01360384670767</v>
      </c>
      <c r="BK122" s="635">
        <v>139.25379187097778</v>
      </c>
      <c r="BL122" s="635">
        <v>140.49397989524795</v>
      </c>
      <c r="BM122" s="635">
        <v>141.73416791951809</v>
      </c>
      <c r="BN122" s="635">
        <v>142.97435594378823</v>
      </c>
      <c r="BO122" s="635">
        <v>144.44079694083842</v>
      </c>
      <c r="BP122" s="635">
        <v>145.9072379378886</v>
      </c>
      <c r="BQ122" s="635">
        <v>149.97263335764458</v>
      </c>
      <c r="BR122" s="635">
        <v>154.81627373558101</v>
      </c>
      <c r="BS122" s="635">
        <v>156.9430208638411</v>
      </c>
      <c r="BT122" s="635">
        <v>158.11093698491968</v>
      </c>
      <c r="BU122" s="635">
        <v>159.32042432539291</v>
      </c>
      <c r="BV122" s="635">
        <v>160.55901151944252</v>
      </c>
      <c r="BW122" s="634">
        <v>121.39658676156917</v>
      </c>
      <c r="BX122" s="634">
        <v>123.84143930553942</v>
      </c>
      <c r="BY122" s="634">
        <v>126.33552967506319</v>
      </c>
      <c r="BZ122" s="635">
        <v>127.4707787126643</v>
      </c>
      <c r="CA122" s="635">
        <v>128.60602775026544</v>
      </c>
      <c r="CB122" s="635">
        <v>129.74127678786658</v>
      </c>
      <c r="CC122" s="635">
        <v>130.8765258254677</v>
      </c>
      <c r="CD122" s="635">
        <v>132.21888335353671</v>
      </c>
      <c r="CE122" s="635">
        <v>133.56124088160573</v>
      </c>
      <c r="CF122" s="635">
        <v>137.28264130430543</v>
      </c>
      <c r="CG122" s="635">
        <v>141.71643518872415</v>
      </c>
      <c r="CH122" s="635">
        <v>143.66322679074688</v>
      </c>
      <c r="CI122" s="635">
        <v>144.73231924004187</v>
      </c>
      <c r="CJ122" s="635">
        <v>145.83946534401352</v>
      </c>
      <c r="CK122" s="635">
        <v>146.97324900625892</v>
      </c>
      <c r="CL122" s="634">
        <v>0</v>
      </c>
      <c r="CM122" s="634">
        <v>0</v>
      </c>
      <c r="CN122" s="634">
        <v>0</v>
      </c>
      <c r="CO122" s="635">
        <v>0</v>
      </c>
      <c r="CP122" s="635">
        <v>0</v>
      </c>
      <c r="CQ122" s="635">
        <v>0</v>
      </c>
      <c r="CR122" s="635">
        <v>0</v>
      </c>
      <c r="CS122" s="635">
        <v>0</v>
      </c>
      <c r="CT122" s="635">
        <v>0</v>
      </c>
      <c r="CU122" s="635">
        <v>0</v>
      </c>
      <c r="CV122" s="635">
        <v>0</v>
      </c>
      <c r="CW122" s="635">
        <v>0</v>
      </c>
      <c r="CX122" s="635">
        <v>0</v>
      </c>
      <c r="CY122" s="635">
        <v>0</v>
      </c>
      <c r="CZ122" s="635">
        <v>0</v>
      </c>
      <c r="DA122" s="636">
        <v>0</v>
      </c>
      <c r="DB122" s="636">
        <v>0</v>
      </c>
      <c r="DC122" s="636">
        <v>0</v>
      </c>
      <c r="DD122" s="637">
        <v>0</v>
      </c>
      <c r="DE122" s="637">
        <v>0</v>
      </c>
      <c r="DF122" s="637">
        <v>0</v>
      </c>
      <c r="DG122" s="637">
        <v>0</v>
      </c>
      <c r="DH122" s="637">
        <v>0</v>
      </c>
      <c r="DI122" s="637">
        <v>0</v>
      </c>
      <c r="DJ122" s="637">
        <v>0</v>
      </c>
      <c r="DK122" s="637">
        <v>0</v>
      </c>
      <c r="DL122" s="637">
        <v>0</v>
      </c>
      <c r="DM122" s="637">
        <v>0</v>
      </c>
      <c r="DN122" s="637">
        <v>0</v>
      </c>
      <c r="DO122" s="637">
        <v>0</v>
      </c>
      <c r="DP122" s="636">
        <v>0</v>
      </c>
      <c r="DQ122" s="636">
        <v>0</v>
      </c>
      <c r="DR122" s="636">
        <v>0</v>
      </c>
      <c r="DS122" s="637">
        <v>0</v>
      </c>
      <c r="DT122" s="637">
        <v>0</v>
      </c>
      <c r="DU122" s="637">
        <v>0</v>
      </c>
      <c r="DV122" s="637">
        <v>0</v>
      </c>
      <c r="DW122" s="637">
        <v>0</v>
      </c>
      <c r="DX122" s="637">
        <v>0</v>
      </c>
      <c r="DY122" s="637">
        <v>0</v>
      </c>
      <c r="DZ122" s="637">
        <v>0</v>
      </c>
      <c r="EA122" s="637">
        <v>0</v>
      </c>
      <c r="EB122" s="637">
        <v>0</v>
      </c>
      <c r="EC122" s="637">
        <v>0</v>
      </c>
      <c r="ED122" s="637">
        <v>0</v>
      </c>
    </row>
    <row r="123" spans="1:134" ht="15" x14ac:dyDescent="0.25">
      <c r="A123" s="555">
        <v>125</v>
      </c>
      <c r="B123" s="555">
        <v>89</v>
      </c>
      <c r="C123" s="555" t="s">
        <v>1106</v>
      </c>
      <c r="D123" s="812">
        <v>99705</v>
      </c>
      <c r="E123" s="812">
        <v>99705</v>
      </c>
      <c r="F123" s="630" t="s">
        <v>311</v>
      </c>
      <c r="G123" s="45">
        <v>316</v>
      </c>
      <c r="H123" s="45">
        <v>116</v>
      </c>
      <c r="I123" s="45">
        <v>109</v>
      </c>
      <c r="J123" s="45">
        <v>7</v>
      </c>
      <c r="K123" s="45">
        <v>0</v>
      </c>
      <c r="L123" s="45">
        <v>117</v>
      </c>
      <c r="M123" s="45">
        <v>117</v>
      </c>
      <c r="N123" s="45">
        <v>0</v>
      </c>
      <c r="O123" s="45">
        <v>0</v>
      </c>
      <c r="P123" s="45">
        <v>0</v>
      </c>
      <c r="Q123" s="45">
        <v>117</v>
      </c>
      <c r="R123" s="45">
        <v>0</v>
      </c>
      <c r="S123" s="45">
        <v>2056.8803418803418</v>
      </c>
      <c r="T123" s="45">
        <v>2056.8803418803418</v>
      </c>
      <c r="U123" s="45">
        <v>0</v>
      </c>
      <c r="V123" s="45">
        <v>0</v>
      </c>
      <c r="W123" s="45">
        <v>0</v>
      </c>
      <c r="X123" s="45">
        <v>2056.8803418803418</v>
      </c>
      <c r="Y123" s="45">
        <v>0</v>
      </c>
      <c r="Z123" s="45">
        <v>116</v>
      </c>
      <c r="AA123" s="45">
        <v>0</v>
      </c>
      <c r="AB123" s="508">
        <v>0</v>
      </c>
      <c r="AC123" s="508">
        <v>0</v>
      </c>
      <c r="AD123" s="631">
        <v>116</v>
      </c>
      <c r="AE123" s="632">
        <v>0</v>
      </c>
      <c r="AF123" s="632">
        <v>109</v>
      </c>
      <c r="AG123" s="633">
        <v>109</v>
      </c>
      <c r="AH123" s="632">
        <v>0</v>
      </c>
      <c r="AI123" s="632">
        <v>0</v>
      </c>
      <c r="AJ123" s="632">
        <v>107.66559722561982</v>
      </c>
      <c r="AK123" s="632">
        <v>107.66559722561982</v>
      </c>
      <c r="AL123" s="632">
        <v>0</v>
      </c>
      <c r="AM123" s="632">
        <v>0</v>
      </c>
      <c r="AN123" s="632">
        <v>101.68743879997078</v>
      </c>
      <c r="AO123" s="632">
        <v>101.68743879997078</v>
      </c>
      <c r="AP123" s="632">
        <v>0</v>
      </c>
      <c r="AQ123" s="632">
        <v>0</v>
      </c>
      <c r="AR123" s="632">
        <v>0</v>
      </c>
      <c r="AS123" s="632">
        <v>99.930007120253407</v>
      </c>
      <c r="AT123" s="632">
        <v>103.72571473536601</v>
      </c>
      <c r="AU123" s="632">
        <v>107.66559722561982</v>
      </c>
      <c r="AV123" s="632">
        <v>111.75513088074256</v>
      </c>
      <c r="AW123" s="632">
        <v>116</v>
      </c>
      <c r="AX123" s="632">
        <v>94.865460639429386</v>
      </c>
      <c r="AY123" s="632">
        <v>98.217237402622004</v>
      </c>
      <c r="AZ123" s="632">
        <v>101.68743879997078</v>
      </c>
      <c r="BA123" s="632">
        <v>105.2802489985506</v>
      </c>
      <c r="BB123" s="632">
        <v>109</v>
      </c>
      <c r="BC123" s="632">
        <v>0</v>
      </c>
      <c r="BD123" s="632">
        <v>0</v>
      </c>
      <c r="BE123" s="632">
        <v>0</v>
      </c>
      <c r="BF123" s="632">
        <v>0</v>
      </c>
      <c r="BG123" s="632">
        <v>0</v>
      </c>
      <c r="BH123" s="634">
        <v>116.9357610144243</v>
      </c>
      <c r="BI123" s="634">
        <v>117.87907072433237</v>
      </c>
      <c r="BJ123" s="634">
        <v>118.82999002433579</v>
      </c>
      <c r="BK123" s="635">
        <v>122.02142347093863</v>
      </c>
      <c r="BL123" s="635">
        <v>125.21285691754146</v>
      </c>
      <c r="BM123" s="635">
        <v>128.40429036414434</v>
      </c>
      <c r="BN123" s="635">
        <v>131.59572381074716</v>
      </c>
      <c r="BO123" s="635">
        <v>135.36938454111095</v>
      </c>
      <c r="BP123" s="635">
        <v>139.1430452714747</v>
      </c>
      <c r="BQ123" s="635">
        <v>149.60471613296431</v>
      </c>
      <c r="BR123" s="635">
        <v>162.06908089294473</v>
      </c>
      <c r="BS123" s="635">
        <v>167.54193806038137</v>
      </c>
      <c r="BT123" s="635">
        <v>170.5473908616454</v>
      </c>
      <c r="BU123" s="635">
        <v>173.65982081266083</v>
      </c>
      <c r="BV123" s="635">
        <v>176.8471347685024</v>
      </c>
      <c r="BW123" s="634">
        <v>109.87929267734698</v>
      </c>
      <c r="BX123" s="634">
        <v>110.76567852545024</v>
      </c>
      <c r="BY123" s="634">
        <v>111.65921476424656</v>
      </c>
      <c r="BZ123" s="635">
        <v>114.6580617097613</v>
      </c>
      <c r="CA123" s="635">
        <v>117.65690865527603</v>
      </c>
      <c r="CB123" s="635">
        <v>120.6557556007908</v>
      </c>
      <c r="CC123" s="635">
        <v>123.65460254630553</v>
      </c>
      <c r="CD123" s="635">
        <v>127.20054237052666</v>
      </c>
      <c r="CE123" s="635">
        <v>130.74648219474778</v>
      </c>
      <c r="CF123" s="635">
        <v>140.57684533183715</v>
      </c>
      <c r="CG123" s="635">
        <v>152.28905014940497</v>
      </c>
      <c r="CH123" s="635">
        <v>157.4316486946687</v>
      </c>
      <c r="CI123" s="635">
        <v>160.25573796482195</v>
      </c>
      <c r="CJ123" s="635">
        <v>163.18034886706923</v>
      </c>
      <c r="CK123" s="635">
        <v>166.17532491178244</v>
      </c>
      <c r="CL123" s="634">
        <v>0</v>
      </c>
      <c r="CM123" s="634">
        <v>0</v>
      </c>
      <c r="CN123" s="634">
        <v>0</v>
      </c>
      <c r="CO123" s="635">
        <v>0</v>
      </c>
      <c r="CP123" s="635">
        <v>0</v>
      </c>
      <c r="CQ123" s="635">
        <v>0</v>
      </c>
      <c r="CR123" s="635">
        <v>0</v>
      </c>
      <c r="CS123" s="635">
        <v>0</v>
      </c>
      <c r="CT123" s="635">
        <v>0</v>
      </c>
      <c r="CU123" s="635">
        <v>0</v>
      </c>
      <c r="CV123" s="635">
        <v>0</v>
      </c>
      <c r="CW123" s="635">
        <v>0</v>
      </c>
      <c r="CX123" s="635">
        <v>0</v>
      </c>
      <c r="CY123" s="635">
        <v>0</v>
      </c>
      <c r="CZ123" s="635">
        <v>0</v>
      </c>
      <c r="DA123" s="636">
        <v>0</v>
      </c>
      <c r="DB123" s="636">
        <v>0</v>
      </c>
      <c r="DC123" s="636">
        <v>0</v>
      </c>
      <c r="DD123" s="637">
        <v>0</v>
      </c>
      <c r="DE123" s="637">
        <v>0</v>
      </c>
      <c r="DF123" s="637">
        <v>0</v>
      </c>
      <c r="DG123" s="637">
        <v>0</v>
      </c>
      <c r="DH123" s="637">
        <v>0</v>
      </c>
      <c r="DI123" s="637">
        <v>0</v>
      </c>
      <c r="DJ123" s="637">
        <v>0</v>
      </c>
      <c r="DK123" s="637">
        <v>0</v>
      </c>
      <c r="DL123" s="637">
        <v>0</v>
      </c>
      <c r="DM123" s="637">
        <v>0</v>
      </c>
      <c r="DN123" s="637">
        <v>0</v>
      </c>
      <c r="DO123" s="637">
        <v>0</v>
      </c>
      <c r="DP123" s="636">
        <v>0</v>
      </c>
      <c r="DQ123" s="636">
        <v>0</v>
      </c>
      <c r="DR123" s="636">
        <v>0</v>
      </c>
      <c r="DS123" s="637">
        <v>0</v>
      </c>
      <c r="DT123" s="637">
        <v>0</v>
      </c>
      <c r="DU123" s="637">
        <v>0</v>
      </c>
      <c r="DV123" s="637">
        <v>0</v>
      </c>
      <c r="DW123" s="637">
        <v>0</v>
      </c>
      <c r="DX123" s="637">
        <v>0</v>
      </c>
      <c r="DY123" s="637">
        <v>0</v>
      </c>
      <c r="DZ123" s="637">
        <v>0</v>
      </c>
      <c r="EA123" s="637">
        <v>0</v>
      </c>
      <c r="EB123" s="637">
        <v>0</v>
      </c>
      <c r="EC123" s="637">
        <v>0</v>
      </c>
      <c r="ED123" s="637">
        <v>0</v>
      </c>
    </row>
    <row r="124" spans="1:134" ht="15" x14ac:dyDescent="0.25">
      <c r="A124" s="555">
        <v>126</v>
      </c>
      <c r="B124" s="555">
        <v>89</v>
      </c>
      <c r="C124" s="555" t="s">
        <v>1107</v>
      </c>
      <c r="D124" s="812">
        <v>99705</v>
      </c>
      <c r="E124" s="812">
        <v>99705</v>
      </c>
      <c r="F124" s="630" t="s">
        <v>311</v>
      </c>
      <c r="G124" s="45">
        <v>672</v>
      </c>
      <c r="H124" s="45">
        <v>250</v>
      </c>
      <c r="I124" s="45">
        <v>231</v>
      </c>
      <c r="J124" s="45">
        <v>19</v>
      </c>
      <c r="K124" s="45">
        <v>0</v>
      </c>
      <c r="L124" s="45">
        <v>59</v>
      </c>
      <c r="M124" s="45">
        <v>59</v>
      </c>
      <c r="N124" s="45">
        <v>1</v>
      </c>
      <c r="O124" s="45">
        <v>0</v>
      </c>
      <c r="P124" s="45">
        <v>0</v>
      </c>
      <c r="Q124" s="45">
        <v>60</v>
      </c>
      <c r="R124" s="45">
        <v>0</v>
      </c>
      <c r="S124" s="45">
        <v>2042</v>
      </c>
      <c r="T124" s="45">
        <v>2042</v>
      </c>
      <c r="U124" s="45">
        <v>2748</v>
      </c>
      <c r="V124" s="45">
        <v>0</v>
      </c>
      <c r="W124" s="45">
        <v>0</v>
      </c>
      <c r="X124" s="45">
        <v>2053.7666666666669</v>
      </c>
      <c r="Y124" s="45">
        <v>0</v>
      </c>
      <c r="Z124" s="45">
        <v>250</v>
      </c>
      <c r="AA124" s="45">
        <v>0</v>
      </c>
      <c r="AB124" s="508">
        <v>1</v>
      </c>
      <c r="AC124" s="508">
        <v>0</v>
      </c>
      <c r="AD124" s="631">
        <v>251</v>
      </c>
      <c r="AE124" s="632">
        <v>0</v>
      </c>
      <c r="AF124" s="632">
        <v>231</v>
      </c>
      <c r="AG124" s="633">
        <v>231</v>
      </c>
      <c r="AH124" s="632">
        <v>0</v>
      </c>
      <c r="AI124" s="632">
        <v>0</v>
      </c>
      <c r="AJ124" s="632">
        <v>232.03792505521514</v>
      </c>
      <c r="AK124" s="632">
        <v>232.03792505521514</v>
      </c>
      <c r="AL124" s="632">
        <v>0</v>
      </c>
      <c r="AM124" s="632">
        <v>0</v>
      </c>
      <c r="AN124" s="632">
        <v>215.50273727333257</v>
      </c>
      <c r="AO124" s="632">
        <v>215.50273727333257</v>
      </c>
      <c r="AP124" s="632">
        <v>0</v>
      </c>
      <c r="AQ124" s="632">
        <v>0.94010766733490925</v>
      </c>
      <c r="AR124" s="632">
        <v>0</v>
      </c>
      <c r="AS124" s="632">
        <v>215.36639465571855</v>
      </c>
      <c r="AT124" s="632">
        <v>223.54679899863362</v>
      </c>
      <c r="AU124" s="632">
        <v>232.03792505521514</v>
      </c>
      <c r="AV124" s="632">
        <v>240.85157517401413</v>
      </c>
      <c r="AW124" s="632">
        <v>250</v>
      </c>
      <c r="AX124" s="632">
        <v>201.0451505294329</v>
      </c>
      <c r="AY124" s="632">
        <v>208.14845724775859</v>
      </c>
      <c r="AZ124" s="632">
        <v>215.50273727333257</v>
      </c>
      <c r="BA124" s="632">
        <v>223.1168579694054</v>
      </c>
      <c r="BB124" s="632">
        <v>231</v>
      </c>
      <c r="BC124" s="632">
        <v>0.88380242618188454</v>
      </c>
      <c r="BD124" s="632">
        <v>0.91152039870909352</v>
      </c>
      <c r="BE124" s="632">
        <v>0.94010766733490925</v>
      </c>
      <c r="BF124" s="632">
        <v>0.96959149508177378</v>
      </c>
      <c r="BG124" s="632">
        <v>1</v>
      </c>
      <c r="BH124" s="634">
        <v>252.0167263241903</v>
      </c>
      <c r="BI124" s="634">
        <v>254.04972138864736</v>
      </c>
      <c r="BJ124" s="634">
        <v>256.09911643175815</v>
      </c>
      <c r="BK124" s="635">
        <v>262.97720575633321</v>
      </c>
      <c r="BL124" s="635">
        <v>269.85529508090832</v>
      </c>
      <c r="BM124" s="635">
        <v>276.73338440548343</v>
      </c>
      <c r="BN124" s="635">
        <v>283.61147373005855</v>
      </c>
      <c r="BO124" s="635">
        <v>291.74436323515289</v>
      </c>
      <c r="BP124" s="635">
        <v>299.87725274024723</v>
      </c>
      <c r="BQ124" s="635">
        <v>322.42395718311275</v>
      </c>
      <c r="BR124" s="635">
        <v>349.28681226927739</v>
      </c>
      <c r="BS124" s="635">
        <v>361.08176306116673</v>
      </c>
      <c r="BT124" s="635">
        <v>367.55903202940817</v>
      </c>
      <c r="BU124" s="635">
        <v>374.26685519970005</v>
      </c>
      <c r="BV124" s="635">
        <v>381.13606631142756</v>
      </c>
      <c r="BW124" s="634">
        <v>232.86345512355186</v>
      </c>
      <c r="BX124" s="634">
        <v>234.74194256311014</v>
      </c>
      <c r="BY124" s="634">
        <v>236.63558358294452</v>
      </c>
      <c r="BZ124" s="635">
        <v>242.99093811885189</v>
      </c>
      <c r="CA124" s="635">
        <v>249.34629265475928</v>
      </c>
      <c r="CB124" s="635">
        <v>255.70164719066671</v>
      </c>
      <c r="CC124" s="635">
        <v>262.05700172657407</v>
      </c>
      <c r="CD124" s="635">
        <v>269.57179162928122</v>
      </c>
      <c r="CE124" s="635">
        <v>277.08658153198843</v>
      </c>
      <c r="CF124" s="635">
        <v>297.91973643719615</v>
      </c>
      <c r="CG124" s="635">
        <v>322.74101453681232</v>
      </c>
      <c r="CH124" s="635">
        <v>333.63954906851808</v>
      </c>
      <c r="CI124" s="635">
        <v>339.62454559517312</v>
      </c>
      <c r="CJ124" s="635">
        <v>345.82257420452282</v>
      </c>
      <c r="CK124" s="635">
        <v>352.16972527175909</v>
      </c>
      <c r="CL124" s="634">
        <v>1.0080669052967612</v>
      </c>
      <c r="CM124" s="634">
        <v>1.0161988855545894</v>
      </c>
      <c r="CN124" s="634">
        <v>1.0243964657270326</v>
      </c>
      <c r="CO124" s="635">
        <v>1.0519088230253328</v>
      </c>
      <c r="CP124" s="635">
        <v>1.0794211803236333</v>
      </c>
      <c r="CQ124" s="635">
        <v>1.1069335376219338</v>
      </c>
      <c r="CR124" s="635">
        <v>1.1344458949202341</v>
      </c>
      <c r="CS124" s="635">
        <v>1.1669774529406114</v>
      </c>
      <c r="CT124" s="635">
        <v>1.1995090109609887</v>
      </c>
      <c r="CU124" s="635">
        <v>1.2896958287324509</v>
      </c>
      <c r="CV124" s="635">
        <v>1.3971472490771097</v>
      </c>
      <c r="CW124" s="635">
        <v>1.444327052244667</v>
      </c>
      <c r="CX124" s="635">
        <v>1.4702361281176326</v>
      </c>
      <c r="CY124" s="635">
        <v>1.4970674207988002</v>
      </c>
      <c r="CZ124" s="635">
        <v>1.5245442652457102</v>
      </c>
      <c r="DA124" s="636">
        <v>0</v>
      </c>
      <c r="DB124" s="636">
        <v>0</v>
      </c>
      <c r="DC124" s="636">
        <v>0</v>
      </c>
      <c r="DD124" s="637">
        <v>0</v>
      </c>
      <c r="DE124" s="637">
        <v>0</v>
      </c>
      <c r="DF124" s="637">
        <v>0</v>
      </c>
      <c r="DG124" s="637">
        <v>0</v>
      </c>
      <c r="DH124" s="637">
        <v>0</v>
      </c>
      <c r="DI124" s="637">
        <v>0</v>
      </c>
      <c r="DJ124" s="637">
        <v>0</v>
      </c>
      <c r="DK124" s="637">
        <v>0</v>
      </c>
      <c r="DL124" s="637">
        <v>0</v>
      </c>
      <c r="DM124" s="637">
        <v>0</v>
      </c>
      <c r="DN124" s="637">
        <v>0</v>
      </c>
      <c r="DO124" s="637">
        <v>0</v>
      </c>
      <c r="DP124" s="636">
        <v>0</v>
      </c>
      <c r="DQ124" s="636">
        <v>0</v>
      </c>
      <c r="DR124" s="636">
        <v>0</v>
      </c>
      <c r="DS124" s="637">
        <v>0</v>
      </c>
      <c r="DT124" s="637">
        <v>0</v>
      </c>
      <c r="DU124" s="637">
        <v>0</v>
      </c>
      <c r="DV124" s="637">
        <v>0</v>
      </c>
      <c r="DW124" s="637">
        <v>0</v>
      </c>
      <c r="DX124" s="637">
        <v>0</v>
      </c>
      <c r="DY124" s="637">
        <v>0</v>
      </c>
      <c r="DZ124" s="637">
        <v>0</v>
      </c>
      <c r="EA124" s="637">
        <v>0</v>
      </c>
      <c r="EB124" s="637">
        <v>0</v>
      </c>
      <c r="EC124" s="637">
        <v>0</v>
      </c>
      <c r="ED124" s="637">
        <v>0</v>
      </c>
    </row>
    <row r="125" spans="1:134" ht="15" x14ac:dyDescent="0.25">
      <c r="A125" s="555">
        <v>97</v>
      </c>
      <c r="B125" s="555">
        <v>90</v>
      </c>
      <c r="C125" s="555" t="s">
        <v>1108</v>
      </c>
      <c r="D125" s="812">
        <v>99709</v>
      </c>
      <c r="E125" s="812">
        <v>99709</v>
      </c>
      <c r="F125" s="630" t="s">
        <v>989</v>
      </c>
      <c r="G125" s="45">
        <v>119</v>
      </c>
      <c r="H125" s="45">
        <v>56</v>
      </c>
      <c r="I125" s="45">
        <v>46</v>
      </c>
      <c r="J125" s="45">
        <v>10</v>
      </c>
      <c r="K125" s="45">
        <v>0</v>
      </c>
      <c r="L125" s="45">
        <v>67</v>
      </c>
      <c r="M125" s="45">
        <v>67</v>
      </c>
      <c r="N125" s="45">
        <v>0</v>
      </c>
      <c r="O125" s="45">
        <v>0</v>
      </c>
      <c r="P125" s="45">
        <v>0</v>
      </c>
      <c r="Q125" s="45">
        <v>67</v>
      </c>
      <c r="R125" s="45">
        <v>0</v>
      </c>
      <c r="S125" s="45">
        <v>1494.5074626865671</v>
      </c>
      <c r="T125" s="45">
        <v>1494.5074626865671</v>
      </c>
      <c r="U125" s="45">
        <v>0</v>
      </c>
      <c r="V125" s="45">
        <v>0</v>
      </c>
      <c r="W125" s="45">
        <v>0</v>
      </c>
      <c r="X125" s="45">
        <v>1494.5074626865671</v>
      </c>
      <c r="Y125" s="45">
        <v>0</v>
      </c>
      <c r="Z125" s="45">
        <v>56</v>
      </c>
      <c r="AA125" s="45">
        <v>0</v>
      </c>
      <c r="AB125" s="508">
        <v>0</v>
      </c>
      <c r="AC125" s="508">
        <v>0</v>
      </c>
      <c r="AD125" s="631">
        <v>56</v>
      </c>
      <c r="AE125" s="632">
        <v>0</v>
      </c>
      <c r="AF125" s="632">
        <v>46</v>
      </c>
      <c r="AG125" s="633">
        <v>46</v>
      </c>
      <c r="AH125" s="632">
        <v>0</v>
      </c>
      <c r="AI125" s="632">
        <v>0</v>
      </c>
      <c r="AJ125" s="632">
        <v>53.320870120433405</v>
      </c>
      <c r="AK125" s="632">
        <v>53.320870120433405</v>
      </c>
      <c r="AL125" s="632">
        <v>0</v>
      </c>
      <c r="AM125" s="632">
        <v>0</v>
      </c>
      <c r="AN125" s="632">
        <v>43.881912929306914</v>
      </c>
      <c r="AO125" s="632">
        <v>43.881912929306914</v>
      </c>
      <c r="AP125" s="632">
        <v>0</v>
      </c>
      <c r="AQ125" s="632">
        <v>0</v>
      </c>
      <c r="AR125" s="632">
        <v>0</v>
      </c>
      <c r="AS125" s="632">
        <v>50.769914114287992</v>
      </c>
      <c r="AT125" s="632">
        <v>52.029760680917114</v>
      </c>
      <c r="AU125" s="632">
        <v>53.320870120433405</v>
      </c>
      <c r="AV125" s="632">
        <v>54.644018215576629</v>
      </c>
      <c r="AW125" s="632">
        <v>56</v>
      </c>
      <c r="AX125" s="632">
        <v>41.861353963810281</v>
      </c>
      <c r="AY125" s="632">
        <v>42.859728064265873</v>
      </c>
      <c r="AZ125" s="632">
        <v>43.881912929306914</v>
      </c>
      <c r="BA125" s="632">
        <v>44.928476434752575</v>
      </c>
      <c r="BB125" s="632">
        <v>46</v>
      </c>
      <c r="BC125" s="632">
        <v>0</v>
      </c>
      <c r="BD125" s="632">
        <v>0</v>
      </c>
      <c r="BE125" s="632">
        <v>0</v>
      </c>
      <c r="BF125" s="632">
        <v>0</v>
      </c>
      <c r="BG125" s="632">
        <v>0</v>
      </c>
      <c r="BH125" s="634">
        <v>56.286867224625688</v>
      </c>
      <c r="BI125" s="634">
        <v>56.575203963618598</v>
      </c>
      <c r="BJ125" s="634">
        <v>56.865017744755654</v>
      </c>
      <c r="BK125" s="635">
        <v>57.012439495202976</v>
      </c>
      <c r="BL125" s="635">
        <v>57.159861245650298</v>
      </c>
      <c r="BM125" s="635">
        <v>57.307282996097612</v>
      </c>
      <c r="BN125" s="635">
        <v>57.454704746544934</v>
      </c>
      <c r="BO125" s="635">
        <v>57.629021297327682</v>
      </c>
      <c r="BP125" s="635">
        <v>57.803337848110445</v>
      </c>
      <c r="BQ125" s="635">
        <v>58.286593368493044</v>
      </c>
      <c r="BR125" s="635">
        <v>58.862359243569067</v>
      </c>
      <c r="BS125" s="635">
        <v>59.115166703624517</v>
      </c>
      <c r="BT125" s="635">
        <v>59.253997457974357</v>
      </c>
      <c r="BU125" s="635">
        <v>59.397769803285769</v>
      </c>
      <c r="BV125" s="635">
        <v>59.545001262270283</v>
      </c>
      <c r="BW125" s="634">
        <v>46.23564093451396</v>
      </c>
      <c r="BX125" s="634">
        <v>46.472488970115279</v>
      </c>
      <c r="BY125" s="634">
        <v>46.710550290335</v>
      </c>
      <c r="BZ125" s="635">
        <v>46.831646728202443</v>
      </c>
      <c r="CA125" s="635">
        <v>46.95274316606988</v>
      </c>
      <c r="CB125" s="635">
        <v>47.073839603937323</v>
      </c>
      <c r="CC125" s="635">
        <v>47.194936041804766</v>
      </c>
      <c r="CD125" s="635">
        <v>47.338124637090594</v>
      </c>
      <c r="CE125" s="635">
        <v>47.481313232376436</v>
      </c>
      <c r="CF125" s="635">
        <v>47.878273124119289</v>
      </c>
      <c r="CG125" s="635">
        <v>48.351223664360305</v>
      </c>
      <c r="CH125" s="635">
        <v>48.558886935120135</v>
      </c>
      <c r="CI125" s="635">
        <v>48.672926483336077</v>
      </c>
      <c r="CJ125" s="635">
        <v>48.791025195556166</v>
      </c>
      <c r="CK125" s="635">
        <v>48.911965322579164</v>
      </c>
      <c r="CL125" s="634">
        <v>0</v>
      </c>
      <c r="CM125" s="634">
        <v>0</v>
      </c>
      <c r="CN125" s="634">
        <v>0</v>
      </c>
      <c r="CO125" s="635">
        <v>0</v>
      </c>
      <c r="CP125" s="635">
        <v>0</v>
      </c>
      <c r="CQ125" s="635">
        <v>0</v>
      </c>
      <c r="CR125" s="635">
        <v>0</v>
      </c>
      <c r="CS125" s="635">
        <v>0</v>
      </c>
      <c r="CT125" s="635">
        <v>0</v>
      </c>
      <c r="CU125" s="635">
        <v>0</v>
      </c>
      <c r="CV125" s="635">
        <v>0</v>
      </c>
      <c r="CW125" s="635">
        <v>0</v>
      </c>
      <c r="CX125" s="635">
        <v>0</v>
      </c>
      <c r="CY125" s="635">
        <v>0</v>
      </c>
      <c r="CZ125" s="635">
        <v>0</v>
      </c>
      <c r="DA125" s="636">
        <v>0</v>
      </c>
      <c r="DB125" s="636">
        <v>0</v>
      </c>
      <c r="DC125" s="636">
        <v>0</v>
      </c>
      <c r="DD125" s="637">
        <v>0</v>
      </c>
      <c r="DE125" s="637">
        <v>0</v>
      </c>
      <c r="DF125" s="637">
        <v>0</v>
      </c>
      <c r="DG125" s="637">
        <v>0</v>
      </c>
      <c r="DH125" s="637">
        <v>0</v>
      </c>
      <c r="DI125" s="637">
        <v>0</v>
      </c>
      <c r="DJ125" s="637">
        <v>0</v>
      </c>
      <c r="DK125" s="637">
        <v>0</v>
      </c>
      <c r="DL125" s="637">
        <v>0</v>
      </c>
      <c r="DM125" s="637">
        <v>0</v>
      </c>
      <c r="DN125" s="637">
        <v>0</v>
      </c>
      <c r="DO125" s="637">
        <v>0</v>
      </c>
      <c r="DP125" s="636">
        <v>0</v>
      </c>
      <c r="DQ125" s="636">
        <v>0</v>
      </c>
      <c r="DR125" s="636">
        <v>0</v>
      </c>
      <c r="DS125" s="637">
        <v>0</v>
      </c>
      <c r="DT125" s="637">
        <v>0</v>
      </c>
      <c r="DU125" s="637">
        <v>0</v>
      </c>
      <c r="DV125" s="637">
        <v>0</v>
      </c>
      <c r="DW125" s="637">
        <v>0</v>
      </c>
      <c r="DX125" s="637">
        <v>0</v>
      </c>
      <c r="DY125" s="637">
        <v>0</v>
      </c>
      <c r="DZ125" s="637">
        <v>0</v>
      </c>
      <c r="EA125" s="637">
        <v>0</v>
      </c>
      <c r="EB125" s="637">
        <v>0</v>
      </c>
      <c r="EC125" s="637">
        <v>0</v>
      </c>
      <c r="ED125" s="637">
        <v>0</v>
      </c>
    </row>
    <row r="126" spans="1:134" ht="15" x14ac:dyDescent="0.25">
      <c r="A126" s="555">
        <v>98</v>
      </c>
      <c r="B126" s="555">
        <v>90</v>
      </c>
      <c r="C126" s="555" t="s">
        <v>1109</v>
      </c>
      <c r="D126" s="812">
        <v>99709</v>
      </c>
      <c r="E126" s="812">
        <v>99709</v>
      </c>
      <c r="F126" s="630" t="s">
        <v>989</v>
      </c>
      <c r="G126" s="45">
        <v>223</v>
      </c>
      <c r="H126" s="45">
        <v>98</v>
      </c>
      <c r="I126" s="45">
        <v>90</v>
      </c>
      <c r="J126" s="45">
        <v>8</v>
      </c>
      <c r="K126" s="45">
        <v>0</v>
      </c>
      <c r="L126" s="45">
        <v>81</v>
      </c>
      <c r="M126" s="45">
        <v>81</v>
      </c>
      <c r="N126" s="45">
        <v>0</v>
      </c>
      <c r="O126" s="45">
        <v>0</v>
      </c>
      <c r="P126" s="45">
        <v>0</v>
      </c>
      <c r="Q126" s="45">
        <v>81</v>
      </c>
      <c r="R126" s="45">
        <v>0</v>
      </c>
      <c r="S126" s="45">
        <v>1854.1851851851852</v>
      </c>
      <c r="T126" s="45">
        <v>1854.1851851851852</v>
      </c>
      <c r="U126" s="45">
        <v>0</v>
      </c>
      <c r="V126" s="45">
        <v>0</v>
      </c>
      <c r="W126" s="45">
        <v>0</v>
      </c>
      <c r="X126" s="45">
        <v>1854.1851851851852</v>
      </c>
      <c r="Y126" s="45">
        <v>0</v>
      </c>
      <c r="Z126" s="45">
        <v>98</v>
      </c>
      <c r="AA126" s="45">
        <v>0</v>
      </c>
      <c r="AB126" s="508">
        <v>0</v>
      </c>
      <c r="AC126" s="508">
        <v>0</v>
      </c>
      <c r="AD126" s="631">
        <v>98</v>
      </c>
      <c r="AE126" s="632">
        <v>0</v>
      </c>
      <c r="AF126" s="632">
        <v>90</v>
      </c>
      <c r="AG126" s="633">
        <v>90</v>
      </c>
      <c r="AH126" s="632">
        <v>0</v>
      </c>
      <c r="AI126" s="632">
        <v>0</v>
      </c>
      <c r="AJ126" s="632">
        <v>93.311522710758453</v>
      </c>
      <c r="AK126" s="632">
        <v>93.311522710758453</v>
      </c>
      <c r="AL126" s="632">
        <v>0</v>
      </c>
      <c r="AM126" s="632">
        <v>0</v>
      </c>
      <c r="AN126" s="632">
        <v>85.855916600817864</v>
      </c>
      <c r="AO126" s="632">
        <v>85.855916600817864</v>
      </c>
      <c r="AP126" s="632">
        <v>0</v>
      </c>
      <c r="AQ126" s="632">
        <v>0</v>
      </c>
      <c r="AR126" s="632">
        <v>0</v>
      </c>
      <c r="AS126" s="632">
        <v>88.847349700003988</v>
      </c>
      <c r="AT126" s="632">
        <v>91.052081191604955</v>
      </c>
      <c r="AU126" s="632">
        <v>93.311522710758453</v>
      </c>
      <c r="AV126" s="632">
        <v>95.6270318772591</v>
      </c>
      <c r="AW126" s="632">
        <v>98</v>
      </c>
      <c r="AX126" s="632">
        <v>81.902649059628814</v>
      </c>
      <c r="AY126" s="632">
        <v>83.855989690954971</v>
      </c>
      <c r="AZ126" s="632">
        <v>85.855916600817864</v>
      </c>
      <c r="BA126" s="632">
        <v>87.903540850602866</v>
      </c>
      <c r="BB126" s="632">
        <v>90</v>
      </c>
      <c r="BC126" s="632">
        <v>0</v>
      </c>
      <c r="BD126" s="632">
        <v>0</v>
      </c>
      <c r="BE126" s="632">
        <v>0</v>
      </c>
      <c r="BF126" s="632">
        <v>0</v>
      </c>
      <c r="BG126" s="632">
        <v>0</v>
      </c>
      <c r="BH126" s="634">
        <v>98.915645772813818</v>
      </c>
      <c r="BI126" s="634">
        <v>99.839846720946753</v>
      </c>
      <c r="BJ126" s="634">
        <v>100.77268277817547</v>
      </c>
      <c r="BK126" s="635">
        <v>101.0676209726805</v>
      </c>
      <c r="BL126" s="635">
        <v>101.36255916718552</v>
      </c>
      <c r="BM126" s="635">
        <v>101.65749736169053</v>
      </c>
      <c r="BN126" s="635">
        <v>101.95243555619557</v>
      </c>
      <c r="BO126" s="635">
        <v>102.3011806267446</v>
      </c>
      <c r="BP126" s="635">
        <v>102.64992569729363</v>
      </c>
      <c r="BQ126" s="635">
        <v>103.61674714822442</v>
      </c>
      <c r="BR126" s="635">
        <v>104.76864873084209</v>
      </c>
      <c r="BS126" s="635">
        <v>105.27442603710736</v>
      </c>
      <c r="BT126" s="635">
        <v>105.55217672115138</v>
      </c>
      <c r="BU126" s="635">
        <v>105.83981376125729</v>
      </c>
      <c r="BV126" s="635">
        <v>106.13437125060656</v>
      </c>
      <c r="BW126" s="634">
        <v>90.840899179114729</v>
      </c>
      <c r="BX126" s="634">
        <v>91.689655151889866</v>
      </c>
      <c r="BY126" s="634">
        <v>92.546341326895842</v>
      </c>
      <c r="BZ126" s="635">
        <v>92.81720293409434</v>
      </c>
      <c r="CA126" s="635">
        <v>93.088064541292837</v>
      </c>
      <c r="CB126" s="635">
        <v>93.358926148491321</v>
      </c>
      <c r="CC126" s="635">
        <v>93.629787755689819</v>
      </c>
      <c r="CD126" s="635">
        <v>93.950063840887907</v>
      </c>
      <c r="CE126" s="635">
        <v>94.270339926085995</v>
      </c>
      <c r="CF126" s="635">
        <v>95.158237176940801</v>
      </c>
      <c r="CG126" s="635">
        <v>96.216105977303968</v>
      </c>
      <c r="CH126" s="635">
        <v>96.680595340200639</v>
      </c>
      <c r="CI126" s="635">
        <v>96.935672499016576</v>
      </c>
      <c r="CJ126" s="635">
        <v>97.199828964419964</v>
      </c>
      <c r="CK126" s="635">
        <v>97.470340944434597</v>
      </c>
      <c r="CL126" s="634">
        <v>0</v>
      </c>
      <c r="CM126" s="634">
        <v>0</v>
      </c>
      <c r="CN126" s="634">
        <v>0</v>
      </c>
      <c r="CO126" s="635">
        <v>0</v>
      </c>
      <c r="CP126" s="635">
        <v>0</v>
      </c>
      <c r="CQ126" s="635">
        <v>0</v>
      </c>
      <c r="CR126" s="635">
        <v>0</v>
      </c>
      <c r="CS126" s="635">
        <v>0</v>
      </c>
      <c r="CT126" s="635">
        <v>0</v>
      </c>
      <c r="CU126" s="635">
        <v>0</v>
      </c>
      <c r="CV126" s="635">
        <v>0</v>
      </c>
      <c r="CW126" s="635">
        <v>0</v>
      </c>
      <c r="CX126" s="635">
        <v>0</v>
      </c>
      <c r="CY126" s="635">
        <v>0</v>
      </c>
      <c r="CZ126" s="635">
        <v>0</v>
      </c>
      <c r="DA126" s="636">
        <v>0</v>
      </c>
      <c r="DB126" s="636">
        <v>0</v>
      </c>
      <c r="DC126" s="636">
        <v>0</v>
      </c>
      <c r="DD126" s="637">
        <v>0</v>
      </c>
      <c r="DE126" s="637">
        <v>0</v>
      </c>
      <c r="DF126" s="637">
        <v>0</v>
      </c>
      <c r="DG126" s="637">
        <v>0</v>
      </c>
      <c r="DH126" s="637">
        <v>0</v>
      </c>
      <c r="DI126" s="637">
        <v>0</v>
      </c>
      <c r="DJ126" s="637">
        <v>0</v>
      </c>
      <c r="DK126" s="637">
        <v>0</v>
      </c>
      <c r="DL126" s="637">
        <v>0</v>
      </c>
      <c r="DM126" s="637">
        <v>0</v>
      </c>
      <c r="DN126" s="637">
        <v>0</v>
      </c>
      <c r="DO126" s="637">
        <v>0</v>
      </c>
      <c r="DP126" s="636">
        <v>0</v>
      </c>
      <c r="DQ126" s="636">
        <v>0</v>
      </c>
      <c r="DR126" s="636">
        <v>0</v>
      </c>
      <c r="DS126" s="637">
        <v>0</v>
      </c>
      <c r="DT126" s="637">
        <v>0</v>
      </c>
      <c r="DU126" s="637">
        <v>0</v>
      </c>
      <c r="DV126" s="637">
        <v>0</v>
      </c>
      <c r="DW126" s="637">
        <v>0</v>
      </c>
      <c r="DX126" s="637">
        <v>0</v>
      </c>
      <c r="DY126" s="637">
        <v>0</v>
      </c>
      <c r="DZ126" s="637">
        <v>0</v>
      </c>
      <c r="EA126" s="637">
        <v>0</v>
      </c>
      <c r="EB126" s="637">
        <v>0</v>
      </c>
      <c r="EC126" s="637">
        <v>0</v>
      </c>
      <c r="ED126" s="637">
        <v>0</v>
      </c>
    </row>
    <row r="127" spans="1:134" ht="15" x14ac:dyDescent="0.25">
      <c r="A127" s="555">
        <v>99</v>
      </c>
      <c r="B127" s="555">
        <v>90</v>
      </c>
      <c r="C127" s="555" t="s">
        <v>1110</v>
      </c>
      <c r="D127" s="812">
        <v>99709</v>
      </c>
      <c r="E127" s="812">
        <v>99709</v>
      </c>
      <c r="F127" s="630" t="s">
        <v>311</v>
      </c>
      <c r="G127" s="45">
        <v>438</v>
      </c>
      <c r="H127" s="45">
        <v>200</v>
      </c>
      <c r="I127" s="45">
        <v>180</v>
      </c>
      <c r="J127" s="45">
        <v>20</v>
      </c>
      <c r="K127" s="45">
        <v>1</v>
      </c>
      <c r="L127" s="45">
        <v>52</v>
      </c>
      <c r="M127" s="45">
        <v>53</v>
      </c>
      <c r="N127" s="45">
        <v>0</v>
      </c>
      <c r="O127" s="45">
        <v>0</v>
      </c>
      <c r="P127" s="45">
        <v>0</v>
      </c>
      <c r="Q127" s="45">
        <v>53</v>
      </c>
      <c r="R127" s="45">
        <v>4128</v>
      </c>
      <c r="S127" s="45">
        <v>3235.2692307692309</v>
      </c>
      <c r="T127" s="45">
        <v>3252.1132075471696</v>
      </c>
      <c r="U127" s="45">
        <v>0</v>
      </c>
      <c r="V127" s="45">
        <v>0</v>
      </c>
      <c r="W127" s="45">
        <v>0</v>
      </c>
      <c r="X127" s="45">
        <v>3252.1132075471696</v>
      </c>
      <c r="Y127" s="45">
        <v>3.7735849056603774</v>
      </c>
      <c r="Z127" s="45">
        <v>196.22641509433961</v>
      </c>
      <c r="AA127" s="45">
        <v>0</v>
      </c>
      <c r="AB127" s="508">
        <v>0</v>
      </c>
      <c r="AC127" s="508">
        <v>0</v>
      </c>
      <c r="AD127" s="631">
        <v>200</v>
      </c>
      <c r="AE127" s="632">
        <v>3.3962264150943393</v>
      </c>
      <c r="AF127" s="632">
        <v>176.60377358490564</v>
      </c>
      <c r="AG127" s="633">
        <v>179.99999999999997</v>
      </c>
      <c r="AH127" s="632">
        <v>0</v>
      </c>
      <c r="AI127" s="632">
        <v>3.5930505471990166</v>
      </c>
      <c r="AJ127" s="632">
        <v>186.83862845434885</v>
      </c>
      <c r="AK127" s="632">
        <v>190.43167900154788</v>
      </c>
      <c r="AL127" s="632">
        <v>0</v>
      </c>
      <c r="AM127" s="632">
        <v>3.2398459094648251</v>
      </c>
      <c r="AN127" s="632">
        <v>168.47198729217089</v>
      </c>
      <c r="AO127" s="632">
        <v>171.71183320163573</v>
      </c>
      <c r="AP127" s="632">
        <v>0</v>
      </c>
      <c r="AQ127" s="632">
        <v>0</v>
      </c>
      <c r="AR127" s="632">
        <v>0</v>
      </c>
      <c r="AS127" s="632">
        <v>181.32112183674283</v>
      </c>
      <c r="AT127" s="632">
        <v>185.82057386041828</v>
      </c>
      <c r="AU127" s="632">
        <v>190.43167900154788</v>
      </c>
      <c r="AV127" s="632">
        <v>195.15720791277369</v>
      </c>
      <c r="AW127" s="632">
        <v>200</v>
      </c>
      <c r="AX127" s="632">
        <v>163.8052981192576</v>
      </c>
      <c r="AY127" s="632">
        <v>167.71197938190991</v>
      </c>
      <c r="AZ127" s="632">
        <v>171.7118332016357</v>
      </c>
      <c r="BA127" s="632">
        <v>175.8070817012057</v>
      </c>
      <c r="BB127" s="632">
        <v>179.99999999999997</v>
      </c>
      <c r="BC127" s="632">
        <v>0</v>
      </c>
      <c r="BD127" s="632">
        <v>0</v>
      </c>
      <c r="BE127" s="632">
        <v>0</v>
      </c>
      <c r="BF127" s="632">
        <v>0</v>
      </c>
      <c r="BG127" s="632">
        <v>0</v>
      </c>
      <c r="BH127" s="634">
        <v>201.86866484247719</v>
      </c>
      <c r="BI127" s="634">
        <v>203.75478922642193</v>
      </c>
      <c r="BJ127" s="634">
        <v>205.65853628199076</v>
      </c>
      <c r="BK127" s="635">
        <v>206.94809536402113</v>
      </c>
      <c r="BL127" s="635">
        <v>208.23765444605144</v>
      </c>
      <c r="BM127" s="635">
        <v>209.52721352808175</v>
      </c>
      <c r="BN127" s="635">
        <v>210.81677261011211</v>
      </c>
      <c r="BO127" s="635">
        <v>212.34159164480695</v>
      </c>
      <c r="BP127" s="635">
        <v>213.86641067950183</v>
      </c>
      <c r="BQ127" s="635">
        <v>218.09364677837982</v>
      </c>
      <c r="BR127" s="635">
        <v>223.1301092479579</v>
      </c>
      <c r="BS127" s="635">
        <v>225.34152076037262</v>
      </c>
      <c r="BT127" s="635">
        <v>226.55593084296706</v>
      </c>
      <c r="BU127" s="635">
        <v>227.81356706746286</v>
      </c>
      <c r="BV127" s="635">
        <v>229.10146159128965</v>
      </c>
      <c r="BW127" s="634">
        <v>181.68179835822943</v>
      </c>
      <c r="BX127" s="634">
        <v>183.3793103037797</v>
      </c>
      <c r="BY127" s="634">
        <v>185.09268265379166</v>
      </c>
      <c r="BZ127" s="635">
        <v>186.25328582761898</v>
      </c>
      <c r="CA127" s="635">
        <v>187.41388900144625</v>
      </c>
      <c r="CB127" s="635">
        <v>188.57449217527355</v>
      </c>
      <c r="CC127" s="635">
        <v>189.73509534910087</v>
      </c>
      <c r="CD127" s="635">
        <v>191.10743248032622</v>
      </c>
      <c r="CE127" s="635">
        <v>192.4797696115516</v>
      </c>
      <c r="CF127" s="635">
        <v>196.28428210054182</v>
      </c>
      <c r="CG127" s="635">
        <v>200.81709832316207</v>
      </c>
      <c r="CH127" s="635">
        <v>202.8073686843353</v>
      </c>
      <c r="CI127" s="635">
        <v>203.90033775867033</v>
      </c>
      <c r="CJ127" s="635">
        <v>205.03221036071653</v>
      </c>
      <c r="CK127" s="635">
        <v>206.19131543216065</v>
      </c>
      <c r="CL127" s="634">
        <v>0</v>
      </c>
      <c r="CM127" s="634">
        <v>0</v>
      </c>
      <c r="CN127" s="634">
        <v>0</v>
      </c>
      <c r="CO127" s="635">
        <v>0</v>
      </c>
      <c r="CP127" s="635">
        <v>0</v>
      </c>
      <c r="CQ127" s="635">
        <v>0</v>
      </c>
      <c r="CR127" s="635">
        <v>0</v>
      </c>
      <c r="CS127" s="635">
        <v>0</v>
      </c>
      <c r="CT127" s="635">
        <v>0</v>
      </c>
      <c r="CU127" s="635">
        <v>0</v>
      </c>
      <c r="CV127" s="635">
        <v>0</v>
      </c>
      <c r="CW127" s="635">
        <v>0</v>
      </c>
      <c r="CX127" s="635">
        <v>0</v>
      </c>
      <c r="CY127" s="635">
        <v>0</v>
      </c>
      <c r="CZ127" s="635">
        <v>0</v>
      </c>
      <c r="DA127" s="636">
        <v>0</v>
      </c>
      <c r="DB127" s="636">
        <v>0</v>
      </c>
      <c r="DC127" s="636">
        <v>0</v>
      </c>
      <c r="DD127" s="637">
        <v>0</v>
      </c>
      <c r="DE127" s="637">
        <v>0</v>
      </c>
      <c r="DF127" s="637">
        <v>0</v>
      </c>
      <c r="DG127" s="637">
        <v>0</v>
      </c>
      <c r="DH127" s="637">
        <v>0</v>
      </c>
      <c r="DI127" s="637">
        <v>0</v>
      </c>
      <c r="DJ127" s="637">
        <v>0</v>
      </c>
      <c r="DK127" s="637">
        <v>0</v>
      </c>
      <c r="DL127" s="637">
        <v>0</v>
      </c>
      <c r="DM127" s="637">
        <v>0</v>
      </c>
      <c r="DN127" s="637">
        <v>0</v>
      </c>
      <c r="DO127" s="637">
        <v>0</v>
      </c>
      <c r="DP127" s="636">
        <v>0</v>
      </c>
      <c r="DQ127" s="636">
        <v>0</v>
      </c>
      <c r="DR127" s="636">
        <v>0</v>
      </c>
      <c r="DS127" s="637">
        <v>0</v>
      </c>
      <c r="DT127" s="637">
        <v>0</v>
      </c>
      <c r="DU127" s="637">
        <v>0</v>
      </c>
      <c r="DV127" s="637">
        <v>0</v>
      </c>
      <c r="DW127" s="637">
        <v>0</v>
      </c>
      <c r="DX127" s="637">
        <v>0</v>
      </c>
      <c r="DY127" s="637">
        <v>0</v>
      </c>
      <c r="DZ127" s="637">
        <v>0</v>
      </c>
      <c r="EA127" s="637">
        <v>0</v>
      </c>
      <c r="EB127" s="637">
        <v>0</v>
      </c>
      <c r="EC127" s="637">
        <v>0</v>
      </c>
      <c r="ED127" s="637">
        <v>0</v>
      </c>
    </row>
    <row r="128" spans="1:134" ht="15" x14ac:dyDescent="0.25">
      <c r="A128" s="555">
        <v>100</v>
      </c>
      <c r="B128" s="555">
        <v>90</v>
      </c>
      <c r="C128" s="555" t="s">
        <v>1111</v>
      </c>
      <c r="D128" s="812">
        <v>99709</v>
      </c>
      <c r="E128" s="812">
        <v>99709</v>
      </c>
      <c r="F128" s="630" t="s">
        <v>311</v>
      </c>
      <c r="G128" s="45">
        <v>272</v>
      </c>
      <c r="H128" s="45">
        <v>114</v>
      </c>
      <c r="I128" s="45">
        <v>102</v>
      </c>
      <c r="J128" s="45">
        <v>12</v>
      </c>
      <c r="K128" s="45">
        <v>0</v>
      </c>
      <c r="L128" s="45">
        <v>121</v>
      </c>
      <c r="M128" s="45">
        <v>121</v>
      </c>
      <c r="N128" s="45">
        <v>1</v>
      </c>
      <c r="O128" s="45">
        <v>0</v>
      </c>
      <c r="P128" s="45">
        <v>0</v>
      </c>
      <c r="Q128" s="45">
        <v>122</v>
      </c>
      <c r="R128" s="45">
        <v>0</v>
      </c>
      <c r="S128" s="45">
        <v>2776.8099173553719</v>
      </c>
      <c r="T128" s="45">
        <v>2776.8099173553719</v>
      </c>
      <c r="U128" s="45">
        <v>832</v>
      </c>
      <c r="V128" s="45">
        <v>0</v>
      </c>
      <c r="W128" s="45">
        <v>0</v>
      </c>
      <c r="X128" s="45">
        <v>2760.8688524590166</v>
      </c>
      <c r="Y128" s="45">
        <v>0</v>
      </c>
      <c r="Z128" s="45">
        <v>114</v>
      </c>
      <c r="AA128" s="45">
        <v>0</v>
      </c>
      <c r="AB128" s="508">
        <v>1</v>
      </c>
      <c r="AC128" s="508">
        <v>0</v>
      </c>
      <c r="AD128" s="631">
        <v>115</v>
      </c>
      <c r="AE128" s="632">
        <v>0</v>
      </c>
      <c r="AF128" s="632">
        <v>102</v>
      </c>
      <c r="AG128" s="633">
        <v>102</v>
      </c>
      <c r="AH128" s="632">
        <v>0</v>
      </c>
      <c r="AI128" s="632">
        <v>0</v>
      </c>
      <c r="AJ128" s="632">
        <v>108.54605703088228</v>
      </c>
      <c r="AK128" s="632">
        <v>108.54605703088228</v>
      </c>
      <c r="AL128" s="632">
        <v>0</v>
      </c>
      <c r="AM128" s="632">
        <v>0</v>
      </c>
      <c r="AN128" s="632">
        <v>97.303372147593578</v>
      </c>
      <c r="AO128" s="632">
        <v>97.303372147593578</v>
      </c>
      <c r="AP128" s="632">
        <v>0</v>
      </c>
      <c r="AQ128" s="632">
        <v>0.95966573850124082</v>
      </c>
      <c r="AR128" s="632">
        <v>0</v>
      </c>
      <c r="AS128" s="632">
        <v>103.35303944694341</v>
      </c>
      <c r="AT128" s="632">
        <v>105.91772710043841</v>
      </c>
      <c r="AU128" s="632">
        <v>108.54605703088228</v>
      </c>
      <c r="AV128" s="632">
        <v>111.239608510281</v>
      </c>
      <c r="AW128" s="632">
        <v>114</v>
      </c>
      <c r="AX128" s="632">
        <v>92.823002267579312</v>
      </c>
      <c r="AY128" s="632">
        <v>95.036788316415638</v>
      </c>
      <c r="AZ128" s="632">
        <v>97.303372147593578</v>
      </c>
      <c r="BA128" s="632">
        <v>99.624012964016586</v>
      </c>
      <c r="BB128" s="632">
        <v>102</v>
      </c>
      <c r="BC128" s="632">
        <v>0.92095832965313207</v>
      </c>
      <c r="BD128" s="632">
        <v>0.94011284192667122</v>
      </c>
      <c r="BE128" s="632">
        <v>0.95966573850124082</v>
      </c>
      <c r="BF128" s="632">
        <v>0.97962530515561963</v>
      </c>
      <c r="BG128" s="632">
        <v>1</v>
      </c>
      <c r="BH128" s="634">
        <v>114.9214521355476</v>
      </c>
      <c r="BI128" s="634">
        <v>115.8503522889733</v>
      </c>
      <c r="BJ128" s="634">
        <v>116.78676066196115</v>
      </c>
      <c r="BK128" s="635">
        <v>117.312002628393</v>
      </c>
      <c r="BL128" s="635">
        <v>117.83724459482485</v>
      </c>
      <c r="BM128" s="635">
        <v>118.3624865612567</v>
      </c>
      <c r="BN128" s="635">
        <v>118.88772852768855</v>
      </c>
      <c r="BO128" s="635">
        <v>119.50879270334063</v>
      </c>
      <c r="BP128" s="635">
        <v>120.12985687899274</v>
      </c>
      <c r="BQ128" s="635">
        <v>121.85162506479045</v>
      </c>
      <c r="BR128" s="635">
        <v>123.90299400805475</v>
      </c>
      <c r="BS128" s="635">
        <v>124.803709723648</v>
      </c>
      <c r="BT128" s="635">
        <v>125.29834323732329</v>
      </c>
      <c r="BU128" s="635">
        <v>125.81058291118926</v>
      </c>
      <c r="BV128" s="635">
        <v>126.33514689718869</v>
      </c>
      <c r="BW128" s="634">
        <v>102.82445717391101</v>
      </c>
      <c r="BX128" s="634">
        <v>103.65557836381822</v>
      </c>
      <c r="BY128" s="634">
        <v>104.4934174343863</v>
      </c>
      <c r="BZ128" s="635">
        <v>104.96337077277269</v>
      </c>
      <c r="CA128" s="635">
        <v>105.43332411115908</v>
      </c>
      <c r="CB128" s="635">
        <v>105.90327744954547</v>
      </c>
      <c r="CC128" s="635">
        <v>106.37323078793186</v>
      </c>
      <c r="CD128" s="635">
        <v>106.92891978719952</v>
      </c>
      <c r="CE128" s="635">
        <v>107.48460878646719</v>
      </c>
      <c r="CF128" s="635">
        <v>109.02513821586516</v>
      </c>
      <c r="CG128" s="635">
        <v>110.86057358615425</v>
      </c>
      <c r="CH128" s="635">
        <v>111.66647712115874</v>
      </c>
      <c r="CI128" s="635">
        <v>112.10904394918401</v>
      </c>
      <c r="CJ128" s="635">
        <v>112.56736365737987</v>
      </c>
      <c r="CK128" s="635">
        <v>113.03671038169514</v>
      </c>
      <c r="CL128" s="634">
        <v>1.0080829134697158</v>
      </c>
      <c r="CM128" s="634">
        <v>1.0162311604295904</v>
      </c>
      <c r="CN128" s="634">
        <v>1.0244452689645716</v>
      </c>
      <c r="CO128" s="635">
        <v>1.0290526546350263</v>
      </c>
      <c r="CP128" s="635">
        <v>1.0336600403054812</v>
      </c>
      <c r="CQ128" s="635">
        <v>1.0382674259759359</v>
      </c>
      <c r="CR128" s="635">
        <v>1.0428748116463908</v>
      </c>
      <c r="CS128" s="635">
        <v>1.0483227430117599</v>
      </c>
      <c r="CT128" s="635">
        <v>1.0537706743771293</v>
      </c>
      <c r="CU128" s="635">
        <v>1.0688739040771094</v>
      </c>
      <c r="CV128" s="635">
        <v>1.0868683684917082</v>
      </c>
      <c r="CW128" s="635">
        <v>1.0947693835407719</v>
      </c>
      <c r="CX128" s="635">
        <v>1.0991082740116078</v>
      </c>
      <c r="CY128" s="635">
        <v>1.1036016044841164</v>
      </c>
      <c r="CZ128" s="635">
        <v>1.1082030429577956</v>
      </c>
      <c r="DA128" s="636">
        <v>0</v>
      </c>
      <c r="DB128" s="636">
        <v>0</v>
      </c>
      <c r="DC128" s="636">
        <v>0</v>
      </c>
      <c r="DD128" s="637">
        <v>0</v>
      </c>
      <c r="DE128" s="637">
        <v>0</v>
      </c>
      <c r="DF128" s="637">
        <v>0</v>
      </c>
      <c r="DG128" s="637">
        <v>0</v>
      </c>
      <c r="DH128" s="637">
        <v>0</v>
      </c>
      <c r="DI128" s="637">
        <v>0</v>
      </c>
      <c r="DJ128" s="637">
        <v>0</v>
      </c>
      <c r="DK128" s="637">
        <v>0</v>
      </c>
      <c r="DL128" s="637">
        <v>0</v>
      </c>
      <c r="DM128" s="637">
        <v>0</v>
      </c>
      <c r="DN128" s="637">
        <v>0</v>
      </c>
      <c r="DO128" s="637">
        <v>0</v>
      </c>
      <c r="DP128" s="636">
        <v>0</v>
      </c>
      <c r="DQ128" s="636">
        <v>0</v>
      </c>
      <c r="DR128" s="636">
        <v>0</v>
      </c>
      <c r="DS128" s="637">
        <v>0</v>
      </c>
      <c r="DT128" s="637">
        <v>0</v>
      </c>
      <c r="DU128" s="637">
        <v>0</v>
      </c>
      <c r="DV128" s="637">
        <v>0</v>
      </c>
      <c r="DW128" s="637">
        <v>0</v>
      </c>
      <c r="DX128" s="637">
        <v>0</v>
      </c>
      <c r="DY128" s="637">
        <v>0</v>
      </c>
      <c r="DZ128" s="637">
        <v>0</v>
      </c>
      <c r="EA128" s="637">
        <v>0</v>
      </c>
      <c r="EB128" s="637">
        <v>0</v>
      </c>
      <c r="EC128" s="637">
        <v>0</v>
      </c>
      <c r="ED128" s="637">
        <v>0</v>
      </c>
    </row>
    <row r="129" spans="1:134" ht="15" x14ac:dyDescent="0.25">
      <c r="A129" s="555">
        <v>101</v>
      </c>
      <c r="B129" s="555">
        <v>90</v>
      </c>
      <c r="C129" s="555" t="s">
        <v>1112</v>
      </c>
      <c r="D129" s="812">
        <v>99709</v>
      </c>
      <c r="E129" s="812">
        <v>99709</v>
      </c>
      <c r="F129" s="630" t="s">
        <v>311</v>
      </c>
      <c r="G129" s="45">
        <v>18</v>
      </c>
      <c r="H129" s="45">
        <v>9</v>
      </c>
      <c r="I129" s="45">
        <v>8</v>
      </c>
      <c r="J129" s="45">
        <v>1</v>
      </c>
      <c r="K129" s="45">
        <v>0</v>
      </c>
      <c r="L129" s="45">
        <v>39</v>
      </c>
      <c r="M129" s="45">
        <v>39</v>
      </c>
      <c r="N129" s="45">
        <v>0</v>
      </c>
      <c r="O129" s="45">
        <v>0</v>
      </c>
      <c r="P129" s="45">
        <v>0</v>
      </c>
      <c r="Q129" s="45">
        <v>39</v>
      </c>
      <c r="R129" s="45">
        <v>0</v>
      </c>
      <c r="S129" s="45">
        <v>2900.7435897435898</v>
      </c>
      <c r="T129" s="45">
        <v>2900.7435897435898</v>
      </c>
      <c r="U129" s="45">
        <v>0</v>
      </c>
      <c r="V129" s="45">
        <v>0</v>
      </c>
      <c r="W129" s="45">
        <v>0</v>
      </c>
      <c r="X129" s="45">
        <v>2900.7435897435898</v>
      </c>
      <c r="Y129" s="45">
        <v>0</v>
      </c>
      <c r="Z129" s="45">
        <v>9</v>
      </c>
      <c r="AA129" s="45">
        <v>0</v>
      </c>
      <c r="AB129" s="508">
        <v>0</v>
      </c>
      <c r="AC129" s="508">
        <v>0</v>
      </c>
      <c r="AD129" s="631">
        <v>9</v>
      </c>
      <c r="AE129" s="632">
        <v>0</v>
      </c>
      <c r="AF129" s="632">
        <v>8</v>
      </c>
      <c r="AG129" s="633">
        <v>8</v>
      </c>
      <c r="AH129" s="632">
        <v>0</v>
      </c>
      <c r="AI129" s="632">
        <v>0</v>
      </c>
      <c r="AJ129" s="632">
        <v>8.569425555069655</v>
      </c>
      <c r="AK129" s="632">
        <v>8.569425555069655</v>
      </c>
      <c r="AL129" s="632">
        <v>0</v>
      </c>
      <c r="AM129" s="632">
        <v>0</v>
      </c>
      <c r="AN129" s="632">
        <v>7.6316370311838106</v>
      </c>
      <c r="AO129" s="632">
        <v>7.6316370311838106</v>
      </c>
      <c r="AP129" s="632">
        <v>0</v>
      </c>
      <c r="AQ129" s="632">
        <v>0</v>
      </c>
      <c r="AR129" s="632">
        <v>0</v>
      </c>
      <c r="AS129" s="632">
        <v>8.159450482653428</v>
      </c>
      <c r="AT129" s="632">
        <v>8.3619258237188223</v>
      </c>
      <c r="AU129" s="632">
        <v>8.569425555069655</v>
      </c>
      <c r="AV129" s="632">
        <v>8.7820743560748156</v>
      </c>
      <c r="AW129" s="632">
        <v>9</v>
      </c>
      <c r="AX129" s="632">
        <v>7.2802354719670053</v>
      </c>
      <c r="AY129" s="632">
        <v>7.4538657503071084</v>
      </c>
      <c r="AZ129" s="632">
        <v>7.6316370311838106</v>
      </c>
      <c r="BA129" s="632">
        <v>7.8136480756091444</v>
      </c>
      <c r="BB129" s="632">
        <v>8</v>
      </c>
      <c r="BC129" s="632">
        <v>0</v>
      </c>
      <c r="BD129" s="632">
        <v>0</v>
      </c>
      <c r="BE129" s="632">
        <v>0</v>
      </c>
      <c r="BF129" s="632">
        <v>0</v>
      </c>
      <c r="BG129" s="632">
        <v>0</v>
      </c>
      <c r="BH129" s="634">
        <v>9.0840899179114736</v>
      </c>
      <c r="BI129" s="634">
        <v>9.1689655151889866</v>
      </c>
      <c r="BJ129" s="634">
        <v>9.2546341326895849</v>
      </c>
      <c r="BK129" s="635">
        <v>9.3313441490793192</v>
      </c>
      <c r="BL129" s="635">
        <v>9.4080541654690517</v>
      </c>
      <c r="BM129" s="635">
        <v>9.4847641818587878</v>
      </c>
      <c r="BN129" s="635">
        <v>9.5614741982485203</v>
      </c>
      <c r="BO129" s="635">
        <v>9.6521787613606378</v>
      </c>
      <c r="BP129" s="635">
        <v>9.74288332447275</v>
      </c>
      <c r="BQ129" s="635">
        <v>9.9943424122701519</v>
      </c>
      <c r="BR129" s="635">
        <v>10.293938703724542</v>
      </c>
      <c r="BS129" s="635">
        <v>10.425485536844194</v>
      </c>
      <c r="BT129" s="635">
        <v>10.497725280364131</v>
      </c>
      <c r="BU129" s="635">
        <v>10.572536350859254</v>
      </c>
      <c r="BV129" s="635">
        <v>10.649147350237007</v>
      </c>
      <c r="BW129" s="634">
        <v>8.0747465936990874</v>
      </c>
      <c r="BX129" s="634">
        <v>8.1501915690568776</v>
      </c>
      <c r="BY129" s="634">
        <v>8.2263414512796302</v>
      </c>
      <c r="BZ129" s="635">
        <v>8.2945281325149498</v>
      </c>
      <c r="CA129" s="635">
        <v>8.3627148137502676</v>
      </c>
      <c r="CB129" s="635">
        <v>8.4309014949855889</v>
      </c>
      <c r="CC129" s="635">
        <v>8.4990881762209067</v>
      </c>
      <c r="CD129" s="635">
        <v>8.5797144545427884</v>
      </c>
      <c r="CE129" s="635">
        <v>8.6603407328646664</v>
      </c>
      <c r="CF129" s="635">
        <v>8.883859922017912</v>
      </c>
      <c r="CG129" s="635">
        <v>9.1501677366440362</v>
      </c>
      <c r="CH129" s="635">
        <v>9.2670982549726162</v>
      </c>
      <c r="CI129" s="635">
        <v>9.3313113603236708</v>
      </c>
      <c r="CJ129" s="635">
        <v>9.3978100896526691</v>
      </c>
      <c r="CK129" s="635">
        <v>9.4659087557662271</v>
      </c>
      <c r="CL129" s="634">
        <v>0</v>
      </c>
      <c r="CM129" s="634">
        <v>0</v>
      </c>
      <c r="CN129" s="634">
        <v>0</v>
      </c>
      <c r="CO129" s="635">
        <v>0</v>
      </c>
      <c r="CP129" s="635">
        <v>0</v>
      </c>
      <c r="CQ129" s="635">
        <v>0</v>
      </c>
      <c r="CR129" s="635">
        <v>0</v>
      </c>
      <c r="CS129" s="635">
        <v>0</v>
      </c>
      <c r="CT129" s="635">
        <v>0</v>
      </c>
      <c r="CU129" s="635">
        <v>0</v>
      </c>
      <c r="CV129" s="635">
        <v>0</v>
      </c>
      <c r="CW129" s="635">
        <v>0</v>
      </c>
      <c r="CX129" s="635">
        <v>0</v>
      </c>
      <c r="CY129" s="635">
        <v>0</v>
      </c>
      <c r="CZ129" s="635">
        <v>0</v>
      </c>
      <c r="DA129" s="636">
        <v>0</v>
      </c>
      <c r="DB129" s="636">
        <v>0</v>
      </c>
      <c r="DC129" s="636">
        <v>0</v>
      </c>
      <c r="DD129" s="637">
        <v>0</v>
      </c>
      <c r="DE129" s="637">
        <v>0</v>
      </c>
      <c r="DF129" s="637">
        <v>0</v>
      </c>
      <c r="DG129" s="637">
        <v>0</v>
      </c>
      <c r="DH129" s="637">
        <v>0</v>
      </c>
      <c r="DI129" s="637">
        <v>0</v>
      </c>
      <c r="DJ129" s="637">
        <v>0</v>
      </c>
      <c r="DK129" s="637">
        <v>0</v>
      </c>
      <c r="DL129" s="637">
        <v>0</v>
      </c>
      <c r="DM129" s="637">
        <v>0</v>
      </c>
      <c r="DN129" s="637">
        <v>0</v>
      </c>
      <c r="DO129" s="637">
        <v>0</v>
      </c>
      <c r="DP129" s="636">
        <v>0</v>
      </c>
      <c r="DQ129" s="636">
        <v>0</v>
      </c>
      <c r="DR129" s="636">
        <v>0</v>
      </c>
      <c r="DS129" s="637">
        <v>0</v>
      </c>
      <c r="DT129" s="637">
        <v>0</v>
      </c>
      <c r="DU129" s="637">
        <v>0</v>
      </c>
      <c r="DV129" s="637">
        <v>0</v>
      </c>
      <c r="DW129" s="637">
        <v>0</v>
      </c>
      <c r="DX129" s="637">
        <v>0</v>
      </c>
      <c r="DY129" s="637">
        <v>0</v>
      </c>
      <c r="DZ129" s="637">
        <v>0</v>
      </c>
      <c r="EA129" s="637">
        <v>0</v>
      </c>
      <c r="EB129" s="637">
        <v>0</v>
      </c>
      <c r="EC129" s="637">
        <v>0</v>
      </c>
      <c r="ED129" s="637">
        <v>0</v>
      </c>
    </row>
    <row r="130" spans="1:134" ht="15" x14ac:dyDescent="0.25">
      <c r="A130" s="555">
        <v>115</v>
      </c>
      <c r="B130" s="555">
        <v>90</v>
      </c>
      <c r="C130" s="555" t="s">
        <v>1113</v>
      </c>
      <c r="D130" s="812">
        <v>99705</v>
      </c>
      <c r="E130" s="812">
        <v>99705</v>
      </c>
      <c r="F130" s="630" t="s">
        <v>311</v>
      </c>
      <c r="G130" s="45">
        <v>90</v>
      </c>
      <c r="H130" s="45">
        <v>51</v>
      </c>
      <c r="I130" s="45">
        <v>39</v>
      </c>
      <c r="J130" s="45">
        <v>12</v>
      </c>
      <c r="K130" s="45">
        <v>0</v>
      </c>
      <c r="L130" s="45">
        <v>16</v>
      </c>
      <c r="M130" s="45">
        <v>16</v>
      </c>
      <c r="N130" s="45">
        <v>9</v>
      </c>
      <c r="O130" s="45">
        <v>0</v>
      </c>
      <c r="P130" s="45">
        <v>0</v>
      </c>
      <c r="Q130" s="45">
        <v>25</v>
      </c>
      <c r="R130" s="45">
        <v>0</v>
      </c>
      <c r="S130" s="45">
        <v>1584.1875</v>
      </c>
      <c r="T130" s="45">
        <v>1584.1875</v>
      </c>
      <c r="U130" s="45">
        <v>6421.4444444444443</v>
      </c>
      <c r="V130" s="45">
        <v>0</v>
      </c>
      <c r="W130" s="45">
        <v>0</v>
      </c>
      <c r="X130" s="45">
        <v>3325.6</v>
      </c>
      <c r="Y130" s="45">
        <v>0</v>
      </c>
      <c r="Z130" s="45">
        <v>51</v>
      </c>
      <c r="AA130" s="45">
        <v>0</v>
      </c>
      <c r="AB130" s="508">
        <v>9</v>
      </c>
      <c r="AC130" s="508">
        <v>0</v>
      </c>
      <c r="AD130" s="631">
        <v>60</v>
      </c>
      <c r="AE130" s="632">
        <v>0</v>
      </c>
      <c r="AF130" s="632">
        <v>39</v>
      </c>
      <c r="AG130" s="633">
        <v>39</v>
      </c>
      <c r="AH130" s="632">
        <v>0</v>
      </c>
      <c r="AI130" s="632">
        <v>0</v>
      </c>
      <c r="AJ130" s="632">
        <v>47.335736711263884</v>
      </c>
      <c r="AK130" s="632">
        <v>47.335736711263884</v>
      </c>
      <c r="AL130" s="632">
        <v>0</v>
      </c>
      <c r="AM130" s="632">
        <v>0</v>
      </c>
      <c r="AN130" s="632">
        <v>36.38357902017303</v>
      </c>
      <c r="AO130" s="632">
        <v>36.38357902017303</v>
      </c>
      <c r="AP130" s="632">
        <v>0</v>
      </c>
      <c r="AQ130" s="632">
        <v>8.4609690060141833</v>
      </c>
      <c r="AR130" s="632">
        <v>0</v>
      </c>
      <c r="AS130" s="632">
        <v>43.934744509766581</v>
      </c>
      <c r="AT130" s="632">
        <v>45.60354699572126</v>
      </c>
      <c r="AU130" s="632">
        <v>47.335736711263884</v>
      </c>
      <c r="AV130" s="632">
        <v>49.133721335498883</v>
      </c>
      <c r="AW130" s="632">
        <v>51</v>
      </c>
      <c r="AX130" s="632">
        <v>33.942687751722438</v>
      </c>
      <c r="AY130" s="632">
        <v>35.141947327543654</v>
      </c>
      <c r="AZ130" s="632">
        <v>36.38357902017303</v>
      </c>
      <c r="BA130" s="632">
        <v>37.669079916912601</v>
      </c>
      <c r="BB130" s="632">
        <v>39</v>
      </c>
      <c r="BC130" s="632">
        <v>7.9542218356369609</v>
      </c>
      <c r="BD130" s="632">
        <v>8.2036835883818426</v>
      </c>
      <c r="BE130" s="632">
        <v>8.4609690060141833</v>
      </c>
      <c r="BF130" s="632">
        <v>8.7263234557359635</v>
      </c>
      <c r="BG130" s="632">
        <v>9</v>
      </c>
      <c r="BH130" s="634">
        <v>51.523962384746262</v>
      </c>
      <c r="BI130" s="634">
        <v>52.053307839700928</v>
      </c>
      <c r="BJ130" s="634">
        <v>52.588091669301335</v>
      </c>
      <c r="BK130" s="635">
        <v>54.337741062982964</v>
      </c>
      <c r="BL130" s="635">
        <v>56.087390456664586</v>
      </c>
      <c r="BM130" s="635">
        <v>57.837039850346201</v>
      </c>
      <c r="BN130" s="635">
        <v>59.586689244027831</v>
      </c>
      <c r="BO130" s="635">
        <v>61.655534895773854</v>
      </c>
      <c r="BP130" s="635">
        <v>63.724380547519885</v>
      </c>
      <c r="BQ130" s="635">
        <v>69.459814604334142</v>
      </c>
      <c r="BR130" s="635">
        <v>76.293191708951625</v>
      </c>
      <c r="BS130" s="635">
        <v>79.29359305991963</v>
      </c>
      <c r="BT130" s="635">
        <v>80.941281711258355</v>
      </c>
      <c r="BU130" s="635">
        <v>82.647618775083842</v>
      </c>
      <c r="BV130" s="635">
        <v>84.395009727650077</v>
      </c>
      <c r="BW130" s="634">
        <v>39.400677117747136</v>
      </c>
      <c r="BX130" s="634">
        <v>39.805470700947765</v>
      </c>
      <c r="BY130" s="634">
        <v>40.214423041230432</v>
      </c>
      <c r="BZ130" s="635">
        <v>41.552390224634031</v>
      </c>
      <c r="CA130" s="635">
        <v>42.890357408037623</v>
      </c>
      <c r="CB130" s="635">
        <v>44.228324591441215</v>
      </c>
      <c r="CC130" s="635">
        <v>45.566291774844814</v>
      </c>
      <c r="CD130" s="635">
        <v>47.148350214415302</v>
      </c>
      <c r="CE130" s="635">
        <v>48.730408653985798</v>
      </c>
      <c r="CF130" s="635">
        <v>53.116328815079044</v>
      </c>
      <c r="CG130" s="635">
        <v>58.341852483315947</v>
      </c>
      <c r="CH130" s="635">
        <v>60.63627704582089</v>
      </c>
      <c r="CI130" s="635">
        <v>61.896274249785804</v>
      </c>
      <c r="CJ130" s="635">
        <v>63.201120239769999</v>
      </c>
      <c r="CK130" s="635">
        <v>64.537360379967708</v>
      </c>
      <c r="CL130" s="634">
        <v>9.0924639502493392</v>
      </c>
      <c r="CM130" s="634">
        <v>9.18587785406487</v>
      </c>
      <c r="CN130" s="634">
        <v>9.2802514710531767</v>
      </c>
      <c r="CO130" s="635">
        <v>9.5890131287616995</v>
      </c>
      <c r="CP130" s="635">
        <v>9.8977747864702206</v>
      </c>
      <c r="CQ130" s="635">
        <v>10.206536444178742</v>
      </c>
      <c r="CR130" s="635">
        <v>10.515298101887264</v>
      </c>
      <c r="CS130" s="635">
        <v>10.880388511018916</v>
      </c>
      <c r="CT130" s="635">
        <v>11.245478920150568</v>
      </c>
      <c r="CU130" s="635">
        <v>12.257614341941318</v>
      </c>
      <c r="CV130" s="635">
        <v>13.463504419226757</v>
      </c>
      <c r="CW130" s="635">
        <v>13.992987010574051</v>
      </c>
      <c r="CX130" s="635">
        <v>14.283755596104417</v>
      </c>
      <c r="CY130" s="635">
        <v>14.584873901485384</v>
      </c>
      <c r="CZ130" s="635">
        <v>14.893237010761778</v>
      </c>
      <c r="DA130" s="636">
        <v>0</v>
      </c>
      <c r="DB130" s="636">
        <v>0</v>
      </c>
      <c r="DC130" s="636">
        <v>0</v>
      </c>
      <c r="DD130" s="637">
        <v>0</v>
      </c>
      <c r="DE130" s="637">
        <v>0</v>
      </c>
      <c r="DF130" s="637">
        <v>0</v>
      </c>
      <c r="DG130" s="637">
        <v>0</v>
      </c>
      <c r="DH130" s="637">
        <v>0</v>
      </c>
      <c r="DI130" s="637">
        <v>0</v>
      </c>
      <c r="DJ130" s="637">
        <v>0</v>
      </c>
      <c r="DK130" s="637">
        <v>0</v>
      </c>
      <c r="DL130" s="637">
        <v>0</v>
      </c>
      <c r="DM130" s="637">
        <v>0</v>
      </c>
      <c r="DN130" s="637">
        <v>0</v>
      </c>
      <c r="DO130" s="637">
        <v>0</v>
      </c>
      <c r="DP130" s="636">
        <v>0</v>
      </c>
      <c r="DQ130" s="636">
        <v>0</v>
      </c>
      <c r="DR130" s="636">
        <v>0</v>
      </c>
      <c r="DS130" s="637">
        <v>0</v>
      </c>
      <c r="DT130" s="637">
        <v>0</v>
      </c>
      <c r="DU130" s="637">
        <v>0</v>
      </c>
      <c r="DV130" s="637">
        <v>0</v>
      </c>
      <c r="DW130" s="637">
        <v>0</v>
      </c>
      <c r="DX130" s="637">
        <v>0</v>
      </c>
      <c r="DY130" s="637">
        <v>0</v>
      </c>
      <c r="DZ130" s="637">
        <v>0</v>
      </c>
      <c r="EA130" s="637">
        <v>0</v>
      </c>
      <c r="EB130" s="637">
        <v>0</v>
      </c>
      <c r="EC130" s="637">
        <v>0</v>
      </c>
      <c r="ED130" s="637">
        <v>0</v>
      </c>
    </row>
    <row r="131" spans="1:134" ht="15" x14ac:dyDescent="0.25">
      <c r="A131" s="555">
        <v>116</v>
      </c>
      <c r="B131" s="555">
        <v>90</v>
      </c>
      <c r="C131" s="555" t="s">
        <v>1114</v>
      </c>
      <c r="D131" s="812">
        <v>99705</v>
      </c>
      <c r="E131" s="812">
        <v>99705</v>
      </c>
      <c r="F131" s="630" t="s">
        <v>311</v>
      </c>
      <c r="G131" s="45">
        <v>114</v>
      </c>
      <c r="H131" s="45">
        <v>50</v>
      </c>
      <c r="I131" s="45">
        <v>41</v>
      </c>
      <c r="J131" s="45">
        <v>9</v>
      </c>
      <c r="K131" s="45">
        <v>0</v>
      </c>
      <c r="L131" s="45">
        <v>40</v>
      </c>
      <c r="M131" s="45">
        <v>40</v>
      </c>
      <c r="N131" s="45">
        <v>14</v>
      </c>
      <c r="O131" s="45">
        <v>0</v>
      </c>
      <c r="P131" s="45">
        <v>0</v>
      </c>
      <c r="Q131" s="45">
        <v>54</v>
      </c>
      <c r="R131" s="45">
        <v>0</v>
      </c>
      <c r="S131" s="45">
        <v>1491.675</v>
      </c>
      <c r="T131" s="45">
        <v>1491.675</v>
      </c>
      <c r="U131" s="45">
        <v>6842.1428571428569</v>
      </c>
      <c r="V131" s="45">
        <v>0</v>
      </c>
      <c r="W131" s="45">
        <v>0</v>
      </c>
      <c r="X131" s="45">
        <v>2878.8333333333335</v>
      </c>
      <c r="Y131" s="45">
        <v>0</v>
      </c>
      <c r="Z131" s="45">
        <v>50</v>
      </c>
      <c r="AA131" s="45">
        <v>0</v>
      </c>
      <c r="AB131" s="508">
        <v>14</v>
      </c>
      <c r="AC131" s="508">
        <v>0</v>
      </c>
      <c r="AD131" s="631">
        <v>64</v>
      </c>
      <c r="AE131" s="632">
        <v>0</v>
      </c>
      <c r="AF131" s="632">
        <v>41</v>
      </c>
      <c r="AG131" s="633">
        <v>41</v>
      </c>
      <c r="AH131" s="632">
        <v>0</v>
      </c>
      <c r="AI131" s="632">
        <v>0</v>
      </c>
      <c r="AJ131" s="632">
        <v>46.407585011043025</v>
      </c>
      <c r="AK131" s="632">
        <v>46.407585011043025</v>
      </c>
      <c r="AL131" s="632">
        <v>0</v>
      </c>
      <c r="AM131" s="632">
        <v>0</v>
      </c>
      <c r="AN131" s="632">
        <v>38.249403585310112</v>
      </c>
      <c r="AO131" s="632">
        <v>38.249403585310112</v>
      </c>
      <c r="AP131" s="632">
        <v>0</v>
      </c>
      <c r="AQ131" s="632">
        <v>13.161507342688731</v>
      </c>
      <c r="AR131" s="632">
        <v>0</v>
      </c>
      <c r="AS131" s="632">
        <v>43.073278931143712</v>
      </c>
      <c r="AT131" s="632">
        <v>44.709359799726727</v>
      </c>
      <c r="AU131" s="632">
        <v>46.407585011043025</v>
      </c>
      <c r="AV131" s="632">
        <v>48.170315034802826</v>
      </c>
      <c r="AW131" s="632">
        <v>50</v>
      </c>
      <c r="AX131" s="632">
        <v>35.683338405656926</v>
      </c>
      <c r="AY131" s="632">
        <v>36.944098472545896</v>
      </c>
      <c r="AZ131" s="632">
        <v>38.249403585310112</v>
      </c>
      <c r="BA131" s="632">
        <v>39.600827604959399</v>
      </c>
      <c r="BB131" s="632">
        <v>41</v>
      </c>
      <c r="BC131" s="632">
        <v>12.373233966546383</v>
      </c>
      <c r="BD131" s="632">
        <v>12.761285581927309</v>
      </c>
      <c r="BE131" s="632">
        <v>13.161507342688731</v>
      </c>
      <c r="BF131" s="632">
        <v>13.574280931144832</v>
      </c>
      <c r="BG131" s="632">
        <v>14</v>
      </c>
      <c r="BH131" s="634">
        <v>50.513688612496331</v>
      </c>
      <c r="BI131" s="634">
        <v>51.03265474480483</v>
      </c>
      <c r="BJ131" s="634">
        <v>51.556952616962093</v>
      </c>
      <c r="BK131" s="635">
        <v>51.796420556709741</v>
      </c>
      <c r="BL131" s="635">
        <v>52.035888496457382</v>
      </c>
      <c r="BM131" s="635">
        <v>52.275356436205016</v>
      </c>
      <c r="BN131" s="635">
        <v>52.514824375952664</v>
      </c>
      <c r="BO131" s="635">
        <v>52.797979508442957</v>
      </c>
      <c r="BP131" s="635">
        <v>53.08113464093325</v>
      </c>
      <c r="BQ131" s="635">
        <v>53.866121954450811</v>
      </c>
      <c r="BR131" s="635">
        <v>54.801380608367857</v>
      </c>
      <c r="BS131" s="635">
        <v>55.212034269911143</v>
      </c>
      <c r="BT131" s="635">
        <v>55.437547225881943</v>
      </c>
      <c r="BU131" s="635">
        <v>55.671087169750081</v>
      </c>
      <c r="BV131" s="635">
        <v>55.910246005146355</v>
      </c>
      <c r="BW131" s="634">
        <v>41.421224662246992</v>
      </c>
      <c r="BX131" s="634">
        <v>41.84677689073996</v>
      </c>
      <c r="BY131" s="634">
        <v>42.276701145908916</v>
      </c>
      <c r="BZ131" s="635">
        <v>42.473064856501985</v>
      </c>
      <c r="CA131" s="635">
        <v>42.669428567095053</v>
      </c>
      <c r="CB131" s="635">
        <v>42.865792277688115</v>
      </c>
      <c r="CC131" s="635">
        <v>43.062155988281184</v>
      </c>
      <c r="CD131" s="635">
        <v>43.294343196923229</v>
      </c>
      <c r="CE131" s="635">
        <v>43.526530405565268</v>
      </c>
      <c r="CF131" s="635">
        <v>44.170220002649664</v>
      </c>
      <c r="CG131" s="635">
        <v>44.937132098861646</v>
      </c>
      <c r="CH131" s="635">
        <v>45.273868101327139</v>
      </c>
      <c r="CI131" s="635">
        <v>45.458788725223194</v>
      </c>
      <c r="CJ131" s="635">
        <v>45.650291479195062</v>
      </c>
      <c r="CK131" s="635">
        <v>45.846401724220016</v>
      </c>
      <c r="CL131" s="634">
        <v>14.143832811498973</v>
      </c>
      <c r="CM131" s="634">
        <v>14.289143328545352</v>
      </c>
      <c r="CN131" s="634">
        <v>14.435946732749386</v>
      </c>
      <c r="CO131" s="635">
        <v>14.502997755878727</v>
      </c>
      <c r="CP131" s="635">
        <v>14.570048779008067</v>
      </c>
      <c r="CQ131" s="635">
        <v>14.637099802137405</v>
      </c>
      <c r="CR131" s="635">
        <v>14.704150825266746</v>
      </c>
      <c r="CS131" s="635">
        <v>14.783434262364029</v>
      </c>
      <c r="CT131" s="635">
        <v>14.86271769946131</v>
      </c>
      <c r="CU131" s="635">
        <v>15.082514147246227</v>
      </c>
      <c r="CV131" s="635">
        <v>15.344386570343001</v>
      </c>
      <c r="CW131" s="635">
        <v>15.45936959557512</v>
      </c>
      <c r="CX131" s="635">
        <v>15.522513223246943</v>
      </c>
      <c r="CY131" s="635">
        <v>15.587904407530022</v>
      </c>
      <c r="CZ131" s="635">
        <v>15.654868881440981</v>
      </c>
      <c r="DA131" s="636">
        <v>0</v>
      </c>
      <c r="DB131" s="636">
        <v>0</v>
      </c>
      <c r="DC131" s="636">
        <v>0</v>
      </c>
      <c r="DD131" s="637">
        <v>0</v>
      </c>
      <c r="DE131" s="637">
        <v>0</v>
      </c>
      <c r="DF131" s="637">
        <v>0</v>
      </c>
      <c r="DG131" s="637">
        <v>0</v>
      </c>
      <c r="DH131" s="637">
        <v>0</v>
      </c>
      <c r="DI131" s="637">
        <v>0</v>
      </c>
      <c r="DJ131" s="637">
        <v>0</v>
      </c>
      <c r="DK131" s="637">
        <v>0</v>
      </c>
      <c r="DL131" s="637">
        <v>0</v>
      </c>
      <c r="DM131" s="637">
        <v>0</v>
      </c>
      <c r="DN131" s="637">
        <v>0</v>
      </c>
      <c r="DO131" s="637">
        <v>0</v>
      </c>
      <c r="DP131" s="636">
        <v>0</v>
      </c>
      <c r="DQ131" s="636">
        <v>0</v>
      </c>
      <c r="DR131" s="636">
        <v>0</v>
      </c>
      <c r="DS131" s="637">
        <v>0</v>
      </c>
      <c r="DT131" s="637">
        <v>0</v>
      </c>
      <c r="DU131" s="637">
        <v>0</v>
      </c>
      <c r="DV131" s="637">
        <v>0</v>
      </c>
      <c r="DW131" s="637">
        <v>0</v>
      </c>
      <c r="DX131" s="637">
        <v>0</v>
      </c>
      <c r="DY131" s="637">
        <v>0</v>
      </c>
      <c r="DZ131" s="637">
        <v>0</v>
      </c>
      <c r="EA131" s="637">
        <v>0</v>
      </c>
      <c r="EB131" s="637">
        <v>0</v>
      </c>
      <c r="EC131" s="637">
        <v>0</v>
      </c>
      <c r="ED131" s="637">
        <v>0</v>
      </c>
    </row>
    <row r="132" spans="1:134" ht="15" x14ac:dyDescent="0.25">
      <c r="A132" s="555">
        <v>118</v>
      </c>
      <c r="B132" s="555">
        <v>90</v>
      </c>
      <c r="C132" s="555" t="s">
        <v>1115</v>
      </c>
      <c r="D132" s="812">
        <v>99705</v>
      </c>
      <c r="E132" s="812">
        <v>99705</v>
      </c>
      <c r="F132" s="630" t="s">
        <v>311</v>
      </c>
      <c r="G132" s="45">
        <v>242</v>
      </c>
      <c r="H132" s="45">
        <v>103</v>
      </c>
      <c r="I132" s="45">
        <v>88</v>
      </c>
      <c r="J132" s="45">
        <v>15</v>
      </c>
      <c r="K132" s="45">
        <v>0</v>
      </c>
      <c r="L132" s="45">
        <v>1</v>
      </c>
      <c r="M132" s="45">
        <v>1</v>
      </c>
      <c r="N132" s="45">
        <v>0</v>
      </c>
      <c r="O132" s="45">
        <v>0</v>
      </c>
      <c r="P132" s="45">
        <v>0</v>
      </c>
      <c r="Q132" s="45">
        <v>1</v>
      </c>
      <c r="R132" s="45">
        <v>0</v>
      </c>
      <c r="S132" s="45">
        <v>720</v>
      </c>
      <c r="T132" s="45">
        <v>720</v>
      </c>
      <c r="U132" s="45">
        <v>0</v>
      </c>
      <c r="V132" s="45">
        <v>0</v>
      </c>
      <c r="W132" s="45">
        <v>0</v>
      </c>
      <c r="X132" s="45">
        <v>720</v>
      </c>
      <c r="Y132" s="45">
        <v>0</v>
      </c>
      <c r="Z132" s="45">
        <v>103</v>
      </c>
      <c r="AA132" s="45">
        <v>0</v>
      </c>
      <c r="AB132" s="508">
        <v>0</v>
      </c>
      <c r="AC132" s="508">
        <v>0</v>
      </c>
      <c r="AD132" s="631">
        <v>103</v>
      </c>
      <c r="AE132" s="632">
        <v>0</v>
      </c>
      <c r="AF132" s="632">
        <v>88</v>
      </c>
      <c r="AG132" s="633">
        <v>88</v>
      </c>
      <c r="AH132" s="632">
        <v>0</v>
      </c>
      <c r="AI132" s="632">
        <v>0</v>
      </c>
      <c r="AJ132" s="632">
        <v>95.599625122748634</v>
      </c>
      <c r="AK132" s="632">
        <v>95.599625122748634</v>
      </c>
      <c r="AL132" s="632">
        <v>0</v>
      </c>
      <c r="AM132" s="632">
        <v>0</v>
      </c>
      <c r="AN132" s="632">
        <v>82.096280866031464</v>
      </c>
      <c r="AO132" s="632">
        <v>82.096280866031464</v>
      </c>
      <c r="AP132" s="632">
        <v>0</v>
      </c>
      <c r="AQ132" s="632">
        <v>0</v>
      </c>
      <c r="AR132" s="632">
        <v>0</v>
      </c>
      <c r="AS132" s="632">
        <v>88.730954598156046</v>
      </c>
      <c r="AT132" s="632">
        <v>92.101281187437053</v>
      </c>
      <c r="AU132" s="632">
        <v>95.599625122748634</v>
      </c>
      <c r="AV132" s="632">
        <v>99.230848971693817</v>
      </c>
      <c r="AW132" s="632">
        <v>103</v>
      </c>
      <c r="AX132" s="632">
        <v>76.588628773117307</v>
      </c>
      <c r="AY132" s="632">
        <v>79.294650380098503</v>
      </c>
      <c r="AZ132" s="632">
        <v>82.096280866031464</v>
      </c>
      <c r="BA132" s="632">
        <v>84.996898274059205</v>
      </c>
      <c r="BB132" s="632">
        <v>88</v>
      </c>
      <c r="BC132" s="632">
        <v>0</v>
      </c>
      <c r="BD132" s="632">
        <v>0</v>
      </c>
      <c r="BE132" s="632">
        <v>0</v>
      </c>
      <c r="BF132" s="632">
        <v>0</v>
      </c>
      <c r="BG132" s="632">
        <v>0</v>
      </c>
      <c r="BH132" s="634">
        <v>104.05819854174244</v>
      </c>
      <c r="BI132" s="634">
        <v>105.12726877429795</v>
      </c>
      <c r="BJ132" s="634">
        <v>106.20732239094191</v>
      </c>
      <c r="BK132" s="635">
        <v>109.47555917125555</v>
      </c>
      <c r="BL132" s="635">
        <v>112.74379595156921</v>
      </c>
      <c r="BM132" s="635">
        <v>116.01203273188284</v>
      </c>
      <c r="BN132" s="635">
        <v>119.28026951219648</v>
      </c>
      <c r="BO132" s="635">
        <v>123.14474514728398</v>
      </c>
      <c r="BP132" s="635">
        <v>127.0092207823715</v>
      </c>
      <c r="BQ132" s="635">
        <v>137.72265663028205</v>
      </c>
      <c r="BR132" s="635">
        <v>150.48698213898896</v>
      </c>
      <c r="BS132" s="635">
        <v>156.09154616555801</v>
      </c>
      <c r="BT132" s="635">
        <v>159.16932658960019</v>
      </c>
      <c r="BU132" s="635">
        <v>162.35665861837447</v>
      </c>
      <c r="BV132" s="635">
        <v>165.6206767704611</v>
      </c>
      <c r="BW132" s="634">
        <v>88.904091957993543</v>
      </c>
      <c r="BX132" s="634">
        <v>89.817472350856491</v>
      </c>
      <c r="BY132" s="634">
        <v>90.740236605853283</v>
      </c>
      <c r="BZ132" s="635">
        <v>93.53251657349989</v>
      </c>
      <c r="CA132" s="635">
        <v>96.324796541146512</v>
      </c>
      <c r="CB132" s="635">
        <v>99.117076508793104</v>
      </c>
      <c r="CC132" s="635">
        <v>101.90935647643971</v>
      </c>
      <c r="CD132" s="635">
        <v>105.21104439767952</v>
      </c>
      <c r="CE132" s="635">
        <v>108.51273231891935</v>
      </c>
      <c r="CF132" s="635">
        <v>117.66595906276525</v>
      </c>
      <c r="CG132" s="635">
        <v>128.57140221583523</v>
      </c>
      <c r="CH132" s="635">
        <v>133.35976759775832</v>
      </c>
      <c r="CI132" s="635">
        <v>135.98932757169726</v>
      </c>
      <c r="CJ132" s="635">
        <v>138.71248503317429</v>
      </c>
      <c r="CK132" s="635">
        <v>141.50116073592793</v>
      </c>
      <c r="CL132" s="634">
        <v>0</v>
      </c>
      <c r="CM132" s="634">
        <v>0</v>
      </c>
      <c r="CN132" s="634">
        <v>0</v>
      </c>
      <c r="CO132" s="635">
        <v>0</v>
      </c>
      <c r="CP132" s="635">
        <v>0</v>
      </c>
      <c r="CQ132" s="635">
        <v>0</v>
      </c>
      <c r="CR132" s="635">
        <v>0</v>
      </c>
      <c r="CS132" s="635">
        <v>0</v>
      </c>
      <c r="CT132" s="635">
        <v>0</v>
      </c>
      <c r="CU132" s="635">
        <v>0</v>
      </c>
      <c r="CV132" s="635">
        <v>0</v>
      </c>
      <c r="CW132" s="635">
        <v>0</v>
      </c>
      <c r="CX132" s="635">
        <v>0</v>
      </c>
      <c r="CY132" s="635">
        <v>0</v>
      </c>
      <c r="CZ132" s="635">
        <v>0</v>
      </c>
      <c r="DA132" s="636">
        <v>0</v>
      </c>
      <c r="DB132" s="636">
        <v>0</v>
      </c>
      <c r="DC132" s="636">
        <v>0</v>
      </c>
      <c r="DD132" s="637">
        <v>0</v>
      </c>
      <c r="DE132" s="637">
        <v>0</v>
      </c>
      <c r="DF132" s="637">
        <v>0</v>
      </c>
      <c r="DG132" s="637">
        <v>0</v>
      </c>
      <c r="DH132" s="637">
        <v>0</v>
      </c>
      <c r="DI132" s="637">
        <v>0</v>
      </c>
      <c r="DJ132" s="637">
        <v>0</v>
      </c>
      <c r="DK132" s="637">
        <v>0</v>
      </c>
      <c r="DL132" s="637">
        <v>0</v>
      </c>
      <c r="DM132" s="637">
        <v>0</v>
      </c>
      <c r="DN132" s="637">
        <v>0</v>
      </c>
      <c r="DO132" s="637">
        <v>0</v>
      </c>
      <c r="DP132" s="636">
        <v>0</v>
      </c>
      <c r="DQ132" s="636">
        <v>0</v>
      </c>
      <c r="DR132" s="636">
        <v>0</v>
      </c>
      <c r="DS132" s="637">
        <v>0</v>
      </c>
      <c r="DT132" s="637">
        <v>0</v>
      </c>
      <c r="DU132" s="637">
        <v>0</v>
      </c>
      <c r="DV132" s="637">
        <v>0</v>
      </c>
      <c r="DW132" s="637">
        <v>0</v>
      </c>
      <c r="DX132" s="637">
        <v>0</v>
      </c>
      <c r="DY132" s="637">
        <v>0</v>
      </c>
      <c r="DZ132" s="637">
        <v>0</v>
      </c>
      <c r="EA132" s="637">
        <v>0</v>
      </c>
      <c r="EB132" s="637">
        <v>0</v>
      </c>
      <c r="EC132" s="637">
        <v>0</v>
      </c>
      <c r="ED132" s="637">
        <v>0</v>
      </c>
    </row>
    <row r="133" spans="1:134" ht="15" x14ac:dyDescent="0.25">
      <c r="A133" s="555">
        <v>120</v>
      </c>
      <c r="B133" s="555">
        <v>90</v>
      </c>
      <c r="C133" s="555" t="s">
        <v>1116</v>
      </c>
      <c r="D133" s="812">
        <v>99705</v>
      </c>
      <c r="E133" s="812">
        <v>99705</v>
      </c>
      <c r="F133" s="630" t="s">
        <v>311</v>
      </c>
      <c r="G133" s="45">
        <v>540</v>
      </c>
      <c r="H133" s="45">
        <v>202</v>
      </c>
      <c r="I133" s="45">
        <v>185</v>
      </c>
      <c r="J133" s="45">
        <v>17</v>
      </c>
      <c r="K133" s="45">
        <v>0</v>
      </c>
      <c r="L133" s="45">
        <v>85</v>
      </c>
      <c r="M133" s="45">
        <v>85</v>
      </c>
      <c r="N133" s="45">
        <v>0</v>
      </c>
      <c r="O133" s="45">
        <v>0</v>
      </c>
      <c r="P133" s="45">
        <v>0</v>
      </c>
      <c r="Q133" s="45">
        <v>85</v>
      </c>
      <c r="R133" s="45">
        <v>0</v>
      </c>
      <c r="S133" s="45">
        <v>1850.0117647058823</v>
      </c>
      <c r="T133" s="45">
        <v>1850.0117647058823</v>
      </c>
      <c r="U133" s="45">
        <v>0</v>
      </c>
      <c r="V133" s="45">
        <v>0</v>
      </c>
      <c r="W133" s="45">
        <v>0</v>
      </c>
      <c r="X133" s="45">
        <v>1850.0117647058823</v>
      </c>
      <c r="Y133" s="45">
        <v>0</v>
      </c>
      <c r="Z133" s="45">
        <v>202</v>
      </c>
      <c r="AA133" s="45">
        <v>0</v>
      </c>
      <c r="AB133" s="508">
        <v>0</v>
      </c>
      <c r="AC133" s="508">
        <v>0</v>
      </c>
      <c r="AD133" s="631">
        <v>202</v>
      </c>
      <c r="AE133" s="632">
        <v>0</v>
      </c>
      <c r="AF133" s="632">
        <v>185</v>
      </c>
      <c r="AG133" s="633">
        <v>185</v>
      </c>
      <c r="AH133" s="632">
        <v>0</v>
      </c>
      <c r="AI133" s="632">
        <v>0</v>
      </c>
      <c r="AJ133" s="632">
        <v>187.48664344461383</v>
      </c>
      <c r="AK133" s="632">
        <v>187.48664344461383</v>
      </c>
      <c r="AL133" s="632">
        <v>0</v>
      </c>
      <c r="AM133" s="632">
        <v>0</v>
      </c>
      <c r="AN133" s="632">
        <v>172.58877227517976</v>
      </c>
      <c r="AO133" s="632">
        <v>172.58877227517976</v>
      </c>
      <c r="AP133" s="632">
        <v>0</v>
      </c>
      <c r="AQ133" s="632">
        <v>0</v>
      </c>
      <c r="AR133" s="632">
        <v>0</v>
      </c>
      <c r="AS133" s="632">
        <v>174.01604688182059</v>
      </c>
      <c r="AT133" s="632">
        <v>180.62581359089597</v>
      </c>
      <c r="AU133" s="632">
        <v>187.48664344461383</v>
      </c>
      <c r="AV133" s="632">
        <v>194.60807274060343</v>
      </c>
      <c r="AW133" s="632">
        <v>202</v>
      </c>
      <c r="AX133" s="632">
        <v>161.01018548893978</v>
      </c>
      <c r="AY133" s="632">
        <v>166.69898091270707</v>
      </c>
      <c r="AZ133" s="632">
        <v>172.58877227517976</v>
      </c>
      <c r="BA133" s="632">
        <v>178.68666114432901</v>
      </c>
      <c r="BB133" s="632">
        <v>185</v>
      </c>
      <c r="BC133" s="632">
        <v>0</v>
      </c>
      <c r="BD133" s="632">
        <v>0</v>
      </c>
      <c r="BE133" s="632">
        <v>0</v>
      </c>
      <c r="BF133" s="632">
        <v>0</v>
      </c>
      <c r="BG133" s="632">
        <v>0</v>
      </c>
      <c r="BH133" s="634">
        <v>204.07530199448519</v>
      </c>
      <c r="BI133" s="634">
        <v>206.1719251690115</v>
      </c>
      <c r="BJ133" s="634">
        <v>208.29008857252686</v>
      </c>
      <c r="BK133" s="635">
        <v>213.87952187655637</v>
      </c>
      <c r="BL133" s="635">
        <v>219.46895518058588</v>
      </c>
      <c r="BM133" s="635">
        <v>225.05838848461539</v>
      </c>
      <c r="BN133" s="635">
        <v>230.6478217886449</v>
      </c>
      <c r="BO133" s="635">
        <v>237.25696007001991</v>
      </c>
      <c r="BP133" s="635">
        <v>243.86609835139498</v>
      </c>
      <c r="BQ133" s="635">
        <v>262.18852697394681</v>
      </c>
      <c r="BR133" s="635">
        <v>284.01844655982001</v>
      </c>
      <c r="BS133" s="635">
        <v>293.60353446206943</v>
      </c>
      <c r="BT133" s="635">
        <v>298.86724378333236</v>
      </c>
      <c r="BU133" s="635">
        <v>304.3183114354506</v>
      </c>
      <c r="BV133" s="635">
        <v>309.90052991916747</v>
      </c>
      <c r="BW133" s="634">
        <v>186.90064786623643</v>
      </c>
      <c r="BX133" s="634">
        <v>188.82082255577785</v>
      </c>
      <c r="BY133" s="634">
        <v>190.76072468275976</v>
      </c>
      <c r="BZ133" s="635">
        <v>195.87976013446996</v>
      </c>
      <c r="CA133" s="635">
        <v>200.99879558618017</v>
      </c>
      <c r="CB133" s="635">
        <v>206.11783103789034</v>
      </c>
      <c r="CC133" s="635">
        <v>211.23686648960054</v>
      </c>
      <c r="CD133" s="635">
        <v>217.28979016313707</v>
      </c>
      <c r="CE133" s="635">
        <v>223.34271383667365</v>
      </c>
      <c r="CF133" s="635">
        <v>240.12315589198099</v>
      </c>
      <c r="CG133" s="635">
        <v>260.11590402755792</v>
      </c>
      <c r="CH133" s="635">
        <v>268.8943261162517</v>
      </c>
      <c r="CI133" s="635">
        <v>273.7150499995866</v>
      </c>
      <c r="CJ133" s="635">
        <v>278.70736443345726</v>
      </c>
      <c r="CK133" s="635">
        <v>283.81979225270288</v>
      </c>
      <c r="CL133" s="634">
        <v>0</v>
      </c>
      <c r="CM133" s="634">
        <v>0</v>
      </c>
      <c r="CN133" s="634">
        <v>0</v>
      </c>
      <c r="CO133" s="635">
        <v>0</v>
      </c>
      <c r="CP133" s="635">
        <v>0</v>
      </c>
      <c r="CQ133" s="635">
        <v>0</v>
      </c>
      <c r="CR133" s="635">
        <v>0</v>
      </c>
      <c r="CS133" s="635">
        <v>0</v>
      </c>
      <c r="CT133" s="635">
        <v>0</v>
      </c>
      <c r="CU133" s="635">
        <v>0</v>
      </c>
      <c r="CV133" s="635">
        <v>0</v>
      </c>
      <c r="CW133" s="635">
        <v>0</v>
      </c>
      <c r="CX133" s="635">
        <v>0</v>
      </c>
      <c r="CY133" s="635">
        <v>0</v>
      </c>
      <c r="CZ133" s="635">
        <v>0</v>
      </c>
      <c r="DA133" s="636">
        <v>0</v>
      </c>
      <c r="DB133" s="636">
        <v>0</v>
      </c>
      <c r="DC133" s="636">
        <v>0</v>
      </c>
      <c r="DD133" s="637">
        <v>0</v>
      </c>
      <c r="DE133" s="637">
        <v>0</v>
      </c>
      <c r="DF133" s="637">
        <v>0</v>
      </c>
      <c r="DG133" s="637">
        <v>0</v>
      </c>
      <c r="DH133" s="637">
        <v>0</v>
      </c>
      <c r="DI133" s="637">
        <v>0</v>
      </c>
      <c r="DJ133" s="637">
        <v>0</v>
      </c>
      <c r="DK133" s="637">
        <v>0</v>
      </c>
      <c r="DL133" s="637">
        <v>0</v>
      </c>
      <c r="DM133" s="637">
        <v>0</v>
      </c>
      <c r="DN133" s="637">
        <v>0</v>
      </c>
      <c r="DO133" s="637">
        <v>0</v>
      </c>
      <c r="DP133" s="636">
        <v>0</v>
      </c>
      <c r="DQ133" s="636">
        <v>0</v>
      </c>
      <c r="DR133" s="636">
        <v>0</v>
      </c>
      <c r="DS133" s="637">
        <v>0</v>
      </c>
      <c r="DT133" s="637">
        <v>0</v>
      </c>
      <c r="DU133" s="637">
        <v>0</v>
      </c>
      <c r="DV133" s="637">
        <v>0</v>
      </c>
      <c r="DW133" s="637">
        <v>0</v>
      </c>
      <c r="DX133" s="637">
        <v>0</v>
      </c>
      <c r="DY133" s="637">
        <v>0</v>
      </c>
      <c r="DZ133" s="637">
        <v>0</v>
      </c>
      <c r="EA133" s="637">
        <v>0</v>
      </c>
      <c r="EB133" s="637">
        <v>0</v>
      </c>
      <c r="EC133" s="637">
        <v>0</v>
      </c>
      <c r="ED133" s="637">
        <v>0</v>
      </c>
    </row>
    <row r="134" spans="1:134" ht="15" x14ac:dyDescent="0.25">
      <c r="A134" s="555">
        <v>121</v>
      </c>
      <c r="B134" s="555">
        <v>90</v>
      </c>
      <c r="C134" s="555" t="s">
        <v>1117</v>
      </c>
      <c r="D134" s="812">
        <v>99705</v>
      </c>
      <c r="E134" s="812">
        <v>99705</v>
      </c>
      <c r="F134" s="630" t="s">
        <v>311</v>
      </c>
      <c r="G134" s="45">
        <v>536</v>
      </c>
      <c r="H134" s="45">
        <v>180</v>
      </c>
      <c r="I134" s="45">
        <v>169</v>
      </c>
      <c r="J134" s="45">
        <v>11</v>
      </c>
      <c r="K134" s="45">
        <v>1</v>
      </c>
      <c r="L134" s="45">
        <v>211</v>
      </c>
      <c r="M134" s="45">
        <v>212</v>
      </c>
      <c r="N134" s="45">
        <v>2</v>
      </c>
      <c r="O134" s="45">
        <v>0</v>
      </c>
      <c r="P134" s="45">
        <v>0</v>
      </c>
      <c r="Q134" s="45">
        <v>214</v>
      </c>
      <c r="R134" s="45">
        <v>2654</v>
      </c>
      <c r="S134" s="45">
        <v>2404.2559241706163</v>
      </c>
      <c r="T134" s="45">
        <v>2405.4339622641514</v>
      </c>
      <c r="U134" s="45">
        <v>10195.5</v>
      </c>
      <c r="V134" s="45">
        <v>0</v>
      </c>
      <c r="W134" s="45">
        <v>0</v>
      </c>
      <c r="X134" s="45">
        <v>2478.2383177570096</v>
      </c>
      <c r="Y134" s="45">
        <v>0.84905660377358494</v>
      </c>
      <c r="Z134" s="45">
        <v>179.15094339622641</v>
      </c>
      <c r="AA134" s="45">
        <v>0</v>
      </c>
      <c r="AB134" s="508">
        <v>2</v>
      </c>
      <c r="AC134" s="508">
        <v>0</v>
      </c>
      <c r="AD134" s="631">
        <v>182</v>
      </c>
      <c r="AE134" s="632">
        <v>0.79716981132075471</v>
      </c>
      <c r="AF134" s="632">
        <v>168.20283018867923</v>
      </c>
      <c r="AG134" s="633">
        <v>168.99999999999997</v>
      </c>
      <c r="AH134" s="632">
        <v>0</v>
      </c>
      <c r="AI134" s="632">
        <v>0.7880533303762024</v>
      </c>
      <c r="AJ134" s="632">
        <v>166.27925270937868</v>
      </c>
      <c r="AK134" s="632">
        <v>167.0673060397549</v>
      </c>
      <c r="AL134" s="632">
        <v>0</v>
      </c>
      <c r="AM134" s="632">
        <v>0.74368950827397706</v>
      </c>
      <c r="AN134" s="632">
        <v>156.91848624580913</v>
      </c>
      <c r="AO134" s="632">
        <v>157.66217575408311</v>
      </c>
      <c r="AP134" s="632">
        <v>0</v>
      </c>
      <c r="AQ134" s="632">
        <v>1.8802153346698185</v>
      </c>
      <c r="AR134" s="632">
        <v>0</v>
      </c>
      <c r="AS134" s="632">
        <v>155.06380415211734</v>
      </c>
      <c r="AT134" s="632">
        <v>160.95369527901622</v>
      </c>
      <c r="AU134" s="632">
        <v>167.0673060397549</v>
      </c>
      <c r="AV134" s="632">
        <v>173.41313412529018</v>
      </c>
      <c r="AW134" s="632">
        <v>180</v>
      </c>
      <c r="AX134" s="632">
        <v>147.08498025746388</v>
      </c>
      <c r="AY134" s="632">
        <v>152.28177175268914</v>
      </c>
      <c r="AZ134" s="632">
        <v>157.66217575408311</v>
      </c>
      <c r="BA134" s="632">
        <v>163.23267963995457</v>
      </c>
      <c r="BB134" s="632">
        <v>168.99999999999997</v>
      </c>
      <c r="BC134" s="632">
        <v>1.7676048523637691</v>
      </c>
      <c r="BD134" s="632">
        <v>1.823040797418187</v>
      </c>
      <c r="BE134" s="632">
        <v>1.8802153346698185</v>
      </c>
      <c r="BF134" s="632">
        <v>1.9391829901635476</v>
      </c>
      <c r="BG134" s="632">
        <v>2</v>
      </c>
      <c r="BH134" s="634">
        <v>182.93246917328688</v>
      </c>
      <c r="BI134" s="634">
        <v>185.91271265464198</v>
      </c>
      <c r="BJ134" s="634">
        <v>188.94150875898575</v>
      </c>
      <c r="BK134" s="635">
        <v>189.21708984961091</v>
      </c>
      <c r="BL134" s="635">
        <v>189.49267094023611</v>
      </c>
      <c r="BM134" s="635">
        <v>189.76825203086125</v>
      </c>
      <c r="BN134" s="635">
        <v>190.04383312148641</v>
      </c>
      <c r="BO134" s="635">
        <v>190.36968968629429</v>
      </c>
      <c r="BP134" s="635">
        <v>190.6955462511022</v>
      </c>
      <c r="BQ134" s="635">
        <v>191.5989141934416</v>
      </c>
      <c r="BR134" s="635">
        <v>192.67521526378405</v>
      </c>
      <c r="BS134" s="635">
        <v>193.14779787353365</v>
      </c>
      <c r="BT134" s="635">
        <v>193.40731948808482</v>
      </c>
      <c r="BU134" s="635">
        <v>193.67607860675241</v>
      </c>
      <c r="BV134" s="635">
        <v>193.95130397830152</v>
      </c>
      <c r="BW134" s="634">
        <v>171.75326272380821</v>
      </c>
      <c r="BX134" s="634">
        <v>174.55138021463605</v>
      </c>
      <c r="BY134" s="634">
        <v>177.39508322371438</v>
      </c>
      <c r="BZ134" s="635">
        <v>177.65382324769024</v>
      </c>
      <c r="CA134" s="635">
        <v>177.9125632716661</v>
      </c>
      <c r="CB134" s="635">
        <v>178.17130329564193</v>
      </c>
      <c r="CC134" s="635">
        <v>178.43004331961779</v>
      </c>
      <c r="CD134" s="635">
        <v>178.73598642768741</v>
      </c>
      <c r="CE134" s="635">
        <v>179.04192953575705</v>
      </c>
      <c r="CF134" s="635">
        <v>179.89009165939794</v>
      </c>
      <c r="CG134" s="635">
        <v>180.90061877544167</v>
      </c>
      <c r="CH134" s="635">
        <v>181.3443213368177</v>
      </c>
      <c r="CI134" s="635">
        <v>181.58798329714628</v>
      </c>
      <c r="CJ134" s="635">
        <v>181.84031824745085</v>
      </c>
      <c r="CK134" s="635">
        <v>182.09872429073863</v>
      </c>
      <c r="CL134" s="634">
        <v>2.0325829908142987</v>
      </c>
      <c r="CM134" s="634">
        <v>2.0656968072737998</v>
      </c>
      <c r="CN134" s="634">
        <v>2.099350097322064</v>
      </c>
      <c r="CO134" s="635">
        <v>2.1024121094401216</v>
      </c>
      <c r="CP134" s="635">
        <v>2.1054741215581791</v>
      </c>
      <c r="CQ134" s="635">
        <v>2.1085361336762363</v>
      </c>
      <c r="CR134" s="635">
        <v>2.1115981457942938</v>
      </c>
      <c r="CS134" s="635">
        <v>2.1152187742921589</v>
      </c>
      <c r="CT134" s="635">
        <v>2.1188394027900244</v>
      </c>
      <c r="CU134" s="635">
        <v>2.1288768243715737</v>
      </c>
      <c r="CV134" s="635">
        <v>2.1408357251531562</v>
      </c>
      <c r="CW134" s="635">
        <v>2.1460866430392631</v>
      </c>
      <c r="CX134" s="635">
        <v>2.1489702165342761</v>
      </c>
      <c r="CY134" s="635">
        <v>2.1519564289639161</v>
      </c>
      <c r="CZ134" s="635">
        <v>2.1550144886477951</v>
      </c>
      <c r="DA134" s="636">
        <v>0</v>
      </c>
      <c r="DB134" s="636">
        <v>0</v>
      </c>
      <c r="DC134" s="636">
        <v>0</v>
      </c>
      <c r="DD134" s="637">
        <v>0</v>
      </c>
      <c r="DE134" s="637">
        <v>0</v>
      </c>
      <c r="DF134" s="637">
        <v>0</v>
      </c>
      <c r="DG134" s="637">
        <v>0</v>
      </c>
      <c r="DH134" s="637">
        <v>0</v>
      </c>
      <c r="DI134" s="637">
        <v>0</v>
      </c>
      <c r="DJ134" s="637">
        <v>0</v>
      </c>
      <c r="DK134" s="637">
        <v>0</v>
      </c>
      <c r="DL134" s="637">
        <v>0</v>
      </c>
      <c r="DM134" s="637">
        <v>0</v>
      </c>
      <c r="DN134" s="637">
        <v>0</v>
      </c>
      <c r="DO134" s="637">
        <v>0</v>
      </c>
      <c r="DP134" s="636">
        <v>0</v>
      </c>
      <c r="DQ134" s="636">
        <v>0</v>
      </c>
      <c r="DR134" s="636">
        <v>0</v>
      </c>
      <c r="DS134" s="637">
        <v>0</v>
      </c>
      <c r="DT134" s="637">
        <v>0</v>
      </c>
      <c r="DU134" s="637">
        <v>0</v>
      </c>
      <c r="DV134" s="637">
        <v>0</v>
      </c>
      <c r="DW134" s="637">
        <v>0</v>
      </c>
      <c r="DX134" s="637">
        <v>0</v>
      </c>
      <c r="DY134" s="637">
        <v>0</v>
      </c>
      <c r="DZ134" s="637">
        <v>0</v>
      </c>
      <c r="EA134" s="637">
        <v>0</v>
      </c>
      <c r="EB134" s="637">
        <v>0</v>
      </c>
      <c r="EC134" s="637">
        <v>0</v>
      </c>
      <c r="ED134" s="637">
        <v>0</v>
      </c>
    </row>
    <row r="135" spans="1:134" ht="15" x14ac:dyDescent="0.25">
      <c r="A135" s="555">
        <v>122</v>
      </c>
      <c r="B135" s="555">
        <v>90</v>
      </c>
      <c r="C135" s="555" t="s">
        <v>1118</v>
      </c>
      <c r="D135" s="812">
        <v>99705</v>
      </c>
      <c r="E135" s="812">
        <v>99705</v>
      </c>
      <c r="F135" s="630" t="s">
        <v>311</v>
      </c>
      <c r="G135" s="45">
        <v>204</v>
      </c>
      <c r="H135" s="45">
        <v>77</v>
      </c>
      <c r="I135" s="45">
        <v>70</v>
      </c>
      <c r="J135" s="45">
        <v>7</v>
      </c>
      <c r="K135" s="45">
        <v>0</v>
      </c>
      <c r="L135" s="45">
        <v>46</v>
      </c>
      <c r="M135" s="45">
        <v>46</v>
      </c>
      <c r="N135" s="45">
        <v>0</v>
      </c>
      <c r="O135" s="45">
        <v>0</v>
      </c>
      <c r="P135" s="45">
        <v>0</v>
      </c>
      <c r="Q135" s="45">
        <v>46</v>
      </c>
      <c r="R135" s="45">
        <v>0</v>
      </c>
      <c r="S135" s="45">
        <v>2494.717391304348</v>
      </c>
      <c r="T135" s="45">
        <v>2494.717391304348</v>
      </c>
      <c r="U135" s="45">
        <v>0</v>
      </c>
      <c r="V135" s="45">
        <v>0</v>
      </c>
      <c r="W135" s="45">
        <v>0</v>
      </c>
      <c r="X135" s="45">
        <v>2494.717391304348</v>
      </c>
      <c r="Y135" s="45">
        <v>0</v>
      </c>
      <c r="Z135" s="45">
        <v>77</v>
      </c>
      <c r="AA135" s="45">
        <v>0</v>
      </c>
      <c r="AB135" s="508">
        <v>0</v>
      </c>
      <c r="AC135" s="508">
        <v>0</v>
      </c>
      <c r="AD135" s="631">
        <v>77</v>
      </c>
      <c r="AE135" s="632">
        <v>0</v>
      </c>
      <c r="AF135" s="632">
        <v>70</v>
      </c>
      <c r="AG135" s="633">
        <v>70</v>
      </c>
      <c r="AH135" s="632">
        <v>0</v>
      </c>
      <c r="AI135" s="632">
        <v>0</v>
      </c>
      <c r="AJ135" s="632">
        <v>71.467680917006263</v>
      </c>
      <c r="AK135" s="632">
        <v>71.467680917006263</v>
      </c>
      <c r="AL135" s="632">
        <v>0</v>
      </c>
      <c r="AM135" s="632">
        <v>0</v>
      </c>
      <c r="AN135" s="632">
        <v>65.303859779797747</v>
      </c>
      <c r="AO135" s="632">
        <v>65.303859779797747</v>
      </c>
      <c r="AP135" s="632">
        <v>0</v>
      </c>
      <c r="AQ135" s="632">
        <v>0</v>
      </c>
      <c r="AR135" s="632">
        <v>0</v>
      </c>
      <c r="AS135" s="632">
        <v>66.33284955396131</v>
      </c>
      <c r="AT135" s="632">
        <v>68.852414091579163</v>
      </c>
      <c r="AU135" s="632">
        <v>71.467680917006263</v>
      </c>
      <c r="AV135" s="632">
        <v>74.182285153596354</v>
      </c>
      <c r="AW135" s="632">
        <v>77</v>
      </c>
      <c r="AX135" s="632">
        <v>60.922772887706941</v>
      </c>
      <c r="AY135" s="632">
        <v>63.075290075078357</v>
      </c>
      <c r="AZ135" s="632">
        <v>65.303859779797747</v>
      </c>
      <c r="BA135" s="632">
        <v>67.611169081637996</v>
      </c>
      <c r="BB135" s="632">
        <v>70</v>
      </c>
      <c r="BC135" s="632">
        <v>0</v>
      </c>
      <c r="BD135" s="632">
        <v>0</v>
      </c>
      <c r="BE135" s="632">
        <v>0</v>
      </c>
      <c r="BF135" s="632">
        <v>0</v>
      </c>
      <c r="BG135" s="632">
        <v>0</v>
      </c>
      <c r="BH135" s="634">
        <v>78.254445146350506</v>
      </c>
      <c r="BI135" s="634">
        <v>79.529327080041298</v>
      </c>
      <c r="BJ135" s="634">
        <v>80.824978746899461</v>
      </c>
      <c r="BK135" s="635">
        <v>80.824978746899461</v>
      </c>
      <c r="BL135" s="635">
        <v>80.824978746899461</v>
      </c>
      <c r="BM135" s="635">
        <v>80.824978746899461</v>
      </c>
      <c r="BN135" s="635">
        <v>80.824978746899461</v>
      </c>
      <c r="BO135" s="635">
        <v>80.824978746899461</v>
      </c>
      <c r="BP135" s="635">
        <v>80.824978746899461</v>
      </c>
      <c r="BQ135" s="635">
        <v>80.824978746899461</v>
      </c>
      <c r="BR135" s="635">
        <v>80.824978746899461</v>
      </c>
      <c r="BS135" s="635">
        <v>80.824978746899461</v>
      </c>
      <c r="BT135" s="635">
        <v>80.824978746899461</v>
      </c>
      <c r="BU135" s="635">
        <v>80.824978746899461</v>
      </c>
      <c r="BV135" s="635">
        <v>80.824978746899461</v>
      </c>
      <c r="BW135" s="634">
        <v>71.14040467850046</v>
      </c>
      <c r="BX135" s="634">
        <v>72.299388254582993</v>
      </c>
      <c r="BY135" s="634">
        <v>73.47725340627224</v>
      </c>
      <c r="BZ135" s="635">
        <v>73.47725340627224</v>
      </c>
      <c r="CA135" s="635">
        <v>73.47725340627224</v>
      </c>
      <c r="CB135" s="635">
        <v>73.47725340627224</v>
      </c>
      <c r="CC135" s="635">
        <v>73.47725340627224</v>
      </c>
      <c r="CD135" s="635">
        <v>73.47725340627224</v>
      </c>
      <c r="CE135" s="635">
        <v>73.47725340627224</v>
      </c>
      <c r="CF135" s="635">
        <v>73.47725340627224</v>
      </c>
      <c r="CG135" s="635">
        <v>73.47725340627224</v>
      </c>
      <c r="CH135" s="635">
        <v>73.47725340627224</v>
      </c>
      <c r="CI135" s="635">
        <v>73.47725340627224</v>
      </c>
      <c r="CJ135" s="635">
        <v>73.47725340627224</v>
      </c>
      <c r="CK135" s="635">
        <v>73.47725340627224</v>
      </c>
      <c r="CL135" s="634">
        <v>0</v>
      </c>
      <c r="CM135" s="634">
        <v>0</v>
      </c>
      <c r="CN135" s="634">
        <v>0</v>
      </c>
      <c r="CO135" s="635">
        <v>0</v>
      </c>
      <c r="CP135" s="635">
        <v>0</v>
      </c>
      <c r="CQ135" s="635">
        <v>0</v>
      </c>
      <c r="CR135" s="635">
        <v>0</v>
      </c>
      <c r="CS135" s="635">
        <v>0</v>
      </c>
      <c r="CT135" s="635">
        <v>0</v>
      </c>
      <c r="CU135" s="635">
        <v>0</v>
      </c>
      <c r="CV135" s="635">
        <v>0</v>
      </c>
      <c r="CW135" s="635">
        <v>0</v>
      </c>
      <c r="CX135" s="635">
        <v>0</v>
      </c>
      <c r="CY135" s="635">
        <v>0</v>
      </c>
      <c r="CZ135" s="635">
        <v>0</v>
      </c>
      <c r="DA135" s="636">
        <v>0</v>
      </c>
      <c r="DB135" s="636">
        <v>0</v>
      </c>
      <c r="DC135" s="636">
        <v>0</v>
      </c>
      <c r="DD135" s="637">
        <v>0</v>
      </c>
      <c r="DE135" s="637">
        <v>0</v>
      </c>
      <c r="DF135" s="637">
        <v>0</v>
      </c>
      <c r="DG135" s="637">
        <v>0</v>
      </c>
      <c r="DH135" s="637">
        <v>0</v>
      </c>
      <c r="DI135" s="637">
        <v>0</v>
      </c>
      <c r="DJ135" s="637">
        <v>0</v>
      </c>
      <c r="DK135" s="637">
        <v>0</v>
      </c>
      <c r="DL135" s="637">
        <v>0</v>
      </c>
      <c r="DM135" s="637">
        <v>0</v>
      </c>
      <c r="DN135" s="637">
        <v>0</v>
      </c>
      <c r="DO135" s="637">
        <v>0</v>
      </c>
      <c r="DP135" s="636">
        <v>0</v>
      </c>
      <c r="DQ135" s="636">
        <v>0</v>
      </c>
      <c r="DR135" s="636">
        <v>0</v>
      </c>
      <c r="DS135" s="637">
        <v>0</v>
      </c>
      <c r="DT135" s="637">
        <v>0</v>
      </c>
      <c r="DU135" s="637">
        <v>0</v>
      </c>
      <c r="DV135" s="637">
        <v>0</v>
      </c>
      <c r="DW135" s="637">
        <v>0</v>
      </c>
      <c r="DX135" s="637">
        <v>0</v>
      </c>
      <c r="DY135" s="637">
        <v>0</v>
      </c>
      <c r="DZ135" s="637">
        <v>0</v>
      </c>
      <c r="EA135" s="637">
        <v>0</v>
      </c>
      <c r="EB135" s="637">
        <v>0</v>
      </c>
      <c r="EC135" s="637">
        <v>0</v>
      </c>
      <c r="ED135" s="637">
        <v>0</v>
      </c>
    </row>
    <row r="136" spans="1:134" ht="15" x14ac:dyDescent="0.25">
      <c r="A136" s="555">
        <v>123</v>
      </c>
      <c r="B136" s="555">
        <v>90</v>
      </c>
      <c r="C136" s="555" t="s">
        <v>1119</v>
      </c>
      <c r="D136" s="812">
        <v>99705</v>
      </c>
      <c r="E136" s="812">
        <v>99705</v>
      </c>
      <c r="F136" s="630" t="s">
        <v>311</v>
      </c>
      <c r="G136" s="45">
        <v>11</v>
      </c>
      <c r="H136" s="45">
        <v>6</v>
      </c>
      <c r="I136" s="45">
        <v>6</v>
      </c>
      <c r="J136" s="45">
        <v>0</v>
      </c>
      <c r="K136" s="45">
        <v>0</v>
      </c>
      <c r="L136" s="45">
        <v>53</v>
      </c>
      <c r="M136" s="45">
        <v>53</v>
      </c>
      <c r="N136" s="45">
        <v>1</v>
      </c>
      <c r="O136" s="45">
        <v>0</v>
      </c>
      <c r="P136" s="45">
        <v>0</v>
      </c>
      <c r="Q136" s="45">
        <v>54</v>
      </c>
      <c r="R136" s="45">
        <v>0</v>
      </c>
      <c r="S136" s="45">
        <v>1868.8490566037735</v>
      </c>
      <c r="T136" s="45">
        <v>1868.8490566037735</v>
      </c>
      <c r="U136" s="45">
        <v>4064</v>
      </c>
      <c r="V136" s="45">
        <v>0</v>
      </c>
      <c r="W136" s="45">
        <v>0</v>
      </c>
      <c r="X136" s="45">
        <v>1909.5</v>
      </c>
      <c r="Y136" s="45">
        <v>0</v>
      </c>
      <c r="Z136" s="45">
        <v>6</v>
      </c>
      <c r="AA136" s="45">
        <v>0</v>
      </c>
      <c r="AB136" s="508">
        <v>1</v>
      </c>
      <c r="AC136" s="508">
        <v>0</v>
      </c>
      <c r="AD136" s="631">
        <v>7</v>
      </c>
      <c r="AE136" s="632">
        <v>0</v>
      </c>
      <c r="AF136" s="632">
        <v>6</v>
      </c>
      <c r="AG136" s="633">
        <v>6</v>
      </c>
      <c r="AH136" s="632">
        <v>0</v>
      </c>
      <c r="AI136" s="632">
        <v>0</v>
      </c>
      <c r="AJ136" s="632">
        <v>5.5689102013251635</v>
      </c>
      <c r="AK136" s="632">
        <v>5.5689102013251635</v>
      </c>
      <c r="AL136" s="632">
        <v>0</v>
      </c>
      <c r="AM136" s="632">
        <v>0</v>
      </c>
      <c r="AN136" s="632">
        <v>5.5974736954112361</v>
      </c>
      <c r="AO136" s="632">
        <v>5.5974736954112361</v>
      </c>
      <c r="AP136" s="632">
        <v>0</v>
      </c>
      <c r="AQ136" s="632">
        <v>0.94010766733490925</v>
      </c>
      <c r="AR136" s="632">
        <v>0</v>
      </c>
      <c r="AS136" s="632">
        <v>5.1687934717372448</v>
      </c>
      <c r="AT136" s="632">
        <v>5.3651231759672076</v>
      </c>
      <c r="AU136" s="632">
        <v>5.5689102013251635</v>
      </c>
      <c r="AV136" s="632">
        <v>5.7804378041763389</v>
      </c>
      <c r="AW136" s="632">
        <v>6</v>
      </c>
      <c r="AX136" s="632">
        <v>5.2219519618034527</v>
      </c>
      <c r="AY136" s="632">
        <v>5.4064534350067159</v>
      </c>
      <c r="AZ136" s="632">
        <v>5.5974736954112361</v>
      </c>
      <c r="BA136" s="632">
        <v>5.7952430641403998</v>
      </c>
      <c r="BB136" s="632">
        <v>6</v>
      </c>
      <c r="BC136" s="632">
        <v>0.88380242618188454</v>
      </c>
      <c r="BD136" s="632">
        <v>0.91152039870909352</v>
      </c>
      <c r="BE136" s="632">
        <v>0.94010766733490925</v>
      </c>
      <c r="BF136" s="632">
        <v>0.96959149508177378</v>
      </c>
      <c r="BG136" s="632">
        <v>1</v>
      </c>
      <c r="BH136" s="634">
        <v>6.0977489724428962</v>
      </c>
      <c r="BI136" s="634">
        <v>6.1970904218213994</v>
      </c>
      <c r="BJ136" s="634">
        <v>6.2980502919661916</v>
      </c>
      <c r="BK136" s="635">
        <v>6.2980502919661916</v>
      </c>
      <c r="BL136" s="635">
        <v>6.2980502919661916</v>
      </c>
      <c r="BM136" s="635">
        <v>6.2980502919661916</v>
      </c>
      <c r="BN136" s="635">
        <v>6.2980502919661916</v>
      </c>
      <c r="BO136" s="635">
        <v>6.2980502919661916</v>
      </c>
      <c r="BP136" s="635">
        <v>6.2980502919661916</v>
      </c>
      <c r="BQ136" s="635">
        <v>6.2980502919661916</v>
      </c>
      <c r="BR136" s="635">
        <v>6.2980502919661916</v>
      </c>
      <c r="BS136" s="635">
        <v>6.2980502919661916</v>
      </c>
      <c r="BT136" s="635">
        <v>6.2980502919661916</v>
      </c>
      <c r="BU136" s="635">
        <v>6.2980502919661916</v>
      </c>
      <c r="BV136" s="635">
        <v>6.2980502919661916</v>
      </c>
      <c r="BW136" s="634">
        <v>6.0977489724428962</v>
      </c>
      <c r="BX136" s="634">
        <v>6.1970904218213994</v>
      </c>
      <c r="BY136" s="634">
        <v>6.2980502919661916</v>
      </c>
      <c r="BZ136" s="635">
        <v>6.2980502919661916</v>
      </c>
      <c r="CA136" s="635">
        <v>6.2980502919661916</v>
      </c>
      <c r="CB136" s="635">
        <v>6.2980502919661916</v>
      </c>
      <c r="CC136" s="635">
        <v>6.2980502919661916</v>
      </c>
      <c r="CD136" s="635">
        <v>6.2980502919661916</v>
      </c>
      <c r="CE136" s="635">
        <v>6.2980502919661916</v>
      </c>
      <c r="CF136" s="635">
        <v>6.2980502919661916</v>
      </c>
      <c r="CG136" s="635">
        <v>6.2980502919661916</v>
      </c>
      <c r="CH136" s="635">
        <v>6.2980502919661916</v>
      </c>
      <c r="CI136" s="635">
        <v>6.2980502919661916</v>
      </c>
      <c r="CJ136" s="635">
        <v>6.2980502919661916</v>
      </c>
      <c r="CK136" s="635">
        <v>6.2980502919661916</v>
      </c>
      <c r="CL136" s="634">
        <v>1.0162914954071494</v>
      </c>
      <c r="CM136" s="634">
        <v>1.0328484036368999</v>
      </c>
      <c r="CN136" s="634">
        <v>1.049675048661032</v>
      </c>
      <c r="CO136" s="635">
        <v>1.049675048661032</v>
      </c>
      <c r="CP136" s="635">
        <v>1.049675048661032</v>
      </c>
      <c r="CQ136" s="635">
        <v>1.049675048661032</v>
      </c>
      <c r="CR136" s="635">
        <v>1.049675048661032</v>
      </c>
      <c r="CS136" s="635">
        <v>1.049675048661032</v>
      </c>
      <c r="CT136" s="635">
        <v>1.049675048661032</v>
      </c>
      <c r="CU136" s="635">
        <v>1.049675048661032</v>
      </c>
      <c r="CV136" s="635">
        <v>1.049675048661032</v>
      </c>
      <c r="CW136" s="635">
        <v>1.049675048661032</v>
      </c>
      <c r="CX136" s="635">
        <v>1.049675048661032</v>
      </c>
      <c r="CY136" s="635">
        <v>1.049675048661032</v>
      </c>
      <c r="CZ136" s="635">
        <v>1.049675048661032</v>
      </c>
      <c r="DA136" s="636">
        <v>0</v>
      </c>
      <c r="DB136" s="636">
        <v>0</v>
      </c>
      <c r="DC136" s="636">
        <v>0</v>
      </c>
      <c r="DD136" s="637">
        <v>0</v>
      </c>
      <c r="DE136" s="637">
        <v>0</v>
      </c>
      <c r="DF136" s="637">
        <v>0</v>
      </c>
      <c r="DG136" s="637">
        <v>0</v>
      </c>
      <c r="DH136" s="637">
        <v>0</v>
      </c>
      <c r="DI136" s="637">
        <v>0</v>
      </c>
      <c r="DJ136" s="637">
        <v>0</v>
      </c>
      <c r="DK136" s="637">
        <v>0</v>
      </c>
      <c r="DL136" s="637">
        <v>0</v>
      </c>
      <c r="DM136" s="637">
        <v>0</v>
      </c>
      <c r="DN136" s="637">
        <v>0</v>
      </c>
      <c r="DO136" s="637">
        <v>0</v>
      </c>
      <c r="DP136" s="636">
        <v>0</v>
      </c>
      <c r="DQ136" s="636">
        <v>0</v>
      </c>
      <c r="DR136" s="636">
        <v>0</v>
      </c>
      <c r="DS136" s="637">
        <v>0</v>
      </c>
      <c r="DT136" s="637">
        <v>0</v>
      </c>
      <c r="DU136" s="637">
        <v>0</v>
      </c>
      <c r="DV136" s="637">
        <v>0</v>
      </c>
      <c r="DW136" s="637">
        <v>0</v>
      </c>
      <c r="DX136" s="637">
        <v>0</v>
      </c>
      <c r="DY136" s="637">
        <v>0</v>
      </c>
      <c r="DZ136" s="637">
        <v>0</v>
      </c>
      <c r="EA136" s="637">
        <v>0</v>
      </c>
      <c r="EB136" s="637">
        <v>0</v>
      </c>
      <c r="EC136" s="637">
        <v>0</v>
      </c>
      <c r="ED136" s="637">
        <v>0</v>
      </c>
    </row>
    <row r="137" spans="1:134" ht="15" x14ac:dyDescent="0.25">
      <c r="A137" s="555">
        <v>95</v>
      </c>
      <c r="B137" s="555">
        <v>91</v>
      </c>
      <c r="C137" s="555" t="s">
        <v>1120</v>
      </c>
      <c r="D137" s="812">
        <v>99709</v>
      </c>
      <c r="E137" s="812">
        <v>99709</v>
      </c>
      <c r="F137" s="630" t="s">
        <v>989</v>
      </c>
      <c r="G137" s="45">
        <v>67</v>
      </c>
      <c r="H137" s="45">
        <v>28</v>
      </c>
      <c r="I137" s="45">
        <v>26</v>
      </c>
      <c r="J137" s="45">
        <v>2</v>
      </c>
      <c r="K137" s="45">
        <v>0</v>
      </c>
      <c r="L137" s="45">
        <v>0</v>
      </c>
      <c r="M137" s="45">
        <v>0</v>
      </c>
      <c r="N137" s="45">
        <v>0</v>
      </c>
      <c r="O137" s="45">
        <v>0</v>
      </c>
      <c r="P137" s="45">
        <v>0</v>
      </c>
      <c r="Q137" s="45">
        <v>0</v>
      </c>
      <c r="R137" s="45">
        <v>0</v>
      </c>
      <c r="S137" s="45">
        <v>834.49503068156923</v>
      </c>
      <c r="T137" s="45">
        <v>834.49503068156923</v>
      </c>
      <c r="U137" s="45">
        <v>1408.3846153846155</v>
      </c>
      <c r="V137" s="45">
        <v>0</v>
      </c>
      <c r="W137" s="45">
        <v>0</v>
      </c>
      <c r="X137" s="45">
        <v>1365.173957061457</v>
      </c>
      <c r="Y137" s="45">
        <v>0.64154539154539159</v>
      </c>
      <c r="Z137" s="45">
        <v>27.322072072072071</v>
      </c>
      <c r="AA137" s="45">
        <v>3.6382536382536385E-2</v>
      </c>
      <c r="AB137" s="508">
        <v>0</v>
      </c>
      <c r="AC137" s="508">
        <v>0</v>
      </c>
      <c r="AD137" s="631">
        <v>28</v>
      </c>
      <c r="AE137" s="632">
        <v>0.59572072072072069</v>
      </c>
      <c r="AF137" s="632">
        <v>25.370495495495497</v>
      </c>
      <c r="AG137" s="633">
        <v>25.966216216216218</v>
      </c>
      <c r="AH137" s="632">
        <v>3.3783783783783786E-2</v>
      </c>
      <c r="AI137" s="632">
        <v>0.61085283033847182</v>
      </c>
      <c r="AJ137" s="632">
        <v>26.014940292429923</v>
      </c>
      <c r="AK137" s="632">
        <v>26.625793122768396</v>
      </c>
      <c r="AL137" s="632">
        <v>3.4641937448306528E-2</v>
      </c>
      <c r="AM137" s="632">
        <v>0.56829053906197013</v>
      </c>
      <c r="AN137" s="632">
        <v>24.202301615363186</v>
      </c>
      <c r="AO137" s="632">
        <v>24.770592154425156</v>
      </c>
      <c r="AP137" s="632">
        <v>3.2228196922228933E-2</v>
      </c>
      <c r="AQ137" s="632">
        <v>0</v>
      </c>
      <c r="AR137" s="632">
        <v>0</v>
      </c>
      <c r="AS137" s="632">
        <v>25.351972445583261</v>
      </c>
      <c r="AT137" s="632">
        <v>25.981077221513054</v>
      </c>
      <c r="AU137" s="632">
        <v>26.625793122768396</v>
      </c>
      <c r="AV137" s="632">
        <v>27.28650753670231</v>
      </c>
      <c r="AW137" s="632">
        <v>27.963617463617464</v>
      </c>
      <c r="AX137" s="632">
        <v>23.630021046257774</v>
      </c>
      <c r="AY137" s="632">
        <v>24.193586214890388</v>
      </c>
      <c r="AZ137" s="632">
        <v>24.770592154425156</v>
      </c>
      <c r="BA137" s="632">
        <v>25.3613594210861</v>
      </c>
      <c r="BB137" s="632">
        <v>25.966216216216218</v>
      </c>
      <c r="BC137" s="632">
        <v>0</v>
      </c>
      <c r="BD137" s="632">
        <v>0</v>
      </c>
      <c r="BE137" s="632">
        <v>0</v>
      </c>
      <c r="BF137" s="632">
        <v>0</v>
      </c>
      <c r="BG137" s="632">
        <v>0</v>
      </c>
      <c r="BH137" s="634">
        <v>28.106864701693933</v>
      </c>
      <c r="BI137" s="634">
        <v>28.250845742227945</v>
      </c>
      <c r="BJ137" s="634">
        <v>28.395564344217252</v>
      </c>
      <c r="BK137" s="635">
        <v>28.598139197920073</v>
      </c>
      <c r="BL137" s="635">
        <v>28.800714051622894</v>
      </c>
      <c r="BM137" s="635">
        <v>29.003288905325721</v>
      </c>
      <c r="BN137" s="635">
        <v>29.205863759028542</v>
      </c>
      <c r="BO137" s="635">
        <v>29.445395237020431</v>
      </c>
      <c r="BP137" s="635">
        <v>29.684926715012327</v>
      </c>
      <c r="BQ137" s="635">
        <v>30.348976735077517</v>
      </c>
      <c r="BR137" s="635">
        <v>31.140146881658318</v>
      </c>
      <c r="BS137" s="635">
        <v>31.487534116447765</v>
      </c>
      <c r="BT137" s="635">
        <v>31.678303929358908</v>
      </c>
      <c r="BU137" s="635">
        <v>31.875864070447985</v>
      </c>
      <c r="BV137" s="635">
        <v>32.078177441261609</v>
      </c>
      <c r="BW137" s="634">
        <v>26.099231508715796</v>
      </c>
      <c r="BX137" s="634">
        <v>26.232928189211666</v>
      </c>
      <c r="BY137" s="634">
        <v>26.367309748201738</v>
      </c>
      <c r="BZ137" s="635">
        <v>26.555414969497214</v>
      </c>
      <c r="CA137" s="635">
        <v>26.74352019079269</v>
      </c>
      <c r="CB137" s="635">
        <v>26.931625412088174</v>
      </c>
      <c r="CC137" s="635">
        <v>27.11973063338365</v>
      </c>
      <c r="CD137" s="635">
        <v>27.342152720090404</v>
      </c>
      <c r="CE137" s="635">
        <v>27.564574806797165</v>
      </c>
      <c r="CF137" s="635">
        <v>28.181192682571982</v>
      </c>
      <c r="CG137" s="635">
        <v>28.915850675825585</v>
      </c>
      <c r="CH137" s="635">
        <v>29.238424536701501</v>
      </c>
      <c r="CI137" s="635">
        <v>29.415567934404706</v>
      </c>
      <c r="CJ137" s="635">
        <v>29.599016636844564</v>
      </c>
      <c r="CK137" s="635">
        <v>29.786879052600067</v>
      </c>
      <c r="CL137" s="634">
        <v>0</v>
      </c>
      <c r="CM137" s="634">
        <v>0</v>
      </c>
      <c r="CN137" s="634">
        <v>0</v>
      </c>
      <c r="CO137" s="635">
        <v>0</v>
      </c>
      <c r="CP137" s="635">
        <v>0</v>
      </c>
      <c r="CQ137" s="635">
        <v>0</v>
      </c>
      <c r="CR137" s="635">
        <v>0</v>
      </c>
      <c r="CS137" s="635">
        <v>0</v>
      </c>
      <c r="CT137" s="635">
        <v>0</v>
      </c>
      <c r="CU137" s="635">
        <v>0</v>
      </c>
      <c r="CV137" s="635">
        <v>0</v>
      </c>
      <c r="CW137" s="635">
        <v>0</v>
      </c>
      <c r="CX137" s="635">
        <v>0</v>
      </c>
      <c r="CY137" s="635">
        <v>0</v>
      </c>
      <c r="CZ137" s="635">
        <v>0</v>
      </c>
      <c r="DA137" s="636">
        <v>3.6568910618909621E-2</v>
      </c>
      <c r="DB137" s="636">
        <v>3.6756239581353038E-2</v>
      </c>
      <c r="DC137" s="636">
        <v>3.69445281605741E-2</v>
      </c>
      <c r="DD137" s="637">
        <v>3.7208091592401869E-2</v>
      </c>
      <c r="DE137" s="637">
        <v>3.7471655024229632E-2</v>
      </c>
      <c r="DF137" s="637">
        <v>3.7735218456057408E-2</v>
      </c>
      <c r="DG137" s="637">
        <v>3.799878188788517E-2</v>
      </c>
      <c r="DH137" s="637">
        <v>3.8310428359381254E-2</v>
      </c>
      <c r="DI137" s="637">
        <v>3.8622074830877345E-2</v>
      </c>
      <c r="DJ137" s="637">
        <v>3.9486048315219249E-2</v>
      </c>
      <c r="DK137" s="637">
        <v>4.0515413585295756E-2</v>
      </c>
      <c r="DL137" s="637">
        <v>4.096738760922166E-2</v>
      </c>
      <c r="DM137" s="637">
        <v>4.1215591893519268E-2</v>
      </c>
      <c r="DN137" s="637">
        <v>4.1472630848878464E-2</v>
      </c>
      <c r="DO137" s="637">
        <v>4.1735854073980755E-2</v>
      </c>
      <c r="DP137" s="636">
        <v>0</v>
      </c>
      <c r="DQ137" s="636">
        <v>0</v>
      </c>
      <c r="DR137" s="636">
        <v>0</v>
      </c>
      <c r="DS137" s="637">
        <v>0</v>
      </c>
      <c r="DT137" s="637">
        <v>0</v>
      </c>
      <c r="DU137" s="637">
        <v>0</v>
      </c>
      <c r="DV137" s="637">
        <v>0</v>
      </c>
      <c r="DW137" s="637">
        <v>0</v>
      </c>
      <c r="DX137" s="637">
        <v>0</v>
      </c>
      <c r="DY137" s="637">
        <v>0</v>
      </c>
      <c r="DZ137" s="637">
        <v>0</v>
      </c>
      <c r="EA137" s="637">
        <v>0</v>
      </c>
      <c r="EB137" s="637">
        <v>0</v>
      </c>
      <c r="EC137" s="637">
        <v>0</v>
      </c>
      <c r="ED137" s="637">
        <v>0</v>
      </c>
    </row>
    <row r="138" spans="1:134" ht="15" x14ac:dyDescent="0.25">
      <c r="A138" s="555">
        <v>96</v>
      </c>
      <c r="B138" s="555">
        <v>91</v>
      </c>
      <c r="C138" s="555" t="s">
        <v>1121</v>
      </c>
      <c r="D138" s="812">
        <v>99709</v>
      </c>
      <c r="E138" s="812">
        <v>99709</v>
      </c>
      <c r="F138" s="630" t="s">
        <v>989</v>
      </c>
      <c r="G138" s="45">
        <v>14</v>
      </c>
      <c r="H138" s="45">
        <v>5</v>
      </c>
      <c r="I138" s="45">
        <v>5</v>
      </c>
      <c r="J138" s="45">
        <v>0</v>
      </c>
      <c r="K138" s="45">
        <v>0</v>
      </c>
      <c r="L138" s="45">
        <v>7</v>
      </c>
      <c r="M138" s="45">
        <v>7</v>
      </c>
      <c r="N138" s="45">
        <v>0</v>
      </c>
      <c r="O138" s="45">
        <v>0</v>
      </c>
      <c r="P138" s="45">
        <v>0</v>
      </c>
      <c r="Q138" s="45">
        <v>7</v>
      </c>
      <c r="R138" s="45">
        <v>0</v>
      </c>
      <c r="S138" s="45">
        <v>2868.7142857142858</v>
      </c>
      <c r="T138" s="45">
        <v>2868.7142857142858</v>
      </c>
      <c r="U138" s="45">
        <v>0</v>
      </c>
      <c r="V138" s="45">
        <v>0</v>
      </c>
      <c r="W138" s="45">
        <v>0</v>
      </c>
      <c r="X138" s="45">
        <v>2868.7142857142858</v>
      </c>
      <c r="Y138" s="45">
        <v>0</v>
      </c>
      <c r="Z138" s="45">
        <v>5</v>
      </c>
      <c r="AA138" s="45">
        <v>0</v>
      </c>
      <c r="AB138" s="508">
        <v>0</v>
      </c>
      <c r="AC138" s="508">
        <v>0</v>
      </c>
      <c r="AD138" s="631">
        <v>5</v>
      </c>
      <c r="AE138" s="632">
        <v>0</v>
      </c>
      <c r="AF138" s="632">
        <v>5</v>
      </c>
      <c r="AG138" s="633">
        <v>5</v>
      </c>
      <c r="AH138" s="632">
        <v>0</v>
      </c>
      <c r="AI138" s="632">
        <v>0</v>
      </c>
      <c r="AJ138" s="632">
        <v>4.7607919750386971</v>
      </c>
      <c r="AK138" s="632">
        <v>4.7607919750386971</v>
      </c>
      <c r="AL138" s="632">
        <v>0</v>
      </c>
      <c r="AM138" s="632">
        <v>0</v>
      </c>
      <c r="AN138" s="632">
        <v>4.7697731444898812</v>
      </c>
      <c r="AO138" s="632">
        <v>4.7697731444898812</v>
      </c>
      <c r="AP138" s="632">
        <v>0</v>
      </c>
      <c r="AQ138" s="632">
        <v>0</v>
      </c>
      <c r="AR138" s="632">
        <v>0</v>
      </c>
      <c r="AS138" s="632">
        <v>4.533028045918571</v>
      </c>
      <c r="AT138" s="632">
        <v>4.6455143465104571</v>
      </c>
      <c r="AU138" s="632">
        <v>4.7607919750386971</v>
      </c>
      <c r="AV138" s="632">
        <v>4.8789301978193418</v>
      </c>
      <c r="AW138" s="632">
        <v>5</v>
      </c>
      <c r="AX138" s="632">
        <v>4.5501471699793781</v>
      </c>
      <c r="AY138" s="632">
        <v>4.6586660939419424</v>
      </c>
      <c r="AZ138" s="632">
        <v>4.7697731444898812</v>
      </c>
      <c r="BA138" s="632">
        <v>4.8835300472557153</v>
      </c>
      <c r="BB138" s="632">
        <v>5</v>
      </c>
      <c r="BC138" s="632">
        <v>0</v>
      </c>
      <c r="BD138" s="632">
        <v>0</v>
      </c>
      <c r="BE138" s="632">
        <v>0</v>
      </c>
      <c r="BF138" s="632">
        <v>0</v>
      </c>
      <c r="BG138" s="632">
        <v>0</v>
      </c>
      <c r="BH138" s="634">
        <v>5.025613145055865</v>
      </c>
      <c r="BI138" s="634">
        <v>5.0513574967516606</v>
      </c>
      <c r="BJ138" s="634">
        <v>5.0772337272103263</v>
      </c>
      <c r="BK138" s="635">
        <v>5.1134548731272282</v>
      </c>
      <c r="BL138" s="635">
        <v>5.1496760190441293</v>
      </c>
      <c r="BM138" s="635">
        <v>5.1858971649610321</v>
      </c>
      <c r="BN138" s="635">
        <v>5.2221183108779341</v>
      </c>
      <c r="BO138" s="635">
        <v>5.2649474402463952</v>
      </c>
      <c r="BP138" s="635">
        <v>5.307776569614858</v>
      </c>
      <c r="BQ138" s="635">
        <v>5.4265112113201317</v>
      </c>
      <c r="BR138" s="635">
        <v>5.567975409864931</v>
      </c>
      <c r="BS138" s="635">
        <v>5.6300895542958909</v>
      </c>
      <c r="BT138" s="635">
        <v>5.6641999145093624</v>
      </c>
      <c r="BU138" s="635">
        <v>5.6995244109458687</v>
      </c>
      <c r="BV138" s="635">
        <v>5.7356988027384981</v>
      </c>
      <c r="BW138" s="634">
        <v>5.025613145055865</v>
      </c>
      <c r="BX138" s="634">
        <v>5.0513574967516606</v>
      </c>
      <c r="BY138" s="634">
        <v>5.0772337272103263</v>
      </c>
      <c r="BZ138" s="635">
        <v>5.1134548731272282</v>
      </c>
      <c r="CA138" s="635">
        <v>5.1496760190441293</v>
      </c>
      <c r="CB138" s="635">
        <v>5.1858971649610321</v>
      </c>
      <c r="CC138" s="635">
        <v>5.2221183108779341</v>
      </c>
      <c r="CD138" s="635">
        <v>5.2649474402463952</v>
      </c>
      <c r="CE138" s="635">
        <v>5.307776569614858</v>
      </c>
      <c r="CF138" s="635">
        <v>5.4265112113201317</v>
      </c>
      <c r="CG138" s="635">
        <v>5.567975409864931</v>
      </c>
      <c r="CH138" s="635">
        <v>5.6300895542958909</v>
      </c>
      <c r="CI138" s="635">
        <v>5.6641999145093624</v>
      </c>
      <c r="CJ138" s="635">
        <v>5.6995244109458687</v>
      </c>
      <c r="CK138" s="635">
        <v>5.7356988027384981</v>
      </c>
      <c r="CL138" s="634">
        <v>0</v>
      </c>
      <c r="CM138" s="634">
        <v>0</v>
      </c>
      <c r="CN138" s="634">
        <v>0</v>
      </c>
      <c r="CO138" s="635">
        <v>0</v>
      </c>
      <c r="CP138" s="635">
        <v>0</v>
      </c>
      <c r="CQ138" s="635">
        <v>0</v>
      </c>
      <c r="CR138" s="635">
        <v>0</v>
      </c>
      <c r="CS138" s="635">
        <v>0</v>
      </c>
      <c r="CT138" s="635">
        <v>0</v>
      </c>
      <c r="CU138" s="635">
        <v>0</v>
      </c>
      <c r="CV138" s="635">
        <v>0</v>
      </c>
      <c r="CW138" s="635">
        <v>0</v>
      </c>
      <c r="CX138" s="635">
        <v>0</v>
      </c>
      <c r="CY138" s="635">
        <v>0</v>
      </c>
      <c r="CZ138" s="635">
        <v>0</v>
      </c>
      <c r="DA138" s="636">
        <v>0</v>
      </c>
      <c r="DB138" s="636">
        <v>0</v>
      </c>
      <c r="DC138" s="636">
        <v>0</v>
      </c>
      <c r="DD138" s="637">
        <v>0</v>
      </c>
      <c r="DE138" s="637">
        <v>0</v>
      </c>
      <c r="DF138" s="637">
        <v>0</v>
      </c>
      <c r="DG138" s="637">
        <v>0</v>
      </c>
      <c r="DH138" s="637">
        <v>0</v>
      </c>
      <c r="DI138" s="637">
        <v>0</v>
      </c>
      <c r="DJ138" s="637">
        <v>0</v>
      </c>
      <c r="DK138" s="637">
        <v>0</v>
      </c>
      <c r="DL138" s="637">
        <v>0</v>
      </c>
      <c r="DM138" s="637">
        <v>0</v>
      </c>
      <c r="DN138" s="637">
        <v>0</v>
      </c>
      <c r="DO138" s="637">
        <v>0</v>
      </c>
      <c r="DP138" s="636">
        <v>0</v>
      </c>
      <c r="DQ138" s="636">
        <v>0</v>
      </c>
      <c r="DR138" s="636">
        <v>0</v>
      </c>
      <c r="DS138" s="637">
        <v>0</v>
      </c>
      <c r="DT138" s="637">
        <v>0</v>
      </c>
      <c r="DU138" s="637">
        <v>0</v>
      </c>
      <c r="DV138" s="637">
        <v>0</v>
      </c>
      <c r="DW138" s="637">
        <v>0</v>
      </c>
      <c r="DX138" s="637">
        <v>0</v>
      </c>
      <c r="DY138" s="637">
        <v>0</v>
      </c>
      <c r="DZ138" s="637">
        <v>0</v>
      </c>
      <c r="EA138" s="637">
        <v>0</v>
      </c>
      <c r="EB138" s="637">
        <v>0</v>
      </c>
      <c r="EC138" s="637">
        <v>0</v>
      </c>
      <c r="ED138" s="637">
        <v>0</v>
      </c>
    </row>
    <row r="139" spans="1:134" ht="15" x14ac:dyDescent="0.25">
      <c r="A139" s="555">
        <v>97</v>
      </c>
      <c r="B139" s="555">
        <v>91</v>
      </c>
      <c r="C139" s="555" t="s">
        <v>1122</v>
      </c>
      <c r="D139" s="812">
        <v>99709</v>
      </c>
      <c r="E139" s="812">
        <v>99709</v>
      </c>
      <c r="F139" s="630" t="s">
        <v>989</v>
      </c>
      <c r="G139" s="45">
        <v>83</v>
      </c>
      <c r="H139" s="45">
        <v>37</v>
      </c>
      <c r="I139" s="45">
        <v>34</v>
      </c>
      <c r="J139" s="45">
        <v>3</v>
      </c>
      <c r="K139" s="45">
        <v>0</v>
      </c>
      <c r="L139" s="45">
        <v>41</v>
      </c>
      <c r="M139" s="45">
        <v>41</v>
      </c>
      <c r="N139" s="45">
        <v>0</v>
      </c>
      <c r="O139" s="45">
        <v>0</v>
      </c>
      <c r="P139" s="45">
        <v>0</v>
      </c>
      <c r="Q139" s="45">
        <v>41</v>
      </c>
      <c r="R139" s="45">
        <v>0</v>
      </c>
      <c r="S139" s="45">
        <v>2164.6341463414633</v>
      </c>
      <c r="T139" s="45">
        <v>2164.6341463414633</v>
      </c>
      <c r="U139" s="45">
        <v>0</v>
      </c>
      <c r="V139" s="45">
        <v>0</v>
      </c>
      <c r="W139" s="45">
        <v>0</v>
      </c>
      <c r="X139" s="45">
        <v>2164.6341463414633</v>
      </c>
      <c r="Y139" s="45">
        <v>0</v>
      </c>
      <c r="Z139" s="45">
        <v>37</v>
      </c>
      <c r="AA139" s="45">
        <v>0</v>
      </c>
      <c r="AB139" s="508">
        <v>0</v>
      </c>
      <c r="AC139" s="508">
        <v>0</v>
      </c>
      <c r="AD139" s="631">
        <v>37</v>
      </c>
      <c r="AE139" s="632">
        <v>0</v>
      </c>
      <c r="AF139" s="632">
        <v>34</v>
      </c>
      <c r="AG139" s="633">
        <v>34</v>
      </c>
      <c r="AH139" s="632">
        <v>0</v>
      </c>
      <c r="AI139" s="632">
        <v>0</v>
      </c>
      <c r="AJ139" s="632">
        <v>35.229860615286356</v>
      </c>
      <c r="AK139" s="632">
        <v>35.229860615286356</v>
      </c>
      <c r="AL139" s="632">
        <v>0</v>
      </c>
      <c r="AM139" s="632">
        <v>0</v>
      </c>
      <c r="AN139" s="632">
        <v>32.434457382531193</v>
      </c>
      <c r="AO139" s="632">
        <v>32.434457382531193</v>
      </c>
      <c r="AP139" s="632">
        <v>0</v>
      </c>
      <c r="AQ139" s="632">
        <v>0</v>
      </c>
      <c r="AR139" s="632">
        <v>0</v>
      </c>
      <c r="AS139" s="632">
        <v>33.544407539797426</v>
      </c>
      <c r="AT139" s="632">
        <v>34.376806164177381</v>
      </c>
      <c r="AU139" s="632">
        <v>35.229860615286356</v>
      </c>
      <c r="AV139" s="632">
        <v>36.104083463863127</v>
      </c>
      <c r="AW139" s="632">
        <v>37</v>
      </c>
      <c r="AX139" s="632">
        <v>30.941000755859772</v>
      </c>
      <c r="AY139" s="632">
        <v>31.678929438805209</v>
      </c>
      <c r="AZ139" s="632">
        <v>32.434457382531193</v>
      </c>
      <c r="BA139" s="632">
        <v>33.208004321338862</v>
      </c>
      <c r="BB139" s="632">
        <v>34</v>
      </c>
      <c r="BC139" s="632">
        <v>0</v>
      </c>
      <c r="BD139" s="632">
        <v>0</v>
      </c>
      <c r="BE139" s="632">
        <v>0</v>
      </c>
      <c r="BF139" s="632">
        <v>0</v>
      </c>
      <c r="BG139" s="632">
        <v>0</v>
      </c>
      <c r="BH139" s="634">
        <v>37.345702995858282</v>
      </c>
      <c r="BI139" s="634">
        <v>37.694636006888061</v>
      </c>
      <c r="BJ139" s="634">
        <v>38.046829212168291</v>
      </c>
      <c r="BK139" s="635">
        <v>38.403433828911616</v>
      </c>
      <c r="BL139" s="635">
        <v>38.760038445654942</v>
      </c>
      <c r="BM139" s="635">
        <v>39.116643062398282</v>
      </c>
      <c r="BN139" s="635">
        <v>39.473247679141608</v>
      </c>
      <c r="BO139" s="635">
        <v>39.894909249400307</v>
      </c>
      <c r="BP139" s="635">
        <v>40.31657081965902</v>
      </c>
      <c r="BQ139" s="635">
        <v>41.485537740159117</v>
      </c>
      <c r="BR139" s="635">
        <v>42.878281813488684</v>
      </c>
      <c r="BS139" s="635">
        <v>43.489808315713617</v>
      </c>
      <c r="BT139" s="635">
        <v>43.825631813921227</v>
      </c>
      <c r="BU139" s="635">
        <v>44.173408732472907</v>
      </c>
      <c r="BV139" s="635">
        <v>44.529553045265459</v>
      </c>
      <c r="BW139" s="634">
        <v>34.317673023221118</v>
      </c>
      <c r="BX139" s="634">
        <v>34.638314168491732</v>
      </c>
      <c r="BY139" s="634">
        <v>34.96195116793843</v>
      </c>
      <c r="BZ139" s="635">
        <v>35.289641896837701</v>
      </c>
      <c r="CA139" s="635">
        <v>35.617332625736978</v>
      </c>
      <c r="CB139" s="635">
        <v>35.945023354636255</v>
      </c>
      <c r="CC139" s="635">
        <v>36.272714083535533</v>
      </c>
      <c r="CD139" s="635">
        <v>36.660186877827314</v>
      </c>
      <c r="CE139" s="635">
        <v>37.047659672119103</v>
      </c>
      <c r="CF139" s="635">
        <v>38.121845490957028</v>
      </c>
      <c r="CG139" s="635">
        <v>39.401664369151767</v>
      </c>
      <c r="CH139" s="635">
        <v>39.963607641466574</v>
      </c>
      <c r="CI139" s="635">
        <v>40.272202207387075</v>
      </c>
      <c r="CJ139" s="635">
        <v>40.59178099740754</v>
      </c>
      <c r="CK139" s="635">
        <v>40.919048744297989</v>
      </c>
      <c r="CL139" s="634">
        <v>0</v>
      </c>
      <c r="CM139" s="634">
        <v>0</v>
      </c>
      <c r="CN139" s="634">
        <v>0</v>
      </c>
      <c r="CO139" s="635">
        <v>0</v>
      </c>
      <c r="CP139" s="635">
        <v>0</v>
      </c>
      <c r="CQ139" s="635">
        <v>0</v>
      </c>
      <c r="CR139" s="635">
        <v>0</v>
      </c>
      <c r="CS139" s="635">
        <v>0</v>
      </c>
      <c r="CT139" s="635">
        <v>0</v>
      </c>
      <c r="CU139" s="635">
        <v>0</v>
      </c>
      <c r="CV139" s="635">
        <v>0</v>
      </c>
      <c r="CW139" s="635">
        <v>0</v>
      </c>
      <c r="CX139" s="635">
        <v>0</v>
      </c>
      <c r="CY139" s="635">
        <v>0</v>
      </c>
      <c r="CZ139" s="635">
        <v>0</v>
      </c>
      <c r="DA139" s="636">
        <v>0</v>
      </c>
      <c r="DB139" s="636">
        <v>0</v>
      </c>
      <c r="DC139" s="636">
        <v>0</v>
      </c>
      <c r="DD139" s="637">
        <v>0</v>
      </c>
      <c r="DE139" s="637">
        <v>0</v>
      </c>
      <c r="DF139" s="637">
        <v>0</v>
      </c>
      <c r="DG139" s="637">
        <v>0</v>
      </c>
      <c r="DH139" s="637">
        <v>0</v>
      </c>
      <c r="DI139" s="637">
        <v>0</v>
      </c>
      <c r="DJ139" s="637">
        <v>0</v>
      </c>
      <c r="DK139" s="637">
        <v>0</v>
      </c>
      <c r="DL139" s="637">
        <v>0</v>
      </c>
      <c r="DM139" s="637">
        <v>0</v>
      </c>
      <c r="DN139" s="637">
        <v>0</v>
      </c>
      <c r="DO139" s="637">
        <v>0</v>
      </c>
      <c r="DP139" s="636">
        <v>0</v>
      </c>
      <c r="DQ139" s="636">
        <v>0</v>
      </c>
      <c r="DR139" s="636">
        <v>0</v>
      </c>
      <c r="DS139" s="637">
        <v>0</v>
      </c>
      <c r="DT139" s="637">
        <v>0</v>
      </c>
      <c r="DU139" s="637">
        <v>0</v>
      </c>
      <c r="DV139" s="637">
        <v>0</v>
      </c>
      <c r="DW139" s="637">
        <v>0</v>
      </c>
      <c r="DX139" s="637">
        <v>0</v>
      </c>
      <c r="DY139" s="637">
        <v>0</v>
      </c>
      <c r="DZ139" s="637">
        <v>0</v>
      </c>
      <c r="EA139" s="637">
        <v>0</v>
      </c>
      <c r="EB139" s="637">
        <v>0</v>
      </c>
      <c r="EC139" s="637">
        <v>0</v>
      </c>
      <c r="ED139" s="637">
        <v>0</v>
      </c>
    </row>
    <row r="140" spans="1:134" ht="15" x14ac:dyDescent="0.25">
      <c r="A140" s="555">
        <v>100</v>
      </c>
      <c r="B140" s="555">
        <v>91</v>
      </c>
      <c r="C140" s="555" t="s">
        <v>1123</v>
      </c>
      <c r="D140" s="812">
        <v>99709</v>
      </c>
      <c r="E140" s="812">
        <v>99709</v>
      </c>
      <c r="F140" s="630" t="s">
        <v>311</v>
      </c>
      <c r="G140" s="45">
        <v>571</v>
      </c>
      <c r="H140" s="45">
        <v>193</v>
      </c>
      <c r="I140" s="45">
        <v>185</v>
      </c>
      <c r="J140" s="45">
        <v>8</v>
      </c>
      <c r="K140" s="45">
        <v>0</v>
      </c>
      <c r="L140" s="45">
        <v>104</v>
      </c>
      <c r="M140" s="45">
        <v>104</v>
      </c>
      <c r="N140" s="45">
        <v>0</v>
      </c>
      <c r="O140" s="45">
        <v>0</v>
      </c>
      <c r="P140" s="45">
        <v>0</v>
      </c>
      <c r="Q140" s="45">
        <v>104</v>
      </c>
      <c r="R140" s="45">
        <v>0</v>
      </c>
      <c r="S140" s="45">
        <v>3187.9903846153848</v>
      </c>
      <c r="T140" s="45">
        <v>3187.9903846153848</v>
      </c>
      <c r="U140" s="45">
        <v>0</v>
      </c>
      <c r="V140" s="45">
        <v>0</v>
      </c>
      <c r="W140" s="45">
        <v>0</v>
      </c>
      <c r="X140" s="45">
        <v>3187.9903846153848</v>
      </c>
      <c r="Y140" s="45">
        <v>0</v>
      </c>
      <c r="Z140" s="45">
        <v>193</v>
      </c>
      <c r="AA140" s="45">
        <v>0</v>
      </c>
      <c r="AB140" s="508">
        <v>0</v>
      </c>
      <c r="AC140" s="508">
        <v>0</v>
      </c>
      <c r="AD140" s="631">
        <v>193</v>
      </c>
      <c r="AE140" s="632">
        <v>0</v>
      </c>
      <c r="AF140" s="632">
        <v>185</v>
      </c>
      <c r="AG140" s="633">
        <v>185</v>
      </c>
      <c r="AH140" s="632">
        <v>0</v>
      </c>
      <c r="AI140" s="632">
        <v>0</v>
      </c>
      <c r="AJ140" s="632">
        <v>183.76657023649369</v>
      </c>
      <c r="AK140" s="632">
        <v>183.76657023649369</v>
      </c>
      <c r="AL140" s="632">
        <v>0</v>
      </c>
      <c r="AM140" s="632">
        <v>0</v>
      </c>
      <c r="AN140" s="632">
        <v>176.48160634612563</v>
      </c>
      <c r="AO140" s="632">
        <v>176.48160634612563</v>
      </c>
      <c r="AP140" s="632">
        <v>0</v>
      </c>
      <c r="AQ140" s="632">
        <v>0</v>
      </c>
      <c r="AR140" s="632">
        <v>0</v>
      </c>
      <c r="AS140" s="632">
        <v>174.97488257245683</v>
      </c>
      <c r="AT140" s="632">
        <v>179.31685377530363</v>
      </c>
      <c r="AU140" s="632">
        <v>183.76657023649369</v>
      </c>
      <c r="AV140" s="632">
        <v>188.32670563582658</v>
      </c>
      <c r="AW140" s="632">
        <v>193</v>
      </c>
      <c r="AX140" s="632">
        <v>168.355445289237</v>
      </c>
      <c r="AY140" s="632">
        <v>172.37064547585189</v>
      </c>
      <c r="AZ140" s="632">
        <v>176.48160634612563</v>
      </c>
      <c r="BA140" s="632">
        <v>180.69061174846146</v>
      </c>
      <c r="BB140" s="632">
        <v>185</v>
      </c>
      <c r="BC140" s="632">
        <v>0</v>
      </c>
      <c r="BD140" s="632">
        <v>0</v>
      </c>
      <c r="BE140" s="632">
        <v>0</v>
      </c>
      <c r="BF140" s="632">
        <v>0</v>
      </c>
      <c r="BG140" s="632">
        <v>0</v>
      </c>
      <c r="BH140" s="634">
        <v>194.56000229965514</v>
      </c>
      <c r="BI140" s="634">
        <v>196.13261396291094</v>
      </c>
      <c r="BJ140" s="634">
        <v>197.71793691016231</v>
      </c>
      <c r="BK140" s="635">
        <v>198.97457549398916</v>
      </c>
      <c r="BL140" s="635">
        <v>200.23121407781599</v>
      </c>
      <c r="BM140" s="635">
        <v>201.48785266164285</v>
      </c>
      <c r="BN140" s="635">
        <v>202.7444912454697</v>
      </c>
      <c r="BO140" s="635">
        <v>204.23038395023377</v>
      </c>
      <c r="BP140" s="635">
        <v>205.71627665499787</v>
      </c>
      <c r="BQ140" s="635">
        <v>209.83559779260105</v>
      </c>
      <c r="BR140" s="635">
        <v>214.74348697229107</v>
      </c>
      <c r="BS140" s="635">
        <v>216.89844448446951</v>
      </c>
      <c r="BT140" s="635">
        <v>218.08185250946187</v>
      </c>
      <c r="BU140" s="635">
        <v>219.30738317815488</v>
      </c>
      <c r="BV140" s="635">
        <v>220.56239969743828</v>
      </c>
      <c r="BW140" s="634">
        <v>186.49533899189743</v>
      </c>
      <c r="BX140" s="634">
        <v>188.00276467947421</v>
      </c>
      <c r="BY140" s="634">
        <v>189.52237475844575</v>
      </c>
      <c r="BZ140" s="635">
        <v>190.72692469631087</v>
      </c>
      <c r="CA140" s="635">
        <v>191.93147463417597</v>
      </c>
      <c r="CB140" s="635">
        <v>193.13602457204109</v>
      </c>
      <c r="CC140" s="635">
        <v>194.34057450990619</v>
      </c>
      <c r="CD140" s="635">
        <v>195.76487580721891</v>
      </c>
      <c r="CE140" s="635">
        <v>197.18917710453167</v>
      </c>
      <c r="CF140" s="635">
        <v>201.13774917943627</v>
      </c>
      <c r="CG140" s="635">
        <v>205.84220253820649</v>
      </c>
      <c r="CH140" s="635">
        <v>207.90783538666767</v>
      </c>
      <c r="CI140" s="635">
        <v>209.04219022927694</v>
      </c>
      <c r="CJ140" s="635">
        <v>210.21692169926766</v>
      </c>
      <c r="CK140" s="635">
        <v>211.41991680842531</v>
      </c>
      <c r="CL140" s="634">
        <v>0</v>
      </c>
      <c r="CM140" s="634">
        <v>0</v>
      </c>
      <c r="CN140" s="634">
        <v>0</v>
      </c>
      <c r="CO140" s="635">
        <v>0</v>
      </c>
      <c r="CP140" s="635">
        <v>0</v>
      </c>
      <c r="CQ140" s="635">
        <v>0</v>
      </c>
      <c r="CR140" s="635">
        <v>0</v>
      </c>
      <c r="CS140" s="635">
        <v>0</v>
      </c>
      <c r="CT140" s="635">
        <v>0</v>
      </c>
      <c r="CU140" s="635">
        <v>0</v>
      </c>
      <c r="CV140" s="635">
        <v>0</v>
      </c>
      <c r="CW140" s="635">
        <v>0</v>
      </c>
      <c r="CX140" s="635">
        <v>0</v>
      </c>
      <c r="CY140" s="635">
        <v>0</v>
      </c>
      <c r="CZ140" s="635">
        <v>0</v>
      </c>
      <c r="DA140" s="636">
        <v>0</v>
      </c>
      <c r="DB140" s="636">
        <v>0</v>
      </c>
      <c r="DC140" s="636">
        <v>0</v>
      </c>
      <c r="DD140" s="637">
        <v>0</v>
      </c>
      <c r="DE140" s="637">
        <v>0</v>
      </c>
      <c r="DF140" s="637">
        <v>0</v>
      </c>
      <c r="DG140" s="637">
        <v>0</v>
      </c>
      <c r="DH140" s="637">
        <v>0</v>
      </c>
      <c r="DI140" s="637">
        <v>0</v>
      </c>
      <c r="DJ140" s="637">
        <v>0</v>
      </c>
      <c r="DK140" s="637">
        <v>0</v>
      </c>
      <c r="DL140" s="637">
        <v>0</v>
      </c>
      <c r="DM140" s="637">
        <v>0</v>
      </c>
      <c r="DN140" s="637">
        <v>0</v>
      </c>
      <c r="DO140" s="637">
        <v>0</v>
      </c>
      <c r="DP140" s="636">
        <v>0</v>
      </c>
      <c r="DQ140" s="636">
        <v>0</v>
      </c>
      <c r="DR140" s="636">
        <v>0</v>
      </c>
      <c r="DS140" s="637">
        <v>0</v>
      </c>
      <c r="DT140" s="637">
        <v>0</v>
      </c>
      <c r="DU140" s="637">
        <v>0</v>
      </c>
      <c r="DV140" s="637">
        <v>0</v>
      </c>
      <c r="DW140" s="637">
        <v>0</v>
      </c>
      <c r="DX140" s="637">
        <v>0</v>
      </c>
      <c r="DY140" s="637">
        <v>0</v>
      </c>
      <c r="DZ140" s="637">
        <v>0</v>
      </c>
      <c r="EA140" s="637">
        <v>0</v>
      </c>
      <c r="EB140" s="637">
        <v>0</v>
      </c>
      <c r="EC140" s="637">
        <v>0</v>
      </c>
      <c r="ED140" s="637">
        <v>0</v>
      </c>
    </row>
    <row r="141" spans="1:134" ht="15" x14ac:dyDescent="0.25">
      <c r="A141" s="555">
        <v>101</v>
      </c>
      <c r="B141" s="555">
        <v>91</v>
      </c>
      <c r="C141" s="555" t="s">
        <v>1124</v>
      </c>
      <c r="D141" s="812">
        <v>99709</v>
      </c>
      <c r="E141" s="812">
        <v>99709</v>
      </c>
      <c r="F141" s="630" t="s">
        <v>311</v>
      </c>
      <c r="G141" s="45">
        <v>107</v>
      </c>
      <c r="H141" s="45">
        <v>59</v>
      </c>
      <c r="I141" s="45">
        <v>49</v>
      </c>
      <c r="J141" s="45">
        <v>10</v>
      </c>
      <c r="K141" s="45">
        <v>0</v>
      </c>
      <c r="L141" s="45">
        <v>34</v>
      </c>
      <c r="M141" s="45">
        <v>34</v>
      </c>
      <c r="N141" s="45">
        <v>0</v>
      </c>
      <c r="O141" s="45">
        <v>0</v>
      </c>
      <c r="P141" s="45">
        <v>0</v>
      </c>
      <c r="Q141" s="45">
        <v>34</v>
      </c>
      <c r="R141" s="45">
        <v>0</v>
      </c>
      <c r="S141" s="45">
        <v>3441.1470588235293</v>
      </c>
      <c r="T141" s="45">
        <v>3441.1470588235293</v>
      </c>
      <c r="U141" s="45">
        <v>0</v>
      </c>
      <c r="V141" s="45">
        <v>0</v>
      </c>
      <c r="W141" s="45">
        <v>0</v>
      </c>
      <c r="X141" s="45">
        <v>3441.1470588235293</v>
      </c>
      <c r="Y141" s="45">
        <v>0</v>
      </c>
      <c r="Z141" s="45">
        <v>59</v>
      </c>
      <c r="AA141" s="45">
        <v>0</v>
      </c>
      <c r="AB141" s="508">
        <v>0</v>
      </c>
      <c r="AC141" s="508">
        <v>0</v>
      </c>
      <c r="AD141" s="631">
        <v>59</v>
      </c>
      <c r="AE141" s="632">
        <v>0</v>
      </c>
      <c r="AF141" s="632">
        <v>49</v>
      </c>
      <c r="AG141" s="633">
        <v>49</v>
      </c>
      <c r="AH141" s="632">
        <v>0</v>
      </c>
      <c r="AI141" s="632">
        <v>0</v>
      </c>
      <c r="AJ141" s="632">
        <v>56.177345305456619</v>
      </c>
      <c r="AK141" s="632">
        <v>56.177345305456619</v>
      </c>
      <c r="AL141" s="632">
        <v>0</v>
      </c>
      <c r="AM141" s="632">
        <v>0</v>
      </c>
      <c r="AN141" s="632">
        <v>46.743776816000839</v>
      </c>
      <c r="AO141" s="632">
        <v>46.743776816000839</v>
      </c>
      <c r="AP141" s="632">
        <v>0</v>
      </c>
      <c r="AQ141" s="632">
        <v>0</v>
      </c>
      <c r="AR141" s="632">
        <v>0</v>
      </c>
      <c r="AS141" s="632">
        <v>53.489730941839134</v>
      </c>
      <c r="AT141" s="632">
        <v>54.81706928882339</v>
      </c>
      <c r="AU141" s="632">
        <v>56.177345305456619</v>
      </c>
      <c r="AV141" s="632">
        <v>57.571376334268237</v>
      </c>
      <c r="AW141" s="632">
        <v>59</v>
      </c>
      <c r="AX141" s="632">
        <v>44.591442265797909</v>
      </c>
      <c r="AY141" s="632">
        <v>45.654927720631036</v>
      </c>
      <c r="AZ141" s="632">
        <v>46.743776816000839</v>
      </c>
      <c r="BA141" s="632">
        <v>47.858594463106009</v>
      </c>
      <c r="BB141" s="632">
        <v>49</v>
      </c>
      <c r="BC141" s="632">
        <v>0</v>
      </c>
      <c r="BD141" s="632">
        <v>0</v>
      </c>
      <c r="BE141" s="632">
        <v>0</v>
      </c>
      <c r="BF141" s="632">
        <v>0</v>
      </c>
      <c r="BG141" s="632">
        <v>0</v>
      </c>
      <c r="BH141" s="634">
        <v>59.476891894713233</v>
      </c>
      <c r="BI141" s="634">
        <v>59.957638465345831</v>
      </c>
      <c r="BJ141" s="634">
        <v>60.442270868909723</v>
      </c>
      <c r="BK141" s="635">
        <v>60.826424632877519</v>
      </c>
      <c r="BL141" s="635">
        <v>61.210578396845307</v>
      </c>
      <c r="BM141" s="635">
        <v>61.594732160813102</v>
      </c>
      <c r="BN141" s="635">
        <v>61.97888592478089</v>
      </c>
      <c r="BO141" s="635">
        <v>62.43312255473468</v>
      </c>
      <c r="BP141" s="635">
        <v>62.887359184688471</v>
      </c>
      <c r="BQ141" s="635">
        <v>64.146633522090482</v>
      </c>
      <c r="BR141" s="635">
        <v>65.646972701373954</v>
      </c>
      <c r="BS141" s="635">
        <v>66.305742096288611</v>
      </c>
      <c r="BT141" s="635">
        <v>66.66750931636399</v>
      </c>
      <c r="BU141" s="635">
        <v>67.04215340679346</v>
      </c>
      <c r="BV141" s="635">
        <v>67.425811306470777</v>
      </c>
      <c r="BW141" s="634">
        <v>49.396062760016072</v>
      </c>
      <c r="BX141" s="634">
        <v>49.795326861049929</v>
      </c>
      <c r="BY141" s="634">
        <v>50.197818179264004</v>
      </c>
      <c r="BZ141" s="635">
        <v>50.516861135779628</v>
      </c>
      <c r="CA141" s="635">
        <v>50.835904092295252</v>
      </c>
      <c r="CB141" s="635">
        <v>51.154947048810875</v>
      </c>
      <c r="CC141" s="635">
        <v>51.473990005326499</v>
      </c>
      <c r="CD141" s="635">
        <v>51.851237375966086</v>
      </c>
      <c r="CE141" s="635">
        <v>52.22848474660568</v>
      </c>
      <c r="CF141" s="635">
        <v>53.274322755634465</v>
      </c>
      <c r="CG141" s="635">
        <v>54.520367158768195</v>
      </c>
      <c r="CH141" s="635">
        <v>55.067480724036301</v>
      </c>
      <c r="CI141" s="635">
        <v>55.367931466132802</v>
      </c>
      <c r="CJ141" s="635">
        <v>55.679076558184398</v>
      </c>
      <c r="CK141" s="635">
        <v>55.997707695204539</v>
      </c>
      <c r="CL141" s="634">
        <v>0</v>
      </c>
      <c r="CM141" s="634">
        <v>0</v>
      </c>
      <c r="CN141" s="634">
        <v>0</v>
      </c>
      <c r="CO141" s="635">
        <v>0</v>
      </c>
      <c r="CP141" s="635">
        <v>0</v>
      </c>
      <c r="CQ141" s="635">
        <v>0</v>
      </c>
      <c r="CR141" s="635">
        <v>0</v>
      </c>
      <c r="CS141" s="635">
        <v>0</v>
      </c>
      <c r="CT141" s="635">
        <v>0</v>
      </c>
      <c r="CU141" s="635">
        <v>0</v>
      </c>
      <c r="CV141" s="635">
        <v>0</v>
      </c>
      <c r="CW141" s="635">
        <v>0</v>
      </c>
      <c r="CX141" s="635">
        <v>0</v>
      </c>
      <c r="CY141" s="635">
        <v>0</v>
      </c>
      <c r="CZ141" s="635">
        <v>0</v>
      </c>
      <c r="DA141" s="636">
        <v>0</v>
      </c>
      <c r="DB141" s="636">
        <v>0</v>
      </c>
      <c r="DC141" s="636">
        <v>0</v>
      </c>
      <c r="DD141" s="637">
        <v>0</v>
      </c>
      <c r="DE141" s="637">
        <v>0</v>
      </c>
      <c r="DF141" s="637">
        <v>0</v>
      </c>
      <c r="DG141" s="637">
        <v>0</v>
      </c>
      <c r="DH141" s="637">
        <v>0</v>
      </c>
      <c r="DI141" s="637">
        <v>0</v>
      </c>
      <c r="DJ141" s="637">
        <v>0</v>
      </c>
      <c r="DK141" s="637">
        <v>0</v>
      </c>
      <c r="DL141" s="637">
        <v>0</v>
      </c>
      <c r="DM141" s="637">
        <v>0</v>
      </c>
      <c r="DN141" s="637">
        <v>0</v>
      </c>
      <c r="DO141" s="637">
        <v>0</v>
      </c>
      <c r="DP141" s="636">
        <v>0</v>
      </c>
      <c r="DQ141" s="636">
        <v>0</v>
      </c>
      <c r="DR141" s="636">
        <v>0</v>
      </c>
      <c r="DS141" s="637">
        <v>0</v>
      </c>
      <c r="DT141" s="637">
        <v>0</v>
      </c>
      <c r="DU141" s="637">
        <v>0</v>
      </c>
      <c r="DV141" s="637">
        <v>0</v>
      </c>
      <c r="DW141" s="637">
        <v>0</v>
      </c>
      <c r="DX141" s="637">
        <v>0</v>
      </c>
      <c r="DY141" s="637">
        <v>0</v>
      </c>
      <c r="DZ141" s="637">
        <v>0</v>
      </c>
      <c r="EA141" s="637">
        <v>0</v>
      </c>
      <c r="EB141" s="637">
        <v>0</v>
      </c>
      <c r="EC141" s="637">
        <v>0</v>
      </c>
      <c r="ED141" s="637">
        <v>0</v>
      </c>
    </row>
    <row r="142" spans="1:134" ht="15" x14ac:dyDescent="0.25">
      <c r="A142" s="555">
        <v>102</v>
      </c>
      <c r="B142" s="555">
        <v>91</v>
      </c>
      <c r="C142" s="555" t="s">
        <v>1125</v>
      </c>
      <c r="D142" s="812">
        <v>99709</v>
      </c>
      <c r="E142" s="812">
        <v>99709</v>
      </c>
      <c r="F142" s="630" t="s">
        <v>311</v>
      </c>
      <c r="G142" s="45">
        <v>131</v>
      </c>
      <c r="H142" s="45">
        <v>67</v>
      </c>
      <c r="I142" s="45">
        <v>57</v>
      </c>
      <c r="J142" s="45">
        <v>10</v>
      </c>
      <c r="K142" s="45">
        <v>2</v>
      </c>
      <c r="L142" s="45">
        <v>69</v>
      </c>
      <c r="M142" s="45">
        <v>71</v>
      </c>
      <c r="N142" s="45">
        <v>12</v>
      </c>
      <c r="O142" s="45">
        <v>0</v>
      </c>
      <c r="P142" s="45">
        <v>0</v>
      </c>
      <c r="Q142" s="45">
        <v>83</v>
      </c>
      <c r="R142" s="45">
        <v>3726</v>
      </c>
      <c r="S142" s="45">
        <v>2085.782608695652</v>
      </c>
      <c r="T142" s="45">
        <v>2131.9859154929577</v>
      </c>
      <c r="U142" s="45">
        <v>3642.75</v>
      </c>
      <c r="V142" s="45">
        <v>0</v>
      </c>
      <c r="W142" s="45">
        <v>0</v>
      </c>
      <c r="X142" s="45">
        <v>2350.4096385542171</v>
      </c>
      <c r="Y142" s="45">
        <v>1.8873239436619718</v>
      </c>
      <c r="Z142" s="45">
        <v>65.112676056338032</v>
      </c>
      <c r="AA142" s="45">
        <v>0</v>
      </c>
      <c r="AB142" s="508">
        <v>12</v>
      </c>
      <c r="AC142" s="508">
        <v>0</v>
      </c>
      <c r="AD142" s="631">
        <v>79</v>
      </c>
      <c r="AE142" s="632">
        <v>1.6056338028169013</v>
      </c>
      <c r="AF142" s="632">
        <v>55.394366197183096</v>
      </c>
      <c r="AG142" s="633">
        <v>57</v>
      </c>
      <c r="AH142" s="632">
        <v>0</v>
      </c>
      <c r="AI142" s="632">
        <v>1.79703133705686</v>
      </c>
      <c r="AJ142" s="632">
        <v>61.997581128461682</v>
      </c>
      <c r="AK142" s="632">
        <v>63.79461246551854</v>
      </c>
      <c r="AL142" s="632">
        <v>0</v>
      </c>
      <c r="AM142" s="632">
        <v>1.5317017985122434</v>
      </c>
      <c r="AN142" s="632">
        <v>52.843712048672401</v>
      </c>
      <c r="AO142" s="632">
        <v>54.375413847184646</v>
      </c>
      <c r="AP142" s="632">
        <v>0</v>
      </c>
      <c r="AQ142" s="632">
        <v>11.51598886201489</v>
      </c>
      <c r="AR142" s="632">
        <v>0</v>
      </c>
      <c r="AS142" s="632">
        <v>60.742575815308854</v>
      </c>
      <c r="AT142" s="632">
        <v>62.249892243240119</v>
      </c>
      <c r="AU142" s="632">
        <v>63.794612465518533</v>
      </c>
      <c r="AV142" s="632">
        <v>65.377664650779181</v>
      </c>
      <c r="AW142" s="632">
        <v>67</v>
      </c>
      <c r="AX142" s="632">
        <v>51.871677737764912</v>
      </c>
      <c r="AY142" s="632">
        <v>53.108793470938146</v>
      </c>
      <c r="AZ142" s="632">
        <v>54.375413847184653</v>
      </c>
      <c r="BA142" s="632">
        <v>55.672242538715153</v>
      </c>
      <c r="BB142" s="632">
        <v>57</v>
      </c>
      <c r="BC142" s="632">
        <v>11.051499955837585</v>
      </c>
      <c r="BD142" s="632">
        <v>11.281354103120055</v>
      </c>
      <c r="BE142" s="632">
        <v>11.51598886201489</v>
      </c>
      <c r="BF142" s="632">
        <v>11.755503661867436</v>
      </c>
      <c r="BG142" s="632">
        <v>12</v>
      </c>
      <c r="BH142" s="634">
        <v>67.54155520247096</v>
      </c>
      <c r="BI142" s="634">
        <v>68.08748774878255</v>
      </c>
      <c r="BJ142" s="634">
        <v>68.637833020626289</v>
      </c>
      <c r="BK142" s="635">
        <v>69.086606382254161</v>
      </c>
      <c r="BL142" s="635">
        <v>69.535379743882018</v>
      </c>
      <c r="BM142" s="635">
        <v>69.984153105509904</v>
      </c>
      <c r="BN142" s="635">
        <v>70.432926467137762</v>
      </c>
      <c r="BO142" s="635">
        <v>70.963571533044146</v>
      </c>
      <c r="BP142" s="635">
        <v>71.49421659895053</v>
      </c>
      <c r="BQ142" s="635">
        <v>72.965317055628574</v>
      </c>
      <c r="BR142" s="635">
        <v>74.718032557136709</v>
      </c>
      <c r="BS142" s="635">
        <v>75.487615426349947</v>
      </c>
      <c r="BT142" s="635">
        <v>75.910236539841392</v>
      </c>
      <c r="BU142" s="635">
        <v>76.347900578687415</v>
      </c>
      <c r="BV142" s="635">
        <v>76.796094665281629</v>
      </c>
      <c r="BW142" s="634">
        <v>57.460726067773798</v>
      </c>
      <c r="BX142" s="634">
        <v>57.925176144486649</v>
      </c>
      <c r="BY142" s="634">
        <v>58.393380330980577</v>
      </c>
      <c r="BZ142" s="635">
        <v>58.775172593858017</v>
      </c>
      <c r="CA142" s="635">
        <v>59.156964856735449</v>
      </c>
      <c r="CB142" s="635">
        <v>59.538757119612903</v>
      </c>
      <c r="CC142" s="635">
        <v>59.920549382490343</v>
      </c>
      <c r="CD142" s="635">
        <v>60.371993692291298</v>
      </c>
      <c r="CE142" s="635">
        <v>60.823438002092253</v>
      </c>
      <c r="CF142" s="635">
        <v>62.074971226430286</v>
      </c>
      <c r="CG142" s="635">
        <v>63.566087399355112</v>
      </c>
      <c r="CH142" s="635">
        <v>64.220807153760404</v>
      </c>
      <c r="CI142" s="635">
        <v>64.5803504891188</v>
      </c>
      <c r="CJ142" s="635">
        <v>64.952691537092278</v>
      </c>
      <c r="CK142" s="635">
        <v>65.333990983896314</v>
      </c>
      <c r="CL142" s="634">
        <v>12.096994961636589</v>
      </c>
      <c r="CM142" s="634">
        <v>12.194773925155085</v>
      </c>
      <c r="CN142" s="634">
        <v>12.293343227574859</v>
      </c>
      <c r="CO142" s="635">
        <v>12.373720546075372</v>
      </c>
      <c r="CP142" s="635">
        <v>12.454097864575886</v>
      </c>
      <c r="CQ142" s="635">
        <v>12.534475183076401</v>
      </c>
      <c r="CR142" s="635">
        <v>12.614852501576914</v>
      </c>
      <c r="CS142" s="635">
        <v>12.709893408903431</v>
      </c>
      <c r="CT142" s="635">
        <v>12.804934316229948</v>
      </c>
      <c r="CU142" s="635">
        <v>13.068414995037955</v>
      </c>
      <c r="CV142" s="635">
        <v>13.38233418933792</v>
      </c>
      <c r="CW142" s="635">
        <v>13.520169927107453</v>
      </c>
      <c r="CX142" s="635">
        <v>13.595863260867116</v>
      </c>
      <c r="CY142" s="635">
        <v>13.674250849914165</v>
      </c>
      <c r="CZ142" s="635">
        <v>13.754524417662383</v>
      </c>
      <c r="DA142" s="636">
        <v>0</v>
      </c>
      <c r="DB142" s="636">
        <v>0</v>
      </c>
      <c r="DC142" s="636">
        <v>0</v>
      </c>
      <c r="DD142" s="637">
        <v>0</v>
      </c>
      <c r="DE142" s="637">
        <v>0</v>
      </c>
      <c r="DF142" s="637">
        <v>0</v>
      </c>
      <c r="DG142" s="637">
        <v>0</v>
      </c>
      <c r="DH142" s="637">
        <v>0</v>
      </c>
      <c r="DI142" s="637">
        <v>0</v>
      </c>
      <c r="DJ142" s="637">
        <v>0</v>
      </c>
      <c r="DK142" s="637">
        <v>0</v>
      </c>
      <c r="DL142" s="637">
        <v>0</v>
      </c>
      <c r="DM142" s="637">
        <v>0</v>
      </c>
      <c r="DN142" s="637">
        <v>0</v>
      </c>
      <c r="DO142" s="637">
        <v>0</v>
      </c>
      <c r="DP142" s="636">
        <v>0</v>
      </c>
      <c r="DQ142" s="636">
        <v>0</v>
      </c>
      <c r="DR142" s="636">
        <v>0</v>
      </c>
      <c r="DS142" s="637">
        <v>0</v>
      </c>
      <c r="DT142" s="637">
        <v>0</v>
      </c>
      <c r="DU142" s="637">
        <v>0</v>
      </c>
      <c r="DV142" s="637">
        <v>0</v>
      </c>
      <c r="DW142" s="637">
        <v>0</v>
      </c>
      <c r="DX142" s="637">
        <v>0</v>
      </c>
      <c r="DY142" s="637">
        <v>0</v>
      </c>
      <c r="DZ142" s="637">
        <v>0</v>
      </c>
      <c r="EA142" s="637">
        <v>0</v>
      </c>
      <c r="EB142" s="637">
        <v>0</v>
      </c>
      <c r="EC142" s="637">
        <v>0</v>
      </c>
      <c r="ED142" s="637">
        <v>0</v>
      </c>
    </row>
    <row r="143" spans="1:134" ht="15" x14ac:dyDescent="0.25">
      <c r="A143" s="555">
        <v>103</v>
      </c>
      <c r="B143" s="555">
        <v>91</v>
      </c>
      <c r="C143" s="555" t="s">
        <v>1126</v>
      </c>
      <c r="D143" s="812">
        <v>99709</v>
      </c>
      <c r="E143" s="812">
        <v>99709</v>
      </c>
      <c r="F143" s="630" t="s">
        <v>311</v>
      </c>
      <c r="G143" s="45">
        <v>278</v>
      </c>
      <c r="H143" s="45">
        <v>142</v>
      </c>
      <c r="I143" s="45">
        <v>126</v>
      </c>
      <c r="J143" s="45">
        <v>16</v>
      </c>
      <c r="K143" s="45">
        <v>0</v>
      </c>
      <c r="L143" s="45">
        <v>29</v>
      </c>
      <c r="M143" s="45">
        <v>29</v>
      </c>
      <c r="N143" s="45">
        <v>15</v>
      </c>
      <c r="O143" s="45">
        <v>0</v>
      </c>
      <c r="P143" s="45">
        <v>0</v>
      </c>
      <c r="Q143" s="45">
        <v>44</v>
      </c>
      <c r="R143" s="45">
        <v>0</v>
      </c>
      <c r="S143" s="45">
        <v>2830.4482758620688</v>
      </c>
      <c r="T143" s="45">
        <v>2830.4482758620688</v>
      </c>
      <c r="U143" s="45">
        <v>6957.4</v>
      </c>
      <c r="V143" s="45">
        <v>0</v>
      </c>
      <c r="W143" s="45">
        <v>0</v>
      </c>
      <c r="X143" s="45">
        <v>4237.363636363636</v>
      </c>
      <c r="Y143" s="45">
        <v>0</v>
      </c>
      <c r="Z143" s="45">
        <v>142</v>
      </c>
      <c r="AA143" s="45">
        <v>0</v>
      </c>
      <c r="AB143" s="508">
        <v>15</v>
      </c>
      <c r="AC143" s="508">
        <v>0</v>
      </c>
      <c r="AD143" s="631">
        <v>157</v>
      </c>
      <c r="AE143" s="632">
        <v>0</v>
      </c>
      <c r="AF143" s="632">
        <v>126</v>
      </c>
      <c r="AG143" s="633">
        <v>126</v>
      </c>
      <c r="AH143" s="632">
        <v>0</v>
      </c>
      <c r="AI143" s="632">
        <v>0</v>
      </c>
      <c r="AJ143" s="632">
        <v>135.20649209109899</v>
      </c>
      <c r="AK143" s="632">
        <v>135.20649209109899</v>
      </c>
      <c r="AL143" s="632">
        <v>0</v>
      </c>
      <c r="AM143" s="632">
        <v>0</v>
      </c>
      <c r="AN143" s="632">
        <v>120.19828324114502</v>
      </c>
      <c r="AO143" s="632">
        <v>120.19828324114502</v>
      </c>
      <c r="AP143" s="632">
        <v>0</v>
      </c>
      <c r="AQ143" s="632">
        <v>14.394986077518613</v>
      </c>
      <c r="AR143" s="632">
        <v>0</v>
      </c>
      <c r="AS143" s="632">
        <v>128.73799650408742</v>
      </c>
      <c r="AT143" s="632">
        <v>131.93260744089696</v>
      </c>
      <c r="AU143" s="632">
        <v>135.20649209109899</v>
      </c>
      <c r="AV143" s="632">
        <v>138.56161761806931</v>
      </c>
      <c r="AW143" s="632">
        <v>142</v>
      </c>
      <c r="AX143" s="632">
        <v>114.66370868348034</v>
      </c>
      <c r="AY143" s="632">
        <v>117.39838556733696</v>
      </c>
      <c r="AZ143" s="632">
        <v>120.19828324114502</v>
      </c>
      <c r="BA143" s="632">
        <v>123.06495719084403</v>
      </c>
      <c r="BB143" s="632">
        <v>126</v>
      </c>
      <c r="BC143" s="632">
        <v>13.814374944796981</v>
      </c>
      <c r="BD143" s="632">
        <v>14.101692628900068</v>
      </c>
      <c r="BE143" s="632">
        <v>14.394986077518613</v>
      </c>
      <c r="BF143" s="632">
        <v>14.694379577334294</v>
      </c>
      <c r="BG143" s="632">
        <v>15</v>
      </c>
      <c r="BH143" s="634">
        <v>145.33158690364144</v>
      </c>
      <c r="BI143" s="634">
        <v>148.7413390981034</v>
      </c>
      <c r="BJ143" s="634">
        <v>152.23109048802829</v>
      </c>
      <c r="BK143" s="635">
        <v>152.23109048802829</v>
      </c>
      <c r="BL143" s="635">
        <v>152.23109048802829</v>
      </c>
      <c r="BM143" s="635">
        <v>152.23109048802829</v>
      </c>
      <c r="BN143" s="635">
        <v>152.23109048802829</v>
      </c>
      <c r="BO143" s="635">
        <v>152.23109048802829</v>
      </c>
      <c r="BP143" s="635">
        <v>152.23109048802829</v>
      </c>
      <c r="BQ143" s="635">
        <v>152.23109048802829</v>
      </c>
      <c r="BR143" s="635">
        <v>152.23109048802829</v>
      </c>
      <c r="BS143" s="635">
        <v>152.23109048802829</v>
      </c>
      <c r="BT143" s="635">
        <v>152.23109048802829</v>
      </c>
      <c r="BU143" s="635">
        <v>152.23109048802829</v>
      </c>
      <c r="BV143" s="635">
        <v>152.23109048802829</v>
      </c>
      <c r="BW143" s="634">
        <v>128.95619682999171</v>
      </c>
      <c r="BX143" s="634">
        <v>131.98175159409175</v>
      </c>
      <c r="BY143" s="634">
        <v>135.07829155979974</v>
      </c>
      <c r="BZ143" s="635">
        <v>135.07829155979974</v>
      </c>
      <c r="CA143" s="635">
        <v>135.07829155979974</v>
      </c>
      <c r="CB143" s="635">
        <v>135.07829155979974</v>
      </c>
      <c r="CC143" s="635">
        <v>135.07829155979974</v>
      </c>
      <c r="CD143" s="635">
        <v>135.07829155979974</v>
      </c>
      <c r="CE143" s="635">
        <v>135.07829155979974</v>
      </c>
      <c r="CF143" s="635">
        <v>135.07829155979974</v>
      </c>
      <c r="CG143" s="635">
        <v>135.07829155979974</v>
      </c>
      <c r="CH143" s="635">
        <v>135.07829155979974</v>
      </c>
      <c r="CI143" s="635">
        <v>135.07829155979974</v>
      </c>
      <c r="CJ143" s="635">
        <v>135.07829155979974</v>
      </c>
      <c r="CK143" s="635">
        <v>135.07829155979974</v>
      </c>
      <c r="CL143" s="634">
        <v>15.351928194046632</v>
      </c>
      <c r="CM143" s="634">
        <v>15.712113285010924</v>
      </c>
      <c r="CN143" s="634">
        <v>16.080748995214254</v>
      </c>
      <c r="CO143" s="635">
        <v>16.080748995214254</v>
      </c>
      <c r="CP143" s="635">
        <v>16.080748995214254</v>
      </c>
      <c r="CQ143" s="635">
        <v>16.080748995214254</v>
      </c>
      <c r="CR143" s="635">
        <v>16.080748995214254</v>
      </c>
      <c r="CS143" s="635">
        <v>16.080748995214254</v>
      </c>
      <c r="CT143" s="635">
        <v>16.080748995214254</v>
      </c>
      <c r="CU143" s="635">
        <v>16.080748995214254</v>
      </c>
      <c r="CV143" s="635">
        <v>16.080748995214254</v>
      </c>
      <c r="CW143" s="635">
        <v>16.080748995214254</v>
      </c>
      <c r="CX143" s="635">
        <v>16.080748995214254</v>
      </c>
      <c r="CY143" s="635">
        <v>16.080748995214254</v>
      </c>
      <c r="CZ143" s="635">
        <v>16.080748995214254</v>
      </c>
      <c r="DA143" s="636">
        <v>0</v>
      </c>
      <c r="DB143" s="636">
        <v>0</v>
      </c>
      <c r="DC143" s="636">
        <v>0</v>
      </c>
      <c r="DD143" s="637">
        <v>0</v>
      </c>
      <c r="DE143" s="637">
        <v>0</v>
      </c>
      <c r="DF143" s="637">
        <v>0</v>
      </c>
      <c r="DG143" s="637">
        <v>0</v>
      </c>
      <c r="DH143" s="637">
        <v>0</v>
      </c>
      <c r="DI143" s="637">
        <v>0</v>
      </c>
      <c r="DJ143" s="637">
        <v>0</v>
      </c>
      <c r="DK143" s="637">
        <v>0</v>
      </c>
      <c r="DL143" s="637">
        <v>0</v>
      </c>
      <c r="DM143" s="637">
        <v>0</v>
      </c>
      <c r="DN143" s="637">
        <v>0</v>
      </c>
      <c r="DO143" s="637">
        <v>0</v>
      </c>
      <c r="DP143" s="636">
        <v>0</v>
      </c>
      <c r="DQ143" s="636">
        <v>0</v>
      </c>
      <c r="DR143" s="636">
        <v>0</v>
      </c>
      <c r="DS143" s="637">
        <v>0</v>
      </c>
      <c r="DT143" s="637">
        <v>0</v>
      </c>
      <c r="DU143" s="637">
        <v>0</v>
      </c>
      <c r="DV143" s="637">
        <v>0</v>
      </c>
      <c r="DW143" s="637">
        <v>0</v>
      </c>
      <c r="DX143" s="637">
        <v>0</v>
      </c>
      <c r="DY143" s="637">
        <v>0</v>
      </c>
      <c r="DZ143" s="637">
        <v>0</v>
      </c>
      <c r="EA143" s="637">
        <v>0</v>
      </c>
      <c r="EB143" s="637">
        <v>0</v>
      </c>
      <c r="EC143" s="637">
        <v>0</v>
      </c>
      <c r="ED143" s="637">
        <v>0</v>
      </c>
    </row>
    <row r="144" spans="1:134" ht="15" x14ac:dyDescent="0.25">
      <c r="A144" s="555">
        <v>104</v>
      </c>
      <c r="B144" s="555">
        <v>91</v>
      </c>
      <c r="C144" s="555" t="s">
        <v>1127</v>
      </c>
      <c r="D144" s="812">
        <v>99709</v>
      </c>
      <c r="E144" s="812">
        <v>99709</v>
      </c>
      <c r="F144" s="630" t="s">
        <v>311</v>
      </c>
      <c r="G144" s="45">
        <v>14</v>
      </c>
      <c r="H144" s="45">
        <v>0</v>
      </c>
      <c r="I144" s="45">
        <v>0</v>
      </c>
      <c r="J144" s="45">
        <v>0</v>
      </c>
      <c r="K144" s="45">
        <v>0</v>
      </c>
      <c r="L144" s="45">
        <v>0</v>
      </c>
      <c r="M144" s="45">
        <v>0</v>
      </c>
      <c r="N144" s="45">
        <v>11</v>
      </c>
      <c r="O144" s="45">
        <v>0</v>
      </c>
      <c r="P144" s="45">
        <v>0</v>
      </c>
      <c r="Q144" s="45">
        <v>11</v>
      </c>
      <c r="R144" s="45">
        <v>0</v>
      </c>
      <c r="S144" s="45">
        <v>0</v>
      </c>
      <c r="T144" s="45">
        <v>0</v>
      </c>
      <c r="U144" s="45">
        <v>15636.636363636364</v>
      </c>
      <c r="V144" s="45">
        <v>0</v>
      </c>
      <c r="W144" s="45">
        <v>0</v>
      </c>
      <c r="X144" s="45">
        <v>15636.636363636364</v>
      </c>
      <c r="Y144" s="45">
        <v>0</v>
      </c>
      <c r="Z144" s="45">
        <v>0</v>
      </c>
      <c r="AA144" s="45">
        <v>0</v>
      </c>
      <c r="AB144" s="508">
        <v>11</v>
      </c>
      <c r="AC144" s="508">
        <v>0</v>
      </c>
      <c r="AD144" s="631">
        <v>11</v>
      </c>
      <c r="AE144" s="632">
        <v>0</v>
      </c>
      <c r="AF144" s="632">
        <v>0</v>
      </c>
      <c r="AG144" s="633">
        <v>0</v>
      </c>
      <c r="AH144" s="632">
        <v>0</v>
      </c>
      <c r="AI144" s="632">
        <v>0</v>
      </c>
      <c r="AJ144" s="632">
        <v>0</v>
      </c>
      <c r="AK144" s="632">
        <v>0</v>
      </c>
      <c r="AL144" s="632">
        <v>0</v>
      </c>
      <c r="AM144" s="632">
        <v>0</v>
      </c>
      <c r="AN144" s="632">
        <v>0</v>
      </c>
      <c r="AO144" s="632">
        <v>0</v>
      </c>
      <c r="AP144" s="632">
        <v>0</v>
      </c>
      <c r="AQ144" s="632">
        <v>10.55632312351365</v>
      </c>
      <c r="AR144" s="632">
        <v>0</v>
      </c>
      <c r="AS144" s="632">
        <v>0</v>
      </c>
      <c r="AT144" s="632">
        <v>0</v>
      </c>
      <c r="AU144" s="632">
        <v>0</v>
      </c>
      <c r="AV144" s="632">
        <v>0</v>
      </c>
      <c r="AW144" s="632">
        <v>0</v>
      </c>
      <c r="AX144" s="632">
        <v>0</v>
      </c>
      <c r="AY144" s="632">
        <v>0</v>
      </c>
      <c r="AZ144" s="632">
        <v>0</v>
      </c>
      <c r="BA144" s="632">
        <v>0</v>
      </c>
      <c r="BB144" s="632">
        <v>0</v>
      </c>
      <c r="BC144" s="632">
        <v>10.130541626184453</v>
      </c>
      <c r="BD144" s="632">
        <v>10.341241261193383</v>
      </c>
      <c r="BE144" s="632">
        <v>10.55632312351365</v>
      </c>
      <c r="BF144" s="632">
        <v>10.775878356711816</v>
      </c>
      <c r="BG144" s="632">
        <v>11</v>
      </c>
      <c r="BH144" s="634">
        <v>0</v>
      </c>
      <c r="BI144" s="634">
        <v>0</v>
      </c>
      <c r="BJ144" s="634">
        <v>0</v>
      </c>
      <c r="BK144" s="635">
        <v>0</v>
      </c>
      <c r="BL144" s="635">
        <v>0</v>
      </c>
      <c r="BM144" s="635">
        <v>0</v>
      </c>
      <c r="BN144" s="635">
        <v>0</v>
      </c>
      <c r="BO144" s="635">
        <v>0</v>
      </c>
      <c r="BP144" s="635">
        <v>0</v>
      </c>
      <c r="BQ144" s="635">
        <v>0</v>
      </c>
      <c r="BR144" s="635">
        <v>0</v>
      </c>
      <c r="BS144" s="635">
        <v>0</v>
      </c>
      <c r="BT144" s="635">
        <v>0</v>
      </c>
      <c r="BU144" s="635">
        <v>0</v>
      </c>
      <c r="BV144" s="635">
        <v>0</v>
      </c>
      <c r="BW144" s="634">
        <v>0</v>
      </c>
      <c r="BX144" s="634">
        <v>0</v>
      </c>
      <c r="BY144" s="634">
        <v>0</v>
      </c>
      <c r="BZ144" s="635">
        <v>0</v>
      </c>
      <c r="CA144" s="635">
        <v>0</v>
      </c>
      <c r="CB144" s="635">
        <v>0</v>
      </c>
      <c r="CC144" s="635">
        <v>0</v>
      </c>
      <c r="CD144" s="635">
        <v>0</v>
      </c>
      <c r="CE144" s="635">
        <v>0</v>
      </c>
      <c r="CF144" s="635">
        <v>0</v>
      </c>
      <c r="CG144" s="635">
        <v>0</v>
      </c>
      <c r="CH144" s="635">
        <v>0</v>
      </c>
      <c r="CI144" s="635">
        <v>0</v>
      </c>
      <c r="CJ144" s="635">
        <v>0</v>
      </c>
      <c r="CK144" s="635">
        <v>0</v>
      </c>
      <c r="CL144" s="634">
        <v>11.258080675634197</v>
      </c>
      <c r="CM144" s="634">
        <v>11.52221640900801</v>
      </c>
      <c r="CN144" s="634">
        <v>11.79254926315712</v>
      </c>
      <c r="CO144" s="635">
        <v>11.79254926315712</v>
      </c>
      <c r="CP144" s="635">
        <v>11.79254926315712</v>
      </c>
      <c r="CQ144" s="635">
        <v>11.79254926315712</v>
      </c>
      <c r="CR144" s="635">
        <v>11.79254926315712</v>
      </c>
      <c r="CS144" s="635">
        <v>11.79254926315712</v>
      </c>
      <c r="CT144" s="635">
        <v>11.79254926315712</v>
      </c>
      <c r="CU144" s="635">
        <v>11.79254926315712</v>
      </c>
      <c r="CV144" s="635">
        <v>11.79254926315712</v>
      </c>
      <c r="CW144" s="635">
        <v>11.79254926315712</v>
      </c>
      <c r="CX144" s="635">
        <v>11.79254926315712</v>
      </c>
      <c r="CY144" s="635">
        <v>11.79254926315712</v>
      </c>
      <c r="CZ144" s="635">
        <v>11.79254926315712</v>
      </c>
      <c r="DA144" s="636">
        <v>0</v>
      </c>
      <c r="DB144" s="636">
        <v>0</v>
      </c>
      <c r="DC144" s="636">
        <v>0</v>
      </c>
      <c r="DD144" s="637">
        <v>0</v>
      </c>
      <c r="DE144" s="637">
        <v>0</v>
      </c>
      <c r="DF144" s="637">
        <v>0</v>
      </c>
      <c r="DG144" s="637">
        <v>0</v>
      </c>
      <c r="DH144" s="637">
        <v>0</v>
      </c>
      <c r="DI144" s="637">
        <v>0</v>
      </c>
      <c r="DJ144" s="637">
        <v>0</v>
      </c>
      <c r="DK144" s="637">
        <v>0</v>
      </c>
      <c r="DL144" s="637">
        <v>0</v>
      </c>
      <c r="DM144" s="637">
        <v>0</v>
      </c>
      <c r="DN144" s="637">
        <v>0</v>
      </c>
      <c r="DO144" s="637">
        <v>0</v>
      </c>
      <c r="DP144" s="636">
        <v>0</v>
      </c>
      <c r="DQ144" s="636">
        <v>0</v>
      </c>
      <c r="DR144" s="636">
        <v>0</v>
      </c>
      <c r="DS144" s="637">
        <v>0</v>
      </c>
      <c r="DT144" s="637">
        <v>0</v>
      </c>
      <c r="DU144" s="637">
        <v>0</v>
      </c>
      <c r="DV144" s="637">
        <v>0</v>
      </c>
      <c r="DW144" s="637">
        <v>0</v>
      </c>
      <c r="DX144" s="637">
        <v>0</v>
      </c>
      <c r="DY144" s="637">
        <v>0</v>
      </c>
      <c r="DZ144" s="637">
        <v>0</v>
      </c>
      <c r="EA144" s="637">
        <v>0</v>
      </c>
      <c r="EB144" s="637">
        <v>0</v>
      </c>
      <c r="EC144" s="637">
        <v>0</v>
      </c>
      <c r="ED144" s="637">
        <v>0</v>
      </c>
    </row>
    <row r="145" spans="1:134" ht="15" x14ac:dyDescent="0.25">
      <c r="A145" s="555">
        <v>106</v>
      </c>
      <c r="B145" s="555">
        <v>91</v>
      </c>
      <c r="C145" s="555" t="s">
        <v>1128</v>
      </c>
      <c r="D145" s="812">
        <v>99709</v>
      </c>
      <c r="E145" s="812">
        <v>99709</v>
      </c>
      <c r="F145" s="630" t="s">
        <v>311</v>
      </c>
      <c r="G145" s="45">
        <v>2</v>
      </c>
      <c r="H145" s="45">
        <v>2</v>
      </c>
      <c r="I145" s="45">
        <v>1</v>
      </c>
      <c r="J145" s="45">
        <v>1</v>
      </c>
      <c r="K145" s="45">
        <v>0</v>
      </c>
      <c r="L145" s="45">
        <v>0</v>
      </c>
      <c r="M145" s="45">
        <v>0</v>
      </c>
      <c r="N145" s="45">
        <v>1</v>
      </c>
      <c r="O145" s="45">
        <v>0</v>
      </c>
      <c r="P145" s="45">
        <v>0</v>
      </c>
      <c r="Q145" s="45">
        <v>1</v>
      </c>
      <c r="R145" s="45">
        <v>0</v>
      </c>
      <c r="S145" s="45">
        <v>0</v>
      </c>
      <c r="T145" s="45">
        <v>0</v>
      </c>
      <c r="U145" s="45">
        <v>4800</v>
      </c>
      <c r="V145" s="45">
        <v>0</v>
      </c>
      <c r="W145" s="45">
        <v>0</v>
      </c>
      <c r="X145" s="45">
        <v>4800</v>
      </c>
      <c r="Y145" s="45">
        <v>4.5824670824670823E-2</v>
      </c>
      <c r="Z145" s="45">
        <v>1.9515765765765767</v>
      </c>
      <c r="AA145" s="45">
        <v>2.5987525987525989E-3</v>
      </c>
      <c r="AB145" s="508">
        <v>1</v>
      </c>
      <c r="AC145" s="508">
        <v>0</v>
      </c>
      <c r="AD145" s="631">
        <v>3</v>
      </c>
      <c r="AE145" s="632">
        <v>2.2912335412335411E-2</v>
      </c>
      <c r="AF145" s="632">
        <v>0.97578828828828834</v>
      </c>
      <c r="AG145" s="633">
        <v>0.99870062370062374</v>
      </c>
      <c r="AH145" s="632">
        <v>1.2993762993762994E-3</v>
      </c>
      <c r="AI145" s="632">
        <v>4.3632345024176553E-2</v>
      </c>
      <c r="AJ145" s="632">
        <v>1.8582100208878518</v>
      </c>
      <c r="AK145" s="632">
        <v>1.9018423659120283</v>
      </c>
      <c r="AL145" s="632">
        <v>2.4744241034504663E-3</v>
      </c>
      <c r="AM145" s="632">
        <v>2.1857328425460388E-2</v>
      </c>
      <c r="AN145" s="632">
        <v>0.93085775443704566</v>
      </c>
      <c r="AO145" s="632">
        <v>0.95271508286250606</v>
      </c>
      <c r="AP145" s="632">
        <v>1.2395460354703435E-3</v>
      </c>
      <c r="AQ145" s="632">
        <v>0.95966573850124082</v>
      </c>
      <c r="AR145" s="632">
        <v>0</v>
      </c>
      <c r="AS145" s="632">
        <v>1.8108551746845185</v>
      </c>
      <c r="AT145" s="632">
        <v>1.8557912301080755</v>
      </c>
      <c r="AU145" s="632">
        <v>1.9018423659120283</v>
      </c>
      <c r="AV145" s="632">
        <v>1.9490362526215936</v>
      </c>
      <c r="AW145" s="632">
        <v>1.9974012474012475</v>
      </c>
      <c r="AX145" s="632">
        <v>0.90884696331760662</v>
      </c>
      <c r="AY145" s="632">
        <v>0.93052254672655332</v>
      </c>
      <c r="AZ145" s="632">
        <v>0.95271508286250606</v>
      </c>
      <c r="BA145" s="632">
        <v>0.97543690081100387</v>
      </c>
      <c r="BB145" s="632">
        <v>0.99870062370062374</v>
      </c>
      <c r="BC145" s="632">
        <v>0.92095832965313207</v>
      </c>
      <c r="BD145" s="632">
        <v>0.94011284192667122</v>
      </c>
      <c r="BE145" s="632">
        <v>0.95966573850124082</v>
      </c>
      <c r="BF145" s="632">
        <v>0.97962530515561963</v>
      </c>
      <c r="BG145" s="632">
        <v>1</v>
      </c>
      <c r="BH145" s="634">
        <v>2.0338193463045848</v>
      </c>
      <c r="BI145" s="634">
        <v>2.0709014469599283</v>
      </c>
      <c r="BJ145" s="634">
        <v>2.1086596559390078</v>
      </c>
      <c r="BK145" s="635">
        <v>2.1086596559390078</v>
      </c>
      <c r="BL145" s="635">
        <v>2.1086596559390078</v>
      </c>
      <c r="BM145" s="635">
        <v>2.1086596559390078</v>
      </c>
      <c r="BN145" s="635">
        <v>2.1086596559390078</v>
      </c>
      <c r="BO145" s="635">
        <v>2.1086596559390078</v>
      </c>
      <c r="BP145" s="635">
        <v>2.1086596559390078</v>
      </c>
      <c r="BQ145" s="635">
        <v>2.1086596559390078</v>
      </c>
      <c r="BR145" s="635">
        <v>2.1086596559390078</v>
      </c>
      <c r="BS145" s="635">
        <v>2.1086596559390078</v>
      </c>
      <c r="BT145" s="635">
        <v>2.1086596559390078</v>
      </c>
      <c r="BU145" s="635">
        <v>2.1086596559390078</v>
      </c>
      <c r="BV145" s="635">
        <v>2.1086596559390078</v>
      </c>
      <c r="BW145" s="634">
        <v>1.0169096731522924</v>
      </c>
      <c r="BX145" s="634">
        <v>1.0354507234799641</v>
      </c>
      <c r="BY145" s="634">
        <v>1.0543298279695039</v>
      </c>
      <c r="BZ145" s="635">
        <v>1.0543298279695039</v>
      </c>
      <c r="CA145" s="635">
        <v>1.0543298279695039</v>
      </c>
      <c r="CB145" s="635">
        <v>1.0543298279695039</v>
      </c>
      <c r="CC145" s="635">
        <v>1.0543298279695039</v>
      </c>
      <c r="CD145" s="635">
        <v>1.0543298279695039</v>
      </c>
      <c r="CE145" s="635">
        <v>1.0543298279695039</v>
      </c>
      <c r="CF145" s="635">
        <v>1.0543298279695039</v>
      </c>
      <c r="CG145" s="635">
        <v>1.0543298279695039</v>
      </c>
      <c r="CH145" s="635">
        <v>1.0543298279695039</v>
      </c>
      <c r="CI145" s="635">
        <v>1.0543298279695039</v>
      </c>
      <c r="CJ145" s="635">
        <v>1.0543298279695039</v>
      </c>
      <c r="CK145" s="635">
        <v>1.0543298279695039</v>
      </c>
      <c r="CL145" s="634">
        <v>1.0182327406427325</v>
      </c>
      <c r="CM145" s="634">
        <v>1.0367979141168102</v>
      </c>
      <c r="CN145" s="634">
        <v>1.055701581583828</v>
      </c>
      <c r="CO145" s="635">
        <v>1.055701581583828</v>
      </c>
      <c r="CP145" s="635">
        <v>1.055701581583828</v>
      </c>
      <c r="CQ145" s="635">
        <v>1.055701581583828</v>
      </c>
      <c r="CR145" s="635">
        <v>1.055701581583828</v>
      </c>
      <c r="CS145" s="635">
        <v>1.055701581583828</v>
      </c>
      <c r="CT145" s="635">
        <v>1.055701581583828</v>
      </c>
      <c r="CU145" s="635">
        <v>1.055701581583828</v>
      </c>
      <c r="CV145" s="635">
        <v>1.055701581583828</v>
      </c>
      <c r="CW145" s="635">
        <v>1.055701581583828</v>
      </c>
      <c r="CX145" s="635">
        <v>1.055701581583828</v>
      </c>
      <c r="CY145" s="635">
        <v>1.055701581583828</v>
      </c>
      <c r="CZ145" s="635">
        <v>1.055701581583828</v>
      </c>
      <c r="DA145" s="636">
        <v>2.646134980880282E-3</v>
      </c>
      <c r="DB145" s="636">
        <v>2.6943812736923345E-3</v>
      </c>
      <c r="DC145" s="636">
        <v>2.7435072286482016E-3</v>
      </c>
      <c r="DD145" s="637">
        <v>2.7435072286482016E-3</v>
      </c>
      <c r="DE145" s="637">
        <v>2.7435072286482016E-3</v>
      </c>
      <c r="DF145" s="637">
        <v>2.7435072286482016E-3</v>
      </c>
      <c r="DG145" s="637">
        <v>2.7435072286482016E-3</v>
      </c>
      <c r="DH145" s="637">
        <v>2.7435072286482016E-3</v>
      </c>
      <c r="DI145" s="637">
        <v>2.7435072286482016E-3</v>
      </c>
      <c r="DJ145" s="637">
        <v>2.7435072286482016E-3</v>
      </c>
      <c r="DK145" s="637">
        <v>2.7435072286482016E-3</v>
      </c>
      <c r="DL145" s="637">
        <v>2.7435072286482016E-3</v>
      </c>
      <c r="DM145" s="637">
        <v>2.7435072286482016E-3</v>
      </c>
      <c r="DN145" s="637">
        <v>2.7435072286482016E-3</v>
      </c>
      <c r="DO145" s="637">
        <v>2.7435072286482016E-3</v>
      </c>
      <c r="DP145" s="636">
        <v>0</v>
      </c>
      <c r="DQ145" s="636">
        <v>0</v>
      </c>
      <c r="DR145" s="636">
        <v>0</v>
      </c>
      <c r="DS145" s="637">
        <v>0</v>
      </c>
      <c r="DT145" s="637">
        <v>0</v>
      </c>
      <c r="DU145" s="637">
        <v>0</v>
      </c>
      <c r="DV145" s="637">
        <v>0</v>
      </c>
      <c r="DW145" s="637">
        <v>0</v>
      </c>
      <c r="DX145" s="637">
        <v>0</v>
      </c>
      <c r="DY145" s="637">
        <v>0</v>
      </c>
      <c r="DZ145" s="637">
        <v>0</v>
      </c>
      <c r="EA145" s="637">
        <v>0</v>
      </c>
      <c r="EB145" s="637">
        <v>0</v>
      </c>
      <c r="EC145" s="637">
        <v>0</v>
      </c>
      <c r="ED145" s="637">
        <v>0</v>
      </c>
    </row>
    <row r="146" spans="1:134" ht="15" x14ac:dyDescent="0.25">
      <c r="A146" s="555">
        <v>107</v>
      </c>
      <c r="B146" s="555">
        <v>91</v>
      </c>
      <c r="C146" s="555" t="s">
        <v>1129</v>
      </c>
      <c r="D146" s="812">
        <v>99709</v>
      </c>
      <c r="E146" s="812">
        <v>99709</v>
      </c>
      <c r="F146" s="630" t="s">
        <v>311</v>
      </c>
      <c r="G146" s="45">
        <v>52</v>
      </c>
      <c r="H146" s="45">
        <v>28</v>
      </c>
      <c r="I146" s="45">
        <v>23</v>
      </c>
      <c r="J146" s="45">
        <v>5</v>
      </c>
      <c r="K146" s="45">
        <v>1</v>
      </c>
      <c r="L146" s="45">
        <v>9</v>
      </c>
      <c r="M146" s="45">
        <v>10</v>
      </c>
      <c r="N146" s="45">
        <v>30</v>
      </c>
      <c r="O146" s="45">
        <v>0</v>
      </c>
      <c r="P146" s="45">
        <v>0</v>
      </c>
      <c r="Q146" s="45">
        <v>40</v>
      </c>
      <c r="R146" s="45">
        <v>5197</v>
      </c>
      <c r="S146" s="45">
        <v>2878.5555555555557</v>
      </c>
      <c r="T146" s="45">
        <v>3110.4</v>
      </c>
      <c r="U146" s="45">
        <v>5389.3666666666668</v>
      </c>
      <c r="V146" s="45">
        <v>0</v>
      </c>
      <c r="W146" s="45">
        <v>0</v>
      </c>
      <c r="X146" s="45">
        <v>4819.625</v>
      </c>
      <c r="Y146" s="45">
        <v>2.8</v>
      </c>
      <c r="Z146" s="45">
        <v>25.2</v>
      </c>
      <c r="AA146" s="45">
        <v>0</v>
      </c>
      <c r="AB146" s="508">
        <v>30</v>
      </c>
      <c r="AC146" s="508">
        <v>0</v>
      </c>
      <c r="AD146" s="631">
        <v>58</v>
      </c>
      <c r="AE146" s="632">
        <v>2.2999999999999998</v>
      </c>
      <c r="AF146" s="632">
        <v>20.7</v>
      </c>
      <c r="AG146" s="633">
        <v>23</v>
      </c>
      <c r="AH146" s="632">
        <v>0</v>
      </c>
      <c r="AI146" s="632">
        <v>2.6660435060216701</v>
      </c>
      <c r="AJ146" s="632">
        <v>23.99439155419503</v>
      </c>
      <c r="AK146" s="632">
        <v>26.660435060216699</v>
      </c>
      <c r="AL146" s="632">
        <v>0</v>
      </c>
      <c r="AM146" s="632">
        <v>2.1940956464653452</v>
      </c>
      <c r="AN146" s="632">
        <v>19.746860818188107</v>
      </c>
      <c r="AO146" s="632">
        <v>21.940956464653453</v>
      </c>
      <c r="AP146" s="632">
        <v>0</v>
      </c>
      <c r="AQ146" s="632">
        <v>28.789972155037226</v>
      </c>
      <c r="AR146" s="632">
        <v>0</v>
      </c>
      <c r="AS146" s="632">
        <v>25.384957057143996</v>
      </c>
      <c r="AT146" s="632">
        <v>26.014880340458557</v>
      </c>
      <c r="AU146" s="632">
        <v>26.660435060216702</v>
      </c>
      <c r="AV146" s="632">
        <v>27.322009107788315</v>
      </c>
      <c r="AW146" s="632">
        <v>28</v>
      </c>
      <c r="AX146" s="632">
        <v>20.93067698190514</v>
      </c>
      <c r="AY146" s="632">
        <v>21.429864032132937</v>
      </c>
      <c r="AZ146" s="632">
        <v>21.940956464653457</v>
      </c>
      <c r="BA146" s="632">
        <v>22.464238217376288</v>
      </c>
      <c r="BB146" s="632">
        <v>23</v>
      </c>
      <c r="BC146" s="632">
        <v>27.628749889593962</v>
      </c>
      <c r="BD146" s="632">
        <v>28.203385257800136</v>
      </c>
      <c r="BE146" s="632">
        <v>28.789972155037226</v>
      </c>
      <c r="BF146" s="632">
        <v>29.388759154668588</v>
      </c>
      <c r="BG146" s="632">
        <v>30</v>
      </c>
      <c r="BH146" s="634">
        <v>28.510516737996511</v>
      </c>
      <c r="BI146" s="634">
        <v>29.030341595270684</v>
      </c>
      <c r="BJ146" s="634">
        <v>29.559644284347183</v>
      </c>
      <c r="BK146" s="635">
        <v>29.559644284347183</v>
      </c>
      <c r="BL146" s="635">
        <v>29.559644284347183</v>
      </c>
      <c r="BM146" s="635">
        <v>29.559644284347183</v>
      </c>
      <c r="BN146" s="635">
        <v>29.559644284347183</v>
      </c>
      <c r="BO146" s="635">
        <v>29.559644284347183</v>
      </c>
      <c r="BP146" s="635">
        <v>29.559644284347183</v>
      </c>
      <c r="BQ146" s="635">
        <v>29.559644284347183</v>
      </c>
      <c r="BR146" s="635">
        <v>29.559644284347183</v>
      </c>
      <c r="BS146" s="635">
        <v>29.559644284347183</v>
      </c>
      <c r="BT146" s="635">
        <v>29.559644284347183</v>
      </c>
      <c r="BU146" s="635">
        <v>29.559644284347183</v>
      </c>
      <c r="BV146" s="635">
        <v>29.559644284347183</v>
      </c>
      <c r="BW146" s="634">
        <v>23.419353034782848</v>
      </c>
      <c r="BX146" s="634">
        <v>23.846352024686635</v>
      </c>
      <c r="BY146" s="634">
        <v>24.281136376428044</v>
      </c>
      <c r="BZ146" s="635">
        <v>24.281136376428044</v>
      </c>
      <c r="CA146" s="635">
        <v>24.281136376428044</v>
      </c>
      <c r="CB146" s="635">
        <v>24.281136376428044</v>
      </c>
      <c r="CC146" s="635">
        <v>24.281136376428044</v>
      </c>
      <c r="CD146" s="635">
        <v>24.281136376428044</v>
      </c>
      <c r="CE146" s="635">
        <v>24.281136376428044</v>
      </c>
      <c r="CF146" s="635">
        <v>24.281136376428044</v>
      </c>
      <c r="CG146" s="635">
        <v>24.281136376428044</v>
      </c>
      <c r="CH146" s="635">
        <v>24.281136376428044</v>
      </c>
      <c r="CI146" s="635">
        <v>24.281136376428044</v>
      </c>
      <c r="CJ146" s="635">
        <v>24.281136376428044</v>
      </c>
      <c r="CK146" s="635">
        <v>24.281136376428044</v>
      </c>
      <c r="CL146" s="634">
        <v>30.546982219281976</v>
      </c>
      <c r="CM146" s="634">
        <v>31.103937423504306</v>
      </c>
      <c r="CN146" s="634">
        <v>31.671047447514841</v>
      </c>
      <c r="CO146" s="635">
        <v>31.671047447514841</v>
      </c>
      <c r="CP146" s="635">
        <v>31.671047447514841</v>
      </c>
      <c r="CQ146" s="635">
        <v>31.671047447514841</v>
      </c>
      <c r="CR146" s="635">
        <v>31.671047447514841</v>
      </c>
      <c r="CS146" s="635">
        <v>31.671047447514841</v>
      </c>
      <c r="CT146" s="635">
        <v>31.671047447514841</v>
      </c>
      <c r="CU146" s="635">
        <v>31.671047447514841</v>
      </c>
      <c r="CV146" s="635">
        <v>31.671047447514841</v>
      </c>
      <c r="CW146" s="635">
        <v>31.671047447514841</v>
      </c>
      <c r="CX146" s="635">
        <v>31.671047447514841</v>
      </c>
      <c r="CY146" s="635">
        <v>31.671047447514841</v>
      </c>
      <c r="CZ146" s="635">
        <v>31.671047447514841</v>
      </c>
      <c r="DA146" s="636">
        <v>0</v>
      </c>
      <c r="DB146" s="636">
        <v>0</v>
      </c>
      <c r="DC146" s="636">
        <v>0</v>
      </c>
      <c r="DD146" s="637">
        <v>0</v>
      </c>
      <c r="DE146" s="637">
        <v>0</v>
      </c>
      <c r="DF146" s="637">
        <v>0</v>
      </c>
      <c r="DG146" s="637">
        <v>0</v>
      </c>
      <c r="DH146" s="637">
        <v>0</v>
      </c>
      <c r="DI146" s="637">
        <v>0</v>
      </c>
      <c r="DJ146" s="637">
        <v>0</v>
      </c>
      <c r="DK146" s="637">
        <v>0</v>
      </c>
      <c r="DL146" s="637">
        <v>0</v>
      </c>
      <c r="DM146" s="637">
        <v>0</v>
      </c>
      <c r="DN146" s="637">
        <v>0</v>
      </c>
      <c r="DO146" s="637">
        <v>0</v>
      </c>
      <c r="DP146" s="636">
        <v>0</v>
      </c>
      <c r="DQ146" s="636">
        <v>0</v>
      </c>
      <c r="DR146" s="636">
        <v>0</v>
      </c>
      <c r="DS146" s="637">
        <v>0</v>
      </c>
      <c r="DT146" s="637">
        <v>0</v>
      </c>
      <c r="DU146" s="637">
        <v>0</v>
      </c>
      <c r="DV146" s="637">
        <v>0</v>
      </c>
      <c r="DW146" s="637">
        <v>0</v>
      </c>
      <c r="DX146" s="637">
        <v>0</v>
      </c>
      <c r="DY146" s="637">
        <v>0</v>
      </c>
      <c r="DZ146" s="637">
        <v>0</v>
      </c>
      <c r="EA146" s="637">
        <v>0</v>
      </c>
      <c r="EB146" s="637">
        <v>0</v>
      </c>
      <c r="EC146" s="637">
        <v>0</v>
      </c>
      <c r="ED146" s="637">
        <v>0</v>
      </c>
    </row>
    <row r="147" spans="1:134" ht="15" x14ac:dyDescent="0.25">
      <c r="A147" s="555">
        <v>108</v>
      </c>
      <c r="B147" s="555">
        <v>91</v>
      </c>
      <c r="C147" s="555" t="s">
        <v>1130</v>
      </c>
      <c r="D147" s="812">
        <v>99701</v>
      </c>
      <c r="E147" s="812">
        <v>99701</v>
      </c>
      <c r="F147" s="630" t="s">
        <v>311</v>
      </c>
      <c r="G147" s="45">
        <v>69</v>
      </c>
      <c r="H147" s="45">
        <v>27</v>
      </c>
      <c r="I147" s="45">
        <v>25</v>
      </c>
      <c r="J147" s="45">
        <v>2</v>
      </c>
      <c r="K147" s="45">
        <v>0</v>
      </c>
      <c r="L147" s="45">
        <v>6</v>
      </c>
      <c r="M147" s="45">
        <v>6</v>
      </c>
      <c r="N147" s="45">
        <v>37</v>
      </c>
      <c r="O147" s="45">
        <v>0</v>
      </c>
      <c r="P147" s="45">
        <v>0</v>
      </c>
      <c r="Q147" s="45">
        <v>43</v>
      </c>
      <c r="R147" s="45">
        <v>0</v>
      </c>
      <c r="S147" s="45">
        <v>3048.6666666666665</v>
      </c>
      <c r="T147" s="45">
        <v>3048.6666666666665</v>
      </c>
      <c r="U147" s="45">
        <v>6037.405405405405</v>
      </c>
      <c r="V147" s="45">
        <v>0</v>
      </c>
      <c r="W147" s="45">
        <v>0</v>
      </c>
      <c r="X147" s="45">
        <v>5620.3720930232557</v>
      </c>
      <c r="Y147" s="45">
        <v>0</v>
      </c>
      <c r="Z147" s="45">
        <v>27</v>
      </c>
      <c r="AA147" s="45">
        <v>0</v>
      </c>
      <c r="AB147" s="508">
        <v>37</v>
      </c>
      <c r="AC147" s="508">
        <v>0</v>
      </c>
      <c r="AD147" s="631">
        <v>64</v>
      </c>
      <c r="AE147" s="632">
        <v>0</v>
      </c>
      <c r="AF147" s="632">
        <v>25</v>
      </c>
      <c r="AG147" s="633">
        <v>25</v>
      </c>
      <c r="AH147" s="632">
        <v>0</v>
      </c>
      <c r="AI147" s="632">
        <v>0</v>
      </c>
      <c r="AJ147" s="632">
        <v>26.700300441586236</v>
      </c>
      <c r="AK147" s="632">
        <v>26.700300441586236</v>
      </c>
      <c r="AL147" s="632">
        <v>0</v>
      </c>
      <c r="AM147" s="632">
        <v>0</v>
      </c>
      <c r="AN147" s="632">
        <v>24.768031405669859</v>
      </c>
      <c r="AO147" s="632">
        <v>24.768031405669859</v>
      </c>
      <c r="AP147" s="632">
        <v>0</v>
      </c>
      <c r="AQ147" s="632">
        <v>36.808895435964963</v>
      </c>
      <c r="AR147" s="632">
        <v>0</v>
      </c>
      <c r="AS147" s="632">
        <v>26.403927543369264</v>
      </c>
      <c r="AT147" s="632">
        <v>26.551700477480406</v>
      </c>
      <c r="AU147" s="632">
        <v>26.700300441586236</v>
      </c>
      <c r="AV147" s="632">
        <v>26.849732064265154</v>
      </c>
      <c r="AW147" s="632">
        <v>27</v>
      </c>
      <c r="AX147" s="632">
        <v>24.538215188489936</v>
      </c>
      <c r="AY147" s="632">
        <v>24.652855502509318</v>
      </c>
      <c r="AZ147" s="632">
        <v>24.768031405669859</v>
      </c>
      <c r="BA147" s="632">
        <v>24.883745400195416</v>
      </c>
      <c r="BB147" s="632">
        <v>25</v>
      </c>
      <c r="BC147" s="632">
        <v>36.618777924751406</v>
      </c>
      <c r="BD147" s="632">
        <v>36.713713618006516</v>
      </c>
      <c r="BE147" s="632">
        <v>36.808895435964963</v>
      </c>
      <c r="BF147" s="632">
        <v>36.904324016715215</v>
      </c>
      <c r="BG147" s="632">
        <v>37</v>
      </c>
      <c r="BH147" s="634">
        <v>27.492283997353777</v>
      </c>
      <c r="BI147" s="634">
        <v>27.993543681153877</v>
      </c>
      <c r="BJ147" s="634">
        <v>28.503942702763357</v>
      </c>
      <c r="BK147" s="635">
        <v>28.503942702763357</v>
      </c>
      <c r="BL147" s="635">
        <v>28.503942702763357</v>
      </c>
      <c r="BM147" s="635">
        <v>28.503942702763357</v>
      </c>
      <c r="BN147" s="635">
        <v>28.503942702763357</v>
      </c>
      <c r="BO147" s="635">
        <v>28.503942702763357</v>
      </c>
      <c r="BP147" s="635">
        <v>28.503942702763357</v>
      </c>
      <c r="BQ147" s="635">
        <v>28.503942702763357</v>
      </c>
      <c r="BR147" s="635">
        <v>28.503942702763357</v>
      </c>
      <c r="BS147" s="635">
        <v>28.503942702763357</v>
      </c>
      <c r="BT147" s="635">
        <v>28.503942702763357</v>
      </c>
      <c r="BU147" s="635">
        <v>28.503942702763357</v>
      </c>
      <c r="BV147" s="635">
        <v>28.503942702763357</v>
      </c>
      <c r="BW147" s="634">
        <v>25.455818516068312</v>
      </c>
      <c r="BX147" s="634">
        <v>25.919947852920256</v>
      </c>
      <c r="BY147" s="634">
        <v>26.392539539595699</v>
      </c>
      <c r="BZ147" s="635">
        <v>26.392539539595699</v>
      </c>
      <c r="CA147" s="635">
        <v>26.392539539595699</v>
      </c>
      <c r="CB147" s="635">
        <v>26.392539539595699</v>
      </c>
      <c r="CC147" s="635">
        <v>26.392539539595699</v>
      </c>
      <c r="CD147" s="635">
        <v>26.392539539595699</v>
      </c>
      <c r="CE147" s="635">
        <v>26.392539539595699</v>
      </c>
      <c r="CF147" s="635">
        <v>26.392539539595699</v>
      </c>
      <c r="CG147" s="635">
        <v>26.392539539595699</v>
      </c>
      <c r="CH147" s="635">
        <v>26.392539539595699</v>
      </c>
      <c r="CI147" s="635">
        <v>26.392539539595699</v>
      </c>
      <c r="CJ147" s="635">
        <v>26.392539539595699</v>
      </c>
      <c r="CK147" s="635">
        <v>26.392539539595699</v>
      </c>
      <c r="CL147" s="634">
        <v>37.6746114037811</v>
      </c>
      <c r="CM147" s="634">
        <v>38.36152282232198</v>
      </c>
      <c r="CN147" s="634">
        <v>39.060958518601637</v>
      </c>
      <c r="CO147" s="635">
        <v>39.060958518601637</v>
      </c>
      <c r="CP147" s="635">
        <v>39.060958518601637</v>
      </c>
      <c r="CQ147" s="635">
        <v>39.060958518601637</v>
      </c>
      <c r="CR147" s="635">
        <v>39.060958518601637</v>
      </c>
      <c r="CS147" s="635">
        <v>39.060958518601637</v>
      </c>
      <c r="CT147" s="635">
        <v>39.060958518601637</v>
      </c>
      <c r="CU147" s="635">
        <v>39.060958518601637</v>
      </c>
      <c r="CV147" s="635">
        <v>39.060958518601637</v>
      </c>
      <c r="CW147" s="635">
        <v>39.060958518601637</v>
      </c>
      <c r="CX147" s="635">
        <v>39.060958518601637</v>
      </c>
      <c r="CY147" s="635">
        <v>39.060958518601637</v>
      </c>
      <c r="CZ147" s="635">
        <v>39.060958518601637</v>
      </c>
      <c r="DA147" s="636">
        <v>0</v>
      </c>
      <c r="DB147" s="636">
        <v>0</v>
      </c>
      <c r="DC147" s="636">
        <v>0</v>
      </c>
      <c r="DD147" s="637">
        <v>0</v>
      </c>
      <c r="DE147" s="637">
        <v>0</v>
      </c>
      <c r="DF147" s="637">
        <v>0</v>
      </c>
      <c r="DG147" s="637">
        <v>0</v>
      </c>
      <c r="DH147" s="637">
        <v>0</v>
      </c>
      <c r="DI147" s="637">
        <v>0</v>
      </c>
      <c r="DJ147" s="637">
        <v>0</v>
      </c>
      <c r="DK147" s="637">
        <v>0</v>
      </c>
      <c r="DL147" s="637">
        <v>0</v>
      </c>
      <c r="DM147" s="637">
        <v>0</v>
      </c>
      <c r="DN147" s="637">
        <v>0</v>
      </c>
      <c r="DO147" s="637">
        <v>0</v>
      </c>
      <c r="DP147" s="636">
        <v>0</v>
      </c>
      <c r="DQ147" s="636">
        <v>0</v>
      </c>
      <c r="DR147" s="636">
        <v>0</v>
      </c>
      <c r="DS147" s="637">
        <v>0</v>
      </c>
      <c r="DT147" s="637">
        <v>0</v>
      </c>
      <c r="DU147" s="637">
        <v>0</v>
      </c>
      <c r="DV147" s="637">
        <v>0</v>
      </c>
      <c r="DW147" s="637">
        <v>0</v>
      </c>
      <c r="DX147" s="637">
        <v>0</v>
      </c>
      <c r="DY147" s="637">
        <v>0</v>
      </c>
      <c r="DZ147" s="637">
        <v>0</v>
      </c>
      <c r="EA147" s="637">
        <v>0</v>
      </c>
      <c r="EB147" s="637">
        <v>0</v>
      </c>
      <c r="EC147" s="637">
        <v>0</v>
      </c>
      <c r="ED147" s="637">
        <v>0</v>
      </c>
    </row>
    <row r="148" spans="1:134" ht="15" x14ac:dyDescent="0.25">
      <c r="A148" s="555">
        <v>109</v>
      </c>
      <c r="B148" s="555">
        <v>91</v>
      </c>
      <c r="C148" s="555" t="s">
        <v>1131</v>
      </c>
      <c r="D148" s="812">
        <v>99701</v>
      </c>
      <c r="E148" s="812">
        <v>99701</v>
      </c>
      <c r="F148" s="630" t="s">
        <v>311</v>
      </c>
      <c r="G148" s="45">
        <v>3</v>
      </c>
      <c r="H148" s="45">
        <v>2</v>
      </c>
      <c r="I148" s="45">
        <v>2</v>
      </c>
      <c r="J148" s="45">
        <v>0</v>
      </c>
      <c r="K148" s="45">
        <v>0</v>
      </c>
      <c r="L148" s="45">
        <v>1</v>
      </c>
      <c r="M148" s="45">
        <v>1</v>
      </c>
      <c r="N148" s="45">
        <v>30</v>
      </c>
      <c r="O148" s="45">
        <v>0</v>
      </c>
      <c r="P148" s="45">
        <v>0</v>
      </c>
      <c r="Q148" s="45">
        <v>31</v>
      </c>
      <c r="R148" s="45">
        <v>0</v>
      </c>
      <c r="S148" s="45">
        <v>1152</v>
      </c>
      <c r="T148" s="45">
        <v>1152</v>
      </c>
      <c r="U148" s="45">
        <v>7752.3666666666668</v>
      </c>
      <c r="V148" s="45">
        <v>0</v>
      </c>
      <c r="W148" s="45">
        <v>0</v>
      </c>
      <c r="X148" s="45">
        <v>7539.4516129032254</v>
      </c>
      <c r="Y148" s="45">
        <v>0</v>
      </c>
      <c r="Z148" s="45">
        <v>2</v>
      </c>
      <c r="AA148" s="45">
        <v>0</v>
      </c>
      <c r="AB148" s="508">
        <v>30</v>
      </c>
      <c r="AC148" s="508">
        <v>0</v>
      </c>
      <c r="AD148" s="631">
        <v>32</v>
      </c>
      <c r="AE148" s="632">
        <v>0</v>
      </c>
      <c r="AF148" s="632">
        <v>2</v>
      </c>
      <c r="AG148" s="633">
        <v>2</v>
      </c>
      <c r="AH148" s="632">
        <v>0</v>
      </c>
      <c r="AI148" s="632">
        <v>0</v>
      </c>
      <c r="AJ148" s="632">
        <v>1.9778000327100915</v>
      </c>
      <c r="AK148" s="632">
        <v>1.9778000327100915</v>
      </c>
      <c r="AL148" s="632">
        <v>0</v>
      </c>
      <c r="AM148" s="632">
        <v>0</v>
      </c>
      <c r="AN148" s="632">
        <v>1.9814425124535886</v>
      </c>
      <c r="AO148" s="632">
        <v>1.9814425124535886</v>
      </c>
      <c r="AP148" s="632">
        <v>0</v>
      </c>
      <c r="AQ148" s="632">
        <v>29.845050353485103</v>
      </c>
      <c r="AR148" s="632">
        <v>0</v>
      </c>
      <c r="AS148" s="632">
        <v>1.9558464846940193</v>
      </c>
      <c r="AT148" s="632">
        <v>1.9667926279615116</v>
      </c>
      <c r="AU148" s="632">
        <v>1.9778000327100915</v>
      </c>
      <c r="AV148" s="632">
        <v>1.9888690417974189</v>
      </c>
      <c r="AW148" s="632">
        <v>2</v>
      </c>
      <c r="AX148" s="632">
        <v>1.9630572150791947</v>
      </c>
      <c r="AY148" s="632">
        <v>1.9722284402007455</v>
      </c>
      <c r="AZ148" s="632">
        <v>1.9814425124535886</v>
      </c>
      <c r="BA148" s="632">
        <v>1.9906996320156332</v>
      </c>
      <c r="BB148" s="632">
        <v>2</v>
      </c>
      <c r="BC148" s="632">
        <v>29.690901020068708</v>
      </c>
      <c r="BD148" s="632">
        <v>29.767875906491767</v>
      </c>
      <c r="BE148" s="632">
        <v>29.845050353485103</v>
      </c>
      <c r="BF148" s="632">
        <v>29.922424878417743</v>
      </c>
      <c r="BG148" s="632">
        <v>30</v>
      </c>
      <c r="BH148" s="634">
        <v>2.036465481285465</v>
      </c>
      <c r="BI148" s="634">
        <v>2.0735958282336204</v>
      </c>
      <c r="BJ148" s="634">
        <v>2.111403163167656</v>
      </c>
      <c r="BK148" s="635">
        <v>3.1528129599818708</v>
      </c>
      <c r="BL148" s="635">
        <v>4.1942227567960861</v>
      </c>
      <c r="BM148" s="635">
        <v>5.2356325536103006</v>
      </c>
      <c r="BN148" s="635">
        <v>6.2770423504245159</v>
      </c>
      <c r="BO148" s="635">
        <v>7.5084411310060615</v>
      </c>
      <c r="BP148" s="635">
        <v>8.7398399115876071</v>
      </c>
      <c r="BQ148" s="635">
        <v>12.153630832967538</v>
      </c>
      <c r="BR148" s="635">
        <v>16.220929051555395</v>
      </c>
      <c r="BS148" s="635">
        <v>18.006799622286017</v>
      </c>
      <c r="BT148" s="635">
        <v>18.987521308470868</v>
      </c>
      <c r="BU148" s="635">
        <v>20.003151149141917</v>
      </c>
      <c r="BV148" s="635">
        <v>21.043216697953309</v>
      </c>
      <c r="BW148" s="634">
        <v>2.036465481285465</v>
      </c>
      <c r="BX148" s="634">
        <v>2.0735958282336204</v>
      </c>
      <c r="BY148" s="634">
        <v>2.111403163167656</v>
      </c>
      <c r="BZ148" s="635">
        <v>3.1528129599818708</v>
      </c>
      <c r="CA148" s="635">
        <v>4.1942227567960861</v>
      </c>
      <c r="CB148" s="635">
        <v>5.2356325536103006</v>
      </c>
      <c r="CC148" s="635">
        <v>6.2770423504245159</v>
      </c>
      <c r="CD148" s="635">
        <v>7.5084411310060615</v>
      </c>
      <c r="CE148" s="635">
        <v>8.7398399115876071</v>
      </c>
      <c r="CF148" s="635">
        <v>12.153630832967538</v>
      </c>
      <c r="CG148" s="635">
        <v>16.220929051555395</v>
      </c>
      <c r="CH148" s="635">
        <v>18.006799622286017</v>
      </c>
      <c r="CI148" s="635">
        <v>18.987521308470868</v>
      </c>
      <c r="CJ148" s="635">
        <v>20.003151149141917</v>
      </c>
      <c r="CK148" s="635">
        <v>21.043216697953309</v>
      </c>
      <c r="CL148" s="634">
        <v>30.546982219281976</v>
      </c>
      <c r="CM148" s="634">
        <v>31.103937423504306</v>
      </c>
      <c r="CN148" s="634">
        <v>31.671047447514841</v>
      </c>
      <c r="CO148" s="635">
        <v>47.292194399728068</v>
      </c>
      <c r="CP148" s="635">
        <v>62.913341351941291</v>
      </c>
      <c r="CQ148" s="635">
        <v>78.534488304154507</v>
      </c>
      <c r="CR148" s="635">
        <v>94.155635256367731</v>
      </c>
      <c r="CS148" s="635">
        <v>112.62661696509093</v>
      </c>
      <c r="CT148" s="635">
        <v>131.09759867381413</v>
      </c>
      <c r="CU148" s="635">
        <v>182.30446249451307</v>
      </c>
      <c r="CV148" s="635">
        <v>243.31393577333091</v>
      </c>
      <c r="CW148" s="635">
        <v>270.10199433429028</v>
      </c>
      <c r="CX148" s="635">
        <v>284.81281962706299</v>
      </c>
      <c r="CY148" s="635">
        <v>300.04726723712878</v>
      </c>
      <c r="CZ148" s="635">
        <v>315.64825046929963</v>
      </c>
      <c r="DA148" s="636">
        <v>0</v>
      </c>
      <c r="DB148" s="636">
        <v>0</v>
      </c>
      <c r="DC148" s="636">
        <v>0</v>
      </c>
      <c r="DD148" s="637">
        <v>0</v>
      </c>
      <c r="DE148" s="637">
        <v>0</v>
      </c>
      <c r="DF148" s="637">
        <v>0</v>
      </c>
      <c r="DG148" s="637">
        <v>0</v>
      </c>
      <c r="DH148" s="637">
        <v>0</v>
      </c>
      <c r="DI148" s="637">
        <v>0</v>
      </c>
      <c r="DJ148" s="637">
        <v>0</v>
      </c>
      <c r="DK148" s="637">
        <v>0</v>
      </c>
      <c r="DL148" s="637">
        <v>0</v>
      </c>
      <c r="DM148" s="637">
        <v>0</v>
      </c>
      <c r="DN148" s="637">
        <v>0</v>
      </c>
      <c r="DO148" s="637">
        <v>0</v>
      </c>
      <c r="DP148" s="636">
        <v>0</v>
      </c>
      <c r="DQ148" s="636">
        <v>0</v>
      </c>
      <c r="DR148" s="636">
        <v>0</v>
      </c>
      <c r="DS148" s="637">
        <v>0</v>
      </c>
      <c r="DT148" s="637">
        <v>0</v>
      </c>
      <c r="DU148" s="637">
        <v>0</v>
      </c>
      <c r="DV148" s="637">
        <v>0</v>
      </c>
      <c r="DW148" s="637">
        <v>0</v>
      </c>
      <c r="DX148" s="637">
        <v>0</v>
      </c>
      <c r="DY148" s="637">
        <v>0</v>
      </c>
      <c r="DZ148" s="637">
        <v>0</v>
      </c>
      <c r="EA148" s="637">
        <v>0</v>
      </c>
      <c r="EB148" s="637">
        <v>0</v>
      </c>
      <c r="EC148" s="637">
        <v>0</v>
      </c>
      <c r="ED148" s="637">
        <v>0</v>
      </c>
    </row>
    <row r="149" spans="1:134" ht="15" x14ac:dyDescent="0.25">
      <c r="A149" s="555">
        <v>110</v>
      </c>
      <c r="B149" s="555">
        <v>91</v>
      </c>
      <c r="C149" s="555" t="s">
        <v>1132</v>
      </c>
      <c r="D149" s="812">
        <v>99701</v>
      </c>
      <c r="E149" s="812">
        <v>99701</v>
      </c>
      <c r="F149" s="630" t="s">
        <v>311</v>
      </c>
      <c r="G149" s="45">
        <v>78</v>
      </c>
      <c r="H149" s="45">
        <v>24</v>
      </c>
      <c r="I149" s="45">
        <v>24</v>
      </c>
      <c r="J149" s="45">
        <v>0</v>
      </c>
      <c r="K149" s="45">
        <v>0</v>
      </c>
      <c r="L149" s="45">
        <v>51</v>
      </c>
      <c r="M149" s="45">
        <v>51</v>
      </c>
      <c r="N149" s="45">
        <v>30</v>
      </c>
      <c r="O149" s="45">
        <v>0</v>
      </c>
      <c r="P149" s="45">
        <v>0</v>
      </c>
      <c r="Q149" s="45">
        <v>81</v>
      </c>
      <c r="R149" s="45">
        <v>0</v>
      </c>
      <c r="S149" s="45">
        <v>1142.9803921568628</v>
      </c>
      <c r="T149" s="45">
        <v>1142.9803921568628</v>
      </c>
      <c r="U149" s="45">
        <v>10373.533333333333</v>
      </c>
      <c r="V149" s="45">
        <v>0</v>
      </c>
      <c r="W149" s="45">
        <v>0</v>
      </c>
      <c r="X149" s="45">
        <v>4561.7037037037035</v>
      </c>
      <c r="Y149" s="45">
        <v>0</v>
      </c>
      <c r="Z149" s="45">
        <v>24</v>
      </c>
      <c r="AA149" s="45">
        <v>0</v>
      </c>
      <c r="AB149" s="508">
        <v>30</v>
      </c>
      <c r="AC149" s="508">
        <v>0</v>
      </c>
      <c r="AD149" s="631">
        <v>54</v>
      </c>
      <c r="AE149" s="632">
        <v>0</v>
      </c>
      <c r="AF149" s="632">
        <v>24</v>
      </c>
      <c r="AG149" s="633">
        <v>24</v>
      </c>
      <c r="AH149" s="632">
        <v>0</v>
      </c>
      <c r="AI149" s="632">
        <v>0</v>
      </c>
      <c r="AJ149" s="632">
        <v>23.733600392521097</v>
      </c>
      <c r="AK149" s="632">
        <v>23.733600392521097</v>
      </c>
      <c r="AL149" s="632">
        <v>0</v>
      </c>
      <c r="AM149" s="632">
        <v>0</v>
      </c>
      <c r="AN149" s="632">
        <v>23.777310149443064</v>
      </c>
      <c r="AO149" s="632">
        <v>23.777310149443064</v>
      </c>
      <c r="AP149" s="632">
        <v>0</v>
      </c>
      <c r="AQ149" s="632">
        <v>29.845050353485103</v>
      </c>
      <c r="AR149" s="632">
        <v>0</v>
      </c>
      <c r="AS149" s="632">
        <v>23.470157816328232</v>
      </c>
      <c r="AT149" s="632">
        <v>23.601511535538137</v>
      </c>
      <c r="AU149" s="632">
        <v>23.733600392521097</v>
      </c>
      <c r="AV149" s="632">
        <v>23.866428501569025</v>
      </c>
      <c r="AW149" s="632">
        <v>24</v>
      </c>
      <c r="AX149" s="632">
        <v>23.556686580950338</v>
      </c>
      <c r="AY149" s="632">
        <v>23.666741282408946</v>
      </c>
      <c r="AZ149" s="632">
        <v>23.777310149443064</v>
      </c>
      <c r="BA149" s="632">
        <v>23.888395584187599</v>
      </c>
      <c r="BB149" s="632">
        <v>24</v>
      </c>
      <c r="BC149" s="632">
        <v>29.690901020068708</v>
      </c>
      <c r="BD149" s="632">
        <v>29.767875906491767</v>
      </c>
      <c r="BE149" s="632">
        <v>29.845050353485103</v>
      </c>
      <c r="BF149" s="632">
        <v>29.922424878417743</v>
      </c>
      <c r="BG149" s="632">
        <v>30</v>
      </c>
      <c r="BH149" s="634">
        <v>24.437585775425582</v>
      </c>
      <c r="BI149" s="634">
        <v>24.883149938803445</v>
      </c>
      <c r="BJ149" s="634">
        <v>25.33683795801187</v>
      </c>
      <c r="BK149" s="635">
        <v>25.555951183574248</v>
      </c>
      <c r="BL149" s="635">
        <v>25.775064409136622</v>
      </c>
      <c r="BM149" s="635">
        <v>25.994177634699007</v>
      </c>
      <c r="BN149" s="635">
        <v>26.213290860261381</v>
      </c>
      <c r="BO149" s="635">
        <v>26.472377878255834</v>
      </c>
      <c r="BP149" s="635">
        <v>26.731464896250287</v>
      </c>
      <c r="BQ149" s="635">
        <v>27.449728487074335</v>
      </c>
      <c r="BR149" s="635">
        <v>28.30549039245026</v>
      </c>
      <c r="BS149" s="635">
        <v>28.681238596842775</v>
      </c>
      <c r="BT149" s="635">
        <v>28.887583008712433</v>
      </c>
      <c r="BU149" s="635">
        <v>29.10127211654261</v>
      </c>
      <c r="BV149" s="635">
        <v>29.320102511545155</v>
      </c>
      <c r="BW149" s="634">
        <v>24.437585775425582</v>
      </c>
      <c r="BX149" s="634">
        <v>24.883149938803445</v>
      </c>
      <c r="BY149" s="634">
        <v>25.33683795801187</v>
      </c>
      <c r="BZ149" s="635">
        <v>25.555951183574248</v>
      </c>
      <c r="CA149" s="635">
        <v>25.775064409136622</v>
      </c>
      <c r="CB149" s="635">
        <v>25.994177634699007</v>
      </c>
      <c r="CC149" s="635">
        <v>26.213290860261381</v>
      </c>
      <c r="CD149" s="635">
        <v>26.472377878255834</v>
      </c>
      <c r="CE149" s="635">
        <v>26.731464896250287</v>
      </c>
      <c r="CF149" s="635">
        <v>27.449728487074335</v>
      </c>
      <c r="CG149" s="635">
        <v>28.30549039245026</v>
      </c>
      <c r="CH149" s="635">
        <v>28.681238596842775</v>
      </c>
      <c r="CI149" s="635">
        <v>28.887583008712433</v>
      </c>
      <c r="CJ149" s="635">
        <v>29.10127211654261</v>
      </c>
      <c r="CK149" s="635">
        <v>29.320102511545155</v>
      </c>
      <c r="CL149" s="634">
        <v>30.546982219281976</v>
      </c>
      <c r="CM149" s="634">
        <v>31.103937423504306</v>
      </c>
      <c r="CN149" s="634">
        <v>31.671047447514841</v>
      </c>
      <c r="CO149" s="635">
        <v>31.94493897946781</v>
      </c>
      <c r="CP149" s="635">
        <v>32.218830511420784</v>
      </c>
      <c r="CQ149" s="635">
        <v>32.49272204337376</v>
      </c>
      <c r="CR149" s="635">
        <v>32.76661357532673</v>
      </c>
      <c r="CS149" s="635">
        <v>33.090472347819798</v>
      </c>
      <c r="CT149" s="635">
        <v>33.414331120312859</v>
      </c>
      <c r="CU149" s="635">
        <v>34.312160608842923</v>
      </c>
      <c r="CV149" s="635">
        <v>35.38186299056283</v>
      </c>
      <c r="CW149" s="635">
        <v>35.851548246053468</v>
      </c>
      <c r="CX149" s="635">
        <v>36.109478760890546</v>
      </c>
      <c r="CY149" s="635">
        <v>36.376590145678271</v>
      </c>
      <c r="CZ149" s="635">
        <v>36.650128139431452</v>
      </c>
      <c r="DA149" s="636">
        <v>0</v>
      </c>
      <c r="DB149" s="636">
        <v>0</v>
      </c>
      <c r="DC149" s="636">
        <v>0</v>
      </c>
      <c r="DD149" s="637">
        <v>0</v>
      </c>
      <c r="DE149" s="637">
        <v>0</v>
      </c>
      <c r="DF149" s="637">
        <v>0</v>
      </c>
      <c r="DG149" s="637">
        <v>0</v>
      </c>
      <c r="DH149" s="637">
        <v>0</v>
      </c>
      <c r="DI149" s="637">
        <v>0</v>
      </c>
      <c r="DJ149" s="637">
        <v>0</v>
      </c>
      <c r="DK149" s="637">
        <v>0</v>
      </c>
      <c r="DL149" s="637">
        <v>0</v>
      </c>
      <c r="DM149" s="637">
        <v>0</v>
      </c>
      <c r="DN149" s="637">
        <v>0</v>
      </c>
      <c r="DO149" s="637">
        <v>0</v>
      </c>
      <c r="DP149" s="636">
        <v>0</v>
      </c>
      <c r="DQ149" s="636">
        <v>0</v>
      </c>
      <c r="DR149" s="636">
        <v>0</v>
      </c>
      <c r="DS149" s="637">
        <v>0</v>
      </c>
      <c r="DT149" s="637">
        <v>0</v>
      </c>
      <c r="DU149" s="637">
        <v>0</v>
      </c>
      <c r="DV149" s="637">
        <v>0</v>
      </c>
      <c r="DW149" s="637">
        <v>0</v>
      </c>
      <c r="DX149" s="637">
        <v>0</v>
      </c>
      <c r="DY149" s="637">
        <v>0</v>
      </c>
      <c r="DZ149" s="637">
        <v>0</v>
      </c>
      <c r="EA149" s="637">
        <v>0</v>
      </c>
      <c r="EB149" s="637">
        <v>0</v>
      </c>
      <c r="EC149" s="637">
        <v>0</v>
      </c>
      <c r="ED149" s="637">
        <v>0</v>
      </c>
    </row>
    <row r="150" spans="1:134" ht="15" x14ac:dyDescent="0.25">
      <c r="A150" s="555">
        <v>111</v>
      </c>
      <c r="B150" s="555">
        <v>91</v>
      </c>
      <c r="C150" s="555" t="s">
        <v>1133</v>
      </c>
      <c r="D150" s="812">
        <v>99701</v>
      </c>
      <c r="E150" s="812">
        <v>99701</v>
      </c>
      <c r="F150" s="630" t="s">
        <v>311</v>
      </c>
      <c r="G150" s="45">
        <v>93</v>
      </c>
      <c r="H150" s="45">
        <v>49</v>
      </c>
      <c r="I150" s="45">
        <v>45</v>
      </c>
      <c r="J150" s="45">
        <v>4</v>
      </c>
      <c r="K150" s="45">
        <v>0</v>
      </c>
      <c r="L150" s="45">
        <v>16</v>
      </c>
      <c r="M150" s="45">
        <v>16</v>
      </c>
      <c r="N150" s="45">
        <v>1</v>
      </c>
      <c r="O150" s="45">
        <v>0</v>
      </c>
      <c r="P150" s="45">
        <v>0</v>
      </c>
      <c r="Q150" s="45">
        <v>17</v>
      </c>
      <c r="R150" s="45">
        <v>0</v>
      </c>
      <c r="S150" s="45">
        <v>1735.4375</v>
      </c>
      <c r="T150" s="45">
        <v>1735.4375</v>
      </c>
      <c r="U150" s="45">
        <v>2704</v>
      </c>
      <c r="V150" s="45">
        <v>0</v>
      </c>
      <c r="W150" s="45">
        <v>0</v>
      </c>
      <c r="X150" s="45">
        <v>1792.4117647058824</v>
      </c>
      <c r="Y150" s="45">
        <v>0</v>
      </c>
      <c r="Z150" s="45">
        <v>49</v>
      </c>
      <c r="AA150" s="45">
        <v>0</v>
      </c>
      <c r="AB150" s="508">
        <v>1</v>
      </c>
      <c r="AC150" s="508">
        <v>0</v>
      </c>
      <c r="AD150" s="631">
        <v>50</v>
      </c>
      <c r="AE150" s="632">
        <v>0</v>
      </c>
      <c r="AF150" s="632">
        <v>45</v>
      </c>
      <c r="AG150" s="633">
        <v>45</v>
      </c>
      <c r="AH150" s="632">
        <v>0</v>
      </c>
      <c r="AI150" s="632">
        <v>0</v>
      </c>
      <c r="AJ150" s="632">
        <v>48.456100801397241</v>
      </c>
      <c r="AK150" s="632">
        <v>48.456100801397241</v>
      </c>
      <c r="AL150" s="632">
        <v>0</v>
      </c>
      <c r="AM150" s="632">
        <v>0</v>
      </c>
      <c r="AN150" s="632">
        <v>44.582456530205747</v>
      </c>
      <c r="AO150" s="632">
        <v>44.582456530205747</v>
      </c>
      <c r="AP150" s="632">
        <v>0</v>
      </c>
      <c r="AQ150" s="632">
        <v>0.99483501178283684</v>
      </c>
      <c r="AR150" s="632">
        <v>0</v>
      </c>
      <c r="AS150" s="632">
        <v>47.918238875003475</v>
      </c>
      <c r="AT150" s="632">
        <v>48.186419385057029</v>
      </c>
      <c r="AU150" s="632">
        <v>48.456100801397241</v>
      </c>
      <c r="AV150" s="632">
        <v>48.727291524036758</v>
      </c>
      <c r="AW150" s="632">
        <v>49</v>
      </c>
      <c r="AX150" s="632">
        <v>44.168787339281884</v>
      </c>
      <c r="AY150" s="632">
        <v>44.375139904516772</v>
      </c>
      <c r="AZ150" s="632">
        <v>44.582456530205747</v>
      </c>
      <c r="BA150" s="632">
        <v>44.790741720351747</v>
      </c>
      <c r="BB150" s="632">
        <v>45</v>
      </c>
      <c r="BC150" s="632">
        <v>0.98969670066895699</v>
      </c>
      <c r="BD150" s="632">
        <v>0.99226253021639232</v>
      </c>
      <c r="BE150" s="632">
        <v>0.99483501178283684</v>
      </c>
      <c r="BF150" s="632">
        <v>0.99741416261392479</v>
      </c>
      <c r="BG150" s="632">
        <v>1</v>
      </c>
      <c r="BH150" s="634">
        <v>49.893404291493894</v>
      </c>
      <c r="BI150" s="634">
        <v>50.803097791723701</v>
      </c>
      <c r="BJ150" s="634">
        <v>51.729377497607572</v>
      </c>
      <c r="BK150" s="635">
        <v>54.380038230797801</v>
      </c>
      <c r="BL150" s="635">
        <v>57.030698963988023</v>
      </c>
      <c r="BM150" s="635">
        <v>59.681359697178237</v>
      </c>
      <c r="BN150" s="635">
        <v>62.332020430368466</v>
      </c>
      <c r="BO150" s="635">
        <v>65.466252895408459</v>
      </c>
      <c r="BP150" s="635">
        <v>68.600485360448474</v>
      </c>
      <c r="BQ150" s="635">
        <v>77.289477507732215</v>
      </c>
      <c r="BR150" s="635">
        <v>87.641816914530281</v>
      </c>
      <c r="BS150" s="635">
        <v>92.187325330983327</v>
      </c>
      <c r="BT150" s="635">
        <v>94.683518925196324</v>
      </c>
      <c r="BU150" s="635">
        <v>97.268562916868362</v>
      </c>
      <c r="BV150" s="635">
        <v>99.915802186761766</v>
      </c>
      <c r="BW150" s="634">
        <v>45.820473328922965</v>
      </c>
      <c r="BX150" s="634">
        <v>46.655906135256458</v>
      </c>
      <c r="BY150" s="634">
        <v>47.506571171272256</v>
      </c>
      <c r="BZ150" s="635">
        <v>49.940851436446955</v>
      </c>
      <c r="CA150" s="635">
        <v>52.375131701621648</v>
      </c>
      <c r="CB150" s="635">
        <v>54.80941196679634</v>
      </c>
      <c r="CC150" s="635">
        <v>57.243692231971032</v>
      </c>
      <c r="CD150" s="635">
        <v>60.12206898557919</v>
      </c>
      <c r="CE150" s="635">
        <v>63.000445739187363</v>
      </c>
      <c r="CF150" s="635">
        <v>70.980132405060189</v>
      </c>
      <c r="CG150" s="635">
        <v>80.487382880691072</v>
      </c>
      <c r="CH150" s="635">
        <v>84.661829385596931</v>
      </c>
      <c r="CI150" s="635">
        <v>86.954252074159882</v>
      </c>
      <c r="CJ150" s="635">
        <v>89.328272066511758</v>
      </c>
      <c r="CK150" s="635">
        <v>91.75941017151591</v>
      </c>
      <c r="CL150" s="634">
        <v>1.0182327406427325</v>
      </c>
      <c r="CM150" s="634">
        <v>1.0367979141168102</v>
      </c>
      <c r="CN150" s="634">
        <v>1.055701581583828</v>
      </c>
      <c r="CO150" s="635">
        <v>1.1097966985877101</v>
      </c>
      <c r="CP150" s="635">
        <v>1.1638918155915923</v>
      </c>
      <c r="CQ150" s="635">
        <v>1.2179869325954742</v>
      </c>
      <c r="CR150" s="635">
        <v>1.2720820495993563</v>
      </c>
      <c r="CS150" s="635">
        <v>1.3360459774573155</v>
      </c>
      <c r="CT150" s="635">
        <v>1.4000099053152748</v>
      </c>
      <c r="CU150" s="635">
        <v>1.5773362756680043</v>
      </c>
      <c r="CV150" s="635">
        <v>1.7886085084598016</v>
      </c>
      <c r="CW150" s="635">
        <v>1.8813739863465986</v>
      </c>
      <c r="CX150" s="635">
        <v>1.9323167127591085</v>
      </c>
      <c r="CY150" s="635">
        <v>1.9850727125891503</v>
      </c>
      <c r="CZ150" s="635">
        <v>2.0390980038114646</v>
      </c>
      <c r="DA150" s="636">
        <v>0</v>
      </c>
      <c r="DB150" s="636">
        <v>0</v>
      </c>
      <c r="DC150" s="636">
        <v>0</v>
      </c>
      <c r="DD150" s="637">
        <v>0</v>
      </c>
      <c r="DE150" s="637">
        <v>0</v>
      </c>
      <c r="DF150" s="637">
        <v>0</v>
      </c>
      <c r="DG150" s="637">
        <v>0</v>
      </c>
      <c r="DH150" s="637">
        <v>0</v>
      </c>
      <c r="DI150" s="637">
        <v>0</v>
      </c>
      <c r="DJ150" s="637">
        <v>0</v>
      </c>
      <c r="DK150" s="637">
        <v>0</v>
      </c>
      <c r="DL150" s="637">
        <v>0</v>
      </c>
      <c r="DM150" s="637">
        <v>0</v>
      </c>
      <c r="DN150" s="637">
        <v>0</v>
      </c>
      <c r="DO150" s="637">
        <v>0</v>
      </c>
      <c r="DP150" s="636">
        <v>0</v>
      </c>
      <c r="DQ150" s="636">
        <v>0</v>
      </c>
      <c r="DR150" s="636">
        <v>0</v>
      </c>
      <c r="DS150" s="637">
        <v>0</v>
      </c>
      <c r="DT150" s="637">
        <v>0</v>
      </c>
      <c r="DU150" s="637">
        <v>0</v>
      </c>
      <c r="DV150" s="637">
        <v>0</v>
      </c>
      <c r="DW150" s="637">
        <v>0</v>
      </c>
      <c r="DX150" s="637">
        <v>0</v>
      </c>
      <c r="DY150" s="637">
        <v>0</v>
      </c>
      <c r="DZ150" s="637">
        <v>0</v>
      </c>
      <c r="EA150" s="637">
        <v>0</v>
      </c>
      <c r="EB150" s="637">
        <v>0</v>
      </c>
      <c r="EC150" s="637">
        <v>0</v>
      </c>
      <c r="ED150" s="637">
        <v>0</v>
      </c>
    </row>
    <row r="151" spans="1:134" ht="15" x14ac:dyDescent="0.25">
      <c r="A151" s="555">
        <v>115</v>
      </c>
      <c r="B151" s="555">
        <v>91</v>
      </c>
      <c r="C151" s="555" t="s">
        <v>1134</v>
      </c>
      <c r="D151" s="812">
        <v>99705</v>
      </c>
      <c r="E151" s="812">
        <v>99705</v>
      </c>
      <c r="F151" s="630" t="s">
        <v>311</v>
      </c>
      <c r="G151" s="45">
        <v>330</v>
      </c>
      <c r="H151" s="45">
        <v>166</v>
      </c>
      <c r="I151" s="45">
        <v>135</v>
      </c>
      <c r="J151" s="45">
        <v>31</v>
      </c>
      <c r="K151" s="45">
        <v>3</v>
      </c>
      <c r="L151" s="45">
        <v>85</v>
      </c>
      <c r="M151" s="45">
        <v>88</v>
      </c>
      <c r="N151" s="45">
        <v>14</v>
      </c>
      <c r="O151" s="45">
        <v>0</v>
      </c>
      <c r="P151" s="45">
        <v>0</v>
      </c>
      <c r="Q151" s="45">
        <v>102</v>
      </c>
      <c r="R151" s="45">
        <v>2805</v>
      </c>
      <c r="S151" s="45">
        <v>1947.964705882353</v>
      </c>
      <c r="T151" s="45">
        <v>1977.1818181818182</v>
      </c>
      <c r="U151" s="45">
        <v>7261.6428571428569</v>
      </c>
      <c r="V151" s="45">
        <v>0</v>
      </c>
      <c r="W151" s="45">
        <v>0</v>
      </c>
      <c r="X151" s="45">
        <v>2702.5</v>
      </c>
      <c r="Y151" s="45">
        <v>5.6590909090909092</v>
      </c>
      <c r="Z151" s="45">
        <v>160.34090909090909</v>
      </c>
      <c r="AA151" s="45">
        <v>0</v>
      </c>
      <c r="AB151" s="508">
        <v>14</v>
      </c>
      <c r="AC151" s="508">
        <v>0</v>
      </c>
      <c r="AD151" s="631">
        <v>180</v>
      </c>
      <c r="AE151" s="632">
        <v>4.6022727272727275</v>
      </c>
      <c r="AF151" s="632">
        <v>130.39772727272728</v>
      </c>
      <c r="AG151" s="633">
        <v>135</v>
      </c>
      <c r="AH151" s="632">
        <v>0</v>
      </c>
      <c r="AI151" s="632">
        <v>5.2524948489771424</v>
      </c>
      <c r="AJ151" s="632">
        <v>148.82068738768569</v>
      </c>
      <c r="AK151" s="632">
        <v>154.07318223666283</v>
      </c>
      <c r="AL151" s="632">
        <v>0</v>
      </c>
      <c r="AM151" s="632">
        <v>4.2935167550029369</v>
      </c>
      <c r="AN151" s="632">
        <v>121.64964139174988</v>
      </c>
      <c r="AO151" s="632">
        <v>125.94315814675282</v>
      </c>
      <c r="AP151" s="632">
        <v>0</v>
      </c>
      <c r="AQ151" s="632">
        <v>13.161507342688731</v>
      </c>
      <c r="AR151" s="632">
        <v>0</v>
      </c>
      <c r="AS151" s="632">
        <v>143.00328605139711</v>
      </c>
      <c r="AT151" s="632">
        <v>148.43507453509272</v>
      </c>
      <c r="AU151" s="632">
        <v>154.07318223666286</v>
      </c>
      <c r="AV151" s="632">
        <v>159.9254459155454</v>
      </c>
      <c r="AW151" s="632">
        <v>166</v>
      </c>
      <c r="AX151" s="632">
        <v>117.49391914057767</v>
      </c>
      <c r="AY151" s="632">
        <v>121.64520228765112</v>
      </c>
      <c r="AZ151" s="632">
        <v>125.94315814675281</v>
      </c>
      <c r="BA151" s="632">
        <v>130.39296894315899</v>
      </c>
      <c r="BB151" s="632">
        <v>135</v>
      </c>
      <c r="BC151" s="632">
        <v>12.373233966546383</v>
      </c>
      <c r="BD151" s="632">
        <v>12.761285581927309</v>
      </c>
      <c r="BE151" s="632">
        <v>13.161507342688731</v>
      </c>
      <c r="BF151" s="632">
        <v>13.574280931144832</v>
      </c>
      <c r="BG151" s="632">
        <v>14</v>
      </c>
      <c r="BH151" s="634">
        <v>169.99720985732193</v>
      </c>
      <c r="BI151" s="634">
        <v>174.09067083900212</v>
      </c>
      <c r="BJ151" s="634">
        <v>178.28270063144456</v>
      </c>
      <c r="BK151" s="635">
        <v>178.43455733777961</v>
      </c>
      <c r="BL151" s="635">
        <v>178.58641404411463</v>
      </c>
      <c r="BM151" s="635">
        <v>178.73827075044963</v>
      </c>
      <c r="BN151" s="635">
        <v>178.89012745678468</v>
      </c>
      <c r="BO151" s="635">
        <v>179.06968805202405</v>
      </c>
      <c r="BP151" s="635">
        <v>179.24924864726344</v>
      </c>
      <c r="BQ151" s="635">
        <v>179.74704216430456</v>
      </c>
      <c r="BR151" s="635">
        <v>180.34012906731485</v>
      </c>
      <c r="BS151" s="635">
        <v>180.60054184971949</v>
      </c>
      <c r="BT151" s="635">
        <v>180.74354911309547</v>
      </c>
      <c r="BU151" s="635">
        <v>180.89164662757221</v>
      </c>
      <c r="BV151" s="635">
        <v>181.04330731781943</v>
      </c>
      <c r="BW151" s="634">
        <v>138.25074295625578</v>
      </c>
      <c r="BX151" s="634">
        <v>141.57976242930894</v>
      </c>
      <c r="BY151" s="634">
        <v>144.98894328460852</v>
      </c>
      <c r="BZ151" s="635">
        <v>145.11244120843523</v>
      </c>
      <c r="CA151" s="635">
        <v>145.2359391322619</v>
      </c>
      <c r="CB151" s="635">
        <v>145.35943705608855</v>
      </c>
      <c r="CC151" s="635">
        <v>145.48293497991526</v>
      </c>
      <c r="CD151" s="635">
        <v>145.62896317483884</v>
      </c>
      <c r="CE151" s="635">
        <v>145.77499136976246</v>
      </c>
      <c r="CF151" s="635">
        <v>146.1798234468742</v>
      </c>
      <c r="CG151" s="635">
        <v>146.66215315715365</v>
      </c>
      <c r="CH151" s="635">
        <v>146.87393463682005</v>
      </c>
      <c r="CI151" s="635">
        <v>146.99023572450537</v>
      </c>
      <c r="CJ151" s="635">
        <v>147.11067647423042</v>
      </c>
      <c r="CK151" s="635">
        <v>147.23401498738326</v>
      </c>
      <c r="CL151" s="634">
        <v>14.337114084352452</v>
      </c>
      <c r="CM151" s="634">
        <v>14.682345733409816</v>
      </c>
      <c r="CN151" s="634">
        <v>15.035890414700145</v>
      </c>
      <c r="CO151" s="635">
        <v>15.04869760680069</v>
      </c>
      <c r="CP151" s="635">
        <v>15.061504798901236</v>
      </c>
      <c r="CQ151" s="635">
        <v>15.074311991001778</v>
      </c>
      <c r="CR151" s="635">
        <v>15.087119183102324</v>
      </c>
      <c r="CS151" s="635">
        <v>15.102262847761066</v>
      </c>
      <c r="CT151" s="635">
        <v>15.11740651241981</v>
      </c>
      <c r="CU151" s="635">
        <v>15.159389098194362</v>
      </c>
      <c r="CV151" s="635">
        <v>15.209408475556677</v>
      </c>
      <c r="CW151" s="635">
        <v>15.231370999373935</v>
      </c>
      <c r="CX151" s="635">
        <v>15.243431852911668</v>
      </c>
      <c r="CY151" s="635">
        <v>15.255922004735007</v>
      </c>
      <c r="CZ151" s="635">
        <v>15.268712665358265</v>
      </c>
      <c r="DA151" s="636">
        <v>0</v>
      </c>
      <c r="DB151" s="636">
        <v>0</v>
      </c>
      <c r="DC151" s="636">
        <v>0</v>
      </c>
      <c r="DD151" s="637">
        <v>0</v>
      </c>
      <c r="DE151" s="637">
        <v>0</v>
      </c>
      <c r="DF151" s="637">
        <v>0</v>
      </c>
      <c r="DG151" s="637">
        <v>0</v>
      </c>
      <c r="DH151" s="637">
        <v>0</v>
      </c>
      <c r="DI151" s="637">
        <v>0</v>
      </c>
      <c r="DJ151" s="637">
        <v>0</v>
      </c>
      <c r="DK151" s="637">
        <v>0</v>
      </c>
      <c r="DL151" s="637">
        <v>0</v>
      </c>
      <c r="DM151" s="637">
        <v>0</v>
      </c>
      <c r="DN151" s="637">
        <v>0</v>
      </c>
      <c r="DO151" s="637">
        <v>0</v>
      </c>
      <c r="DP151" s="636">
        <v>0</v>
      </c>
      <c r="DQ151" s="636">
        <v>0</v>
      </c>
      <c r="DR151" s="636">
        <v>0</v>
      </c>
      <c r="DS151" s="637">
        <v>0</v>
      </c>
      <c r="DT151" s="637">
        <v>0</v>
      </c>
      <c r="DU151" s="637">
        <v>0</v>
      </c>
      <c r="DV151" s="637">
        <v>0</v>
      </c>
      <c r="DW151" s="637">
        <v>0</v>
      </c>
      <c r="DX151" s="637">
        <v>0</v>
      </c>
      <c r="DY151" s="637">
        <v>0</v>
      </c>
      <c r="DZ151" s="637">
        <v>0</v>
      </c>
      <c r="EA151" s="637">
        <v>0</v>
      </c>
      <c r="EB151" s="637">
        <v>0</v>
      </c>
      <c r="EC151" s="637">
        <v>0</v>
      </c>
      <c r="ED151" s="637">
        <v>0</v>
      </c>
    </row>
    <row r="152" spans="1:134" ht="15" x14ac:dyDescent="0.25">
      <c r="A152" s="555">
        <v>116</v>
      </c>
      <c r="B152" s="555">
        <v>91</v>
      </c>
      <c r="C152" s="555" t="s">
        <v>1135</v>
      </c>
      <c r="D152" s="812">
        <v>99705</v>
      </c>
      <c r="E152" s="812">
        <v>99705</v>
      </c>
      <c r="F152" s="630" t="s">
        <v>311</v>
      </c>
      <c r="G152" s="45">
        <v>218</v>
      </c>
      <c r="H152" s="45">
        <v>90</v>
      </c>
      <c r="I152" s="45">
        <v>80</v>
      </c>
      <c r="J152" s="45">
        <v>10</v>
      </c>
      <c r="K152" s="45">
        <v>3</v>
      </c>
      <c r="L152" s="45">
        <v>124</v>
      </c>
      <c r="M152" s="45">
        <v>127</v>
      </c>
      <c r="N152" s="45">
        <v>2</v>
      </c>
      <c r="O152" s="45">
        <v>0</v>
      </c>
      <c r="P152" s="45">
        <v>0</v>
      </c>
      <c r="Q152" s="45">
        <v>129</v>
      </c>
      <c r="R152" s="45">
        <v>3752</v>
      </c>
      <c r="S152" s="45">
        <v>1826.4193548387098</v>
      </c>
      <c r="T152" s="45">
        <v>1871.9055118110236</v>
      </c>
      <c r="U152" s="45">
        <v>5420</v>
      </c>
      <c r="V152" s="45">
        <v>0</v>
      </c>
      <c r="W152" s="45">
        <v>0</v>
      </c>
      <c r="X152" s="45">
        <v>1926.9147286821706</v>
      </c>
      <c r="Y152" s="45">
        <v>2.1259842519685042</v>
      </c>
      <c r="Z152" s="45">
        <v>87.874015748031496</v>
      </c>
      <c r="AA152" s="45">
        <v>0</v>
      </c>
      <c r="AB152" s="508">
        <v>2</v>
      </c>
      <c r="AC152" s="508">
        <v>0</v>
      </c>
      <c r="AD152" s="631">
        <v>92</v>
      </c>
      <c r="AE152" s="632">
        <v>1.8897637795275593</v>
      </c>
      <c r="AF152" s="632">
        <v>78.110236220472444</v>
      </c>
      <c r="AG152" s="633">
        <v>80</v>
      </c>
      <c r="AH152" s="632">
        <v>0</v>
      </c>
      <c r="AI152" s="632">
        <v>1.9732358981073415</v>
      </c>
      <c r="AJ152" s="632">
        <v>81.560417121770101</v>
      </c>
      <c r="AK152" s="632">
        <v>83.533653019877448</v>
      </c>
      <c r="AL152" s="632">
        <v>0</v>
      </c>
      <c r="AM152" s="632">
        <v>1.7629838410744052</v>
      </c>
      <c r="AN152" s="632">
        <v>72.869998764408734</v>
      </c>
      <c r="AO152" s="632">
        <v>74.632982605483136</v>
      </c>
      <c r="AP152" s="632">
        <v>0</v>
      </c>
      <c r="AQ152" s="632">
        <v>1.8802153346698185</v>
      </c>
      <c r="AR152" s="632">
        <v>0</v>
      </c>
      <c r="AS152" s="632">
        <v>77.531902076058671</v>
      </c>
      <c r="AT152" s="632">
        <v>80.476847639508108</v>
      </c>
      <c r="AU152" s="632">
        <v>83.533653019877448</v>
      </c>
      <c r="AV152" s="632">
        <v>86.706567062645092</v>
      </c>
      <c r="AW152" s="632">
        <v>90</v>
      </c>
      <c r="AX152" s="632">
        <v>69.626026157379357</v>
      </c>
      <c r="AY152" s="632">
        <v>72.086045800089551</v>
      </c>
      <c r="AZ152" s="632">
        <v>74.63298260548315</v>
      </c>
      <c r="BA152" s="632">
        <v>77.269907521872</v>
      </c>
      <c r="BB152" s="632">
        <v>80</v>
      </c>
      <c r="BC152" s="632">
        <v>1.7676048523637691</v>
      </c>
      <c r="BD152" s="632">
        <v>1.823040797418187</v>
      </c>
      <c r="BE152" s="632">
        <v>1.8802153346698185</v>
      </c>
      <c r="BF152" s="632">
        <v>1.9391829901635476</v>
      </c>
      <c r="BG152" s="632">
        <v>2</v>
      </c>
      <c r="BH152" s="634">
        <v>90.924639502493392</v>
      </c>
      <c r="BI152" s="634">
        <v>91.858778540648686</v>
      </c>
      <c r="BJ152" s="634">
        <v>92.802514710531767</v>
      </c>
      <c r="BK152" s="635">
        <v>93.776163523563184</v>
      </c>
      <c r="BL152" s="635">
        <v>94.749812336594616</v>
      </c>
      <c r="BM152" s="635">
        <v>95.723461149626061</v>
      </c>
      <c r="BN152" s="635">
        <v>96.697109962657478</v>
      </c>
      <c r="BO152" s="635">
        <v>97.848385824234043</v>
      </c>
      <c r="BP152" s="635">
        <v>98.999661685810608</v>
      </c>
      <c r="BQ152" s="635">
        <v>102.19132887456473</v>
      </c>
      <c r="BR152" s="635">
        <v>105.99398186946389</v>
      </c>
      <c r="BS152" s="635">
        <v>107.66365193281342</v>
      </c>
      <c r="BT152" s="635">
        <v>108.58056140359923</v>
      </c>
      <c r="BU152" s="635">
        <v>109.53010767431198</v>
      </c>
      <c r="BV152" s="635">
        <v>110.50249970497362</v>
      </c>
      <c r="BW152" s="634">
        <v>80.821901779994135</v>
      </c>
      <c r="BX152" s="634">
        <v>81.652247591687726</v>
      </c>
      <c r="BY152" s="634">
        <v>82.491124187139349</v>
      </c>
      <c r="BZ152" s="635">
        <v>83.356589798722837</v>
      </c>
      <c r="CA152" s="635">
        <v>84.222055410306325</v>
      </c>
      <c r="CB152" s="635">
        <v>85.087521021889827</v>
      </c>
      <c r="CC152" s="635">
        <v>85.952986633473316</v>
      </c>
      <c r="CD152" s="635">
        <v>86.976342954874696</v>
      </c>
      <c r="CE152" s="635">
        <v>87.99969927627609</v>
      </c>
      <c r="CF152" s="635">
        <v>90.836736777390882</v>
      </c>
      <c r="CG152" s="635">
        <v>94.216872772856789</v>
      </c>
      <c r="CH152" s="635">
        <v>95.701023940278603</v>
      </c>
      <c r="CI152" s="635">
        <v>96.516054580977098</v>
      </c>
      <c r="CJ152" s="635">
        <v>97.360095710499536</v>
      </c>
      <c r="CK152" s="635">
        <v>98.224444182198766</v>
      </c>
      <c r="CL152" s="634">
        <v>2.0205475444998533</v>
      </c>
      <c r="CM152" s="634">
        <v>2.0413061897921931</v>
      </c>
      <c r="CN152" s="634">
        <v>2.0622781046784837</v>
      </c>
      <c r="CO152" s="635">
        <v>2.0839147449680708</v>
      </c>
      <c r="CP152" s="635">
        <v>2.1055513852576584</v>
      </c>
      <c r="CQ152" s="635">
        <v>2.127188025547246</v>
      </c>
      <c r="CR152" s="635">
        <v>2.1488246658368326</v>
      </c>
      <c r="CS152" s="635">
        <v>2.1744085738718675</v>
      </c>
      <c r="CT152" s="635">
        <v>2.1999924819069023</v>
      </c>
      <c r="CU152" s="635">
        <v>2.2709184194347718</v>
      </c>
      <c r="CV152" s="635">
        <v>2.3554218193214198</v>
      </c>
      <c r="CW152" s="635">
        <v>2.3925255985069649</v>
      </c>
      <c r="CX152" s="635">
        <v>2.4129013645244277</v>
      </c>
      <c r="CY152" s="635">
        <v>2.4340023927624883</v>
      </c>
      <c r="CZ152" s="635">
        <v>2.4556111045549693</v>
      </c>
      <c r="DA152" s="636">
        <v>0</v>
      </c>
      <c r="DB152" s="636">
        <v>0</v>
      </c>
      <c r="DC152" s="636">
        <v>0</v>
      </c>
      <c r="DD152" s="637">
        <v>0</v>
      </c>
      <c r="DE152" s="637">
        <v>0</v>
      </c>
      <c r="DF152" s="637">
        <v>0</v>
      </c>
      <c r="DG152" s="637">
        <v>0</v>
      </c>
      <c r="DH152" s="637">
        <v>0</v>
      </c>
      <c r="DI152" s="637">
        <v>0</v>
      </c>
      <c r="DJ152" s="637">
        <v>0</v>
      </c>
      <c r="DK152" s="637">
        <v>0</v>
      </c>
      <c r="DL152" s="637">
        <v>0</v>
      </c>
      <c r="DM152" s="637">
        <v>0</v>
      </c>
      <c r="DN152" s="637">
        <v>0</v>
      </c>
      <c r="DO152" s="637">
        <v>0</v>
      </c>
      <c r="DP152" s="636">
        <v>0</v>
      </c>
      <c r="DQ152" s="636">
        <v>0</v>
      </c>
      <c r="DR152" s="636">
        <v>0</v>
      </c>
      <c r="DS152" s="637">
        <v>0</v>
      </c>
      <c r="DT152" s="637">
        <v>0</v>
      </c>
      <c r="DU152" s="637">
        <v>0</v>
      </c>
      <c r="DV152" s="637">
        <v>0</v>
      </c>
      <c r="DW152" s="637">
        <v>0</v>
      </c>
      <c r="DX152" s="637">
        <v>0</v>
      </c>
      <c r="DY152" s="637">
        <v>0</v>
      </c>
      <c r="DZ152" s="637">
        <v>0</v>
      </c>
      <c r="EA152" s="637">
        <v>0</v>
      </c>
      <c r="EB152" s="637">
        <v>0</v>
      </c>
      <c r="EC152" s="637">
        <v>0</v>
      </c>
      <c r="ED152" s="637">
        <v>0</v>
      </c>
    </row>
    <row r="153" spans="1:134" ht="15" x14ac:dyDescent="0.25">
      <c r="A153" s="555">
        <v>119</v>
      </c>
      <c r="B153" s="555">
        <v>91</v>
      </c>
      <c r="C153" s="555" t="s">
        <v>1136</v>
      </c>
      <c r="D153" s="812">
        <v>99705</v>
      </c>
      <c r="E153" s="812">
        <v>99705</v>
      </c>
      <c r="F153" s="630" t="s">
        <v>311</v>
      </c>
      <c r="G153" s="45">
        <v>207</v>
      </c>
      <c r="H153" s="45">
        <v>94</v>
      </c>
      <c r="I153" s="45">
        <v>84</v>
      </c>
      <c r="J153" s="45">
        <v>10</v>
      </c>
      <c r="K153" s="45">
        <v>1</v>
      </c>
      <c r="L153" s="45">
        <v>92</v>
      </c>
      <c r="M153" s="45">
        <v>93</v>
      </c>
      <c r="N153" s="45">
        <v>0</v>
      </c>
      <c r="O153" s="45">
        <v>0</v>
      </c>
      <c r="P153" s="45">
        <v>0</v>
      </c>
      <c r="Q153" s="45">
        <v>93</v>
      </c>
      <c r="R153" s="45">
        <v>3928</v>
      </c>
      <c r="S153" s="45">
        <v>1613.858695652174</v>
      </c>
      <c r="T153" s="45">
        <v>1638.741935483871</v>
      </c>
      <c r="U153" s="45">
        <v>0</v>
      </c>
      <c r="V153" s="45">
        <v>0</v>
      </c>
      <c r="W153" s="45">
        <v>0</v>
      </c>
      <c r="X153" s="45">
        <v>1638.741935483871</v>
      </c>
      <c r="Y153" s="45">
        <v>1.010752688172043</v>
      </c>
      <c r="Z153" s="45">
        <v>92.989247311827953</v>
      </c>
      <c r="AA153" s="45">
        <v>0</v>
      </c>
      <c r="AB153" s="508">
        <v>0</v>
      </c>
      <c r="AC153" s="508">
        <v>0</v>
      </c>
      <c r="AD153" s="631">
        <v>94</v>
      </c>
      <c r="AE153" s="632">
        <v>0.90322580645161288</v>
      </c>
      <c r="AF153" s="632">
        <v>83.096774193548384</v>
      </c>
      <c r="AG153" s="633">
        <v>84</v>
      </c>
      <c r="AH153" s="632">
        <v>0</v>
      </c>
      <c r="AI153" s="632">
        <v>0.93813182602968692</v>
      </c>
      <c r="AJ153" s="632">
        <v>86.308127994731194</v>
      </c>
      <c r="AK153" s="632">
        <v>87.246259820760883</v>
      </c>
      <c r="AL153" s="632">
        <v>0</v>
      </c>
      <c r="AM153" s="632">
        <v>0.84263044877158388</v>
      </c>
      <c r="AN153" s="632">
        <v>77.522001286985713</v>
      </c>
      <c r="AO153" s="632">
        <v>78.3646317357573</v>
      </c>
      <c r="AP153" s="632">
        <v>0</v>
      </c>
      <c r="AQ153" s="632">
        <v>0</v>
      </c>
      <c r="AR153" s="632">
        <v>0</v>
      </c>
      <c r="AS153" s="632">
        <v>80.977764390550178</v>
      </c>
      <c r="AT153" s="632">
        <v>84.05359642348624</v>
      </c>
      <c r="AU153" s="632">
        <v>87.246259820760883</v>
      </c>
      <c r="AV153" s="632">
        <v>90.560192265429308</v>
      </c>
      <c r="AW153" s="632">
        <v>94</v>
      </c>
      <c r="AX153" s="632">
        <v>73.107327465248332</v>
      </c>
      <c r="AY153" s="632">
        <v>75.69034809009402</v>
      </c>
      <c r="AZ153" s="632">
        <v>78.3646317357573</v>
      </c>
      <c r="BA153" s="632">
        <v>81.133402897965595</v>
      </c>
      <c r="BB153" s="632">
        <v>84</v>
      </c>
      <c r="BC153" s="632">
        <v>0</v>
      </c>
      <c r="BD153" s="632">
        <v>0</v>
      </c>
      <c r="BE153" s="632">
        <v>0</v>
      </c>
      <c r="BF153" s="632">
        <v>0</v>
      </c>
      <c r="BG153" s="632">
        <v>0</v>
      </c>
      <c r="BH153" s="634">
        <v>94.965734591493103</v>
      </c>
      <c r="BI153" s="634">
        <v>95.941390920233076</v>
      </c>
      <c r="BJ153" s="634">
        <v>96.927070919888735</v>
      </c>
      <c r="BK153" s="635">
        <v>98.001483343179942</v>
      </c>
      <c r="BL153" s="635">
        <v>99.075895766471177</v>
      </c>
      <c r="BM153" s="635">
        <v>100.15030818976241</v>
      </c>
      <c r="BN153" s="635">
        <v>101.22472061305362</v>
      </c>
      <c r="BO153" s="635">
        <v>102.49514283486273</v>
      </c>
      <c r="BP153" s="635">
        <v>103.76556505667183</v>
      </c>
      <c r="BQ153" s="635">
        <v>107.28754015971926</v>
      </c>
      <c r="BR153" s="635">
        <v>111.48373242586578</v>
      </c>
      <c r="BS153" s="635">
        <v>113.32619783521076</v>
      </c>
      <c r="BT153" s="635">
        <v>114.33799892124961</v>
      </c>
      <c r="BU153" s="635">
        <v>115.38581441292287</v>
      </c>
      <c r="BV153" s="635">
        <v>116.45883998854028</v>
      </c>
      <c r="BW153" s="634">
        <v>84.862996868993832</v>
      </c>
      <c r="BX153" s="634">
        <v>85.734859971272115</v>
      </c>
      <c r="BY153" s="634">
        <v>86.615680396496316</v>
      </c>
      <c r="BZ153" s="635">
        <v>87.575793625820381</v>
      </c>
      <c r="CA153" s="635">
        <v>88.535906855144461</v>
      </c>
      <c r="CB153" s="635">
        <v>89.49602008446854</v>
      </c>
      <c r="CC153" s="635">
        <v>90.456133313792606</v>
      </c>
      <c r="CD153" s="635">
        <v>91.591404235409257</v>
      </c>
      <c r="CE153" s="635">
        <v>92.726675157025895</v>
      </c>
      <c r="CF153" s="635">
        <v>95.873972057621458</v>
      </c>
      <c r="CG153" s="635">
        <v>99.623760891199211</v>
      </c>
      <c r="CH153" s="635">
        <v>101.27021934210323</v>
      </c>
      <c r="CI153" s="635">
        <v>102.17438201473369</v>
      </c>
      <c r="CJ153" s="635">
        <v>103.11072777325022</v>
      </c>
      <c r="CK153" s="635">
        <v>104.06960169188706</v>
      </c>
      <c r="CL153" s="634">
        <v>0</v>
      </c>
      <c r="CM153" s="634">
        <v>0</v>
      </c>
      <c r="CN153" s="634">
        <v>0</v>
      </c>
      <c r="CO153" s="635">
        <v>0</v>
      </c>
      <c r="CP153" s="635">
        <v>0</v>
      </c>
      <c r="CQ153" s="635">
        <v>0</v>
      </c>
      <c r="CR153" s="635">
        <v>0</v>
      </c>
      <c r="CS153" s="635">
        <v>0</v>
      </c>
      <c r="CT153" s="635">
        <v>0</v>
      </c>
      <c r="CU153" s="635">
        <v>0</v>
      </c>
      <c r="CV153" s="635">
        <v>0</v>
      </c>
      <c r="CW153" s="635">
        <v>0</v>
      </c>
      <c r="CX153" s="635">
        <v>0</v>
      </c>
      <c r="CY153" s="635">
        <v>0</v>
      </c>
      <c r="CZ153" s="635">
        <v>0</v>
      </c>
      <c r="DA153" s="636">
        <v>0</v>
      </c>
      <c r="DB153" s="636">
        <v>0</v>
      </c>
      <c r="DC153" s="636">
        <v>0</v>
      </c>
      <c r="DD153" s="637">
        <v>0</v>
      </c>
      <c r="DE153" s="637">
        <v>0</v>
      </c>
      <c r="DF153" s="637">
        <v>0</v>
      </c>
      <c r="DG153" s="637">
        <v>0</v>
      </c>
      <c r="DH153" s="637">
        <v>0</v>
      </c>
      <c r="DI153" s="637">
        <v>0</v>
      </c>
      <c r="DJ153" s="637">
        <v>0</v>
      </c>
      <c r="DK153" s="637">
        <v>0</v>
      </c>
      <c r="DL153" s="637">
        <v>0</v>
      </c>
      <c r="DM153" s="637">
        <v>0</v>
      </c>
      <c r="DN153" s="637">
        <v>0</v>
      </c>
      <c r="DO153" s="637">
        <v>0</v>
      </c>
      <c r="DP153" s="636">
        <v>0</v>
      </c>
      <c r="DQ153" s="636">
        <v>0</v>
      </c>
      <c r="DR153" s="636">
        <v>0</v>
      </c>
      <c r="DS153" s="637">
        <v>0</v>
      </c>
      <c r="DT153" s="637">
        <v>0</v>
      </c>
      <c r="DU153" s="637">
        <v>0</v>
      </c>
      <c r="DV153" s="637">
        <v>0</v>
      </c>
      <c r="DW153" s="637">
        <v>0</v>
      </c>
      <c r="DX153" s="637">
        <v>0</v>
      </c>
      <c r="DY153" s="637">
        <v>0</v>
      </c>
      <c r="DZ153" s="637">
        <v>0</v>
      </c>
      <c r="EA153" s="637">
        <v>0</v>
      </c>
      <c r="EB153" s="637">
        <v>0</v>
      </c>
      <c r="EC153" s="637">
        <v>0</v>
      </c>
      <c r="ED153" s="637">
        <v>0</v>
      </c>
    </row>
    <row r="154" spans="1:134" ht="15" x14ac:dyDescent="0.25">
      <c r="A154" s="555">
        <v>120</v>
      </c>
      <c r="B154" s="555">
        <v>91</v>
      </c>
      <c r="C154" s="555" t="s">
        <v>1137</v>
      </c>
      <c r="D154" s="812">
        <v>99705</v>
      </c>
      <c r="E154" s="812">
        <v>99705</v>
      </c>
      <c r="F154" s="630" t="s">
        <v>311</v>
      </c>
      <c r="G154" s="45">
        <v>425</v>
      </c>
      <c r="H154" s="45">
        <v>175</v>
      </c>
      <c r="I154" s="45">
        <v>154</v>
      </c>
      <c r="J154" s="45">
        <v>21</v>
      </c>
      <c r="K154" s="45">
        <v>2</v>
      </c>
      <c r="L154" s="45">
        <v>202</v>
      </c>
      <c r="M154" s="45">
        <v>204</v>
      </c>
      <c r="N154" s="45">
        <v>3</v>
      </c>
      <c r="O154" s="45">
        <v>0</v>
      </c>
      <c r="P154" s="45">
        <v>0</v>
      </c>
      <c r="Q154" s="45">
        <v>207</v>
      </c>
      <c r="R154" s="45">
        <v>6717</v>
      </c>
      <c r="S154" s="45">
        <v>2064.1782178217823</v>
      </c>
      <c r="T154" s="45">
        <v>2109.794117647059</v>
      </c>
      <c r="U154" s="45">
        <v>6720</v>
      </c>
      <c r="V154" s="45">
        <v>0</v>
      </c>
      <c r="W154" s="45">
        <v>0</v>
      </c>
      <c r="X154" s="45">
        <v>2176.608695652174</v>
      </c>
      <c r="Y154" s="45">
        <v>1.7156862745098038</v>
      </c>
      <c r="Z154" s="45">
        <v>173.28431372549019</v>
      </c>
      <c r="AA154" s="45">
        <v>0</v>
      </c>
      <c r="AB154" s="508">
        <v>3</v>
      </c>
      <c r="AC154" s="508">
        <v>0</v>
      </c>
      <c r="AD154" s="631">
        <v>178</v>
      </c>
      <c r="AE154" s="632">
        <v>1.5098039215686272</v>
      </c>
      <c r="AF154" s="632">
        <v>152.49019607843138</v>
      </c>
      <c r="AG154" s="633">
        <v>154</v>
      </c>
      <c r="AH154" s="632">
        <v>0</v>
      </c>
      <c r="AI154" s="632">
        <v>1.5924171327318684</v>
      </c>
      <c r="AJ154" s="632">
        <v>160.83413040591873</v>
      </c>
      <c r="AK154" s="632">
        <v>162.4265475386506</v>
      </c>
      <c r="AL154" s="632">
        <v>0</v>
      </c>
      <c r="AM154" s="632">
        <v>1.4085146227015199</v>
      </c>
      <c r="AN154" s="632">
        <v>142.25997689285353</v>
      </c>
      <c r="AO154" s="632">
        <v>143.66849151555505</v>
      </c>
      <c r="AP154" s="632">
        <v>0</v>
      </c>
      <c r="AQ154" s="632">
        <v>2.8203230020047281</v>
      </c>
      <c r="AR154" s="632">
        <v>0</v>
      </c>
      <c r="AS154" s="632">
        <v>150.75647625900299</v>
      </c>
      <c r="AT154" s="632">
        <v>156.48275929904355</v>
      </c>
      <c r="AU154" s="632">
        <v>162.4265475386506</v>
      </c>
      <c r="AV154" s="632">
        <v>168.59610262180991</v>
      </c>
      <c r="AW154" s="632">
        <v>175</v>
      </c>
      <c r="AX154" s="632">
        <v>134.03010035295529</v>
      </c>
      <c r="AY154" s="632">
        <v>138.76563816517239</v>
      </c>
      <c r="AZ154" s="632">
        <v>143.66849151555505</v>
      </c>
      <c r="BA154" s="632">
        <v>148.74457197960359</v>
      </c>
      <c r="BB154" s="632">
        <v>154</v>
      </c>
      <c r="BC154" s="632">
        <v>2.6514072785456535</v>
      </c>
      <c r="BD154" s="632">
        <v>2.7345611961272809</v>
      </c>
      <c r="BE154" s="632">
        <v>2.8203230020047281</v>
      </c>
      <c r="BF154" s="632">
        <v>2.9087744852453215</v>
      </c>
      <c r="BG154" s="632">
        <v>3</v>
      </c>
      <c r="BH154" s="634">
        <v>176.79791014373717</v>
      </c>
      <c r="BI154" s="634">
        <v>178.61429160681689</v>
      </c>
      <c r="BJ154" s="634">
        <v>180.44933415936731</v>
      </c>
      <c r="BK154" s="635">
        <v>183.44877137230526</v>
      </c>
      <c r="BL154" s="635">
        <v>186.44820858524324</v>
      </c>
      <c r="BM154" s="635">
        <v>189.44764579818118</v>
      </c>
      <c r="BN154" s="635">
        <v>192.44708301111916</v>
      </c>
      <c r="BO154" s="635">
        <v>195.99372078785365</v>
      </c>
      <c r="BP154" s="635">
        <v>199.54035856458816</v>
      </c>
      <c r="BQ154" s="635">
        <v>209.37265662640812</v>
      </c>
      <c r="BR154" s="635">
        <v>221.08716677435228</v>
      </c>
      <c r="BS154" s="635">
        <v>226.23077754479701</v>
      </c>
      <c r="BT154" s="635">
        <v>229.055422684565</v>
      </c>
      <c r="BU154" s="635">
        <v>231.98060924224674</v>
      </c>
      <c r="BV154" s="635">
        <v>234.97617479246802</v>
      </c>
      <c r="BW154" s="634">
        <v>155.58216092648871</v>
      </c>
      <c r="BX154" s="634">
        <v>157.18057661399888</v>
      </c>
      <c r="BY154" s="634">
        <v>158.79541406024325</v>
      </c>
      <c r="BZ154" s="635">
        <v>161.43491880762866</v>
      </c>
      <c r="CA154" s="635">
        <v>164.07442355501405</v>
      </c>
      <c r="CB154" s="635">
        <v>166.71392830239947</v>
      </c>
      <c r="CC154" s="635">
        <v>169.35343304978485</v>
      </c>
      <c r="CD154" s="635">
        <v>172.47447429331123</v>
      </c>
      <c r="CE154" s="635">
        <v>175.59551553683761</v>
      </c>
      <c r="CF154" s="635">
        <v>184.24793783123914</v>
      </c>
      <c r="CG154" s="635">
        <v>194.55670676143004</v>
      </c>
      <c r="CH154" s="635">
        <v>199.0830842394214</v>
      </c>
      <c r="CI154" s="635">
        <v>201.56877196241723</v>
      </c>
      <c r="CJ154" s="635">
        <v>204.14293613317716</v>
      </c>
      <c r="CK154" s="635">
        <v>206.77903381737187</v>
      </c>
      <c r="CL154" s="634">
        <v>3.0308213167497797</v>
      </c>
      <c r="CM154" s="634">
        <v>3.0619592846882897</v>
      </c>
      <c r="CN154" s="634">
        <v>3.0934171570177256</v>
      </c>
      <c r="CO154" s="635">
        <v>3.1448360806680906</v>
      </c>
      <c r="CP154" s="635">
        <v>3.1962550043184557</v>
      </c>
      <c r="CQ154" s="635">
        <v>3.2476739279688207</v>
      </c>
      <c r="CR154" s="635">
        <v>3.2990928516191858</v>
      </c>
      <c r="CS154" s="635">
        <v>3.3598923563632059</v>
      </c>
      <c r="CT154" s="635">
        <v>3.4206918611072261</v>
      </c>
      <c r="CU154" s="635">
        <v>3.5892455421669962</v>
      </c>
      <c r="CV154" s="635">
        <v>3.7900657161317537</v>
      </c>
      <c r="CW154" s="635">
        <v>3.8782419007679492</v>
      </c>
      <c r="CX154" s="635">
        <v>3.9266643888782577</v>
      </c>
      <c r="CY154" s="635">
        <v>3.9768104441528016</v>
      </c>
      <c r="CZ154" s="635">
        <v>4.0281629964423091</v>
      </c>
      <c r="DA154" s="636">
        <v>0</v>
      </c>
      <c r="DB154" s="636">
        <v>0</v>
      </c>
      <c r="DC154" s="636">
        <v>0</v>
      </c>
      <c r="DD154" s="637">
        <v>0</v>
      </c>
      <c r="DE154" s="637">
        <v>0</v>
      </c>
      <c r="DF154" s="637">
        <v>0</v>
      </c>
      <c r="DG154" s="637">
        <v>0</v>
      </c>
      <c r="DH154" s="637">
        <v>0</v>
      </c>
      <c r="DI154" s="637">
        <v>0</v>
      </c>
      <c r="DJ154" s="637">
        <v>0</v>
      </c>
      <c r="DK154" s="637">
        <v>0</v>
      </c>
      <c r="DL154" s="637">
        <v>0</v>
      </c>
      <c r="DM154" s="637">
        <v>0</v>
      </c>
      <c r="DN154" s="637">
        <v>0</v>
      </c>
      <c r="DO154" s="637">
        <v>0</v>
      </c>
      <c r="DP154" s="636">
        <v>0</v>
      </c>
      <c r="DQ154" s="636">
        <v>0</v>
      </c>
      <c r="DR154" s="636">
        <v>0</v>
      </c>
      <c r="DS154" s="637">
        <v>0</v>
      </c>
      <c r="DT154" s="637">
        <v>0</v>
      </c>
      <c r="DU154" s="637">
        <v>0</v>
      </c>
      <c r="DV154" s="637">
        <v>0</v>
      </c>
      <c r="DW154" s="637">
        <v>0</v>
      </c>
      <c r="DX154" s="637">
        <v>0</v>
      </c>
      <c r="DY154" s="637">
        <v>0</v>
      </c>
      <c r="DZ154" s="637">
        <v>0</v>
      </c>
      <c r="EA154" s="637">
        <v>0</v>
      </c>
      <c r="EB154" s="637">
        <v>0</v>
      </c>
      <c r="EC154" s="637">
        <v>0</v>
      </c>
      <c r="ED154" s="637">
        <v>0</v>
      </c>
    </row>
    <row r="155" spans="1:134" ht="15" x14ac:dyDescent="0.25">
      <c r="A155" s="555">
        <v>121</v>
      </c>
      <c r="B155" s="555">
        <v>91</v>
      </c>
      <c r="C155" s="555" t="s">
        <v>1138</v>
      </c>
      <c r="D155" s="812">
        <v>99705</v>
      </c>
      <c r="E155" s="812">
        <v>99705</v>
      </c>
      <c r="F155" s="630" t="s">
        <v>311</v>
      </c>
      <c r="G155" s="45">
        <v>312</v>
      </c>
      <c r="H155" s="45">
        <v>122</v>
      </c>
      <c r="I155" s="45">
        <v>114</v>
      </c>
      <c r="J155" s="45">
        <v>8</v>
      </c>
      <c r="K155" s="45">
        <v>2</v>
      </c>
      <c r="L155" s="45">
        <v>100</v>
      </c>
      <c r="M155" s="45">
        <v>102</v>
      </c>
      <c r="N155" s="45">
        <v>0</v>
      </c>
      <c r="O155" s="45">
        <v>0</v>
      </c>
      <c r="P155" s="45">
        <v>0</v>
      </c>
      <c r="Q155" s="45">
        <v>102</v>
      </c>
      <c r="R155" s="45">
        <v>6301</v>
      </c>
      <c r="S155" s="45">
        <v>2345.4499999999998</v>
      </c>
      <c r="T155" s="45">
        <v>2423.0098039215682</v>
      </c>
      <c r="U155" s="45">
        <v>0</v>
      </c>
      <c r="V155" s="45">
        <v>0</v>
      </c>
      <c r="W155" s="45">
        <v>0</v>
      </c>
      <c r="X155" s="45">
        <v>2423.0098039215686</v>
      </c>
      <c r="Y155" s="45">
        <v>2.392156862745098</v>
      </c>
      <c r="Z155" s="45">
        <v>119.6078431372549</v>
      </c>
      <c r="AA155" s="45">
        <v>0</v>
      </c>
      <c r="AB155" s="508">
        <v>0</v>
      </c>
      <c r="AC155" s="508">
        <v>0</v>
      </c>
      <c r="AD155" s="631">
        <v>122</v>
      </c>
      <c r="AE155" s="632">
        <v>2.2352941176470589</v>
      </c>
      <c r="AF155" s="632">
        <v>111.76470588235294</v>
      </c>
      <c r="AG155" s="633">
        <v>114</v>
      </c>
      <c r="AH155" s="632">
        <v>0</v>
      </c>
      <c r="AI155" s="632">
        <v>2.2202844593518622</v>
      </c>
      <c r="AJ155" s="632">
        <v>111.01422296759313</v>
      </c>
      <c r="AK155" s="632">
        <v>113.23450742694499</v>
      </c>
      <c r="AL155" s="632">
        <v>0</v>
      </c>
      <c r="AM155" s="632">
        <v>2.0853333375061469</v>
      </c>
      <c r="AN155" s="632">
        <v>104.26666687530734</v>
      </c>
      <c r="AO155" s="632">
        <v>106.35200021281348</v>
      </c>
      <c r="AP155" s="632">
        <v>0</v>
      </c>
      <c r="AQ155" s="632">
        <v>0</v>
      </c>
      <c r="AR155" s="632">
        <v>0</v>
      </c>
      <c r="AS155" s="632">
        <v>105.09880059199065</v>
      </c>
      <c r="AT155" s="632">
        <v>109.09083791133321</v>
      </c>
      <c r="AU155" s="632">
        <v>113.23450742694499</v>
      </c>
      <c r="AV155" s="632">
        <v>117.5355686849189</v>
      </c>
      <c r="AW155" s="632">
        <v>122</v>
      </c>
      <c r="AX155" s="632">
        <v>99.217087274265594</v>
      </c>
      <c r="AY155" s="632">
        <v>102.7226152651276</v>
      </c>
      <c r="AZ155" s="632">
        <v>106.35200021281348</v>
      </c>
      <c r="BA155" s="632">
        <v>110.10961821866761</v>
      </c>
      <c r="BB155" s="632">
        <v>114</v>
      </c>
      <c r="BC155" s="632">
        <v>0</v>
      </c>
      <c r="BD155" s="632">
        <v>0</v>
      </c>
      <c r="BE155" s="632">
        <v>0</v>
      </c>
      <c r="BF155" s="632">
        <v>0</v>
      </c>
      <c r="BG155" s="632">
        <v>0</v>
      </c>
      <c r="BH155" s="634">
        <v>123.98756243967222</v>
      </c>
      <c r="BI155" s="634">
        <v>126.00750524370179</v>
      </c>
      <c r="BJ155" s="634">
        <v>128.06035593664589</v>
      </c>
      <c r="BK155" s="635">
        <v>129.20802861050632</v>
      </c>
      <c r="BL155" s="635">
        <v>130.35570128436675</v>
      </c>
      <c r="BM155" s="635">
        <v>131.5033739582272</v>
      </c>
      <c r="BN155" s="635">
        <v>132.6510466320876</v>
      </c>
      <c r="BO155" s="635">
        <v>134.00809429518986</v>
      </c>
      <c r="BP155" s="635">
        <v>135.36514195829207</v>
      </c>
      <c r="BQ155" s="635">
        <v>139.1272676524481</v>
      </c>
      <c r="BR155" s="635">
        <v>143.60958291027859</v>
      </c>
      <c r="BS155" s="635">
        <v>145.57767929207657</v>
      </c>
      <c r="BT155" s="635">
        <v>146.65847139076806</v>
      </c>
      <c r="BU155" s="635">
        <v>147.77773358559386</v>
      </c>
      <c r="BV155" s="635">
        <v>148.92392484771378</v>
      </c>
      <c r="BW155" s="634">
        <v>115.85723047641503</v>
      </c>
      <c r="BX155" s="634">
        <v>117.74471801460659</v>
      </c>
      <c r="BY155" s="634">
        <v>119.66295554735765</v>
      </c>
      <c r="BZ155" s="635">
        <v>120.73537099670263</v>
      </c>
      <c r="CA155" s="635">
        <v>121.80778644604764</v>
      </c>
      <c r="CB155" s="635">
        <v>122.88020189539264</v>
      </c>
      <c r="CC155" s="635">
        <v>123.95261734473762</v>
      </c>
      <c r="CD155" s="635">
        <v>125.22067827583317</v>
      </c>
      <c r="CE155" s="635">
        <v>126.48873920692868</v>
      </c>
      <c r="CF155" s="635">
        <v>130.0041681342548</v>
      </c>
      <c r="CG155" s="635">
        <v>134.19256108009643</v>
      </c>
      <c r="CH155" s="635">
        <v>136.03160196144862</v>
      </c>
      <c r="CI155" s="635">
        <v>137.04152244711116</v>
      </c>
      <c r="CJ155" s="635">
        <v>138.08739039965332</v>
      </c>
      <c r="CK155" s="635">
        <v>139.15842157901125</v>
      </c>
      <c r="CL155" s="634">
        <v>0</v>
      </c>
      <c r="CM155" s="634">
        <v>0</v>
      </c>
      <c r="CN155" s="634">
        <v>0</v>
      </c>
      <c r="CO155" s="635">
        <v>0</v>
      </c>
      <c r="CP155" s="635">
        <v>0</v>
      </c>
      <c r="CQ155" s="635">
        <v>0</v>
      </c>
      <c r="CR155" s="635">
        <v>0</v>
      </c>
      <c r="CS155" s="635">
        <v>0</v>
      </c>
      <c r="CT155" s="635">
        <v>0</v>
      </c>
      <c r="CU155" s="635">
        <v>0</v>
      </c>
      <c r="CV155" s="635">
        <v>0</v>
      </c>
      <c r="CW155" s="635">
        <v>0</v>
      </c>
      <c r="CX155" s="635">
        <v>0</v>
      </c>
      <c r="CY155" s="635">
        <v>0</v>
      </c>
      <c r="CZ155" s="635">
        <v>0</v>
      </c>
      <c r="DA155" s="636">
        <v>0</v>
      </c>
      <c r="DB155" s="636">
        <v>0</v>
      </c>
      <c r="DC155" s="636">
        <v>0</v>
      </c>
      <c r="DD155" s="637">
        <v>0</v>
      </c>
      <c r="DE155" s="637">
        <v>0</v>
      </c>
      <c r="DF155" s="637">
        <v>0</v>
      </c>
      <c r="DG155" s="637">
        <v>0</v>
      </c>
      <c r="DH155" s="637">
        <v>0</v>
      </c>
      <c r="DI155" s="637">
        <v>0</v>
      </c>
      <c r="DJ155" s="637">
        <v>0</v>
      </c>
      <c r="DK155" s="637">
        <v>0</v>
      </c>
      <c r="DL155" s="637">
        <v>0</v>
      </c>
      <c r="DM155" s="637">
        <v>0</v>
      </c>
      <c r="DN155" s="637">
        <v>0</v>
      </c>
      <c r="DO155" s="637">
        <v>0</v>
      </c>
      <c r="DP155" s="636">
        <v>0</v>
      </c>
      <c r="DQ155" s="636">
        <v>0</v>
      </c>
      <c r="DR155" s="636">
        <v>0</v>
      </c>
      <c r="DS155" s="637">
        <v>0</v>
      </c>
      <c r="DT155" s="637">
        <v>0</v>
      </c>
      <c r="DU155" s="637">
        <v>0</v>
      </c>
      <c r="DV155" s="637">
        <v>0</v>
      </c>
      <c r="DW155" s="637">
        <v>0</v>
      </c>
      <c r="DX155" s="637">
        <v>0</v>
      </c>
      <c r="DY155" s="637">
        <v>0</v>
      </c>
      <c r="DZ155" s="637">
        <v>0</v>
      </c>
      <c r="EA155" s="637">
        <v>0</v>
      </c>
      <c r="EB155" s="637">
        <v>0</v>
      </c>
      <c r="EC155" s="637">
        <v>0</v>
      </c>
      <c r="ED155" s="637">
        <v>0</v>
      </c>
    </row>
    <row r="156" spans="1:134" ht="15" x14ac:dyDescent="0.25">
      <c r="A156" s="555">
        <v>90</v>
      </c>
      <c r="B156" s="555">
        <v>92</v>
      </c>
      <c r="C156" s="555" t="s">
        <v>1139</v>
      </c>
      <c r="D156" s="812">
        <v>99709</v>
      </c>
      <c r="E156" s="812">
        <v>99709</v>
      </c>
      <c r="F156" s="630" t="s">
        <v>989</v>
      </c>
      <c r="G156" s="45">
        <v>10</v>
      </c>
      <c r="H156" s="45">
        <v>5</v>
      </c>
      <c r="I156" s="45">
        <v>4</v>
      </c>
      <c r="J156" s="45">
        <v>1</v>
      </c>
      <c r="K156" s="45">
        <v>0</v>
      </c>
      <c r="L156" s="45">
        <v>1</v>
      </c>
      <c r="M156" s="45">
        <v>1</v>
      </c>
      <c r="N156" s="45">
        <v>0</v>
      </c>
      <c r="O156" s="45">
        <v>0</v>
      </c>
      <c r="P156" s="45">
        <v>0</v>
      </c>
      <c r="Q156" s="45">
        <v>1</v>
      </c>
      <c r="R156" s="45">
        <v>0</v>
      </c>
      <c r="S156" s="45">
        <v>180</v>
      </c>
      <c r="T156" s="45">
        <v>180</v>
      </c>
      <c r="U156" s="45">
        <v>0</v>
      </c>
      <c r="V156" s="45">
        <v>0</v>
      </c>
      <c r="W156" s="45">
        <v>0</v>
      </c>
      <c r="X156" s="45">
        <v>180</v>
      </c>
      <c r="Y156" s="45">
        <v>0</v>
      </c>
      <c r="Z156" s="45">
        <v>5</v>
      </c>
      <c r="AA156" s="45">
        <v>0</v>
      </c>
      <c r="AB156" s="508">
        <v>0</v>
      </c>
      <c r="AC156" s="508">
        <v>0</v>
      </c>
      <c r="AD156" s="631">
        <v>5</v>
      </c>
      <c r="AE156" s="632">
        <v>0</v>
      </c>
      <c r="AF156" s="632">
        <v>4</v>
      </c>
      <c r="AG156" s="633">
        <v>4</v>
      </c>
      <c r="AH156" s="632">
        <v>0</v>
      </c>
      <c r="AI156" s="632">
        <v>0</v>
      </c>
      <c r="AJ156" s="632">
        <v>4.7607919750386971</v>
      </c>
      <c r="AK156" s="632">
        <v>4.7607919750386971</v>
      </c>
      <c r="AL156" s="632">
        <v>0</v>
      </c>
      <c r="AM156" s="632">
        <v>0</v>
      </c>
      <c r="AN156" s="632">
        <v>3.8158185155919053</v>
      </c>
      <c r="AO156" s="632">
        <v>3.8158185155919053</v>
      </c>
      <c r="AP156" s="632">
        <v>0</v>
      </c>
      <c r="AQ156" s="632">
        <v>0</v>
      </c>
      <c r="AR156" s="632">
        <v>0</v>
      </c>
      <c r="AS156" s="632">
        <v>4.533028045918571</v>
      </c>
      <c r="AT156" s="632">
        <v>4.6455143465104571</v>
      </c>
      <c r="AU156" s="632">
        <v>4.7607919750386971</v>
      </c>
      <c r="AV156" s="632">
        <v>4.8789301978193418</v>
      </c>
      <c r="AW156" s="632">
        <v>5</v>
      </c>
      <c r="AX156" s="632">
        <v>3.6401177359835026</v>
      </c>
      <c r="AY156" s="632">
        <v>3.7269328751535542</v>
      </c>
      <c r="AZ156" s="632">
        <v>3.8158185155919053</v>
      </c>
      <c r="BA156" s="632">
        <v>3.9068240378045722</v>
      </c>
      <c r="BB156" s="632">
        <v>4</v>
      </c>
      <c r="BC156" s="632">
        <v>0</v>
      </c>
      <c r="BD156" s="632">
        <v>0</v>
      </c>
      <c r="BE156" s="632">
        <v>0</v>
      </c>
      <c r="BF156" s="632">
        <v>0</v>
      </c>
      <c r="BG156" s="632">
        <v>0</v>
      </c>
      <c r="BH156" s="634">
        <v>5.025613145055865</v>
      </c>
      <c r="BI156" s="634">
        <v>5.0513574967516606</v>
      </c>
      <c r="BJ156" s="634">
        <v>5.0772337272103263</v>
      </c>
      <c r="BK156" s="635">
        <v>5.0438531430657498</v>
      </c>
      <c r="BL156" s="635">
        <v>5.0106920216163537</v>
      </c>
      <c r="BM156" s="635">
        <v>5.0466631056877906</v>
      </c>
      <c r="BN156" s="635">
        <v>5.0828924213335682</v>
      </c>
      <c r="BO156" s="635">
        <v>5.1193818223634251</v>
      </c>
      <c r="BP156" s="635">
        <v>5.1561331758953513</v>
      </c>
      <c r="BQ156" s="635">
        <v>5.193148362451125</v>
      </c>
      <c r="BR156" s="635">
        <v>5.2223007500393326</v>
      </c>
      <c r="BS156" s="635">
        <v>5.2516167881999438</v>
      </c>
      <c r="BT156" s="635">
        <v>5.2810973956059089</v>
      </c>
      <c r="BU156" s="635">
        <v>5.3107434960872588</v>
      </c>
      <c r="BV156" s="635">
        <v>5.3405560186600614</v>
      </c>
      <c r="BW156" s="634">
        <v>4.020490516044692</v>
      </c>
      <c r="BX156" s="634">
        <v>4.0410859974013285</v>
      </c>
      <c r="BY156" s="634">
        <v>4.061786981768261</v>
      </c>
      <c r="BZ156" s="635">
        <v>4.0350825144525997</v>
      </c>
      <c r="CA156" s="635">
        <v>4.0085536172930825</v>
      </c>
      <c r="CB156" s="635">
        <v>4.0373304845502327</v>
      </c>
      <c r="CC156" s="635">
        <v>4.0663139370668544</v>
      </c>
      <c r="CD156" s="635">
        <v>4.0955054578907397</v>
      </c>
      <c r="CE156" s="635">
        <v>4.1249065407162808</v>
      </c>
      <c r="CF156" s="635">
        <v>4.1545186899608995</v>
      </c>
      <c r="CG156" s="635">
        <v>4.1778406000314661</v>
      </c>
      <c r="CH156" s="635">
        <v>4.2012934305599554</v>
      </c>
      <c r="CI156" s="635">
        <v>4.2248779164847265</v>
      </c>
      <c r="CJ156" s="635">
        <v>4.2485947968698072</v>
      </c>
      <c r="CK156" s="635">
        <v>4.2724448149280487</v>
      </c>
      <c r="CL156" s="634">
        <v>0</v>
      </c>
      <c r="CM156" s="634">
        <v>0</v>
      </c>
      <c r="CN156" s="634">
        <v>0</v>
      </c>
      <c r="CO156" s="635">
        <v>0</v>
      </c>
      <c r="CP156" s="635">
        <v>0</v>
      </c>
      <c r="CQ156" s="635">
        <v>0</v>
      </c>
      <c r="CR156" s="635">
        <v>0</v>
      </c>
      <c r="CS156" s="635">
        <v>0</v>
      </c>
      <c r="CT156" s="635">
        <v>0</v>
      </c>
      <c r="CU156" s="635">
        <v>0</v>
      </c>
      <c r="CV156" s="635">
        <v>0</v>
      </c>
      <c r="CW156" s="635">
        <v>0</v>
      </c>
      <c r="CX156" s="635">
        <v>0</v>
      </c>
      <c r="CY156" s="635">
        <v>0</v>
      </c>
      <c r="CZ156" s="635">
        <v>0</v>
      </c>
      <c r="DA156" s="636">
        <v>0</v>
      </c>
      <c r="DB156" s="636">
        <v>0</v>
      </c>
      <c r="DC156" s="636">
        <v>0</v>
      </c>
      <c r="DD156" s="637">
        <v>0</v>
      </c>
      <c r="DE156" s="637">
        <v>0</v>
      </c>
      <c r="DF156" s="637">
        <v>0</v>
      </c>
      <c r="DG156" s="637">
        <v>0</v>
      </c>
      <c r="DH156" s="637">
        <v>0</v>
      </c>
      <c r="DI156" s="637">
        <v>0</v>
      </c>
      <c r="DJ156" s="637">
        <v>0</v>
      </c>
      <c r="DK156" s="637">
        <v>0</v>
      </c>
      <c r="DL156" s="637">
        <v>0</v>
      </c>
      <c r="DM156" s="637">
        <v>0</v>
      </c>
      <c r="DN156" s="637">
        <v>0</v>
      </c>
      <c r="DO156" s="637">
        <v>0</v>
      </c>
      <c r="DP156" s="636">
        <v>0</v>
      </c>
      <c r="DQ156" s="636">
        <v>0</v>
      </c>
      <c r="DR156" s="636">
        <v>0</v>
      </c>
      <c r="DS156" s="637">
        <v>0</v>
      </c>
      <c r="DT156" s="637">
        <v>0</v>
      </c>
      <c r="DU156" s="637">
        <v>0</v>
      </c>
      <c r="DV156" s="637">
        <v>0</v>
      </c>
      <c r="DW156" s="637">
        <v>0</v>
      </c>
      <c r="DX156" s="637">
        <v>0</v>
      </c>
      <c r="DY156" s="637">
        <v>0</v>
      </c>
      <c r="DZ156" s="637">
        <v>0</v>
      </c>
      <c r="EA156" s="637">
        <v>0</v>
      </c>
      <c r="EB156" s="637">
        <v>0</v>
      </c>
      <c r="EC156" s="637">
        <v>0</v>
      </c>
      <c r="ED156" s="637">
        <v>0</v>
      </c>
    </row>
    <row r="157" spans="1:134" ht="15" x14ac:dyDescent="0.25">
      <c r="A157" s="555">
        <v>95</v>
      </c>
      <c r="B157" s="555">
        <v>92</v>
      </c>
      <c r="C157" s="555" t="s">
        <v>1140</v>
      </c>
      <c r="D157" s="812">
        <v>99709</v>
      </c>
      <c r="E157" s="812">
        <v>99709</v>
      </c>
      <c r="F157" s="630" t="s">
        <v>989</v>
      </c>
      <c r="G157" s="45">
        <v>118</v>
      </c>
      <c r="H157" s="45">
        <v>59</v>
      </c>
      <c r="I157" s="45">
        <v>51</v>
      </c>
      <c r="J157" s="45">
        <v>8</v>
      </c>
      <c r="K157" s="45">
        <v>0</v>
      </c>
      <c r="L157" s="45">
        <v>0</v>
      </c>
      <c r="M157" s="45">
        <v>0</v>
      </c>
      <c r="N157" s="45">
        <v>0</v>
      </c>
      <c r="O157" s="45">
        <v>0</v>
      </c>
      <c r="P157" s="45">
        <v>0</v>
      </c>
      <c r="Q157" s="45">
        <v>0</v>
      </c>
      <c r="R157" s="45">
        <v>0</v>
      </c>
      <c r="S157" s="45">
        <v>834.49503068156923</v>
      </c>
      <c r="T157" s="45">
        <v>834.49503068156923</v>
      </c>
      <c r="U157" s="45">
        <v>1408.3846153846155</v>
      </c>
      <c r="V157" s="45">
        <v>0</v>
      </c>
      <c r="W157" s="45">
        <v>0</v>
      </c>
      <c r="X157" s="45">
        <v>1365.173957061457</v>
      </c>
      <c r="Y157" s="45">
        <v>1.3518277893277892</v>
      </c>
      <c r="Z157" s="45">
        <v>57.571509009009006</v>
      </c>
      <c r="AA157" s="45">
        <v>7.6663201663201661E-2</v>
      </c>
      <c r="AB157" s="508">
        <v>0</v>
      </c>
      <c r="AC157" s="508">
        <v>0</v>
      </c>
      <c r="AD157" s="631">
        <v>59</v>
      </c>
      <c r="AE157" s="632">
        <v>1.1685291060291061</v>
      </c>
      <c r="AF157" s="632">
        <v>49.765202702702695</v>
      </c>
      <c r="AG157" s="633">
        <v>50.9337318087318</v>
      </c>
      <c r="AH157" s="632">
        <v>6.6268191268191265E-2</v>
      </c>
      <c r="AI157" s="632">
        <v>1.2871541782132081</v>
      </c>
      <c r="AJ157" s="632">
        <v>54.817195616191619</v>
      </c>
      <c r="AK157" s="632">
        <v>56.104349794404826</v>
      </c>
      <c r="AL157" s="632">
        <v>7.2995511051788753E-2</v>
      </c>
      <c r="AM157" s="632">
        <v>1.1147237496984799</v>
      </c>
      <c r="AN157" s="632">
        <v>47.473745476289317</v>
      </c>
      <c r="AO157" s="632">
        <v>48.588469225987794</v>
      </c>
      <c r="AP157" s="632">
        <v>6.3216847808987509E-2</v>
      </c>
      <c r="AQ157" s="632">
        <v>0</v>
      </c>
      <c r="AR157" s="632">
        <v>0</v>
      </c>
      <c r="AS157" s="632">
        <v>53.420227653193294</v>
      </c>
      <c r="AT157" s="632">
        <v>54.745841288188224</v>
      </c>
      <c r="AU157" s="632">
        <v>56.104349794404833</v>
      </c>
      <c r="AV157" s="632">
        <v>57.496569452337013</v>
      </c>
      <c r="AW157" s="632">
        <v>58.923336798336798</v>
      </c>
      <c r="AX157" s="632">
        <v>46.351195129197926</v>
      </c>
      <c r="AY157" s="632">
        <v>47.456649883054212</v>
      </c>
      <c r="AZ157" s="632">
        <v>48.588469225987794</v>
      </c>
      <c r="BA157" s="632">
        <v>49.747281941361187</v>
      </c>
      <c r="BB157" s="632">
        <v>50.9337318087318</v>
      </c>
      <c r="BC157" s="632">
        <v>0</v>
      </c>
      <c r="BD157" s="632">
        <v>0</v>
      </c>
      <c r="BE157" s="632">
        <v>0</v>
      </c>
      <c r="BF157" s="632">
        <v>0</v>
      </c>
      <c r="BG157" s="632">
        <v>0</v>
      </c>
      <c r="BH157" s="634">
        <v>59.225179192855073</v>
      </c>
      <c r="BI157" s="634">
        <v>59.528567813980317</v>
      </c>
      <c r="BJ157" s="634">
        <v>59.833510582457784</v>
      </c>
      <c r="BK157" s="635">
        <v>61.117874692920367</v>
      </c>
      <c r="BL157" s="635">
        <v>62.40223880338295</v>
      </c>
      <c r="BM157" s="635">
        <v>63.686602913845526</v>
      </c>
      <c r="BN157" s="635">
        <v>64.970967024308109</v>
      </c>
      <c r="BO157" s="635">
        <v>66.489643345852713</v>
      </c>
      <c r="BP157" s="635">
        <v>68.008319667397316</v>
      </c>
      <c r="BQ157" s="635">
        <v>72.218526402014362</v>
      </c>
      <c r="BR157" s="635">
        <v>77.234699549686951</v>
      </c>
      <c r="BS157" s="635">
        <v>79.437202420309475</v>
      </c>
      <c r="BT157" s="635">
        <v>80.646720268078383</v>
      </c>
      <c r="BU157" s="635">
        <v>81.899290121812356</v>
      </c>
      <c r="BV157" s="635">
        <v>83.181996379721923</v>
      </c>
      <c r="BW157" s="634">
        <v>51.194646420942512</v>
      </c>
      <c r="BX157" s="634">
        <v>51.45689760191518</v>
      </c>
      <c r="BY157" s="634">
        <v>51.720492198395704</v>
      </c>
      <c r="BZ157" s="635">
        <v>52.830705243032853</v>
      </c>
      <c r="CA157" s="635">
        <v>53.940918287670002</v>
      </c>
      <c r="CB157" s="635">
        <v>55.051131332307143</v>
      </c>
      <c r="CC157" s="635">
        <v>56.161344376944292</v>
      </c>
      <c r="CD157" s="635">
        <v>57.474098485398102</v>
      </c>
      <c r="CE157" s="635">
        <v>58.786852593851911</v>
      </c>
      <c r="CF157" s="635">
        <v>62.426183839029356</v>
      </c>
      <c r="CG157" s="635">
        <v>66.762197915831081</v>
      </c>
      <c r="CH157" s="635">
        <v>68.666056329420044</v>
      </c>
      <c r="CI157" s="635">
        <v>69.711571757152484</v>
      </c>
      <c r="CJ157" s="635">
        <v>70.794301630719147</v>
      </c>
      <c r="CK157" s="635">
        <v>71.903081616369789</v>
      </c>
      <c r="CL157" s="634">
        <v>0</v>
      </c>
      <c r="CM157" s="634">
        <v>0</v>
      </c>
      <c r="CN157" s="634">
        <v>0</v>
      </c>
      <c r="CO157" s="635">
        <v>0</v>
      </c>
      <c r="CP157" s="635">
        <v>0</v>
      </c>
      <c r="CQ157" s="635">
        <v>0</v>
      </c>
      <c r="CR157" s="635">
        <v>0</v>
      </c>
      <c r="CS157" s="635">
        <v>0</v>
      </c>
      <c r="CT157" s="635">
        <v>0</v>
      </c>
      <c r="CU157" s="635">
        <v>0</v>
      </c>
      <c r="CV157" s="635">
        <v>0</v>
      </c>
      <c r="CW157" s="635">
        <v>0</v>
      </c>
      <c r="CX157" s="635">
        <v>0</v>
      </c>
      <c r="CY157" s="635">
        <v>0</v>
      </c>
      <c r="CZ157" s="635">
        <v>0</v>
      </c>
      <c r="DA157" s="636">
        <v>7.7055918804130985E-2</v>
      </c>
      <c r="DB157" s="636">
        <v>7.7450647689279617E-2</v>
      </c>
      <c r="DC157" s="636">
        <v>7.7847398624066852E-2</v>
      </c>
      <c r="DD157" s="637">
        <v>7.951844222341968E-2</v>
      </c>
      <c r="DE157" s="637">
        <v>8.1189485822772509E-2</v>
      </c>
      <c r="DF157" s="637">
        <v>8.2860529422125323E-2</v>
      </c>
      <c r="DG157" s="637">
        <v>8.4531573021478151E-2</v>
      </c>
      <c r="DH157" s="637">
        <v>8.6507472477039701E-2</v>
      </c>
      <c r="DI157" s="637">
        <v>8.8483371932601237E-2</v>
      </c>
      <c r="DJ157" s="637">
        <v>9.3961132451228682E-2</v>
      </c>
      <c r="DK157" s="637">
        <v>0.10048750917211417</v>
      </c>
      <c r="DL157" s="637">
        <v>0.10335311269881534</v>
      </c>
      <c r="DM157" s="637">
        <v>0.10492677630507205</v>
      </c>
      <c r="DN157" s="637">
        <v>0.10655645345018522</v>
      </c>
      <c r="DO157" s="637">
        <v>0.10822534007249796</v>
      </c>
      <c r="DP157" s="636">
        <v>0</v>
      </c>
      <c r="DQ157" s="636">
        <v>0</v>
      </c>
      <c r="DR157" s="636">
        <v>0</v>
      </c>
      <c r="DS157" s="637">
        <v>0</v>
      </c>
      <c r="DT157" s="637">
        <v>0</v>
      </c>
      <c r="DU157" s="637">
        <v>0</v>
      </c>
      <c r="DV157" s="637">
        <v>0</v>
      </c>
      <c r="DW157" s="637">
        <v>0</v>
      </c>
      <c r="DX157" s="637">
        <v>0</v>
      </c>
      <c r="DY157" s="637">
        <v>0</v>
      </c>
      <c r="DZ157" s="637">
        <v>0</v>
      </c>
      <c r="EA157" s="637">
        <v>0</v>
      </c>
      <c r="EB157" s="637">
        <v>0</v>
      </c>
      <c r="EC157" s="637">
        <v>0</v>
      </c>
      <c r="ED157" s="637">
        <v>0</v>
      </c>
    </row>
    <row r="158" spans="1:134" ht="15" x14ac:dyDescent="0.25">
      <c r="A158" s="555">
        <v>97</v>
      </c>
      <c r="B158" s="555">
        <v>92</v>
      </c>
      <c r="C158" s="555" t="s">
        <v>1141</v>
      </c>
      <c r="D158" s="812">
        <v>99709</v>
      </c>
      <c r="E158" s="812">
        <v>99709</v>
      </c>
      <c r="F158" s="630" t="s">
        <v>989</v>
      </c>
      <c r="G158" s="45">
        <v>38</v>
      </c>
      <c r="H158" s="45">
        <v>13</v>
      </c>
      <c r="I158" s="45">
        <v>13</v>
      </c>
      <c r="J158" s="45">
        <v>0</v>
      </c>
      <c r="K158" s="45">
        <v>0</v>
      </c>
      <c r="L158" s="45">
        <v>16</v>
      </c>
      <c r="M158" s="45">
        <v>16</v>
      </c>
      <c r="N158" s="45">
        <v>0</v>
      </c>
      <c r="O158" s="45">
        <v>0</v>
      </c>
      <c r="P158" s="45">
        <v>0</v>
      </c>
      <c r="Q158" s="45">
        <v>16</v>
      </c>
      <c r="R158" s="45">
        <v>0</v>
      </c>
      <c r="S158" s="45">
        <v>1753</v>
      </c>
      <c r="T158" s="45">
        <v>1753</v>
      </c>
      <c r="U158" s="45">
        <v>0</v>
      </c>
      <c r="V158" s="45">
        <v>0</v>
      </c>
      <c r="W158" s="45">
        <v>0</v>
      </c>
      <c r="X158" s="45">
        <v>1753</v>
      </c>
      <c r="Y158" s="45">
        <v>0</v>
      </c>
      <c r="Z158" s="45">
        <v>13</v>
      </c>
      <c r="AA158" s="45">
        <v>0</v>
      </c>
      <c r="AB158" s="508">
        <v>0</v>
      </c>
      <c r="AC158" s="508">
        <v>0</v>
      </c>
      <c r="AD158" s="631">
        <v>13</v>
      </c>
      <c r="AE158" s="632">
        <v>0</v>
      </c>
      <c r="AF158" s="632">
        <v>13</v>
      </c>
      <c r="AG158" s="633">
        <v>13</v>
      </c>
      <c r="AH158" s="632">
        <v>0</v>
      </c>
      <c r="AI158" s="632">
        <v>0</v>
      </c>
      <c r="AJ158" s="632">
        <v>12.378059135100612</v>
      </c>
      <c r="AK158" s="632">
        <v>12.378059135100612</v>
      </c>
      <c r="AL158" s="632">
        <v>0</v>
      </c>
      <c r="AM158" s="632">
        <v>0</v>
      </c>
      <c r="AN158" s="632">
        <v>12.401410175673693</v>
      </c>
      <c r="AO158" s="632">
        <v>12.401410175673693</v>
      </c>
      <c r="AP158" s="632">
        <v>0</v>
      </c>
      <c r="AQ158" s="632">
        <v>0</v>
      </c>
      <c r="AR158" s="632">
        <v>0</v>
      </c>
      <c r="AS158" s="632">
        <v>11.785872919388284</v>
      </c>
      <c r="AT158" s="632">
        <v>12.078337300927188</v>
      </c>
      <c r="AU158" s="632">
        <v>12.378059135100612</v>
      </c>
      <c r="AV158" s="632">
        <v>12.685218514330289</v>
      </c>
      <c r="AW158" s="632">
        <v>13</v>
      </c>
      <c r="AX158" s="632">
        <v>11.830382641946384</v>
      </c>
      <c r="AY158" s="632">
        <v>12.112531844249052</v>
      </c>
      <c r="AZ158" s="632">
        <v>12.401410175673693</v>
      </c>
      <c r="BA158" s="632">
        <v>12.697178122864859</v>
      </c>
      <c r="BB158" s="632">
        <v>13</v>
      </c>
      <c r="BC158" s="632">
        <v>0</v>
      </c>
      <c r="BD158" s="632">
        <v>0</v>
      </c>
      <c r="BE158" s="632">
        <v>0</v>
      </c>
      <c r="BF158" s="632">
        <v>0</v>
      </c>
      <c r="BG158" s="632">
        <v>0</v>
      </c>
      <c r="BH158" s="634">
        <v>13.066594177145248</v>
      </c>
      <c r="BI158" s="634">
        <v>13.133529491554317</v>
      </c>
      <c r="BJ158" s="634">
        <v>13.200807690746849</v>
      </c>
      <c r="BK158" s="635">
        <v>13.294982670130793</v>
      </c>
      <c r="BL158" s="635">
        <v>13.389157649514738</v>
      </c>
      <c r="BM158" s="635">
        <v>13.483332628898685</v>
      </c>
      <c r="BN158" s="635">
        <v>13.577507608282628</v>
      </c>
      <c r="BO158" s="635">
        <v>13.688863344640628</v>
      </c>
      <c r="BP158" s="635">
        <v>13.800219080998632</v>
      </c>
      <c r="BQ158" s="635">
        <v>14.108929149432342</v>
      </c>
      <c r="BR158" s="635">
        <v>14.476736065648822</v>
      </c>
      <c r="BS158" s="635">
        <v>14.638232841169318</v>
      </c>
      <c r="BT158" s="635">
        <v>14.726919777724342</v>
      </c>
      <c r="BU158" s="635">
        <v>14.81876346845926</v>
      </c>
      <c r="BV158" s="635">
        <v>14.912816887120096</v>
      </c>
      <c r="BW158" s="634">
        <v>13.066594177145248</v>
      </c>
      <c r="BX158" s="634">
        <v>13.133529491554317</v>
      </c>
      <c r="BY158" s="634">
        <v>13.200807690746849</v>
      </c>
      <c r="BZ158" s="635">
        <v>13.294982670130793</v>
      </c>
      <c r="CA158" s="635">
        <v>13.389157649514738</v>
      </c>
      <c r="CB158" s="635">
        <v>13.483332628898685</v>
      </c>
      <c r="CC158" s="635">
        <v>13.577507608282628</v>
      </c>
      <c r="CD158" s="635">
        <v>13.688863344640628</v>
      </c>
      <c r="CE158" s="635">
        <v>13.800219080998632</v>
      </c>
      <c r="CF158" s="635">
        <v>14.108929149432342</v>
      </c>
      <c r="CG158" s="635">
        <v>14.476736065648822</v>
      </c>
      <c r="CH158" s="635">
        <v>14.638232841169318</v>
      </c>
      <c r="CI158" s="635">
        <v>14.726919777724342</v>
      </c>
      <c r="CJ158" s="635">
        <v>14.81876346845926</v>
      </c>
      <c r="CK158" s="635">
        <v>14.912816887120096</v>
      </c>
      <c r="CL158" s="634">
        <v>0</v>
      </c>
      <c r="CM158" s="634">
        <v>0</v>
      </c>
      <c r="CN158" s="634">
        <v>0</v>
      </c>
      <c r="CO158" s="635">
        <v>0</v>
      </c>
      <c r="CP158" s="635">
        <v>0</v>
      </c>
      <c r="CQ158" s="635">
        <v>0</v>
      </c>
      <c r="CR158" s="635">
        <v>0</v>
      </c>
      <c r="CS158" s="635">
        <v>0</v>
      </c>
      <c r="CT158" s="635">
        <v>0</v>
      </c>
      <c r="CU158" s="635">
        <v>0</v>
      </c>
      <c r="CV158" s="635">
        <v>0</v>
      </c>
      <c r="CW158" s="635">
        <v>0</v>
      </c>
      <c r="CX158" s="635">
        <v>0</v>
      </c>
      <c r="CY158" s="635">
        <v>0</v>
      </c>
      <c r="CZ158" s="635">
        <v>0</v>
      </c>
      <c r="DA158" s="636">
        <v>0</v>
      </c>
      <c r="DB158" s="636">
        <v>0</v>
      </c>
      <c r="DC158" s="636">
        <v>0</v>
      </c>
      <c r="DD158" s="637">
        <v>0</v>
      </c>
      <c r="DE158" s="637">
        <v>0</v>
      </c>
      <c r="DF158" s="637">
        <v>0</v>
      </c>
      <c r="DG158" s="637">
        <v>0</v>
      </c>
      <c r="DH158" s="637">
        <v>0</v>
      </c>
      <c r="DI158" s="637">
        <v>0</v>
      </c>
      <c r="DJ158" s="637">
        <v>0</v>
      </c>
      <c r="DK158" s="637">
        <v>0</v>
      </c>
      <c r="DL158" s="637">
        <v>0</v>
      </c>
      <c r="DM158" s="637">
        <v>0</v>
      </c>
      <c r="DN158" s="637">
        <v>0</v>
      </c>
      <c r="DO158" s="637">
        <v>0</v>
      </c>
      <c r="DP158" s="636">
        <v>0</v>
      </c>
      <c r="DQ158" s="636">
        <v>0</v>
      </c>
      <c r="DR158" s="636">
        <v>0</v>
      </c>
      <c r="DS158" s="637">
        <v>0</v>
      </c>
      <c r="DT158" s="637">
        <v>0</v>
      </c>
      <c r="DU158" s="637">
        <v>0</v>
      </c>
      <c r="DV158" s="637">
        <v>0</v>
      </c>
      <c r="DW158" s="637">
        <v>0</v>
      </c>
      <c r="DX158" s="637">
        <v>0</v>
      </c>
      <c r="DY158" s="637">
        <v>0</v>
      </c>
      <c r="DZ158" s="637">
        <v>0</v>
      </c>
      <c r="EA158" s="637">
        <v>0</v>
      </c>
      <c r="EB158" s="637">
        <v>0</v>
      </c>
      <c r="EC158" s="637">
        <v>0</v>
      </c>
      <c r="ED158" s="637">
        <v>0</v>
      </c>
    </row>
    <row r="159" spans="1:134" ht="15" x14ac:dyDescent="0.25">
      <c r="A159" s="555">
        <v>98</v>
      </c>
      <c r="B159" s="555">
        <v>92</v>
      </c>
      <c r="C159" s="555" t="s">
        <v>1142</v>
      </c>
      <c r="D159" s="812">
        <v>99709</v>
      </c>
      <c r="E159" s="812">
        <v>99709</v>
      </c>
      <c r="F159" s="630" t="s">
        <v>989</v>
      </c>
      <c r="G159" s="45">
        <v>2</v>
      </c>
      <c r="H159" s="45">
        <v>1</v>
      </c>
      <c r="I159" s="45">
        <v>1</v>
      </c>
      <c r="J159" s="45">
        <v>0</v>
      </c>
      <c r="K159" s="45">
        <v>0</v>
      </c>
      <c r="L159" s="45">
        <v>23</v>
      </c>
      <c r="M159" s="45">
        <v>23</v>
      </c>
      <c r="N159" s="45">
        <v>0</v>
      </c>
      <c r="O159" s="45">
        <v>0</v>
      </c>
      <c r="P159" s="45">
        <v>0</v>
      </c>
      <c r="Q159" s="45">
        <v>23</v>
      </c>
      <c r="R159" s="45">
        <v>0</v>
      </c>
      <c r="S159" s="45">
        <v>2423.5652173913045</v>
      </c>
      <c r="T159" s="45">
        <v>2423.5652173913045</v>
      </c>
      <c r="U159" s="45">
        <v>0</v>
      </c>
      <c r="V159" s="45">
        <v>0</v>
      </c>
      <c r="W159" s="45">
        <v>0</v>
      </c>
      <c r="X159" s="45">
        <v>2423.5652173913045</v>
      </c>
      <c r="Y159" s="45">
        <v>0</v>
      </c>
      <c r="Z159" s="45">
        <v>1</v>
      </c>
      <c r="AA159" s="45">
        <v>0</v>
      </c>
      <c r="AB159" s="508">
        <v>0</v>
      </c>
      <c r="AC159" s="508">
        <v>0</v>
      </c>
      <c r="AD159" s="631">
        <v>1</v>
      </c>
      <c r="AE159" s="632">
        <v>0</v>
      </c>
      <c r="AF159" s="632">
        <v>1</v>
      </c>
      <c r="AG159" s="633">
        <v>1</v>
      </c>
      <c r="AH159" s="632">
        <v>0</v>
      </c>
      <c r="AI159" s="632">
        <v>0</v>
      </c>
      <c r="AJ159" s="632">
        <v>0.95215839500773936</v>
      </c>
      <c r="AK159" s="632">
        <v>0.95215839500773936</v>
      </c>
      <c r="AL159" s="632">
        <v>0</v>
      </c>
      <c r="AM159" s="632">
        <v>0</v>
      </c>
      <c r="AN159" s="632">
        <v>0.95395462889797633</v>
      </c>
      <c r="AO159" s="632">
        <v>0.95395462889797633</v>
      </c>
      <c r="AP159" s="632">
        <v>0</v>
      </c>
      <c r="AQ159" s="632">
        <v>0</v>
      </c>
      <c r="AR159" s="632">
        <v>0</v>
      </c>
      <c r="AS159" s="632">
        <v>0.90660560918371424</v>
      </c>
      <c r="AT159" s="632">
        <v>0.92910286930209141</v>
      </c>
      <c r="AU159" s="632">
        <v>0.95215839500773936</v>
      </c>
      <c r="AV159" s="632">
        <v>0.97578603956386833</v>
      </c>
      <c r="AW159" s="632">
        <v>1</v>
      </c>
      <c r="AX159" s="632">
        <v>0.91002943399587566</v>
      </c>
      <c r="AY159" s="632">
        <v>0.93173321878838855</v>
      </c>
      <c r="AZ159" s="632">
        <v>0.95395462889797633</v>
      </c>
      <c r="BA159" s="632">
        <v>0.97670600945114305</v>
      </c>
      <c r="BB159" s="632">
        <v>1</v>
      </c>
      <c r="BC159" s="632">
        <v>0</v>
      </c>
      <c r="BD159" s="632">
        <v>0</v>
      </c>
      <c r="BE159" s="632">
        <v>0</v>
      </c>
      <c r="BF159" s="632">
        <v>0</v>
      </c>
      <c r="BG159" s="632">
        <v>0</v>
      </c>
      <c r="BH159" s="634">
        <v>1.005122629011173</v>
      </c>
      <c r="BI159" s="634">
        <v>1.0102714993503321</v>
      </c>
      <c r="BJ159" s="634">
        <v>1.0154467454420653</v>
      </c>
      <c r="BK159" s="635">
        <v>1.0226909746254456</v>
      </c>
      <c r="BL159" s="635">
        <v>1.0299352038088259</v>
      </c>
      <c r="BM159" s="635">
        <v>1.0371794329922064</v>
      </c>
      <c r="BN159" s="635">
        <v>1.0444236621755867</v>
      </c>
      <c r="BO159" s="635">
        <v>1.0529894880492792</v>
      </c>
      <c r="BP159" s="635">
        <v>1.0615553139229716</v>
      </c>
      <c r="BQ159" s="635">
        <v>1.0853022422640264</v>
      </c>
      <c r="BR159" s="635">
        <v>1.1135950819729863</v>
      </c>
      <c r="BS159" s="635">
        <v>1.1260179108591781</v>
      </c>
      <c r="BT159" s="635">
        <v>1.1328399829018725</v>
      </c>
      <c r="BU159" s="635">
        <v>1.1399048821891737</v>
      </c>
      <c r="BV159" s="635">
        <v>1.1471397605476996</v>
      </c>
      <c r="BW159" s="634">
        <v>1.005122629011173</v>
      </c>
      <c r="BX159" s="634">
        <v>1.0102714993503321</v>
      </c>
      <c r="BY159" s="634">
        <v>1.0154467454420653</v>
      </c>
      <c r="BZ159" s="635">
        <v>1.0226909746254456</v>
      </c>
      <c r="CA159" s="635">
        <v>1.0299352038088259</v>
      </c>
      <c r="CB159" s="635">
        <v>1.0371794329922064</v>
      </c>
      <c r="CC159" s="635">
        <v>1.0444236621755867</v>
      </c>
      <c r="CD159" s="635">
        <v>1.0529894880492792</v>
      </c>
      <c r="CE159" s="635">
        <v>1.0615553139229716</v>
      </c>
      <c r="CF159" s="635">
        <v>1.0853022422640264</v>
      </c>
      <c r="CG159" s="635">
        <v>1.1135950819729863</v>
      </c>
      <c r="CH159" s="635">
        <v>1.1260179108591781</v>
      </c>
      <c r="CI159" s="635">
        <v>1.1328399829018725</v>
      </c>
      <c r="CJ159" s="635">
        <v>1.1399048821891737</v>
      </c>
      <c r="CK159" s="635">
        <v>1.1471397605476996</v>
      </c>
      <c r="CL159" s="634">
        <v>0</v>
      </c>
      <c r="CM159" s="634">
        <v>0</v>
      </c>
      <c r="CN159" s="634">
        <v>0</v>
      </c>
      <c r="CO159" s="635">
        <v>0</v>
      </c>
      <c r="CP159" s="635">
        <v>0</v>
      </c>
      <c r="CQ159" s="635">
        <v>0</v>
      </c>
      <c r="CR159" s="635">
        <v>0</v>
      </c>
      <c r="CS159" s="635">
        <v>0</v>
      </c>
      <c r="CT159" s="635">
        <v>0</v>
      </c>
      <c r="CU159" s="635">
        <v>0</v>
      </c>
      <c r="CV159" s="635">
        <v>0</v>
      </c>
      <c r="CW159" s="635">
        <v>0</v>
      </c>
      <c r="CX159" s="635">
        <v>0</v>
      </c>
      <c r="CY159" s="635">
        <v>0</v>
      </c>
      <c r="CZ159" s="635">
        <v>0</v>
      </c>
      <c r="DA159" s="636">
        <v>0</v>
      </c>
      <c r="DB159" s="636">
        <v>0</v>
      </c>
      <c r="DC159" s="636">
        <v>0</v>
      </c>
      <c r="DD159" s="637">
        <v>0</v>
      </c>
      <c r="DE159" s="637">
        <v>0</v>
      </c>
      <c r="DF159" s="637">
        <v>0</v>
      </c>
      <c r="DG159" s="637">
        <v>0</v>
      </c>
      <c r="DH159" s="637">
        <v>0</v>
      </c>
      <c r="DI159" s="637">
        <v>0</v>
      </c>
      <c r="DJ159" s="637">
        <v>0</v>
      </c>
      <c r="DK159" s="637">
        <v>0</v>
      </c>
      <c r="DL159" s="637">
        <v>0</v>
      </c>
      <c r="DM159" s="637">
        <v>0</v>
      </c>
      <c r="DN159" s="637">
        <v>0</v>
      </c>
      <c r="DO159" s="637">
        <v>0</v>
      </c>
      <c r="DP159" s="636">
        <v>0</v>
      </c>
      <c r="DQ159" s="636">
        <v>0</v>
      </c>
      <c r="DR159" s="636">
        <v>0</v>
      </c>
      <c r="DS159" s="637">
        <v>0</v>
      </c>
      <c r="DT159" s="637">
        <v>0</v>
      </c>
      <c r="DU159" s="637">
        <v>0</v>
      </c>
      <c r="DV159" s="637">
        <v>0</v>
      </c>
      <c r="DW159" s="637">
        <v>0</v>
      </c>
      <c r="DX159" s="637">
        <v>0</v>
      </c>
      <c r="DY159" s="637">
        <v>0</v>
      </c>
      <c r="DZ159" s="637">
        <v>0</v>
      </c>
      <c r="EA159" s="637">
        <v>0</v>
      </c>
      <c r="EB159" s="637">
        <v>0</v>
      </c>
      <c r="EC159" s="637">
        <v>0</v>
      </c>
      <c r="ED159" s="637">
        <v>0</v>
      </c>
    </row>
    <row r="160" spans="1:134" ht="15" x14ac:dyDescent="0.25">
      <c r="A160" s="555">
        <v>101</v>
      </c>
      <c r="B160" s="555">
        <v>92</v>
      </c>
      <c r="C160" s="555" t="s">
        <v>1143</v>
      </c>
      <c r="D160" s="812">
        <v>99709</v>
      </c>
      <c r="E160" s="812">
        <v>99709</v>
      </c>
      <c r="F160" s="630" t="s">
        <v>311</v>
      </c>
      <c r="G160" s="45">
        <v>487</v>
      </c>
      <c r="H160" s="45">
        <v>178</v>
      </c>
      <c r="I160" s="45">
        <v>173</v>
      </c>
      <c r="J160" s="45">
        <v>5</v>
      </c>
      <c r="K160" s="45">
        <v>0</v>
      </c>
      <c r="L160" s="45">
        <v>127</v>
      </c>
      <c r="M160" s="45">
        <v>127</v>
      </c>
      <c r="N160" s="45">
        <v>0</v>
      </c>
      <c r="O160" s="45">
        <v>0</v>
      </c>
      <c r="P160" s="45">
        <v>0</v>
      </c>
      <c r="Q160" s="45">
        <v>127</v>
      </c>
      <c r="R160" s="45">
        <v>0</v>
      </c>
      <c r="S160" s="45">
        <v>3062.748031496063</v>
      </c>
      <c r="T160" s="45">
        <v>3062.748031496063</v>
      </c>
      <c r="U160" s="45">
        <v>0</v>
      </c>
      <c r="V160" s="45">
        <v>0</v>
      </c>
      <c r="W160" s="45">
        <v>0</v>
      </c>
      <c r="X160" s="45">
        <v>3062.748031496063</v>
      </c>
      <c r="Y160" s="45">
        <v>0</v>
      </c>
      <c r="Z160" s="45">
        <v>178</v>
      </c>
      <c r="AA160" s="45">
        <v>0</v>
      </c>
      <c r="AB160" s="508">
        <v>0</v>
      </c>
      <c r="AC160" s="508">
        <v>0</v>
      </c>
      <c r="AD160" s="631">
        <v>178</v>
      </c>
      <c r="AE160" s="632">
        <v>0</v>
      </c>
      <c r="AF160" s="632">
        <v>173</v>
      </c>
      <c r="AG160" s="633">
        <v>173</v>
      </c>
      <c r="AH160" s="632">
        <v>0</v>
      </c>
      <c r="AI160" s="632">
        <v>0</v>
      </c>
      <c r="AJ160" s="632">
        <v>169.48419431137759</v>
      </c>
      <c r="AK160" s="632">
        <v>169.48419431137759</v>
      </c>
      <c r="AL160" s="632">
        <v>0</v>
      </c>
      <c r="AM160" s="632">
        <v>0</v>
      </c>
      <c r="AN160" s="632">
        <v>165.0341507993499</v>
      </c>
      <c r="AO160" s="632">
        <v>165.0341507993499</v>
      </c>
      <c r="AP160" s="632">
        <v>0</v>
      </c>
      <c r="AQ160" s="632">
        <v>0</v>
      </c>
      <c r="AR160" s="632">
        <v>0</v>
      </c>
      <c r="AS160" s="632">
        <v>161.37579843470112</v>
      </c>
      <c r="AT160" s="632">
        <v>165.38031073577227</v>
      </c>
      <c r="AU160" s="632">
        <v>169.48419431137759</v>
      </c>
      <c r="AV160" s="632">
        <v>173.68991504236857</v>
      </c>
      <c r="AW160" s="632">
        <v>178</v>
      </c>
      <c r="AX160" s="632">
        <v>157.43509208128648</v>
      </c>
      <c r="AY160" s="632">
        <v>161.18984685039123</v>
      </c>
      <c r="AZ160" s="632">
        <v>165.0341507993499</v>
      </c>
      <c r="BA160" s="632">
        <v>168.97013963504773</v>
      </c>
      <c r="BB160" s="632">
        <v>173</v>
      </c>
      <c r="BC160" s="632">
        <v>0</v>
      </c>
      <c r="BD160" s="632">
        <v>0</v>
      </c>
      <c r="BE160" s="632">
        <v>0</v>
      </c>
      <c r="BF160" s="632">
        <v>0</v>
      </c>
      <c r="BG160" s="632">
        <v>0</v>
      </c>
      <c r="BH160" s="634">
        <v>179.43875859760942</v>
      </c>
      <c r="BI160" s="634">
        <v>180.8891465564671</v>
      </c>
      <c r="BJ160" s="634">
        <v>182.35125787569373</v>
      </c>
      <c r="BK160" s="635">
        <v>183.51023024834234</v>
      </c>
      <c r="BL160" s="635">
        <v>184.66920262099092</v>
      </c>
      <c r="BM160" s="635">
        <v>185.82817499363952</v>
      </c>
      <c r="BN160" s="635">
        <v>186.9871473662881</v>
      </c>
      <c r="BO160" s="635">
        <v>188.35755618208088</v>
      </c>
      <c r="BP160" s="635">
        <v>189.7279649978737</v>
      </c>
      <c r="BQ160" s="635">
        <v>193.52713164291703</v>
      </c>
      <c r="BR160" s="635">
        <v>198.05357865838243</v>
      </c>
      <c r="BS160" s="635">
        <v>200.04105242609106</v>
      </c>
      <c r="BT160" s="635">
        <v>201.13248573411508</v>
      </c>
      <c r="BU160" s="635">
        <v>202.26276790524128</v>
      </c>
      <c r="BV160" s="635">
        <v>203.42024428053895</v>
      </c>
      <c r="BW160" s="634">
        <v>174.39834403026083</v>
      </c>
      <c r="BX160" s="634">
        <v>175.80799075431915</v>
      </c>
      <c r="BY160" s="634">
        <v>177.22903153087088</v>
      </c>
      <c r="BZ160" s="635">
        <v>178.3554484997934</v>
      </c>
      <c r="CA160" s="635">
        <v>179.48186546871591</v>
      </c>
      <c r="CB160" s="635">
        <v>180.60828243763842</v>
      </c>
      <c r="CC160" s="635">
        <v>181.73469940656094</v>
      </c>
      <c r="CD160" s="635">
        <v>183.0666135926966</v>
      </c>
      <c r="CE160" s="635">
        <v>184.39852777883229</v>
      </c>
      <c r="CF160" s="635">
        <v>188.09097625968903</v>
      </c>
      <c r="CG160" s="635">
        <v>192.49027588707958</v>
      </c>
      <c r="CH160" s="635">
        <v>194.42192173996489</v>
      </c>
      <c r="CI160" s="635">
        <v>195.48269680899952</v>
      </c>
      <c r="CJ160" s="635">
        <v>196.58122948093677</v>
      </c>
      <c r="CK160" s="635">
        <v>197.70619247490583</v>
      </c>
      <c r="CL160" s="634">
        <v>0</v>
      </c>
      <c r="CM160" s="634">
        <v>0</v>
      </c>
      <c r="CN160" s="634">
        <v>0</v>
      </c>
      <c r="CO160" s="635">
        <v>0</v>
      </c>
      <c r="CP160" s="635">
        <v>0</v>
      </c>
      <c r="CQ160" s="635">
        <v>0</v>
      </c>
      <c r="CR160" s="635">
        <v>0</v>
      </c>
      <c r="CS160" s="635">
        <v>0</v>
      </c>
      <c r="CT160" s="635">
        <v>0</v>
      </c>
      <c r="CU160" s="635">
        <v>0</v>
      </c>
      <c r="CV160" s="635">
        <v>0</v>
      </c>
      <c r="CW160" s="635">
        <v>0</v>
      </c>
      <c r="CX160" s="635">
        <v>0</v>
      </c>
      <c r="CY160" s="635">
        <v>0</v>
      </c>
      <c r="CZ160" s="635">
        <v>0</v>
      </c>
      <c r="DA160" s="636">
        <v>0</v>
      </c>
      <c r="DB160" s="636">
        <v>0</v>
      </c>
      <c r="DC160" s="636">
        <v>0</v>
      </c>
      <c r="DD160" s="637">
        <v>0</v>
      </c>
      <c r="DE160" s="637">
        <v>0</v>
      </c>
      <c r="DF160" s="637">
        <v>0</v>
      </c>
      <c r="DG160" s="637">
        <v>0</v>
      </c>
      <c r="DH160" s="637">
        <v>0</v>
      </c>
      <c r="DI160" s="637">
        <v>0</v>
      </c>
      <c r="DJ160" s="637">
        <v>0</v>
      </c>
      <c r="DK160" s="637">
        <v>0</v>
      </c>
      <c r="DL160" s="637">
        <v>0</v>
      </c>
      <c r="DM160" s="637">
        <v>0</v>
      </c>
      <c r="DN160" s="637">
        <v>0</v>
      </c>
      <c r="DO160" s="637">
        <v>0</v>
      </c>
      <c r="DP160" s="636">
        <v>0</v>
      </c>
      <c r="DQ160" s="636">
        <v>0</v>
      </c>
      <c r="DR160" s="636">
        <v>0</v>
      </c>
      <c r="DS160" s="637">
        <v>0</v>
      </c>
      <c r="DT160" s="637">
        <v>0</v>
      </c>
      <c r="DU160" s="637">
        <v>0</v>
      </c>
      <c r="DV160" s="637">
        <v>0</v>
      </c>
      <c r="DW160" s="637">
        <v>0</v>
      </c>
      <c r="DX160" s="637">
        <v>0</v>
      </c>
      <c r="DY160" s="637">
        <v>0</v>
      </c>
      <c r="DZ160" s="637">
        <v>0</v>
      </c>
      <c r="EA160" s="637">
        <v>0</v>
      </c>
      <c r="EB160" s="637">
        <v>0</v>
      </c>
      <c r="EC160" s="637">
        <v>0</v>
      </c>
      <c r="ED160" s="637">
        <v>0</v>
      </c>
    </row>
    <row r="161" spans="1:134" ht="15" x14ac:dyDescent="0.25">
      <c r="A161" s="555">
        <v>102</v>
      </c>
      <c r="B161" s="555">
        <v>92</v>
      </c>
      <c r="C161" s="555" t="s">
        <v>1144</v>
      </c>
      <c r="D161" s="812">
        <v>99709</v>
      </c>
      <c r="E161" s="812">
        <v>99709</v>
      </c>
      <c r="F161" s="630" t="s">
        <v>311</v>
      </c>
      <c r="G161" s="45">
        <v>320</v>
      </c>
      <c r="H161" s="45">
        <v>172</v>
      </c>
      <c r="I161" s="45">
        <v>149</v>
      </c>
      <c r="J161" s="45">
        <v>23</v>
      </c>
      <c r="K161" s="45">
        <v>1</v>
      </c>
      <c r="L161" s="45">
        <v>89</v>
      </c>
      <c r="M161" s="45">
        <v>90</v>
      </c>
      <c r="N161" s="45">
        <v>12</v>
      </c>
      <c r="O161" s="45">
        <v>0</v>
      </c>
      <c r="P161" s="45">
        <v>0</v>
      </c>
      <c r="Q161" s="45">
        <v>102</v>
      </c>
      <c r="R161" s="45">
        <v>4000</v>
      </c>
      <c r="S161" s="45">
        <v>2038.6629213483145</v>
      </c>
      <c r="T161" s="45">
        <v>2060.4555555555557</v>
      </c>
      <c r="U161" s="45">
        <v>4407.75</v>
      </c>
      <c r="V161" s="45">
        <v>0</v>
      </c>
      <c r="W161" s="45">
        <v>0</v>
      </c>
      <c r="X161" s="45">
        <v>2336.6078431372548</v>
      </c>
      <c r="Y161" s="45">
        <v>1.9111111111111112</v>
      </c>
      <c r="Z161" s="45">
        <v>170.0888888888889</v>
      </c>
      <c r="AA161" s="45">
        <v>0</v>
      </c>
      <c r="AB161" s="508">
        <v>12</v>
      </c>
      <c r="AC161" s="508">
        <v>0</v>
      </c>
      <c r="AD161" s="631">
        <v>184</v>
      </c>
      <c r="AE161" s="632">
        <v>1.6555555555555557</v>
      </c>
      <c r="AF161" s="632">
        <v>147.34444444444446</v>
      </c>
      <c r="AG161" s="633">
        <v>149.00000000000003</v>
      </c>
      <c r="AH161" s="632">
        <v>0</v>
      </c>
      <c r="AI161" s="632">
        <v>1.819680488237013</v>
      </c>
      <c r="AJ161" s="632">
        <v>161.95156345309417</v>
      </c>
      <c r="AK161" s="632">
        <v>163.77124394133119</v>
      </c>
      <c r="AL161" s="632">
        <v>0</v>
      </c>
      <c r="AM161" s="632">
        <v>1.5793248856199831</v>
      </c>
      <c r="AN161" s="632">
        <v>140.55991482017851</v>
      </c>
      <c r="AO161" s="632">
        <v>142.1392397057985</v>
      </c>
      <c r="AP161" s="632">
        <v>0</v>
      </c>
      <c r="AQ161" s="632">
        <v>11.51598886201489</v>
      </c>
      <c r="AR161" s="632">
        <v>0</v>
      </c>
      <c r="AS161" s="632">
        <v>155.93616477959884</v>
      </c>
      <c r="AT161" s="632">
        <v>159.8056935199597</v>
      </c>
      <c r="AU161" s="632">
        <v>163.77124394133116</v>
      </c>
      <c r="AV161" s="632">
        <v>167.83519880498537</v>
      </c>
      <c r="AW161" s="632">
        <v>172</v>
      </c>
      <c r="AX161" s="632">
        <v>135.59438566538549</v>
      </c>
      <c r="AY161" s="632">
        <v>138.82824959946993</v>
      </c>
      <c r="AZ161" s="632">
        <v>142.1392397057985</v>
      </c>
      <c r="BA161" s="632">
        <v>145.52919540822035</v>
      </c>
      <c r="BB161" s="632">
        <v>149.00000000000003</v>
      </c>
      <c r="BC161" s="632">
        <v>11.051499955837585</v>
      </c>
      <c r="BD161" s="632">
        <v>11.281354103120055</v>
      </c>
      <c r="BE161" s="632">
        <v>11.51598886201489</v>
      </c>
      <c r="BF161" s="632">
        <v>11.755503661867436</v>
      </c>
      <c r="BG161" s="632">
        <v>12</v>
      </c>
      <c r="BH161" s="634">
        <v>173.39026111679112</v>
      </c>
      <c r="BI161" s="634">
        <v>174.79175959388954</v>
      </c>
      <c r="BJ161" s="634">
        <v>176.20458626190631</v>
      </c>
      <c r="BK161" s="635">
        <v>177.35666116041367</v>
      </c>
      <c r="BL161" s="635">
        <v>178.50873605892102</v>
      </c>
      <c r="BM161" s="635">
        <v>179.66081095742842</v>
      </c>
      <c r="BN161" s="635">
        <v>180.81288585593578</v>
      </c>
      <c r="BO161" s="635">
        <v>182.17513886094918</v>
      </c>
      <c r="BP161" s="635">
        <v>183.5373918659626</v>
      </c>
      <c r="BQ161" s="635">
        <v>187.31394826221069</v>
      </c>
      <c r="BR161" s="635">
        <v>191.81345671384352</v>
      </c>
      <c r="BS161" s="635">
        <v>193.78910228854019</v>
      </c>
      <c r="BT161" s="635">
        <v>194.87404007242867</v>
      </c>
      <c r="BU161" s="635">
        <v>195.99759551543636</v>
      </c>
      <c r="BV161" s="635">
        <v>197.1481833198275</v>
      </c>
      <c r="BW161" s="634">
        <v>150.20435410698769</v>
      </c>
      <c r="BX161" s="634">
        <v>151.418442904009</v>
      </c>
      <c r="BY161" s="634">
        <v>152.64234507572118</v>
      </c>
      <c r="BZ161" s="635">
        <v>153.64036344710254</v>
      </c>
      <c r="CA161" s="635">
        <v>154.63838181848394</v>
      </c>
      <c r="CB161" s="635">
        <v>155.63640018986533</v>
      </c>
      <c r="CC161" s="635">
        <v>156.63441856124669</v>
      </c>
      <c r="CD161" s="635">
        <v>157.81450982721762</v>
      </c>
      <c r="CE161" s="635">
        <v>158.99460109318855</v>
      </c>
      <c r="CF161" s="635">
        <v>162.26615285505463</v>
      </c>
      <c r="CG161" s="635">
        <v>166.16398285094584</v>
      </c>
      <c r="CH161" s="635">
        <v>167.87544326158425</v>
      </c>
      <c r="CI161" s="635">
        <v>168.81530215576672</v>
      </c>
      <c r="CJ161" s="635">
        <v>169.78861471976757</v>
      </c>
      <c r="CK161" s="635">
        <v>170.78534485264126</v>
      </c>
      <c r="CL161" s="634">
        <v>12.096994961636589</v>
      </c>
      <c r="CM161" s="634">
        <v>12.194773925155085</v>
      </c>
      <c r="CN161" s="634">
        <v>12.293343227574859</v>
      </c>
      <c r="CO161" s="635">
        <v>12.373720546075372</v>
      </c>
      <c r="CP161" s="635">
        <v>12.454097864575886</v>
      </c>
      <c r="CQ161" s="635">
        <v>12.534475183076401</v>
      </c>
      <c r="CR161" s="635">
        <v>12.614852501576914</v>
      </c>
      <c r="CS161" s="635">
        <v>12.709893408903431</v>
      </c>
      <c r="CT161" s="635">
        <v>12.804934316229948</v>
      </c>
      <c r="CU161" s="635">
        <v>13.068414995037955</v>
      </c>
      <c r="CV161" s="635">
        <v>13.38233418933792</v>
      </c>
      <c r="CW161" s="635">
        <v>13.520169927107453</v>
      </c>
      <c r="CX161" s="635">
        <v>13.595863260867116</v>
      </c>
      <c r="CY161" s="635">
        <v>13.674250849914165</v>
      </c>
      <c r="CZ161" s="635">
        <v>13.754524417662383</v>
      </c>
      <c r="DA161" s="636">
        <v>0</v>
      </c>
      <c r="DB161" s="636">
        <v>0</v>
      </c>
      <c r="DC161" s="636">
        <v>0</v>
      </c>
      <c r="DD161" s="637">
        <v>0</v>
      </c>
      <c r="DE161" s="637">
        <v>0</v>
      </c>
      <c r="DF161" s="637">
        <v>0</v>
      </c>
      <c r="DG161" s="637">
        <v>0</v>
      </c>
      <c r="DH161" s="637">
        <v>0</v>
      </c>
      <c r="DI161" s="637">
        <v>0</v>
      </c>
      <c r="DJ161" s="637">
        <v>0</v>
      </c>
      <c r="DK161" s="637">
        <v>0</v>
      </c>
      <c r="DL161" s="637">
        <v>0</v>
      </c>
      <c r="DM161" s="637">
        <v>0</v>
      </c>
      <c r="DN161" s="637">
        <v>0</v>
      </c>
      <c r="DO161" s="637">
        <v>0</v>
      </c>
      <c r="DP161" s="636">
        <v>0</v>
      </c>
      <c r="DQ161" s="636">
        <v>0</v>
      </c>
      <c r="DR161" s="636">
        <v>0</v>
      </c>
      <c r="DS161" s="637">
        <v>0</v>
      </c>
      <c r="DT161" s="637">
        <v>0</v>
      </c>
      <c r="DU161" s="637">
        <v>0</v>
      </c>
      <c r="DV161" s="637">
        <v>0</v>
      </c>
      <c r="DW161" s="637">
        <v>0</v>
      </c>
      <c r="DX161" s="637">
        <v>0</v>
      </c>
      <c r="DY161" s="637">
        <v>0</v>
      </c>
      <c r="DZ161" s="637">
        <v>0</v>
      </c>
      <c r="EA161" s="637">
        <v>0</v>
      </c>
      <c r="EB161" s="637">
        <v>0</v>
      </c>
      <c r="EC161" s="637">
        <v>0</v>
      </c>
      <c r="ED161" s="637">
        <v>0</v>
      </c>
    </row>
    <row r="162" spans="1:134" ht="15" x14ac:dyDescent="0.25">
      <c r="A162" s="555">
        <v>103</v>
      </c>
      <c r="B162" s="555">
        <v>92</v>
      </c>
      <c r="C162" s="555" t="s">
        <v>1145</v>
      </c>
      <c r="D162" s="812">
        <v>99709</v>
      </c>
      <c r="E162" s="812">
        <v>99709</v>
      </c>
      <c r="F162" s="630" t="s">
        <v>311</v>
      </c>
      <c r="G162" s="45">
        <v>138</v>
      </c>
      <c r="H162" s="45">
        <v>55</v>
      </c>
      <c r="I162" s="45">
        <v>49</v>
      </c>
      <c r="J162" s="45">
        <v>6</v>
      </c>
      <c r="K162" s="45">
        <v>3</v>
      </c>
      <c r="L162" s="45">
        <v>127</v>
      </c>
      <c r="M162" s="45">
        <v>130</v>
      </c>
      <c r="N162" s="45">
        <v>5</v>
      </c>
      <c r="O162" s="45">
        <v>0</v>
      </c>
      <c r="P162" s="45">
        <v>0</v>
      </c>
      <c r="Q162" s="45">
        <v>135</v>
      </c>
      <c r="R162" s="45">
        <v>3599</v>
      </c>
      <c r="S162" s="45">
        <v>2650.1732283464567</v>
      </c>
      <c r="T162" s="45">
        <v>2672.0692307692307</v>
      </c>
      <c r="U162" s="45">
        <v>6711.2</v>
      </c>
      <c r="V162" s="45">
        <v>0</v>
      </c>
      <c r="W162" s="45">
        <v>0</v>
      </c>
      <c r="X162" s="45">
        <v>2821.6666666666665</v>
      </c>
      <c r="Y162" s="45">
        <v>1.2692307692307692</v>
      </c>
      <c r="Z162" s="45">
        <v>53.730769230769234</v>
      </c>
      <c r="AA162" s="45">
        <v>0</v>
      </c>
      <c r="AB162" s="508">
        <v>5</v>
      </c>
      <c r="AC162" s="508">
        <v>0</v>
      </c>
      <c r="AD162" s="631">
        <v>60</v>
      </c>
      <c r="AE162" s="632">
        <v>1.1307692307692307</v>
      </c>
      <c r="AF162" s="632">
        <v>47.869230769230768</v>
      </c>
      <c r="AG162" s="633">
        <v>49</v>
      </c>
      <c r="AH162" s="632">
        <v>0</v>
      </c>
      <c r="AI162" s="632">
        <v>1.2085087321252075</v>
      </c>
      <c r="AJ162" s="632">
        <v>51.160202993300459</v>
      </c>
      <c r="AK162" s="632">
        <v>52.368711725425669</v>
      </c>
      <c r="AL162" s="632">
        <v>0</v>
      </c>
      <c r="AM162" s="632">
        <v>1.0787025419077116</v>
      </c>
      <c r="AN162" s="632">
        <v>45.665074274093129</v>
      </c>
      <c r="AO162" s="632">
        <v>46.743776816000839</v>
      </c>
      <c r="AP162" s="632">
        <v>0</v>
      </c>
      <c r="AQ162" s="632">
        <v>4.7983286925062041</v>
      </c>
      <c r="AR162" s="632">
        <v>0</v>
      </c>
      <c r="AS162" s="632">
        <v>49.863308505104278</v>
      </c>
      <c r="AT162" s="632">
        <v>51.100657811615022</v>
      </c>
      <c r="AU162" s="632">
        <v>52.368711725425662</v>
      </c>
      <c r="AV162" s="632">
        <v>53.668232176012758</v>
      </c>
      <c r="AW162" s="632">
        <v>55</v>
      </c>
      <c r="AX162" s="632">
        <v>44.591442265797909</v>
      </c>
      <c r="AY162" s="632">
        <v>45.654927720631036</v>
      </c>
      <c r="AZ162" s="632">
        <v>46.743776816000839</v>
      </c>
      <c r="BA162" s="632">
        <v>47.858594463106009</v>
      </c>
      <c r="BB162" s="632">
        <v>49</v>
      </c>
      <c r="BC162" s="632">
        <v>4.6047916482656603</v>
      </c>
      <c r="BD162" s="632">
        <v>4.700564209633356</v>
      </c>
      <c r="BE162" s="632">
        <v>4.7983286925062041</v>
      </c>
      <c r="BF162" s="632">
        <v>4.8981265257780979</v>
      </c>
      <c r="BG162" s="632">
        <v>5</v>
      </c>
      <c r="BH162" s="634">
        <v>55.44456024083437</v>
      </c>
      <c r="BI162" s="634">
        <v>55.892713823627474</v>
      </c>
      <c r="BJ162" s="634">
        <v>56.344489793051437</v>
      </c>
      <c r="BK162" s="635">
        <v>56.942449897558646</v>
      </c>
      <c r="BL162" s="635">
        <v>57.540410002065855</v>
      </c>
      <c r="BM162" s="635">
        <v>58.138370106573049</v>
      </c>
      <c r="BN162" s="635">
        <v>58.736330211080258</v>
      </c>
      <c r="BO162" s="635">
        <v>59.443378815557672</v>
      </c>
      <c r="BP162" s="635">
        <v>60.150427420035072</v>
      </c>
      <c r="BQ162" s="635">
        <v>62.110569126363067</v>
      </c>
      <c r="BR162" s="635">
        <v>64.445943803352634</v>
      </c>
      <c r="BS162" s="635">
        <v>65.471360845113892</v>
      </c>
      <c r="BT162" s="635">
        <v>66.034474850529946</v>
      </c>
      <c r="BU162" s="635">
        <v>66.617632534974746</v>
      </c>
      <c r="BV162" s="635">
        <v>67.214820794739651</v>
      </c>
      <c r="BW162" s="634">
        <v>49.396062760016072</v>
      </c>
      <c r="BX162" s="634">
        <v>49.795326861049929</v>
      </c>
      <c r="BY162" s="634">
        <v>50.197818179264004</v>
      </c>
      <c r="BZ162" s="635">
        <v>50.730546272370425</v>
      </c>
      <c r="CA162" s="635">
        <v>51.263274365476846</v>
      </c>
      <c r="CB162" s="635">
        <v>51.79600245858326</v>
      </c>
      <c r="CC162" s="635">
        <v>52.328730551689681</v>
      </c>
      <c r="CD162" s="635">
        <v>52.958646581133195</v>
      </c>
      <c r="CE162" s="635">
        <v>53.588562610576702</v>
      </c>
      <c r="CF162" s="635">
        <v>55.334870676214365</v>
      </c>
      <c r="CG162" s="635">
        <v>57.415477206623251</v>
      </c>
      <c r="CH162" s="635">
        <v>58.329030571101462</v>
      </c>
      <c r="CI162" s="635">
        <v>58.830713957744862</v>
      </c>
      <c r="CJ162" s="635">
        <v>59.350254440250225</v>
      </c>
      <c r="CK162" s="635">
        <v>59.882294889858962</v>
      </c>
      <c r="CL162" s="634">
        <v>5.040414567348579</v>
      </c>
      <c r="CM162" s="634">
        <v>5.0811558021479524</v>
      </c>
      <c r="CN162" s="634">
        <v>5.1222263448228578</v>
      </c>
      <c r="CO162" s="635">
        <v>5.1765863543235131</v>
      </c>
      <c r="CP162" s="635">
        <v>5.2309463638241684</v>
      </c>
      <c r="CQ162" s="635">
        <v>5.285306373324822</v>
      </c>
      <c r="CR162" s="635">
        <v>5.3396663828254773</v>
      </c>
      <c r="CS162" s="635">
        <v>5.4039435286870612</v>
      </c>
      <c r="CT162" s="635">
        <v>5.4682206745486432</v>
      </c>
      <c r="CU162" s="635">
        <v>5.6464153751239152</v>
      </c>
      <c r="CV162" s="635">
        <v>5.8587221639411489</v>
      </c>
      <c r="CW162" s="635">
        <v>5.9519418950103535</v>
      </c>
      <c r="CX162" s="635">
        <v>6.0031340773209045</v>
      </c>
      <c r="CY162" s="635">
        <v>6.0561484122704314</v>
      </c>
      <c r="CZ162" s="635">
        <v>6.1104382540672413</v>
      </c>
      <c r="DA162" s="636">
        <v>0</v>
      </c>
      <c r="DB162" s="636">
        <v>0</v>
      </c>
      <c r="DC162" s="636">
        <v>0</v>
      </c>
      <c r="DD162" s="637">
        <v>0</v>
      </c>
      <c r="DE162" s="637">
        <v>0</v>
      </c>
      <c r="DF162" s="637">
        <v>0</v>
      </c>
      <c r="DG162" s="637">
        <v>0</v>
      </c>
      <c r="DH162" s="637">
        <v>0</v>
      </c>
      <c r="DI162" s="637">
        <v>0</v>
      </c>
      <c r="DJ162" s="637">
        <v>0</v>
      </c>
      <c r="DK162" s="637">
        <v>0</v>
      </c>
      <c r="DL162" s="637">
        <v>0</v>
      </c>
      <c r="DM162" s="637">
        <v>0</v>
      </c>
      <c r="DN162" s="637">
        <v>0</v>
      </c>
      <c r="DO162" s="637">
        <v>0</v>
      </c>
      <c r="DP162" s="636">
        <v>0</v>
      </c>
      <c r="DQ162" s="636">
        <v>0</v>
      </c>
      <c r="DR162" s="636">
        <v>0</v>
      </c>
      <c r="DS162" s="637">
        <v>0</v>
      </c>
      <c r="DT162" s="637">
        <v>0</v>
      </c>
      <c r="DU162" s="637">
        <v>0</v>
      </c>
      <c r="DV162" s="637">
        <v>0</v>
      </c>
      <c r="DW162" s="637">
        <v>0</v>
      </c>
      <c r="DX162" s="637">
        <v>0</v>
      </c>
      <c r="DY162" s="637">
        <v>0</v>
      </c>
      <c r="DZ162" s="637">
        <v>0</v>
      </c>
      <c r="EA162" s="637">
        <v>0</v>
      </c>
      <c r="EB162" s="637">
        <v>0</v>
      </c>
      <c r="EC162" s="637">
        <v>0</v>
      </c>
      <c r="ED162" s="637">
        <v>0</v>
      </c>
    </row>
    <row r="163" spans="1:134" ht="15" x14ac:dyDescent="0.25">
      <c r="A163" s="555">
        <v>104</v>
      </c>
      <c r="B163" s="555">
        <v>92</v>
      </c>
      <c r="C163" s="555" t="s">
        <v>1146</v>
      </c>
      <c r="D163" s="812">
        <v>99709</v>
      </c>
      <c r="E163" s="812">
        <v>99709</v>
      </c>
      <c r="F163" s="630" t="s">
        <v>311</v>
      </c>
      <c r="G163" s="45">
        <v>100</v>
      </c>
      <c r="H163" s="45">
        <v>47</v>
      </c>
      <c r="I163" s="45">
        <v>43</v>
      </c>
      <c r="J163" s="45">
        <v>4</v>
      </c>
      <c r="K163" s="45">
        <v>1</v>
      </c>
      <c r="L163" s="45">
        <v>44</v>
      </c>
      <c r="M163" s="45">
        <v>45</v>
      </c>
      <c r="N163" s="45">
        <v>17</v>
      </c>
      <c r="O163" s="45">
        <v>0</v>
      </c>
      <c r="P163" s="45">
        <v>0</v>
      </c>
      <c r="Q163" s="45">
        <v>62</v>
      </c>
      <c r="R163" s="45">
        <v>4608</v>
      </c>
      <c r="S163" s="45">
        <v>2256.7727272727275</v>
      </c>
      <c r="T163" s="45">
        <v>2309.0222222222224</v>
      </c>
      <c r="U163" s="45">
        <v>10169.117647058823</v>
      </c>
      <c r="V163" s="45">
        <v>0</v>
      </c>
      <c r="W163" s="45">
        <v>0</v>
      </c>
      <c r="X163" s="45">
        <v>4464.2096774193551</v>
      </c>
      <c r="Y163" s="45">
        <v>1.0444444444444445</v>
      </c>
      <c r="Z163" s="45">
        <v>45.955555555555556</v>
      </c>
      <c r="AA163" s="45">
        <v>0</v>
      </c>
      <c r="AB163" s="508">
        <v>17</v>
      </c>
      <c r="AC163" s="508">
        <v>0</v>
      </c>
      <c r="AD163" s="631">
        <v>64</v>
      </c>
      <c r="AE163" s="632">
        <v>0.9555555555555556</v>
      </c>
      <c r="AF163" s="632">
        <v>42.044444444444444</v>
      </c>
      <c r="AG163" s="633">
        <v>43</v>
      </c>
      <c r="AH163" s="632">
        <v>0</v>
      </c>
      <c r="AI163" s="632">
        <v>0.99447654589697232</v>
      </c>
      <c r="AJ163" s="632">
        <v>43.756968019466775</v>
      </c>
      <c r="AK163" s="632">
        <v>44.751444565363748</v>
      </c>
      <c r="AL163" s="632">
        <v>0</v>
      </c>
      <c r="AM163" s="632">
        <v>0.91155664539139958</v>
      </c>
      <c r="AN163" s="632">
        <v>40.108492397221582</v>
      </c>
      <c r="AO163" s="632">
        <v>41.020049042612982</v>
      </c>
      <c r="AP163" s="632">
        <v>0</v>
      </c>
      <c r="AQ163" s="632">
        <v>16.314317554521097</v>
      </c>
      <c r="AR163" s="632">
        <v>0</v>
      </c>
      <c r="AS163" s="632">
        <v>42.610463631634566</v>
      </c>
      <c r="AT163" s="632">
        <v>43.667834857198294</v>
      </c>
      <c r="AU163" s="632">
        <v>44.751444565363748</v>
      </c>
      <c r="AV163" s="632">
        <v>45.861943859501814</v>
      </c>
      <c r="AW163" s="632">
        <v>47</v>
      </c>
      <c r="AX163" s="632">
        <v>39.131265661822653</v>
      </c>
      <c r="AY163" s="632">
        <v>40.06452840790071</v>
      </c>
      <c r="AZ163" s="632">
        <v>41.020049042612982</v>
      </c>
      <c r="BA163" s="632">
        <v>41.998358406399149</v>
      </c>
      <c r="BB163" s="632">
        <v>43</v>
      </c>
      <c r="BC163" s="632">
        <v>15.656291604103245</v>
      </c>
      <c r="BD163" s="632">
        <v>15.981918312753411</v>
      </c>
      <c r="BE163" s="632">
        <v>16.314317554521097</v>
      </c>
      <c r="BF163" s="632">
        <v>16.653630187645533</v>
      </c>
      <c r="BG163" s="632">
        <v>17</v>
      </c>
      <c r="BH163" s="634">
        <v>48.102708341346109</v>
      </c>
      <c r="BI163" s="634">
        <v>49.231288293034225</v>
      </c>
      <c r="BJ163" s="634">
        <v>50.386346851671334</v>
      </c>
      <c r="BK163" s="635">
        <v>50.522569639454744</v>
      </c>
      <c r="BL163" s="635">
        <v>50.65879242723814</v>
      </c>
      <c r="BM163" s="635">
        <v>50.795015215021543</v>
      </c>
      <c r="BN163" s="635">
        <v>50.931238002804946</v>
      </c>
      <c r="BO163" s="635">
        <v>51.092312514756976</v>
      </c>
      <c r="BP163" s="635">
        <v>51.253387026708985</v>
      </c>
      <c r="BQ163" s="635">
        <v>51.699931814018122</v>
      </c>
      <c r="BR163" s="635">
        <v>52.231959363381904</v>
      </c>
      <c r="BS163" s="635">
        <v>52.465562185738172</v>
      </c>
      <c r="BT163" s="635">
        <v>52.593846596486401</v>
      </c>
      <c r="BU163" s="635">
        <v>52.726697207912807</v>
      </c>
      <c r="BV163" s="635">
        <v>52.862744159813957</v>
      </c>
      <c r="BW163" s="634">
        <v>44.008860822933677</v>
      </c>
      <c r="BX163" s="634">
        <v>45.041391417031313</v>
      </c>
      <c r="BY163" s="634">
        <v>46.098147119614197</v>
      </c>
      <c r="BZ163" s="635">
        <v>46.222776478650083</v>
      </c>
      <c r="CA163" s="635">
        <v>46.347405837685955</v>
      </c>
      <c r="CB163" s="635">
        <v>46.472035196721833</v>
      </c>
      <c r="CC163" s="635">
        <v>46.596664555757719</v>
      </c>
      <c r="CD163" s="635">
        <v>46.744030598607438</v>
      </c>
      <c r="CE163" s="635">
        <v>46.891396641457156</v>
      </c>
      <c r="CF163" s="635">
        <v>47.299937617080403</v>
      </c>
      <c r="CG163" s="635">
        <v>47.786686226072803</v>
      </c>
      <c r="CH163" s="635">
        <v>48.000407957164704</v>
      </c>
      <c r="CI163" s="635">
        <v>48.117774545721595</v>
      </c>
      <c r="CJ163" s="635">
        <v>48.239318722132992</v>
      </c>
      <c r="CK163" s="635">
        <v>48.36378721004256</v>
      </c>
      <c r="CL163" s="634">
        <v>17.398851953252848</v>
      </c>
      <c r="CM163" s="634">
        <v>17.807061723012382</v>
      </c>
      <c r="CN163" s="634">
        <v>18.224848861242823</v>
      </c>
      <c r="CO163" s="635">
        <v>18.274120933419802</v>
      </c>
      <c r="CP163" s="635">
        <v>18.323393005596774</v>
      </c>
      <c r="CQ163" s="635">
        <v>18.37266507777375</v>
      </c>
      <c r="CR163" s="635">
        <v>18.421937149950725</v>
      </c>
      <c r="CS163" s="635">
        <v>18.480198143635501</v>
      </c>
      <c r="CT163" s="635">
        <v>18.53845913732027</v>
      </c>
      <c r="CU163" s="635">
        <v>18.699975336985279</v>
      </c>
      <c r="CV163" s="635">
        <v>18.89241083356367</v>
      </c>
      <c r="CW163" s="635">
        <v>18.97690547143721</v>
      </c>
      <c r="CX163" s="635">
        <v>19.023306215750399</v>
      </c>
      <c r="CY163" s="635">
        <v>19.071358564564207</v>
      </c>
      <c r="CZ163" s="635">
        <v>19.120567036528453</v>
      </c>
      <c r="DA163" s="636">
        <v>0</v>
      </c>
      <c r="DB163" s="636">
        <v>0</v>
      </c>
      <c r="DC163" s="636">
        <v>0</v>
      </c>
      <c r="DD163" s="637">
        <v>0</v>
      </c>
      <c r="DE163" s="637">
        <v>0</v>
      </c>
      <c r="DF163" s="637">
        <v>0</v>
      </c>
      <c r="DG163" s="637">
        <v>0</v>
      </c>
      <c r="DH163" s="637">
        <v>0</v>
      </c>
      <c r="DI163" s="637">
        <v>0</v>
      </c>
      <c r="DJ163" s="637">
        <v>0</v>
      </c>
      <c r="DK163" s="637">
        <v>0</v>
      </c>
      <c r="DL163" s="637">
        <v>0</v>
      </c>
      <c r="DM163" s="637">
        <v>0</v>
      </c>
      <c r="DN163" s="637">
        <v>0</v>
      </c>
      <c r="DO163" s="637">
        <v>0</v>
      </c>
      <c r="DP163" s="636">
        <v>0</v>
      </c>
      <c r="DQ163" s="636">
        <v>0</v>
      </c>
      <c r="DR163" s="636">
        <v>0</v>
      </c>
      <c r="DS163" s="637">
        <v>0</v>
      </c>
      <c r="DT163" s="637">
        <v>0</v>
      </c>
      <c r="DU163" s="637">
        <v>0</v>
      </c>
      <c r="DV163" s="637">
        <v>0</v>
      </c>
      <c r="DW163" s="637">
        <v>0</v>
      </c>
      <c r="DX163" s="637">
        <v>0</v>
      </c>
      <c r="DY163" s="637">
        <v>0</v>
      </c>
      <c r="DZ163" s="637">
        <v>0</v>
      </c>
      <c r="EA163" s="637">
        <v>0</v>
      </c>
      <c r="EB163" s="637">
        <v>0</v>
      </c>
      <c r="EC163" s="637">
        <v>0</v>
      </c>
      <c r="ED163" s="637">
        <v>0</v>
      </c>
    </row>
    <row r="164" spans="1:134" ht="15" x14ac:dyDescent="0.25">
      <c r="A164" s="555">
        <v>105</v>
      </c>
      <c r="B164" s="555">
        <v>92</v>
      </c>
      <c r="C164" s="555" t="s">
        <v>1147</v>
      </c>
      <c r="D164" s="812">
        <v>99709</v>
      </c>
      <c r="E164" s="812">
        <v>99709</v>
      </c>
      <c r="F164" s="630" t="s">
        <v>311</v>
      </c>
      <c r="G164" s="45">
        <v>0</v>
      </c>
      <c r="H164" s="45">
        <v>1</v>
      </c>
      <c r="I164" s="45">
        <v>0</v>
      </c>
      <c r="J164" s="45">
        <v>1</v>
      </c>
      <c r="K164" s="45">
        <v>0</v>
      </c>
      <c r="L164" s="45">
        <v>0</v>
      </c>
      <c r="M164" s="45">
        <v>0</v>
      </c>
      <c r="N164" s="45">
        <v>32</v>
      </c>
      <c r="O164" s="45">
        <v>0</v>
      </c>
      <c r="P164" s="45">
        <v>0</v>
      </c>
      <c r="Q164" s="45">
        <v>32</v>
      </c>
      <c r="R164" s="45">
        <v>0</v>
      </c>
      <c r="S164" s="45">
        <v>0</v>
      </c>
      <c r="T164" s="45">
        <v>0</v>
      </c>
      <c r="U164" s="45">
        <v>3682.09375</v>
      </c>
      <c r="V164" s="45">
        <v>0</v>
      </c>
      <c r="W164" s="45">
        <v>0</v>
      </c>
      <c r="X164" s="45">
        <v>3682.09375</v>
      </c>
      <c r="Y164" s="45">
        <v>2.2912335412335411E-2</v>
      </c>
      <c r="Z164" s="45">
        <v>0.97578828828828834</v>
      </c>
      <c r="AA164" s="45">
        <v>1.2993762993762994E-3</v>
      </c>
      <c r="AB164" s="508">
        <v>32</v>
      </c>
      <c r="AC164" s="508">
        <v>0</v>
      </c>
      <c r="AD164" s="631">
        <v>33</v>
      </c>
      <c r="AE164" s="632">
        <v>0</v>
      </c>
      <c r="AF164" s="632">
        <v>0</v>
      </c>
      <c r="AG164" s="633">
        <v>0</v>
      </c>
      <c r="AH164" s="632">
        <v>0</v>
      </c>
      <c r="AI164" s="632">
        <v>2.1816172512088276E-2</v>
      </c>
      <c r="AJ164" s="632">
        <v>0.9291050104439259</v>
      </c>
      <c r="AK164" s="632">
        <v>0.95092118295601413</v>
      </c>
      <c r="AL164" s="632">
        <v>1.2372120517252332E-3</v>
      </c>
      <c r="AM164" s="632">
        <v>0</v>
      </c>
      <c r="AN164" s="632">
        <v>0</v>
      </c>
      <c r="AO164" s="632">
        <v>0</v>
      </c>
      <c r="AP164" s="632">
        <v>0</v>
      </c>
      <c r="AQ164" s="632">
        <v>30.709303632039706</v>
      </c>
      <c r="AR164" s="632">
        <v>0</v>
      </c>
      <c r="AS164" s="632">
        <v>0.90542758734225925</v>
      </c>
      <c r="AT164" s="632">
        <v>0.92789561505403773</v>
      </c>
      <c r="AU164" s="632">
        <v>0.95092118295601413</v>
      </c>
      <c r="AV164" s="632">
        <v>0.97451812631079682</v>
      </c>
      <c r="AW164" s="632">
        <v>0.99870062370062374</v>
      </c>
      <c r="AX164" s="632">
        <v>0</v>
      </c>
      <c r="AY164" s="632">
        <v>0</v>
      </c>
      <c r="AZ164" s="632">
        <v>0</v>
      </c>
      <c r="BA164" s="632">
        <v>0</v>
      </c>
      <c r="BB164" s="632">
        <v>0</v>
      </c>
      <c r="BC164" s="632">
        <v>29.470666548900226</v>
      </c>
      <c r="BD164" s="632">
        <v>30.083610941653479</v>
      </c>
      <c r="BE164" s="632">
        <v>30.709303632039706</v>
      </c>
      <c r="BF164" s="632">
        <v>31.348009764979828</v>
      </c>
      <c r="BG164" s="632">
        <v>32</v>
      </c>
      <c r="BH164" s="634">
        <v>1.0221320174934374</v>
      </c>
      <c r="BI164" s="634">
        <v>1.046113155826351</v>
      </c>
      <c r="BJ164" s="634">
        <v>1.0706569367395771</v>
      </c>
      <c r="BK164" s="635">
        <v>1.0706569367395771</v>
      </c>
      <c r="BL164" s="635">
        <v>1.0706569367395771</v>
      </c>
      <c r="BM164" s="635">
        <v>1.0706569367395771</v>
      </c>
      <c r="BN164" s="635">
        <v>1.0706569367395771</v>
      </c>
      <c r="BO164" s="635">
        <v>1.0706569367395771</v>
      </c>
      <c r="BP164" s="635">
        <v>1.0706569367395771</v>
      </c>
      <c r="BQ164" s="635">
        <v>1.0706569367395771</v>
      </c>
      <c r="BR164" s="635">
        <v>1.0706569367395771</v>
      </c>
      <c r="BS164" s="635">
        <v>1.0706569367395771</v>
      </c>
      <c r="BT164" s="635">
        <v>1.0706569367395771</v>
      </c>
      <c r="BU164" s="635">
        <v>1.0706569367395771</v>
      </c>
      <c r="BV164" s="635">
        <v>1.0706569367395771</v>
      </c>
      <c r="BW164" s="634">
        <v>0</v>
      </c>
      <c r="BX164" s="634">
        <v>0</v>
      </c>
      <c r="BY164" s="634">
        <v>0</v>
      </c>
      <c r="BZ164" s="635">
        <v>0</v>
      </c>
      <c r="CA164" s="635">
        <v>0</v>
      </c>
      <c r="CB164" s="635">
        <v>0</v>
      </c>
      <c r="CC164" s="635">
        <v>0</v>
      </c>
      <c r="CD164" s="635">
        <v>0</v>
      </c>
      <c r="CE164" s="635">
        <v>0</v>
      </c>
      <c r="CF164" s="635">
        <v>0</v>
      </c>
      <c r="CG164" s="635">
        <v>0</v>
      </c>
      <c r="CH164" s="635">
        <v>0</v>
      </c>
      <c r="CI164" s="635">
        <v>0</v>
      </c>
      <c r="CJ164" s="635">
        <v>0</v>
      </c>
      <c r="CK164" s="635">
        <v>0</v>
      </c>
      <c r="CL164" s="634">
        <v>32.75078014729948</v>
      </c>
      <c r="CM164" s="634">
        <v>33.519175008023304</v>
      </c>
      <c r="CN164" s="634">
        <v>34.305597856457076</v>
      </c>
      <c r="CO164" s="635">
        <v>34.305597856457076</v>
      </c>
      <c r="CP164" s="635">
        <v>34.305597856457076</v>
      </c>
      <c r="CQ164" s="635">
        <v>34.305597856457076</v>
      </c>
      <c r="CR164" s="635">
        <v>34.305597856457076</v>
      </c>
      <c r="CS164" s="635">
        <v>34.305597856457076</v>
      </c>
      <c r="CT164" s="635">
        <v>34.305597856457076</v>
      </c>
      <c r="CU164" s="635">
        <v>34.305597856457076</v>
      </c>
      <c r="CV164" s="635">
        <v>34.305597856457076</v>
      </c>
      <c r="CW164" s="635">
        <v>34.305597856457076</v>
      </c>
      <c r="CX164" s="635">
        <v>34.305597856457076</v>
      </c>
      <c r="CY164" s="635">
        <v>34.305597856457076</v>
      </c>
      <c r="CZ164" s="635">
        <v>34.305597856457076</v>
      </c>
      <c r="DA164" s="636">
        <v>1.3298621096713991E-3</v>
      </c>
      <c r="DB164" s="636">
        <v>1.3610631743772457E-3</v>
      </c>
      <c r="DC164" s="636">
        <v>1.3929962747067095E-3</v>
      </c>
      <c r="DD164" s="637">
        <v>1.3929962747067095E-3</v>
      </c>
      <c r="DE164" s="637">
        <v>1.3929962747067095E-3</v>
      </c>
      <c r="DF164" s="637">
        <v>1.3929962747067095E-3</v>
      </c>
      <c r="DG164" s="637">
        <v>1.3929962747067095E-3</v>
      </c>
      <c r="DH164" s="637">
        <v>1.3929962747067095E-3</v>
      </c>
      <c r="DI164" s="637">
        <v>1.3929962747067095E-3</v>
      </c>
      <c r="DJ164" s="637">
        <v>1.3929962747067095E-3</v>
      </c>
      <c r="DK164" s="637">
        <v>1.3929962747067095E-3</v>
      </c>
      <c r="DL164" s="637">
        <v>1.3929962747067095E-3</v>
      </c>
      <c r="DM164" s="637">
        <v>1.3929962747067095E-3</v>
      </c>
      <c r="DN164" s="637">
        <v>1.3929962747067095E-3</v>
      </c>
      <c r="DO164" s="637">
        <v>1.3929962747067095E-3</v>
      </c>
      <c r="DP164" s="636">
        <v>0</v>
      </c>
      <c r="DQ164" s="636">
        <v>0</v>
      </c>
      <c r="DR164" s="636">
        <v>0</v>
      </c>
      <c r="DS164" s="637">
        <v>0</v>
      </c>
      <c r="DT164" s="637">
        <v>0</v>
      </c>
      <c r="DU164" s="637">
        <v>0</v>
      </c>
      <c r="DV164" s="637">
        <v>0</v>
      </c>
      <c r="DW164" s="637">
        <v>0</v>
      </c>
      <c r="DX164" s="637">
        <v>0</v>
      </c>
      <c r="DY164" s="637">
        <v>0</v>
      </c>
      <c r="DZ164" s="637">
        <v>0</v>
      </c>
      <c r="EA164" s="637">
        <v>0</v>
      </c>
      <c r="EB164" s="637">
        <v>0</v>
      </c>
      <c r="EC164" s="637">
        <v>0</v>
      </c>
      <c r="ED164" s="637">
        <v>0</v>
      </c>
    </row>
    <row r="165" spans="1:134" ht="15" x14ac:dyDescent="0.25">
      <c r="A165" s="555">
        <v>106</v>
      </c>
      <c r="B165" s="555">
        <v>92</v>
      </c>
      <c r="C165" s="555" t="s">
        <v>1148</v>
      </c>
      <c r="D165" s="812">
        <v>99709</v>
      </c>
      <c r="E165" s="812">
        <v>99709</v>
      </c>
      <c r="F165" s="630" t="s">
        <v>311</v>
      </c>
      <c r="G165" s="45">
        <v>15</v>
      </c>
      <c r="H165" s="45">
        <v>14</v>
      </c>
      <c r="I165" s="45">
        <v>8</v>
      </c>
      <c r="J165" s="45">
        <v>6</v>
      </c>
      <c r="K165" s="45">
        <v>0</v>
      </c>
      <c r="L165" s="45">
        <v>5</v>
      </c>
      <c r="M165" s="45">
        <v>5</v>
      </c>
      <c r="N165" s="45">
        <v>2</v>
      </c>
      <c r="O165" s="45">
        <v>0</v>
      </c>
      <c r="P165" s="45">
        <v>0</v>
      </c>
      <c r="Q165" s="45">
        <v>7</v>
      </c>
      <c r="R165" s="45">
        <v>0</v>
      </c>
      <c r="S165" s="45">
        <v>971.8</v>
      </c>
      <c r="T165" s="45">
        <v>971.8</v>
      </c>
      <c r="U165" s="45">
        <v>13200.5</v>
      </c>
      <c r="V165" s="45">
        <v>0</v>
      </c>
      <c r="W165" s="45">
        <v>0</v>
      </c>
      <c r="X165" s="45">
        <v>4465.7142857142853</v>
      </c>
      <c r="Y165" s="45">
        <v>0</v>
      </c>
      <c r="Z165" s="45">
        <v>14</v>
      </c>
      <c r="AA165" s="45">
        <v>0</v>
      </c>
      <c r="AB165" s="508">
        <v>2</v>
      </c>
      <c r="AC165" s="508">
        <v>0</v>
      </c>
      <c r="AD165" s="631">
        <v>16</v>
      </c>
      <c r="AE165" s="632">
        <v>0</v>
      </c>
      <c r="AF165" s="632">
        <v>8</v>
      </c>
      <c r="AG165" s="633">
        <v>8</v>
      </c>
      <c r="AH165" s="632">
        <v>0</v>
      </c>
      <c r="AI165" s="632">
        <v>0</v>
      </c>
      <c r="AJ165" s="632">
        <v>13.330217530108351</v>
      </c>
      <c r="AK165" s="632">
        <v>13.330217530108351</v>
      </c>
      <c r="AL165" s="632">
        <v>0</v>
      </c>
      <c r="AM165" s="632">
        <v>0</v>
      </c>
      <c r="AN165" s="632">
        <v>7.6316370311838106</v>
      </c>
      <c r="AO165" s="632">
        <v>7.6316370311838106</v>
      </c>
      <c r="AP165" s="632">
        <v>0</v>
      </c>
      <c r="AQ165" s="632">
        <v>1.9193314770024816</v>
      </c>
      <c r="AR165" s="632">
        <v>0</v>
      </c>
      <c r="AS165" s="632">
        <v>12.692478528571998</v>
      </c>
      <c r="AT165" s="632">
        <v>13.007440170229279</v>
      </c>
      <c r="AU165" s="632">
        <v>13.330217530108351</v>
      </c>
      <c r="AV165" s="632">
        <v>13.661004553894157</v>
      </c>
      <c r="AW165" s="632">
        <v>14</v>
      </c>
      <c r="AX165" s="632">
        <v>7.2802354719670053</v>
      </c>
      <c r="AY165" s="632">
        <v>7.4538657503071084</v>
      </c>
      <c r="AZ165" s="632">
        <v>7.6316370311838106</v>
      </c>
      <c r="BA165" s="632">
        <v>7.8136480756091444</v>
      </c>
      <c r="BB165" s="632">
        <v>8</v>
      </c>
      <c r="BC165" s="632">
        <v>1.8419166593062641</v>
      </c>
      <c r="BD165" s="632">
        <v>1.8802256838533424</v>
      </c>
      <c r="BE165" s="632">
        <v>1.9193314770024816</v>
      </c>
      <c r="BF165" s="632">
        <v>1.9592506103112393</v>
      </c>
      <c r="BG165" s="632">
        <v>2</v>
      </c>
      <c r="BH165" s="634">
        <v>14.255258368998255</v>
      </c>
      <c r="BI165" s="634">
        <v>14.515170797635342</v>
      </c>
      <c r="BJ165" s="634">
        <v>14.779822142173591</v>
      </c>
      <c r="BK165" s="635">
        <v>16.97139202012454</v>
      </c>
      <c r="BL165" s="635">
        <v>19.162961898075487</v>
      </c>
      <c r="BM165" s="635">
        <v>21.354531776026434</v>
      </c>
      <c r="BN165" s="635">
        <v>23.546101653977381</v>
      </c>
      <c r="BO165" s="635">
        <v>26.13748929362092</v>
      </c>
      <c r="BP165" s="635">
        <v>28.728876933264456</v>
      </c>
      <c r="BQ165" s="635">
        <v>35.912947388339461</v>
      </c>
      <c r="BR165" s="635">
        <v>44.472275606461544</v>
      </c>
      <c r="BS165" s="635">
        <v>48.230508110808266</v>
      </c>
      <c r="BT165" s="635">
        <v>50.294364349409996</v>
      </c>
      <c r="BU165" s="635">
        <v>52.431682216758496</v>
      </c>
      <c r="BV165" s="635">
        <v>54.620423224229746</v>
      </c>
      <c r="BW165" s="634">
        <v>8.14586192514186</v>
      </c>
      <c r="BX165" s="634">
        <v>8.2943833129344817</v>
      </c>
      <c r="BY165" s="634">
        <v>8.4456126526706239</v>
      </c>
      <c r="BZ165" s="635">
        <v>9.6979382972140229</v>
      </c>
      <c r="CA165" s="635">
        <v>10.950263941757422</v>
      </c>
      <c r="CB165" s="635">
        <v>12.202589586300819</v>
      </c>
      <c r="CC165" s="635">
        <v>13.454915230844218</v>
      </c>
      <c r="CD165" s="635">
        <v>14.935708167783384</v>
      </c>
      <c r="CE165" s="635">
        <v>16.416501104722546</v>
      </c>
      <c r="CF165" s="635">
        <v>20.521684221908263</v>
      </c>
      <c r="CG165" s="635">
        <v>25.412728917978026</v>
      </c>
      <c r="CH165" s="635">
        <v>27.560290349033295</v>
      </c>
      <c r="CI165" s="635">
        <v>28.739636771091426</v>
      </c>
      <c r="CJ165" s="635">
        <v>29.960961266719142</v>
      </c>
      <c r="CK165" s="635">
        <v>31.211670413845571</v>
      </c>
      <c r="CL165" s="634">
        <v>2.036465481285465</v>
      </c>
      <c r="CM165" s="634">
        <v>2.0735958282336204</v>
      </c>
      <c r="CN165" s="634">
        <v>2.111403163167656</v>
      </c>
      <c r="CO165" s="635">
        <v>2.4244845743035057</v>
      </c>
      <c r="CP165" s="635">
        <v>2.7375659854393555</v>
      </c>
      <c r="CQ165" s="635">
        <v>3.0506473965752048</v>
      </c>
      <c r="CR165" s="635">
        <v>3.3637288077110545</v>
      </c>
      <c r="CS165" s="635">
        <v>3.7339270419458459</v>
      </c>
      <c r="CT165" s="635">
        <v>4.1041252761806364</v>
      </c>
      <c r="CU165" s="635">
        <v>5.1304210554770657</v>
      </c>
      <c r="CV165" s="635">
        <v>6.3531822294945064</v>
      </c>
      <c r="CW165" s="635">
        <v>6.8900725872583237</v>
      </c>
      <c r="CX165" s="635">
        <v>7.1849091927728566</v>
      </c>
      <c r="CY165" s="635">
        <v>7.4902403166797855</v>
      </c>
      <c r="CZ165" s="635">
        <v>7.8029176034613927</v>
      </c>
      <c r="DA165" s="636">
        <v>0</v>
      </c>
      <c r="DB165" s="636">
        <v>0</v>
      </c>
      <c r="DC165" s="636">
        <v>0</v>
      </c>
      <c r="DD165" s="637">
        <v>0</v>
      </c>
      <c r="DE165" s="637">
        <v>0</v>
      </c>
      <c r="DF165" s="637">
        <v>0</v>
      </c>
      <c r="DG165" s="637">
        <v>0</v>
      </c>
      <c r="DH165" s="637">
        <v>0</v>
      </c>
      <c r="DI165" s="637">
        <v>0</v>
      </c>
      <c r="DJ165" s="637">
        <v>0</v>
      </c>
      <c r="DK165" s="637">
        <v>0</v>
      </c>
      <c r="DL165" s="637">
        <v>0</v>
      </c>
      <c r="DM165" s="637">
        <v>0</v>
      </c>
      <c r="DN165" s="637">
        <v>0</v>
      </c>
      <c r="DO165" s="637">
        <v>0</v>
      </c>
      <c r="DP165" s="636">
        <v>0</v>
      </c>
      <c r="DQ165" s="636">
        <v>0</v>
      </c>
      <c r="DR165" s="636">
        <v>0</v>
      </c>
      <c r="DS165" s="637">
        <v>0</v>
      </c>
      <c r="DT165" s="637">
        <v>0</v>
      </c>
      <c r="DU165" s="637">
        <v>0</v>
      </c>
      <c r="DV165" s="637">
        <v>0</v>
      </c>
      <c r="DW165" s="637">
        <v>0</v>
      </c>
      <c r="DX165" s="637">
        <v>0</v>
      </c>
      <c r="DY165" s="637">
        <v>0</v>
      </c>
      <c r="DZ165" s="637">
        <v>0</v>
      </c>
      <c r="EA165" s="637">
        <v>0</v>
      </c>
      <c r="EB165" s="637">
        <v>0</v>
      </c>
      <c r="EC165" s="637">
        <v>0</v>
      </c>
      <c r="ED165" s="637">
        <v>0</v>
      </c>
    </row>
    <row r="166" spans="1:134" ht="15" x14ac:dyDescent="0.25">
      <c r="A166" s="555">
        <v>107</v>
      </c>
      <c r="B166" s="555">
        <v>92</v>
      </c>
      <c r="C166" s="555" t="s">
        <v>1149</v>
      </c>
      <c r="D166" s="812">
        <v>99709</v>
      </c>
      <c r="E166" s="812">
        <v>99709</v>
      </c>
      <c r="F166" s="630" t="s">
        <v>311</v>
      </c>
      <c r="G166" s="45">
        <v>150</v>
      </c>
      <c r="H166" s="45">
        <v>69</v>
      </c>
      <c r="I166" s="45">
        <v>59</v>
      </c>
      <c r="J166" s="45">
        <v>10</v>
      </c>
      <c r="K166" s="45">
        <v>0</v>
      </c>
      <c r="L166" s="45">
        <v>7</v>
      </c>
      <c r="M166" s="45">
        <v>7</v>
      </c>
      <c r="N166" s="45">
        <v>56</v>
      </c>
      <c r="O166" s="45">
        <v>0</v>
      </c>
      <c r="P166" s="45">
        <v>0</v>
      </c>
      <c r="Q166" s="45">
        <v>63</v>
      </c>
      <c r="R166" s="45">
        <v>0</v>
      </c>
      <c r="S166" s="45">
        <v>2052.8571428571427</v>
      </c>
      <c r="T166" s="45">
        <v>2052.8571428571427</v>
      </c>
      <c r="U166" s="45">
        <v>8787.3214285714294</v>
      </c>
      <c r="V166" s="45">
        <v>0</v>
      </c>
      <c r="W166" s="45">
        <v>0</v>
      </c>
      <c r="X166" s="45">
        <v>8039.0476190476193</v>
      </c>
      <c r="Y166" s="45">
        <v>0</v>
      </c>
      <c r="Z166" s="45">
        <v>69</v>
      </c>
      <c r="AA166" s="45">
        <v>0</v>
      </c>
      <c r="AB166" s="508">
        <v>56</v>
      </c>
      <c r="AC166" s="508">
        <v>0</v>
      </c>
      <c r="AD166" s="631">
        <v>125</v>
      </c>
      <c r="AE166" s="632">
        <v>0</v>
      </c>
      <c r="AF166" s="632">
        <v>59</v>
      </c>
      <c r="AG166" s="633">
        <v>59</v>
      </c>
      <c r="AH166" s="632">
        <v>0</v>
      </c>
      <c r="AI166" s="632">
        <v>0</v>
      </c>
      <c r="AJ166" s="632">
        <v>65.698929255534011</v>
      </c>
      <c r="AK166" s="632">
        <v>65.698929255534011</v>
      </c>
      <c r="AL166" s="632">
        <v>0</v>
      </c>
      <c r="AM166" s="632">
        <v>0</v>
      </c>
      <c r="AN166" s="632">
        <v>56.283323104980603</v>
      </c>
      <c r="AO166" s="632">
        <v>56.283323104980603</v>
      </c>
      <c r="AP166" s="632">
        <v>0</v>
      </c>
      <c r="AQ166" s="632">
        <v>53.741281356069486</v>
      </c>
      <c r="AR166" s="632">
        <v>0</v>
      </c>
      <c r="AS166" s="632">
        <v>62.555787033676282</v>
      </c>
      <c r="AT166" s="632">
        <v>64.10809798184431</v>
      </c>
      <c r="AU166" s="632">
        <v>65.698929255534011</v>
      </c>
      <c r="AV166" s="632">
        <v>67.329236729906924</v>
      </c>
      <c r="AW166" s="632">
        <v>69</v>
      </c>
      <c r="AX166" s="632">
        <v>53.69173660575666</v>
      </c>
      <c r="AY166" s="632">
        <v>54.972259908514921</v>
      </c>
      <c r="AZ166" s="632">
        <v>56.283323104980603</v>
      </c>
      <c r="BA166" s="632">
        <v>57.625654557617437</v>
      </c>
      <c r="BB166" s="632">
        <v>59</v>
      </c>
      <c r="BC166" s="632">
        <v>51.573666460575396</v>
      </c>
      <c r="BD166" s="632">
        <v>52.646319147893585</v>
      </c>
      <c r="BE166" s="632">
        <v>53.741281356069486</v>
      </c>
      <c r="BF166" s="632">
        <v>54.859017088714701</v>
      </c>
      <c r="BG166" s="632">
        <v>56</v>
      </c>
      <c r="BH166" s="634">
        <v>70.258059104348547</v>
      </c>
      <c r="BI166" s="634">
        <v>71.5390560740599</v>
      </c>
      <c r="BJ166" s="634">
        <v>72.843409129284126</v>
      </c>
      <c r="BK166" s="635">
        <v>72.843409129284126</v>
      </c>
      <c r="BL166" s="635">
        <v>72.843409129284126</v>
      </c>
      <c r="BM166" s="635">
        <v>72.843409129284126</v>
      </c>
      <c r="BN166" s="635">
        <v>72.843409129284126</v>
      </c>
      <c r="BO166" s="635">
        <v>72.843409129284126</v>
      </c>
      <c r="BP166" s="635">
        <v>72.843409129284126</v>
      </c>
      <c r="BQ166" s="635">
        <v>72.843409129284126</v>
      </c>
      <c r="BR166" s="635">
        <v>72.843409129284126</v>
      </c>
      <c r="BS166" s="635">
        <v>72.843409129284126</v>
      </c>
      <c r="BT166" s="635">
        <v>72.843409129284126</v>
      </c>
      <c r="BU166" s="635">
        <v>72.843409129284126</v>
      </c>
      <c r="BV166" s="635">
        <v>72.843409129284126</v>
      </c>
      <c r="BW166" s="634">
        <v>60.075731697921221</v>
      </c>
      <c r="BX166" s="634">
        <v>61.1710769328918</v>
      </c>
      <c r="BY166" s="634">
        <v>62.286393313445849</v>
      </c>
      <c r="BZ166" s="635">
        <v>62.286393313445849</v>
      </c>
      <c r="CA166" s="635">
        <v>62.286393313445849</v>
      </c>
      <c r="CB166" s="635">
        <v>62.286393313445849</v>
      </c>
      <c r="CC166" s="635">
        <v>62.286393313445849</v>
      </c>
      <c r="CD166" s="635">
        <v>62.286393313445849</v>
      </c>
      <c r="CE166" s="635">
        <v>62.286393313445849</v>
      </c>
      <c r="CF166" s="635">
        <v>62.286393313445849</v>
      </c>
      <c r="CG166" s="635">
        <v>62.286393313445849</v>
      </c>
      <c r="CH166" s="635">
        <v>62.286393313445849</v>
      </c>
      <c r="CI166" s="635">
        <v>62.286393313445849</v>
      </c>
      <c r="CJ166" s="635">
        <v>62.286393313445849</v>
      </c>
      <c r="CK166" s="635">
        <v>62.286393313445849</v>
      </c>
      <c r="CL166" s="634">
        <v>57.021033475993022</v>
      </c>
      <c r="CM166" s="634">
        <v>58.060683190541369</v>
      </c>
      <c r="CN166" s="634">
        <v>59.119288568694365</v>
      </c>
      <c r="CO166" s="635">
        <v>59.119288568694365</v>
      </c>
      <c r="CP166" s="635">
        <v>59.119288568694365</v>
      </c>
      <c r="CQ166" s="635">
        <v>59.119288568694365</v>
      </c>
      <c r="CR166" s="635">
        <v>59.119288568694365</v>
      </c>
      <c r="CS166" s="635">
        <v>59.119288568694365</v>
      </c>
      <c r="CT166" s="635">
        <v>59.119288568694365</v>
      </c>
      <c r="CU166" s="635">
        <v>59.119288568694365</v>
      </c>
      <c r="CV166" s="635">
        <v>59.119288568694365</v>
      </c>
      <c r="CW166" s="635">
        <v>59.119288568694365</v>
      </c>
      <c r="CX166" s="635">
        <v>59.119288568694365</v>
      </c>
      <c r="CY166" s="635">
        <v>59.119288568694365</v>
      </c>
      <c r="CZ166" s="635">
        <v>59.119288568694365</v>
      </c>
      <c r="DA166" s="636">
        <v>0</v>
      </c>
      <c r="DB166" s="636">
        <v>0</v>
      </c>
      <c r="DC166" s="636">
        <v>0</v>
      </c>
      <c r="DD166" s="637">
        <v>0</v>
      </c>
      <c r="DE166" s="637">
        <v>0</v>
      </c>
      <c r="DF166" s="637">
        <v>0</v>
      </c>
      <c r="DG166" s="637">
        <v>0</v>
      </c>
      <c r="DH166" s="637">
        <v>0</v>
      </c>
      <c r="DI166" s="637">
        <v>0</v>
      </c>
      <c r="DJ166" s="637">
        <v>0</v>
      </c>
      <c r="DK166" s="637">
        <v>0</v>
      </c>
      <c r="DL166" s="637">
        <v>0</v>
      </c>
      <c r="DM166" s="637">
        <v>0</v>
      </c>
      <c r="DN166" s="637">
        <v>0</v>
      </c>
      <c r="DO166" s="637">
        <v>0</v>
      </c>
      <c r="DP166" s="636">
        <v>0</v>
      </c>
      <c r="DQ166" s="636">
        <v>0</v>
      </c>
      <c r="DR166" s="636">
        <v>0</v>
      </c>
      <c r="DS166" s="637">
        <v>0</v>
      </c>
      <c r="DT166" s="637">
        <v>0</v>
      </c>
      <c r="DU166" s="637">
        <v>0</v>
      </c>
      <c r="DV166" s="637">
        <v>0</v>
      </c>
      <c r="DW166" s="637">
        <v>0</v>
      </c>
      <c r="DX166" s="637">
        <v>0</v>
      </c>
      <c r="DY166" s="637">
        <v>0</v>
      </c>
      <c r="DZ166" s="637">
        <v>0</v>
      </c>
      <c r="EA166" s="637">
        <v>0</v>
      </c>
      <c r="EB166" s="637">
        <v>0</v>
      </c>
      <c r="EC166" s="637">
        <v>0</v>
      </c>
      <c r="ED166" s="637">
        <v>0</v>
      </c>
    </row>
    <row r="167" spans="1:134" ht="15" x14ac:dyDescent="0.25">
      <c r="A167" s="555">
        <v>108</v>
      </c>
      <c r="B167" s="555">
        <v>92</v>
      </c>
      <c r="C167" s="555" t="s">
        <v>1150</v>
      </c>
      <c r="D167" s="812">
        <v>99701</v>
      </c>
      <c r="E167" s="812">
        <v>99701</v>
      </c>
      <c r="F167" s="630" t="s">
        <v>311</v>
      </c>
      <c r="G167" s="45">
        <v>83</v>
      </c>
      <c r="H167" s="45">
        <v>33</v>
      </c>
      <c r="I167" s="45">
        <v>30</v>
      </c>
      <c r="J167" s="45">
        <v>3</v>
      </c>
      <c r="K167" s="45">
        <v>2</v>
      </c>
      <c r="L167" s="45">
        <v>40</v>
      </c>
      <c r="M167" s="45">
        <v>42</v>
      </c>
      <c r="N167" s="45">
        <v>68</v>
      </c>
      <c r="O167" s="45">
        <v>0</v>
      </c>
      <c r="P167" s="45">
        <v>0</v>
      </c>
      <c r="Q167" s="45">
        <v>110</v>
      </c>
      <c r="R167" s="45">
        <v>8361</v>
      </c>
      <c r="S167" s="45">
        <v>2615.5749999999998</v>
      </c>
      <c r="T167" s="45">
        <v>2889.1666666666665</v>
      </c>
      <c r="U167" s="45">
        <v>9206.2941176470595</v>
      </c>
      <c r="V167" s="45">
        <v>0</v>
      </c>
      <c r="W167" s="45">
        <v>0</v>
      </c>
      <c r="X167" s="45">
        <v>6794.3</v>
      </c>
      <c r="Y167" s="45">
        <v>1.5714285714285714</v>
      </c>
      <c r="Z167" s="45">
        <v>31.428571428571427</v>
      </c>
      <c r="AA167" s="45">
        <v>0</v>
      </c>
      <c r="AB167" s="508">
        <v>68</v>
      </c>
      <c r="AC167" s="508">
        <v>0</v>
      </c>
      <c r="AD167" s="631">
        <v>101</v>
      </c>
      <c r="AE167" s="632">
        <v>1.4285714285714284</v>
      </c>
      <c r="AF167" s="632">
        <v>28.571428571428569</v>
      </c>
      <c r="AG167" s="633">
        <v>29.999999999999996</v>
      </c>
      <c r="AH167" s="632">
        <v>0</v>
      </c>
      <c r="AI167" s="632">
        <v>1.5539857399865005</v>
      </c>
      <c r="AJ167" s="632">
        <v>31.079714799730009</v>
      </c>
      <c r="AK167" s="632">
        <v>32.633700539716507</v>
      </c>
      <c r="AL167" s="632">
        <v>0</v>
      </c>
      <c r="AM167" s="632">
        <v>1.4153160803239917</v>
      </c>
      <c r="AN167" s="632">
        <v>28.306321606479838</v>
      </c>
      <c r="AO167" s="632">
        <v>29.721637686803831</v>
      </c>
      <c r="AP167" s="632">
        <v>0</v>
      </c>
      <c r="AQ167" s="632">
        <v>67.648780801232903</v>
      </c>
      <c r="AR167" s="632">
        <v>0</v>
      </c>
      <c r="AS167" s="632">
        <v>32.27146699745132</v>
      </c>
      <c r="AT167" s="632">
        <v>32.45207836136494</v>
      </c>
      <c r="AU167" s="632">
        <v>32.633700539716507</v>
      </c>
      <c r="AV167" s="632">
        <v>32.816339189657413</v>
      </c>
      <c r="AW167" s="632">
        <v>33</v>
      </c>
      <c r="AX167" s="632">
        <v>29.445858226187919</v>
      </c>
      <c r="AY167" s="632">
        <v>29.58342660301118</v>
      </c>
      <c r="AZ167" s="632">
        <v>29.721637686803827</v>
      </c>
      <c r="BA167" s="632">
        <v>29.860494480234493</v>
      </c>
      <c r="BB167" s="632">
        <v>29.999999999999996</v>
      </c>
      <c r="BC167" s="632">
        <v>67.299375645489079</v>
      </c>
      <c r="BD167" s="632">
        <v>67.473852054714669</v>
      </c>
      <c r="BE167" s="632">
        <v>67.648780801232903</v>
      </c>
      <c r="BF167" s="632">
        <v>67.824163057746887</v>
      </c>
      <c r="BG167" s="632">
        <v>68</v>
      </c>
      <c r="BH167" s="634">
        <v>33.601680441210171</v>
      </c>
      <c r="BI167" s="634">
        <v>34.214331165854738</v>
      </c>
      <c r="BJ167" s="634">
        <v>34.838152192266321</v>
      </c>
      <c r="BK167" s="635">
        <v>35.320605075131709</v>
      </c>
      <c r="BL167" s="635">
        <v>35.803057957997105</v>
      </c>
      <c r="BM167" s="635">
        <v>36.285510840862507</v>
      </c>
      <c r="BN167" s="635">
        <v>36.767963723727895</v>
      </c>
      <c r="BO167" s="635">
        <v>37.343597013692076</v>
      </c>
      <c r="BP167" s="635">
        <v>37.919230303656256</v>
      </c>
      <c r="BQ167" s="635">
        <v>39.515051032336622</v>
      </c>
      <c r="BR167" s="635">
        <v>41.416362201189223</v>
      </c>
      <c r="BS167" s="635">
        <v>42.251190502378854</v>
      </c>
      <c r="BT167" s="635">
        <v>42.709641541684888</v>
      </c>
      <c r="BU167" s="635">
        <v>43.184410849394588</v>
      </c>
      <c r="BV167" s="635">
        <v>43.670602944986854</v>
      </c>
      <c r="BW167" s="634">
        <v>30.546982219281972</v>
      </c>
      <c r="BX167" s="634">
        <v>31.103937423504302</v>
      </c>
      <c r="BY167" s="634">
        <v>31.671047447514837</v>
      </c>
      <c r="BZ167" s="635">
        <v>32.109640977392466</v>
      </c>
      <c r="CA167" s="635">
        <v>32.548234507270095</v>
      </c>
      <c r="CB167" s="635">
        <v>32.986828037147731</v>
      </c>
      <c r="CC167" s="635">
        <v>33.42542156702536</v>
      </c>
      <c r="CD167" s="635">
        <v>33.94872455790189</v>
      </c>
      <c r="CE167" s="635">
        <v>34.472027548778414</v>
      </c>
      <c r="CF167" s="635">
        <v>35.922773665760566</v>
      </c>
      <c r="CG167" s="635">
        <v>37.651238364717479</v>
      </c>
      <c r="CH167" s="635">
        <v>38.410173183980781</v>
      </c>
      <c r="CI167" s="635">
        <v>38.826946856077171</v>
      </c>
      <c r="CJ167" s="635">
        <v>39.258555317631441</v>
      </c>
      <c r="CK167" s="635">
        <v>39.700548131806229</v>
      </c>
      <c r="CL167" s="634">
        <v>69.239826363705816</v>
      </c>
      <c r="CM167" s="634">
        <v>70.502258159943096</v>
      </c>
      <c r="CN167" s="634">
        <v>71.787707547700307</v>
      </c>
      <c r="CO167" s="635">
        <v>72.781852882089595</v>
      </c>
      <c r="CP167" s="635">
        <v>73.775998216478897</v>
      </c>
      <c r="CQ167" s="635">
        <v>74.770143550868198</v>
      </c>
      <c r="CR167" s="635">
        <v>75.764288885257486</v>
      </c>
      <c r="CS167" s="635">
        <v>76.95044233124429</v>
      </c>
      <c r="CT167" s="635">
        <v>78.136595777231079</v>
      </c>
      <c r="CU167" s="635">
        <v>81.424953642390633</v>
      </c>
      <c r="CV167" s="635">
        <v>85.342806960026294</v>
      </c>
      <c r="CW167" s="635">
        <v>87.06305921702311</v>
      </c>
      <c r="CX167" s="635">
        <v>88.007746207108269</v>
      </c>
      <c r="CY167" s="635">
        <v>88.986058719964618</v>
      </c>
      <c r="CZ167" s="635">
        <v>89.987909098760795</v>
      </c>
      <c r="DA167" s="636">
        <v>0</v>
      </c>
      <c r="DB167" s="636">
        <v>0</v>
      </c>
      <c r="DC167" s="636">
        <v>0</v>
      </c>
      <c r="DD167" s="637">
        <v>0</v>
      </c>
      <c r="DE167" s="637">
        <v>0</v>
      </c>
      <c r="DF167" s="637">
        <v>0</v>
      </c>
      <c r="DG167" s="637">
        <v>0</v>
      </c>
      <c r="DH167" s="637">
        <v>0</v>
      </c>
      <c r="DI167" s="637">
        <v>0</v>
      </c>
      <c r="DJ167" s="637">
        <v>0</v>
      </c>
      <c r="DK167" s="637">
        <v>0</v>
      </c>
      <c r="DL167" s="637">
        <v>0</v>
      </c>
      <c r="DM167" s="637">
        <v>0</v>
      </c>
      <c r="DN167" s="637">
        <v>0</v>
      </c>
      <c r="DO167" s="637">
        <v>0</v>
      </c>
      <c r="DP167" s="636">
        <v>0</v>
      </c>
      <c r="DQ167" s="636">
        <v>0</v>
      </c>
      <c r="DR167" s="636">
        <v>0</v>
      </c>
      <c r="DS167" s="637">
        <v>0</v>
      </c>
      <c r="DT167" s="637">
        <v>0</v>
      </c>
      <c r="DU167" s="637">
        <v>0</v>
      </c>
      <c r="DV167" s="637">
        <v>0</v>
      </c>
      <c r="DW167" s="637">
        <v>0</v>
      </c>
      <c r="DX167" s="637">
        <v>0</v>
      </c>
      <c r="DY167" s="637">
        <v>0</v>
      </c>
      <c r="DZ167" s="637">
        <v>0</v>
      </c>
      <c r="EA167" s="637">
        <v>0</v>
      </c>
      <c r="EB167" s="637">
        <v>0</v>
      </c>
      <c r="EC167" s="637">
        <v>0</v>
      </c>
      <c r="ED167" s="637">
        <v>0</v>
      </c>
    </row>
    <row r="168" spans="1:134" ht="15" x14ac:dyDescent="0.25">
      <c r="A168" s="555">
        <v>109</v>
      </c>
      <c r="B168" s="555">
        <v>92</v>
      </c>
      <c r="C168" s="555" t="s">
        <v>1151</v>
      </c>
      <c r="D168" s="812">
        <v>99701</v>
      </c>
      <c r="E168" s="812">
        <v>99701</v>
      </c>
      <c r="F168" s="630" t="s">
        <v>311</v>
      </c>
      <c r="G168" s="45">
        <v>1880</v>
      </c>
      <c r="H168" s="45">
        <v>642</v>
      </c>
      <c r="I168" s="45">
        <v>593</v>
      </c>
      <c r="J168" s="45">
        <v>49</v>
      </c>
      <c r="K168" s="45">
        <v>39</v>
      </c>
      <c r="L168" s="45">
        <v>222</v>
      </c>
      <c r="M168" s="45">
        <v>261</v>
      </c>
      <c r="N168" s="45">
        <v>47</v>
      </c>
      <c r="O168" s="45">
        <v>0</v>
      </c>
      <c r="P168" s="45">
        <v>0</v>
      </c>
      <c r="Q168" s="45">
        <v>308</v>
      </c>
      <c r="R168" s="45">
        <v>4493.1794871794873</v>
      </c>
      <c r="S168" s="45">
        <v>1789.4099099099099</v>
      </c>
      <c r="T168" s="45">
        <v>2193.4214559386974</v>
      </c>
      <c r="U168" s="45">
        <v>22259.468085106382</v>
      </c>
      <c r="V168" s="45">
        <v>0</v>
      </c>
      <c r="W168" s="45">
        <v>0</v>
      </c>
      <c r="X168" s="45">
        <v>5255.4480519480521</v>
      </c>
      <c r="Y168" s="45">
        <v>95.931034482758619</v>
      </c>
      <c r="Z168" s="45">
        <v>546.06896551724139</v>
      </c>
      <c r="AA168" s="45">
        <v>0</v>
      </c>
      <c r="AB168" s="508">
        <v>47</v>
      </c>
      <c r="AC168" s="508">
        <v>0</v>
      </c>
      <c r="AD168" s="631">
        <v>689</v>
      </c>
      <c r="AE168" s="632">
        <v>88.609195402298852</v>
      </c>
      <c r="AF168" s="632">
        <v>504.39080459770122</v>
      </c>
      <c r="AG168" s="633">
        <v>593.00000000000011</v>
      </c>
      <c r="AH168" s="632">
        <v>0</v>
      </c>
      <c r="AI168" s="632">
        <v>94.866201568956456</v>
      </c>
      <c r="AJ168" s="632">
        <v>540.00760893098288</v>
      </c>
      <c r="AK168" s="632">
        <v>634.87381049993928</v>
      </c>
      <c r="AL168" s="632">
        <v>0</v>
      </c>
      <c r="AM168" s="632">
        <v>87.787013382211001</v>
      </c>
      <c r="AN168" s="632">
        <v>499.71069156027812</v>
      </c>
      <c r="AO168" s="632">
        <v>587.49770494248912</v>
      </c>
      <c r="AP168" s="632">
        <v>0</v>
      </c>
      <c r="AQ168" s="632">
        <v>46.757245553793332</v>
      </c>
      <c r="AR168" s="632">
        <v>0</v>
      </c>
      <c r="AS168" s="632">
        <v>627.8267215867802</v>
      </c>
      <c r="AT168" s="632">
        <v>631.34043357564519</v>
      </c>
      <c r="AU168" s="632">
        <v>634.8738104999394</v>
      </c>
      <c r="AV168" s="632">
        <v>638.42696241697149</v>
      </c>
      <c r="AW168" s="632">
        <v>642</v>
      </c>
      <c r="AX168" s="632">
        <v>582.04646427098135</v>
      </c>
      <c r="AY168" s="632">
        <v>584.76573251952118</v>
      </c>
      <c r="AZ168" s="632">
        <v>587.49770494248912</v>
      </c>
      <c r="BA168" s="632">
        <v>590.24244089263539</v>
      </c>
      <c r="BB168" s="632">
        <v>593.00000000000011</v>
      </c>
      <c r="BC168" s="632">
        <v>46.515744931440977</v>
      </c>
      <c r="BD168" s="632">
        <v>46.636338920170438</v>
      </c>
      <c r="BE168" s="632">
        <v>46.757245553793332</v>
      </c>
      <c r="BF168" s="632">
        <v>46.878465642854465</v>
      </c>
      <c r="BG168" s="632">
        <v>47</v>
      </c>
      <c r="BH168" s="634">
        <v>653.70541949263429</v>
      </c>
      <c r="BI168" s="634">
        <v>665.62426086299217</v>
      </c>
      <c r="BJ168" s="634">
        <v>677.7604153768176</v>
      </c>
      <c r="BK168" s="635">
        <v>682.79415327768618</v>
      </c>
      <c r="BL168" s="635">
        <v>687.82789117855475</v>
      </c>
      <c r="BM168" s="635">
        <v>692.86162907942332</v>
      </c>
      <c r="BN168" s="635">
        <v>697.8953669802919</v>
      </c>
      <c r="BO168" s="635">
        <v>703.84743189446738</v>
      </c>
      <c r="BP168" s="635">
        <v>709.79949680864308</v>
      </c>
      <c r="BQ168" s="635">
        <v>726.30032942915341</v>
      </c>
      <c r="BR168" s="635">
        <v>745.95994206163687</v>
      </c>
      <c r="BS168" s="635">
        <v>754.59209090970103</v>
      </c>
      <c r="BT168" s="635">
        <v>759.33248795326085</v>
      </c>
      <c r="BU168" s="635">
        <v>764.2416163654176</v>
      </c>
      <c r="BV168" s="635">
        <v>769.26885673559195</v>
      </c>
      <c r="BW168" s="634">
        <v>603.81201520114053</v>
      </c>
      <c r="BX168" s="634">
        <v>614.82116307126853</v>
      </c>
      <c r="BY168" s="634">
        <v>626.03103787921009</v>
      </c>
      <c r="BZ168" s="635">
        <v>630.68058083125845</v>
      </c>
      <c r="CA168" s="635">
        <v>635.33012378330682</v>
      </c>
      <c r="CB168" s="635">
        <v>639.97966673535518</v>
      </c>
      <c r="CC168" s="635">
        <v>644.62920968740355</v>
      </c>
      <c r="CD168" s="635">
        <v>650.12698927323868</v>
      </c>
      <c r="CE168" s="635">
        <v>655.62476885907381</v>
      </c>
      <c r="CF168" s="635">
        <v>670.86619213627421</v>
      </c>
      <c r="CG168" s="635">
        <v>689.02530473917557</v>
      </c>
      <c r="CH168" s="635">
        <v>696.99861356612575</v>
      </c>
      <c r="CI168" s="635">
        <v>701.3772046048033</v>
      </c>
      <c r="CJ168" s="635">
        <v>705.91164876120354</v>
      </c>
      <c r="CK168" s="635">
        <v>710.55519010000955</v>
      </c>
      <c r="CL168" s="634">
        <v>47.856938810208426</v>
      </c>
      <c r="CM168" s="634">
        <v>48.72950196349008</v>
      </c>
      <c r="CN168" s="634">
        <v>49.617974334439914</v>
      </c>
      <c r="CO168" s="635">
        <v>49.986487856777643</v>
      </c>
      <c r="CP168" s="635">
        <v>50.355001379115372</v>
      </c>
      <c r="CQ168" s="635">
        <v>50.7235149014531</v>
      </c>
      <c r="CR168" s="635">
        <v>51.092028423790836</v>
      </c>
      <c r="CS168" s="635">
        <v>51.527771493831722</v>
      </c>
      <c r="CT168" s="635">
        <v>51.963514563872621</v>
      </c>
      <c r="CU168" s="635">
        <v>53.171519444190352</v>
      </c>
      <c r="CV168" s="635">
        <v>54.610774574605813</v>
      </c>
      <c r="CW168" s="635">
        <v>55.242723166286517</v>
      </c>
      <c r="CX168" s="635">
        <v>55.589761579132798</v>
      </c>
      <c r="CY168" s="635">
        <v>55.949152599960478</v>
      </c>
      <c r="CZ168" s="635">
        <v>56.317190446375115</v>
      </c>
      <c r="DA168" s="636">
        <v>0</v>
      </c>
      <c r="DB168" s="636">
        <v>0</v>
      </c>
      <c r="DC168" s="636">
        <v>0</v>
      </c>
      <c r="DD168" s="637">
        <v>0</v>
      </c>
      <c r="DE168" s="637">
        <v>0</v>
      </c>
      <c r="DF168" s="637">
        <v>0</v>
      </c>
      <c r="DG168" s="637">
        <v>0</v>
      </c>
      <c r="DH168" s="637">
        <v>0</v>
      </c>
      <c r="DI168" s="637">
        <v>0</v>
      </c>
      <c r="DJ168" s="637">
        <v>0</v>
      </c>
      <c r="DK168" s="637">
        <v>0</v>
      </c>
      <c r="DL168" s="637">
        <v>0</v>
      </c>
      <c r="DM168" s="637">
        <v>0</v>
      </c>
      <c r="DN168" s="637">
        <v>0</v>
      </c>
      <c r="DO168" s="637">
        <v>0</v>
      </c>
      <c r="DP168" s="636">
        <v>0</v>
      </c>
      <c r="DQ168" s="636">
        <v>0</v>
      </c>
      <c r="DR168" s="636">
        <v>0</v>
      </c>
      <c r="DS168" s="637">
        <v>0</v>
      </c>
      <c r="DT168" s="637">
        <v>0</v>
      </c>
      <c r="DU168" s="637">
        <v>0</v>
      </c>
      <c r="DV168" s="637">
        <v>0</v>
      </c>
      <c r="DW168" s="637">
        <v>0</v>
      </c>
      <c r="DX168" s="637">
        <v>0</v>
      </c>
      <c r="DY168" s="637">
        <v>0</v>
      </c>
      <c r="DZ168" s="637">
        <v>0</v>
      </c>
      <c r="EA168" s="637">
        <v>0</v>
      </c>
      <c r="EB168" s="637">
        <v>0</v>
      </c>
      <c r="EC168" s="637">
        <v>0</v>
      </c>
      <c r="ED168" s="637">
        <v>0</v>
      </c>
    </row>
    <row r="169" spans="1:134" ht="15" x14ac:dyDescent="0.25">
      <c r="A169" s="555">
        <v>110</v>
      </c>
      <c r="B169" s="555">
        <v>92</v>
      </c>
      <c r="C169" s="555" t="s">
        <v>1152</v>
      </c>
      <c r="D169" s="812">
        <v>99701</v>
      </c>
      <c r="E169" s="812">
        <v>99701</v>
      </c>
      <c r="F169" s="630" t="s">
        <v>311</v>
      </c>
      <c r="G169" s="45">
        <v>139</v>
      </c>
      <c r="H169" s="45">
        <v>64</v>
      </c>
      <c r="I169" s="45">
        <v>58</v>
      </c>
      <c r="J169" s="45">
        <v>6</v>
      </c>
      <c r="K169" s="45">
        <v>0</v>
      </c>
      <c r="L169" s="45">
        <v>31</v>
      </c>
      <c r="M169" s="45">
        <v>31</v>
      </c>
      <c r="N169" s="45">
        <v>66</v>
      </c>
      <c r="O169" s="45">
        <v>0</v>
      </c>
      <c r="P169" s="45">
        <v>0</v>
      </c>
      <c r="Q169" s="45">
        <v>97</v>
      </c>
      <c r="R169" s="45">
        <v>0</v>
      </c>
      <c r="S169" s="45">
        <v>1157.9677419354839</v>
      </c>
      <c r="T169" s="45">
        <v>1157.9677419354839</v>
      </c>
      <c r="U169" s="45">
        <v>11259.09090909091</v>
      </c>
      <c r="V169" s="45">
        <v>0</v>
      </c>
      <c r="W169" s="45">
        <v>0</v>
      </c>
      <c r="X169" s="45">
        <v>8030.8969072164946</v>
      </c>
      <c r="Y169" s="45">
        <v>0</v>
      </c>
      <c r="Z169" s="45">
        <v>64</v>
      </c>
      <c r="AA169" s="45">
        <v>0</v>
      </c>
      <c r="AB169" s="508">
        <v>66</v>
      </c>
      <c r="AC169" s="508">
        <v>0</v>
      </c>
      <c r="AD169" s="631">
        <v>130</v>
      </c>
      <c r="AE169" s="632">
        <v>0</v>
      </c>
      <c r="AF169" s="632">
        <v>58</v>
      </c>
      <c r="AG169" s="633">
        <v>58</v>
      </c>
      <c r="AH169" s="632">
        <v>0</v>
      </c>
      <c r="AI169" s="632">
        <v>0</v>
      </c>
      <c r="AJ169" s="632">
        <v>63.289601046722929</v>
      </c>
      <c r="AK169" s="632">
        <v>63.289601046722929</v>
      </c>
      <c r="AL169" s="632">
        <v>0</v>
      </c>
      <c r="AM169" s="632">
        <v>0</v>
      </c>
      <c r="AN169" s="632">
        <v>57.461832861154072</v>
      </c>
      <c r="AO169" s="632">
        <v>57.461832861154072</v>
      </c>
      <c r="AP169" s="632">
        <v>0</v>
      </c>
      <c r="AQ169" s="632">
        <v>65.659110777667223</v>
      </c>
      <c r="AR169" s="632">
        <v>0</v>
      </c>
      <c r="AS169" s="632">
        <v>62.587087510208619</v>
      </c>
      <c r="AT169" s="632">
        <v>62.93736409476837</v>
      </c>
      <c r="AU169" s="632">
        <v>63.289601046722929</v>
      </c>
      <c r="AV169" s="632">
        <v>63.643809337517403</v>
      </c>
      <c r="AW169" s="632">
        <v>64</v>
      </c>
      <c r="AX169" s="632">
        <v>56.92865923729665</v>
      </c>
      <c r="AY169" s="632">
        <v>57.194624765821615</v>
      </c>
      <c r="AZ169" s="632">
        <v>57.461832861154072</v>
      </c>
      <c r="BA169" s="632">
        <v>57.73028932845336</v>
      </c>
      <c r="BB169" s="632">
        <v>58</v>
      </c>
      <c r="BC169" s="632">
        <v>65.319982244151163</v>
      </c>
      <c r="BD169" s="632">
        <v>65.489326994281896</v>
      </c>
      <c r="BE169" s="632">
        <v>65.659110777667223</v>
      </c>
      <c r="BF169" s="632">
        <v>65.829334732519044</v>
      </c>
      <c r="BG169" s="632">
        <v>66</v>
      </c>
      <c r="BH169" s="634">
        <v>65.16689540113488</v>
      </c>
      <c r="BI169" s="634">
        <v>66.355066503475854</v>
      </c>
      <c r="BJ169" s="634">
        <v>67.564901221364991</v>
      </c>
      <c r="BK169" s="635">
        <v>68.606990311875762</v>
      </c>
      <c r="BL169" s="635">
        <v>69.649079402386519</v>
      </c>
      <c r="BM169" s="635">
        <v>70.691168492897276</v>
      </c>
      <c r="BN169" s="635">
        <v>71.733257583408033</v>
      </c>
      <c r="BO169" s="635">
        <v>72.965459584232107</v>
      </c>
      <c r="BP169" s="635">
        <v>74.197661585056181</v>
      </c>
      <c r="BQ169" s="635">
        <v>77.613679263531466</v>
      </c>
      <c r="BR169" s="635">
        <v>81.68363051078326</v>
      </c>
      <c r="BS169" s="635">
        <v>83.470665974167346</v>
      </c>
      <c r="BT169" s="635">
        <v>84.452027368238092</v>
      </c>
      <c r="BU169" s="635">
        <v>85.468319686783744</v>
      </c>
      <c r="BV169" s="635">
        <v>86.509063652461833</v>
      </c>
      <c r="BW169" s="634">
        <v>59.057498957278483</v>
      </c>
      <c r="BX169" s="634">
        <v>60.13427901877499</v>
      </c>
      <c r="BY169" s="634">
        <v>61.230691731862024</v>
      </c>
      <c r="BZ169" s="635">
        <v>62.175084970137405</v>
      </c>
      <c r="CA169" s="635">
        <v>63.119478208412787</v>
      </c>
      <c r="CB169" s="635">
        <v>64.063871446688154</v>
      </c>
      <c r="CC169" s="635">
        <v>65.008264684963535</v>
      </c>
      <c r="CD169" s="635">
        <v>66.124947748210346</v>
      </c>
      <c r="CE169" s="635">
        <v>67.241630811457156</v>
      </c>
      <c r="CF169" s="635">
        <v>70.337396832575394</v>
      </c>
      <c r="CG169" s="635">
        <v>74.025790150397327</v>
      </c>
      <c r="CH169" s="635">
        <v>75.645291039089159</v>
      </c>
      <c r="CI169" s="635">
        <v>76.534649802465765</v>
      </c>
      <c r="CJ169" s="635">
        <v>77.455664716147766</v>
      </c>
      <c r="CK169" s="635">
        <v>78.398838935043543</v>
      </c>
      <c r="CL169" s="634">
        <v>67.203360882420341</v>
      </c>
      <c r="CM169" s="634">
        <v>68.428662331709475</v>
      </c>
      <c r="CN169" s="634">
        <v>69.676304384532642</v>
      </c>
      <c r="CO169" s="635">
        <v>70.750958759121872</v>
      </c>
      <c r="CP169" s="635">
        <v>71.825613133711101</v>
      </c>
      <c r="CQ169" s="635">
        <v>72.900267508300303</v>
      </c>
      <c r="CR169" s="635">
        <v>73.974921882889532</v>
      </c>
      <c r="CS169" s="635">
        <v>75.245630196239361</v>
      </c>
      <c r="CT169" s="635">
        <v>76.516338509589175</v>
      </c>
      <c r="CU169" s="635">
        <v>80.039106740516829</v>
      </c>
      <c r="CV169" s="635">
        <v>84.236243964245233</v>
      </c>
      <c r="CW169" s="635">
        <v>86.079124285860075</v>
      </c>
      <c r="CX169" s="635">
        <v>87.091153223495525</v>
      </c>
      <c r="CY169" s="635">
        <v>88.139204676995732</v>
      </c>
      <c r="CZ169" s="635">
        <v>89.212471891601254</v>
      </c>
      <c r="DA169" s="636">
        <v>0</v>
      </c>
      <c r="DB169" s="636">
        <v>0</v>
      </c>
      <c r="DC169" s="636">
        <v>0</v>
      </c>
      <c r="DD169" s="637">
        <v>0</v>
      </c>
      <c r="DE169" s="637">
        <v>0</v>
      </c>
      <c r="DF169" s="637">
        <v>0</v>
      </c>
      <c r="DG169" s="637">
        <v>0</v>
      </c>
      <c r="DH169" s="637">
        <v>0</v>
      </c>
      <c r="DI169" s="637">
        <v>0</v>
      </c>
      <c r="DJ169" s="637">
        <v>0</v>
      </c>
      <c r="DK169" s="637">
        <v>0</v>
      </c>
      <c r="DL169" s="637">
        <v>0</v>
      </c>
      <c r="DM169" s="637">
        <v>0</v>
      </c>
      <c r="DN169" s="637">
        <v>0</v>
      </c>
      <c r="DO169" s="637">
        <v>0</v>
      </c>
      <c r="DP169" s="636">
        <v>0</v>
      </c>
      <c r="DQ169" s="636">
        <v>0</v>
      </c>
      <c r="DR169" s="636">
        <v>0</v>
      </c>
      <c r="DS169" s="637">
        <v>0</v>
      </c>
      <c r="DT169" s="637">
        <v>0</v>
      </c>
      <c r="DU169" s="637">
        <v>0</v>
      </c>
      <c r="DV169" s="637">
        <v>0</v>
      </c>
      <c r="DW169" s="637">
        <v>0</v>
      </c>
      <c r="DX169" s="637">
        <v>0</v>
      </c>
      <c r="DY169" s="637">
        <v>0</v>
      </c>
      <c r="DZ169" s="637">
        <v>0</v>
      </c>
      <c r="EA169" s="637">
        <v>0</v>
      </c>
      <c r="EB169" s="637">
        <v>0</v>
      </c>
      <c r="EC169" s="637">
        <v>0</v>
      </c>
      <c r="ED169" s="637">
        <v>0</v>
      </c>
    </row>
    <row r="170" spans="1:134" ht="15" x14ac:dyDescent="0.25">
      <c r="A170" s="555">
        <v>111</v>
      </c>
      <c r="B170" s="555">
        <v>92</v>
      </c>
      <c r="C170" s="555" t="s">
        <v>1153</v>
      </c>
      <c r="D170" s="812">
        <v>99701</v>
      </c>
      <c r="E170" s="812">
        <v>99701</v>
      </c>
      <c r="F170" s="630" t="s">
        <v>311</v>
      </c>
      <c r="G170" s="45">
        <v>482</v>
      </c>
      <c r="H170" s="45">
        <v>178</v>
      </c>
      <c r="I170" s="45">
        <v>147</v>
      </c>
      <c r="J170" s="45">
        <v>31</v>
      </c>
      <c r="K170" s="45">
        <v>0</v>
      </c>
      <c r="L170" s="45">
        <v>14</v>
      </c>
      <c r="M170" s="45">
        <v>14</v>
      </c>
      <c r="N170" s="45">
        <v>26</v>
      </c>
      <c r="O170" s="45">
        <v>0</v>
      </c>
      <c r="P170" s="45">
        <v>0</v>
      </c>
      <c r="Q170" s="45">
        <v>40</v>
      </c>
      <c r="R170" s="45">
        <v>0</v>
      </c>
      <c r="S170" s="45">
        <v>2151.5714285714284</v>
      </c>
      <c r="T170" s="45">
        <v>2151.5714285714284</v>
      </c>
      <c r="U170" s="45">
        <v>5604.5384615384619</v>
      </c>
      <c r="V170" s="45">
        <v>0</v>
      </c>
      <c r="W170" s="45">
        <v>0</v>
      </c>
      <c r="X170" s="45">
        <v>4396</v>
      </c>
      <c r="Y170" s="45">
        <v>0</v>
      </c>
      <c r="Z170" s="45">
        <v>178</v>
      </c>
      <c r="AA170" s="45">
        <v>0</v>
      </c>
      <c r="AB170" s="508">
        <v>26</v>
      </c>
      <c r="AC170" s="508">
        <v>0</v>
      </c>
      <c r="AD170" s="631">
        <v>204</v>
      </c>
      <c r="AE170" s="632">
        <v>0</v>
      </c>
      <c r="AF170" s="632">
        <v>147</v>
      </c>
      <c r="AG170" s="633">
        <v>147</v>
      </c>
      <c r="AH170" s="632">
        <v>0</v>
      </c>
      <c r="AI170" s="632">
        <v>0</v>
      </c>
      <c r="AJ170" s="632">
        <v>176.02420291119813</v>
      </c>
      <c r="AK170" s="632">
        <v>176.02420291119813</v>
      </c>
      <c r="AL170" s="632">
        <v>0</v>
      </c>
      <c r="AM170" s="632">
        <v>0</v>
      </c>
      <c r="AN170" s="632">
        <v>145.63602466533877</v>
      </c>
      <c r="AO170" s="632">
        <v>145.63602466533877</v>
      </c>
      <c r="AP170" s="632">
        <v>0</v>
      </c>
      <c r="AQ170" s="632">
        <v>25.865710306353758</v>
      </c>
      <c r="AR170" s="632">
        <v>0</v>
      </c>
      <c r="AS170" s="632">
        <v>174.07033713776772</v>
      </c>
      <c r="AT170" s="632">
        <v>175.04454388857451</v>
      </c>
      <c r="AU170" s="632">
        <v>176.02420291119813</v>
      </c>
      <c r="AV170" s="632">
        <v>177.00934471997027</v>
      </c>
      <c r="AW170" s="632">
        <v>178</v>
      </c>
      <c r="AX170" s="632">
        <v>144.28470530832081</v>
      </c>
      <c r="AY170" s="632">
        <v>144.9587903547548</v>
      </c>
      <c r="AZ170" s="632">
        <v>145.63602466533877</v>
      </c>
      <c r="BA170" s="632">
        <v>146.31642295314904</v>
      </c>
      <c r="BB170" s="632">
        <v>147</v>
      </c>
      <c r="BC170" s="632">
        <v>25.73211421739288</v>
      </c>
      <c r="BD170" s="632">
        <v>25.7988257856262</v>
      </c>
      <c r="BE170" s="632">
        <v>25.865710306353758</v>
      </c>
      <c r="BF170" s="632">
        <v>25.932768227962047</v>
      </c>
      <c r="BG170" s="632">
        <v>26</v>
      </c>
      <c r="BH170" s="634">
        <v>181.2454278344064</v>
      </c>
      <c r="BI170" s="634">
        <v>184.55002871279223</v>
      </c>
      <c r="BJ170" s="634">
        <v>187.91488152192139</v>
      </c>
      <c r="BK170" s="635">
        <v>201.12365293471234</v>
      </c>
      <c r="BL170" s="635">
        <v>214.33242434750329</v>
      </c>
      <c r="BM170" s="635">
        <v>227.54119576029419</v>
      </c>
      <c r="BN170" s="635">
        <v>240.74996717308514</v>
      </c>
      <c r="BO170" s="635">
        <v>256.36847302971171</v>
      </c>
      <c r="BP170" s="635">
        <v>271.98697888633831</v>
      </c>
      <c r="BQ170" s="635">
        <v>315.28596077560968</v>
      </c>
      <c r="BR170" s="635">
        <v>366.87373400505913</v>
      </c>
      <c r="BS170" s="635">
        <v>389.52490956896588</v>
      </c>
      <c r="BT170" s="635">
        <v>401.96394040198737</v>
      </c>
      <c r="BU170" s="635">
        <v>414.84573049698332</v>
      </c>
      <c r="BV170" s="635">
        <v>428.03745207536167</v>
      </c>
      <c r="BW170" s="634">
        <v>149.68021287448167</v>
      </c>
      <c r="BX170" s="634">
        <v>152.4092933751711</v>
      </c>
      <c r="BY170" s="634">
        <v>155.18813249282272</v>
      </c>
      <c r="BZ170" s="635">
        <v>166.09649989552085</v>
      </c>
      <c r="CA170" s="635">
        <v>177.00486729821901</v>
      </c>
      <c r="CB170" s="635">
        <v>187.91323470091712</v>
      </c>
      <c r="CC170" s="635">
        <v>198.82160210361525</v>
      </c>
      <c r="CD170" s="635">
        <v>211.72003109757091</v>
      </c>
      <c r="CE170" s="635">
        <v>224.61846009152657</v>
      </c>
      <c r="CF170" s="635">
        <v>260.37660805626194</v>
      </c>
      <c r="CG170" s="635">
        <v>302.97999381316686</v>
      </c>
      <c r="CH170" s="635">
        <v>321.6863017226853</v>
      </c>
      <c r="CI170" s="635">
        <v>331.9589844892817</v>
      </c>
      <c r="CJ170" s="635">
        <v>342.59731675874463</v>
      </c>
      <c r="CK170" s="635">
        <v>353.49160368021444</v>
      </c>
      <c r="CL170" s="634">
        <v>26.474051256711046</v>
      </c>
      <c r="CM170" s="634">
        <v>26.956745767037066</v>
      </c>
      <c r="CN170" s="634">
        <v>27.448241121179528</v>
      </c>
      <c r="CO170" s="635">
        <v>29.377612226418655</v>
      </c>
      <c r="CP170" s="635">
        <v>31.306983331657783</v>
      </c>
      <c r="CQ170" s="635">
        <v>33.236354436896903</v>
      </c>
      <c r="CR170" s="635">
        <v>35.16572554213603</v>
      </c>
      <c r="CS170" s="635">
        <v>37.447080330182608</v>
      </c>
      <c r="CT170" s="635">
        <v>39.728435118229186</v>
      </c>
      <c r="CU170" s="635">
        <v>46.053005506549731</v>
      </c>
      <c r="CV170" s="635">
        <v>53.588298225458075</v>
      </c>
      <c r="CW170" s="635">
        <v>56.896896903332099</v>
      </c>
      <c r="CX170" s="635">
        <v>58.71383399130152</v>
      </c>
      <c r="CY170" s="635">
        <v>60.59544378045824</v>
      </c>
      <c r="CZ170" s="635">
        <v>62.522324460446086</v>
      </c>
      <c r="DA170" s="636">
        <v>0</v>
      </c>
      <c r="DB170" s="636">
        <v>0</v>
      </c>
      <c r="DC170" s="636">
        <v>0</v>
      </c>
      <c r="DD170" s="637">
        <v>0</v>
      </c>
      <c r="DE170" s="637">
        <v>0</v>
      </c>
      <c r="DF170" s="637">
        <v>0</v>
      </c>
      <c r="DG170" s="637">
        <v>0</v>
      </c>
      <c r="DH170" s="637">
        <v>0</v>
      </c>
      <c r="DI170" s="637">
        <v>0</v>
      </c>
      <c r="DJ170" s="637">
        <v>0</v>
      </c>
      <c r="DK170" s="637">
        <v>0</v>
      </c>
      <c r="DL170" s="637">
        <v>0</v>
      </c>
      <c r="DM170" s="637">
        <v>0</v>
      </c>
      <c r="DN170" s="637">
        <v>0</v>
      </c>
      <c r="DO170" s="637">
        <v>0</v>
      </c>
      <c r="DP170" s="636">
        <v>0</v>
      </c>
      <c r="DQ170" s="636">
        <v>0</v>
      </c>
      <c r="DR170" s="636">
        <v>0</v>
      </c>
      <c r="DS170" s="637">
        <v>0</v>
      </c>
      <c r="DT170" s="637">
        <v>0</v>
      </c>
      <c r="DU170" s="637">
        <v>0</v>
      </c>
      <c r="DV170" s="637">
        <v>0</v>
      </c>
      <c r="DW170" s="637">
        <v>0</v>
      </c>
      <c r="DX170" s="637">
        <v>0</v>
      </c>
      <c r="DY170" s="637">
        <v>0</v>
      </c>
      <c r="DZ170" s="637">
        <v>0</v>
      </c>
      <c r="EA170" s="637">
        <v>0</v>
      </c>
      <c r="EB170" s="637">
        <v>0</v>
      </c>
      <c r="EC170" s="637">
        <v>0</v>
      </c>
      <c r="ED170" s="637">
        <v>0</v>
      </c>
    </row>
    <row r="171" spans="1:134" ht="15" x14ac:dyDescent="0.25">
      <c r="A171" s="555">
        <v>113</v>
      </c>
      <c r="B171" s="555">
        <v>92</v>
      </c>
      <c r="C171" s="555" t="s">
        <v>1154</v>
      </c>
      <c r="D171" s="812">
        <v>99703</v>
      </c>
      <c r="E171" s="812">
        <v>99703</v>
      </c>
      <c r="F171" s="630" t="s">
        <v>311</v>
      </c>
      <c r="G171" s="45">
        <v>228</v>
      </c>
      <c r="H171" s="45">
        <v>3</v>
      </c>
      <c r="I171" s="45">
        <v>0</v>
      </c>
      <c r="J171" s="45">
        <v>3</v>
      </c>
      <c r="K171" s="45">
        <v>0</v>
      </c>
      <c r="L171" s="45">
        <v>0</v>
      </c>
      <c r="M171" s="45">
        <v>0</v>
      </c>
      <c r="N171" s="45">
        <v>0</v>
      </c>
      <c r="O171" s="45">
        <v>0</v>
      </c>
      <c r="P171" s="45">
        <v>0</v>
      </c>
      <c r="Q171" s="45">
        <v>0</v>
      </c>
      <c r="R171" s="45">
        <v>0</v>
      </c>
      <c r="S171" s="45">
        <v>834.49503068156923</v>
      </c>
      <c r="T171" s="45">
        <v>834.49503068156923</v>
      </c>
      <c r="U171" s="45">
        <v>1408.3846153846155</v>
      </c>
      <c r="V171" s="45">
        <v>0</v>
      </c>
      <c r="W171" s="45">
        <v>0</v>
      </c>
      <c r="X171" s="45">
        <v>1365.173957061457</v>
      </c>
      <c r="Y171" s="45">
        <v>6.8737006237006237E-2</v>
      </c>
      <c r="Z171" s="45">
        <v>2.9273648648648649</v>
      </c>
      <c r="AA171" s="45">
        <v>3.8981288981288983E-3</v>
      </c>
      <c r="AB171" s="508">
        <v>0</v>
      </c>
      <c r="AC171" s="508">
        <v>0</v>
      </c>
      <c r="AD171" s="631">
        <v>3</v>
      </c>
      <c r="AE171" s="632">
        <v>0</v>
      </c>
      <c r="AF171" s="632">
        <v>0</v>
      </c>
      <c r="AG171" s="633">
        <v>0</v>
      </c>
      <c r="AH171" s="632">
        <v>0</v>
      </c>
      <c r="AI171" s="632">
        <v>6.7411677769188119E-2</v>
      </c>
      <c r="AJ171" s="632">
        <v>2.8709219063554614</v>
      </c>
      <c r="AK171" s="632">
        <v>2.9383335841246496</v>
      </c>
      <c r="AL171" s="632">
        <v>3.8229684935267363E-3</v>
      </c>
      <c r="AM171" s="632">
        <v>0</v>
      </c>
      <c r="AN171" s="632">
        <v>0</v>
      </c>
      <c r="AO171" s="632">
        <v>0</v>
      </c>
      <c r="AP171" s="632">
        <v>0</v>
      </c>
      <c r="AQ171" s="632">
        <v>0</v>
      </c>
      <c r="AR171" s="632">
        <v>0</v>
      </c>
      <c r="AS171" s="632">
        <v>2.8816791361034624</v>
      </c>
      <c r="AT171" s="632">
        <v>2.9098684823002072</v>
      </c>
      <c r="AU171" s="632">
        <v>2.9383335841246496</v>
      </c>
      <c r="AV171" s="632">
        <v>2.9670771390911508</v>
      </c>
      <c r="AW171" s="632">
        <v>2.996101871101871</v>
      </c>
      <c r="AX171" s="632">
        <v>0</v>
      </c>
      <c r="AY171" s="632">
        <v>0</v>
      </c>
      <c r="AZ171" s="632">
        <v>0</v>
      </c>
      <c r="BA171" s="632">
        <v>0</v>
      </c>
      <c r="BB171" s="632">
        <v>0</v>
      </c>
      <c r="BC171" s="632">
        <v>0</v>
      </c>
      <c r="BD171" s="632">
        <v>0</v>
      </c>
      <c r="BE171" s="632">
        <v>0</v>
      </c>
      <c r="BF171" s="632">
        <v>0</v>
      </c>
      <c r="BG171" s="632">
        <v>0</v>
      </c>
      <c r="BH171" s="634">
        <v>3.0085511972689858</v>
      </c>
      <c r="BI171" s="634">
        <v>3.0210522525590346</v>
      </c>
      <c r="BJ171" s="634">
        <v>3.033605251915553</v>
      </c>
      <c r="BK171" s="635">
        <v>3.033605251915553</v>
      </c>
      <c r="BL171" s="635">
        <v>3.033605251915553</v>
      </c>
      <c r="BM171" s="635">
        <v>3.033605251915553</v>
      </c>
      <c r="BN171" s="635">
        <v>3.033605251915553</v>
      </c>
      <c r="BO171" s="635">
        <v>3.033605251915553</v>
      </c>
      <c r="BP171" s="635">
        <v>3.033605251915553</v>
      </c>
      <c r="BQ171" s="635">
        <v>3.033605251915553</v>
      </c>
      <c r="BR171" s="635">
        <v>3.033605251915553</v>
      </c>
      <c r="BS171" s="635">
        <v>3.033605251915553</v>
      </c>
      <c r="BT171" s="635">
        <v>3.033605251915553</v>
      </c>
      <c r="BU171" s="635">
        <v>3.033605251915553</v>
      </c>
      <c r="BV171" s="635">
        <v>3.033605251915553</v>
      </c>
      <c r="BW171" s="634">
        <v>0</v>
      </c>
      <c r="BX171" s="634">
        <v>0</v>
      </c>
      <c r="BY171" s="634">
        <v>0</v>
      </c>
      <c r="BZ171" s="635">
        <v>0</v>
      </c>
      <c r="CA171" s="635">
        <v>0</v>
      </c>
      <c r="CB171" s="635">
        <v>0</v>
      </c>
      <c r="CC171" s="635">
        <v>0</v>
      </c>
      <c r="CD171" s="635">
        <v>0</v>
      </c>
      <c r="CE171" s="635">
        <v>0</v>
      </c>
      <c r="CF171" s="635">
        <v>0</v>
      </c>
      <c r="CG171" s="635">
        <v>0</v>
      </c>
      <c r="CH171" s="635">
        <v>0</v>
      </c>
      <c r="CI171" s="635">
        <v>0</v>
      </c>
      <c r="CJ171" s="635">
        <v>0</v>
      </c>
      <c r="CK171" s="635">
        <v>0</v>
      </c>
      <c r="CL171" s="634">
        <v>0</v>
      </c>
      <c r="CM171" s="634">
        <v>0</v>
      </c>
      <c r="CN171" s="634">
        <v>0</v>
      </c>
      <c r="CO171" s="635">
        <v>0</v>
      </c>
      <c r="CP171" s="635">
        <v>0</v>
      </c>
      <c r="CQ171" s="635">
        <v>0</v>
      </c>
      <c r="CR171" s="635">
        <v>0</v>
      </c>
      <c r="CS171" s="635">
        <v>0</v>
      </c>
      <c r="CT171" s="635">
        <v>0</v>
      </c>
      <c r="CU171" s="635">
        <v>0</v>
      </c>
      <c r="CV171" s="635">
        <v>0</v>
      </c>
      <c r="CW171" s="635">
        <v>0</v>
      </c>
      <c r="CX171" s="635">
        <v>0</v>
      </c>
      <c r="CY171" s="635">
        <v>0</v>
      </c>
      <c r="CZ171" s="635">
        <v>0</v>
      </c>
      <c r="DA171" s="636">
        <v>3.9143263040189776E-3</v>
      </c>
      <c r="DB171" s="636">
        <v>3.9305910129573711E-3</v>
      </c>
      <c r="DC171" s="636">
        <v>3.9469233045999908E-3</v>
      </c>
      <c r="DD171" s="637">
        <v>3.9469233045999908E-3</v>
      </c>
      <c r="DE171" s="637">
        <v>3.9469233045999908E-3</v>
      </c>
      <c r="DF171" s="637">
        <v>3.9469233045999908E-3</v>
      </c>
      <c r="DG171" s="637">
        <v>3.9469233045999908E-3</v>
      </c>
      <c r="DH171" s="637">
        <v>3.9469233045999908E-3</v>
      </c>
      <c r="DI171" s="637">
        <v>3.9469233045999908E-3</v>
      </c>
      <c r="DJ171" s="637">
        <v>3.9469233045999908E-3</v>
      </c>
      <c r="DK171" s="637">
        <v>3.9469233045999908E-3</v>
      </c>
      <c r="DL171" s="637">
        <v>3.9469233045999908E-3</v>
      </c>
      <c r="DM171" s="637">
        <v>3.9469233045999908E-3</v>
      </c>
      <c r="DN171" s="637">
        <v>3.9469233045999908E-3</v>
      </c>
      <c r="DO171" s="637">
        <v>3.9469233045999908E-3</v>
      </c>
      <c r="DP171" s="636">
        <v>0</v>
      </c>
      <c r="DQ171" s="636">
        <v>0</v>
      </c>
      <c r="DR171" s="636">
        <v>0</v>
      </c>
      <c r="DS171" s="637">
        <v>0</v>
      </c>
      <c r="DT171" s="637">
        <v>0</v>
      </c>
      <c r="DU171" s="637">
        <v>0</v>
      </c>
      <c r="DV171" s="637">
        <v>0</v>
      </c>
      <c r="DW171" s="637">
        <v>0</v>
      </c>
      <c r="DX171" s="637">
        <v>0</v>
      </c>
      <c r="DY171" s="637">
        <v>0</v>
      </c>
      <c r="DZ171" s="637">
        <v>0</v>
      </c>
      <c r="EA171" s="637">
        <v>0</v>
      </c>
      <c r="EB171" s="637">
        <v>0</v>
      </c>
      <c r="EC171" s="637">
        <v>0</v>
      </c>
      <c r="ED171" s="637">
        <v>0</v>
      </c>
    </row>
    <row r="172" spans="1:134" ht="15" x14ac:dyDescent="0.25">
      <c r="A172" s="555">
        <v>115</v>
      </c>
      <c r="B172" s="555">
        <v>92</v>
      </c>
      <c r="C172" s="555" t="s">
        <v>1155</v>
      </c>
      <c r="D172" s="812">
        <v>99705</v>
      </c>
      <c r="E172" s="812">
        <v>99705</v>
      </c>
      <c r="F172" s="630" t="s">
        <v>311</v>
      </c>
      <c r="G172" s="45">
        <v>348</v>
      </c>
      <c r="H172" s="45">
        <v>158</v>
      </c>
      <c r="I172" s="45">
        <v>136</v>
      </c>
      <c r="J172" s="45">
        <v>22</v>
      </c>
      <c r="K172" s="45">
        <v>3</v>
      </c>
      <c r="L172" s="45">
        <v>130</v>
      </c>
      <c r="M172" s="45">
        <v>133</v>
      </c>
      <c r="N172" s="45">
        <v>6</v>
      </c>
      <c r="O172" s="45">
        <v>0</v>
      </c>
      <c r="P172" s="45">
        <v>0</v>
      </c>
      <c r="Q172" s="45">
        <v>139</v>
      </c>
      <c r="R172" s="45">
        <v>4293</v>
      </c>
      <c r="S172" s="45">
        <v>1719.2692307692307</v>
      </c>
      <c r="T172" s="45">
        <v>1777.3233082706768</v>
      </c>
      <c r="U172" s="45">
        <v>18915.166666666668</v>
      </c>
      <c r="V172" s="45">
        <v>0</v>
      </c>
      <c r="W172" s="45">
        <v>0</v>
      </c>
      <c r="X172" s="45">
        <v>2517.0863309352517</v>
      </c>
      <c r="Y172" s="45">
        <v>3.5639097744360901</v>
      </c>
      <c r="Z172" s="45">
        <v>154.4360902255639</v>
      </c>
      <c r="AA172" s="45">
        <v>0</v>
      </c>
      <c r="AB172" s="508">
        <v>6</v>
      </c>
      <c r="AC172" s="508">
        <v>0</v>
      </c>
      <c r="AD172" s="631">
        <v>164</v>
      </c>
      <c r="AE172" s="632">
        <v>3.0676691729323307</v>
      </c>
      <c r="AF172" s="632">
        <v>132.93233082706766</v>
      </c>
      <c r="AG172" s="633">
        <v>136</v>
      </c>
      <c r="AH172" s="632">
        <v>0</v>
      </c>
      <c r="AI172" s="632">
        <v>3.3078489165766007</v>
      </c>
      <c r="AJ172" s="632">
        <v>143.34011971831936</v>
      </c>
      <c r="AK172" s="632">
        <v>146.64796863489596</v>
      </c>
      <c r="AL172" s="632">
        <v>0</v>
      </c>
      <c r="AM172" s="632">
        <v>2.8618662502854435</v>
      </c>
      <c r="AN172" s="632">
        <v>124.01420417903589</v>
      </c>
      <c r="AO172" s="632">
        <v>126.87607042932133</v>
      </c>
      <c r="AP172" s="632">
        <v>0</v>
      </c>
      <c r="AQ172" s="632">
        <v>5.6406460040094561</v>
      </c>
      <c r="AR172" s="632">
        <v>0</v>
      </c>
      <c r="AS172" s="632">
        <v>136.11156142241413</v>
      </c>
      <c r="AT172" s="632">
        <v>141.28157696713646</v>
      </c>
      <c r="AU172" s="632">
        <v>146.64796863489596</v>
      </c>
      <c r="AV172" s="632">
        <v>152.21819550997694</v>
      </c>
      <c r="AW172" s="632">
        <v>158</v>
      </c>
      <c r="AX172" s="632">
        <v>118.36424446754492</v>
      </c>
      <c r="AY172" s="632">
        <v>122.54627786015223</v>
      </c>
      <c r="AZ172" s="632">
        <v>126.87607042932135</v>
      </c>
      <c r="BA172" s="632">
        <v>131.3588427871824</v>
      </c>
      <c r="BB172" s="632">
        <v>136</v>
      </c>
      <c r="BC172" s="632">
        <v>5.302814557091307</v>
      </c>
      <c r="BD172" s="632">
        <v>5.4691223922545618</v>
      </c>
      <c r="BE172" s="632">
        <v>5.6406460040094561</v>
      </c>
      <c r="BF172" s="632">
        <v>5.8175489704906429</v>
      </c>
      <c r="BG172" s="632">
        <v>6</v>
      </c>
      <c r="BH172" s="634">
        <v>161.80457323769195</v>
      </c>
      <c r="BI172" s="634">
        <v>165.70075899133934</v>
      </c>
      <c r="BJ172" s="634">
        <v>169.69076325161592</v>
      </c>
      <c r="BK172" s="635">
        <v>170.97119469236713</v>
      </c>
      <c r="BL172" s="635">
        <v>172.25162613311841</v>
      </c>
      <c r="BM172" s="635">
        <v>173.53205757386965</v>
      </c>
      <c r="BN172" s="635">
        <v>174.81248901462087</v>
      </c>
      <c r="BO172" s="635">
        <v>176.3265152121684</v>
      </c>
      <c r="BP172" s="635">
        <v>177.84054140971591</v>
      </c>
      <c r="BQ172" s="635">
        <v>182.03785666568692</v>
      </c>
      <c r="BR172" s="635">
        <v>187.03867049893771</v>
      </c>
      <c r="BS172" s="635">
        <v>189.23442939699211</v>
      </c>
      <c r="BT172" s="635">
        <v>190.44024375120608</v>
      </c>
      <c r="BU172" s="635">
        <v>191.68897828792601</v>
      </c>
      <c r="BV172" s="635">
        <v>192.96775695240007</v>
      </c>
      <c r="BW172" s="634">
        <v>139.27482253370954</v>
      </c>
      <c r="BX172" s="634">
        <v>142.62850141026678</v>
      </c>
      <c r="BY172" s="634">
        <v>146.06293545708712</v>
      </c>
      <c r="BZ172" s="635">
        <v>147.16507897570841</v>
      </c>
      <c r="CA172" s="635">
        <v>148.26722249432976</v>
      </c>
      <c r="CB172" s="635">
        <v>149.3693660129511</v>
      </c>
      <c r="CC172" s="635">
        <v>150.47150953157239</v>
      </c>
      <c r="CD172" s="635">
        <v>151.77472195477785</v>
      </c>
      <c r="CE172" s="635">
        <v>153.07793437798333</v>
      </c>
      <c r="CF172" s="635">
        <v>156.69081333248999</v>
      </c>
      <c r="CG172" s="635">
        <v>160.99531131554133</v>
      </c>
      <c r="CH172" s="635">
        <v>162.88533163285396</v>
      </c>
      <c r="CI172" s="635">
        <v>163.92324778584828</v>
      </c>
      <c r="CJ172" s="635">
        <v>164.99810789340466</v>
      </c>
      <c r="CK172" s="635">
        <v>166.09882876915449</v>
      </c>
      <c r="CL172" s="634">
        <v>6.1444774647224794</v>
      </c>
      <c r="CM172" s="634">
        <v>6.2924338857470641</v>
      </c>
      <c r="CN172" s="634">
        <v>6.4439530348714902</v>
      </c>
      <c r="CO172" s="635">
        <v>6.4925770136341949</v>
      </c>
      <c r="CP172" s="635">
        <v>6.5412009923969006</v>
      </c>
      <c r="CQ172" s="635">
        <v>6.5898249711596062</v>
      </c>
      <c r="CR172" s="635">
        <v>6.6384489499223109</v>
      </c>
      <c r="CS172" s="635">
        <v>6.6959436156519638</v>
      </c>
      <c r="CT172" s="635">
        <v>6.7534382813816167</v>
      </c>
      <c r="CU172" s="635">
        <v>6.9128299999627938</v>
      </c>
      <c r="CV172" s="635">
        <v>7.1027343227444693</v>
      </c>
      <c r="CW172" s="635">
        <v>7.1861175720376744</v>
      </c>
      <c r="CX172" s="635">
        <v>7.2319079905521289</v>
      </c>
      <c r="CY172" s="635">
        <v>7.2793282894149112</v>
      </c>
      <c r="CZ172" s="635">
        <v>7.3278895045215204</v>
      </c>
      <c r="DA172" s="636">
        <v>0</v>
      </c>
      <c r="DB172" s="636">
        <v>0</v>
      </c>
      <c r="DC172" s="636">
        <v>0</v>
      </c>
      <c r="DD172" s="637">
        <v>0</v>
      </c>
      <c r="DE172" s="637">
        <v>0</v>
      </c>
      <c r="DF172" s="637">
        <v>0</v>
      </c>
      <c r="DG172" s="637">
        <v>0</v>
      </c>
      <c r="DH172" s="637">
        <v>0</v>
      </c>
      <c r="DI172" s="637">
        <v>0</v>
      </c>
      <c r="DJ172" s="637">
        <v>0</v>
      </c>
      <c r="DK172" s="637">
        <v>0</v>
      </c>
      <c r="DL172" s="637">
        <v>0</v>
      </c>
      <c r="DM172" s="637">
        <v>0</v>
      </c>
      <c r="DN172" s="637">
        <v>0</v>
      </c>
      <c r="DO172" s="637">
        <v>0</v>
      </c>
      <c r="DP172" s="636">
        <v>0</v>
      </c>
      <c r="DQ172" s="636">
        <v>0</v>
      </c>
      <c r="DR172" s="636">
        <v>0</v>
      </c>
      <c r="DS172" s="637">
        <v>0</v>
      </c>
      <c r="DT172" s="637">
        <v>0</v>
      </c>
      <c r="DU172" s="637">
        <v>0</v>
      </c>
      <c r="DV172" s="637">
        <v>0</v>
      </c>
      <c r="DW172" s="637">
        <v>0</v>
      </c>
      <c r="DX172" s="637">
        <v>0</v>
      </c>
      <c r="DY172" s="637">
        <v>0</v>
      </c>
      <c r="DZ172" s="637">
        <v>0</v>
      </c>
      <c r="EA172" s="637">
        <v>0</v>
      </c>
      <c r="EB172" s="637">
        <v>0</v>
      </c>
      <c r="EC172" s="637">
        <v>0</v>
      </c>
      <c r="ED172" s="637">
        <v>0</v>
      </c>
    </row>
    <row r="173" spans="1:134" ht="15" x14ac:dyDescent="0.25">
      <c r="A173" s="555">
        <v>116</v>
      </c>
      <c r="B173" s="555">
        <v>92</v>
      </c>
      <c r="C173" s="555" t="s">
        <v>1156</v>
      </c>
      <c r="D173" s="812">
        <v>99705</v>
      </c>
      <c r="E173" s="812">
        <v>99705</v>
      </c>
      <c r="F173" s="630" t="s">
        <v>311</v>
      </c>
      <c r="G173" s="45">
        <v>856</v>
      </c>
      <c r="H173" s="45">
        <v>324</v>
      </c>
      <c r="I173" s="45">
        <v>300</v>
      </c>
      <c r="J173" s="45">
        <v>24</v>
      </c>
      <c r="K173" s="45">
        <v>2</v>
      </c>
      <c r="L173" s="45">
        <v>210</v>
      </c>
      <c r="M173" s="45">
        <v>212</v>
      </c>
      <c r="N173" s="45">
        <v>11</v>
      </c>
      <c r="O173" s="45">
        <v>0</v>
      </c>
      <c r="P173" s="45">
        <v>0</v>
      </c>
      <c r="Q173" s="45">
        <v>223</v>
      </c>
      <c r="R173" s="45">
        <v>4232</v>
      </c>
      <c r="S173" s="45">
        <v>2089.361904761905</v>
      </c>
      <c r="T173" s="45">
        <v>2109.5754716981137</v>
      </c>
      <c r="U173" s="45">
        <v>3282.5454545454545</v>
      </c>
      <c r="V173" s="45">
        <v>0</v>
      </c>
      <c r="W173" s="45">
        <v>0</v>
      </c>
      <c r="X173" s="45">
        <v>2167.4349775784754</v>
      </c>
      <c r="Y173" s="45">
        <v>3.0566037735849059</v>
      </c>
      <c r="Z173" s="45">
        <v>320.94339622641508</v>
      </c>
      <c r="AA173" s="45">
        <v>0</v>
      </c>
      <c r="AB173" s="508">
        <v>11</v>
      </c>
      <c r="AC173" s="508">
        <v>0</v>
      </c>
      <c r="AD173" s="631">
        <v>335</v>
      </c>
      <c r="AE173" s="632">
        <v>2.8301886792452833</v>
      </c>
      <c r="AF173" s="632">
        <v>297.16981132075466</v>
      </c>
      <c r="AG173" s="633">
        <v>299.99999999999994</v>
      </c>
      <c r="AH173" s="632">
        <v>0</v>
      </c>
      <c r="AI173" s="632">
        <v>2.8369919893543285</v>
      </c>
      <c r="AJ173" s="632">
        <v>297.88415888220447</v>
      </c>
      <c r="AK173" s="632">
        <v>300.72115087155879</v>
      </c>
      <c r="AL173" s="632">
        <v>0</v>
      </c>
      <c r="AM173" s="632">
        <v>2.6403177808543568</v>
      </c>
      <c r="AN173" s="632">
        <v>277.23336698970735</v>
      </c>
      <c r="AO173" s="632">
        <v>279.87368477056168</v>
      </c>
      <c r="AP173" s="632">
        <v>0</v>
      </c>
      <c r="AQ173" s="632">
        <v>10.341184340684002</v>
      </c>
      <c r="AR173" s="632">
        <v>0</v>
      </c>
      <c r="AS173" s="632">
        <v>279.11484747381121</v>
      </c>
      <c r="AT173" s="632">
        <v>289.71665150222918</v>
      </c>
      <c r="AU173" s="632">
        <v>300.72115087155879</v>
      </c>
      <c r="AV173" s="632">
        <v>312.14364142552233</v>
      </c>
      <c r="AW173" s="632">
        <v>324</v>
      </c>
      <c r="AX173" s="632">
        <v>261.09759809017254</v>
      </c>
      <c r="AY173" s="632">
        <v>270.32267175033576</v>
      </c>
      <c r="AZ173" s="632">
        <v>279.87368477056174</v>
      </c>
      <c r="BA173" s="632">
        <v>289.76215320701994</v>
      </c>
      <c r="BB173" s="632">
        <v>299.99999999999994</v>
      </c>
      <c r="BC173" s="632">
        <v>9.7218266880007302</v>
      </c>
      <c r="BD173" s="632">
        <v>10.02672438580003</v>
      </c>
      <c r="BE173" s="632">
        <v>10.341184340684002</v>
      </c>
      <c r="BF173" s="632">
        <v>10.665506445899512</v>
      </c>
      <c r="BG173" s="632">
        <v>11</v>
      </c>
      <c r="BH173" s="634">
        <v>331.75995871624991</v>
      </c>
      <c r="BI173" s="634">
        <v>339.705772245086</v>
      </c>
      <c r="BJ173" s="634">
        <v>347.84189190031339</v>
      </c>
      <c r="BK173" s="635">
        <v>353.86449276365613</v>
      </c>
      <c r="BL173" s="635">
        <v>359.88709362699882</v>
      </c>
      <c r="BM173" s="635">
        <v>365.90969449034168</v>
      </c>
      <c r="BN173" s="635">
        <v>371.93229535368437</v>
      </c>
      <c r="BO173" s="635">
        <v>379.05362586328459</v>
      </c>
      <c r="BP173" s="635">
        <v>386.17495637288476</v>
      </c>
      <c r="BQ173" s="635">
        <v>405.91732888874685</v>
      </c>
      <c r="BR173" s="635">
        <v>429.43901443239605</v>
      </c>
      <c r="BS173" s="635">
        <v>439.76692345918184</v>
      </c>
      <c r="BT173" s="635">
        <v>445.43855751907296</v>
      </c>
      <c r="BU173" s="635">
        <v>451.31206972721037</v>
      </c>
      <c r="BV173" s="635">
        <v>457.32689663912004</v>
      </c>
      <c r="BW173" s="634">
        <v>307.18514695949062</v>
      </c>
      <c r="BX173" s="634">
        <v>314.5423817084129</v>
      </c>
      <c r="BY173" s="634">
        <v>322.07582583362341</v>
      </c>
      <c r="BZ173" s="635">
        <v>327.65230811449629</v>
      </c>
      <c r="CA173" s="635">
        <v>333.22879039536923</v>
      </c>
      <c r="CB173" s="635">
        <v>338.80527267624217</v>
      </c>
      <c r="CC173" s="635">
        <v>344.38175495711505</v>
      </c>
      <c r="CD173" s="635">
        <v>350.97557950304116</v>
      </c>
      <c r="CE173" s="635">
        <v>357.56940404896727</v>
      </c>
      <c r="CF173" s="635">
        <v>375.84937860069141</v>
      </c>
      <c r="CG173" s="635">
        <v>397.62871706703328</v>
      </c>
      <c r="CH173" s="635">
        <v>407.1915957955386</v>
      </c>
      <c r="CI173" s="635">
        <v>412.44310881395631</v>
      </c>
      <c r="CJ173" s="635">
        <v>417.88154604371317</v>
      </c>
      <c r="CK173" s="635">
        <v>423.45083022140733</v>
      </c>
      <c r="CL173" s="634">
        <v>11.263455388514659</v>
      </c>
      <c r="CM173" s="634">
        <v>11.533220662641808</v>
      </c>
      <c r="CN173" s="634">
        <v>11.80944694723286</v>
      </c>
      <c r="CO173" s="635">
        <v>12.0139179641982</v>
      </c>
      <c r="CP173" s="635">
        <v>12.218388981163539</v>
      </c>
      <c r="CQ173" s="635">
        <v>12.422859998128882</v>
      </c>
      <c r="CR173" s="635">
        <v>12.627331015094221</v>
      </c>
      <c r="CS173" s="635">
        <v>12.86910458177818</v>
      </c>
      <c r="CT173" s="635">
        <v>13.110878148462136</v>
      </c>
      <c r="CU173" s="635">
        <v>13.781143882025354</v>
      </c>
      <c r="CV173" s="635">
        <v>14.579719625791222</v>
      </c>
      <c r="CW173" s="635">
        <v>14.930358512503085</v>
      </c>
      <c r="CX173" s="635">
        <v>15.122913989845069</v>
      </c>
      <c r="CY173" s="635">
        <v>15.322323354936152</v>
      </c>
      <c r="CZ173" s="635">
        <v>15.526530441451603</v>
      </c>
      <c r="DA173" s="636">
        <v>0</v>
      </c>
      <c r="DB173" s="636">
        <v>0</v>
      </c>
      <c r="DC173" s="636">
        <v>0</v>
      </c>
      <c r="DD173" s="637">
        <v>0</v>
      </c>
      <c r="DE173" s="637">
        <v>0</v>
      </c>
      <c r="DF173" s="637">
        <v>0</v>
      </c>
      <c r="DG173" s="637">
        <v>0</v>
      </c>
      <c r="DH173" s="637">
        <v>0</v>
      </c>
      <c r="DI173" s="637">
        <v>0</v>
      </c>
      <c r="DJ173" s="637">
        <v>0</v>
      </c>
      <c r="DK173" s="637">
        <v>0</v>
      </c>
      <c r="DL173" s="637">
        <v>0</v>
      </c>
      <c r="DM173" s="637">
        <v>0</v>
      </c>
      <c r="DN173" s="637">
        <v>0</v>
      </c>
      <c r="DO173" s="637">
        <v>0</v>
      </c>
      <c r="DP173" s="636">
        <v>0</v>
      </c>
      <c r="DQ173" s="636">
        <v>0</v>
      </c>
      <c r="DR173" s="636">
        <v>0</v>
      </c>
      <c r="DS173" s="637">
        <v>0</v>
      </c>
      <c r="DT173" s="637">
        <v>0</v>
      </c>
      <c r="DU173" s="637">
        <v>0</v>
      </c>
      <c r="DV173" s="637">
        <v>0</v>
      </c>
      <c r="DW173" s="637">
        <v>0</v>
      </c>
      <c r="DX173" s="637">
        <v>0</v>
      </c>
      <c r="DY173" s="637">
        <v>0</v>
      </c>
      <c r="DZ173" s="637">
        <v>0</v>
      </c>
      <c r="EA173" s="637">
        <v>0</v>
      </c>
      <c r="EB173" s="637">
        <v>0</v>
      </c>
      <c r="EC173" s="637">
        <v>0</v>
      </c>
      <c r="ED173" s="637">
        <v>0</v>
      </c>
    </row>
    <row r="174" spans="1:134" ht="15" x14ac:dyDescent="0.25">
      <c r="A174" s="555">
        <v>117</v>
      </c>
      <c r="B174" s="555">
        <v>92</v>
      </c>
      <c r="C174" s="555" t="s">
        <v>1157</v>
      </c>
      <c r="D174" s="812">
        <v>99705</v>
      </c>
      <c r="E174" s="812">
        <v>99705</v>
      </c>
      <c r="F174" s="630" t="s">
        <v>311</v>
      </c>
      <c r="G174" s="45">
        <v>81</v>
      </c>
      <c r="H174" s="45">
        <v>33</v>
      </c>
      <c r="I174" s="45">
        <v>31</v>
      </c>
      <c r="J174" s="45">
        <v>2</v>
      </c>
      <c r="K174" s="45">
        <v>1</v>
      </c>
      <c r="L174" s="45">
        <v>89</v>
      </c>
      <c r="M174" s="45">
        <v>90</v>
      </c>
      <c r="N174" s="45">
        <v>3</v>
      </c>
      <c r="O174" s="45">
        <v>0</v>
      </c>
      <c r="P174" s="45">
        <v>0</v>
      </c>
      <c r="Q174" s="45">
        <v>93</v>
      </c>
      <c r="R174" s="45">
        <v>3292</v>
      </c>
      <c r="S174" s="45">
        <v>2004.314606741573</v>
      </c>
      <c r="T174" s="45">
        <v>2018.6222222222223</v>
      </c>
      <c r="U174" s="45">
        <v>5510.666666666667</v>
      </c>
      <c r="V174" s="45">
        <v>0</v>
      </c>
      <c r="W174" s="45">
        <v>0</v>
      </c>
      <c r="X174" s="45">
        <v>2131.2688172043013</v>
      </c>
      <c r="Y174" s="45">
        <v>0.36666666666666664</v>
      </c>
      <c r="Z174" s="45">
        <v>32.633333333333333</v>
      </c>
      <c r="AA174" s="45">
        <v>0</v>
      </c>
      <c r="AB174" s="508">
        <v>3</v>
      </c>
      <c r="AC174" s="508">
        <v>0</v>
      </c>
      <c r="AD174" s="631">
        <v>36</v>
      </c>
      <c r="AE174" s="632">
        <v>0.34444444444444439</v>
      </c>
      <c r="AF174" s="632">
        <v>30.655555555555555</v>
      </c>
      <c r="AG174" s="633">
        <v>31</v>
      </c>
      <c r="AH174" s="632">
        <v>0</v>
      </c>
      <c r="AI174" s="632">
        <v>0.34032229008098219</v>
      </c>
      <c r="AJ174" s="632">
        <v>30.288683817207414</v>
      </c>
      <c r="AK174" s="632">
        <v>30.629006107288397</v>
      </c>
      <c r="AL174" s="632">
        <v>0</v>
      </c>
      <c r="AM174" s="632">
        <v>0.32133645288471901</v>
      </c>
      <c r="AN174" s="632">
        <v>28.598944306739998</v>
      </c>
      <c r="AO174" s="632">
        <v>28.920280759624717</v>
      </c>
      <c r="AP174" s="632">
        <v>0</v>
      </c>
      <c r="AQ174" s="632">
        <v>2.8203230020047281</v>
      </c>
      <c r="AR174" s="632">
        <v>0</v>
      </c>
      <c r="AS174" s="632">
        <v>28.428364094554848</v>
      </c>
      <c r="AT174" s="632">
        <v>29.508177467819639</v>
      </c>
      <c r="AU174" s="632">
        <v>30.629006107288397</v>
      </c>
      <c r="AV174" s="632">
        <v>31.792407922969865</v>
      </c>
      <c r="AW174" s="632">
        <v>33</v>
      </c>
      <c r="AX174" s="632">
        <v>26.980085135984503</v>
      </c>
      <c r="AY174" s="632">
        <v>27.933342747534699</v>
      </c>
      <c r="AZ174" s="632">
        <v>28.920280759624717</v>
      </c>
      <c r="BA174" s="632">
        <v>29.942089164725399</v>
      </c>
      <c r="BB174" s="632">
        <v>31</v>
      </c>
      <c r="BC174" s="632">
        <v>2.6514072785456535</v>
      </c>
      <c r="BD174" s="632">
        <v>2.7345611961272809</v>
      </c>
      <c r="BE174" s="632">
        <v>2.8203230020047281</v>
      </c>
      <c r="BF174" s="632">
        <v>2.9087744852453215</v>
      </c>
      <c r="BG174" s="632">
        <v>3</v>
      </c>
      <c r="BH174" s="634">
        <v>33.339034484247577</v>
      </c>
      <c r="BI174" s="634">
        <v>33.681552131571188</v>
      </c>
      <c r="BJ174" s="634">
        <v>34.027588727194981</v>
      </c>
      <c r="BK174" s="635">
        <v>35.145370464265028</v>
      </c>
      <c r="BL174" s="635">
        <v>36.263152201335082</v>
      </c>
      <c r="BM174" s="635">
        <v>37.380933938405136</v>
      </c>
      <c r="BN174" s="635">
        <v>38.498715675475182</v>
      </c>
      <c r="BO174" s="635">
        <v>39.820419266314289</v>
      </c>
      <c r="BP174" s="635">
        <v>41.142122857153403</v>
      </c>
      <c r="BQ174" s="635">
        <v>44.806264636659591</v>
      </c>
      <c r="BR174" s="635">
        <v>49.171838766903839</v>
      </c>
      <c r="BS174" s="635">
        <v>51.088676417980473</v>
      </c>
      <c r="BT174" s="635">
        <v>52.141319472923364</v>
      </c>
      <c r="BU174" s="635">
        <v>53.231430676983784</v>
      </c>
      <c r="BV174" s="635">
        <v>54.347769585426477</v>
      </c>
      <c r="BW174" s="634">
        <v>31.318486939747725</v>
      </c>
      <c r="BX174" s="634">
        <v>31.640245941778993</v>
      </c>
      <c r="BY174" s="634">
        <v>31.965310622516498</v>
      </c>
      <c r="BZ174" s="635">
        <v>33.01534801188533</v>
      </c>
      <c r="CA174" s="635">
        <v>34.065385401254169</v>
      </c>
      <c r="CB174" s="635">
        <v>35.115422790623001</v>
      </c>
      <c r="CC174" s="635">
        <v>36.165460179991832</v>
      </c>
      <c r="CD174" s="635">
        <v>37.407060522901304</v>
      </c>
      <c r="CE174" s="635">
        <v>38.648660865810776</v>
      </c>
      <c r="CF174" s="635">
        <v>42.090733446559014</v>
      </c>
      <c r="CG174" s="635">
        <v>46.191727326485427</v>
      </c>
      <c r="CH174" s="635">
        <v>47.992392998708929</v>
      </c>
      <c r="CI174" s="635">
        <v>48.981239504867396</v>
      </c>
      <c r="CJ174" s="635">
        <v>50.005283363227193</v>
      </c>
      <c r="CK174" s="635">
        <v>51.053965368127898</v>
      </c>
      <c r="CL174" s="634">
        <v>3.0308213167497797</v>
      </c>
      <c r="CM174" s="634">
        <v>3.0619592846882897</v>
      </c>
      <c r="CN174" s="634">
        <v>3.0934171570177256</v>
      </c>
      <c r="CO174" s="635">
        <v>3.1950336785695481</v>
      </c>
      <c r="CP174" s="635">
        <v>3.2966502001213711</v>
      </c>
      <c r="CQ174" s="635">
        <v>3.3982667216731941</v>
      </c>
      <c r="CR174" s="635">
        <v>3.4998832432250162</v>
      </c>
      <c r="CS174" s="635">
        <v>3.6200381151194807</v>
      </c>
      <c r="CT174" s="635">
        <v>3.7401929870139461</v>
      </c>
      <c r="CU174" s="635">
        <v>4.0732967851508723</v>
      </c>
      <c r="CV174" s="635">
        <v>4.4701671606276223</v>
      </c>
      <c r="CW174" s="635">
        <v>4.644425128907316</v>
      </c>
      <c r="CX174" s="635">
        <v>4.7401199520839414</v>
      </c>
      <c r="CY174" s="635">
        <v>4.839220970634889</v>
      </c>
      <c r="CZ174" s="635">
        <v>4.9407063259478612</v>
      </c>
      <c r="DA174" s="636">
        <v>0</v>
      </c>
      <c r="DB174" s="636">
        <v>0</v>
      </c>
      <c r="DC174" s="636">
        <v>0</v>
      </c>
      <c r="DD174" s="637">
        <v>0</v>
      </c>
      <c r="DE174" s="637">
        <v>0</v>
      </c>
      <c r="DF174" s="637">
        <v>0</v>
      </c>
      <c r="DG174" s="637">
        <v>0</v>
      </c>
      <c r="DH174" s="637">
        <v>0</v>
      </c>
      <c r="DI174" s="637">
        <v>0</v>
      </c>
      <c r="DJ174" s="637">
        <v>0</v>
      </c>
      <c r="DK174" s="637">
        <v>0</v>
      </c>
      <c r="DL174" s="637">
        <v>0</v>
      </c>
      <c r="DM174" s="637">
        <v>0</v>
      </c>
      <c r="DN174" s="637">
        <v>0</v>
      </c>
      <c r="DO174" s="637">
        <v>0</v>
      </c>
      <c r="DP174" s="636">
        <v>0</v>
      </c>
      <c r="DQ174" s="636">
        <v>0</v>
      </c>
      <c r="DR174" s="636">
        <v>0</v>
      </c>
      <c r="DS174" s="637">
        <v>0</v>
      </c>
      <c r="DT174" s="637">
        <v>0</v>
      </c>
      <c r="DU174" s="637">
        <v>0</v>
      </c>
      <c r="DV174" s="637">
        <v>0</v>
      </c>
      <c r="DW174" s="637">
        <v>0</v>
      </c>
      <c r="DX174" s="637">
        <v>0</v>
      </c>
      <c r="DY174" s="637">
        <v>0</v>
      </c>
      <c r="DZ174" s="637">
        <v>0</v>
      </c>
      <c r="EA174" s="637">
        <v>0</v>
      </c>
      <c r="EB174" s="637">
        <v>0</v>
      </c>
      <c r="EC174" s="637">
        <v>0</v>
      </c>
      <c r="ED174" s="637">
        <v>0</v>
      </c>
    </row>
    <row r="175" spans="1:134" ht="15" x14ac:dyDescent="0.25">
      <c r="A175" s="555">
        <v>118</v>
      </c>
      <c r="B175" s="555">
        <v>92</v>
      </c>
      <c r="C175" s="555" t="s">
        <v>1158</v>
      </c>
      <c r="D175" s="812">
        <v>99705</v>
      </c>
      <c r="E175" s="812">
        <v>99705</v>
      </c>
      <c r="F175" s="630" t="s">
        <v>311</v>
      </c>
      <c r="G175" s="45">
        <v>123</v>
      </c>
      <c r="H175" s="45">
        <v>54</v>
      </c>
      <c r="I175" s="45">
        <v>49</v>
      </c>
      <c r="J175" s="45">
        <v>5</v>
      </c>
      <c r="K175" s="45">
        <v>0</v>
      </c>
      <c r="L175" s="45">
        <v>15</v>
      </c>
      <c r="M175" s="45">
        <v>15</v>
      </c>
      <c r="N175" s="45">
        <v>0</v>
      </c>
      <c r="O175" s="45">
        <v>0</v>
      </c>
      <c r="P175" s="45">
        <v>0</v>
      </c>
      <c r="Q175" s="45">
        <v>15</v>
      </c>
      <c r="R175" s="45">
        <v>0</v>
      </c>
      <c r="S175" s="45">
        <v>1687.8</v>
      </c>
      <c r="T175" s="45">
        <v>1687.8</v>
      </c>
      <c r="U175" s="45">
        <v>0</v>
      </c>
      <c r="V175" s="45">
        <v>0</v>
      </c>
      <c r="W175" s="45">
        <v>0</v>
      </c>
      <c r="X175" s="45">
        <v>1687.8</v>
      </c>
      <c r="Y175" s="45">
        <v>0</v>
      </c>
      <c r="Z175" s="45">
        <v>54</v>
      </c>
      <c r="AA175" s="45">
        <v>0</v>
      </c>
      <c r="AB175" s="508">
        <v>0</v>
      </c>
      <c r="AC175" s="508">
        <v>0</v>
      </c>
      <c r="AD175" s="631">
        <v>54</v>
      </c>
      <c r="AE175" s="632">
        <v>0</v>
      </c>
      <c r="AF175" s="632">
        <v>49</v>
      </c>
      <c r="AG175" s="633">
        <v>49</v>
      </c>
      <c r="AH175" s="632">
        <v>0</v>
      </c>
      <c r="AI175" s="632">
        <v>0</v>
      </c>
      <c r="AJ175" s="632">
        <v>50.120191811926468</v>
      </c>
      <c r="AK175" s="632">
        <v>50.120191811926468</v>
      </c>
      <c r="AL175" s="632">
        <v>0</v>
      </c>
      <c r="AM175" s="632">
        <v>0</v>
      </c>
      <c r="AN175" s="632">
        <v>45.712701845858426</v>
      </c>
      <c r="AO175" s="632">
        <v>45.712701845858426</v>
      </c>
      <c r="AP175" s="632">
        <v>0</v>
      </c>
      <c r="AQ175" s="632">
        <v>0</v>
      </c>
      <c r="AR175" s="632">
        <v>0</v>
      </c>
      <c r="AS175" s="632">
        <v>46.519141245635204</v>
      </c>
      <c r="AT175" s="632">
        <v>48.286108583704866</v>
      </c>
      <c r="AU175" s="632">
        <v>50.120191811926468</v>
      </c>
      <c r="AV175" s="632">
        <v>52.023940237587055</v>
      </c>
      <c r="AW175" s="632">
        <v>54</v>
      </c>
      <c r="AX175" s="632">
        <v>42.645941021394862</v>
      </c>
      <c r="AY175" s="632">
        <v>44.152703052554848</v>
      </c>
      <c r="AZ175" s="632">
        <v>45.712701845858426</v>
      </c>
      <c r="BA175" s="632">
        <v>47.327818357146604</v>
      </c>
      <c r="BB175" s="632">
        <v>49</v>
      </c>
      <c r="BC175" s="632">
        <v>0</v>
      </c>
      <c r="BD175" s="632">
        <v>0</v>
      </c>
      <c r="BE175" s="632">
        <v>0</v>
      </c>
      <c r="BF175" s="632">
        <v>0</v>
      </c>
      <c r="BG175" s="632">
        <v>0</v>
      </c>
      <c r="BH175" s="634">
        <v>54.554783701496042</v>
      </c>
      <c r="BI175" s="634">
        <v>55.115267124389213</v>
      </c>
      <c r="BJ175" s="634">
        <v>55.68150882631906</v>
      </c>
      <c r="BK175" s="635">
        <v>57.510606214251865</v>
      </c>
      <c r="BL175" s="635">
        <v>59.339703602184677</v>
      </c>
      <c r="BM175" s="635">
        <v>61.168800990117489</v>
      </c>
      <c r="BN175" s="635">
        <v>62.997898378050294</v>
      </c>
      <c r="BO175" s="635">
        <v>65.160686072150654</v>
      </c>
      <c r="BP175" s="635">
        <v>67.323473766251027</v>
      </c>
      <c r="BQ175" s="635">
        <v>73.319342132715704</v>
      </c>
      <c r="BR175" s="635">
        <v>80.463008891297193</v>
      </c>
      <c r="BS175" s="635">
        <v>83.599652320331685</v>
      </c>
      <c r="BT175" s="635">
        <v>85.322159137510951</v>
      </c>
      <c r="BU175" s="635">
        <v>87.105977471428005</v>
      </c>
      <c r="BV175" s="635">
        <v>88.932713867061508</v>
      </c>
      <c r="BW175" s="634">
        <v>49.503414840246407</v>
      </c>
      <c r="BX175" s="634">
        <v>50.012001649908733</v>
      </c>
      <c r="BY175" s="634">
        <v>50.525813564622851</v>
      </c>
      <c r="BZ175" s="635">
        <v>52.185550083302616</v>
      </c>
      <c r="CA175" s="635">
        <v>53.845286601982394</v>
      </c>
      <c r="CB175" s="635">
        <v>55.505023120662166</v>
      </c>
      <c r="CC175" s="635">
        <v>57.164759639341931</v>
      </c>
      <c r="CD175" s="635">
        <v>59.127289213618184</v>
      </c>
      <c r="CE175" s="635">
        <v>61.089818787894451</v>
      </c>
      <c r="CF175" s="635">
        <v>66.530514157464253</v>
      </c>
      <c r="CG175" s="635">
        <v>73.012730290251156</v>
      </c>
      <c r="CH175" s="635">
        <v>75.858943772152827</v>
      </c>
      <c r="CI175" s="635">
        <v>77.421959217371054</v>
      </c>
      <c r="CJ175" s="635">
        <v>79.040609187036523</v>
      </c>
      <c r="CK175" s="635">
        <v>80.698203323815065</v>
      </c>
      <c r="CL175" s="634">
        <v>0</v>
      </c>
      <c r="CM175" s="634">
        <v>0</v>
      </c>
      <c r="CN175" s="634">
        <v>0</v>
      </c>
      <c r="CO175" s="635">
        <v>0</v>
      </c>
      <c r="CP175" s="635">
        <v>0</v>
      </c>
      <c r="CQ175" s="635">
        <v>0</v>
      </c>
      <c r="CR175" s="635">
        <v>0</v>
      </c>
      <c r="CS175" s="635">
        <v>0</v>
      </c>
      <c r="CT175" s="635">
        <v>0</v>
      </c>
      <c r="CU175" s="635">
        <v>0</v>
      </c>
      <c r="CV175" s="635">
        <v>0</v>
      </c>
      <c r="CW175" s="635">
        <v>0</v>
      </c>
      <c r="CX175" s="635">
        <v>0</v>
      </c>
      <c r="CY175" s="635">
        <v>0</v>
      </c>
      <c r="CZ175" s="635">
        <v>0</v>
      </c>
      <c r="DA175" s="636">
        <v>0</v>
      </c>
      <c r="DB175" s="636">
        <v>0</v>
      </c>
      <c r="DC175" s="636">
        <v>0</v>
      </c>
      <c r="DD175" s="637">
        <v>0</v>
      </c>
      <c r="DE175" s="637">
        <v>0</v>
      </c>
      <c r="DF175" s="637">
        <v>0</v>
      </c>
      <c r="DG175" s="637">
        <v>0</v>
      </c>
      <c r="DH175" s="637">
        <v>0</v>
      </c>
      <c r="DI175" s="637">
        <v>0</v>
      </c>
      <c r="DJ175" s="637">
        <v>0</v>
      </c>
      <c r="DK175" s="637">
        <v>0</v>
      </c>
      <c r="DL175" s="637">
        <v>0</v>
      </c>
      <c r="DM175" s="637">
        <v>0</v>
      </c>
      <c r="DN175" s="637">
        <v>0</v>
      </c>
      <c r="DO175" s="637">
        <v>0</v>
      </c>
      <c r="DP175" s="636">
        <v>0</v>
      </c>
      <c r="DQ175" s="636">
        <v>0</v>
      </c>
      <c r="DR175" s="636">
        <v>0</v>
      </c>
      <c r="DS175" s="637">
        <v>0</v>
      </c>
      <c r="DT175" s="637">
        <v>0</v>
      </c>
      <c r="DU175" s="637">
        <v>0</v>
      </c>
      <c r="DV175" s="637">
        <v>0</v>
      </c>
      <c r="DW175" s="637">
        <v>0</v>
      </c>
      <c r="DX175" s="637">
        <v>0</v>
      </c>
      <c r="DY175" s="637">
        <v>0</v>
      </c>
      <c r="DZ175" s="637">
        <v>0</v>
      </c>
      <c r="EA175" s="637">
        <v>0</v>
      </c>
      <c r="EB175" s="637">
        <v>0</v>
      </c>
      <c r="EC175" s="637">
        <v>0</v>
      </c>
      <c r="ED175" s="637">
        <v>0</v>
      </c>
    </row>
    <row r="176" spans="1:134" ht="15" x14ac:dyDescent="0.25">
      <c r="A176" s="555">
        <v>119</v>
      </c>
      <c r="B176" s="555">
        <v>92</v>
      </c>
      <c r="C176" s="555" t="s">
        <v>1159</v>
      </c>
      <c r="D176" s="812">
        <v>99705</v>
      </c>
      <c r="E176" s="812">
        <v>99705</v>
      </c>
      <c r="F176" s="630" t="s">
        <v>311</v>
      </c>
      <c r="G176" s="45">
        <v>274</v>
      </c>
      <c r="H176" s="45">
        <v>104</v>
      </c>
      <c r="I176" s="45">
        <v>93</v>
      </c>
      <c r="J176" s="45">
        <v>11</v>
      </c>
      <c r="K176" s="45">
        <v>1</v>
      </c>
      <c r="L176" s="45">
        <v>102</v>
      </c>
      <c r="M176" s="45">
        <v>103</v>
      </c>
      <c r="N176" s="45">
        <v>9</v>
      </c>
      <c r="O176" s="45">
        <v>0</v>
      </c>
      <c r="P176" s="45">
        <v>0</v>
      </c>
      <c r="Q176" s="45">
        <v>112</v>
      </c>
      <c r="R176" s="45">
        <v>3536</v>
      </c>
      <c r="S176" s="45">
        <v>2194.3431372549021</v>
      </c>
      <c r="T176" s="45">
        <v>2207.3689320388348</v>
      </c>
      <c r="U176" s="45">
        <v>4649.2222222222226</v>
      </c>
      <c r="V176" s="45">
        <v>0</v>
      </c>
      <c r="W176" s="45">
        <v>0</v>
      </c>
      <c r="X176" s="45">
        <v>2403.5892857142858</v>
      </c>
      <c r="Y176" s="45">
        <v>1.0097087378640777</v>
      </c>
      <c r="Z176" s="45">
        <v>102.99029126213593</v>
      </c>
      <c r="AA176" s="45">
        <v>0</v>
      </c>
      <c r="AB176" s="508">
        <v>9</v>
      </c>
      <c r="AC176" s="508">
        <v>0</v>
      </c>
      <c r="AD176" s="631">
        <v>113</v>
      </c>
      <c r="AE176" s="632">
        <v>0.90291262135922323</v>
      </c>
      <c r="AF176" s="632">
        <v>92.097087378640779</v>
      </c>
      <c r="AG176" s="633">
        <v>93</v>
      </c>
      <c r="AH176" s="632">
        <v>0</v>
      </c>
      <c r="AI176" s="632">
        <v>0.93716288177640283</v>
      </c>
      <c r="AJ176" s="632">
        <v>95.590613941193098</v>
      </c>
      <c r="AK176" s="632">
        <v>96.5277768229695</v>
      </c>
      <c r="AL176" s="632">
        <v>0</v>
      </c>
      <c r="AM176" s="632">
        <v>0.84233827455217614</v>
      </c>
      <c r="AN176" s="632">
        <v>85.918504004321974</v>
      </c>
      <c r="AO176" s="632">
        <v>86.760842278874151</v>
      </c>
      <c r="AP176" s="632">
        <v>0</v>
      </c>
      <c r="AQ176" s="632">
        <v>8.4609690060141833</v>
      </c>
      <c r="AR176" s="632">
        <v>0</v>
      </c>
      <c r="AS176" s="632">
        <v>89.592420176778916</v>
      </c>
      <c r="AT176" s="632">
        <v>92.995468383431586</v>
      </c>
      <c r="AU176" s="632">
        <v>96.5277768229695</v>
      </c>
      <c r="AV176" s="632">
        <v>100.19425527238988</v>
      </c>
      <c r="AW176" s="632">
        <v>104</v>
      </c>
      <c r="AX176" s="632">
        <v>80.940255407953515</v>
      </c>
      <c r="AY176" s="632">
        <v>83.8000282426041</v>
      </c>
      <c r="AZ176" s="632">
        <v>86.760842278874151</v>
      </c>
      <c r="BA176" s="632">
        <v>89.826267494176207</v>
      </c>
      <c r="BB176" s="632">
        <v>93</v>
      </c>
      <c r="BC176" s="632">
        <v>7.9542218356369609</v>
      </c>
      <c r="BD176" s="632">
        <v>8.2036835883818426</v>
      </c>
      <c r="BE176" s="632">
        <v>8.4609690060141833</v>
      </c>
      <c r="BF176" s="632">
        <v>8.7263234557359635</v>
      </c>
      <c r="BG176" s="632">
        <v>9</v>
      </c>
      <c r="BH176" s="634">
        <v>105.06847231399237</v>
      </c>
      <c r="BI176" s="634">
        <v>106.14792186919405</v>
      </c>
      <c r="BJ176" s="634">
        <v>107.23846144328115</v>
      </c>
      <c r="BK176" s="635">
        <v>110.76116752374433</v>
      </c>
      <c r="BL176" s="635">
        <v>114.28387360420753</v>
      </c>
      <c r="BM176" s="635">
        <v>117.80657968467072</v>
      </c>
      <c r="BN176" s="635">
        <v>121.3292857651339</v>
      </c>
      <c r="BO176" s="635">
        <v>125.49465465747534</v>
      </c>
      <c r="BP176" s="635">
        <v>129.6600235498168</v>
      </c>
      <c r="BQ176" s="635">
        <v>141.20762188523022</v>
      </c>
      <c r="BR176" s="635">
        <v>154.96579490175756</v>
      </c>
      <c r="BS176" s="635">
        <v>161.00673780212028</v>
      </c>
      <c r="BT176" s="635">
        <v>164.32415833891</v>
      </c>
      <c r="BU176" s="635">
        <v>167.75966031534284</v>
      </c>
      <c r="BV176" s="635">
        <v>171.27781929952587</v>
      </c>
      <c r="BW176" s="634">
        <v>93.955460819243171</v>
      </c>
      <c r="BX176" s="634">
        <v>94.920737825336985</v>
      </c>
      <c r="BY176" s="634">
        <v>95.895931867549493</v>
      </c>
      <c r="BZ176" s="635">
        <v>99.046044035655981</v>
      </c>
      <c r="CA176" s="635">
        <v>102.1961562037625</v>
      </c>
      <c r="CB176" s="635">
        <v>105.34626837186902</v>
      </c>
      <c r="CC176" s="635">
        <v>108.4963805399755</v>
      </c>
      <c r="CD176" s="635">
        <v>112.2211815687039</v>
      </c>
      <c r="CE176" s="635">
        <v>115.94598259743232</v>
      </c>
      <c r="CF176" s="635">
        <v>126.27220033967704</v>
      </c>
      <c r="CG176" s="635">
        <v>138.57518197945629</v>
      </c>
      <c r="CH176" s="635">
        <v>143.97717899612678</v>
      </c>
      <c r="CI176" s="635">
        <v>146.94371851460221</v>
      </c>
      <c r="CJ176" s="635">
        <v>150.01585008968158</v>
      </c>
      <c r="CK176" s="635">
        <v>153.16189610438371</v>
      </c>
      <c r="CL176" s="634">
        <v>9.0924639502493392</v>
      </c>
      <c r="CM176" s="634">
        <v>9.18587785406487</v>
      </c>
      <c r="CN176" s="634">
        <v>9.2802514710531767</v>
      </c>
      <c r="CO176" s="635">
        <v>9.585101035708643</v>
      </c>
      <c r="CP176" s="635">
        <v>9.8899506003641129</v>
      </c>
      <c r="CQ176" s="635">
        <v>10.194800165019581</v>
      </c>
      <c r="CR176" s="635">
        <v>10.499649729675049</v>
      </c>
      <c r="CS176" s="635">
        <v>10.860114345358442</v>
      </c>
      <c r="CT176" s="635">
        <v>11.220578961041838</v>
      </c>
      <c r="CU176" s="635">
        <v>12.219890355452616</v>
      </c>
      <c r="CV176" s="635">
        <v>13.410501481882866</v>
      </c>
      <c r="CW176" s="635">
        <v>13.933275386721947</v>
      </c>
      <c r="CX176" s="635">
        <v>14.220359856251825</v>
      </c>
      <c r="CY176" s="635">
        <v>14.517662911904669</v>
      </c>
      <c r="CZ176" s="635">
        <v>14.822118977843584</v>
      </c>
      <c r="DA176" s="636">
        <v>0</v>
      </c>
      <c r="DB176" s="636">
        <v>0</v>
      </c>
      <c r="DC176" s="636">
        <v>0</v>
      </c>
      <c r="DD176" s="637">
        <v>0</v>
      </c>
      <c r="DE176" s="637">
        <v>0</v>
      </c>
      <c r="DF176" s="637">
        <v>0</v>
      </c>
      <c r="DG176" s="637">
        <v>0</v>
      </c>
      <c r="DH176" s="637">
        <v>0</v>
      </c>
      <c r="DI176" s="637">
        <v>0</v>
      </c>
      <c r="DJ176" s="637">
        <v>0</v>
      </c>
      <c r="DK176" s="637">
        <v>0</v>
      </c>
      <c r="DL176" s="637">
        <v>0</v>
      </c>
      <c r="DM176" s="637">
        <v>0</v>
      </c>
      <c r="DN176" s="637">
        <v>0</v>
      </c>
      <c r="DO176" s="637">
        <v>0</v>
      </c>
      <c r="DP176" s="636">
        <v>0</v>
      </c>
      <c r="DQ176" s="636">
        <v>0</v>
      </c>
      <c r="DR176" s="636">
        <v>0</v>
      </c>
      <c r="DS176" s="637">
        <v>0</v>
      </c>
      <c r="DT176" s="637">
        <v>0</v>
      </c>
      <c r="DU176" s="637">
        <v>0</v>
      </c>
      <c r="DV176" s="637">
        <v>0</v>
      </c>
      <c r="DW176" s="637">
        <v>0</v>
      </c>
      <c r="DX176" s="637">
        <v>0</v>
      </c>
      <c r="DY176" s="637">
        <v>0</v>
      </c>
      <c r="DZ176" s="637">
        <v>0</v>
      </c>
      <c r="EA176" s="637">
        <v>0</v>
      </c>
      <c r="EB176" s="637">
        <v>0</v>
      </c>
      <c r="EC176" s="637">
        <v>0</v>
      </c>
      <c r="ED176" s="637">
        <v>0</v>
      </c>
    </row>
    <row r="177" spans="1:134" ht="15" x14ac:dyDescent="0.25">
      <c r="A177" s="555">
        <v>120</v>
      </c>
      <c r="B177" s="555">
        <v>92</v>
      </c>
      <c r="C177" s="555" t="s">
        <v>1160</v>
      </c>
      <c r="D177" s="812">
        <v>99705</v>
      </c>
      <c r="E177" s="812">
        <v>99705</v>
      </c>
      <c r="F177" s="630" t="s">
        <v>311</v>
      </c>
      <c r="G177" s="45">
        <v>217</v>
      </c>
      <c r="H177" s="45">
        <v>77</v>
      </c>
      <c r="I177" s="45">
        <v>70</v>
      </c>
      <c r="J177" s="45">
        <v>7</v>
      </c>
      <c r="K177" s="45">
        <v>1</v>
      </c>
      <c r="L177" s="45">
        <v>147</v>
      </c>
      <c r="M177" s="45">
        <v>148</v>
      </c>
      <c r="N177" s="45">
        <v>2</v>
      </c>
      <c r="O177" s="45">
        <v>0</v>
      </c>
      <c r="P177" s="45">
        <v>0</v>
      </c>
      <c r="Q177" s="45">
        <v>150</v>
      </c>
      <c r="R177" s="45">
        <v>3024</v>
      </c>
      <c r="S177" s="45">
        <v>2220.9591836734694</v>
      </c>
      <c r="T177" s="45">
        <v>2226.385135135135</v>
      </c>
      <c r="U177" s="45">
        <v>2932</v>
      </c>
      <c r="V177" s="45">
        <v>0</v>
      </c>
      <c r="W177" s="45">
        <v>0</v>
      </c>
      <c r="X177" s="45">
        <v>2235.7933333333335</v>
      </c>
      <c r="Y177" s="45">
        <v>0.52027027027027029</v>
      </c>
      <c r="Z177" s="45">
        <v>76.479729729729726</v>
      </c>
      <c r="AA177" s="45">
        <v>0</v>
      </c>
      <c r="AB177" s="508">
        <v>2</v>
      </c>
      <c r="AC177" s="508">
        <v>0</v>
      </c>
      <c r="AD177" s="631">
        <v>79</v>
      </c>
      <c r="AE177" s="632">
        <v>0.47297297297297297</v>
      </c>
      <c r="AF177" s="632">
        <v>69.527027027027017</v>
      </c>
      <c r="AG177" s="633">
        <v>69.999999999999986</v>
      </c>
      <c r="AH177" s="632">
        <v>0</v>
      </c>
      <c r="AI177" s="632">
        <v>0.48288973592571799</v>
      </c>
      <c r="AJ177" s="632">
        <v>70.984791181080539</v>
      </c>
      <c r="AK177" s="632">
        <v>71.467680917006263</v>
      </c>
      <c r="AL177" s="632">
        <v>0</v>
      </c>
      <c r="AM177" s="632">
        <v>0.44124229580944424</v>
      </c>
      <c r="AN177" s="632">
        <v>64.862617483988302</v>
      </c>
      <c r="AO177" s="632">
        <v>65.303859779797747</v>
      </c>
      <c r="AP177" s="632">
        <v>0</v>
      </c>
      <c r="AQ177" s="632">
        <v>1.8802153346698185</v>
      </c>
      <c r="AR177" s="632">
        <v>0</v>
      </c>
      <c r="AS177" s="632">
        <v>66.33284955396131</v>
      </c>
      <c r="AT177" s="632">
        <v>68.852414091579163</v>
      </c>
      <c r="AU177" s="632">
        <v>71.467680917006263</v>
      </c>
      <c r="AV177" s="632">
        <v>74.182285153596354</v>
      </c>
      <c r="AW177" s="632">
        <v>77</v>
      </c>
      <c r="AX177" s="632">
        <v>60.922772887706934</v>
      </c>
      <c r="AY177" s="632">
        <v>63.075290075078343</v>
      </c>
      <c r="AZ177" s="632">
        <v>65.303859779797733</v>
      </c>
      <c r="BA177" s="632">
        <v>67.611169081637982</v>
      </c>
      <c r="BB177" s="632">
        <v>69.999999999999986</v>
      </c>
      <c r="BC177" s="632">
        <v>1.7676048523637691</v>
      </c>
      <c r="BD177" s="632">
        <v>1.823040797418187</v>
      </c>
      <c r="BE177" s="632">
        <v>1.8802153346698185</v>
      </c>
      <c r="BF177" s="632">
        <v>1.9391829901635476</v>
      </c>
      <c r="BG177" s="632">
        <v>2</v>
      </c>
      <c r="BH177" s="634">
        <v>78.71074211457136</v>
      </c>
      <c r="BI177" s="634">
        <v>80.459492522422806</v>
      </c>
      <c r="BJ177" s="634">
        <v>82.247095670152007</v>
      </c>
      <c r="BK177" s="635">
        <v>83.298634185951684</v>
      </c>
      <c r="BL177" s="635">
        <v>84.350172701751362</v>
      </c>
      <c r="BM177" s="635">
        <v>85.401711217551025</v>
      </c>
      <c r="BN177" s="635">
        <v>86.453249733350717</v>
      </c>
      <c r="BO177" s="635">
        <v>87.696625059808525</v>
      </c>
      <c r="BP177" s="635">
        <v>88.940000386266334</v>
      </c>
      <c r="BQ177" s="635">
        <v>92.386993730960853</v>
      </c>
      <c r="BR177" s="635">
        <v>96.493850364317012</v>
      </c>
      <c r="BS177" s="635">
        <v>98.297090256145495</v>
      </c>
      <c r="BT177" s="635">
        <v>99.287350410657325</v>
      </c>
      <c r="BU177" s="635">
        <v>100.31285823526984</v>
      </c>
      <c r="BV177" s="635">
        <v>101.36303942895283</v>
      </c>
      <c r="BW177" s="634">
        <v>71.555220104155765</v>
      </c>
      <c r="BX177" s="634">
        <v>73.144993202202542</v>
      </c>
      <c r="BY177" s="634">
        <v>74.770086972865442</v>
      </c>
      <c r="BZ177" s="635">
        <v>75.726031078137879</v>
      </c>
      <c r="CA177" s="635">
        <v>76.681975183410316</v>
      </c>
      <c r="CB177" s="635">
        <v>77.637919288682738</v>
      </c>
      <c r="CC177" s="635">
        <v>78.593863393955175</v>
      </c>
      <c r="CD177" s="635">
        <v>79.72420459982591</v>
      </c>
      <c r="CE177" s="635">
        <v>80.854545805696659</v>
      </c>
      <c r="CF177" s="635">
        <v>83.988176119055296</v>
      </c>
      <c r="CG177" s="635">
        <v>87.721682149379077</v>
      </c>
      <c r="CH177" s="635">
        <v>89.360991141950436</v>
      </c>
      <c r="CI177" s="635">
        <v>90.261227646052092</v>
      </c>
      <c r="CJ177" s="635">
        <v>91.193507486608922</v>
      </c>
      <c r="CK177" s="635">
        <v>92.148217662684374</v>
      </c>
      <c r="CL177" s="634">
        <v>2.0444348601187365</v>
      </c>
      <c r="CM177" s="634">
        <v>2.0898569486343588</v>
      </c>
      <c r="CN177" s="634">
        <v>2.1362881992247273</v>
      </c>
      <c r="CO177" s="635">
        <v>2.1636008879467972</v>
      </c>
      <c r="CP177" s="635">
        <v>2.1909135766688665</v>
      </c>
      <c r="CQ177" s="635">
        <v>2.2182262653909359</v>
      </c>
      <c r="CR177" s="635">
        <v>2.2455389541130053</v>
      </c>
      <c r="CS177" s="635">
        <v>2.2778344171378837</v>
      </c>
      <c r="CT177" s="635">
        <v>2.3101298801627621</v>
      </c>
      <c r="CU177" s="635">
        <v>2.3996621748301519</v>
      </c>
      <c r="CV177" s="635">
        <v>2.5063337756965458</v>
      </c>
      <c r="CW177" s="635">
        <v>2.5531711754842985</v>
      </c>
      <c r="CX177" s="635">
        <v>2.5788922184586314</v>
      </c>
      <c r="CY177" s="635">
        <v>2.6055287853316842</v>
      </c>
      <c r="CZ177" s="635">
        <v>2.6328062189338395</v>
      </c>
      <c r="DA177" s="636">
        <v>0</v>
      </c>
      <c r="DB177" s="636">
        <v>0</v>
      </c>
      <c r="DC177" s="636">
        <v>0</v>
      </c>
      <c r="DD177" s="637">
        <v>0</v>
      </c>
      <c r="DE177" s="637">
        <v>0</v>
      </c>
      <c r="DF177" s="637">
        <v>0</v>
      </c>
      <c r="DG177" s="637">
        <v>0</v>
      </c>
      <c r="DH177" s="637">
        <v>0</v>
      </c>
      <c r="DI177" s="637">
        <v>0</v>
      </c>
      <c r="DJ177" s="637">
        <v>0</v>
      </c>
      <c r="DK177" s="637">
        <v>0</v>
      </c>
      <c r="DL177" s="637">
        <v>0</v>
      </c>
      <c r="DM177" s="637">
        <v>0</v>
      </c>
      <c r="DN177" s="637">
        <v>0</v>
      </c>
      <c r="DO177" s="637">
        <v>0</v>
      </c>
      <c r="DP177" s="636">
        <v>0</v>
      </c>
      <c r="DQ177" s="636">
        <v>0</v>
      </c>
      <c r="DR177" s="636">
        <v>0</v>
      </c>
      <c r="DS177" s="637">
        <v>0</v>
      </c>
      <c r="DT177" s="637">
        <v>0</v>
      </c>
      <c r="DU177" s="637">
        <v>0</v>
      </c>
      <c r="DV177" s="637">
        <v>0</v>
      </c>
      <c r="DW177" s="637">
        <v>0</v>
      </c>
      <c r="DX177" s="637">
        <v>0</v>
      </c>
      <c r="DY177" s="637">
        <v>0</v>
      </c>
      <c r="DZ177" s="637">
        <v>0</v>
      </c>
      <c r="EA177" s="637">
        <v>0</v>
      </c>
      <c r="EB177" s="637">
        <v>0</v>
      </c>
      <c r="EC177" s="637">
        <v>0</v>
      </c>
      <c r="ED177" s="637">
        <v>0</v>
      </c>
    </row>
    <row r="178" spans="1:134" ht="15" x14ac:dyDescent="0.25">
      <c r="A178" s="555">
        <v>121</v>
      </c>
      <c r="B178" s="555">
        <v>92</v>
      </c>
      <c r="C178" s="555" t="s">
        <v>1161</v>
      </c>
      <c r="D178" s="812">
        <v>99705</v>
      </c>
      <c r="E178" s="812">
        <v>99705</v>
      </c>
      <c r="F178" s="630" t="s">
        <v>311</v>
      </c>
      <c r="G178" s="45">
        <v>524</v>
      </c>
      <c r="H178" s="45">
        <v>203</v>
      </c>
      <c r="I178" s="45">
        <v>184</v>
      </c>
      <c r="J178" s="45">
        <v>19</v>
      </c>
      <c r="K178" s="45">
        <v>0</v>
      </c>
      <c r="L178" s="45">
        <v>131</v>
      </c>
      <c r="M178" s="45">
        <v>131</v>
      </c>
      <c r="N178" s="45">
        <v>2</v>
      </c>
      <c r="O178" s="45">
        <v>0</v>
      </c>
      <c r="P178" s="45">
        <v>0</v>
      </c>
      <c r="Q178" s="45">
        <v>133</v>
      </c>
      <c r="R178" s="45">
        <v>0</v>
      </c>
      <c r="S178" s="45">
        <v>1959.0916030534352</v>
      </c>
      <c r="T178" s="45">
        <v>1959.0916030534352</v>
      </c>
      <c r="U178" s="45">
        <v>5122</v>
      </c>
      <c r="V178" s="45">
        <v>0</v>
      </c>
      <c r="W178" s="45">
        <v>0</v>
      </c>
      <c r="X178" s="45">
        <v>2006.6541353383459</v>
      </c>
      <c r="Y178" s="45">
        <v>0</v>
      </c>
      <c r="Z178" s="45">
        <v>203</v>
      </c>
      <c r="AA178" s="45">
        <v>0</v>
      </c>
      <c r="AB178" s="508">
        <v>2</v>
      </c>
      <c r="AC178" s="508">
        <v>0</v>
      </c>
      <c r="AD178" s="631">
        <v>205</v>
      </c>
      <c r="AE178" s="632">
        <v>0</v>
      </c>
      <c r="AF178" s="632">
        <v>184</v>
      </c>
      <c r="AG178" s="633">
        <v>184</v>
      </c>
      <c r="AH178" s="632">
        <v>0</v>
      </c>
      <c r="AI178" s="632">
        <v>0</v>
      </c>
      <c r="AJ178" s="632">
        <v>188.4147951448347</v>
      </c>
      <c r="AK178" s="632">
        <v>188.4147951448347</v>
      </c>
      <c r="AL178" s="632">
        <v>0</v>
      </c>
      <c r="AM178" s="632">
        <v>0</v>
      </c>
      <c r="AN178" s="632">
        <v>171.65585999261123</v>
      </c>
      <c r="AO178" s="632">
        <v>171.65585999261123</v>
      </c>
      <c r="AP178" s="632">
        <v>0</v>
      </c>
      <c r="AQ178" s="632">
        <v>1.8802153346698185</v>
      </c>
      <c r="AR178" s="632">
        <v>0</v>
      </c>
      <c r="AS178" s="632">
        <v>174.87751246044346</v>
      </c>
      <c r="AT178" s="632">
        <v>181.52000078689051</v>
      </c>
      <c r="AU178" s="632">
        <v>188.4147951448347</v>
      </c>
      <c r="AV178" s="632">
        <v>195.57147904129948</v>
      </c>
      <c r="AW178" s="632">
        <v>203</v>
      </c>
      <c r="AX178" s="632">
        <v>160.13986016197254</v>
      </c>
      <c r="AY178" s="632">
        <v>165.79790534020597</v>
      </c>
      <c r="AZ178" s="632">
        <v>171.65585999261123</v>
      </c>
      <c r="BA178" s="632">
        <v>177.7207873003056</v>
      </c>
      <c r="BB178" s="632">
        <v>184</v>
      </c>
      <c r="BC178" s="632">
        <v>1.7676048523637691</v>
      </c>
      <c r="BD178" s="632">
        <v>1.823040797418187</v>
      </c>
      <c r="BE178" s="632">
        <v>1.8802153346698185</v>
      </c>
      <c r="BF178" s="632">
        <v>1.9391829901635476</v>
      </c>
      <c r="BG178" s="632">
        <v>2</v>
      </c>
      <c r="BH178" s="634">
        <v>206.30717356765132</v>
      </c>
      <c r="BI178" s="634">
        <v>209.66822593829068</v>
      </c>
      <c r="BJ178" s="634">
        <v>213.0840348781895</v>
      </c>
      <c r="BK178" s="635">
        <v>215.55936068661063</v>
      </c>
      <c r="BL178" s="635">
        <v>218.03468649503171</v>
      </c>
      <c r="BM178" s="635">
        <v>220.51001230345278</v>
      </c>
      <c r="BN178" s="635">
        <v>222.98533811187389</v>
      </c>
      <c r="BO178" s="635">
        <v>225.91224852826929</v>
      </c>
      <c r="BP178" s="635">
        <v>228.83915894466472</v>
      </c>
      <c r="BQ178" s="635">
        <v>236.95339485649845</v>
      </c>
      <c r="BR178" s="635">
        <v>246.62095154918032</v>
      </c>
      <c r="BS178" s="635">
        <v>250.86578535788112</v>
      </c>
      <c r="BT178" s="635">
        <v>253.19686166244242</v>
      </c>
      <c r="BU178" s="635">
        <v>255.61091112126854</v>
      </c>
      <c r="BV178" s="635">
        <v>258.08304178808015</v>
      </c>
      <c r="BW178" s="634">
        <v>186.99763515491549</v>
      </c>
      <c r="BX178" s="634">
        <v>190.04410626918957</v>
      </c>
      <c r="BY178" s="634">
        <v>193.14020895362989</v>
      </c>
      <c r="BZ178" s="635">
        <v>195.38385402136134</v>
      </c>
      <c r="CA178" s="635">
        <v>197.62749908909277</v>
      </c>
      <c r="CB178" s="635">
        <v>199.87114415682419</v>
      </c>
      <c r="CC178" s="635">
        <v>202.11478922455566</v>
      </c>
      <c r="CD178" s="635">
        <v>204.76775236059876</v>
      </c>
      <c r="CE178" s="635">
        <v>207.42071549664192</v>
      </c>
      <c r="CF178" s="635">
        <v>214.77549090441238</v>
      </c>
      <c r="CG178" s="635">
        <v>223.5382023894048</v>
      </c>
      <c r="CH178" s="635">
        <v>227.38573648202032</v>
      </c>
      <c r="CI178" s="635">
        <v>229.49863323098231</v>
      </c>
      <c r="CJ178" s="635">
        <v>231.68673717395771</v>
      </c>
      <c r="CK178" s="635">
        <v>233.92748615274263</v>
      </c>
      <c r="CL178" s="634">
        <v>2.0325829908142987</v>
      </c>
      <c r="CM178" s="634">
        <v>2.0656968072737998</v>
      </c>
      <c r="CN178" s="634">
        <v>2.099350097322064</v>
      </c>
      <c r="CO178" s="635">
        <v>2.1237375437104493</v>
      </c>
      <c r="CP178" s="635">
        <v>2.1481249900988346</v>
      </c>
      <c r="CQ178" s="635">
        <v>2.1725124364872195</v>
      </c>
      <c r="CR178" s="635">
        <v>2.1968998828756048</v>
      </c>
      <c r="CS178" s="635">
        <v>2.2257364387021603</v>
      </c>
      <c r="CT178" s="635">
        <v>2.2545729945287163</v>
      </c>
      <c r="CU178" s="635">
        <v>2.3345162054827431</v>
      </c>
      <c r="CV178" s="635">
        <v>2.4297630694500523</v>
      </c>
      <c r="CW178" s="635">
        <v>2.4715840921958732</v>
      </c>
      <c r="CX178" s="635">
        <v>2.4945503612063291</v>
      </c>
      <c r="CY178" s="635">
        <v>2.5183340997169315</v>
      </c>
      <c r="CZ178" s="635">
        <v>2.5426900668776371</v>
      </c>
      <c r="DA178" s="636">
        <v>0</v>
      </c>
      <c r="DB178" s="636">
        <v>0</v>
      </c>
      <c r="DC178" s="636">
        <v>0</v>
      </c>
      <c r="DD178" s="637">
        <v>0</v>
      </c>
      <c r="DE178" s="637">
        <v>0</v>
      </c>
      <c r="DF178" s="637">
        <v>0</v>
      </c>
      <c r="DG178" s="637">
        <v>0</v>
      </c>
      <c r="DH178" s="637">
        <v>0</v>
      </c>
      <c r="DI178" s="637">
        <v>0</v>
      </c>
      <c r="DJ178" s="637">
        <v>0</v>
      </c>
      <c r="DK178" s="637">
        <v>0</v>
      </c>
      <c r="DL178" s="637">
        <v>0</v>
      </c>
      <c r="DM178" s="637">
        <v>0</v>
      </c>
      <c r="DN178" s="637">
        <v>0</v>
      </c>
      <c r="DO178" s="637">
        <v>0</v>
      </c>
      <c r="DP178" s="636">
        <v>0</v>
      </c>
      <c r="DQ178" s="636">
        <v>0</v>
      </c>
      <c r="DR178" s="636">
        <v>0</v>
      </c>
      <c r="DS178" s="637">
        <v>0</v>
      </c>
      <c r="DT178" s="637">
        <v>0</v>
      </c>
      <c r="DU178" s="637">
        <v>0</v>
      </c>
      <c r="DV178" s="637">
        <v>0</v>
      </c>
      <c r="DW178" s="637">
        <v>0</v>
      </c>
      <c r="DX178" s="637">
        <v>0</v>
      </c>
      <c r="DY178" s="637">
        <v>0</v>
      </c>
      <c r="DZ178" s="637">
        <v>0</v>
      </c>
      <c r="EA178" s="637">
        <v>0</v>
      </c>
      <c r="EB178" s="637">
        <v>0</v>
      </c>
      <c r="EC178" s="637">
        <v>0</v>
      </c>
      <c r="ED178" s="637">
        <v>0</v>
      </c>
    </row>
    <row r="179" spans="1:134" ht="15" x14ac:dyDescent="0.25">
      <c r="A179" s="555">
        <v>122</v>
      </c>
      <c r="B179" s="555">
        <v>92</v>
      </c>
      <c r="C179" s="555" t="s">
        <v>1162</v>
      </c>
      <c r="D179" s="812">
        <v>99705</v>
      </c>
      <c r="E179" s="812">
        <v>99705</v>
      </c>
      <c r="F179" s="630" t="s">
        <v>989</v>
      </c>
      <c r="G179" s="45">
        <v>2</v>
      </c>
      <c r="H179" s="45">
        <v>1</v>
      </c>
      <c r="I179" s="45">
        <v>1</v>
      </c>
      <c r="J179" s="45">
        <v>0</v>
      </c>
      <c r="K179" s="45">
        <v>0</v>
      </c>
      <c r="L179" s="45">
        <v>0</v>
      </c>
      <c r="M179" s="45">
        <v>0</v>
      </c>
      <c r="N179" s="45">
        <v>0</v>
      </c>
      <c r="O179" s="45">
        <v>0</v>
      </c>
      <c r="P179" s="45">
        <v>0</v>
      </c>
      <c r="Q179" s="45">
        <v>0</v>
      </c>
      <c r="R179" s="45">
        <v>0</v>
      </c>
      <c r="S179" s="45">
        <v>834.49503068156923</v>
      </c>
      <c r="T179" s="45">
        <v>834.49503068156923</v>
      </c>
      <c r="U179" s="45">
        <v>1408.3846153846155</v>
      </c>
      <c r="V179" s="45">
        <v>0</v>
      </c>
      <c r="W179" s="45">
        <v>0</v>
      </c>
      <c r="X179" s="45">
        <v>1365.173957061457</v>
      </c>
      <c r="Y179" s="45">
        <v>2.2912335412335411E-2</v>
      </c>
      <c r="Z179" s="45">
        <v>0.97578828828828834</v>
      </c>
      <c r="AA179" s="45">
        <v>1.2993762993762994E-3</v>
      </c>
      <c r="AB179" s="508">
        <v>0</v>
      </c>
      <c r="AC179" s="508">
        <v>0</v>
      </c>
      <c r="AD179" s="631">
        <v>1</v>
      </c>
      <c r="AE179" s="632">
        <v>2.2912335412335411E-2</v>
      </c>
      <c r="AF179" s="632">
        <v>0.97578828828828834</v>
      </c>
      <c r="AG179" s="633">
        <v>0.99870062370062374</v>
      </c>
      <c r="AH179" s="632">
        <v>1.2993762993762994E-3</v>
      </c>
      <c r="AI179" s="632">
        <v>2.1266123068989742E-2</v>
      </c>
      <c r="AJ179" s="632">
        <v>0.90567955883037798</v>
      </c>
      <c r="AK179" s="632">
        <v>0.92694568189936777</v>
      </c>
      <c r="AL179" s="632">
        <v>1.2060183214928021E-3</v>
      </c>
      <c r="AM179" s="632">
        <v>2.1375199128497804E-2</v>
      </c>
      <c r="AN179" s="632">
        <v>0.91032487933067496</v>
      </c>
      <c r="AO179" s="632">
        <v>0.9317000784591728</v>
      </c>
      <c r="AP179" s="632">
        <v>1.2122041093666051E-3</v>
      </c>
      <c r="AQ179" s="632">
        <v>0</v>
      </c>
      <c r="AR179" s="632">
        <v>0</v>
      </c>
      <c r="AS179" s="632">
        <v>0.86034621066728312</v>
      </c>
      <c r="AT179" s="632">
        <v>0.89302531034485355</v>
      </c>
      <c r="AU179" s="632">
        <v>0.92694568189936777</v>
      </c>
      <c r="AV179" s="632">
        <v>0.96215447338226234</v>
      </c>
      <c r="AW179" s="632">
        <v>0.99870062370062374</v>
      </c>
      <c r="AX179" s="632">
        <v>0.86919444686463387</v>
      </c>
      <c r="AY179" s="632">
        <v>0.8999047362582645</v>
      </c>
      <c r="AZ179" s="632">
        <v>0.93170007845917269</v>
      </c>
      <c r="BA179" s="632">
        <v>0.96461881044228859</v>
      </c>
      <c r="BB179" s="632">
        <v>0.99870062370062374</v>
      </c>
      <c r="BC179" s="632">
        <v>0</v>
      </c>
      <c r="BD179" s="632">
        <v>0</v>
      </c>
      <c r="BE179" s="632">
        <v>0</v>
      </c>
      <c r="BF179" s="632">
        <v>0</v>
      </c>
      <c r="BG179" s="632">
        <v>0</v>
      </c>
      <c r="BH179" s="634">
        <v>1.0149709503247597</v>
      </c>
      <c r="BI179" s="634">
        <v>1.0315063449003654</v>
      </c>
      <c r="BJ179" s="634">
        <v>1.0483111257807551</v>
      </c>
      <c r="BK179" s="635">
        <v>1.0483111257807551</v>
      </c>
      <c r="BL179" s="635">
        <v>1.0483111257807551</v>
      </c>
      <c r="BM179" s="635">
        <v>1.0483111257807551</v>
      </c>
      <c r="BN179" s="635">
        <v>1.0483111257807551</v>
      </c>
      <c r="BO179" s="635">
        <v>1.0483111257807551</v>
      </c>
      <c r="BP179" s="635">
        <v>1.0483111257807551</v>
      </c>
      <c r="BQ179" s="635">
        <v>1.0483111257807551</v>
      </c>
      <c r="BR179" s="635">
        <v>1.0483111257807551</v>
      </c>
      <c r="BS179" s="635">
        <v>1.0483111257807551</v>
      </c>
      <c r="BT179" s="635">
        <v>1.0483111257807551</v>
      </c>
      <c r="BU179" s="635">
        <v>1.0483111257807551</v>
      </c>
      <c r="BV179" s="635">
        <v>1.0483111257807551</v>
      </c>
      <c r="BW179" s="634">
        <v>1.0149709503247597</v>
      </c>
      <c r="BX179" s="634">
        <v>1.0315063449003654</v>
      </c>
      <c r="BY179" s="634">
        <v>1.0483111257807551</v>
      </c>
      <c r="BZ179" s="635">
        <v>1.0483111257807551</v>
      </c>
      <c r="CA179" s="635">
        <v>1.0483111257807551</v>
      </c>
      <c r="CB179" s="635">
        <v>1.0483111257807551</v>
      </c>
      <c r="CC179" s="635">
        <v>1.0483111257807551</v>
      </c>
      <c r="CD179" s="635">
        <v>1.0483111257807551</v>
      </c>
      <c r="CE179" s="635">
        <v>1.0483111257807551</v>
      </c>
      <c r="CF179" s="635">
        <v>1.0483111257807551</v>
      </c>
      <c r="CG179" s="635">
        <v>1.0483111257807551</v>
      </c>
      <c r="CH179" s="635">
        <v>1.0483111257807551</v>
      </c>
      <c r="CI179" s="635">
        <v>1.0483111257807551</v>
      </c>
      <c r="CJ179" s="635">
        <v>1.0483111257807551</v>
      </c>
      <c r="CK179" s="635">
        <v>1.0483111257807551</v>
      </c>
      <c r="CL179" s="634">
        <v>0</v>
      </c>
      <c r="CM179" s="634">
        <v>0</v>
      </c>
      <c r="CN179" s="634">
        <v>0</v>
      </c>
      <c r="CO179" s="635">
        <v>0</v>
      </c>
      <c r="CP179" s="635">
        <v>0</v>
      </c>
      <c r="CQ179" s="635">
        <v>0</v>
      </c>
      <c r="CR179" s="635">
        <v>0</v>
      </c>
      <c r="CS179" s="635">
        <v>0</v>
      </c>
      <c r="CT179" s="635">
        <v>0</v>
      </c>
      <c r="CU179" s="635">
        <v>0</v>
      </c>
      <c r="CV179" s="635">
        <v>0</v>
      </c>
      <c r="CW179" s="635">
        <v>0</v>
      </c>
      <c r="CX179" s="635">
        <v>0</v>
      </c>
      <c r="CY179" s="635">
        <v>0</v>
      </c>
      <c r="CZ179" s="635">
        <v>0</v>
      </c>
      <c r="DA179" s="636">
        <v>1.3205450823897472E-3</v>
      </c>
      <c r="DB179" s="636">
        <v>1.3420587365344334E-3</v>
      </c>
      <c r="DC179" s="636">
        <v>1.3639228802768087E-3</v>
      </c>
      <c r="DD179" s="637">
        <v>1.3639228802768087E-3</v>
      </c>
      <c r="DE179" s="637">
        <v>1.3639228802768087E-3</v>
      </c>
      <c r="DF179" s="637">
        <v>1.3639228802768087E-3</v>
      </c>
      <c r="DG179" s="637">
        <v>1.3639228802768087E-3</v>
      </c>
      <c r="DH179" s="637">
        <v>1.3639228802768087E-3</v>
      </c>
      <c r="DI179" s="637">
        <v>1.3639228802768087E-3</v>
      </c>
      <c r="DJ179" s="637">
        <v>1.3639228802768087E-3</v>
      </c>
      <c r="DK179" s="637">
        <v>1.3639228802768087E-3</v>
      </c>
      <c r="DL179" s="637">
        <v>1.3639228802768087E-3</v>
      </c>
      <c r="DM179" s="637">
        <v>1.3639228802768087E-3</v>
      </c>
      <c r="DN179" s="637">
        <v>1.3639228802768087E-3</v>
      </c>
      <c r="DO179" s="637">
        <v>1.3639228802768087E-3</v>
      </c>
      <c r="DP179" s="636">
        <v>0</v>
      </c>
      <c r="DQ179" s="636">
        <v>0</v>
      </c>
      <c r="DR179" s="636">
        <v>0</v>
      </c>
      <c r="DS179" s="637">
        <v>0</v>
      </c>
      <c r="DT179" s="637">
        <v>0</v>
      </c>
      <c r="DU179" s="637">
        <v>0</v>
      </c>
      <c r="DV179" s="637">
        <v>0</v>
      </c>
      <c r="DW179" s="637">
        <v>0</v>
      </c>
      <c r="DX179" s="637">
        <v>0</v>
      </c>
      <c r="DY179" s="637">
        <v>0</v>
      </c>
      <c r="DZ179" s="637">
        <v>0</v>
      </c>
      <c r="EA179" s="637">
        <v>0</v>
      </c>
      <c r="EB179" s="637">
        <v>0</v>
      </c>
      <c r="EC179" s="637">
        <v>0</v>
      </c>
      <c r="ED179" s="637">
        <v>0</v>
      </c>
    </row>
    <row r="180" spans="1:134" ht="15" x14ac:dyDescent="0.25">
      <c r="A180" s="555">
        <v>124</v>
      </c>
      <c r="B180" s="555">
        <v>92</v>
      </c>
      <c r="C180" s="555" t="s">
        <v>1163</v>
      </c>
      <c r="D180" s="812">
        <v>99705</v>
      </c>
      <c r="E180" s="812">
        <v>99705</v>
      </c>
      <c r="F180" s="630" t="s">
        <v>989</v>
      </c>
      <c r="G180" s="45">
        <v>143</v>
      </c>
      <c r="H180" s="45">
        <v>62</v>
      </c>
      <c r="I180" s="45">
        <v>51</v>
      </c>
      <c r="J180" s="45">
        <v>11</v>
      </c>
      <c r="K180" s="45">
        <v>0</v>
      </c>
      <c r="L180" s="45">
        <v>0</v>
      </c>
      <c r="M180" s="45">
        <v>0</v>
      </c>
      <c r="N180" s="45">
        <v>0</v>
      </c>
      <c r="O180" s="45">
        <v>0</v>
      </c>
      <c r="P180" s="45">
        <v>0</v>
      </c>
      <c r="Q180" s="45">
        <v>0</v>
      </c>
      <c r="R180" s="45">
        <v>0</v>
      </c>
      <c r="S180" s="45">
        <v>834.49503068156923</v>
      </c>
      <c r="T180" s="45">
        <v>834.49503068156923</v>
      </c>
      <c r="U180" s="45">
        <v>1408.3846153846155</v>
      </c>
      <c r="V180" s="45">
        <v>0</v>
      </c>
      <c r="W180" s="45">
        <v>0</v>
      </c>
      <c r="X180" s="45">
        <v>1365.173957061457</v>
      </c>
      <c r="Y180" s="45">
        <v>1.4205647955647955</v>
      </c>
      <c r="Z180" s="45">
        <v>60.498873873873876</v>
      </c>
      <c r="AA180" s="45">
        <v>8.0561330561330566E-2</v>
      </c>
      <c r="AB180" s="508">
        <v>0</v>
      </c>
      <c r="AC180" s="508">
        <v>0</v>
      </c>
      <c r="AD180" s="631">
        <v>62</v>
      </c>
      <c r="AE180" s="632">
        <v>1.1685291060291059</v>
      </c>
      <c r="AF180" s="632">
        <v>49.765202702702702</v>
      </c>
      <c r="AG180" s="633">
        <v>50.933731808731807</v>
      </c>
      <c r="AH180" s="632">
        <v>6.6268191268191265E-2</v>
      </c>
      <c r="AI180" s="632">
        <v>1.3184996302773642</v>
      </c>
      <c r="AJ180" s="632">
        <v>56.152132647483434</v>
      </c>
      <c r="AK180" s="632">
        <v>57.470632277760799</v>
      </c>
      <c r="AL180" s="632">
        <v>7.4773135932553733E-2</v>
      </c>
      <c r="AM180" s="632">
        <v>1.0901351555533878</v>
      </c>
      <c r="AN180" s="632">
        <v>46.426568845864416</v>
      </c>
      <c r="AO180" s="632">
        <v>47.516704001417807</v>
      </c>
      <c r="AP180" s="632">
        <v>6.1822409577696857E-2</v>
      </c>
      <c r="AQ180" s="632">
        <v>0</v>
      </c>
      <c r="AR180" s="632">
        <v>0</v>
      </c>
      <c r="AS180" s="632">
        <v>53.341465061371551</v>
      </c>
      <c r="AT180" s="632">
        <v>55.367569241380913</v>
      </c>
      <c r="AU180" s="632">
        <v>57.470632277760799</v>
      </c>
      <c r="AV180" s="632">
        <v>59.653577349700264</v>
      </c>
      <c r="AW180" s="632">
        <v>61.919438669438669</v>
      </c>
      <c r="AX180" s="632">
        <v>44.328916790096329</v>
      </c>
      <c r="AY180" s="632">
        <v>45.895141549171484</v>
      </c>
      <c r="AZ180" s="632">
        <v>47.516704001417807</v>
      </c>
      <c r="BA180" s="632">
        <v>49.195559332556712</v>
      </c>
      <c r="BB180" s="632">
        <v>50.933731808731807</v>
      </c>
      <c r="BC180" s="632">
        <v>0</v>
      </c>
      <c r="BD180" s="632">
        <v>0</v>
      </c>
      <c r="BE180" s="632">
        <v>0</v>
      </c>
      <c r="BF180" s="632">
        <v>0</v>
      </c>
      <c r="BG180" s="632">
        <v>0</v>
      </c>
      <c r="BH180" s="634">
        <v>62.928198920135095</v>
      </c>
      <c r="BI180" s="634">
        <v>63.953393383822657</v>
      </c>
      <c r="BJ180" s="634">
        <v>64.995289798406816</v>
      </c>
      <c r="BK180" s="635">
        <v>67.309998588836066</v>
      </c>
      <c r="BL180" s="635">
        <v>69.624707379265317</v>
      </c>
      <c r="BM180" s="635">
        <v>71.939416169694567</v>
      </c>
      <c r="BN180" s="635">
        <v>74.254124960123818</v>
      </c>
      <c r="BO180" s="635">
        <v>76.991116287318363</v>
      </c>
      <c r="BP180" s="635">
        <v>79.728107614512936</v>
      </c>
      <c r="BQ180" s="635">
        <v>87.315833290398231</v>
      </c>
      <c r="BR180" s="635">
        <v>96.356089075069036</v>
      </c>
      <c r="BS180" s="635">
        <v>100.32548740537543</v>
      </c>
      <c r="BT180" s="635">
        <v>102.50530664168481</v>
      </c>
      <c r="BU180" s="635">
        <v>104.76271513468646</v>
      </c>
      <c r="BV180" s="635">
        <v>107.07443610737272</v>
      </c>
      <c r="BW180" s="634">
        <v>51.763518466562736</v>
      </c>
      <c r="BX180" s="634">
        <v>52.606823589918633</v>
      </c>
      <c r="BY180" s="634">
        <v>53.463867414818516</v>
      </c>
      <c r="BZ180" s="635">
        <v>55.36790206501032</v>
      </c>
      <c r="CA180" s="635">
        <v>57.271936715202116</v>
      </c>
      <c r="CB180" s="635">
        <v>59.17597136539392</v>
      </c>
      <c r="CC180" s="635">
        <v>61.080006015585724</v>
      </c>
      <c r="CD180" s="635">
        <v>63.331402107310282</v>
      </c>
      <c r="CE180" s="635">
        <v>65.582798199034841</v>
      </c>
      <c r="CF180" s="635">
        <v>71.824314480811452</v>
      </c>
      <c r="CG180" s="635">
        <v>79.26065391658905</v>
      </c>
      <c r="CH180" s="635">
        <v>82.525804156034638</v>
      </c>
      <c r="CI180" s="635">
        <v>84.318881269773001</v>
      </c>
      <c r="CJ180" s="635">
        <v>86.175781804338868</v>
      </c>
      <c r="CK180" s="635">
        <v>88.077358733484019</v>
      </c>
      <c r="CL180" s="634">
        <v>0</v>
      </c>
      <c r="CM180" s="634">
        <v>0</v>
      </c>
      <c r="CN180" s="634">
        <v>0</v>
      </c>
      <c r="CO180" s="635">
        <v>0</v>
      </c>
      <c r="CP180" s="635">
        <v>0</v>
      </c>
      <c r="CQ180" s="635">
        <v>0</v>
      </c>
      <c r="CR180" s="635">
        <v>0</v>
      </c>
      <c r="CS180" s="635">
        <v>0</v>
      </c>
      <c r="CT180" s="635">
        <v>0</v>
      </c>
      <c r="CU180" s="635">
        <v>0</v>
      </c>
      <c r="CV180" s="635">
        <v>0</v>
      </c>
      <c r="CW180" s="635">
        <v>0</v>
      </c>
      <c r="CX180" s="635">
        <v>0</v>
      </c>
      <c r="CY180" s="635">
        <v>0</v>
      </c>
      <c r="CZ180" s="635">
        <v>0</v>
      </c>
      <c r="DA180" s="636">
        <v>8.1873795108164324E-2</v>
      </c>
      <c r="DB180" s="636">
        <v>8.3207641665134877E-2</v>
      </c>
      <c r="DC180" s="636">
        <v>8.4563218577162147E-2</v>
      </c>
      <c r="DD180" s="637">
        <v>8.7574809509284507E-2</v>
      </c>
      <c r="DE180" s="637">
        <v>9.0586400441406881E-2</v>
      </c>
      <c r="DF180" s="637">
        <v>9.3597991373529241E-2</v>
      </c>
      <c r="DG180" s="637">
        <v>9.6609582305651601E-2</v>
      </c>
      <c r="DH180" s="637">
        <v>0.1001705910581816</v>
      </c>
      <c r="DI180" s="637">
        <v>0.10373159981071163</v>
      </c>
      <c r="DJ180" s="637">
        <v>0.11360373834295893</v>
      </c>
      <c r="DK180" s="637">
        <v>0.12536571568445101</v>
      </c>
      <c r="DL180" s="637">
        <v>0.13053016836504741</v>
      </c>
      <c r="DM180" s="637">
        <v>0.13336625896654283</v>
      </c>
      <c r="DN180" s="637">
        <v>0.13630329837976382</v>
      </c>
      <c r="DO180" s="637">
        <v>0.13931100196119273</v>
      </c>
      <c r="DP180" s="636">
        <v>0</v>
      </c>
      <c r="DQ180" s="636">
        <v>0</v>
      </c>
      <c r="DR180" s="636">
        <v>0</v>
      </c>
      <c r="DS180" s="637">
        <v>0</v>
      </c>
      <c r="DT180" s="637">
        <v>0</v>
      </c>
      <c r="DU180" s="637">
        <v>0</v>
      </c>
      <c r="DV180" s="637">
        <v>0</v>
      </c>
      <c r="DW180" s="637">
        <v>0</v>
      </c>
      <c r="DX180" s="637">
        <v>0</v>
      </c>
      <c r="DY180" s="637">
        <v>0</v>
      </c>
      <c r="DZ180" s="637">
        <v>0</v>
      </c>
      <c r="EA180" s="637">
        <v>0</v>
      </c>
      <c r="EB180" s="637">
        <v>0</v>
      </c>
      <c r="EC180" s="637">
        <v>0</v>
      </c>
      <c r="ED180" s="637">
        <v>0</v>
      </c>
    </row>
    <row r="181" spans="1:134" ht="15" x14ac:dyDescent="0.25">
      <c r="A181" s="555">
        <v>85</v>
      </c>
      <c r="B181" s="555">
        <v>93</v>
      </c>
      <c r="C181" s="555" t="s">
        <v>1164</v>
      </c>
      <c r="D181" s="812">
        <v>99709</v>
      </c>
      <c r="E181" s="812">
        <v>99709</v>
      </c>
      <c r="F181" s="630" t="s">
        <v>989</v>
      </c>
      <c r="G181" s="45">
        <v>0</v>
      </c>
      <c r="H181" s="45">
        <v>1</v>
      </c>
      <c r="I181" s="45">
        <v>0</v>
      </c>
      <c r="J181" s="45">
        <v>1</v>
      </c>
      <c r="K181" s="45">
        <v>0</v>
      </c>
      <c r="L181" s="45">
        <v>0</v>
      </c>
      <c r="M181" s="45">
        <v>0</v>
      </c>
      <c r="N181" s="45">
        <v>0</v>
      </c>
      <c r="O181" s="45">
        <v>0</v>
      </c>
      <c r="P181" s="45">
        <v>0</v>
      </c>
      <c r="Q181" s="45">
        <v>0</v>
      </c>
      <c r="R181" s="45">
        <v>0</v>
      </c>
      <c r="S181" s="45">
        <v>834.49503068156923</v>
      </c>
      <c r="T181" s="45">
        <v>834.49503068156923</v>
      </c>
      <c r="U181" s="45">
        <v>1408.3846153846155</v>
      </c>
      <c r="V181" s="45">
        <v>0</v>
      </c>
      <c r="W181" s="45">
        <v>0</v>
      </c>
      <c r="X181" s="45">
        <v>1365.173957061457</v>
      </c>
      <c r="Y181" s="45">
        <v>2.2912335412335411E-2</v>
      </c>
      <c r="Z181" s="45">
        <v>0.97578828828828834</v>
      </c>
      <c r="AA181" s="45">
        <v>1.2993762993762994E-3</v>
      </c>
      <c r="AB181" s="508">
        <v>0</v>
      </c>
      <c r="AC181" s="508">
        <v>0</v>
      </c>
      <c r="AD181" s="631">
        <v>1</v>
      </c>
      <c r="AE181" s="632">
        <v>0</v>
      </c>
      <c r="AF181" s="632">
        <v>0</v>
      </c>
      <c r="AG181" s="633">
        <v>0</v>
      </c>
      <c r="AH181" s="632">
        <v>0</v>
      </c>
      <c r="AI181" s="632">
        <v>2.1816172512088276E-2</v>
      </c>
      <c r="AJ181" s="632">
        <v>0.9291050104439259</v>
      </c>
      <c r="AK181" s="632">
        <v>0.95092118295601413</v>
      </c>
      <c r="AL181" s="632">
        <v>1.2372120517252332E-3</v>
      </c>
      <c r="AM181" s="632">
        <v>0</v>
      </c>
      <c r="AN181" s="632">
        <v>0</v>
      </c>
      <c r="AO181" s="632">
        <v>0</v>
      </c>
      <c r="AP181" s="632">
        <v>0</v>
      </c>
      <c r="AQ181" s="632">
        <v>0</v>
      </c>
      <c r="AR181" s="632">
        <v>0</v>
      </c>
      <c r="AS181" s="632">
        <v>0.90542758734225925</v>
      </c>
      <c r="AT181" s="632">
        <v>0.92789561505403773</v>
      </c>
      <c r="AU181" s="632">
        <v>0.95092118295601413</v>
      </c>
      <c r="AV181" s="632">
        <v>0.97451812631079682</v>
      </c>
      <c r="AW181" s="632">
        <v>0.99870062370062374</v>
      </c>
      <c r="AX181" s="632">
        <v>0</v>
      </c>
      <c r="AY181" s="632">
        <v>0</v>
      </c>
      <c r="AZ181" s="632">
        <v>0</v>
      </c>
      <c r="BA181" s="632">
        <v>0</v>
      </c>
      <c r="BB181" s="632">
        <v>0</v>
      </c>
      <c r="BC181" s="632">
        <v>0</v>
      </c>
      <c r="BD181" s="632">
        <v>0</v>
      </c>
      <c r="BE181" s="632">
        <v>0</v>
      </c>
      <c r="BF181" s="632">
        <v>0</v>
      </c>
      <c r="BG181" s="632">
        <v>0</v>
      </c>
      <c r="BH181" s="634">
        <v>1.0038165964890691</v>
      </c>
      <c r="BI181" s="634">
        <v>1.0089587765081409</v>
      </c>
      <c r="BJ181" s="634">
        <v>1.0141272980077591</v>
      </c>
      <c r="BK181" s="635">
        <v>1.0074598559668233</v>
      </c>
      <c r="BL181" s="635">
        <v>1.0008362494319984</v>
      </c>
      <c r="BM181" s="635">
        <v>1.0080211182514647</v>
      </c>
      <c r="BN181" s="635">
        <v>1.0152575662778016</v>
      </c>
      <c r="BO181" s="635">
        <v>1.0225459637911978</v>
      </c>
      <c r="BP181" s="635">
        <v>1.0298866837300331</v>
      </c>
      <c r="BQ181" s="635">
        <v>1.0372801017099622</v>
      </c>
      <c r="BR181" s="635">
        <v>1.0431030032433033</v>
      </c>
      <c r="BS181" s="635">
        <v>1.0489585923623903</v>
      </c>
      <c r="BT181" s="635">
        <v>1.0548470525630722</v>
      </c>
      <c r="BU181" s="635">
        <v>1.0607685683712753</v>
      </c>
      <c r="BV181" s="635">
        <v>1.0667233253487847</v>
      </c>
      <c r="BW181" s="634">
        <v>0</v>
      </c>
      <c r="BX181" s="634">
        <v>0</v>
      </c>
      <c r="BY181" s="634">
        <v>0</v>
      </c>
      <c r="BZ181" s="635">
        <v>0</v>
      </c>
      <c r="CA181" s="635">
        <v>0</v>
      </c>
      <c r="CB181" s="635">
        <v>0</v>
      </c>
      <c r="CC181" s="635">
        <v>0</v>
      </c>
      <c r="CD181" s="635">
        <v>0</v>
      </c>
      <c r="CE181" s="635">
        <v>0</v>
      </c>
      <c r="CF181" s="635">
        <v>0</v>
      </c>
      <c r="CG181" s="635">
        <v>0</v>
      </c>
      <c r="CH181" s="635">
        <v>0</v>
      </c>
      <c r="CI181" s="635">
        <v>0</v>
      </c>
      <c r="CJ181" s="635">
        <v>0</v>
      </c>
      <c r="CK181" s="635">
        <v>0</v>
      </c>
      <c r="CL181" s="634">
        <v>0</v>
      </c>
      <c r="CM181" s="634">
        <v>0</v>
      </c>
      <c r="CN181" s="634">
        <v>0</v>
      </c>
      <c r="CO181" s="635">
        <v>0</v>
      </c>
      <c r="CP181" s="635">
        <v>0</v>
      </c>
      <c r="CQ181" s="635">
        <v>0</v>
      </c>
      <c r="CR181" s="635">
        <v>0</v>
      </c>
      <c r="CS181" s="635">
        <v>0</v>
      </c>
      <c r="CT181" s="635">
        <v>0</v>
      </c>
      <c r="CU181" s="635">
        <v>0</v>
      </c>
      <c r="CV181" s="635">
        <v>0</v>
      </c>
      <c r="CW181" s="635">
        <v>0</v>
      </c>
      <c r="CX181" s="635">
        <v>0</v>
      </c>
      <c r="CY181" s="635">
        <v>0</v>
      </c>
      <c r="CZ181" s="635">
        <v>0</v>
      </c>
      <c r="DA181" s="636">
        <v>1.3060325221039152E-3</v>
      </c>
      <c r="DB181" s="636">
        <v>1.31272284219118E-3</v>
      </c>
      <c r="DC181" s="636">
        <v>1.319447434306218E-3</v>
      </c>
      <c r="DD181" s="637">
        <v>1.3107726463268583E-3</v>
      </c>
      <c r="DE181" s="637">
        <v>1.3021548912724413E-3</v>
      </c>
      <c r="DF181" s="637">
        <v>1.3115028860935009E-3</v>
      </c>
      <c r="DG181" s="637">
        <v>1.3209179889120501E-3</v>
      </c>
      <c r="DH181" s="637">
        <v>1.3304006814873768E-3</v>
      </c>
      <c r="DI181" s="637">
        <v>1.3399514490372536E-3</v>
      </c>
      <c r="DJ181" s="637">
        <v>1.3495707802627665E-3</v>
      </c>
      <c r="DK181" s="637">
        <v>1.3571467645632363E-3</v>
      </c>
      <c r="DL181" s="637">
        <v>1.3647652775987383E-3</v>
      </c>
      <c r="DM181" s="637">
        <v>1.3724265581096437E-3</v>
      </c>
      <c r="DN181" s="637">
        <v>1.3801308461765228E-3</v>
      </c>
      <c r="DO181" s="637">
        <v>1.3878783832276668E-3</v>
      </c>
      <c r="DP181" s="636">
        <v>0</v>
      </c>
      <c r="DQ181" s="636">
        <v>0</v>
      </c>
      <c r="DR181" s="636">
        <v>0</v>
      </c>
      <c r="DS181" s="637">
        <v>0</v>
      </c>
      <c r="DT181" s="637">
        <v>0</v>
      </c>
      <c r="DU181" s="637">
        <v>0</v>
      </c>
      <c r="DV181" s="637">
        <v>0</v>
      </c>
      <c r="DW181" s="637">
        <v>0</v>
      </c>
      <c r="DX181" s="637">
        <v>0</v>
      </c>
      <c r="DY181" s="637">
        <v>0</v>
      </c>
      <c r="DZ181" s="637">
        <v>0</v>
      </c>
      <c r="EA181" s="637">
        <v>0</v>
      </c>
      <c r="EB181" s="637">
        <v>0</v>
      </c>
      <c r="EC181" s="637">
        <v>0</v>
      </c>
      <c r="ED181" s="637">
        <v>0</v>
      </c>
    </row>
    <row r="182" spans="1:134" ht="15" x14ac:dyDescent="0.25">
      <c r="A182" s="555">
        <v>93</v>
      </c>
      <c r="B182" s="555">
        <v>93</v>
      </c>
      <c r="C182" s="555" t="s">
        <v>1165</v>
      </c>
      <c r="D182" s="812">
        <v>99709</v>
      </c>
      <c r="E182" s="812">
        <v>99709</v>
      </c>
      <c r="F182" s="630" t="s">
        <v>989</v>
      </c>
      <c r="G182" s="45">
        <v>3</v>
      </c>
      <c r="H182" s="45">
        <v>1</v>
      </c>
      <c r="I182" s="45">
        <v>1</v>
      </c>
      <c r="J182" s="45">
        <v>0</v>
      </c>
      <c r="K182" s="45">
        <v>0</v>
      </c>
      <c r="L182" s="45">
        <v>10</v>
      </c>
      <c r="M182" s="45">
        <v>10</v>
      </c>
      <c r="N182" s="45">
        <v>0</v>
      </c>
      <c r="O182" s="45">
        <v>0</v>
      </c>
      <c r="P182" s="45">
        <v>0</v>
      </c>
      <c r="Q182" s="45">
        <v>10</v>
      </c>
      <c r="R182" s="45">
        <v>0</v>
      </c>
      <c r="S182" s="45">
        <v>1771.8</v>
      </c>
      <c r="T182" s="45">
        <v>1771.8</v>
      </c>
      <c r="U182" s="45">
        <v>0</v>
      </c>
      <c r="V182" s="45">
        <v>0</v>
      </c>
      <c r="W182" s="45">
        <v>0</v>
      </c>
      <c r="X182" s="45">
        <v>1771.8</v>
      </c>
      <c r="Y182" s="45">
        <v>0</v>
      </c>
      <c r="Z182" s="45">
        <v>1</v>
      </c>
      <c r="AA182" s="45">
        <v>0</v>
      </c>
      <c r="AB182" s="508">
        <v>0</v>
      </c>
      <c r="AC182" s="508">
        <v>0</v>
      </c>
      <c r="AD182" s="631">
        <v>1</v>
      </c>
      <c r="AE182" s="632">
        <v>0</v>
      </c>
      <c r="AF182" s="632">
        <v>1</v>
      </c>
      <c r="AG182" s="633">
        <v>1</v>
      </c>
      <c r="AH182" s="632">
        <v>0</v>
      </c>
      <c r="AI182" s="632">
        <v>0</v>
      </c>
      <c r="AJ182" s="632">
        <v>0.95215839500773936</v>
      </c>
      <c r="AK182" s="632">
        <v>0.95215839500773936</v>
      </c>
      <c r="AL182" s="632">
        <v>0</v>
      </c>
      <c r="AM182" s="632">
        <v>0</v>
      </c>
      <c r="AN182" s="632">
        <v>0.95395462889797633</v>
      </c>
      <c r="AO182" s="632">
        <v>0.95395462889797633</v>
      </c>
      <c r="AP182" s="632">
        <v>0</v>
      </c>
      <c r="AQ182" s="632">
        <v>0</v>
      </c>
      <c r="AR182" s="632">
        <v>0</v>
      </c>
      <c r="AS182" s="632">
        <v>0.90660560918371424</v>
      </c>
      <c r="AT182" s="632">
        <v>0.92910286930209141</v>
      </c>
      <c r="AU182" s="632">
        <v>0.95215839500773936</v>
      </c>
      <c r="AV182" s="632">
        <v>0.97578603956386833</v>
      </c>
      <c r="AW182" s="632">
        <v>1</v>
      </c>
      <c r="AX182" s="632">
        <v>0.91002943399587566</v>
      </c>
      <c r="AY182" s="632">
        <v>0.93173321878838855</v>
      </c>
      <c r="AZ182" s="632">
        <v>0.95395462889797633</v>
      </c>
      <c r="BA182" s="632">
        <v>0.97670600945114305</v>
      </c>
      <c r="BB182" s="632">
        <v>1</v>
      </c>
      <c r="BC182" s="632">
        <v>0</v>
      </c>
      <c r="BD182" s="632">
        <v>0</v>
      </c>
      <c r="BE182" s="632">
        <v>0</v>
      </c>
      <c r="BF182" s="632">
        <v>0</v>
      </c>
      <c r="BG182" s="632">
        <v>0</v>
      </c>
      <c r="BH182" s="634">
        <v>1.005122629011173</v>
      </c>
      <c r="BI182" s="634">
        <v>1.0102714993503321</v>
      </c>
      <c r="BJ182" s="634">
        <v>1.0154467454420653</v>
      </c>
      <c r="BK182" s="635">
        <v>1.0087706286131499</v>
      </c>
      <c r="BL182" s="635">
        <v>1.0021384043232706</v>
      </c>
      <c r="BM182" s="635">
        <v>1.0093326211375582</v>
      </c>
      <c r="BN182" s="635">
        <v>1.0165784842667136</v>
      </c>
      <c r="BO182" s="635">
        <v>1.0238763644726849</v>
      </c>
      <c r="BP182" s="635">
        <v>1.0312266351790702</v>
      </c>
      <c r="BQ182" s="635">
        <v>1.0386296724902249</v>
      </c>
      <c r="BR182" s="635">
        <v>1.0444601500078665</v>
      </c>
      <c r="BS182" s="635">
        <v>1.0503233576399889</v>
      </c>
      <c r="BT182" s="635">
        <v>1.0562194791211816</v>
      </c>
      <c r="BU182" s="635">
        <v>1.0621486992174518</v>
      </c>
      <c r="BV182" s="635">
        <v>1.0681112037320122</v>
      </c>
      <c r="BW182" s="634">
        <v>1.005122629011173</v>
      </c>
      <c r="BX182" s="634">
        <v>1.0102714993503321</v>
      </c>
      <c r="BY182" s="634">
        <v>1.0154467454420653</v>
      </c>
      <c r="BZ182" s="635">
        <v>1.0087706286131499</v>
      </c>
      <c r="CA182" s="635">
        <v>1.0021384043232706</v>
      </c>
      <c r="CB182" s="635">
        <v>1.0093326211375582</v>
      </c>
      <c r="CC182" s="635">
        <v>1.0165784842667136</v>
      </c>
      <c r="CD182" s="635">
        <v>1.0238763644726849</v>
      </c>
      <c r="CE182" s="635">
        <v>1.0312266351790702</v>
      </c>
      <c r="CF182" s="635">
        <v>1.0386296724902249</v>
      </c>
      <c r="CG182" s="635">
        <v>1.0444601500078665</v>
      </c>
      <c r="CH182" s="635">
        <v>1.0503233576399889</v>
      </c>
      <c r="CI182" s="635">
        <v>1.0562194791211816</v>
      </c>
      <c r="CJ182" s="635">
        <v>1.0621486992174518</v>
      </c>
      <c r="CK182" s="635">
        <v>1.0681112037320122</v>
      </c>
      <c r="CL182" s="634">
        <v>0</v>
      </c>
      <c r="CM182" s="634">
        <v>0</v>
      </c>
      <c r="CN182" s="634">
        <v>0</v>
      </c>
      <c r="CO182" s="635">
        <v>0</v>
      </c>
      <c r="CP182" s="635">
        <v>0</v>
      </c>
      <c r="CQ182" s="635">
        <v>0</v>
      </c>
      <c r="CR182" s="635">
        <v>0</v>
      </c>
      <c r="CS182" s="635">
        <v>0</v>
      </c>
      <c r="CT182" s="635">
        <v>0</v>
      </c>
      <c r="CU182" s="635">
        <v>0</v>
      </c>
      <c r="CV182" s="635">
        <v>0</v>
      </c>
      <c r="CW182" s="635">
        <v>0</v>
      </c>
      <c r="CX182" s="635">
        <v>0</v>
      </c>
      <c r="CY182" s="635">
        <v>0</v>
      </c>
      <c r="CZ182" s="635">
        <v>0</v>
      </c>
      <c r="DA182" s="636">
        <v>0</v>
      </c>
      <c r="DB182" s="636">
        <v>0</v>
      </c>
      <c r="DC182" s="636">
        <v>0</v>
      </c>
      <c r="DD182" s="637">
        <v>0</v>
      </c>
      <c r="DE182" s="637">
        <v>0</v>
      </c>
      <c r="DF182" s="637">
        <v>0</v>
      </c>
      <c r="DG182" s="637">
        <v>0</v>
      </c>
      <c r="DH182" s="637">
        <v>0</v>
      </c>
      <c r="DI182" s="637">
        <v>0</v>
      </c>
      <c r="DJ182" s="637">
        <v>0</v>
      </c>
      <c r="DK182" s="637">
        <v>0</v>
      </c>
      <c r="DL182" s="637">
        <v>0</v>
      </c>
      <c r="DM182" s="637">
        <v>0</v>
      </c>
      <c r="DN182" s="637">
        <v>0</v>
      </c>
      <c r="DO182" s="637">
        <v>0</v>
      </c>
      <c r="DP182" s="636">
        <v>0</v>
      </c>
      <c r="DQ182" s="636">
        <v>0</v>
      </c>
      <c r="DR182" s="636">
        <v>0</v>
      </c>
      <c r="DS182" s="637">
        <v>0</v>
      </c>
      <c r="DT182" s="637">
        <v>0</v>
      </c>
      <c r="DU182" s="637">
        <v>0</v>
      </c>
      <c r="DV182" s="637">
        <v>0</v>
      </c>
      <c r="DW182" s="637">
        <v>0</v>
      </c>
      <c r="DX182" s="637">
        <v>0</v>
      </c>
      <c r="DY182" s="637">
        <v>0</v>
      </c>
      <c r="DZ182" s="637">
        <v>0</v>
      </c>
      <c r="EA182" s="637">
        <v>0</v>
      </c>
      <c r="EB182" s="637">
        <v>0</v>
      </c>
      <c r="EC182" s="637">
        <v>0</v>
      </c>
      <c r="ED182" s="637">
        <v>0</v>
      </c>
    </row>
    <row r="183" spans="1:134" ht="15" x14ac:dyDescent="0.25">
      <c r="A183" s="555">
        <v>98</v>
      </c>
      <c r="B183" s="555">
        <v>93</v>
      </c>
      <c r="C183" s="555" t="s">
        <v>1166</v>
      </c>
      <c r="D183" s="812">
        <v>99709</v>
      </c>
      <c r="E183" s="812">
        <v>99725</v>
      </c>
      <c r="F183" s="630" t="s">
        <v>989</v>
      </c>
      <c r="G183" s="45">
        <v>39</v>
      </c>
      <c r="H183" s="45">
        <v>18</v>
      </c>
      <c r="I183" s="45">
        <v>18</v>
      </c>
      <c r="J183" s="45">
        <v>0</v>
      </c>
      <c r="K183" s="45">
        <v>0</v>
      </c>
      <c r="L183" s="45">
        <v>22</v>
      </c>
      <c r="M183" s="45">
        <v>22</v>
      </c>
      <c r="N183" s="45">
        <v>0</v>
      </c>
      <c r="O183" s="45">
        <v>0</v>
      </c>
      <c r="P183" s="45">
        <v>0</v>
      </c>
      <c r="Q183" s="45">
        <v>22</v>
      </c>
      <c r="R183" s="45">
        <v>0</v>
      </c>
      <c r="S183" s="45">
        <v>1831.2272727272727</v>
      </c>
      <c r="T183" s="45">
        <v>1831.2272727272727</v>
      </c>
      <c r="U183" s="45">
        <v>0</v>
      </c>
      <c r="V183" s="45">
        <v>0</v>
      </c>
      <c r="W183" s="45">
        <v>0</v>
      </c>
      <c r="X183" s="45">
        <v>1831.2272727272727</v>
      </c>
      <c r="Y183" s="45">
        <v>0</v>
      </c>
      <c r="Z183" s="45">
        <v>18</v>
      </c>
      <c r="AA183" s="45">
        <v>0</v>
      </c>
      <c r="AB183" s="508">
        <v>0</v>
      </c>
      <c r="AC183" s="508">
        <v>0</v>
      </c>
      <c r="AD183" s="631">
        <v>18</v>
      </c>
      <c r="AE183" s="632">
        <v>0</v>
      </c>
      <c r="AF183" s="632">
        <v>18</v>
      </c>
      <c r="AG183" s="633">
        <v>18</v>
      </c>
      <c r="AH183" s="632">
        <v>0</v>
      </c>
      <c r="AI183" s="632">
        <v>0</v>
      </c>
      <c r="AJ183" s="632">
        <v>17.13885111013931</v>
      </c>
      <c r="AK183" s="632">
        <v>17.13885111013931</v>
      </c>
      <c r="AL183" s="632">
        <v>0</v>
      </c>
      <c r="AM183" s="632">
        <v>0</v>
      </c>
      <c r="AN183" s="632">
        <v>17.171183320163575</v>
      </c>
      <c r="AO183" s="632">
        <v>17.171183320163575</v>
      </c>
      <c r="AP183" s="632">
        <v>0</v>
      </c>
      <c r="AQ183" s="632">
        <v>0</v>
      </c>
      <c r="AR183" s="632">
        <v>0</v>
      </c>
      <c r="AS183" s="632">
        <v>16.318900965306856</v>
      </c>
      <c r="AT183" s="632">
        <v>16.723851647437645</v>
      </c>
      <c r="AU183" s="632">
        <v>17.13885111013931</v>
      </c>
      <c r="AV183" s="632">
        <v>17.564148712149631</v>
      </c>
      <c r="AW183" s="632">
        <v>18</v>
      </c>
      <c r="AX183" s="632">
        <v>16.380529811925761</v>
      </c>
      <c r="AY183" s="632">
        <v>16.771197938190994</v>
      </c>
      <c r="AZ183" s="632">
        <v>17.171183320163575</v>
      </c>
      <c r="BA183" s="632">
        <v>17.580708170120573</v>
      </c>
      <c r="BB183" s="632">
        <v>18</v>
      </c>
      <c r="BC183" s="632">
        <v>0</v>
      </c>
      <c r="BD183" s="632">
        <v>0</v>
      </c>
      <c r="BE183" s="632">
        <v>0</v>
      </c>
      <c r="BF183" s="632">
        <v>0</v>
      </c>
      <c r="BG183" s="632">
        <v>0</v>
      </c>
      <c r="BH183" s="634">
        <v>18.092207322201112</v>
      </c>
      <c r="BI183" s="634">
        <v>18.184886988305976</v>
      </c>
      <c r="BJ183" s="634">
        <v>18.278041417957176</v>
      </c>
      <c r="BK183" s="635">
        <v>18.408437543258021</v>
      </c>
      <c r="BL183" s="635">
        <v>18.538833668558869</v>
      </c>
      <c r="BM183" s="635">
        <v>18.669229793859717</v>
      </c>
      <c r="BN183" s="635">
        <v>18.799625919160562</v>
      </c>
      <c r="BO183" s="635">
        <v>18.953810784887025</v>
      </c>
      <c r="BP183" s="635">
        <v>19.107995650613489</v>
      </c>
      <c r="BQ183" s="635">
        <v>19.535440360752474</v>
      </c>
      <c r="BR183" s="635">
        <v>20.044711475513754</v>
      </c>
      <c r="BS183" s="635">
        <v>20.268322395465209</v>
      </c>
      <c r="BT183" s="635">
        <v>20.391119692233705</v>
      </c>
      <c r="BU183" s="635">
        <v>20.518287879405129</v>
      </c>
      <c r="BV183" s="635">
        <v>20.648515689858595</v>
      </c>
      <c r="BW183" s="634">
        <v>18.092207322201112</v>
      </c>
      <c r="BX183" s="634">
        <v>18.184886988305976</v>
      </c>
      <c r="BY183" s="634">
        <v>18.278041417957176</v>
      </c>
      <c r="BZ183" s="635">
        <v>18.408437543258021</v>
      </c>
      <c r="CA183" s="635">
        <v>18.538833668558869</v>
      </c>
      <c r="CB183" s="635">
        <v>18.669229793859717</v>
      </c>
      <c r="CC183" s="635">
        <v>18.799625919160562</v>
      </c>
      <c r="CD183" s="635">
        <v>18.953810784887025</v>
      </c>
      <c r="CE183" s="635">
        <v>19.107995650613489</v>
      </c>
      <c r="CF183" s="635">
        <v>19.535440360752474</v>
      </c>
      <c r="CG183" s="635">
        <v>20.044711475513754</v>
      </c>
      <c r="CH183" s="635">
        <v>20.268322395465209</v>
      </c>
      <c r="CI183" s="635">
        <v>20.391119692233705</v>
      </c>
      <c r="CJ183" s="635">
        <v>20.518287879405129</v>
      </c>
      <c r="CK183" s="635">
        <v>20.648515689858595</v>
      </c>
      <c r="CL183" s="634">
        <v>0</v>
      </c>
      <c r="CM183" s="634">
        <v>0</v>
      </c>
      <c r="CN183" s="634">
        <v>0</v>
      </c>
      <c r="CO183" s="635">
        <v>0</v>
      </c>
      <c r="CP183" s="635">
        <v>0</v>
      </c>
      <c r="CQ183" s="635">
        <v>0</v>
      </c>
      <c r="CR183" s="635">
        <v>0</v>
      </c>
      <c r="CS183" s="635">
        <v>0</v>
      </c>
      <c r="CT183" s="635">
        <v>0</v>
      </c>
      <c r="CU183" s="635">
        <v>0</v>
      </c>
      <c r="CV183" s="635">
        <v>0</v>
      </c>
      <c r="CW183" s="635">
        <v>0</v>
      </c>
      <c r="CX183" s="635">
        <v>0</v>
      </c>
      <c r="CY183" s="635">
        <v>0</v>
      </c>
      <c r="CZ183" s="635">
        <v>0</v>
      </c>
      <c r="DA183" s="636">
        <v>0</v>
      </c>
      <c r="DB183" s="636">
        <v>0</v>
      </c>
      <c r="DC183" s="636">
        <v>0</v>
      </c>
      <c r="DD183" s="637">
        <v>0</v>
      </c>
      <c r="DE183" s="637">
        <v>0</v>
      </c>
      <c r="DF183" s="637">
        <v>0</v>
      </c>
      <c r="DG183" s="637">
        <v>0</v>
      </c>
      <c r="DH183" s="637">
        <v>0</v>
      </c>
      <c r="DI183" s="637">
        <v>0</v>
      </c>
      <c r="DJ183" s="637">
        <v>0</v>
      </c>
      <c r="DK183" s="637">
        <v>0</v>
      </c>
      <c r="DL183" s="637">
        <v>0</v>
      </c>
      <c r="DM183" s="637">
        <v>0</v>
      </c>
      <c r="DN183" s="637">
        <v>0</v>
      </c>
      <c r="DO183" s="637">
        <v>0</v>
      </c>
      <c r="DP183" s="636">
        <v>0</v>
      </c>
      <c r="DQ183" s="636">
        <v>0</v>
      </c>
      <c r="DR183" s="636">
        <v>0</v>
      </c>
      <c r="DS183" s="637">
        <v>0</v>
      </c>
      <c r="DT183" s="637">
        <v>0</v>
      </c>
      <c r="DU183" s="637">
        <v>0</v>
      </c>
      <c r="DV183" s="637">
        <v>0</v>
      </c>
      <c r="DW183" s="637">
        <v>0</v>
      </c>
      <c r="DX183" s="637">
        <v>0</v>
      </c>
      <c r="DY183" s="637">
        <v>0</v>
      </c>
      <c r="DZ183" s="637">
        <v>0</v>
      </c>
      <c r="EA183" s="637">
        <v>0</v>
      </c>
      <c r="EB183" s="637">
        <v>0</v>
      </c>
      <c r="EC183" s="637">
        <v>0</v>
      </c>
      <c r="ED183" s="637">
        <v>0</v>
      </c>
    </row>
    <row r="184" spans="1:134" ht="15" x14ac:dyDescent="0.25">
      <c r="A184" s="555">
        <v>99</v>
      </c>
      <c r="B184" s="555">
        <v>93</v>
      </c>
      <c r="C184" s="555" t="s">
        <v>1167</v>
      </c>
      <c r="D184" s="812">
        <v>99709</v>
      </c>
      <c r="E184" s="812">
        <v>99725</v>
      </c>
      <c r="F184" s="630" t="s">
        <v>311</v>
      </c>
      <c r="G184" s="45">
        <v>1</v>
      </c>
      <c r="H184" s="45">
        <v>2</v>
      </c>
      <c r="I184" s="45">
        <v>1</v>
      </c>
      <c r="J184" s="45">
        <v>1</v>
      </c>
      <c r="K184" s="45">
        <v>0</v>
      </c>
      <c r="L184" s="45">
        <v>6</v>
      </c>
      <c r="M184" s="45">
        <v>6</v>
      </c>
      <c r="N184" s="45">
        <v>0</v>
      </c>
      <c r="O184" s="45">
        <v>0</v>
      </c>
      <c r="P184" s="45">
        <v>0</v>
      </c>
      <c r="Q184" s="45">
        <v>6</v>
      </c>
      <c r="R184" s="45">
        <v>0</v>
      </c>
      <c r="S184" s="45">
        <v>1641.3333333333333</v>
      </c>
      <c r="T184" s="45">
        <v>1641.3333333333333</v>
      </c>
      <c r="U184" s="45">
        <v>0</v>
      </c>
      <c r="V184" s="45">
        <v>0</v>
      </c>
      <c r="W184" s="45">
        <v>0</v>
      </c>
      <c r="X184" s="45">
        <v>1641.3333333333333</v>
      </c>
      <c r="Y184" s="45">
        <v>0</v>
      </c>
      <c r="Z184" s="45">
        <v>2</v>
      </c>
      <c r="AA184" s="45">
        <v>0</v>
      </c>
      <c r="AB184" s="508">
        <v>0</v>
      </c>
      <c r="AC184" s="508">
        <v>0</v>
      </c>
      <c r="AD184" s="631">
        <v>2</v>
      </c>
      <c r="AE184" s="632">
        <v>0</v>
      </c>
      <c r="AF184" s="632">
        <v>1</v>
      </c>
      <c r="AG184" s="633">
        <v>1</v>
      </c>
      <c r="AH184" s="632">
        <v>0</v>
      </c>
      <c r="AI184" s="632">
        <v>0</v>
      </c>
      <c r="AJ184" s="632">
        <v>1.9043167900154787</v>
      </c>
      <c r="AK184" s="632">
        <v>1.9043167900154787</v>
      </c>
      <c r="AL184" s="632">
        <v>0</v>
      </c>
      <c r="AM184" s="632">
        <v>0</v>
      </c>
      <c r="AN184" s="632">
        <v>0.95395462889797633</v>
      </c>
      <c r="AO184" s="632">
        <v>0.95395462889797633</v>
      </c>
      <c r="AP184" s="632">
        <v>0</v>
      </c>
      <c r="AQ184" s="632">
        <v>0</v>
      </c>
      <c r="AR184" s="632">
        <v>0</v>
      </c>
      <c r="AS184" s="632">
        <v>1.8132112183674285</v>
      </c>
      <c r="AT184" s="632">
        <v>1.8582057386041828</v>
      </c>
      <c r="AU184" s="632">
        <v>1.9043167900154787</v>
      </c>
      <c r="AV184" s="632">
        <v>1.9515720791277367</v>
      </c>
      <c r="AW184" s="632">
        <v>2</v>
      </c>
      <c r="AX184" s="632">
        <v>0.91002943399587566</v>
      </c>
      <c r="AY184" s="632">
        <v>0.93173321878838855</v>
      </c>
      <c r="AZ184" s="632">
        <v>0.95395462889797633</v>
      </c>
      <c r="BA184" s="632">
        <v>0.97670600945114305</v>
      </c>
      <c r="BB184" s="632">
        <v>1</v>
      </c>
      <c r="BC184" s="632">
        <v>0</v>
      </c>
      <c r="BD184" s="632">
        <v>0</v>
      </c>
      <c r="BE184" s="632">
        <v>0</v>
      </c>
      <c r="BF184" s="632">
        <v>0</v>
      </c>
      <c r="BG184" s="632">
        <v>0</v>
      </c>
      <c r="BH184" s="634">
        <v>2.0186866484247719</v>
      </c>
      <c r="BI184" s="634">
        <v>2.0375478922642194</v>
      </c>
      <c r="BJ184" s="634">
        <v>2.0565853628199076</v>
      </c>
      <c r="BK184" s="635">
        <v>2.0853119622732286</v>
      </c>
      <c r="BL184" s="635">
        <v>2.1140385617265496</v>
      </c>
      <c r="BM184" s="635">
        <v>2.1427651611798706</v>
      </c>
      <c r="BN184" s="635">
        <v>2.171491760633192</v>
      </c>
      <c r="BO184" s="635">
        <v>2.2054590803619734</v>
      </c>
      <c r="BP184" s="635">
        <v>2.2394264000907551</v>
      </c>
      <c r="BQ184" s="635">
        <v>2.3335935614866448</v>
      </c>
      <c r="BR184" s="635">
        <v>2.4457872888166592</v>
      </c>
      <c r="BS184" s="635">
        <v>2.4950493456148486</v>
      </c>
      <c r="BT184" s="635">
        <v>2.5221019037340455</v>
      </c>
      <c r="BU184" s="635">
        <v>2.5501173801728583</v>
      </c>
      <c r="BV184" s="635">
        <v>2.5788068994354023</v>
      </c>
      <c r="BW184" s="634">
        <v>1.0093433242123859</v>
      </c>
      <c r="BX184" s="634">
        <v>1.0187739461321097</v>
      </c>
      <c r="BY184" s="634">
        <v>1.0282926814099538</v>
      </c>
      <c r="BZ184" s="635">
        <v>1.0426559811366143</v>
      </c>
      <c r="CA184" s="635">
        <v>1.0570192808632748</v>
      </c>
      <c r="CB184" s="635">
        <v>1.0713825805899353</v>
      </c>
      <c r="CC184" s="635">
        <v>1.085745880316596</v>
      </c>
      <c r="CD184" s="635">
        <v>1.1027295401809867</v>
      </c>
      <c r="CE184" s="635">
        <v>1.1197132000453776</v>
      </c>
      <c r="CF184" s="635">
        <v>1.1667967807433224</v>
      </c>
      <c r="CG184" s="635">
        <v>1.2228936444083296</v>
      </c>
      <c r="CH184" s="635">
        <v>1.2475246728074243</v>
      </c>
      <c r="CI184" s="635">
        <v>1.2610509518670228</v>
      </c>
      <c r="CJ184" s="635">
        <v>1.2750586900864291</v>
      </c>
      <c r="CK184" s="635">
        <v>1.2894034497177012</v>
      </c>
      <c r="CL184" s="634">
        <v>0</v>
      </c>
      <c r="CM184" s="634">
        <v>0</v>
      </c>
      <c r="CN184" s="634">
        <v>0</v>
      </c>
      <c r="CO184" s="635">
        <v>0</v>
      </c>
      <c r="CP184" s="635">
        <v>0</v>
      </c>
      <c r="CQ184" s="635">
        <v>0</v>
      </c>
      <c r="CR184" s="635">
        <v>0</v>
      </c>
      <c r="CS184" s="635">
        <v>0</v>
      </c>
      <c r="CT184" s="635">
        <v>0</v>
      </c>
      <c r="CU184" s="635">
        <v>0</v>
      </c>
      <c r="CV184" s="635">
        <v>0</v>
      </c>
      <c r="CW184" s="635">
        <v>0</v>
      </c>
      <c r="CX184" s="635">
        <v>0</v>
      </c>
      <c r="CY184" s="635">
        <v>0</v>
      </c>
      <c r="CZ184" s="635">
        <v>0</v>
      </c>
      <c r="DA184" s="636">
        <v>0</v>
      </c>
      <c r="DB184" s="636">
        <v>0</v>
      </c>
      <c r="DC184" s="636">
        <v>0</v>
      </c>
      <c r="DD184" s="637">
        <v>0</v>
      </c>
      <c r="DE184" s="637">
        <v>0</v>
      </c>
      <c r="DF184" s="637">
        <v>0</v>
      </c>
      <c r="DG184" s="637">
        <v>0</v>
      </c>
      <c r="DH184" s="637">
        <v>0</v>
      </c>
      <c r="DI184" s="637">
        <v>0</v>
      </c>
      <c r="DJ184" s="637">
        <v>0</v>
      </c>
      <c r="DK184" s="637">
        <v>0</v>
      </c>
      <c r="DL184" s="637">
        <v>0</v>
      </c>
      <c r="DM184" s="637">
        <v>0</v>
      </c>
      <c r="DN184" s="637">
        <v>0</v>
      </c>
      <c r="DO184" s="637">
        <v>0</v>
      </c>
      <c r="DP184" s="636">
        <v>0</v>
      </c>
      <c r="DQ184" s="636">
        <v>0</v>
      </c>
      <c r="DR184" s="636">
        <v>0</v>
      </c>
      <c r="DS184" s="637">
        <v>0</v>
      </c>
      <c r="DT184" s="637">
        <v>0</v>
      </c>
      <c r="DU184" s="637">
        <v>0</v>
      </c>
      <c r="DV184" s="637">
        <v>0</v>
      </c>
      <c r="DW184" s="637">
        <v>0</v>
      </c>
      <c r="DX184" s="637">
        <v>0</v>
      </c>
      <c r="DY184" s="637">
        <v>0</v>
      </c>
      <c r="DZ184" s="637">
        <v>0</v>
      </c>
      <c r="EA184" s="637">
        <v>0</v>
      </c>
      <c r="EB184" s="637">
        <v>0</v>
      </c>
      <c r="EC184" s="637">
        <v>0</v>
      </c>
      <c r="ED184" s="637">
        <v>0</v>
      </c>
    </row>
    <row r="185" spans="1:134" ht="15" x14ac:dyDescent="0.25">
      <c r="A185" s="555">
        <v>100</v>
      </c>
      <c r="B185" s="555">
        <v>93</v>
      </c>
      <c r="C185" s="555" t="s">
        <v>1168</v>
      </c>
      <c r="D185" s="812">
        <v>99709</v>
      </c>
      <c r="E185" s="812">
        <v>99709</v>
      </c>
      <c r="F185" s="630" t="s">
        <v>311</v>
      </c>
      <c r="G185" s="45">
        <v>887</v>
      </c>
      <c r="H185" s="45">
        <v>411</v>
      </c>
      <c r="I185" s="45">
        <v>362</v>
      </c>
      <c r="J185" s="45">
        <v>49</v>
      </c>
      <c r="K185" s="45">
        <v>0</v>
      </c>
      <c r="L185" s="45">
        <v>5</v>
      </c>
      <c r="M185" s="45">
        <v>5</v>
      </c>
      <c r="N185" s="45">
        <v>0</v>
      </c>
      <c r="O185" s="45">
        <v>0</v>
      </c>
      <c r="P185" s="45">
        <v>0</v>
      </c>
      <c r="Q185" s="45">
        <v>5</v>
      </c>
      <c r="R185" s="45">
        <v>0</v>
      </c>
      <c r="S185" s="45">
        <v>1424.4</v>
      </c>
      <c r="T185" s="45">
        <v>1424.4</v>
      </c>
      <c r="U185" s="45">
        <v>0</v>
      </c>
      <c r="V185" s="45">
        <v>0</v>
      </c>
      <c r="W185" s="45">
        <v>0</v>
      </c>
      <c r="X185" s="45">
        <v>1424.4</v>
      </c>
      <c r="Y185" s="45">
        <v>0</v>
      </c>
      <c r="Z185" s="45">
        <v>411</v>
      </c>
      <c r="AA185" s="45">
        <v>0</v>
      </c>
      <c r="AB185" s="508">
        <v>0</v>
      </c>
      <c r="AC185" s="508">
        <v>0</v>
      </c>
      <c r="AD185" s="631">
        <v>411</v>
      </c>
      <c r="AE185" s="632">
        <v>0</v>
      </c>
      <c r="AF185" s="632">
        <v>362</v>
      </c>
      <c r="AG185" s="633">
        <v>362</v>
      </c>
      <c r="AH185" s="632">
        <v>0</v>
      </c>
      <c r="AI185" s="632">
        <v>0</v>
      </c>
      <c r="AJ185" s="632">
        <v>391.33710034818085</v>
      </c>
      <c r="AK185" s="632">
        <v>391.33710034818085</v>
      </c>
      <c r="AL185" s="632">
        <v>0</v>
      </c>
      <c r="AM185" s="632">
        <v>0</v>
      </c>
      <c r="AN185" s="632">
        <v>345.3315756610674</v>
      </c>
      <c r="AO185" s="632">
        <v>345.3315756610674</v>
      </c>
      <c r="AP185" s="632">
        <v>0</v>
      </c>
      <c r="AQ185" s="632">
        <v>0</v>
      </c>
      <c r="AR185" s="632">
        <v>0</v>
      </c>
      <c r="AS185" s="632">
        <v>372.61490537450652</v>
      </c>
      <c r="AT185" s="632">
        <v>381.86127928315955</v>
      </c>
      <c r="AU185" s="632">
        <v>391.33710034818085</v>
      </c>
      <c r="AV185" s="632">
        <v>401.04806226074993</v>
      </c>
      <c r="AW185" s="632">
        <v>411</v>
      </c>
      <c r="AX185" s="632">
        <v>329.430655106507</v>
      </c>
      <c r="AY185" s="632">
        <v>337.28742520139667</v>
      </c>
      <c r="AZ185" s="632">
        <v>345.3315756610674</v>
      </c>
      <c r="BA185" s="632">
        <v>353.56757542131379</v>
      </c>
      <c r="BB185" s="632">
        <v>362</v>
      </c>
      <c r="BC185" s="632">
        <v>0</v>
      </c>
      <c r="BD185" s="632">
        <v>0</v>
      </c>
      <c r="BE185" s="632">
        <v>0</v>
      </c>
      <c r="BF185" s="632">
        <v>0</v>
      </c>
      <c r="BG185" s="632">
        <v>0</v>
      </c>
      <c r="BH185" s="634">
        <v>414.84010625129059</v>
      </c>
      <c r="BI185" s="634">
        <v>418.71609186029707</v>
      </c>
      <c r="BJ185" s="634">
        <v>422.628292059491</v>
      </c>
      <c r="BK185" s="635">
        <v>428.53160824714848</v>
      </c>
      <c r="BL185" s="635">
        <v>434.43492443480596</v>
      </c>
      <c r="BM185" s="635">
        <v>440.33824062246345</v>
      </c>
      <c r="BN185" s="635">
        <v>446.24155681012093</v>
      </c>
      <c r="BO185" s="635">
        <v>453.22184101438557</v>
      </c>
      <c r="BP185" s="635">
        <v>460.20212521865017</v>
      </c>
      <c r="BQ185" s="635">
        <v>479.55347688550552</v>
      </c>
      <c r="BR185" s="635">
        <v>502.60928785182347</v>
      </c>
      <c r="BS185" s="635">
        <v>512.73264052385139</v>
      </c>
      <c r="BT185" s="635">
        <v>518.29194121734633</v>
      </c>
      <c r="BU185" s="635">
        <v>524.04912162552239</v>
      </c>
      <c r="BV185" s="635">
        <v>529.94481783397521</v>
      </c>
      <c r="BW185" s="634">
        <v>365.38228336488373</v>
      </c>
      <c r="BX185" s="634">
        <v>368.79616849982369</v>
      </c>
      <c r="BY185" s="634">
        <v>372.24195067040324</v>
      </c>
      <c r="BZ185" s="635">
        <v>377.44146517145435</v>
      </c>
      <c r="CA185" s="635">
        <v>382.64097967250547</v>
      </c>
      <c r="CB185" s="635">
        <v>387.84049417355658</v>
      </c>
      <c r="CC185" s="635">
        <v>393.04000867460769</v>
      </c>
      <c r="CD185" s="635">
        <v>399.18809354551718</v>
      </c>
      <c r="CE185" s="635">
        <v>405.33617841642666</v>
      </c>
      <c r="CF185" s="635">
        <v>422.38043462908269</v>
      </c>
      <c r="CG185" s="635">
        <v>442.6874992758153</v>
      </c>
      <c r="CH185" s="635">
        <v>451.60393155628753</v>
      </c>
      <c r="CI185" s="635">
        <v>456.50044457586222</v>
      </c>
      <c r="CJ185" s="635">
        <v>461.57124581128727</v>
      </c>
      <c r="CK185" s="635">
        <v>466.76404879780779</v>
      </c>
      <c r="CL185" s="634">
        <v>0</v>
      </c>
      <c r="CM185" s="634">
        <v>0</v>
      </c>
      <c r="CN185" s="634">
        <v>0</v>
      </c>
      <c r="CO185" s="635">
        <v>0</v>
      </c>
      <c r="CP185" s="635">
        <v>0</v>
      </c>
      <c r="CQ185" s="635">
        <v>0</v>
      </c>
      <c r="CR185" s="635">
        <v>0</v>
      </c>
      <c r="CS185" s="635">
        <v>0</v>
      </c>
      <c r="CT185" s="635">
        <v>0</v>
      </c>
      <c r="CU185" s="635">
        <v>0</v>
      </c>
      <c r="CV185" s="635">
        <v>0</v>
      </c>
      <c r="CW185" s="635">
        <v>0</v>
      </c>
      <c r="CX185" s="635">
        <v>0</v>
      </c>
      <c r="CY185" s="635">
        <v>0</v>
      </c>
      <c r="CZ185" s="635">
        <v>0</v>
      </c>
      <c r="DA185" s="636">
        <v>0</v>
      </c>
      <c r="DB185" s="636">
        <v>0</v>
      </c>
      <c r="DC185" s="636">
        <v>0</v>
      </c>
      <c r="DD185" s="637">
        <v>0</v>
      </c>
      <c r="DE185" s="637">
        <v>0</v>
      </c>
      <c r="DF185" s="637">
        <v>0</v>
      </c>
      <c r="DG185" s="637">
        <v>0</v>
      </c>
      <c r="DH185" s="637">
        <v>0</v>
      </c>
      <c r="DI185" s="637">
        <v>0</v>
      </c>
      <c r="DJ185" s="637">
        <v>0</v>
      </c>
      <c r="DK185" s="637">
        <v>0</v>
      </c>
      <c r="DL185" s="637">
        <v>0</v>
      </c>
      <c r="DM185" s="637">
        <v>0</v>
      </c>
      <c r="DN185" s="637">
        <v>0</v>
      </c>
      <c r="DO185" s="637">
        <v>0</v>
      </c>
      <c r="DP185" s="636">
        <v>0</v>
      </c>
      <c r="DQ185" s="636">
        <v>0</v>
      </c>
      <c r="DR185" s="636">
        <v>0</v>
      </c>
      <c r="DS185" s="637">
        <v>0</v>
      </c>
      <c r="DT185" s="637">
        <v>0</v>
      </c>
      <c r="DU185" s="637">
        <v>0</v>
      </c>
      <c r="DV185" s="637">
        <v>0</v>
      </c>
      <c r="DW185" s="637">
        <v>0</v>
      </c>
      <c r="DX185" s="637">
        <v>0</v>
      </c>
      <c r="DY185" s="637">
        <v>0</v>
      </c>
      <c r="DZ185" s="637">
        <v>0</v>
      </c>
      <c r="EA185" s="637">
        <v>0</v>
      </c>
      <c r="EB185" s="637">
        <v>0</v>
      </c>
      <c r="EC185" s="637">
        <v>0</v>
      </c>
      <c r="ED185" s="637">
        <v>0</v>
      </c>
    </row>
    <row r="186" spans="1:134" ht="15" x14ac:dyDescent="0.25">
      <c r="A186" s="555">
        <v>101</v>
      </c>
      <c r="B186" s="555">
        <v>93</v>
      </c>
      <c r="C186" s="555" t="s">
        <v>1169</v>
      </c>
      <c r="D186" s="812">
        <v>99709</v>
      </c>
      <c r="E186" s="812">
        <v>99709</v>
      </c>
      <c r="F186" s="630" t="s">
        <v>311</v>
      </c>
      <c r="G186" s="45">
        <v>31</v>
      </c>
      <c r="H186" s="45">
        <v>12</v>
      </c>
      <c r="I186" s="45">
        <v>12</v>
      </c>
      <c r="J186" s="45">
        <v>0</v>
      </c>
      <c r="K186" s="45">
        <v>0</v>
      </c>
      <c r="L186" s="45">
        <v>48</v>
      </c>
      <c r="M186" s="45">
        <v>48</v>
      </c>
      <c r="N186" s="45">
        <v>0</v>
      </c>
      <c r="O186" s="45">
        <v>0</v>
      </c>
      <c r="P186" s="45">
        <v>0</v>
      </c>
      <c r="Q186" s="45">
        <v>48</v>
      </c>
      <c r="R186" s="45">
        <v>0</v>
      </c>
      <c r="S186" s="45">
        <v>2905.4166666666665</v>
      </c>
      <c r="T186" s="45">
        <v>2905.4166666666665</v>
      </c>
      <c r="U186" s="45">
        <v>0</v>
      </c>
      <c r="V186" s="45">
        <v>0</v>
      </c>
      <c r="W186" s="45">
        <v>0</v>
      </c>
      <c r="X186" s="45">
        <v>2905.4166666666665</v>
      </c>
      <c r="Y186" s="45">
        <v>0</v>
      </c>
      <c r="Z186" s="45">
        <v>12</v>
      </c>
      <c r="AA186" s="45">
        <v>0</v>
      </c>
      <c r="AB186" s="508">
        <v>0</v>
      </c>
      <c r="AC186" s="508">
        <v>0</v>
      </c>
      <c r="AD186" s="631">
        <v>12</v>
      </c>
      <c r="AE186" s="632">
        <v>0</v>
      </c>
      <c r="AF186" s="632">
        <v>12</v>
      </c>
      <c r="AG186" s="633">
        <v>12</v>
      </c>
      <c r="AH186" s="632">
        <v>0</v>
      </c>
      <c r="AI186" s="632">
        <v>0</v>
      </c>
      <c r="AJ186" s="632">
        <v>11.425900740092873</v>
      </c>
      <c r="AK186" s="632">
        <v>11.425900740092873</v>
      </c>
      <c r="AL186" s="632">
        <v>0</v>
      </c>
      <c r="AM186" s="632">
        <v>0</v>
      </c>
      <c r="AN186" s="632">
        <v>11.447455546775716</v>
      </c>
      <c r="AO186" s="632">
        <v>11.447455546775716</v>
      </c>
      <c r="AP186" s="632">
        <v>0</v>
      </c>
      <c r="AQ186" s="632">
        <v>0</v>
      </c>
      <c r="AR186" s="632">
        <v>0</v>
      </c>
      <c r="AS186" s="632">
        <v>10.87926731020457</v>
      </c>
      <c r="AT186" s="632">
        <v>11.149234431625096</v>
      </c>
      <c r="AU186" s="632">
        <v>11.425900740092873</v>
      </c>
      <c r="AV186" s="632">
        <v>11.709432474766421</v>
      </c>
      <c r="AW186" s="632">
        <v>12</v>
      </c>
      <c r="AX186" s="632">
        <v>10.920353207950507</v>
      </c>
      <c r="AY186" s="632">
        <v>11.180798625460662</v>
      </c>
      <c r="AZ186" s="632">
        <v>11.447455546775716</v>
      </c>
      <c r="BA186" s="632">
        <v>11.720472113413717</v>
      </c>
      <c r="BB186" s="632">
        <v>12</v>
      </c>
      <c r="BC186" s="632">
        <v>0</v>
      </c>
      <c r="BD186" s="632">
        <v>0</v>
      </c>
      <c r="BE186" s="632">
        <v>0</v>
      </c>
      <c r="BF186" s="632">
        <v>0</v>
      </c>
      <c r="BG186" s="632">
        <v>0</v>
      </c>
      <c r="BH186" s="634">
        <v>12.096994961636589</v>
      </c>
      <c r="BI186" s="634">
        <v>12.194773925155085</v>
      </c>
      <c r="BJ186" s="634">
        <v>12.293343227574859</v>
      </c>
      <c r="BK186" s="635">
        <v>12.371476196517461</v>
      </c>
      <c r="BL186" s="635">
        <v>12.449609165460062</v>
      </c>
      <c r="BM186" s="635">
        <v>12.527742134402665</v>
      </c>
      <c r="BN186" s="635">
        <v>12.605875103345266</v>
      </c>
      <c r="BO186" s="635">
        <v>12.698262214522307</v>
      </c>
      <c r="BP186" s="635">
        <v>12.79064932569935</v>
      </c>
      <c r="BQ186" s="635">
        <v>13.046772919747216</v>
      </c>
      <c r="BR186" s="635">
        <v>13.351926651126906</v>
      </c>
      <c r="BS186" s="635">
        <v>13.485913646702768</v>
      </c>
      <c r="BT186" s="635">
        <v>13.559493420277422</v>
      </c>
      <c r="BU186" s="635">
        <v>13.635692218330874</v>
      </c>
      <c r="BV186" s="635">
        <v>13.71372433351948</v>
      </c>
      <c r="BW186" s="634">
        <v>12.096994961636589</v>
      </c>
      <c r="BX186" s="634">
        <v>12.194773925155085</v>
      </c>
      <c r="BY186" s="634">
        <v>12.293343227574859</v>
      </c>
      <c r="BZ186" s="635">
        <v>12.371476196517461</v>
      </c>
      <c r="CA186" s="635">
        <v>12.449609165460062</v>
      </c>
      <c r="CB186" s="635">
        <v>12.527742134402665</v>
      </c>
      <c r="CC186" s="635">
        <v>12.605875103345266</v>
      </c>
      <c r="CD186" s="635">
        <v>12.698262214522307</v>
      </c>
      <c r="CE186" s="635">
        <v>12.79064932569935</v>
      </c>
      <c r="CF186" s="635">
        <v>13.046772919747216</v>
      </c>
      <c r="CG186" s="635">
        <v>13.351926651126906</v>
      </c>
      <c r="CH186" s="635">
        <v>13.485913646702768</v>
      </c>
      <c r="CI186" s="635">
        <v>13.559493420277422</v>
      </c>
      <c r="CJ186" s="635">
        <v>13.635692218330874</v>
      </c>
      <c r="CK186" s="635">
        <v>13.71372433351948</v>
      </c>
      <c r="CL186" s="634">
        <v>0</v>
      </c>
      <c r="CM186" s="634">
        <v>0</v>
      </c>
      <c r="CN186" s="634">
        <v>0</v>
      </c>
      <c r="CO186" s="635">
        <v>0</v>
      </c>
      <c r="CP186" s="635">
        <v>0</v>
      </c>
      <c r="CQ186" s="635">
        <v>0</v>
      </c>
      <c r="CR186" s="635">
        <v>0</v>
      </c>
      <c r="CS186" s="635">
        <v>0</v>
      </c>
      <c r="CT186" s="635">
        <v>0</v>
      </c>
      <c r="CU186" s="635">
        <v>0</v>
      </c>
      <c r="CV186" s="635">
        <v>0</v>
      </c>
      <c r="CW186" s="635">
        <v>0</v>
      </c>
      <c r="CX186" s="635">
        <v>0</v>
      </c>
      <c r="CY186" s="635">
        <v>0</v>
      </c>
      <c r="CZ186" s="635">
        <v>0</v>
      </c>
      <c r="DA186" s="636">
        <v>0</v>
      </c>
      <c r="DB186" s="636">
        <v>0</v>
      </c>
      <c r="DC186" s="636">
        <v>0</v>
      </c>
      <c r="DD186" s="637">
        <v>0</v>
      </c>
      <c r="DE186" s="637">
        <v>0</v>
      </c>
      <c r="DF186" s="637">
        <v>0</v>
      </c>
      <c r="DG186" s="637">
        <v>0</v>
      </c>
      <c r="DH186" s="637">
        <v>0</v>
      </c>
      <c r="DI186" s="637">
        <v>0</v>
      </c>
      <c r="DJ186" s="637">
        <v>0</v>
      </c>
      <c r="DK186" s="637">
        <v>0</v>
      </c>
      <c r="DL186" s="637">
        <v>0</v>
      </c>
      <c r="DM186" s="637">
        <v>0</v>
      </c>
      <c r="DN186" s="637">
        <v>0</v>
      </c>
      <c r="DO186" s="637">
        <v>0</v>
      </c>
      <c r="DP186" s="636">
        <v>0</v>
      </c>
      <c r="DQ186" s="636">
        <v>0</v>
      </c>
      <c r="DR186" s="636">
        <v>0</v>
      </c>
      <c r="DS186" s="637">
        <v>0</v>
      </c>
      <c r="DT186" s="637">
        <v>0</v>
      </c>
      <c r="DU186" s="637">
        <v>0</v>
      </c>
      <c r="DV186" s="637">
        <v>0</v>
      </c>
      <c r="DW186" s="637">
        <v>0</v>
      </c>
      <c r="DX186" s="637">
        <v>0</v>
      </c>
      <c r="DY186" s="637">
        <v>0</v>
      </c>
      <c r="DZ186" s="637">
        <v>0</v>
      </c>
      <c r="EA186" s="637">
        <v>0</v>
      </c>
      <c r="EB186" s="637">
        <v>0</v>
      </c>
      <c r="EC186" s="637">
        <v>0</v>
      </c>
      <c r="ED186" s="637">
        <v>0</v>
      </c>
    </row>
    <row r="187" spans="1:134" ht="15" x14ac:dyDescent="0.25">
      <c r="A187" s="555">
        <v>102</v>
      </c>
      <c r="B187" s="555">
        <v>93</v>
      </c>
      <c r="C187" s="555" t="s">
        <v>1170</v>
      </c>
      <c r="D187" s="812">
        <v>99709</v>
      </c>
      <c r="E187" s="812">
        <v>99709</v>
      </c>
      <c r="F187" s="630" t="s">
        <v>311</v>
      </c>
      <c r="G187" s="45">
        <v>407</v>
      </c>
      <c r="H187" s="45">
        <v>201</v>
      </c>
      <c r="I187" s="45">
        <v>179</v>
      </c>
      <c r="J187" s="45">
        <v>22</v>
      </c>
      <c r="K187" s="45">
        <v>0</v>
      </c>
      <c r="L187" s="45">
        <v>75</v>
      </c>
      <c r="M187" s="45">
        <v>75</v>
      </c>
      <c r="N187" s="45">
        <v>0</v>
      </c>
      <c r="O187" s="45">
        <v>0</v>
      </c>
      <c r="P187" s="45">
        <v>0</v>
      </c>
      <c r="Q187" s="45">
        <v>75</v>
      </c>
      <c r="R187" s="45">
        <v>0</v>
      </c>
      <c r="S187" s="45">
        <v>2481.4133333333334</v>
      </c>
      <c r="T187" s="45">
        <v>2481.4133333333334</v>
      </c>
      <c r="U187" s="45">
        <v>0</v>
      </c>
      <c r="V187" s="45">
        <v>0</v>
      </c>
      <c r="W187" s="45">
        <v>0</v>
      </c>
      <c r="X187" s="45">
        <v>2481.4133333333334</v>
      </c>
      <c r="Y187" s="45">
        <v>0</v>
      </c>
      <c r="Z187" s="45">
        <v>201</v>
      </c>
      <c r="AA187" s="45">
        <v>0</v>
      </c>
      <c r="AB187" s="508">
        <v>0</v>
      </c>
      <c r="AC187" s="508">
        <v>0</v>
      </c>
      <c r="AD187" s="631">
        <v>201</v>
      </c>
      <c r="AE187" s="632">
        <v>0</v>
      </c>
      <c r="AF187" s="632">
        <v>179</v>
      </c>
      <c r="AG187" s="633">
        <v>179</v>
      </c>
      <c r="AH187" s="632">
        <v>0</v>
      </c>
      <c r="AI187" s="632">
        <v>0</v>
      </c>
      <c r="AJ187" s="632">
        <v>191.38383739655561</v>
      </c>
      <c r="AK187" s="632">
        <v>191.38383739655561</v>
      </c>
      <c r="AL187" s="632">
        <v>0</v>
      </c>
      <c r="AM187" s="632">
        <v>0</v>
      </c>
      <c r="AN187" s="632">
        <v>170.75787857273775</v>
      </c>
      <c r="AO187" s="632">
        <v>170.75787857273775</v>
      </c>
      <c r="AP187" s="632">
        <v>0</v>
      </c>
      <c r="AQ187" s="632">
        <v>0</v>
      </c>
      <c r="AR187" s="632">
        <v>0</v>
      </c>
      <c r="AS187" s="632">
        <v>182.22772744592655</v>
      </c>
      <c r="AT187" s="632">
        <v>186.74967672972036</v>
      </c>
      <c r="AU187" s="632">
        <v>191.38383739655561</v>
      </c>
      <c r="AV187" s="632">
        <v>196.13299395233756</v>
      </c>
      <c r="AW187" s="632">
        <v>201</v>
      </c>
      <c r="AX187" s="632">
        <v>162.89526868526175</v>
      </c>
      <c r="AY187" s="632">
        <v>166.78024616312155</v>
      </c>
      <c r="AZ187" s="632">
        <v>170.75787857273775</v>
      </c>
      <c r="BA187" s="632">
        <v>174.8303756917546</v>
      </c>
      <c r="BB187" s="632">
        <v>179</v>
      </c>
      <c r="BC187" s="632">
        <v>0</v>
      </c>
      <c r="BD187" s="632">
        <v>0</v>
      </c>
      <c r="BE187" s="632">
        <v>0</v>
      </c>
      <c r="BF187" s="632">
        <v>0</v>
      </c>
      <c r="BG187" s="632">
        <v>0</v>
      </c>
      <c r="BH187" s="634">
        <v>202.62466560741288</v>
      </c>
      <c r="BI187" s="634">
        <v>204.26246324634766</v>
      </c>
      <c r="BJ187" s="634">
        <v>205.91349906187889</v>
      </c>
      <c r="BK187" s="635">
        <v>208.02169178986384</v>
      </c>
      <c r="BL187" s="635">
        <v>210.12988451784878</v>
      </c>
      <c r="BM187" s="635">
        <v>212.23807724583375</v>
      </c>
      <c r="BN187" s="635">
        <v>214.34626997381869</v>
      </c>
      <c r="BO187" s="635">
        <v>216.83906960218124</v>
      </c>
      <c r="BP187" s="635">
        <v>219.33186923054376</v>
      </c>
      <c r="BQ187" s="635">
        <v>226.24262541637034</v>
      </c>
      <c r="BR187" s="635">
        <v>234.47631839026383</v>
      </c>
      <c r="BS187" s="635">
        <v>238.09157086998326</v>
      </c>
      <c r="BT187" s="635">
        <v>240.07690875840802</v>
      </c>
      <c r="BU187" s="635">
        <v>242.1329134656589</v>
      </c>
      <c r="BV187" s="635">
        <v>244.23838494608808</v>
      </c>
      <c r="BW187" s="634">
        <v>180.44684151107913</v>
      </c>
      <c r="BX187" s="634">
        <v>181.90537771689668</v>
      </c>
      <c r="BY187" s="634">
        <v>183.3757031446583</v>
      </c>
      <c r="BZ187" s="635">
        <v>185.25314840987872</v>
      </c>
      <c r="CA187" s="635">
        <v>187.13059367509916</v>
      </c>
      <c r="CB187" s="635">
        <v>189.00803894031958</v>
      </c>
      <c r="CC187" s="635">
        <v>190.88548420554</v>
      </c>
      <c r="CD187" s="635">
        <v>193.10544009348476</v>
      </c>
      <c r="CE187" s="635">
        <v>195.32539598142949</v>
      </c>
      <c r="CF187" s="635">
        <v>201.479750992688</v>
      </c>
      <c r="CG187" s="635">
        <v>208.8122437405832</v>
      </c>
      <c r="CH187" s="635">
        <v>212.03179694391542</v>
      </c>
      <c r="CI187" s="635">
        <v>213.7998341679355</v>
      </c>
      <c r="CJ187" s="635">
        <v>215.63080353409424</v>
      </c>
      <c r="CK187" s="635">
        <v>217.50582539975005</v>
      </c>
      <c r="CL187" s="634">
        <v>0</v>
      </c>
      <c r="CM187" s="634">
        <v>0</v>
      </c>
      <c r="CN187" s="634">
        <v>0</v>
      </c>
      <c r="CO187" s="635">
        <v>0</v>
      </c>
      <c r="CP187" s="635">
        <v>0</v>
      </c>
      <c r="CQ187" s="635">
        <v>0</v>
      </c>
      <c r="CR187" s="635">
        <v>0</v>
      </c>
      <c r="CS187" s="635">
        <v>0</v>
      </c>
      <c r="CT187" s="635">
        <v>0</v>
      </c>
      <c r="CU187" s="635">
        <v>0</v>
      </c>
      <c r="CV187" s="635">
        <v>0</v>
      </c>
      <c r="CW187" s="635">
        <v>0</v>
      </c>
      <c r="CX187" s="635">
        <v>0</v>
      </c>
      <c r="CY187" s="635">
        <v>0</v>
      </c>
      <c r="CZ187" s="635">
        <v>0</v>
      </c>
      <c r="DA187" s="636">
        <v>0</v>
      </c>
      <c r="DB187" s="636">
        <v>0</v>
      </c>
      <c r="DC187" s="636">
        <v>0</v>
      </c>
      <c r="DD187" s="637">
        <v>0</v>
      </c>
      <c r="DE187" s="637">
        <v>0</v>
      </c>
      <c r="DF187" s="637">
        <v>0</v>
      </c>
      <c r="DG187" s="637">
        <v>0</v>
      </c>
      <c r="DH187" s="637">
        <v>0</v>
      </c>
      <c r="DI187" s="637">
        <v>0</v>
      </c>
      <c r="DJ187" s="637">
        <v>0</v>
      </c>
      <c r="DK187" s="637">
        <v>0</v>
      </c>
      <c r="DL187" s="637">
        <v>0</v>
      </c>
      <c r="DM187" s="637">
        <v>0</v>
      </c>
      <c r="DN187" s="637">
        <v>0</v>
      </c>
      <c r="DO187" s="637">
        <v>0</v>
      </c>
      <c r="DP187" s="636">
        <v>0</v>
      </c>
      <c r="DQ187" s="636">
        <v>0</v>
      </c>
      <c r="DR187" s="636">
        <v>0</v>
      </c>
      <c r="DS187" s="637">
        <v>0</v>
      </c>
      <c r="DT187" s="637">
        <v>0</v>
      </c>
      <c r="DU187" s="637">
        <v>0</v>
      </c>
      <c r="DV187" s="637">
        <v>0</v>
      </c>
      <c r="DW187" s="637">
        <v>0</v>
      </c>
      <c r="DX187" s="637">
        <v>0</v>
      </c>
      <c r="DY187" s="637">
        <v>0</v>
      </c>
      <c r="DZ187" s="637">
        <v>0</v>
      </c>
      <c r="EA187" s="637">
        <v>0</v>
      </c>
      <c r="EB187" s="637">
        <v>0</v>
      </c>
      <c r="EC187" s="637">
        <v>0</v>
      </c>
      <c r="ED187" s="637">
        <v>0</v>
      </c>
    </row>
    <row r="188" spans="1:134" ht="15" x14ac:dyDescent="0.25">
      <c r="A188" s="555">
        <v>103</v>
      </c>
      <c r="B188" s="555">
        <v>93</v>
      </c>
      <c r="C188" s="555" t="s">
        <v>1171</v>
      </c>
      <c r="D188" s="812">
        <v>99709</v>
      </c>
      <c r="E188" s="812">
        <v>99709</v>
      </c>
      <c r="F188" s="630" t="s">
        <v>311</v>
      </c>
      <c r="G188" s="45">
        <v>36</v>
      </c>
      <c r="H188" s="45">
        <v>17</v>
      </c>
      <c r="I188" s="45">
        <v>16</v>
      </c>
      <c r="J188" s="45">
        <v>1</v>
      </c>
      <c r="K188" s="45">
        <v>1</v>
      </c>
      <c r="L188" s="45">
        <v>103</v>
      </c>
      <c r="M188" s="45">
        <v>104</v>
      </c>
      <c r="N188" s="45">
        <v>2</v>
      </c>
      <c r="O188" s="45">
        <v>0</v>
      </c>
      <c r="P188" s="45">
        <v>0</v>
      </c>
      <c r="Q188" s="45">
        <v>106</v>
      </c>
      <c r="R188" s="45">
        <v>1909</v>
      </c>
      <c r="S188" s="45">
        <v>3238.8155339805826</v>
      </c>
      <c r="T188" s="45">
        <v>3226.0288461538462</v>
      </c>
      <c r="U188" s="45">
        <v>4132</v>
      </c>
      <c r="V188" s="45">
        <v>0</v>
      </c>
      <c r="W188" s="45">
        <v>0</v>
      </c>
      <c r="X188" s="45">
        <v>3243.1226415094338</v>
      </c>
      <c r="Y188" s="45">
        <v>0.16346153846153846</v>
      </c>
      <c r="Z188" s="45">
        <v>16.83653846153846</v>
      </c>
      <c r="AA188" s="45">
        <v>0</v>
      </c>
      <c r="AB188" s="508">
        <v>2</v>
      </c>
      <c r="AC188" s="508">
        <v>0</v>
      </c>
      <c r="AD188" s="631">
        <v>19</v>
      </c>
      <c r="AE188" s="632">
        <v>0.15384615384615385</v>
      </c>
      <c r="AF188" s="632">
        <v>15.846153846153845</v>
      </c>
      <c r="AG188" s="633">
        <v>15.999999999999998</v>
      </c>
      <c r="AH188" s="632">
        <v>0</v>
      </c>
      <c r="AI188" s="632">
        <v>0.15564127610703432</v>
      </c>
      <c r="AJ188" s="632">
        <v>16.031051439024534</v>
      </c>
      <c r="AK188" s="632">
        <v>16.186692715131567</v>
      </c>
      <c r="AL188" s="632">
        <v>0</v>
      </c>
      <c r="AM188" s="632">
        <v>0.14676225059968867</v>
      </c>
      <c r="AN188" s="632">
        <v>15.116511811767932</v>
      </c>
      <c r="AO188" s="632">
        <v>15.263274062367621</v>
      </c>
      <c r="AP188" s="632">
        <v>0</v>
      </c>
      <c r="AQ188" s="632">
        <v>1.9193314770024816</v>
      </c>
      <c r="AR188" s="632">
        <v>0</v>
      </c>
      <c r="AS188" s="632">
        <v>15.412295356123142</v>
      </c>
      <c r="AT188" s="632">
        <v>15.794748778135553</v>
      </c>
      <c r="AU188" s="632">
        <v>16.186692715131567</v>
      </c>
      <c r="AV188" s="632">
        <v>16.588362672585763</v>
      </c>
      <c r="AW188" s="632">
        <v>17</v>
      </c>
      <c r="AX188" s="632">
        <v>14.560470943934009</v>
      </c>
      <c r="AY188" s="632">
        <v>14.907731500614215</v>
      </c>
      <c r="AZ188" s="632">
        <v>15.26327406236762</v>
      </c>
      <c r="BA188" s="632">
        <v>15.627296151218287</v>
      </c>
      <c r="BB188" s="632">
        <v>15.999999999999998</v>
      </c>
      <c r="BC188" s="632">
        <v>1.8419166593062641</v>
      </c>
      <c r="BD188" s="632">
        <v>1.8802256838533424</v>
      </c>
      <c r="BE188" s="632">
        <v>1.9193314770024816</v>
      </c>
      <c r="BF188" s="632">
        <v>1.9592506103112393</v>
      </c>
      <c r="BG188" s="632">
        <v>2</v>
      </c>
      <c r="BH188" s="634">
        <v>17.137409528985167</v>
      </c>
      <c r="BI188" s="634">
        <v>17.275929727303037</v>
      </c>
      <c r="BJ188" s="634">
        <v>17.415569572397715</v>
      </c>
      <c r="BK188" s="635">
        <v>17.593874429988482</v>
      </c>
      <c r="BL188" s="635">
        <v>17.772179287579249</v>
      </c>
      <c r="BM188" s="635">
        <v>17.950484145170016</v>
      </c>
      <c r="BN188" s="635">
        <v>18.128789002760783</v>
      </c>
      <c r="BO188" s="635">
        <v>18.339622802174532</v>
      </c>
      <c r="BP188" s="635">
        <v>18.550456601588277</v>
      </c>
      <c r="BQ188" s="635">
        <v>19.134948418299974</v>
      </c>
      <c r="BR188" s="635">
        <v>19.831330411116838</v>
      </c>
      <c r="BS188" s="635">
        <v>20.137098033779676</v>
      </c>
      <c r="BT188" s="635">
        <v>20.305012183546946</v>
      </c>
      <c r="BU188" s="635">
        <v>20.478903128936324</v>
      </c>
      <c r="BV188" s="635">
        <v>20.656977831261177</v>
      </c>
      <c r="BW188" s="634">
        <v>16.129326615515449</v>
      </c>
      <c r="BX188" s="634">
        <v>16.259698566873443</v>
      </c>
      <c r="BY188" s="634">
        <v>16.391124303433141</v>
      </c>
      <c r="BZ188" s="635">
        <v>16.558940639989157</v>
      </c>
      <c r="CA188" s="635">
        <v>16.726756976545172</v>
      </c>
      <c r="CB188" s="635">
        <v>16.894573313101187</v>
      </c>
      <c r="CC188" s="635">
        <v>17.062389649657206</v>
      </c>
      <c r="CD188" s="635">
        <v>17.260821460870144</v>
      </c>
      <c r="CE188" s="635">
        <v>17.459253272083082</v>
      </c>
      <c r="CF188" s="635">
        <v>18.009363217223505</v>
      </c>
      <c r="CG188" s="635">
        <v>18.66478156340408</v>
      </c>
      <c r="CH188" s="635">
        <v>18.952562855322046</v>
      </c>
      <c r="CI188" s="635">
        <v>19.110599702161828</v>
      </c>
      <c r="CJ188" s="635">
        <v>19.274261768410653</v>
      </c>
      <c r="CK188" s="635">
        <v>19.441861488245809</v>
      </c>
      <c r="CL188" s="634">
        <v>2.0161658269394316</v>
      </c>
      <c r="CM188" s="634">
        <v>2.0324623208591808</v>
      </c>
      <c r="CN188" s="634">
        <v>2.0488905379291431</v>
      </c>
      <c r="CO188" s="635">
        <v>2.069867579998645</v>
      </c>
      <c r="CP188" s="635">
        <v>2.0908446220681469</v>
      </c>
      <c r="CQ188" s="635">
        <v>2.1118216641376488</v>
      </c>
      <c r="CR188" s="635">
        <v>2.1327987062071512</v>
      </c>
      <c r="CS188" s="635">
        <v>2.1576026826087684</v>
      </c>
      <c r="CT188" s="635">
        <v>2.1824066590103857</v>
      </c>
      <c r="CU188" s="635">
        <v>2.2511704021529386</v>
      </c>
      <c r="CV188" s="635">
        <v>2.3330976954255105</v>
      </c>
      <c r="CW188" s="635">
        <v>2.3690703569152562</v>
      </c>
      <c r="CX188" s="635">
        <v>2.3888249627702289</v>
      </c>
      <c r="CY188" s="635">
        <v>2.4092827210513321</v>
      </c>
      <c r="CZ188" s="635">
        <v>2.4302326860307271</v>
      </c>
      <c r="DA188" s="636">
        <v>0</v>
      </c>
      <c r="DB188" s="636">
        <v>0</v>
      </c>
      <c r="DC188" s="636">
        <v>0</v>
      </c>
      <c r="DD188" s="637">
        <v>0</v>
      </c>
      <c r="DE188" s="637">
        <v>0</v>
      </c>
      <c r="DF188" s="637">
        <v>0</v>
      </c>
      <c r="DG188" s="637">
        <v>0</v>
      </c>
      <c r="DH188" s="637">
        <v>0</v>
      </c>
      <c r="DI188" s="637">
        <v>0</v>
      </c>
      <c r="DJ188" s="637">
        <v>0</v>
      </c>
      <c r="DK188" s="637">
        <v>0</v>
      </c>
      <c r="DL188" s="637">
        <v>0</v>
      </c>
      <c r="DM188" s="637">
        <v>0</v>
      </c>
      <c r="DN188" s="637">
        <v>0</v>
      </c>
      <c r="DO188" s="637">
        <v>0</v>
      </c>
      <c r="DP188" s="636">
        <v>0</v>
      </c>
      <c r="DQ188" s="636">
        <v>0</v>
      </c>
      <c r="DR188" s="636">
        <v>0</v>
      </c>
      <c r="DS188" s="637">
        <v>0</v>
      </c>
      <c r="DT188" s="637">
        <v>0</v>
      </c>
      <c r="DU188" s="637">
        <v>0</v>
      </c>
      <c r="DV188" s="637">
        <v>0</v>
      </c>
      <c r="DW188" s="637">
        <v>0</v>
      </c>
      <c r="DX188" s="637">
        <v>0</v>
      </c>
      <c r="DY188" s="637">
        <v>0</v>
      </c>
      <c r="DZ188" s="637">
        <v>0</v>
      </c>
      <c r="EA188" s="637">
        <v>0</v>
      </c>
      <c r="EB188" s="637">
        <v>0</v>
      </c>
      <c r="EC188" s="637">
        <v>0</v>
      </c>
      <c r="ED188" s="637">
        <v>0</v>
      </c>
    </row>
    <row r="189" spans="1:134" ht="15" x14ac:dyDescent="0.25">
      <c r="A189" s="555">
        <v>104</v>
      </c>
      <c r="B189" s="555">
        <v>93</v>
      </c>
      <c r="C189" s="555" t="s">
        <v>1172</v>
      </c>
      <c r="D189" s="812">
        <v>99709</v>
      </c>
      <c r="E189" s="812">
        <v>99709</v>
      </c>
      <c r="F189" s="630" t="s">
        <v>311</v>
      </c>
      <c r="G189" s="45">
        <v>1012</v>
      </c>
      <c r="H189" s="45">
        <v>428</v>
      </c>
      <c r="I189" s="45">
        <v>392</v>
      </c>
      <c r="J189" s="45">
        <v>36</v>
      </c>
      <c r="K189" s="45">
        <v>2</v>
      </c>
      <c r="L189" s="45">
        <v>251</v>
      </c>
      <c r="M189" s="45">
        <v>253</v>
      </c>
      <c r="N189" s="45">
        <v>22</v>
      </c>
      <c r="O189" s="45">
        <v>0</v>
      </c>
      <c r="P189" s="45">
        <v>0</v>
      </c>
      <c r="Q189" s="45">
        <v>275</v>
      </c>
      <c r="R189" s="45">
        <v>3374.5</v>
      </c>
      <c r="S189" s="45">
        <v>2335.4621513944221</v>
      </c>
      <c r="T189" s="45">
        <v>2343.675889328063</v>
      </c>
      <c r="U189" s="45">
        <v>7944.363636363636</v>
      </c>
      <c r="V189" s="45">
        <v>0</v>
      </c>
      <c r="W189" s="45">
        <v>0</v>
      </c>
      <c r="X189" s="45">
        <v>2791.7309090909089</v>
      </c>
      <c r="Y189" s="45">
        <v>3.383399209486166</v>
      </c>
      <c r="Z189" s="45">
        <v>424.61660079051381</v>
      </c>
      <c r="AA189" s="45">
        <v>0</v>
      </c>
      <c r="AB189" s="508">
        <v>22</v>
      </c>
      <c r="AC189" s="508">
        <v>0</v>
      </c>
      <c r="AD189" s="631">
        <v>450</v>
      </c>
      <c r="AE189" s="632">
        <v>3.0988142292490117</v>
      </c>
      <c r="AF189" s="632">
        <v>388.90118577075094</v>
      </c>
      <c r="AG189" s="633">
        <v>391.99999999999994</v>
      </c>
      <c r="AH189" s="632">
        <v>0</v>
      </c>
      <c r="AI189" s="632">
        <v>3.2215319609748021</v>
      </c>
      <c r="AJ189" s="632">
        <v>404.30226110233764</v>
      </c>
      <c r="AK189" s="632">
        <v>407.52379306331244</v>
      </c>
      <c r="AL189" s="632">
        <v>0</v>
      </c>
      <c r="AM189" s="632">
        <v>2.9561281780870097</v>
      </c>
      <c r="AN189" s="632">
        <v>370.99408634991966</v>
      </c>
      <c r="AO189" s="632">
        <v>373.95021452800665</v>
      </c>
      <c r="AP189" s="632">
        <v>0</v>
      </c>
      <c r="AQ189" s="632">
        <v>21.1126462470273</v>
      </c>
      <c r="AR189" s="632">
        <v>0</v>
      </c>
      <c r="AS189" s="632">
        <v>388.02720073062966</v>
      </c>
      <c r="AT189" s="632">
        <v>397.6560280612951</v>
      </c>
      <c r="AU189" s="632">
        <v>407.52379306331244</v>
      </c>
      <c r="AV189" s="632">
        <v>417.63642493333566</v>
      </c>
      <c r="AW189" s="632">
        <v>428</v>
      </c>
      <c r="AX189" s="632">
        <v>356.73153812638321</v>
      </c>
      <c r="AY189" s="632">
        <v>365.23942176504823</v>
      </c>
      <c r="AZ189" s="632">
        <v>373.95021452800665</v>
      </c>
      <c r="BA189" s="632">
        <v>382.86875570484801</v>
      </c>
      <c r="BB189" s="632">
        <v>391.99999999999994</v>
      </c>
      <c r="BC189" s="632">
        <v>20.261083252368906</v>
      </c>
      <c r="BD189" s="632">
        <v>20.682482522386767</v>
      </c>
      <c r="BE189" s="632">
        <v>21.1126462470273</v>
      </c>
      <c r="BF189" s="632">
        <v>21.551756713423632</v>
      </c>
      <c r="BG189" s="632">
        <v>22</v>
      </c>
      <c r="BH189" s="634">
        <v>438.04168447013052</v>
      </c>
      <c r="BI189" s="634">
        <v>448.31896573231171</v>
      </c>
      <c r="BJ189" s="634">
        <v>458.8373713301134</v>
      </c>
      <c r="BK189" s="635">
        <v>465.33061380234255</v>
      </c>
      <c r="BL189" s="635">
        <v>471.82385627457171</v>
      </c>
      <c r="BM189" s="635">
        <v>478.31709874680092</v>
      </c>
      <c r="BN189" s="635">
        <v>484.81034121903008</v>
      </c>
      <c r="BO189" s="635">
        <v>492.48817456262185</v>
      </c>
      <c r="BP189" s="635">
        <v>500.16600790621357</v>
      </c>
      <c r="BQ189" s="635">
        <v>521.45116603495831</v>
      </c>
      <c r="BR189" s="635">
        <v>546.81097503708963</v>
      </c>
      <c r="BS189" s="635">
        <v>557.9459678854821</v>
      </c>
      <c r="BT189" s="635">
        <v>564.06081693496515</v>
      </c>
      <c r="BU189" s="635">
        <v>570.39332008375686</v>
      </c>
      <c r="BV189" s="635">
        <v>576.87818110206479</v>
      </c>
      <c r="BW189" s="634">
        <v>401.19705680441859</v>
      </c>
      <c r="BX189" s="634">
        <v>410.60989384828542</v>
      </c>
      <c r="BY189" s="634">
        <v>420.24357374159911</v>
      </c>
      <c r="BZ189" s="635">
        <v>426.19065563205197</v>
      </c>
      <c r="CA189" s="635">
        <v>432.13773752250489</v>
      </c>
      <c r="CB189" s="635">
        <v>438.08481941295776</v>
      </c>
      <c r="CC189" s="635">
        <v>444.03190130341062</v>
      </c>
      <c r="CD189" s="635">
        <v>451.06393558071898</v>
      </c>
      <c r="CE189" s="635">
        <v>458.09596985802733</v>
      </c>
      <c r="CF189" s="635">
        <v>477.59078758341968</v>
      </c>
      <c r="CG189" s="635">
        <v>500.8175285386427</v>
      </c>
      <c r="CH189" s="635">
        <v>511.01593320352555</v>
      </c>
      <c r="CI189" s="635">
        <v>516.61644915538852</v>
      </c>
      <c r="CJ189" s="635">
        <v>522.41631185241272</v>
      </c>
      <c r="CK189" s="635">
        <v>528.35571727104991</v>
      </c>
      <c r="CL189" s="634">
        <v>22.516161351268394</v>
      </c>
      <c r="CM189" s="634">
        <v>23.04443281801602</v>
      </c>
      <c r="CN189" s="634">
        <v>23.585098526314241</v>
      </c>
      <c r="CO189" s="635">
        <v>23.918863326288637</v>
      </c>
      <c r="CP189" s="635">
        <v>24.252628126263033</v>
      </c>
      <c r="CQ189" s="635">
        <v>24.58639292623743</v>
      </c>
      <c r="CR189" s="635">
        <v>24.920157726211826</v>
      </c>
      <c r="CS189" s="635">
        <v>25.314812711162805</v>
      </c>
      <c r="CT189" s="635">
        <v>25.709467696113784</v>
      </c>
      <c r="CU189" s="635">
        <v>26.803564609273561</v>
      </c>
      <c r="CV189" s="635">
        <v>28.107106193495259</v>
      </c>
      <c r="CW189" s="635">
        <v>28.67946563897338</v>
      </c>
      <c r="CX189" s="635">
        <v>28.993780309741201</v>
      </c>
      <c r="CY189" s="635">
        <v>29.319282808043575</v>
      </c>
      <c r="CZ189" s="635">
        <v>29.652616785620154</v>
      </c>
      <c r="DA189" s="636">
        <v>0</v>
      </c>
      <c r="DB189" s="636">
        <v>0</v>
      </c>
      <c r="DC189" s="636">
        <v>0</v>
      </c>
      <c r="DD189" s="637">
        <v>0</v>
      </c>
      <c r="DE189" s="637">
        <v>0</v>
      </c>
      <c r="DF189" s="637">
        <v>0</v>
      </c>
      <c r="DG189" s="637">
        <v>0</v>
      </c>
      <c r="DH189" s="637">
        <v>0</v>
      </c>
      <c r="DI189" s="637">
        <v>0</v>
      </c>
      <c r="DJ189" s="637">
        <v>0</v>
      </c>
      <c r="DK189" s="637">
        <v>0</v>
      </c>
      <c r="DL189" s="637">
        <v>0</v>
      </c>
      <c r="DM189" s="637">
        <v>0</v>
      </c>
      <c r="DN189" s="637">
        <v>0</v>
      </c>
      <c r="DO189" s="637">
        <v>0</v>
      </c>
      <c r="DP189" s="636">
        <v>0</v>
      </c>
      <c r="DQ189" s="636">
        <v>0</v>
      </c>
      <c r="DR189" s="636">
        <v>0</v>
      </c>
      <c r="DS189" s="637">
        <v>0</v>
      </c>
      <c r="DT189" s="637">
        <v>0</v>
      </c>
      <c r="DU189" s="637">
        <v>0</v>
      </c>
      <c r="DV189" s="637">
        <v>0</v>
      </c>
      <c r="DW189" s="637">
        <v>0</v>
      </c>
      <c r="DX189" s="637">
        <v>0</v>
      </c>
      <c r="DY189" s="637">
        <v>0</v>
      </c>
      <c r="DZ189" s="637">
        <v>0</v>
      </c>
      <c r="EA189" s="637">
        <v>0</v>
      </c>
      <c r="EB189" s="637">
        <v>0</v>
      </c>
      <c r="EC189" s="637">
        <v>0</v>
      </c>
      <c r="ED189" s="637">
        <v>0</v>
      </c>
    </row>
    <row r="190" spans="1:134" ht="15" x14ac:dyDescent="0.25">
      <c r="A190" s="555">
        <v>105</v>
      </c>
      <c r="B190" s="555">
        <v>93</v>
      </c>
      <c r="C190" s="555" t="s">
        <v>1173</v>
      </c>
      <c r="D190" s="812">
        <v>99709</v>
      </c>
      <c r="E190" s="812">
        <v>99709</v>
      </c>
      <c r="F190" s="630" t="s">
        <v>311</v>
      </c>
      <c r="G190" s="45">
        <v>115</v>
      </c>
      <c r="H190" s="45">
        <v>46</v>
      </c>
      <c r="I190" s="45">
        <v>42</v>
      </c>
      <c r="J190" s="45">
        <v>4</v>
      </c>
      <c r="K190" s="45">
        <v>0</v>
      </c>
      <c r="L190" s="45">
        <v>21</v>
      </c>
      <c r="M190" s="45">
        <v>21</v>
      </c>
      <c r="N190" s="45">
        <v>16</v>
      </c>
      <c r="O190" s="45">
        <v>0</v>
      </c>
      <c r="P190" s="45">
        <v>0</v>
      </c>
      <c r="Q190" s="45">
        <v>37</v>
      </c>
      <c r="R190" s="45">
        <v>0</v>
      </c>
      <c r="S190" s="45">
        <v>2972.1428571428573</v>
      </c>
      <c r="T190" s="45">
        <v>2972.1428571428573</v>
      </c>
      <c r="U190" s="45">
        <v>32241.4375</v>
      </c>
      <c r="V190" s="45">
        <v>0</v>
      </c>
      <c r="W190" s="45">
        <v>0</v>
      </c>
      <c r="X190" s="45">
        <v>15629.135135135135</v>
      </c>
      <c r="Y190" s="45">
        <v>0</v>
      </c>
      <c r="Z190" s="45">
        <v>46</v>
      </c>
      <c r="AA190" s="45">
        <v>0</v>
      </c>
      <c r="AB190" s="508">
        <v>16</v>
      </c>
      <c r="AC190" s="508">
        <v>0</v>
      </c>
      <c r="AD190" s="631">
        <v>62</v>
      </c>
      <c r="AE190" s="632">
        <v>0</v>
      </c>
      <c r="AF190" s="632">
        <v>42</v>
      </c>
      <c r="AG190" s="633">
        <v>42</v>
      </c>
      <c r="AH190" s="632">
        <v>0</v>
      </c>
      <c r="AI190" s="632">
        <v>0</v>
      </c>
      <c r="AJ190" s="632">
        <v>43.799286170356012</v>
      </c>
      <c r="AK190" s="632">
        <v>43.799286170356012</v>
      </c>
      <c r="AL190" s="632">
        <v>0</v>
      </c>
      <c r="AM190" s="632">
        <v>0</v>
      </c>
      <c r="AN190" s="632">
        <v>40.066094413715007</v>
      </c>
      <c r="AO190" s="632">
        <v>40.066094413715007</v>
      </c>
      <c r="AP190" s="632">
        <v>0</v>
      </c>
      <c r="AQ190" s="632">
        <v>15.354651816019853</v>
      </c>
      <c r="AR190" s="632">
        <v>0</v>
      </c>
      <c r="AS190" s="632">
        <v>41.703858022450852</v>
      </c>
      <c r="AT190" s="632">
        <v>42.738731987896202</v>
      </c>
      <c r="AU190" s="632">
        <v>43.799286170356012</v>
      </c>
      <c r="AV190" s="632">
        <v>44.886157819937942</v>
      </c>
      <c r="AW190" s="632">
        <v>46</v>
      </c>
      <c r="AX190" s="632">
        <v>38.221236227826779</v>
      </c>
      <c r="AY190" s="632">
        <v>39.132795189112322</v>
      </c>
      <c r="AZ190" s="632">
        <v>40.066094413715007</v>
      </c>
      <c r="BA190" s="632">
        <v>41.021652396948006</v>
      </c>
      <c r="BB190" s="632">
        <v>42</v>
      </c>
      <c r="BC190" s="632">
        <v>14.735333274450113</v>
      </c>
      <c r="BD190" s="632">
        <v>15.041805470826739</v>
      </c>
      <c r="BE190" s="632">
        <v>15.354651816019853</v>
      </c>
      <c r="BF190" s="632">
        <v>15.674004882489914</v>
      </c>
      <c r="BG190" s="632">
        <v>16</v>
      </c>
      <c r="BH190" s="634">
        <v>47.079246461743004</v>
      </c>
      <c r="BI190" s="634">
        <v>48.183814074033499</v>
      </c>
      <c r="BJ190" s="634">
        <v>49.31429691865705</v>
      </c>
      <c r="BK190" s="635">
        <v>50.100897858296968</v>
      </c>
      <c r="BL190" s="635">
        <v>50.887498797936892</v>
      </c>
      <c r="BM190" s="635">
        <v>51.674099737576803</v>
      </c>
      <c r="BN190" s="635">
        <v>52.460700677216721</v>
      </c>
      <c r="BO190" s="635">
        <v>53.390804696633488</v>
      </c>
      <c r="BP190" s="635">
        <v>54.320908716050248</v>
      </c>
      <c r="BQ190" s="635">
        <v>56.899424065825393</v>
      </c>
      <c r="BR190" s="635">
        <v>59.971548613072891</v>
      </c>
      <c r="BS190" s="635">
        <v>61.320458017717755</v>
      </c>
      <c r="BT190" s="635">
        <v>62.061219821801174</v>
      </c>
      <c r="BU190" s="635">
        <v>62.82834856347624</v>
      </c>
      <c r="BV190" s="635">
        <v>63.613934161465494</v>
      </c>
      <c r="BW190" s="634">
        <v>42.985398943330566</v>
      </c>
      <c r="BX190" s="634">
        <v>43.993917198030587</v>
      </c>
      <c r="BY190" s="634">
        <v>45.026097186599912</v>
      </c>
      <c r="BZ190" s="635">
        <v>45.744298044532016</v>
      </c>
      <c r="CA190" s="635">
        <v>46.46249890246412</v>
      </c>
      <c r="CB190" s="635">
        <v>47.180699760396209</v>
      </c>
      <c r="CC190" s="635">
        <v>47.898900618328312</v>
      </c>
      <c r="CD190" s="635">
        <v>48.748126027361003</v>
      </c>
      <c r="CE190" s="635">
        <v>49.597351436393701</v>
      </c>
      <c r="CF190" s="635">
        <v>51.951648060101441</v>
      </c>
      <c r="CG190" s="635">
        <v>54.756631342370895</v>
      </c>
      <c r="CH190" s="635">
        <v>55.988244277046647</v>
      </c>
      <c r="CI190" s="635">
        <v>56.664592011209763</v>
      </c>
      <c r="CJ190" s="635">
        <v>57.365013905782654</v>
      </c>
      <c r="CK190" s="635">
        <v>58.082287712642405</v>
      </c>
      <c r="CL190" s="634">
        <v>16.37539007364974</v>
      </c>
      <c r="CM190" s="634">
        <v>16.759587504011652</v>
      </c>
      <c r="CN190" s="634">
        <v>17.152798928228538</v>
      </c>
      <c r="CO190" s="635">
        <v>17.426399255059817</v>
      </c>
      <c r="CP190" s="635">
        <v>17.699999581891092</v>
      </c>
      <c r="CQ190" s="635">
        <v>17.973599908722367</v>
      </c>
      <c r="CR190" s="635">
        <v>18.247200235553642</v>
      </c>
      <c r="CS190" s="635">
        <v>18.570714677089907</v>
      </c>
      <c r="CT190" s="635">
        <v>18.894229118626175</v>
      </c>
      <c r="CU190" s="635">
        <v>19.791104022895787</v>
      </c>
      <c r="CV190" s="635">
        <v>20.859669082807962</v>
      </c>
      <c r="CW190" s="635">
        <v>21.328854962684435</v>
      </c>
      <c r="CX190" s="635">
        <v>21.586511242365624</v>
      </c>
      <c r="CY190" s="635">
        <v>21.853338630774346</v>
      </c>
      <c r="CZ190" s="635">
        <v>22.126585795292346</v>
      </c>
      <c r="DA190" s="636">
        <v>0</v>
      </c>
      <c r="DB190" s="636">
        <v>0</v>
      </c>
      <c r="DC190" s="636">
        <v>0</v>
      </c>
      <c r="DD190" s="637">
        <v>0</v>
      </c>
      <c r="DE190" s="637">
        <v>0</v>
      </c>
      <c r="DF190" s="637">
        <v>0</v>
      </c>
      <c r="DG190" s="637">
        <v>0</v>
      </c>
      <c r="DH190" s="637">
        <v>0</v>
      </c>
      <c r="DI190" s="637">
        <v>0</v>
      </c>
      <c r="DJ190" s="637">
        <v>0</v>
      </c>
      <c r="DK190" s="637">
        <v>0</v>
      </c>
      <c r="DL190" s="637">
        <v>0</v>
      </c>
      <c r="DM190" s="637">
        <v>0</v>
      </c>
      <c r="DN190" s="637">
        <v>0</v>
      </c>
      <c r="DO190" s="637">
        <v>0</v>
      </c>
      <c r="DP190" s="636">
        <v>0</v>
      </c>
      <c r="DQ190" s="636">
        <v>0</v>
      </c>
      <c r="DR190" s="636">
        <v>0</v>
      </c>
      <c r="DS190" s="637">
        <v>0</v>
      </c>
      <c r="DT190" s="637">
        <v>0</v>
      </c>
      <c r="DU190" s="637">
        <v>0</v>
      </c>
      <c r="DV190" s="637">
        <v>0</v>
      </c>
      <c r="DW190" s="637">
        <v>0</v>
      </c>
      <c r="DX190" s="637">
        <v>0</v>
      </c>
      <c r="DY190" s="637">
        <v>0</v>
      </c>
      <c r="DZ190" s="637">
        <v>0</v>
      </c>
      <c r="EA190" s="637">
        <v>0</v>
      </c>
      <c r="EB190" s="637">
        <v>0</v>
      </c>
      <c r="EC190" s="637">
        <v>0</v>
      </c>
      <c r="ED190" s="637">
        <v>0</v>
      </c>
    </row>
    <row r="191" spans="1:134" ht="15" x14ac:dyDescent="0.25">
      <c r="A191" s="555">
        <v>106</v>
      </c>
      <c r="B191" s="555">
        <v>93</v>
      </c>
      <c r="C191" s="555" t="s">
        <v>1174</v>
      </c>
      <c r="D191" s="812">
        <v>99709</v>
      </c>
      <c r="E191" s="812">
        <v>99709</v>
      </c>
      <c r="F191" s="630" t="s">
        <v>311</v>
      </c>
      <c r="G191" s="45">
        <v>1331</v>
      </c>
      <c r="H191" s="45">
        <v>702</v>
      </c>
      <c r="I191" s="45">
        <v>631</v>
      </c>
      <c r="J191" s="45">
        <v>71</v>
      </c>
      <c r="K191" s="45">
        <v>12</v>
      </c>
      <c r="L191" s="45">
        <v>124</v>
      </c>
      <c r="M191" s="45">
        <v>136</v>
      </c>
      <c r="N191" s="45">
        <v>47</v>
      </c>
      <c r="O191" s="45">
        <v>0</v>
      </c>
      <c r="P191" s="45">
        <v>0</v>
      </c>
      <c r="Q191" s="45">
        <v>183</v>
      </c>
      <c r="R191" s="45">
        <v>47279.75</v>
      </c>
      <c r="S191" s="45">
        <v>2468.7177419354839</v>
      </c>
      <c r="T191" s="638">
        <v>1244.2706552706552</v>
      </c>
      <c r="U191" s="45">
        <v>16585.340425531915</v>
      </c>
      <c r="V191" s="45">
        <v>0</v>
      </c>
      <c r="W191" s="45">
        <v>0</v>
      </c>
      <c r="X191" s="638">
        <v>2206.9279038718291</v>
      </c>
      <c r="Y191" s="45">
        <v>61.941176470588232</v>
      </c>
      <c r="Z191" s="45">
        <v>640.05882352941171</v>
      </c>
      <c r="AA191" s="45">
        <v>0</v>
      </c>
      <c r="AB191" s="508">
        <v>47</v>
      </c>
      <c r="AC191" s="508">
        <v>0</v>
      </c>
      <c r="AD191" s="631">
        <v>749</v>
      </c>
      <c r="AE191" s="632">
        <v>55.67647058823529</v>
      </c>
      <c r="AF191" s="632">
        <v>575.32352941176464</v>
      </c>
      <c r="AG191" s="633">
        <v>630.99999999999989</v>
      </c>
      <c r="AH191" s="632">
        <v>0</v>
      </c>
      <c r="AI191" s="632">
        <v>58.97781117312644</v>
      </c>
      <c r="AJ191" s="632">
        <v>609.43738212230653</v>
      </c>
      <c r="AK191" s="632">
        <v>668.41519329543303</v>
      </c>
      <c r="AL191" s="632">
        <v>0</v>
      </c>
      <c r="AM191" s="632">
        <v>53.112826838349086</v>
      </c>
      <c r="AN191" s="632">
        <v>548.8325439962739</v>
      </c>
      <c r="AO191" s="632">
        <v>601.94537083462296</v>
      </c>
      <c r="AP191" s="632">
        <v>0</v>
      </c>
      <c r="AQ191" s="632">
        <v>45.104289709558323</v>
      </c>
      <c r="AR191" s="632">
        <v>0</v>
      </c>
      <c r="AS191" s="632">
        <v>636.43713764696736</v>
      </c>
      <c r="AT191" s="632">
        <v>652.23021425006812</v>
      </c>
      <c r="AU191" s="632">
        <v>668.41519329543303</v>
      </c>
      <c r="AV191" s="632">
        <v>685.00179977383561</v>
      </c>
      <c r="AW191" s="632">
        <v>702</v>
      </c>
      <c r="AX191" s="632">
        <v>574.22857285139742</v>
      </c>
      <c r="AY191" s="632">
        <v>587.92366105547308</v>
      </c>
      <c r="AZ191" s="632">
        <v>601.94537083462296</v>
      </c>
      <c r="BA191" s="632">
        <v>616.30149196367108</v>
      </c>
      <c r="BB191" s="632">
        <v>630.99999999999989</v>
      </c>
      <c r="BC191" s="632">
        <v>43.285041493697207</v>
      </c>
      <c r="BD191" s="632">
        <v>44.185303570553543</v>
      </c>
      <c r="BE191" s="632">
        <v>45.104289709558323</v>
      </c>
      <c r="BF191" s="632">
        <v>46.042389342314124</v>
      </c>
      <c r="BG191" s="632">
        <v>47</v>
      </c>
      <c r="BH191" s="634">
        <v>715.89236146209851</v>
      </c>
      <c r="BI191" s="634">
        <v>730.05964843273489</v>
      </c>
      <c r="BJ191" s="634">
        <v>744.50730160213686</v>
      </c>
      <c r="BK191" s="635">
        <v>747.05257918628581</v>
      </c>
      <c r="BL191" s="635">
        <v>749.59785677043465</v>
      </c>
      <c r="BM191" s="635">
        <v>752.14313435458348</v>
      </c>
      <c r="BN191" s="635">
        <v>754.68841193873243</v>
      </c>
      <c r="BO191" s="635">
        <v>757.69803574191792</v>
      </c>
      <c r="BP191" s="635">
        <v>760.70765954510318</v>
      </c>
      <c r="BQ191" s="635">
        <v>769.05120070991632</v>
      </c>
      <c r="BR191" s="635">
        <v>778.99195891623401</v>
      </c>
      <c r="BS191" s="635">
        <v>783.35675013077503</v>
      </c>
      <c r="BT191" s="635">
        <v>785.75370177437503</v>
      </c>
      <c r="BU191" s="635">
        <v>788.23597136235151</v>
      </c>
      <c r="BV191" s="635">
        <v>790.7779635113917</v>
      </c>
      <c r="BW191" s="634">
        <v>643.48729356493459</v>
      </c>
      <c r="BX191" s="634">
        <v>656.22170678213047</v>
      </c>
      <c r="BY191" s="634">
        <v>669.20813007257584</v>
      </c>
      <c r="BZ191" s="635">
        <v>671.49597929707443</v>
      </c>
      <c r="CA191" s="635">
        <v>673.7838285215729</v>
      </c>
      <c r="CB191" s="635">
        <v>676.07167774607126</v>
      </c>
      <c r="CC191" s="635">
        <v>678.35952697056985</v>
      </c>
      <c r="CD191" s="635">
        <v>681.06475862272089</v>
      </c>
      <c r="CE191" s="635">
        <v>683.7699902748717</v>
      </c>
      <c r="CF191" s="635">
        <v>691.26966901418382</v>
      </c>
      <c r="CG191" s="635">
        <v>700.20502290048933</v>
      </c>
      <c r="CH191" s="635">
        <v>704.12836087253413</v>
      </c>
      <c r="CI191" s="635">
        <v>706.28288578294951</v>
      </c>
      <c r="CJ191" s="635">
        <v>708.51409961487707</v>
      </c>
      <c r="CK191" s="635">
        <v>710.7989956918633</v>
      </c>
      <c r="CL191" s="634">
        <v>47.93011536854506</v>
      </c>
      <c r="CM191" s="634">
        <v>48.878637430681678</v>
      </c>
      <c r="CN191" s="634">
        <v>49.845930449145911</v>
      </c>
      <c r="CO191" s="635">
        <v>50.016340771731386</v>
      </c>
      <c r="CP191" s="635">
        <v>50.186751094316847</v>
      </c>
      <c r="CQ191" s="635">
        <v>50.357161416902308</v>
      </c>
      <c r="CR191" s="635">
        <v>50.527571739487776</v>
      </c>
      <c r="CS191" s="635">
        <v>50.729070769045777</v>
      </c>
      <c r="CT191" s="635">
        <v>50.930569798603763</v>
      </c>
      <c r="CU191" s="635">
        <v>51.489182953512909</v>
      </c>
      <c r="CV191" s="635">
        <v>52.154732292112527</v>
      </c>
      <c r="CW191" s="635">
        <v>52.446961903342483</v>
      </c>
      <c r="CX191" s="635">
        <v>52.607441571788641</v>
      </c>
      <c r="CY191" s="635">
        <v>52.773633410299887</v>
      </c>
      <c r="CZ191" s="635">
        <v>52.943823767856706</v>
      </c>
      <c r="DA191" s="636">
        <v>0</v>
      </c>
      <c r="DB191" s="636">
        <v>0</v>
      </c>
      <c r="DC191" s="636">
        <v>0</v>
      </c>
      <c r="DD191" s="637">
        <v>0</v>
      </c>
      <c r="DE191" s="637">
        <v>0</v>
      </c>
      <c r="DF191" s="637">
        <v>0</v>
      </c>
      <c r="DG191" s="637">
        <v>0</v>
      </c>
      <c r="DH191" s="637">
        <v>0</v>
      </c>
      <c r="DI191" s="637">
        <v>0</v>
      </c>
      <c r="DJ191" s="637">
        <v>0</v>
      </c>
      <c r="DK191" s="637">
        <v>0</v>
      </c>
      <c r="DL191" s="637">
        <v>0</v>
      </c>
      <c r="DM191" s="637">
        <v>0</v>
      </c>
      <c r="DN191" s="637">
        <v>0</v>
      </c>
      <c r="DO191" s="637">
        <v>0</v>
      </c>
      <c r="DP191" s="636">
        <v>0</v>
      </c>
      <c r="DQ191" s="636">
        <v>0</v>
      </c>
      <c r="DR191" s="636">
        <v>0</v>
      </c>
      <c r="DS191" s="637">
        <v>0</v>
      </c>
      <c r="DT191" s="637">
        <v>0</v>
      </c>
      <c r="DU191" s="637">
        <v>0</v>
      </c>
      <c r="DV191" s="637">
        <v>0</v>
      </c>
      <c r="DW191" s="637">
        <v>0</v>
      </c>
      <c r="DX191" s="637">
        <v>0</v>
      </c>
      <c r="DY191" s="637">
        <v>0</v>
      </c>
      <c r="DZ191" s="637">
        <v>0</v>
      </c>
      <c r="EA191" s="637">
        <v>0</v>
      </c>
      <c r="EB191" s="637">
        <v>0</v>
      </c>
      <c r="EC191" s="637">
        <v>0</v>
      </c>
      <c r="ED191" s="637">
        <v>0</v>
      </c>
    </row>
    <row r="192" spans="1:134" ht="15" x14ac:dyDescent="0.25">
      <c r="A192" s="555">
        <v>107</v>
      </c>
      <c r="B192" s="555">
        <v>93</v>
      </c>
      <c r="C192" s="555" t="s">
        <v>1175</v>
      </c>
      <c r="D192" s="812">
        <v>99709</v>
      </c>
      <c r="E192" s="812">
        <v>99709</v>
      </c>
      <c r="F192" s="630" t="s">
        <v>311</v>
      </c>
      <c r="G192" s="45">
        <v>1588</v>
      </c>
      <c r="H192" s="45">
        <v>792</v>
      </c>
      <c r="I192" s="45">
        <v>718</v>
      </c>
      <c r="J192" s="45">
        <v>74</v>
      </c>
      <c r="K192" s="45">
        <v>7</v>
      </c>
      <c r="L192" s="45">
        <v>238</v>
      </c>
      <c r="M192" s="45">
        <v>245</v>
      </c>
      <c r="N192" s="45">
        <v>51</v>
      </c>
      <c r="O192" s="45">
        <v>0</v>
      </c>
      <c r="P192" s="45">
        <v>0</v>
      </c>
      <c r="Q192" s="45">
        <v>296</v>
      </c>
      <c r="R192" s="45">
        <v>4707.5714285714284</v>
      </c>
      <c r="S192" s="45">
        <v>2186.3025210084033</v>
      </c>
      <c r="T192" s="45">
        <v>2258.338775510204</v>
      </c>
      <c r="U192" s="45">
        <v>14416.333333333334</v>
      </c>
      <c r="V192" s="45">
        <v>0</v>
      </c>
      <c r="W192" s="45">
        <v>0</v>
      </c>
      <c r="X192" s="45">
        <v>4353.1283783783783</v>
      </c>
      <c r="Y192" s="45">
        <v>22.62857142857143</v>
      </c>
      <c r="Z192" s="45">
        <v>769.37142857142862</v>
      </c>
      <c r="AA192" s="45">
        <v>0</v>
      </c>
      <c r="AB192" s="508">
        <v>51</v>
      </c>
      <c r="AC192" s="508">
        <v>0</v>
      </c>
      <c r="AD192" s="631">
        <v>843</v>
      </c>
      <c r="AE192" s="632">
        <v>20.514285714285716</v>
      </c>
      <c r="AF192" s="632">
        <v>697.48571428571427</v>
      </c>
      <c r="AG192" s="633">
        <v>718</v>
      </c>
      <c r="AH192" s="632">
        <v>0</v>
      </c>
      <c r="AI192" s="632">
        <v>21.54598425274656</v>
      </c>
      <c r="AJ192" s="632">
        <v>732.56346459338306</v>
      </c>
      <c r="AK192" s="632">
        <v>754.10944884612957</v>
      </c>
      <c r="AL192" s="632">
        <v>0</v>
      </c>
      <c r="AM192" s="632">
        <v>19.569697815678488</v>
      </c>
      <c r="AN192" s="632">
        <v>665.36972573306844</v>
      </c>
      <c r="AO192" s="632">
        <v>684.93942354874696</v>
      </c>
      <c r="AP192" s="632">
        <v>0</v>
      </c>
      <c r="AQ192" s="632">
        <v>48.942952663563283</v>
      </c>
      <c r="AR192" s="632">
        <v>0</v>
      </c>
      <c r="AS192" s="632">
        <v>718.03164247350162</v>
      </c>
      <c r="AT192" s="632">
        <v>735.84947248725632</v>
      </c>
      <c r="AU192" s="632">
        <v>754.10944884612957</v>
      </c>
      <c r="AV192" s="632">
        <v>772.82254333458377</v>
      </c>
      <c r="AW192" s="632">
        <v>792</v>
      </c>
      <c r="AX192" s="632">
        <v>653.40113360903877</v>
      </c>
      <c r="AY192" s="632">
        <v>668.98445109006298</v>
      </c>
      <c r="AZ192" s="632">
        <v>684.93942354874696</v>
      </c>
      <c r="BA192" s="632">
        <v>701.27491478592071</v>
      </c>
      <c r="BB192" s="632">
        <v>718</v>
      </c>
      <c r="BC192" s="632">
        <v>46.968874812309735</v>
      </c>
      <c r="BD192" s="632">
        <v>47.945754938260229</v>
      </c>
      <c r="BE192" s="632">
        <v>48.942952663563283</v>
      </c>
      <c r="BF192" s="632">
        <v>49.960890562936605</v>
      </c>
      <c r="BG192" s="632">
        <v>51</v>
      </c>
      <c r="BH192" s="634">
        <v>807.67343344441883</v>
      </c>
      <c r="BI192" s="634">
        <v>823.65703925744447</v>
      </c>
      <c r="BJ192" s="634">
        <v>839.95695565369283</v>
      </c>
      <c r="BK192" s="635">
        <v>842.47676918810646</v>
      </c>
      <c r="BL192" s="635">
        <v>844.9965827225202</v>
      </c>
      <c r="BM192" s="635">
        <v>847.51639625693372</v>
      </c>
      <c r="BN192" s="635">
        <v>850.03620979134735</v>
      </c>
      <c r="BO192" s="635">
        <v>853.01572402586089</v>
      </c>
      <c r="BP192" s="635">
        <v>855.99523826037444</v>
      </c>
      <c r="BQ192" s="635">
        <v>864.25530705717892</v>
      </c>
      <c r="BR192" s="635">
        <v>874.09661365045883</v>
      </c>
      <c r="BS192" s="635">
        <v>878.41773761972081</v>
      </c>
      <c r="BT192" s="635">
        <v>880.79070912997668</v>
      </c>
      <c r="BU192" s="635">
        <v>883.24814502726326</v>
      </c>
      <c r="BV192" s="635">
        <v>885.76470599547167</v>
      </c>
      <c r="BW192" s="634">
        <v>732.20899648117768</v>
      </c>
      <c r="BX192" s="634">
        <v>746.69918457934989</v>
      </c>
      <c r="BY192" s="634">
        <v>761.47612898908005</v>
      </c>
      <c r="BZ192" s="635">
        <v>763.76050540032884</v>
      </c>
      <c r="CA192" s="635">
        <v>766.04488181157762</v>
      </c>
      <c r="CB192" s="635">
        <v>768.32925822282618</v>
      </c>
      <c r="CC192" s="635">
        <v>770.61363463407497</v>
      </c>
      <c r="CD192" s="635">
        <v>773.31475991233344</v>
      </c>
      <c r="CE192" s="635">
        <v>776.01588519059192</v>
      </c>
      <c r="CF192" s="635">
        <v>783.50417988264439</v>
      </c>
      <c r="CG192" s="635">
        <v>792.42597045584512</v>
      </c>
      <c r="CH192" s="635">
        <v>796.34335304414083</v>
      </c>
      <c r="CI192" s="635">
        <v>798.49460751934748</v>
      </c>
      <c r="CJ192" s="635">
        <v>800.72243450703911</v>
      </c>
      <c r="CK192" s="635">
        <v>803.00386225347052</v>
      </c>
      <c r="CL192" s="634">
        <v>52.009274123314846</v>
      </c>
      <c r="CM192" s="634">
        <v>53.038521467335443</v>
      </c>
      <c r="CN192" s="634">
        <v>54.088137295881737</v>
      </c>
      <c r="CO192" s="635">
        <v>54.250398015900799</v>
      </c>
      <c r="CP192" s="635">
        <v>54.412658735919862</v>
      </c>
      <c r="CQ192" s="635">
        <v>54.574919455938911</v>
      </c>
      <c r="CR192" s="635">
        <v>54.737180175957974</v>
      </c>
      <c r="CS192" s="635">
        <v>54.929042834998619</v>
      </c>
      <c r="CT192" s="635">
        <v>55.120905494039263</v>
      </c>
      <c r="CU192" s="635">
        <v>55.652803863530458</v>
      </c>
      <c r="CV192" s="635">
        <v>56.2865243638553</v>
      </c>
      <c r="CW192" s="635">
        <v>56.56477855884566</v>
      </c>
      <c r="CX192" s="635">
        <v>56.717583542460623</v>
      </c>
      <c r="CY192" s="635">
        <v>56.875827520694983</v>
      </c>
      <c r="CZ192" s="635">
        <v>57.037878795162953</v>
      </c>
      <c r="DA192" s="636">
        <v>0</v>
      </c>
      <c r="DB192" s="636">
        <v>0</v>
      </c>
      <c r="DC192" s="636">
        <v>0</v>
      </c>
      <c r="DD192" s="637">
        <v>0</v>
      </c>
      <c r="DE192" s="637">
        <v>0</v>
      </c>
      <c r="DF192" s="637">
        <v>0</v>
      </c>
      <c r="DG192" s="637">
        <v>0</v>
      </c>
      <c r="DH192" s="637">
        <v>0</v>
      </c>
      <c r="DI192" s="637">
        <v>0</v>
      </c>
      <c r="DJ192" s="637">
        <v>0</v>
      </c>
      <c r="DK192" s="637">
        <v>0</v>
      </c>
      <c r="DL192" s="637">
        <v>0</v>
      </c>
      <c r="DM192" s="637">
        <v>0</v>
      </c>
      <c r="DN192" s="637">
        <v>0</v>
      </c>
      <c r="DO192" s="637">
        <v>0</v>
      </c>
      <c r="DP192" s="636">
        <v>0</v>
      </c>
      <c r="DQ192" s="636">
        <v>0</v>
      </c>
      <c r="DR192" s="636">
        <v>0</v>
      </c>
      <c r="DS192" s="637">
        <v>0</v>
      </c>
      <c r="DT192" s="637">
        <v>0</v>
      </c>
      <c r="DU192" s="637">
        <v>0</v>
      </c>
      <c r="DV192" s="637">
        <v>0</v>
      </c>
      <c r="DW192" s="637">
        <v>0</v>
      </c>
      <c r="DX192" s="637">
        <v>0</v>
      </c>
      <c r="DY192" s="637">
        <v>0</v>
      </c>
      <c r="DZ192" s="637">
        <v>0</v>
      </c>
      <c r="EA192" s="637">
        <v>0</v>
      </c>
      <c r="EB192" s="637">
        <v>0</v>
      </c>
      <c r="EC192" s="637">
        <v>0</v>
      </c>
      <c r="ED192" s="637">
        <v>0</v>
      </c>
    </row>
    <row r="193" spans="1:134" ht="15" x14ac:dyDescent="0.25">
      <c r="A193" s="555">
        <v>108</v>
      </c>
      <c r="B193" s="555">
        <v>93</v>
      </c>
      <c r="C193" s="555" t="s">
        <v>1176</v>
      </c>
      <c r="D193" s="812">
        <v>99701</v>
      </c>
      <c r="E193" s="812">
        <v>99701</v>
      </c>
      <c r="F193" s="630" t="s">
        <v>311</v>
      </c>
      <c r="G193" s="45">
        <v>812</v>
      </c>
      <c r="H193" s="45">
        <v>218</v>
      </c>
      <c r="I193" s="45">
        <v>198</v>
      </c>
      <c r="J193" s="45">
        <v>20</v>
      </c>
      <c r="K193" s="45">
        <v>6</v>
      </c>
      <c r="L193" s="45">
        <v>145</v>
      </c>
      <c r="M193" s="45">
        <v>151</v>
      </c>
      <c r="N193" s="45">
        <v>16</v>
      </c>
      <c r="O193" s="45">
        <v>0</v>
      </c>
      <c r="P193" s="45">
        <v>0</v>
      </c>
      <c r="Q193" s="45">
        <v>167</v>
      </c>
      <c r="R193" s="45">
        <v>6159.333333333333</v>
      </c>
      <c r="S193" s="45">
        <v>2271.7931034482758</v>
      </c>
      <c r="T193" s="45">
        <v>2426.2649006622519</v>
      </c>
      <c r="U193" s="45">
        <v>20159.5</v>
      </c>
      <c r="V193" s="45">
        <v>0</v>
      </c>
      <c r="W193" s="45">
        <v>0</v>
      </c>
      <c r="X193" s="45">
        <v>4125.2574850299397</v>
      </c>
      <c r="Y193" s="45">
        <v>8.6622516556291398</v>
      </c>
      <c r="Z193" s="45">
        <v>209.33774834437085</v>
      </c>
      <c r="AA193" s="45">
        <v>0</v>
      </c>
      <c r="AB193" s="508">
        <v>16</v>
      </c>
      <c r="AC193" s="508">
        <v>0</v>
      </c>
      <c r="AD193" s="631">
        <v>234</v>
      </c>
      <c r="AE193" s="632">
        <v>7.8675496688741724</v>
      </c>
      <c r="AF193" s="632">
        <v>190.13245033112582</v>
      </c>
      <c r="AG193" s="633">
        <v>198</v>
      </c>
      <c r="AH193" s="632">
        <v>0</v>
      </c>
      <c r="AI193" s="632">
        <v>8.5661008039231792</v>
      </c>
      <c r="AJ193" s="632">
        <v>207.01410276147678</v>
      </c>
      <c r="AK193" s="632">
        <v>215.58020356539996</v>
      </c>
      <c r="AL193" s="632">
        <v>0</v>
      </c>
      <c r="AM193" s="632">
        <v>7.7945486913737199</v>
      </c>
      <c r="AN193" s="632">
        <v>188.36826004153156</v>
      </c>
      <c r="AO193" s="632">
        <v>196.16280873290526</v>
      </c>
      <c r="AP193" s="632">
        <v>0</v>
      </c>
      <c r="AQ193" s="632">
        <v>15.917360188525389</v>
      </c>
      <c r="AR193" s="632">
        <v>0</v>
      </c>
      <c r="AS193" s="632">
        <v>213.18726683164812</v>
      </c>
      <c r="AT193" s="632">
        <v>214.38039644780474</v>
      </c>
      <c r="AU193" s="632">
        <v>215.58020356539998</v>
      </c>
      <c r="AV193" s="632">
        <v>216.78672555591865</v>
      </c>
      <c r="AW193" s="632">
        <v>218</v>
      </c>
      <c r="AX193" s="632">
        <v>194.34266429284028</v>
      </c>
      <c r="AY193" s="632">
        <v>195.2506155798738</v>
      </c>
      <c r="AZ193" s="632">
        <v>196.16280873290529</v>
      </c>
      <c r="BA193" s="632">
        <v>197.07926356954769</v>
      </c>
      <c r="BB193" s="632">
        <v>198</v>
      </c>
      <c r="BC193" s="632">
        <v>15.835147210703312</v>
      </c>
      <c r="BD193" s="632">
        <v>15.876200483462277</v>
      </c>
      <c r="BE193" s="632">
        <v>15.917360188525389</v>
      </c>
      <c r="BF193" s="632">
        <v>15.958626601822797</v>
      </c>
      <c r="BG193" s="632">
        <v>16</v>
      </c>
      <c r="BH193" s="634">
        <v>219.36917062203432</v>
      </c>
      <c r="BI193" s="634">
        <v>220.74694045595965</v>
      </c>
      <c r="BJ193" s="634">
        <v>222.13336350997918</v>
      </c>
      <c r="BK193" s="635">
        <v>222.67488494956913</v>
      </c>
      <c r="BL193" s="635">
        <v>223.21640638915912</v>
      </c>
      <c r="BM193" s="635">
        <v>223.75792782874913</v>
      </c>
      <c r="BN193" s="635">
        <v>224.29944926833906</v>
      </c>
      <c r="BO193" s="635">
        <v>224.93976285325994</v>
      </c>
      <c r="BP193" s="635">
        <v>225.58007643818084</v>
      </c>
      <c r="BQ193" s="635">
        <v>227.3552095124615</v>
      </c>
      <c r="BR193" s="635">
        <v>229.47015906767902</v>
      </c>
      <c r="BS193" s="635">
        <v>230.39879177820455</v>
      </c>
      <c r="BT193" s="635">
        <v>230.90875607944747</v>
      </c>
      <c r="BU193" s="635">
        <v>231.43687223035482</v>
      </c>
      <c r="BV193" s="635">
        <v>231.97769467602726</v>
      </c>
      <c r="BW193" s="634">
        <v>199.24355863836143</v>
      </c>
      <c r="BX193" s="634">
        <v>200.49492757009176</v>
      </c>
      <c r="BY193" s="634">
        <v>201.75415584851319</v>
      </c>
      <c r="BZ193" s="635">
        <v>202.24599642208571</v>
      </c>
      <c r="CA193" s="635">
        <v>202.73783699565828</v>
      </c>
      <c r="CB193" s="635">
        <v>203.22967756923086</v>
      </c>
      <c r="CC193" s="635">
        <v>203.72151814280338</v>
      </c>
      <c r="CD193" s="635">
        <v>204.30308736213516</v>
      </c>
      <c r="CE193" s="635">
        <v>204.884656581467</v>
      </c>
      <c r="CF193" s="635">
        <v>206.4969334104008</v>
      </c>
      <c r="CG193" s="635">
        <v>208.41785089633231</v>
      </c>
      <c r="CH193" s="635">
        <v>209.26128794534173</v>
      </c>
      <c r="CI193" s="635">
        <v>209.72446653087431</v>
      </c>
      <c r="CJ193" s="635">
        <v>210.20413165876263</v>
      </c>
      <c r="CK193" s="635">
        <v>210.69533736629998</v>
      </c>
      <c r="CL193" s="634">
        <v>16.100489586938298</v>
      </c>
      <c r="CM193" s="634">
        <v>16.201610308694285</v>
      </c>
      <c r="CN193" s="634">
        <v>16.303366129172783</v>
      </c>
      <c r="CO193" s="635">
        <v>16.343110821986723</v>
      </c>
      <c r="CP193" s="635">
        <v>16.382855514800671</v>
      </c>
      <c r="CQ193" s="635">
        <v>16.422600207614614</v>
      </c>
      <c r="CR193" s="635">
        <v>16.462344900428555</v>
      </c>
      <c r="CS193" s="635">
        <v>16.509340392899812</v>
      </c>
      <c r="CT193" s="635">
        <v>16.55633588537107</v>
      </c>
      <c r="CU193" s="635">
        <v>16.686620881648548</v>
      </c>
      <c r="CV193" s="635">
        <v>16.841846537077359</v>
      </c>
      <c r="CW193" s="635">
        <v>16.910003066290241</v>
      </c>
      <c r="CX193" s="635">
        <v>16.947431638858529</v>
      </c>
      <c r="CY193" s="635">
        <v>16.986192457273749</v>
      </c>
      <c r="CZ193" s="635">
        <v>17.025885847781819</v>
      </c>
      <c r="DA193" s="636">
        <v>0</v>
      </c>
      <c r="DB193" s="636">
        <v>0</v>
      </c>
      <c r="DC193" s="636">
        <v>0</v>
      </c>
      <c r="DD193" s="637">
        <v>0</v>
      </c>
      <c r="DE193" s="637">
        <v>0</v>
      </c>
      <c r="DF193" s="637">
        <v>0</v>
      </c>
      <c r="DG193" s="637">
        <v>0</v>
      </c>
      <c r="DH193" s="637">
        <v>0</v>
      </c>
      <c r="DI193" s="637">
        <v>0</v>
      </c>
      <c r="DJ193" s="637">
        <v>0</v>
      </c>
      <c r="DK193" s="637">
        <v>0</v>
      </c>
      <c r="DL193" s="637">
        <v>0</v>
      </c>
      <c r="DM193" s="637">
        <v>0</v>
      </c>
      <c r="DN193" s="637">
        <v>0</v>
      </c>
      <c r="DO193" s="637">
        <v>0</v>
      </c>
      <c r="DP193" s="636">
        <v>0</v>
      </c>
      <c r="DQ193" s="636">
        <v>0</v>
      </c>
      <c r="DR193" s="636">
        <v>0</v>
      </c>
      <c r="DS193" s="637">
        <v>0</v>
      </c>
      <c r="DT193" s="637">
        <v>0</v>
      </c>
      <c r="DU193" s="637">
        <v>0</v>
      </c>
      <c r="DV193" s="637">
        <v>0</v>
      </c>
      <c r="DW193" s="637">
        <v>0</v>
      </c>
      <c r="DX193" s="637">
        <v>0</v>
      </c>
      <c r="DY193" s="637">
        <v>0</v>
      </c>
      <c r="DZ193" s="637">
        <v>0</v>
      </c>
      <c r="EA193" s="637">
        <v>0</v>
      </c>
      <c r="EB193" s="637">
        <v>0</v>
      </c>
      <c r="EC193" s="637">
        <v>0</v>
      </c>
      <c r="ED193" s="637">
        <v>0</v>
      </c>
    </row>
    <row r="194" spans="1:134" ht="15" x14ac:dyDescent="0.25">
      <c r="A194" s="555">
        <v>109</v>
      </c>
      <c r="B194" s="555">
        <v>93</v>
      </c>
      <c r="C194" s="555" t="s">
        <v>1177</v>
      </c>
      <c r="D194" s="812">
        <v>99701</v>
      </c>
      <c r="E194" s="812">
        <v>99701</v>
      </c>
      <c r="F194" s="630" t="s">
        <v>311</v>
      </c>
      <c r="G194" s="45">
        <v>2761</v>
      </c>
      <c r="H194" s="45">
        <v>1287</v>
      </c>
      <c r="I194" s="45">
        <v>1159</v>
      </c>
      <c r="J194" s="45">
        <v>128</v>
      </c>
      <c r="K194" s="45">
        <v>83</v>
      </c>
      <c r="L194" s="45">
        <v>402</v>
      </c>
      <c r="M194" s="45">
        <v>485</v>
      </c>
      <c r="N194" s="45">
        <v>57</v>
      </c>
      <c r="O194" s="45">
        <v>0</v>
      </c>
      <c r="P194" s="45">
        <v>0</v>
      </c>
      <c r="Q194" s="45">
        <v>542</v>
      </c>
      <c r="R194" s="45">
        <v>4661.674698795181</v>
      </c>
      <c r="S194" s="45">
        <v>1732.8034825870648</v>
      </c>
      <c r="T194" s="45">
        <v>2234.0329896907215</v>
      </c>
      <c r="U194" s="45">
        <v>6918</v>
      </c>
      <c r="V194" s="45">
        <v>0</v>
      </c>
      <c r="W194" s="45">
        <v>0</v>
      </c>
      <c r="X194" s="45">
        <v>2726.6273062730629</v>
      </c>
      <c r="Y194" s="45">
        <v>220.24948453608246</v>
      </c>
      <c r="Z194" s="45">
        <v>1066.7505154639175</v>
      </c>
      <c r="AA194" s="45">
        <v>0</v>
      </c>
      <c r="AB194" s="508">
        <v>57</v>
      </c>
      <c r="AC194" s="508">
        <v>0</v>
      </c>
      <c r="AD194" s="631">
        <v>1344</v>
      </c>
      <c r="AE194" s="632">
        <v>198.3443298969072</v>
      </c>
      <c r="AF194" s="632">
        <v>960.65567010309269</v>
      </c>
      <c r="AG194" s="633">
        <v>1159</v>
      </c>
      <c r="AH194" s="632">
        <v>0</v>
      </c>
      <c r="AI194" s="632">
        <v>217.80471885992233</v>
      </c>
      <c r="AJ194" s="632">
        <v>1054.9096021890216</v>
      </c>
      <c r="AK194" s="632">
        <v>1272.7143210489439</v>
      </c>
      <c r="AL194" s="632">
        <v>0</v>
      </c>
      <c r="AM194" s="632">
        <v>196.50394368092563</v>
      </c>
      <c r="AN194" s="632">
        <v>951.74199228592886</v>
      </c>
      <c r="AO194" s="632">
        <v>1148.2459359668544</v>
      </c>
      <c r="AP194" s="632">
        <v>0</v>
      </c>
      <c r="AQ194" s="632">
        <v>56.705595671621701</v>
      </c>
      <c r="AR194" s="632">
        <v>0</v>
      </c>
      <c r="AS194" s="632">
        <v>1258.5872129006016</v>
      </c>
      <c r="AT194" s="632">
        <v>1265.6310560932327</v>
      </c>
      <c r="AU194" s="632">
        <v>1272.7143210489439</v>
      </c>
      <c r="AV194" s="632">
        <v>1279.8372283966389</v>
      </c>
      <c r="AW194" s="632">
        <v>1287</v>
      </c>
      <c r="AX194" s="632">
        <v>1137.5916561383933</v>
      </c>
      <c r="AY194" s="632">
        <v>1142.9063810963321</v>
      </c>
      <c r="AZ194" s="632">
        <v>1148.2459359668546</v>
      </c>
      <c r="BA194" s="632">
        <v>1153.6104367530595</v>
      </c>
      <c r="BB194" s="632">
        <v>1159</v>
      </c>
      <c r="BC194" s="632">
        <v>56.412711938130549</v>
      </c>
      <c r="BD194" s="632">
        <v>56.55896422233436</v>
      </c>
      <c r="BE194" s="632">
        <v>56.705595671621701</v>
      </c>
      <c r="BF194" s="632">
        <v>56.852607268993715</v>
      </c>
      <c r="BG194" s="632">
        <v>57</v>
      </c>
      <c r="BH194" s="634">
        <v>1300.35802538853</v>
      </c>
      <c r="BI194" s="634">
        <v>1313.8546963421575</v>
      </c>
      <c r="BJ194" s="634">
        <v>1327.4914518903922</v>
      </c>
      <c r="BK194" s="635">
        <v>1337.7916834032687</v>
      </c>
      <c r="BL194" s="635">
        <v>1348.091914916145</v>
      </c>
      <c r="BM194" s="635">
        <v>1358.3921464290215</v>
      </c>
      <c r="BN194" s="635">
        <v>1368.692377941898</v>
      </c>
      <c r="BO194" s="635">
        <v>1380.8717261326528</v>
      </c>
      <c r="BP194" s="635">
        <v>1393.0510743234079</v>
      </c>
      <c r="BQ194" s="635">
        <v>1426.815723872832</v>
      </c>
      <c r="BR194" s="635">
        <v>1467.0439927171653</v>
      </c>
      <c r="BS194" s="635">
        <v>1484.7074335517243</v>
      </c>
      <c r="BT194" s="635">
        <v>1494.4074195210369</v>
      </c>
      <c r="BU194" s="635">
        <v>1504.452670220905</v>
      </c>
      <c r="BV194" s="635">
        <v>1514.739606232162</v>
      </c>
      <c r="BW194" s="634">
        <v>1171.0294882869514</v>
      </c>
      <c r="BX194" s="634">
        <v>1183.1838329918885</v>
      </c>
      <c r="BY194" s="634">
        <v>1195.4643300240596</v>
      </c>
      <c r="BZ194" s="635">
        <v>1204.7401406871704</v>
      </c>
      <c r="CA194" s="635">
        <v>1214.0159513502815</v>
      </c>
      <c r="CB194" s="635">
        <v>1223.2917620133924</v>
      </c>
      <c r="CC194" s="635">
        <v>1232.5675726765032</v>
      </c>
      <c r="CD194" s="635">
        <v>1243.5356104022878</v>
      </c>
      <c r="CE194" s="635">
        <v>1254.5036481280729</v>
      </c>
      <c r="CF194" s="635">
        <v>1284.910197333809</v>
      </c>
      <c r="CG194" s="635">
        <v>1321.1375194710138</v>
      </c>
      <c r="CH194" s="635">
        <v>1337.0442233771939</v>
      </c>
      <c r="CI194" s="635">
        <v>1345.7794865772196</v>
      </c>
      <c r="CJ194" s="635">
        <v>1354.8256758244204</v>
      </c>
      <c r="CK194" s="635">
        <v>1364.0895133046433</v>
      </c>
      <c r="CL194" s="634">
        <v>57.591614178046783</v>
      </c>
      <c r="CM194" s="634">
        <v>58.189368835666656</v>
      </c>
      <c r="CN194" s="634">
        <v>58.793327706101287</v>
      </c>
      <c r="CO194" s="635">
        <v>59.249515115762485</v>
      </c>
      <c r="CP194" s="635">
        <v>59.705702525423675</v>
      </c>
      <c r="CQ194" s="635">
        <v>60.161889935084872</v>
      </c>
      <c r="CR194" s="635">
        <v>60.618077344746062</v>
      </c>
      <c r="CS194" s="635">
        <v>61.157489036178092</v>
      </c>
      <c r="CT194" s="635">
        <v>61.696900727610135</v>
      </c>
      <c r="CU194" s="635">
        <v>63.192304786908643</v>
      </c>
      <c r="CV194" s="635">
        <v>64.9739763674269</v>
      </c>
      <c r="CW194" s="635">
        <v>65.756273280845591</v>
      </c>
      <c r="CX194" s="635">
        <v>66.185876389043585</v>
      </c>
      <c r="CY194" s="635">
        <v>66.630770942184597</v>
      </c>
      <c r="CZ194" s="635">
        <v>67.086369506785729</v>
      </c>
      <c r="DA194" s="636">
        <v>0</v>
      </c>
      <c r="DB194" s="636">
        <v>0</v>
      </c>
      <c r="DC194" s="636">
        <v>0</v>
      </c>
      <c r="DD194" s="637">
        <v>0</v>
      </c>
      <c r="DE194" s="637">
        <v>0</v>
      </c>
      <c r="DF194" s="637">
        <v>0</v>
      </c>
      <c r="DG194" s="637">
        <v>0</v>
      </c>
      <c r="DH194" s="637">
        <v>0</v>
      </c>
      <c r="DI194" s="637">
        <v>0</v>
      </c>
      <c r="DJ194" s="637">
        <v>0</v>
      </c>
      <c r="DK194" s="637">
        <v>0</v>
      </c>
      <c r="DL194" s="637">
        <v>0</v>
      </c>
      <c r="DM194" s="637">
        <v>0</v>
      </c>
      <c r="DN194" s="637">
        <v>0</v>
      </c>
      <c r="DO194" s="637">
        <v>0</v>
      </c>
      <c r="DP194" s="636">
        <v>0</v>
      </c>
      <c r="DQ194" s="636">
        <v>0</v>
      </c>
      <c r="DR194" s="636">
        <v>0</v>
      </c>
      <c r="DS194" s="637">
        <v>0</v>
      </c>
      <c r="DT194" s="637">
        <v>0</v>
      </c>
      <c r="DU194" s="637">
        <v>0</v>
      </c>
      <c r="DV194" s="637">
        <v>0</v>
      </c>
      <c r="DW194" s="637">
        <v>0</v>
      </c>
      <c r="DX194" s="637">
        <v>0</v>
      </c>
      <c r="DY194" s="637">
        <v>0</v>
      </c>
      <c r="DZ194" s="637">
        <v>0</v>
      </c>
      <c r="EA194" s="637">
        <v>0</v>
      </c>
      <c r="EB194" s="637">
        <v>0</v>
      </c>
      <c r="EC194" s="637">
        <v>0</v>
      </c>
      <c r="ED194" s="637">
        <v>0</v>
      </c>
    </row>
    <row r="195" spans="1:134" ht="15" x14ac:dyDescent="0.25">
      <c r="A195" s="555">
        <v>110</v>
      </c>
      <c r="B195" s="555">
        <v>93</v>
      </c>
      <c r="C195" s="555" t="s">
        <v>1178</v>
      </c>
      <c r="D195" s="812">
        <v>99703</v>
      </c>
      <c r="E195" s="812">
        <v>99703</v>
      </c>
      <c r="F195" s="630" t="s">
        <v>311</v>
      </c>
      <c r="G195" s="45">
        <v>2965</v>
      </c>
      <c r="H195" s="45">
        <v>968</v>
      </c>
      <c r="I195" s="45">
        <v>869</v>
      </c>
      <c r="J195" s="45">
        <v>99</v>
      </c>
      <c r="K195" s="45">
        <v>10</v>
      </c>
      <c r="L195" s="45">
        <v>84</v>
      </c>
      <c r="M195" s="45">
        <v>94</v>
      </c>
      <c r="N195" s="45">
        <v>19</v>
      </c>
      <c r="O195" s="45">
        <v>0</v>
      </c>
      <c r="P195" s="45">
        <v>0</v>
      </c>
      <c r="Q195" s="45">
        <v>113</v>
      </c>
      <c r="R195" s="45">
        <v>3289.3</v>
      </c>
      <c r="S195" s="45">
        <v>2072.6309523809523</v>
      </c>
      <c r="T195" s="45">
        <v>2202.0638297872342</v>
      </c>
      <c r="U195" s="45">
        <v>7256.8421052631575</v>
      </c>
      <c r="V195" s="45">
        <v>0</v>
      </c>
      <c r="W195" s="45">
        <v>0</v>
      </c>
      <c r="X195" s="45">
        <v>3051.9823008849557</v>
      </c>
      <c r="Y195" s="45">
        <v>102.97872340425532</v>
      </c>
      <c r="Z195" s="45">
        <v>865.02127659574467</v>
      </c>
      <c r="AA195" s="45">
        <v>0</v>
      </c>
      <c r="AB195" s="508">
        <v>19</v>
      </c>
      <c r="AC195" s="508">
        <v>0</v>
      </c>
      <c r="AD195" s="631">
        <v>987</v>
      </c>
      <c r="AE195" s="632">
        <v>92.446808510638292</v>
      </c>
      <c r="AF195" s="632">
        <v>776.55319148936167</v>
      </c>
      <c r="AG195" s="633">
        <v>869</v>
      </c>
      <c r="AH195" s="632">
        <v>0</v>
      </c>
      <c r="AI195" s="632">
        <v>100.99317528136152</v>
      </c>
      <c r="AJ195" s="632">
        <v>848.34267236343669</v>
      </c>
      <c r="AK195" s="632">
        <v>949.33584764479815</v>
      </c>
      <c r="AL195" s="632">
        <v>0</v>
      </c>
      <c r="AM195" s="632">
        <v>92.74361052829876</v>
      </c>
      <c r="AN195" s="632">
        <v>779.04632843770958</v>
      </c>
      <c r="AO195" s="632">
        <v>871.78993896600832</v>
      </c>
      <c r="AP195" s="632">
        <v>0</v>
      </c>
      <c r="AQ195" s="632">
        <v>18.630295999769469</v>
      </c>
      <c r="AR195" s="632">
        <v>0</v>
      </c>
      <c r="AS195" s="632">
        <v>931.03156159449111</v>
      </c>
      <c r="AT195" s="632">
        <v>940.13915816243207</v>
      </c>
      <c r="AU195" s="632">
        <v>949.33584764479815</v>
      </c>
      <c r="AV195" s="632">
        <v>958.62250157200288</v>
      </c>
      <c r="AW195" s="632">
        <v>968</v>
      </c>
      <c r="AX195" s="632">
        <v>874.58883507751057</v>
      </c>
      <c r="AY195" s="632">
        <v>873.18826558341664</v>
      </c>
      <c r="AZ195" s="632">
        <v>871.78993896600844</v>
      </c>
      <c r="BA195" s="632">
        <v>870.39385163353575</v>
      </c>
      <c r="BB195" s="632">
        <v>869</v>
      </c>
      <c r="BC195" s="632">
        <v>18.267785738896119</v>
      </c>
      <c r="BD195" s="632">
        <v>18.448150464911166</v>
      </c>
      <c r="BE195" s="632">
        <v>18.630295999769469</v>
      </c>
      <c r="BF195" s="632">
        <v>18.814239926067167</v>
      </c>
      <c r="BG195" s="632">
        <v>19</v>
      </c>
      <c r="BH195" s="634">
        <v>972.02220893955621</v>
      </c>
      <c r="BI195" s="634">
        <v>976.06113085922948</v>
      </c>
      <c r="BJ195" s="634">
        <v>980.11683520436929</v>
      </c>
      <c r="BK195" s="635">
        <v>988.180832274404</v>
      </c>
      <c r="BL195" s="635">
        <v>996.24482934443881</v>
      </c>
      <c r="BM195" s="635">
        <v>1004.3088264144737</v>
      </c>
      <c r="BN195" s="635">
        <v>1012.3728234845086</v>
      </c>
      <c r="BO195" s="635">
        <v>1021.907971117103</v>
      </c>
      <c r="BP195" s="635">
        <v>1031.4431187496978</v>
      </c>
      <c r="BQ195" s="635">
        <v>1057.8772852727441</v>
      </c>
      <c r="BR195" s="635">
        <v>1089.3717853417706</v>
      </c>
      <c r="BS195" s="635">
        <v>1103.2004002577123</v>
      </c>
      <c r="BT195" s="635">
        <v>1110.79446824911</v>
      </c>
      <c r="BU195" s="635">
        <v>1118.6588421818933</v>
      </c>
      <c r="BV195" s="635">
        <v>1126.7124302736474</v>
      </c>
      <c r="BW195" s="634">
        <v>872.61084666164697</v>
      </c>
      <c r="BX195" s="634">
        <v>876.23669702135373</v>
      </c>
      <c r="BY195" s="634">
        <v>879.87761342210433</v>
      </c>
      <c r="BZ195" s="635">
        <v>887.1168835190673</v>
      </c>
      <c r="CA195" s="635">
        <v>894.35615361603038</v>
      </c>
      <c r="CB195" s="635">
        <v>901.59542371299358</v>
      </c>
      <c r="CC195" s="635">
        <v>908.83469380995655</v>
      </c>
      <c r="CD195" s="635">
        <v>917.39465588921757</v>
      </c>
      <c r="CE195" s="635">
        <v>925.95461796847871</v>
      </c>
      <c r="CF195" s="635">
        <v>949.68529018803179</v>
      </c>
      <c r="CG195" s="635">
        <v>977.95876184090775</v>
      </c>
      <c r="CH195" s="635">
        <v>990.37308659499195</v>
      </c>
      <c r="CI195" s="635">
        <v>997.1904885418146</v>
      </c>
      <c r="CJ195" s="635">
        <v>1004.2505515041998</v>
      </c>
      <c r="CK195" s="635">
        <v>1011.480477177479</v>
      </c>
      <c r="CL195" s="634">
        <v>19.078948315962364</v>
      </c>
      <c r="CM195" s="634">
        <v>19.15822467595595</v>
      </c>
      <c r="CN195" s="634">
        <v>19.237830443060968</v>
      </c>
      <c r="CO195" s="635">
        <v>19.396111377286857</v>
      </c>
      <c r="CP195" s="635">
        <v>19.554392311512746</v>
      </c>
      <c r="CQ195" s="635">
        <v>19.712673245738639</v>
      </c>
      <c r="CR195" s="635">
        <v>19.870954179964528</v>
      </c>
      <c r="CS195" s="635">
        <v>20.058111003331568</v>
      </c>
      <c r="CT195" s="635">
        <v>20.245267826698615</v>
      </c>
      <c r="CU195" s="635">
        <v>20.764120268783202</v>
      </c>
      <c r="CV195" s="635">
        <v>21.382297439559547</v>
      </c>
      <c r="CW195" s="635">
        <v>21.653726864562536</v>
      </c>
      <c r="CX195" s="635">
        <v>21.802783984228398</v>
      </c>
      <c r="CY195" s="635">
        <v>21.957146695718983</v>
      </c>
      <c r="CZ195" s="635">
        <v>22.11522332148688</v>
      </c>
      <c r="DA195" s="636">
        <v>0</v>
      </c>
      <c r="DB195" s="636">
        <v>0</v>
      </c>
      <c r="DC195" s="636">
        <v>0</v>
      </c>
      <c r="DD195" s="637">
        <v>0</v>
      </c>
      <c r="DE195" s="637">
        <v>0</v>
      </c>
      <c r="DF195" s="637">
        <v>0</v>
      </c>
      <c r="DG195" s="637">
        <v>0</v>
      </c>
      <c r="DH195" s="637">
        <v>0</v>
      </c>
      <c r="DI195" s="637">
        <v>0</v>
      </c>
      <c r="DJ195" s="637">
        <v>0</v>
      </c>
      <c r="DK195" s="637">
        <v>0</v>
      </c>
      <c r="DL195" s="637">
        <v>0</v>
      </c>
      <c r="DM195" s="637">
        <v>0</v>
      </c>
      <c r="DN195" s="637">
        <v>0</v>
      </c>
      <c r="DO195" s="637">
        <v>0</v>
      </c>
      <c r="DP195" s="636">
        <v>0</v>
      </c>
      <c r="DQ195" s="636">
        <v>0</v>
      </c>
      <c r="DR195" s="636">
        <v>0</v>
      </c>
      <c r="DS195" s="637">
        <v>0</v>
      </c>
      <c r="DT195" s="637">
        <v>0</v>
      </c>
      <c r="DU195" s="637">
        <v>0</v>
      </c>
      <c r="DV195" s="637">
        <v>0</v>
      </c>
      <c r="DW195" s="637">
        <v>0</v>
      </c>
      <c r="DX195" s="637">
        <v>0</v>
      </c>
      <c r="DY195" s="637">
        <v>0</v>
      </c>
      <c r="DZ195" s="637">
        <v>0</v>
      </c>
      <c r="EA195" s="637">
        <v>0</v>
      </c>
      <c r="EB195" s="637">
        <v>0</v>
      </c>
      <c r="EC195" s="637">
        <v>0</v>
      </c>
      <c r="ED195" s="637">
        <v>0</v>
      </c>
    </row>
    <row r="196" spans="1:134" ht="15" x14ac:dyDescent="0.25">
      <c r="A196" s="555">
        <v>111</v>
      </c>
      <c r="B196" s="555">
        <v>93</v>
      </c>
      <c r="C196" s="555" t="s">
        <v>1179</v>
      </c>
      <c r="D196" s="812">
        <v>99703</v>
      </c>
      <c r="E196" s="812">
        <v>99703</v>
      </c>
      <c r="F196" s="630" t="s">
        <v>311</v>
      </c>
      <c r="G196" s="45">
        <v>1474</v>
      </c>
      <c r="H196" s="45">
        <v>447</v>
      </c>
      <c r="I196" s="45">
        <v>369</v>
      </c>
      <c r="J196" s="45">
        <v>78</v>
      </c>
      <c r="K196" s="45">
        <v>0</v>
      </c>
      <c r="L196" s="45">
        <v>0</v>
      </c>
      <c r="M196" s="45">
        <v>0</v>
      </c>
      <c r="N196" s="45">
        <v>0</v>
      </c>
      <c r="O196" s="45">
        <v>0</v>
      </c>
      <c r="P196" s="45">
        <v>0</v>
      </c>
      <c r="Q196" s="45">
        <v>0</v>
      </c>
      <c r="R196" s="45">
        <v>0</v>
      </c>
      <c r="S196" s="45">
        <v>834.49503068156923</v>
      </c>
      <c r="T196" s="45">
        <v>834.49503068156923</v>
      </c>
      <c r="U196" s="45">
        <v>1408.3846153846155</v>
      </c>
      <c r="V196" s="45">
        <v>0</v>
      </c>
      <c r="W196" s="45">
        <v>0</v>
      </c>
      <c r="X196" s="45">
        <v>1365.173957061457</v>
      </c>
      <c r="Y196" s="45">
        <v>10.241813929313929</v>
      </c>
      <c r="Z196" s="45">
        <v>436.17736486486484</v>
      </c>
      <c r="AA196" s="45">
        <v>0.58082120582120578</v>
      </c>
      <c r="AB196" s="508">
        <v>0</v>
      </c>
      <c r="AC196" s="508">
        <v>0</v>
      </c>
      <c r="AD196" s="631">
        <v>447</v>
      </c>
      <c r="AE196" s="632">
        <v>8.4546517671517663</v>
      </c>
      <c r="AF196" s="632">
        <v>360.06587837837833</v>
      </c>
      <c r="AG196" s="633">
        <v>368.52053014553007</v>
      </c>
      <c r="AH196" s="632">
        <v>0.47946985446985446</v>
      </c>
      <c r="AI196" s="632">
        <v>10.04433998760903</v>
      </c>
      <c r="AJ196" s="632">
        <v>427.76736404696373</v>
      </c>
      <c r="AK196" s="632">
        <v>437.81170403457276</v>
      </c>
      <c r="AL196" s="632">
        <v>0.56962230553548365</v>
      </c>
      <c r="AM196" s="632">
        <v>8.4817955673925134</v>
      </c>
      <c r="AN196" s="632">
        <v>361.2218758748316</v>
      </c>
      <c r="AO196" s="632">
        <v>369.70367144222411</v>
      </c>
      <c r="AP196" s="632">
        <v>0.48100920041923517</v>
      </c>
      <c r="AQ196" s="632">
        <v>0</v>
      </c>
      <c r="AR196" s="632">
        <v>0</v>
      </c>
      <c r="AS196" s="632">
        <v>429.37019127941591</v>
      </c>
      <c r="AT196" s="632">
        <v>433.57040386273087</v>
      </c>
      <c r="AU196" s="632">
        <v>437.81170403457276</v>
      </c>
      <c r="AV196" s="632">
        <v>442.09449372458147</v>
      </c>
      <c r="AW196" s="632">
        <v>446.41917879417878</v>
      </c>
      <c r="AX196" s="632">
        <v>370.89061123374654</v>
      </c>
      <c r="AY196" s="632">
        <v>370.29666576485226</v>
      </c>
      <c r="AZ196" s="632">
        <v>369.70367144222411</v>
      </c>
      <c r="BA196" s="632">
        <v>369.11162674269326</v>
      </c>
      <c r="BB196" s="632">
        <v>368.52053014553007</v>
      </c>
      <c r="BC196" s="632">
        <v>0</v>
      </c>
      <c r="BD196" s="632">
        <v>0</v>
      </c>
      <c r="BE196" s="632">
        <v>0</v>
      </c>
      <c r="BF196" s="632">
        <v>0</v>
      </c>
      <c r="BG196" s="632">
        <v>0</v>
      </c>
      <c r="BH196" s="634">
        <v>448.27412839307885</v>
      </c>
      <c r="BI196" s="634">
        <v>450.13678563129616</v>
      </c>
      <c r="BJ196" s="634">
        <v>452.00718253541737</v>
      </c>
      <c r="BK196" s="635">
        <v>457.14832415063194</v>
      </c>
      <c r="BL196" s="635">
        <v>462.28946576584639</v>
      </c>
      <c r="BM196" s="635">
        <v>467.43060738106084</v>
      </c>
      <c r="BN196" s="635">
        <v>472.5717489962754</v>
      </c>
      <c r="BO196" s="635">
        <v>478.6508117582531</v>
      </c>
      <c r="BP196" s="635">
        <v>484.72987452023085</v>
      </c>
      <c r="BQ196" s="635">
        <v>501.58278163252953</v>
      </c>
      <c r="BR196" s="635">
        <v>521.66186692348549</v>
      </c>
      <c r="BS196" s="635">
        <v>530.47819795729856</v>
      </c>
      <c r="BT196" s="635">
        <v>535.31973976842073</v>
      </c>
      <c r="BU196" s="635">
        <v>540.33361313076148</v>
      </c>
      <c r="BV196" s="635">
        <v>545.46811857895545</v>
      </c>
      <c r="BW196" s="634">
        <v>370.05179726408517</v>
      </c>
      <c r="BX196" s="634">
        <v>371.58942706476125</v>
      </c>
      <c r="BY196" s="634">
        <v>373.13344598561292</v>
      </c>
      <c r="BZ196" s="635">
        <v>377.37747564112561</v>
      </c>
      <c r="CA196" s="635">
        <v>381.62150529663819</v>
      </c>
      <c r="CB196" s="635">
        <v>385.86553495215082</v>
      </c>
      <c r="CC196" s="635">
        <v>390.10956460766351</v>
      </c>
      <c r="CD196" s="635">
        <v>395.12785131721557</v>
      </c>
      <c r="CE196" s="635">
        <v>400.14613802676763</v>
      </c>
      <c r="CF196" s="635">
        <v>414.05826940134978</v>
      </c>
      <c r="CG196" s="635">
        <v>430.63362168851478</v>
      </c>
      <c r="CH196" s="635">
        <v>437.91153254193091</v>
      </c>
      <c r="CI196" s="635">
        <v>441.90824155379687</v>
      </c>
      <c r="CJ196" s="635">
        <v>446.0472108394876</v>
      </c>
      <c r="CK196" s="635">
        <v>450.28576231685577</v>
      </c>
      <c r="CL196" s="634">
        <v>0</v>
      </c>
      <c r="CM196" s="634">
        <v>0</v>
      </c>
      <c r="CN196" s="634">
        <v>0</v>
      </c>
      <c r="CO196" s="635">
        <v>0</v>
      </c>
      <c r="CP196" s="635">
        <v>0</v>
      </c>
      <c r="CQ196" s="635">
        <v>0</v>
      </c>
      <c r="CR196" s="635">
        <v>0</v>
      </c>
      <c r="CS196" s="635">
        <v>0</v>
      </c>
      <c r="CT196" s="635">
        <v>0</v>
      </c>
      <c r="CU196" s="635">
        <v>0</v>
      </c>
      <c r="CV196" s="635">
        <v>0</v>
      </c>
      <c r="CW196" s="635">
        <v>0</v>
      </c>
      <c r="CX196" s="635">
        <v>0</v>
      </c>
      <c r="CY196" s="635">
        <v>0</v>
      </c>
      <c r="CZ196" s="635">
        <v>0</v>
      </c>
      <c r="DA196" s="636">
        <v>0.58323461929882747</v>
      </c>
      <c r="DB196" s="636">
        <v>0.58565806093064821</v>
      </c>
      <c r="DC196" s="636">
        <v>0.58809157238539855</v>
      </c>
      <c r="DD196" s="637">
        <v>0.59478054143980208</v>
      </c>
      <c r="DE196" s="637">
        <v>0.60146951049420549</v>
      </c>
      <c r="DF196" s="637">
        <v>0.60815847954860891</v>
      </c>
      <c r="DG196" s="637">
        <v>0.61484744860301244</v>
      </c>
      <c r="DH196" s="637">
        <v>0.62275671579267899</v>
      </c>
      <c r="DI196" s="637">
        <v>0.63066598298234555</v>
      </c>
      <c r="DJ196" s="637">
        <v>0.65259274217086838</v>
      </c>
      <c r="DK196" s="637">
        <v>0.67871697491996541</v>
      </c>
      <c r="DL196" s="637">
        <v>0.6901876111856603</v>
      </c>
      <c r="DM196" s="637">
        <v>0.69648678085925142</v>
      </c>
      <c r="DN196" s="637">
        <v>0.70301016540562244</v>
      </c>
      <c r="DO196" s="637">
        <v>0.70969050036293968</v>
      </c>
      <c r="DP196" s="636">
        <v>0</v>
      </c>
      <c r="DQ196" s="636">
        <v>0</v>
      </c>
      <c r="DR196" s="636">
        <v>0</v>
      </c>
      <c r="DS196" s="637">
        <v>0</v>
      </c>
      <c r="DT196" s="637">
        <v>0</v>
      </c>
      <c r="DU196" s="637">
        <v>0</v>
      </c>
      <c r="DV196" s="637">
        <v>0</v>
      </c>
      <c r="DW196" s="637">
        <v>0</v>
      </c>
      <c r="DX196" s="637">
        <v>0</v>
      </c>
      <c r="DY196" s="637">
        <v>0</v>
      </c>
      <c r="DZ196" s="637">
        <v>0</v>
      </c>
      <c r="EA196" s="637">
        <v>0</v>
      </c>
      <c r="EB196" s="637">
        <v>0</v>
      </c>
      <c r="EC196" s="637">
        <v>0</v>
      </c>
      <c r="ED196" s="637">
        <v>0</v>
      </c>
    </row>
    <row r="197" spans="1:134" ht="15" x14ac:dyDescent="0.25">
      <c r="A197" s="555">
        <v>112</v>
      </c>
      <c r="B197" s="555">
        <v>93</v>
      </c>
      <c r="C197" s="555" t="s">
        <v>1180</v>
      </c>
      <c r="D197" s="812">
        <v>99703</v>
      </c>
      <c r="E197" s="812">
        <v>99703</v>
      </c>
      <c r="F197" s="630" t="s">
        <v>311</v>
      </c>
      <c r="G197" s="45">
        <v>279</v>
      </c>
      <c r="H197" s="45">
        <v>0</v>
      </c>
      <c r="I197" s="45">
        <v>0</v>
      </c>
      <c r="J197" s="45">
        <v>0</v>
      </c>
      <c r="K197" s="45">
        <v>0</v>
      </c>
      <c r="L197" s="45">
        <v>0</v>
      </c>
      <c r="M197" s="45">
        <v>0</v>
      </c>
      <c r="N197" s="45">
        <v>0</v>
      </c>
      <c r="O197" s="45">
        <v>0</v>
      </c>
      <c r="P197" s="45">
        <v>0</v>
      </c>
      <c r="Q197" s="45">
        <v>0</v>
      </c>
      <c r="R197" s="45">
        <v>0</v>
      </c>
      <c r="S197" s="45">
        <v>834.49503068156923</v>
      </c>
      <c r="T197" s="45">
        <v>834.49503068156923</v>
      </c>
      <c r="U197" s="45">
        <v>1408.3846153846155</v>
      </c>
      <c r="V197" s="45">
        <v>0</v>
      </c>
      <c r="W197" s="45">
        <v>0</v>
      </c>
      <c r="X197" s="45">
        <v>1365.173957061457</v>
      </c>
      <c r="Y197" s="45">
        <v>0</v>
      </c>
      <c r="Z197" s="45">
        <v>0</v>
      </c>
      <c r="AA197" s="45">
        <v>0</v>
      </c>
      <c r="AB197" s="508">
        <v>0</v>
      </c>
      <c r="AC197" s="508">
        <v>0</v>
      </c>
      <c r="AD197" s="631">
        <v>0</v>
      </c>
      <c r="AE197" s="632">
        <v>0</v>
      </c>
      <c r="AF197" s="632">
        <v>0</v>
      </c>
      <c r="AG197" s="633">
        <v>0</v>
      </c>
      <c r="AH197" s="632">
        <v>0</v>
      </c>
      <c r="AI197" s="632">
        <v>0</v>
      </c>
      <c r="AJ197" s="632">
        <v>0</v>
      </c>
      <c r="AK197" s="632">
        <v>0</v>
      </c>
      <c r="AL197" s="632">
        <v>0</v>
      </c>
      <c r="AM197" s="632">
        <v>0</v>
      </c>
      <c r="AN197" s="632">
        <v>0</v>
      </c>
      <c r="AO197" s="632">
        <v>0</v>
      </c>
      <c r="AP197" s="632">
        <v>0</v>
      </c>
      <c r="AQ197" s="632">
        <v>0</v>
      </c>
      <c r="AR197" s="632">
        <v>0</v>
      </c>
      <c r="AS197" s="632">
        <v>0</v>
      </c>
      <c r="AT197" s="632">
        <v>0</v>
      </c>
      <c r="AU197" s="632">
        <v>0</v>
      </c>
      <c r="AV197" s="632">
        <v>0</v>
      </c>
      <c r="AW197" s="632">
        <v>0</v>
      </c>
      <c r="AX197" s="632">
        <v>0</v>
      </c>
      <c r="AY197" s="632">
        <v>0</v>
      </c>
      <c r="AZ197" s="632">
        <v>0</v>
      </c>
      <c r="BA197" s="632">
        <v>0</v>
      </c>
      <c r="BB197" s="632">
        <v>0</v>
      </c>
      <c r="BC197" s="632">
        <v>0</v>
      </c>
      <c r="BD197" s="632">
        <v>0</v>
      </c>
      <c r="BE197" s="632">
        <v>0</v>
      </c>
      <c r="BF197" s="632">
        <v>0</v>
      </c>
      <c r="BG197" s="632">
        <v>0</v>
      </c>
      <c r="BH197" s="634">
        <v>0</v>
      </c>
      <c r="BI197" s="634">
        <v>0</v>
      </c>
      <c r="BJ197" s="634">
        <v>0</v>
      </c>
      <c r="BK197" s="635">
        <v>0</v>
      </c>
      <c r="BL197" s="635">
        <v>0</v>
      </c>
      <c r="BM197" s="635">
        <v>0</v>
      </c>
      <c r="BN197" s="635">
        <v>0</v>
      </c>
      <c r="BO197" s="635">
        <v>0</v>
      </c>
      <c r="BP197" s="635">
        <v>0</v>
      </c>
      <c r="BQ197" s="635">
        <v>0</v>
      </c>
      <c r="BR197" s="635">
        <v>0</v>
      </c>
      <c r="BS197" s="635">
        <v>0</v>
      </c>
      <c r="BT197" s="635">
        <v>0</v>
      </c>
      <c r="BU197" s="635">
        <v>0</v>
      </c>
      <c r="BV197" s="635">
        <v>0</v>
      </c>
      <c r="BW197" s="634">
        <v>0</v>
      </c>
      <c r="BX197" s="634">
        <v>0</v>
      </c>
      <c r="BY197" s="634">
        <v>0</v>
      </c>
      <c r="BZ197" s="635">
        <v>0</v>
      </c>
      <c r="CA197" s="635">
        <v>0</v>
      </c>
      <c r="CB197" s="635">
        <v>0</v>
      </c>
      <c r="CC197" s="635">
        <v>0</v>
      </c>
      <c r="CD197" s="635">
        <v>0</v>
      </c>
      <c r="CE197" s="635">
        <v>0</v>
      </c>
      <c r="CF197" s="635">
        <v>0</v>
      </c>
      <c r="CG197" s="635">
        <v>0</v>
      </c>
      <c r="CH197" s="635">
        <v>0</v>
      </c>
      <c r="CI197" s="635">
        <v>0</v>
      </c>
      <c r="CJ197" s="635">
        <v>0</v>
      </c>
      <c r="CK197" s="635">
        <v>0</v>
      </c>
      <c r="CL197" s="634">
        <v>0</v>
      </c>
      <c r="CM197" s="634">
        <v>0</v>
      </c>
      <c r="CN197" s="634">
        <v>0</v>
      </c>
      <c r="CO197" s="635">
        <v>0</v>
      </c>
      <c r="CP197" s="635">
        <v>0</v>
      </c>
      <c r="CQ197" s="635">
        <v>0</v>
      </c>
      <c r="CR197" s="635">
        <v>0</v>
      </c>
      <c r="CS197" s="635">
        <v>0</v>
      </c>
      <c r="CT197" s="635">
        <v>0</v>
      </c>
      <c r="CU197" s="635">
        <v>0</v>
      </c>
      <c r="CV197" s="635">
        <v>0</v>
      </c>
      <c r="CW197" s="635">
        <v>0</v>
      </c>
      <c r="CX197" s="635">
        <v>0</v>
      </c>
      <c r="CY197" s="635">
        <v>0</v>
      </c>
      <c r="CZ197" s="635">
        <v>0</v>
      </c>
      <c r="DA197" s="636">
        <v>0</v>
      </c>
      <c r="DB197" s="636">
        <v>0</v>
      </c>
      <c r="DC197" s="636">
        <v>0</v>
      </c>
      <c r="DD197" s="637">
        <v>0</v>
      </c>
      <c r="DE197" s="637">
        <v>0</v>
      </c>
      <c r="DF197" s="637">
        <v>0</v>
      </c>
      <c r="DG197" s="637">
        <v>0</v>
      </c>
      <c r="DH197" s="637">
        <v>0</v>
      </c>
      <c r="DI197" s="637">
        <v>0</v>
      </c>
      <c r="DJ197" s="637">
        <v>0</v>
      </c>
      <c r="DK197" s="637">
        <v>0</v>
      </c>
      <c r="DL197" s="637">
        <v>0</v>
      </c>
      <c r="DM197" s="637">
        <v>0</v>
      </c>
      <c r="DN197" s="637">
        <v>0</v>
      </c>
      <c r="DO197" s="637">
        <v>0</v>
      </c>
      <c r="DP197" s="636">
        <v>0</v>
      </c>
      <c r="DQ197" s="636">
        <v>0</v>
      </c>
      <c r="DR197" s="636">
        <v>0</v>
      </c>
      <c r="DS197" s="637">
        <v>0</v>
      </c>
      <c r="DT197" s="637">
        <v>0</v>
      </c>
      <c r="DU197" s="637">
        <v>0</v>
      </c>
      <c r="DV197" s="637">
        <v>0</v>
      </c>
      <c r="DW197" s="637">
        <v>0</v>
      </c>
      <c r="DX197" s="637">
        <v>0</v>
      </c>
      <c r="DY197" s="637">
        <v>0</v>
      </c>
      <c r="DZ197" s="637">
        <v>0</v>
      </c>
      <c r="EA197" s="637">
        <v>0</v>
      </c>
      <c r="EB197" s="637">
        <v>0</v>
      </c>
      <c r="EC197" s="637">
        <v>0</v>
      </c>
      <c r="ED197" s="637">
        <v>0</v>
      </c>
    </row>
    <row r="198" spans="1:134" ht="15" x14ac:dyDescent="0.25">
      <c r="A198" s="555">
        <v>113</v>
      </c>
      <c r="B198" s="555">
        <v>93</v>
      </c>
      <c r="C198" s="555" t="s">
        <v>1181</v>
      </c>
      <c r="D198" s="812">
        <v>99703</v>
      </c>
      <c r="E198" s="812">
        <v>99703</v>
      </c>
      <c r="F198" s="630" t="s">
        <v>311</v>
      </c>
      <c r="G198" s="45">
        <v>404</v>
      </c>
      <c r="H198" s="45">
        <v>0</v>
      </c>
      <c r="I198" s="45">
        <v>0</v>
      </c>
      <c r="J198" s="45">
        <v>0</v>
      </c>
      <c r="K198" s="45">
        <v>0</v>
      </c>
      <c r="L198" s="45">
        <v>0</v>
      </c>
      <c r="M198" s="45">
        <v>0</v>
      </c>
      <c r="N198" s="45">
        <v>0</v>
      </c>
      <c r="O198" s="45">
        <v>0</v>
      </c>
      <c r="P198" s="45">
        <v>0</v>
      </c>
      <c r="Q198" s="45">
        <v>0</v>
      </c>
      <c r="R198" s="45">
        <v>0</v>
      </c>
      <c r="S198" s="45">
        <v>834.49503068156923</v>
      </c>
      <c r="T198" s="45">
        <v>834.49503068156923</v>
      </c>
      <c r="U198" s="45">
        <v>1408.3846153846155</v>
      </c>
      <c r="V198" s="45">
        <v>0</v>
      </c>
      <c r="W198" s="45">
        <v>0</v>
      </c>
      <c r="X198" s="45">
        <v>1365.173957061457</v>
      </c>
      <c r="Y198" s="45">
        <v>0</v>
      </c>
      <c r="Z198" s="45">
        <v>0</v>
      </c>
      <c r="AA198" s="45">
        <v>0</v>
      </c>
      <c r="AB198" s="508">
        <v>0</v>
      </c>
      <c r="AC198" s="508">
        <v>0</v>
      </c>
      <c r="AD198" s="631">
        <v>0</v>
      </c>
      <c r="AE198" s="632">
        <v>0</v>
      </c>
      <c r="AF198" s="632">
        <v>0</v>
      </c>
      <c r="AG198" s="633">
        <v>0</v>
      </c>
      <c r="AH198" s="632">
        <v>0</v>
      </c>
      <c r="AI198" s="632">
        <v>0</v>
      </c>
      <c r="AJ198" s="632">
        <v>0</v>
      </c>
      <c r="AK198" s="632">
        <v>0</v>
      </c>
      <c r="AL198" s="632">
        <v>0</v>
      </c>
      <c r="AM198" s="632">
        <v>0</v>
      </c>
      <c r="AN198" s="632">
        <v>0</v>
      </c>
      <c r="AO198" s="632">
        <v>0</v>
      </c>
      <c r="AP198" s="632">
        <v>0</v>
      </c>
      <c r="AQ198" s="632">
        <v>0</v>
      </c>
      <c r="AR198" s="632">
        <v>0</v>
      </c>
      <c r="AS198" s="632">
        <v>0</v>
      </c>
      <c r="AT198" s="632">
        <v>0</v>
      </c>
      <c r="AU198" s="632">
        <v>0</v>
      </c>
      <c r="AV198" s="632">
        <v>0</v>
      </c>
      <c r="AW198" s="632">
        <v>0</v>
      </c>
      <c r="AX198" s="632">
        <v>0</v>
      </c>
      <c r="AY198" s="632">
        <v>0</v>
      </c>
      <c r="AZ198" s="632">
        <v>0</v>
      </c>
      <c r="BA198" s="632">
        <v>0</v>
      </c>
      <c r="BB198" s="632">
        <v>0</v>
      </c>
      <c r="BC198" s="632">
        <v>0</v>
      </c>
      <c r="BD198" s="632">
        <v>0</v>
      </c>
      <c r="BE198" s="632">
        <v>0</v>
      </c>
      <c r="BF198" s="632">
        <v>0</v>
      </c>
      <c r="BG198" s="632">
        <v>0</v>
      </c>
      <c r="BH198" s="634">
        <v>0</v>
      </c>
      <c r="BI198" s="634">
        <v>0</v>
      </c>
      <c r="BJ198" s="634">
        <v>0</v>
      </c>
      <c r="BK198" s="635">
        <v>0</v>
      </c>
      <c r="BL198" s="635">
        <v>0</v>
      </c>
      <c r="BM198" s="635">
        <v>0</v>
      </c>
      <c r="BN198" s="635">
        <v>0</v>
      </c>
      <c r="BO198" s="635">
        <v>0</v>
      </c>
      <c r="BP198" s="635">
        <v>0</v>
      </c>
      <c r="BQ198" s="635">
        <v>0</v>
      </c>
      <c r="BR198" s="635">
        <v>0</v>
      </c>
      <c r="BS198" s="635">
        <v>0</v>
      </c>
      <c r="BT198" s="635">
        <v>0</v>
      </c>
      <c r="BU198" s="635">
        <v>0</v>
      </c>
      <c r="BV198" s="635">
        <v>0</v>
      </c>
      <c r="BW198" s="634">
        <v>0</v>
      </c>
      <c r="BX198" s="634">
        <v>0</v>
      </c>
      <c r="BY198" s="634">
        <v>0</v>
      </c>
      <c r="BZ198" s="635">
        <v>0</v>
      </c>
      <c r="CA198" s="635">
        <v>0</v>
      </c>
      <c r="CB198" s="635">
        <v>0</v>
      </c>
      <c r="CC198" s="635">
        <v>0</v>
      </c>
      <c r="CD198" s="635">
        <v>0</v>
      </c>
      <c r="CE198" s="635">
        <v>0</v>
      </c>
      <c r="CF198" s="635">
        <v>0</v>
      </c>
      <c r="CG198" s="635">
        <v>0</v>
      </c>
      <c r="CH198" s="635">
        <v>0</v>
      </c>
      <c r="CI198" s="635">
        <v>0</v>
      </c>
      <c r="CJ198" s="635">
        <v>0</v>
      </c>
      <c r="CK198" s="635">
        <v>0</v>
      </c>
      <c r="CL198" s="634">
        <v>0</v>
      </c>
      <c r="CM198" s="634">
        <v>0</v>
      </c>
      <c r="CN198" s="634">
        <v>0</v>
      </c>
      <c r="CO198" s="635">
        <v>0</v>
      </c>
      <c r="CP198" s="635">
        <v>0</v>
      </c>
      <c r="CQ198" s="635">
        <v>0</v>
      </c>
      <c r="CR198" s="635">
        <v>0</v>
      </c>
      <c r="CS198" s="635">
        <v>0</v>
      </c>
      <c r="CT198" s="635">
        <v>0</v>
      </c>
      <c r="CU198" s="635">
        <v>0</v>
      </c>
      <c r="CV198" s="635">
        <v>0</v>
      </c>
      <c r="CW198" s="635">
        <v>0</v>
      </c>
      <c r="CX198" s="635">
        <v>0</v>
      </c>
      <c r="CY198" s="635">
        <v>0</v>
      </c>
      <c r="CZ198" s="635">
        <v>0</v>
      </c>
      <c r="DA198" s="636">
        <v>0</v>
      </c>
      <c r="DB198" s="636">
        <v>0</v>
      </c>
      <c r="DC198" s="636">
        <v>0</v>
      </c>
      <c r="DD198" s="637">
        <v>0</v>
      </c>
      <c r="DE198" s="637">
        <v>0</v>
      </c>
      <c r="DF198" s="637">
        <v>0</v>
      </c>
      <c r="DG198" s="637">
        <v>0</v>
      </c>
      <c r="DH198" s="637">
        <v>0</v>
      </c>
      <c r="DI198" s="637">
        <v>0</v>
      </c>
      <c r="DJ198" s="637">
        <v>0</v>
      </c>
      <c r="DK198" s="637">
        <v>0</v>
      </c>
      <c r="DL198" s="637">
        <v>0</v>
      </c>
      <c r="DM198" s="637">
        <v>0</v>
      </c>
      <c r="DN198" s="637">
        <v>0</v>
      </c>
      <c r="DO198" s="637">
        <v>0</v>
      </c>
      <c r="DP198" s="636">
        <v>0</v>
      </c>
      <c r="DQ198" s="636">
        <v>0</v>
      </c>
      <c r="DR198" s="636">
        <v>0</v>
      </c>
      <c r="DS198" s="637">
        <v>0</v>
      </c>
      <c r="DT198" s="637">
        <v>0</v>
      </c>
      <c r="DU198" s="637">
        <v>0</v>
      </c>
      <c r="DV198" s="637">
        <v>0</v>
      </c>
      <c r="DW198" s="637">
        <v>0</v>
      </c>
      <c r="DX198" s="637">
        <v>0</v>
      </c>
      <c r="DY198" s="637">
        <v>0</v>
      </c>
      <c r="DZ198" s="637">
        <v>0</v>
      </c>
      <c r="EA198" s="637">
        <v>0</v>
      </c>
      <c r="EB198" s="637">
        <v>0</v>
      </c>
      <c r="EC198" s="637">
        <v>0</v>
      </c>
      <c r="ED198" s="637">
        <v>0</v>
      </c>
    </row>
    <row r="199" spans="1:134" ht="15" x14ac:dyDescent="0.25">
      <c r="A199" s="555">
        <v>115</v>
      </c>
      <c r="B199" s="555">
        <v>93</v>
      </c>
      <c r="C199" s="555" t="s">
        <v>1182</v>
      </c>
      <c r="D199" s="812">
        <v>99703</v>
      </c>
      <c r="E199" s="812">
        <v>99703</v>
      </c>
      <c r="F199" s="630" t="s">
        <v>311</v>
      </c>
      <c r="G199" s="45">
        <v>56</v>
      </c>
      <c r="H199" s="45">
        <v>22</v>
      </c>
      <c r="I199" s="45">
        <v>18</v>
      </c>
      <c r="J199" s="45">
        <v>4</v>
      </c>
      <c r="K199" s="45">
        <v>0</v>
      </c>
      <c r="L199" s="45">
        <v>7</v>
      </c>
      <c r="M199" s="45">
        <v>7</v>
      </c>
      <c r="N199" s="45">
        <v>0</v>
      </c>
      <c r="O199" s="45">
        <v>0</v>
      </c>
      <c r="P199" s="45">
        <v>0</v>
      </c>
      <c r="Q199" s="45">
        <v>7</v>
      </c>
      <c r="R199" s="45">
        <v>0</v>
      </c>
      <c r="S199" s="45">
        <v>1753.1428571428571</v>
      </c>
      <c r="T199" s="45">
        <v>1753.1428571428571</v>
      </c>
      <c r="U199" s="45">
        <v>0</v>
      </c>
      <c r="V199" s="45">
        <v>0</v>
      </c>
      <c r="W199" s="45">
        <v>0</v>
      </c>
      <c r="X199" s="45">
        <v>1753.1428571428571</v>
      </c>
      <c r="Y199" s="45">
        <v>0</v>
      </c>
      <c r="Z199" s="45">
        <v>22</v>
      </c>
      <c r="AA199" s="45">
        <v>0</v>
      </c>
      <c r="AB199" s="508">
        <v>0</v>
      </c>
      <c r="AC199" s="508">
        <v>0</v>
      </c>
      <c r="AD199" s="631">
        <v>22</v>
      </c>
      <c r="AE199" s="632">
        <v>0</v>
      </c>
      <c r="AF199" s="632">
        <v>18</v>
      </c>
      <c r="AG199" s="633">
        <v>18</v>
      </c>
      <c r="AH199" s="632">
        <v>0</v>
      </c>
      <c r="AI199" s="632">
        <v>0</v>
      </c>
      <c r="AJ199" s="632">
        <v>21.575814719199958</v>
      </c>
      <c r="AK199" s="632">
        <v>21.575814719199958</v>
      </c>
      <c r="AL199" s="632">
        <v>0</v>
      </c>
      <c r="AM199" s="632">
        <v>0</v>
      </c>
      <c r="AN199" s="632">
        <v>18.05778929964114</v>
      </c>
      <c r="AO199" s="632">
        <v>18.05778929964114</v>
      </c>
      <c r="AP199" s="632">
        <v>0</v>
      </c>
      <c r="AQ199" s="632">
        <v>0</v>
      </c>
      <c r="AR199" s="632">
        <v>0</v>
      </c>
      <c r="AS199" s="632">
        <v>21.159808218056618</v>
      </c>
      <c r="AT199" s="632">
        <v>21.366799049146181</v>
      </c>
      <c r="AU199" s="632">
        <v>21.575814719199958</v>
      </c>
      <c r="AV199" s="632">
        <v>21.786875035727338</v>
      </c>
      <c r="AW199" s="632">
        <v>22</v>
      </c>
      <c r="AX199" s="632">
        <v>18.115764132790783</v>
      </c>
      <c r="AY199" s="632">
        <v>18.086753487343497</v>
      </c>
      <c r="AZ199" s="632">
        <v>18.05778929964114</v>
      </c>
      <c r="BA199" s="632">
        <v>18.028871495286126</v>
      </c>
      <c r="BB199" s="632">
        <v>18</v>
      </c>
      <c r="BC199" s="632">
        <v>0</v>
      </c>
      <c r="BD199" s="632">
        <v>0</v>
      </c>
      <c r="BE199" s="632">
        <v>0</v>
      </c>
      <c r="BF199" s="632">
        <v>0</v>
      </c>
      <c r="BG199" s="632">
        <v>0</v>
      </c>
      <c r="BH199" s="634">
        <v>22.091413839535367</v>
      </c>
      <c r="BI199" s="634">
        <v>22.183207519527944</v>
      </c>
      <c r="BJ199" s="634">
        <v>22.275382618281121</v>
      </c>
      <c r="BK199" s="635">
        <v>22.275382618281121</v>
      </c>
      <c r="BL199" s="635">
        <v>22.275382618281121</v>
      </c>
      <c r="BM199" s="635">
        <v>22.275382618281121</v>
      </c>
      <c r="BN199" s="635">
        <v>22.275382618281121</v>
      </c>
      <c r="BO199" s="635">
        <v>22.275382618281121</v>
      </c>
      <c r="BP199" s="635">
        <v>22.275382618281121</v>
      </c>
      <c r="BQ199" s="635">
        <v>22.275382618281121</v>
      </c>
      <c r="BR199" s="635">
        <v>22.275382618281121</v>
      </c>
      <c r="BS199" s="635">
        <v>22.275382618281121</v>
      </c>
      <c r="BT199" s="635">
        <v>22.275382618281121</v>
      </c>
      <c r="BU199" s="635">
        <v>22.275382618281121</v>
      </c>
      <c r="BV199" s="635">
        <v>22.275382618281121</v>
      </c>
      <c r="BW199" s="634">
        <v>18.074793141438029</v>
      </c>
      <c r="BX199" s="634">
        <v>18.149897061431954</v>
      </c>
      <c r="BY199" s="634">
        <v>18.225313051320917</v>
      </c>
      <c r="BZ199" s="635">
        <v>18.225313051320917</v>
      </c>
      <c r="CA199" s="635">
        <v>18.225313051320917</v>
      </c>
      <c r="CB199" s="635">
        <v>18.225313051320917</v>
      </c>
      <c r="CC199" s="635">
        <v>18.225313051320917</v>
      </c>
      <c r="CD199" s="635">
        <v>18.225313051320917</v>
      </c>
      <c r="CE199" s="635">
        <v>18.225313051320917</v>
      </c>
      <c r="CF199" s="635">
        <v>18.225313051320917</v>
      </c>
      <c r="CG199" s="635">
        <v>18.225313051320917</v>
      </c>
      <c r="CH199" s="635">
        <v>18.225313051320917</v>
      </c>
      <c r="CI199" s="635">
        <v>18.225313051320917</v>
      </c>
      <c r="CJ199" s="635">
        <v>18.225313051320917</v>
      </c>
      <c r="CK199" s="635">
        <v>18.225313051320917</v>
      </c>
      <c r="CL199" s="634">
        <v>0</v>
      </c>
      <c r="CM199" s="634">
        <v>0</v>
      </c>
      <c r="CN199" s="634">
        <v>0</v>
      </c>
      <c r="CO199" s="635">
        <v>0</v>
      </c>
      <c r="CP199" s="635">
        <v>0</v>
      </c>
      <c r="CQ199" s="635">
        <v>0</v>
      </c>
      <c r="CR199" s="635">
        <v>0</v>
      </c>
      <c r="CS199" s="635">
        <v>0</v>
      </c>
      <c r="CT199" s="635">
        <v>0</v>
      </c>
      <c r="CU199" s="635">
        <v>0</v>
      </c>
      <c r="CV199" s="635">
        <v>0</v>
      </c>
      <c r="CW199" s="635">
        <v>0</v>
      </c>
      <c r="CX199" s="635">
        <v>0</v>
      </c>
      <c r="CY199" s="635">
        <v>0</v>
      </c>
      <c r="CZ199" s="635">
        <v>0</v>
      </c>
      <c r="DA199" s="636">
        <v>0</v>
      </c>
      <c r="DB199" s="636">
        <v>0</v>
      </c>
      <c r="DC199" s="636">
        <v>0</v>
      </c>
      <c r="DD199" s="637">
        <v>0</v>
      </c>
      <c r="DE199" s="637">
        <v>0</v>
      </c>
      <c r="DF199" s="637">
        <v>0</v>
      </c>
      <c r="DG199" s="637">
        <v>0</v>
      </c>
      <c r="DH199" s="637">
        <v>0</v>
      </c>
      <c r="DI199" s="637">
        <v>0</v>
      </c>
      <c r="DJ199" s="637">
        <v>0</v>
      </c>
      <c r="DK199" s="637">
        <v>0</v>
      </c>
      <c r="DL199" s="637">
        <v>0</v>
      </c>
      <c r="DM199" s="637">
        <v>0</v>
      </c>
      <c r="DN199" s="637">
        <v>0</v>
      </c>
      <c r="DO199" s="637">
        <v>0</v>
      </c>
      <c r="DP199" s="636">
        <v>0</v>
      </c>
      <c r="DQ199" s="636">
        <v>0</v>
      </c>
      <c r="DR199" s="636">
        <v>0</v>
      </c>
      <c r="DS199" s="637">
        <v>0</v>
      </c>
      <c r="DT199" s="637">
        <v>0</v>
      </c>
      <c r="DU199" s="637">
        <v>0</v>
      </c>
      <c r="DV199" s="637">
        <v>0</v>
      </c>
      <c r="DW199" s="637">
        <v>0</v>
      </c>
      <c r="DX199" s="637">
        <v>0</v>
      </c>
      <c r="DY199" s="637">
        <v>0</v>
      </c>
      <c r="DZ199" s="637">
        <v>0</v>
      </c>
      <c r="EA199" s="637">
        <v>0</v>
      </c>
      <c r="EB199" s="637">
        <v>0</v>
      </c>
      <c r="EC199" s="637">
        <v>0</v>
      </c>
      <c r="ED199" s="637">
        <v>0</v>
      </c>
    </row>
    <row r="200" spans="1:134" ht="15" x14ac:dyDescent="0.25">
      <c r="A200" s="555">
        <v>116</v>
      </c>
      <c r="B200" s="555">
        <v>93</v>
      </c>
      <c r="C200" s="555" t="s">
        <v>1183</v>
      </c>
      <c r="D200" s="812">
        <v>99705</v>
      </c>
      <c r="E200" s="812">
        <v>99705</v>
      </c>
      <c r="F200" s="630" t="s">
        <v>311</v>
      </c>
      <c r="G200" s="45">
        <v>661</v>
      </c>
      <c r="H200" s="45">
        <v>263</v>
      </c>
      <c r="I200" s="45">
        <v>244</v>
      </c>
      <c r="J200" s="45">
        <v>19</v>
      </c>
      <c r="K200" s="45">
        <v>12</v>
      </c>
      <c r="L200" s="45">
        <v>199</v>
      </c>
      <c r="M200" s="45">
        <v>211</v>
      </c>
      <c r="N200" s="45">
        <v>2</v>
      </c>
      <c r="O200" s="45">
        <v>0</v>
      </c>
      <c r="P200" s="45">
        <v>0</v>
      </c>
      <c r="Q200" s="45">
        <v>213</v>
      </c>
      <c r="R200" s="45">
        <v>6017.75</v>
      </c>
      <c r="S200" s="45">
        <v>2479.5427135678387</v>
      </c>
      <c r="T200" s="45">
        <v>2680.7677725118483</v>
      </c>
      <c r="U200" s="45">
        <v>5869</v>
      </c>
      <c r="V200" s="45">
        <v>0</v>
      </c>
      <c r="W200" s="45">
        <v>0</v>
      </c>
      <c r="X200" s="45">
        <v>2710.7042253521126</v>
      </c>
      <c r="Y200" s="45">
        <v>14.957345971563981</v>
      </c>
      <c r="Z200" s="45">
        <v>248.04265402843603</v>
      </c>
      <c r="AA200" s="45">
        <v>0</v>
      </c>
      <c r="AB200" s="508">
        <v>2</v>
      </c>
      <c r="AC200" s="508">
        <v>0</v>
      </c>
      <c r="AD200" s="631">
        <v>265</v>
      </c>
      <c r="AE200" s="632">
        <v>13.876777251184834</v>
      </c>
      <c r="AF200" s="632">
        <v>230.12322274881518</v>
      </c>
      <c r="AG200" s="633">
        <v>244</v>
      </c>
      <c r="AH200" s="632">
        <v>0</v>
      </c>
      <c r="AI200" s="632">
        <v>13.882686094298748</v>
      </c>
      <c r="AJ200" s="632">
        <v>230.22121106378759</v>
      </c>
      <c r="AK200" s="632">
        <v>244.10389715808634</v>
      </c>
      <c r="AL200" s="632">
        <v>0</v>
      </c>
      <c r="AM200" s="632">
        <v>12.945815940098024</v>
      </c>
      <c r="AN200" s="632">
        <v>214.68478100662557</v>
      </c>
      <c r="AO200" s="632">
        <v>227.63059694672359</v>
      </c>
      <c r="AP200" s="632">
        <v>0</v>
      </c>
      <c r="AQ200" s="632">
        <v>1.8802153346698185</v>
      </c>
      <c r="AR200" s="632">
        <v>0</v>
      </c>
      <c r="AS200" s="632">
        <v>226.56544717781591</v>
      </c>
      <c r="AT200" s="632">
        <v>235.17123254656258</v>
      </c>
      <c r="AU200" s="632">
        <v>244.10389715808631</v>
      </c>
      <c r="AV200" s="632">
        <v>253.37585708306287</v>
      </c>
      <c r="AW200" s="632">
        <v>263</v>
      </c>
      <c r="AX200" s="632">
        <v>212.35937978000706</v>
      </c>
      <c r="AY200" s="632">
        <v>219.86243969027313</v>
      </c>
      <c r="AZ200" s="632">
        <v>227.63059694672359</v>
      </c>
      <c r="BA200" s="632">
        <v>235.67321794170959</v>
      </c>
      <c r="BB200" s="632">
        <v>244</v>
      </c>
      <c r="BC200" s="632">
        <v>1.7676048523637691</v>
      </c>
      <c r="BD200" s="632">
        <v>1.823040797418187</v>
      </c>
      <c r="BE200" s="632">
        <v>1.8802153346698185</v>
      </c>
      <c r="BF200" s="632">
        <v>1.9391829901635476</v>
      </c>
      <c r="BG200" s="632">
        <v>2</v>
      </c>
      <c r="BH200" s="634">
        <v>269.39074245045288</v>
      </c>
      <c r="BI200" s="634">
        <v>275.93677611409214</v>
      </c>
      <c r="BJ200" s="634">
        <v>282.64187447437138</v>
      </c>
      <c r="BK200" s="635">
        <v>284.3928298144221</v>
      </c>
      <c r="BL200" s="635">
        <v>286.14378515447277</v>
      </c>
      <c r="BM200" s="635">
        <v>287.89474049452343</v>
      </c>
      <c r="BN200" s="635">
        <v>289.64569583457416</v>
      </c>
      <c r="BO200" s="635">
        <v>291.71608568224701</v>
      </c>
      <c r="BP200" s="635">
        <v>293.78647552991987</v>
      </c>
      <c r="BQ200" s="635">
        <v>299.52619054114058</v>
      </c>
      <c r="BR200" s="635">
        <v>306.36466810991425</v>
      </c>
      <c r="BS200" s="635">
        <v>309.3673089742752</v>
      </c>
      <c r="BT200" s="635">
        <v>311.01622746801507</v>
      </c>
      <c r="BU200" s="635">
        <v>312.72383814968708</v>
      </c>
      <c r="BV200" s="635">
        <v>314.47253336291152</v>
      </c>
      <c r="BW200" s="634">
        <v>249.92905383235933</v>
      </c>
      <c r="BX200" s="634">
        <v>256.00218012105887</v>
      </c>
      <c r="BY200" s="634">
        <v>262.2228797404814</v>
      </c>
      <c r="BZ200" s="635">
        <v>263.84734020805701</v>
      </c>
      <c r="CA200" s="635">
        <v>265.47180067563249</v>
      </c>
      <c r="CB200" s="635">
        <v>267.09626114320804</v>
      </c>
      <c r="CC200" s="635">
        <v>268.72072161078358</v>
      </c>
      <c r="CD200" s="635">
        <v>270.64153956832035</v>
      </c>
      <c r="CE200" s="635">
        <v>272.56235752585718</v>
      </c>
      <c r="CF200" s="635">
        <v>277.88741631953724</v>
      </c>
      <c r="CG200" s="635">
        <v>284.23185938714477</v>
      </c>
      <c r="CH200" s="635">
        <v>287.01757942860513</v>
      </c>
      <c r="CI200" s="635">
        <v>288.54737453306342</v>
      </c>
      <c r="CJ200" s="635">
        <v>290.13162170541307</v>
      </c>
      <c r="CK200" s="635">
        <v>291.75398532528669</v>
      </c>
      <c r="CL200" s="634">
        <v>2.0485988019045847</v>
      </c>
      <c r="CM200" s="634">
        <v>2.0983785255824499</v>
      </c>
      <c r="CN200" s="634">
        <v>2.1493678667252576</v>
      </c>
      <c r="CO200" s="635">
        <v>2.1626831164594837</v>
      </c>
      <c r="CP200" s="635">
        <v>2.1759983661937095</v>
      </c>
      <c r="CQ200" s="635">
        <v>2.1893136159279347</v>
      </c>
      <c r="CR200" s="635">
        <v>2.2026288656621609</v>
      </c>
      <c r="CS200" s="635">
        <v>2.2183732751501672</v>
      </c>
      <c r="CT200" s="635">
        <v>2.2341176846381736</v>
      </c>
      <c r="CU200" s="635">
        <v>2.2777657075371907</v>
      </c>
      <c r="CV200" s="635">
        <v>2.3297693392388914</v>
      </c>
      <c r="CW200" s="635">
        <v>2.3526031100705338</v>
      </c>
      <c r="CX200" s="635">
        <v>2.365142414205438</v>
      </c>
      <c r="CY200" s="635">
        <v>2.3781280467656813</v>
      </c>
      <c r="CZ200" s="635">
        <v>2.3914261092236617</v>
      </c>
      <c r="DA200" s="636">
        <v>0</v>
      </c>
      <c r="DB200" s="636">
        <v>0</v>
      </c>
      <c r="DC200" s="636">
        <v>0</v>
      </c>
      <c r="DD200" s="637">
        <v>0</v>
      </c>
      <c r="DE200" s="637">
        <v>0</v>
      </c>
      <c r="DF200" s="637">
        <v>0</v>
      </c>
      <c r="DG200" s="637">
        <v>0</v>
      </c>
      <c r="DH200" s="637">
        <v>0</v>
      </c>
      <c r="DI200" s="637">
        <v>0</v>
      </c>
      <c r="DJ200" s="637">
        <v>0</v>
      </c>
      <c r="DK200" s="637">
        <v>0</v>
      </c>
      <c r="DL200" s="637">
        <v>0</v>
      </c>
      <c r="DM200" s="637">
        <v>0</v>
      </c>
      <c r="DN200" s="637">
        <v>0</v>
      </c>
      <c r="DO200" s="637">
        <v>0</v>
      </c>
      <c r="DP200" s="636">
        <v>0</v>
      </c>
      <c r="DQ200" s="636">
        <v>0</v>
      </c>
      <c r="DR200" s="636">
        <v>0</v>
      </c>
      <c r="DS200" s="637">
        <v>0</v>
      </c>
      <c r="DT200" s="637">
        <v>0</v>
      </c>
      <c r="DU200" s="637">
        <v>0</v>
      </c>
      <c r="DV200" s="637">
        <v>0</v>
      </c>
      <c r="DW200" s="637">
        <v>0</v>
      </c>
      <c r="DX200" s="637">
        <v>0</v>
      </c>
      <c r="DY200" s="637">
        <v>0</v>
      </c>
      <c r="DZ200" s="637">
        <v>0</v>
      </c>
      <c r="EA200" s="637">
        <v>0</v>
      </c>
      <c r="EB200" s="637">
        <v>0</v>
      </c>
      <c r="EC200" s="637">
        <v>0</v>
      </c>
      <c r="ED200" s="637">
        <v>0</v>
      </c>
    </row>
    <row r="201" spans="1:134" ht="15" x14ac:dyDescent="0.25">
      <c r="A201" s="555">
        <v>117</v>
      </c>
      <c r="B201" s="555">
        <v>93</v>
      </c>
      <c r="C201" s="555" t="s">
        <v>1184</v>
      </c>
      <c r="D201" s="812">
        <v>99705</v>
      </c>
      <c r="E201" s="812">
        <v>99705</v>
      </c>
      <c r="F201" s="630" t="s">
        <v>311</v>
      </c>
      <c r="G201" s="45">
        <v>497</v>
      </c>
      <c r="H201" s="45">
        <v>185</v>
      </c>
      <c r="I201" s="45">
        <v>176</v>
      </c>
      <c r="J201" s="45">
        <v>9</v>
      </c>
      <c r="K201" s="45">
        <v>0</v>
      </c>
      <c r="L201" s="45">
        <v>99</v>
      </c>
      <c r="M201" s="45">
        <v>99</v>
      </c>
      <c r="N201" s="45">
        <v>1</v>
      </c>
      <c r="O201" s="45">
        <v>0</v>
      </c>
      <c r="P201" s="45">
        <v>0</v>
      </c>
      <c r="Q201" s="45">
        <v>100</v>
      </c>
      <c r="R201" s="45">
        <v>0</v>
      </c>
      <c r="S201" s="45">
        <v>2126.0505050505049</v>
      </c>
      <c r="T201" s="45">
        <v>2126.0505050505049</v>
      </c>
      <c r="U201" s="45">
        <v>1344</v>
      </c>
      <c r="V201" s="45">
        <v>0</v>
      </c>
      <c r="W201" s="45">
        <v>0</v>
      </c>
      <c r="X201" s="45">
        <v>2118.23</v>
      </c>
      <c r="Y201" s="45">
        <v>0</v>
      </c>
      <c r="Z201" s="45">
        <v>185</v>
      </c>
      <c r="AA201" s="45">
        <v>0</v>
      </c>
      <c r="AB201" s="508">
        <v>1</v>
      </c>
      <c r="AC201" s="508">
        <v>0</v>
      </c>
      <c r="AD201" s="631">
        <v>186</v>
      </c>
      <c r="AE201" s="632">
        <v>0</v>
      </c>
      <c r="AF201" s="632">
        <v>176</v>
      </c>
      <c r="AG201" s="633">
        <v>176</v>
      </c>
      <c r="AH201" s="632">
        <v>0</v>
      </c>
      <c r="AI201" s="632">
        <v>0</v>
      </c>
      <c r="AJ201" s="632">
        <v>171.7080645408592</v>
      </c>
      <c r="AK201" s="632">
        <v>171.7080645408592</v>
      </c>
      <c r="AL201" s="632">
        <v>0</v>
      </c>
      <c r="AM201" s="632">
        <v>0</v>
      </c>
      <c r="AN201" s="632">
        <v>164.19256173206293</v>
      </c>
      <c r="AO201" s="632">
        <v>164.19256173206293</v>
      </c>
      <c r="AP201" s="632">
        <v>0</v>
      </c>
      <c r="AQ201" s="632">
        <v>0.94010766733490925</v>
      </c>
      <c r="AR201" s="632">
        <v>0</v>
      </c>
      <c r="AS201" s="632">
        <v>159.37113204523172</v>
      </c>
      <c r="AT201" s="632">
        <v>165.42463125898888</v>
      </c>
      <c r="AU201" s="632">
        <v>171.7080645408592</v>
      </c>
      <c r="AV201" s="632">
        <v>178.23016562877046</v>
      </c>
      <c r="AW201" s="632">
        <v>185</v>
      </c>
      <c r="AX201" s="632">
        <v>153.17725754623461</v>
      </c>
      <c r="AY201" s="632">
        <v>158.58930076019701</v>
      </c>
      <c r="AZ201" s="632">
        <v>164.19256173206293</v>
      </c>
      <c r="BA201" s="632">
        <v>169.99379654811841</v>
      </c>
      <c r="BB201" s="632">
        <v>176</v>
      </c>
      <c r="BC201" s="632">
        <v>0.88380242618188454</v>
      </c>
      <c r="BD201" s="632">
        <v>0.91152039870909352</v>
      </c>
      <c r="BE201" s="632">
        <v>0.94010766733490925</v>
      </c>
      <c r="BF201" s="632">
        <v>0.96959149508177378</v>
      </c>
      <c r="BG201" s="632">
        <v>1</v>
      </c>
      <c r="BH201" s="634">
        <v>189.49538917617409</v>
      </c>
      <c r="BI201" s="634">
        <v>194.1000136163766</v>
      </c>
      <c r="BJ201" s="634">
        <v>198.81652767208632</v>
      </c>
      <c r="BK201" s="635">
        <v>203.66572115749381</v>
      </c>
      <c r="BL201" s="635">
        <v>208.51491464290126</v>
      </c>
      <c r="BM201" s="635">
        <v>213.36410812830874</v>
      </c>
      <c r="BN201" s="635">
        <v>218.2133016137162</v>
      </c>
      <c r="BO201" s="635">
        <v>223.94715486053752</v>
      </c>
      <c r="BP201" s="635">
        <v>229.68100810735885</v>
      </c>
      <c r="BQ201" s="635">
        <v>245.57689534323814</v>
      </c>
      <c r="BR201" s="635">
        <v>264.51575695671715</v>
      </c>
      <c r="BS201" s="635">
        <v>272.83143822249724</v>
      </c>
      <c r="BT201" s="635">
        <v>277.39804516838313</v>
      </c>
      <c r="BU201" s="635">
        <v>282.12719753667614</v>
      </c>
      <c r="BV201" s="635">
        <v>286.97013170065418</v>
      </c>
      <c r="BW201" s="634">
        <v>180.27669456760344</v>
      </c>
      <c r="BX201" s="634">
        <v>184.65731025125558</v>
      </c>
      <c r="BY201" s="634">
        <v>189.14437227182268</v>
      </c>
      <c r="BZ201" s="635">
        <v>193.75765904712924</v>
      </c>
      <c r="CA201" s="635">
        <v>198.3709458224358</v>
      </c>
      <c r="CB201" s="635">
        <v>202.98423259774236</v>
      </c>
      <c r="CC201" s="635">
        <v>207.59751937304893</v>
      </c>
      <c r="CD201" s="635">
        <v>213.05242840786275</v>
      </c>
      <c r="CE201" s="635">
        <v>218.50733744267654</v>
      </c>
      <c r="CF201" s="635">
        <v>233.629911245459</v>
      </c>
      <c r="CG201" s="635">
        <v>251.64742283449849</v>
      </c>
      <c r="CH201" s="635">
        <v>259.55855744410553</v>
      </c>
      <c r="CI201" s="635">
        <v>263.90300513316453</v>
      </c>
      <c r="CJ201" s="635">
        <v>268.40209062948651</v>
      </c>
      <c r="CK201" s="635">
        <v>273.00942259089265</v>
      </c>
      <c r="CL201" s="634">
        <v>1.0242994009522923</v>
      </c>
      <c r="CM201" s="634">
        <v>1.0491892627912249</v>
      </c>
      <c r="CN201" s="634">
        <v>1.0746839333626288</v>
      </c>
      <c r="CO201" s="635">
        <v>1.100895790040507</v>
      </c>
      <c r="CP201" s="635">
        <v>1.1271076467183851</v>
      </c>
      <c r="CQ201" s="635">
        <v>1.1533195033962633</v>
      </c>
      <c r="CR201" s="635">
        <v>1.1795313600741417</v>
      </c>
      <c r="CS201" s="635">
        <v>1.210525161408311</v>
      </c>
      <c r="CT201" s="635">
        <v>1.2415189627424803</v>
      </c>
      <c r="CU201" s="635">
        <v>1.3274426775310169</v>
      </c>
      <c r="CV201" s="635">
        <v>1.4298149024687414</v>
      </c>
      <c r="CW201" s="635">
        <v>1.4747645309324178</v>
      </c>
      <c r="CX201" s="635">
        <v>1.4994488928020713</v>
      </c>
      <c r="CY201" s="635">
        <v>1.5250118785766278</v>
      </c>
      <c r="CZ201" s="635">
        <v>1.5511899010846173</v>
      </c>
      <c r="DA201" s="636">
        <v>0</v>
      </c>
      <c r="DB201" s="636">
        <v>0</v>
      </c>
      <c r="DC201" s="636">
        <v>0</v>
      </c>
      <c r="DD201" s="637">
        <v>0</v>
      </c>
      <c r="DE201" s="637">
        <v>0</v>
      </c>
      <c r="DF201" s="637">
        <v>0</v>
      </c>
      <c r="DG201" s="637">
        <v>0</v>
      </c>
      <c r="DH201" s="637">
        <v>0</v>
      </c>
      <c r="DI201" s="637">
        <v>0</v>
      </c>
      <c r="DJ201" s="637">
        <v>0</v>
      </c>
      <c r="DK201" s="637">
        <v>0</v>
      </c>
      <c r="DL201" s="637">
        <v>0</v>
      </c>
      <c r="DM201" s="637">
        <v>0</v>
      </c>
      <c r="DN201" s="637">
        <v>0</v>
      </c>
      <c r="DO201" s="637">
        <v>0</v>
      </c>
      <c r="DP201" s="636">
        <v>0</v>
      </c>
      <c r="DQ201" s="636">
        <v>0</v>
      </c>
      <c r="DR201" s="636">
        <v>0</v>
      </c>
      <c r="DS201" s="637">
        <v>0</v>
      </c>
      <c r="DT201" s="637">
        <v>0</v>
      </c>
      <c r="DU201" s="637">
        <v>0</v>
      </c>
      <c r="DV201" s="637">
        <v>0</v>
      </c>
      <c r="DW201" s="637">
        <v>0</v>
      </c>
      <c r="DX201" s="637">
        <v>0</v>
      </c>
      <c r="DY201" s="637">
        <v>0</v>
      </c>
      <c r="DZ201" s="637">
        <v>0</v>
      </c>
      <c r="EA201" s="637">
        <v>0</v>
      </c>
      <c r="EB201" s="637">
        <v>0</v>
      </c>
      <c r="EC201" s="637">
        <v>0</v>
      </c>
      <c r="ED201" s="637">
        <v>0</v>
      </c>
    </row>
    <row r="202" spans="1:134" ht="15" x14ac:dyDescent="0.25">
      <c r="A202" s="555">
        <v>118</v>
      </c>
      <c r="B202" s="555">
        <v>93</v>
      </c>
      <c r="C202" s="555" t="s">
        <v>1185</v>
      </c>
      <c r="D202" s="812">
        <v>99705</v>
      </c>
      <c r="E202" s="812">
        <v>99705</v>
      </c>
      <c r="F202" s="630" t="s">
        <v>311</v>
      </c>
      <c r="G202" s="45">
        <v>425</v>
      </c>
      <c r="H202" s="45">
        <v>164</v>
      </c>
      <c r="I202" s="45">
        <v>146</v>
      </c>
      <c r="J202" s="45">
        <v>18</v>
      </c>
      <c r="K202" s="45">
        <v>0</v>
      </c>
      <c r="L202" s="45">
        <v>132</v>
      </c>
      <c r="M202" s="45">
        <v>132</v>
      </c>
      <c r="N202" s="45">
        <v>3</v>
      </c>
      <c r="O202" s="45">
        <v>0</v>
      </c>
      <c r="P202" s="45">
        <v>0</v>
      </c>
      <c r="Q202" s="45">
        <v>135</v>
      </c>
      <c r="R202" s="45">
        <v>0</v>
      </c>
      <c r="S202" s="45">
        <v>2217.068181818182</v>
      </c>
      <c r="T202" s="45">
        <v>2217.068181818182</v>
      </c>
      <c r="U202" s="45">
        <v>9031.3333333333339</v>
      </c>
      <c r="V202" s="45">
        <v>0</v>
      </c>
      <c r="W202" s="45">
        <v>0</v>
      </c>
      <c r="X202" s="45">
        <v>2368.4962962962964</v>
      </c>
      <c r="Y202" s="45">
        <v>0</v>
      </c>
      <c r="Z202" s="45">
        <v>164</v>
      </c>
      <c r="AA202" s="45">
        <v>0</v>
      </c>
      <c r="AB202" s="508">
        <v>3</v>
      </c>
      <c r="AC202" s="508">
        <v>0</v>
      </c>
      <c r="AD202" s="631">
        <v>167</v>
      </c>
      <c r="AE202" s="632">
        <v>0</v>
      </c>
      <c r="AF202" s="632">
        <v>146</v>
      </c>
      <c r="AG202" s="633">
        <v>146</v>
      </c>
      <c r="AH202" s="632">
        <v>0</v>
      </c>
      <c r="AI202" s="632">
        <v>0</v>
      </c>
      <c r="AJ202" s="632">
        <v>152.21687883622113</v>
      </c>
      <c r="AK202" s="632">
        <v>152.21687883622113</v>
      </c>
      <c r="AL202" s="632">
        <v>0</v>
      </c>
      <c r="AM202" s="632">
        <v>0</v>
      </c>
      <c r="AN202" s="632">
        <v>136.20519325500675</v>
      </c>
      <c r="AO202" s="632">
        <v>136.20519325500675</v>
      </c>
      <c r="AP202" s="632">
        <v>0</v>
      </c>
      <c r="AQ202" s="632">
        <v>2.8203230020047281</v>
      </c>
      <c r="AR202" s="632">
        <v>0</v>
      </c>
      <c r="AS202" s="632">
        <v>141.28035489415137</v>
      </c>
      <c r="AT202" s="632">
        <v>146.64670014310366</v>
      </c>
      <c r="AU202" s="632">
        <v>152.21687883622113</v>
      </c>
      <c r="AV202" s="632">
        <v>157.99863331415327</v>
      </c>
      <c r="AW202" s="632">
        <v>164</v>
      </c>
      <c r="AX202" s="632">
        <v>127.06749773721734</v>
      </c>
      <c r="AY202" s="632">
        <v>131.55703358516342</v>
      </c>
      <c r="AZ202" s="632">
        <v>136.20519325500675</v>
      </c>
      <c r="BA202" s="632">
        <v>141.0175812274164</v>
      </c>
      <c r="BB202" s="632">
        <v>146</v>
      </c>
      <c r="BC202" s="632">
        <v>2.6514072785456535</v>
      </c>
      <c r="BD202" s="632">
        <v>2.7345611961272809</v>
      </c>
      <c r="BE202" s="632">
        <v>2.8203230020047281</v>
      </c>
      <c r="BF202" s="632">
        <v>2.9087744852453215</v>
      </c>
      <c r="BG202" s="632">
        <v>3</v>
      </c>
      <c r="BH202" s="634">
        <v>167.98510175617594</v>
      </c>
      <c r="BI202" s="634">
        <v>172.0670390977609</v>
      </c>
      <c r="BJ202" s="634">
        <v>176.24816507147113</v>
      </c>
      <c r="BK202" s="635">
        <v>177.92418437260179</v>
      </c>
      <c r="BL202" s="635">
        <v>179.60020367373241</v>
      </c>
      <c r="BM202" s="635">
        <v>181.276222974863</v>
      </c>
      <c r="BN202" s="635">
        <v>182.95224227599365</v>
      </c>
      <c r="BO202" s="635">
        <v>184.9340251725603</v>
      </c>
      <c r="BP202" s="635">
        <v>186.915808069127</v>
      </c>
      <c r="BQ202" s="635">
        <v>192.40987917519899</v>
      </c>
      <c r="BR202" s="635">
        <v>198.95568884461159</v>
      </c>
      <c r="BS202" s="635">
        <v>201.82982499641471</v>
      </c>
      <c r="BT202" s="635">
        <v>203.40817434564448</v>
      </c>
      <c r="BU202" s="635">
        <v>205.042704019723</v>
      </c>
      <c r="BV202" s="635">
        <v>206.71655992119562</v>
      </c>
      <c r="BW202" s="634">
        <v>149.54771253903468</v>
      </c>
      <c r="BX202" s="634">
        <v>153.18163236751883</v>
      </c>
      <c r="BY202" s="634">
        <v>156.90385427094381</v>
      </c>
      <c r="BZ202" s="635">
        <v>158.39592023414548</v>
      </c>
      <c r="CA202" s="635">
        <v>159.88798619734715</v>
      </c>
      <c r="CB202" s="635">
        <v>161.38005216054879</v>
      </c>
      <c r="CC202" s="635">
        <v>162.87211812375045</v>
      </c>
      <c r="CD202" s="635">
        <v>164.63638826337686</v>
      </c>
      <c r="CE202" s="635">
        <v>166.40065840300329</v>
      </c>
      <c r="CF202" s="635">
        <v>171.29172170475033</v>
      </c>
      <c r="CG202" s="635">
        <v>177.1190888494713</v>
      </c>
      <c r="CH202" s="635">
        <v>179.67777103339358</v>
      </c>
      <c r="CI202" s="635">
        <v>181.08288691746398</v>
      </c>
      <c r="CJ202" s="635">
        <v>182.53801699316801</v>
      </c>
      <c r="CK202" s="635">
        <v>184.02815700301562</v>
      </c>
      <c r="CL202" s="634">
        <v>3.072898202856877</v>
      </c>
      <c r="CM202" s="634">
        <v>3.1475677883736748</v>
      </c>
      <c r="CN202" s="634">
        <v>3.2240518000878864</v>
      </c>
      <c r="CO202" s="635">
        <v>3.2547106897427152</v>
      </c>
      <c r="CP202" s="635">
        <v>3.2853695793975439</v>
      </c>
      <c r="CQ202" s="635">
        <v>3.3160284690523718</v>
      </c>
      <c r="CR202" s="635">
        <v>3.3466873587072006</v>
      </c>
      <c r="CS202" s="635">
        <v>3.3829394848639081</v>
      </c>
      <c r="CT202" s="635">
        <v>3.4191916110206155</v>
      </c>
      <c r="CU202" s="635">
        <v>3.5196929117414451</v>
      </c>
      <c r="CV202" s="635">
        <v>3.6394333325233825</v>
      </c>
      <c r="CW202" s="635">
        <v>3.6920089938368541</v>
      </c>
      <c r="CX202" s="635">
        <v>3.7208812380300813</v>
      </c>
      <c r="CY202" s="635">
        <v>3.7507811710924934</v>
      </c>
      <c r="CZ202" s="635">
        <v>3.7814004863633346</v>
      </c>
      <c r="DA202" s="636">
        <v>0</v>
      </c>
      <c r="DB202" s="636">
        <v>0</v>
      </c>
      <c r="DC202" s="636">
        <v>0</v>
      </c>
      <c r="DD202" s="637">
        <v>0</v>
      </c>
      <c r="DE202" s="637">
        <v>0</v>
      </c>
      <c r="DF202" s="637">
        <v>0</v>
      </c>
      <c r="DG202" s="637">
        <v>0</v>
      </c>
      <c r="DH202" s="637">
        <v>0</v>
      </c>
      <c r="DI202" s="637">
        <v>0</v>
      </c>
      <c r="DJ202" s="637">
        <v>0</v>
      </c>
      <c r="DK202" s="637">
        <v>0</v>
      </c>
      <c r="DL202" s="637">
        <v>0</v>
      </c>
      <c r="DM202" s="637">
        <v>0</v>
      </c>
      <c r="DN202" s="637">
        <v>0</v>
      </c>
      <c r="DO202" s="637">
        <v>0</v>
      </c>
      <c r="DP202" s="636">
        <v>0</v>
      </c>
      <c r="DQ202" s="636">
        <v>0</v>
      </c>
      <c r="DR202" s="636">
        <v>0</v>
      </c>
      <c r="DS202" s="637">
        <v>0</v>
      </c>
      <c r="DT202" s="637">
        <v>0</v>
      </c>
      <c r="DU202" s="637">
        <v>0</v>
      </c>
      <c r="DV202" s="637">
        <v>0</v>
      </c>
      <c r="DW202" s="637">
        <v>0</v>
      </c>
      <c r="DX202" s="637">
        <v>0</v>
      </c>
      <c r="DY202" s="637">
        <v>0</v>
      </c>
      <c r="DZ202" s="637">
        <v>0</v>
      </c>
      <c r="EA202" s="637">
        <v>0</v>
      </c>
      <c r="EB202" s="637">
        <v>0</v>
      </c>
      <c r="EC202" s="637">
        <v>0</v>
      </c>
      <c r="ED202" s="637">
        <v>0</v>
      </c>
    </row>
    <row r="203" spans="1:134" ht="15" x14ac:dyDescent="0.25">
      <c r="A203" s="555">
        <v>119</v>
      </c>
      <c r="B203" s="555">
        <v>93</v>
      </c>
      <c r="C203" s="555" t="s">
        <v>1186</v>
      </c>
      <c r="D203" s="812">
        <v>99705</v>
      </c>
      <c r="E203" s="812">
        <v>99705</v>
      </c>
      <c r="F203" s="630" t="s">
        <v>311</v>
      </c>
      <c r="G203" s="45">
        <v>510</v>
      </c>
      <c r="H203" s="45">
        <v>185</v>
      </c>
      <c r="I203" s="45">
        <v>175</v>
      </c>
      <c r="J203" s="45">
        <v>10</v>
      </c>
      <c r="K203" s="45">
        <v>2</v>
      </c>
      <c r="L203" s="45">
        <v>102</v>
      </c>
      <c r="M203" s="45">
        <v>104</v>
      </c>
      <c r="N203" s="45">
        <v>3</v>
      </c>
      <c r="O203" s="45">
        <v>0</v>
      </c>
      <c r="P203" s="45">
        <v>0</v>
      </c>
      <c r="Q203" s="45">
        <v>107</v>
      </c>
      <c r="R203" s="45">
        <v>2336</v>
      </c>
      <c r="S203" s="45">
        <v>2328.039215686274</v>
      </c>
      <c r="T203" s="45">
        <v>2328.1923076923076</v>
      </c>
      <c r="U203" s="45">
        <v>5641</v>
      </c>
      <c r="V203" s="45">
        <v>0</v>
      </c>
      <c r="W203" s="45">
        <v>0</v>
      </c>
      <c r="X203" s="45">
        <v>2421.0747663551401</v>
      </c>
      <c r="Y203" s="45">
        <v>3.5576923076923075</v>
      </c>
      <c r="Z203" s="45">
        <v>181.44230769230768</v>
      </c>
      <c r="AA203" s="45">
        <v>0</v>
      </c>
      <c r="AB203" s="508">
        <v>3</v>
      </c>
      <c r="AC203" s="508">
        <v>0</v>
      </c>
      <c r="AD203" s="631">
        <v>188</v>
      </c>
      <c r="AE203" s="632">
        <v>3.365384615384615</v>
      </c>
      <c r="AF203" s="632">
        <v>171.63461538461536</v>
      </c>
      <c r="AG203" s="633">
        <v>174.99999999999997</v>
      </c>
      <c r="AH203" s="632">
        <v>0</v>
      </c>
      <c r="AI203" s="632">
        <v>3.3020781642472921</v>
      </c>
      <c r="AJ203" s="632">
        <v>168.40598637661188</v>
      </c>
      <c r="AK203" s="632">
        <v>171.70806454085917</v>
      </c>
      <c r="AL203" s="632">
        <v>0</v>
      </c>
      <c r="AM203" s="632">
        <v>3.1396086432595069</v>
      </c>
      <c r="AN203" s="632">
        <v>160.12004080623484</v>
      </c>
      <c r="AO203" s="632">
        <v>163.25964944949436</v>
      </c>
      <c r="AP203" s="632">
        <v>0</v>
      </c>
      <c r="AQ203" s="632">
        <v>2.8203230020047281</v>
      </c>
      <c r="AR203" s="632">
        <v>0</v>
      </c>
      <c r="AS203" s="632">
        <v>159.37113204523172</v>
      </c>
      <c r="AT203" s="632">
        <v>165.42463125898888</v>
      </c>
      <c r="AU203" s="632">
        <v>171.7080645408592</v>
      </c>
      <c r="AV203" s="632">
        <v>178.23016562877046</v>
      </c>
      <c r="AW203" s="632">
        <v>185</v>
      </c>
      <c r="AX203" s="632">
        <v>152.30693221926734</v>
      </c>
      <c r="AY203" s="632">
        <v>157.68822518769585</v>
      </c>
      <c r="AZ203" s="632">
        <v>163.25964944949436</v>
      </c>
      <c r="BA203" s="632">
        <v>169.02792270409498</v>
      </c>
      <c r="BB203" s="632">
        <v>174.99999999999997</v>
      </c>
      <c r="BC203" s="632">
        <v>2.6514072785456535</v>
      </c>
      <c r="BD203" s="632">
        <v>2.7345611961272809</v>
      </c>
      <c r="BE203" s="632">
        <v>2.8203230020047281</v>
      </c>
      <c r="BF203" s="632">
        <v>2.9087744852453215</v>
      </c>
      <c r="BG203" s="632">
        <v>3</v>
      </c>
      <c r="BH203" s="634">
        <v>189.11022456098314</v>
      </c>
      <c r="BI203" s="634">
        <v>193.31176774867819</v>
      </c>
      <c r="BJ203" s="634">
        <v>197.60665842828729</v>
      </c>
      <c r="BK203" s="635">
        <v>199.42344829352621</v>
      </c>
      <c r="BL203" s="635">
        <v>201.2402381587651</v>
      </c>
      <c r="BM203" s="635">
        <v>203.05702802400398</v>
      </c>
      <c r="BN203" s="635">
        <v>204.87381788924287</v>
      </c>
      <c r="BO203" s="635">
        <v>207.02205274498542</v>
      </c>
      <c r="BP203" s="635">
        <v>209.17028760072802</v>
      </c>
      <c r="BQ203" s="635">
        <v>215.12581132153474</v>
      </c>
      <c r="BR203" s="635">
        <v>222.22141019629055</v>
      </c>
      <c r="BS203" s="635">
        <v>225.33694796389867</v>
      </c>
      <c r="BT203" s="635">
        <v>227.04786447873389</v>
      </c>
      <c r="BU203" s="635">
        <v>228.8196799609868</v>
      </c>
      <c r="BV203" s="635">
        <v>230.63412472043228</v>
      </c>
      <c r="BW203" s="634">
        <v>178.88805026038941</v>
      </c>
      <c r="BX203" s="634">
        <v>182.86248300550636</v>
      </c>
      <c r="BY203" s="634">
        <v>186.92521743216361</v>
      </c>
      <c r="BZ203" s="635">
        <v>188.64380243982203</v>
      </c>
      <c r="CA203" s="635">
        <v>190.36238744748047</v>
      </c>
      <c r="CB203" s="635">
        <v>192.08097245513883</v>
      </c>
      <c r="CC203" s="635">
        <v>193.79955746279728</v>
      </c>
      <c r="CD203" s="635">
        <v>195.83167151552669</v>
      </c>
      <c r="CE203" s="635">
        <v>197.86378556825616</v>
      </c>
      <c r="CF203" s="635">
        <v>203.49738908793822</v>
      </c>
      <c r="CG203" s="635">
        <v>210.20944207757208</v>
      </c>
      <c r="CH203" s="635">
        <v>213.15657239828246</v>
      </c>
      <c r="CI203" s="635">
        <v>214.7750069393428</v>
      </c>
      <c r="CJ203" s="635">
        <v>216.45104861174423</v>
      </c>
      <c r="CK203" s="635">
        <v>218.16741527608454</v>
      </c>
      <c r="CL203" s="634">
        <v>3.066652290178105</v>
      </c>
      <c r="CM203" s="634">
        <v>3.1347854229515382</v>
      </c>
      <c r="CN203" s="634">
        <v>3.2044322988370908</v>
      </c>
      <c r="CO203" s="635">
        <v>3.2338937561112351</v>
      </c>
      <c r="CP203" s="635">
        <v>3.2633552133853798</v>
      </c>
      <c r="CQ203" s="635">
        <v>3.2928166706595237</v>
      </c>
      <c r="CR203" s="635">
        <v>3.3222781279336679</v>
      </c>
      <c r="CS203" s="635">
        <v>3.3571143688376011</v>
      </c>
      <c r="CT203" s="635">
        <v>3.3919506097415351</v>
      </c>
      <c r="CU203" s="635">
        <v>3.488526670078941</v>
      </c>
      <c r="CV203" s="635">
        <v>3.6035904356155219</v>
      </c>
      <c r="CW203" s="635">
        <v>3.6541126696848427</v>
      </c>
      <c r="CX203" s="635">
        <v>3.681857261817306</v>
      </c>
      <c r="CY203" s="635">
        <v>3.7105894047727586</v>
      </c>
      <c r="CZ203" s="635">
        <v>3.740012833304307</v>
      </c>
      <c r="DA203" s="636">
        <v>0</v>
      </c>
      <c r="DB203" s="636">
        <v>0</v>
      </c>
      <c r="DC203" s="636">
        <v>0</v>
      </c>
      <c r="DD203" s="637">
        <v>0</v>
      </c>
      <c r="DE203" s="637">
        <v>0</v>
      </c>
      <c r="DF203" s="637">
        <v>0</v>
      </c>
      <c r="DG203" s="637">
        <v>0</v>
      </c>
      <c r="DH203" s="637">
        <v>0</v>
      </c>
      <c r="DI203" s="637">
        <v>0</v>
      </c>
      <c r="DJ203" s="637">
        <v>0</v>
      </c>
      <c r="DK203" s="637">
        <v>0</v>
      </c>
      <c r="DL203" s="637">
        <v>0</v>
      </c>
      <c r="DM203" s="637">
        <v>0</v>
      </c>
      <c r="DN203" s="637">
        <v>0</v>
      </c>
      <c r="DO203" s="637">
        <v>0</v>
      </c>
      <c r="DP203" s="636">
        <v>0</v>
      </c>
      <c r="DQ203" s="636">
        <v>0</v>
      </c>
      <c r="DR203" s="636">
        <v>0</v>
      </c>
      <c r="DS203" s="637">
        <v>0</v>
      </c>
      <c r="DT203" s="637">
        <v>0</v>
      </c>
      <c r="DU203" s="637">
        <v>0</v>
      </c>
      <c r="DV203" s="637">
        <v>0</v>
      </c>
      <c r="DW203" s="637">
        <v>0</v>
      </c>
      <c r="DX203" s="637">
        <v>0</v>
      </c>
      <c r="DY203" s="637">
        <v>0</v>
      </c>
      <c r="DZ203" s="637">
        <v>0</v>
      </c>
      <c r="EA203" s="637">
        <v>0</v>
      </c>
      <c r="EB203" s="637">
        <v>0</v>
      </c>
      <c r="EC203" s="637">
        <v>0</v>
      </c>
      <c r="ED203" s="637">
        <v>0</v>
      </c>
    </row>
    <row r="204" spans="1:134" ht="15" x14ac:dyDescent="0.25">
      <c r="A204" s="555">
        <v>120</v>
      </c>
      <c r="B204" s="555">
        <v>93</v>
      </c>
      <c r="C204" s="555" t="s">
        <v>1187</v>
      </c>
      <c r="D204" s="812">
        <v>99705</v>
      </c>
      <c r="E204" s="812">
        <v>99705</v>
      </c>
      <c r="F204" s="630" t="s">
        <v>311</v>
      </c>
      <c r="G204" s="45">
        <v>249</v>
      </c>
      <c r="H204" s="45">
        <v>90</v>
      </c>
      <c r="I204" s="45">
        <v>84</v>
      </c>
      <c r="J204" s="45">
        <v>6</v>
      </c>
      <c r="K204" s="45">
        <v>0</v>
      </c>
      <c r="L204" s="45">
        <v>88</v>
      </c>
      <c r="M204" s="45">
        <v>88</v>
      </c>
      <c r="N204" s="45">
        <v>1</v>
      </c>
      <c r="O204" s="45">
        <v>0</v>
      </c>
      <c r="P204" s="45">
        <v>0</v>
      </c>
      <c r="Q204" s="45">
        <v>89</v>
      </c>
      <c r="R204" s="45">
        <v>0</v>
      </c>
      <c r="S204" s="45">
        <v>2188.1363636363635</v>
      </c>
      <c r="T204" s="45">
        <v>2188.1363636363635</v>
      </c>
      <c r="U204" s="45">
        <v>5190</v>
      </c>
      <c r="V204" s="45">
        <v>0</v>
      </c>
      <c r="W204" s="45">
        <v>0</v>
      </c>
      <c r="X204" s="45">
        <v>2221.8651685393256</v>
      </c>
      <c r="Y204" s="45">
        <v>0</v>
      </c>
      <c r="Z204" s="45">
        <v>90</v>
      </c>
      <c r="AA204" s="45">
        <v>0</v>
      </c>
      <c r="AB204" s="508">
        <v>1</v>
      </c>
      <c r="AC204" s="508">
        <v>0</v>
      </c>
      <c r="AD204" s="631">
        <v>91</v>
      </c>
      <c r="AE204" s="632">
        <v>0</v>
      </c>
      <c r="AF204" s="632">
        <v>84</v>
      </c>
      <c r="AG204" s="633">
        <v>84</v>
      </c>
      <c r="AH204" s="632">
        <v>0</v>
      </c>
      <c r="AI204" s="632">
        <v>0</v>
      </c>
      <c r="AJ204" s="632">
        <v>83.533653019877448</v>
      </c>
      <c r="AK204" s="632">
        <v>83.533653019877448</v>
      </c>
      <c r="AL204" s="632">
        <v>0</v>
      </c>
      <c r="AM204" s="632">
        <v>0</v>
      </c>
      <c r="AN204" s="632">
        <v>78.3646317357573</v>
      </c>
      <c r="AO204" s="632">
        <v>78.3646317357573</v>
      </c>
      <c r="AP204" s="632">
        <v>0</v>
      </c>
      <c r="AQ204" s="632">
        <v>0.94010766733490925</v>
      </c>
      <c r="AR204" s="632">
        <v>0</v>
      </c>
      <c r="AS204" s="632">
        <v>77.531902076058671</v>
      </c>
      <c r="AT204" s="632">
        <v>80.476847639508108</v>
      </c>
      <c r="AU204" s="632">
        <v>83.533653019877448</v>
      </c>
      <c r="AV204" s="632">
        <v>86.706567062645092</v>
      </c>
      <c r="AW204" s="632">
        <v>90</v>
      </c>
      <c r="AX204" s="632">
        <v>73.107327465248332</v>
      </c>
      <c r="AY204" s="632">
        <v>75.69034809009402</v>
      </c>
      <c r="AZ204" s="632">
        <v>78.3646317357573</v>
      </c>
      <c r="BA204" s="632">
        <v>81.133402897965595</v>
      </c>
      <c r="BB204" s="632">
        <v>84</v>
      </c>
      <c r="BC204" s="632">
        <v>0.88380242618188454</v>
      </c>
      <c r="BD204" s="632">
        <v>0.91152039870909352</v>
      </c>
      <c r="BE204" s="632">
        <v>0.94010766733490925</v>
      </c>
      <c r="BF204" s="632">
        <v>0.96959149508177378</v>
      </c>
      <c r="BG204" s="632">
        <v>1</v>
      </c>
      <c r="BH204" s="634">
        <v>91.999568705343151</v>
      </c>
      <c r="BI204" s="634">
        <v>94.043562688546146</v>
      </c>
      <c r="BJ204" s="634">
        <v>96.132968965112724</v>
      </c>
      <c r="BK204" s="635">
        <v>97.016812683337051</v>
      </c>
      <c r="BL204" s="635">
        <v>97.900656401561392</v>
      </c>
      <c r="BM204" s="635">
        <v>98.784500119785704</v>
      </c>
      <c r="BN204" s="635">
        <v>99.668343838010031</v>
      </c>
      <c r="BO204" s="635">
        <v>100.71343106512803</v>
      </c>
      <c r="BP204" s="635">
        <v>101.75851829224605</v>
      </c>
      <c r="BQ204" s="635">
        <v>104.65580010236823</v>
      </c>
      <c r="BR204" s="635">
        <v>108.10771306846566</v>
      </c>
      <c r="BS204" s="635">
        <v>109.62338009054528</v>
      </c>
      <c r="BT204" s="635">
        <v>110.45571785451918</v>
      </c>
      <c r="BU204" s="635">
        <v>111.31768214318276</v>
      </c>
      <c r="BV204" s="635">
        <v>112.20038499912921</v>
      </c>
      <c r="BW204" s="634">
        <v>85.866264124986941</v>
      </c>
      <c r="BX204" s="634">
        <v>87.773991842643071</v>
      </c>
      <c r="BY204" s="634">
        <v>89.724104367438542</v>
      </c>
      <c r="BZ204" s="635">
        <v>90.549025171114593</v>
      </c>
      <c r="CA204" s="635">
        <v>91.37394597479063</v>
      </c>
      <c r="CB204" s="635">
        <v>92.198866778466652</v>
      </c>
      <c r="CC204" s="635">
        <v>93.023787582142702</v>
      </c>
      <c r="CD204" s="635">
        <v>93.999202327452835</v>
      </c>
      <c r="CE204" s="635">
        <v>94.974617072762982</v>
      </c>
      <c r="CF204" s="635">
        <v>97.678746762210352</v>
      </c>
      <c r="CG204" s="635">
        <v>100.90053219723461</v>
      </c>
      <c r="CH204" s="635">
        <v>102.3151547511756</v>
      </c>
      <c r="CI204" s="635">
        <v>103.09200333088457</v>
      </c>
      <c r="CJ204" s="635">
        <v>103.89650333363724</v>
      </c>
      <c r="CK204" s="635">
        <v>104.72035933252059</v>
      </c>
      <c r="CL204" s="634">
        <v>1.0222174300593683</v>
      </c>
      <c r="CM204" s="634">
        <v>1.0449284743171794</v>
      </c>
      <c r="CN204" s="634">
        <v>1.0681440996123637</v>
      </c>
      <c r="CO204" s="635">
        <v>1.0779645853704118</v>
      </c>
      <c r="CP204" s="635">
        <v>1.08778507112846</v>
      </c>
      <c r="CQ204" s="635">
        <v>1.097605556886508</v>
      </c>
      <c r="CR204" s="635">
        <v>1.1074260426445561</v>
      </c>
      <c r="CS204" s="635">
        <v>1.119038122945867</v>
      </c>
      <c r="CT204" s="635">
        <v>1.1306502032471784</v>
      </c>
      <c r="CU204" s="635">
        <v>1.1628422233596472</v>
      </c>
      <c r="CV204" s="635">
        <v>1.2011968118718408</v>
      </c>
      <c r="CW204" s="635">
        <v>1.2180375565616144</v>
      </c>
      <c r="CX204" s="635">
        <v>1.227285753939102</v>
      </c>
      <c r="CY204" s="635">
        <v>1.2368631349242529</v>
      </c>
      <c r="CZ204" s="635">
        <v>1.246670944434769</v>
      </c>
      <c r="DA204" s="636">
        <v>0</v>
      </c>
      <c r="DB204" s="636">
        <v>0</v>
      </c>
      <c r="DC204" s="636">
        <v>0</v>
      </c>
      <c r="DD204" s="637">
        <v>0</v>
      </c>
      <c r="DE204" s="637">
        <v>0</v>
      </c>
      <c r="DF204" s="637">
        <v>0</v>
      </c>
      <c r="DG204" s="637">
        <v>0</v>
      </c>
      <c r="DH204" s="637">
        <v>0</v>
      </c>
      <c r="DI204" s="637">
        <v>0</v>
      </c>
      <c r="DJ204" s="637">
        <v>0</v>
      </c>
      <c r="DK204" s="637">
        <v>0</v>
      </c>
      <c r="DL204" s="637">
        <v>0</v>
      </c>
      <c r="DM204" s="637">
        <v>0</v>
      </c>
      <c r="DN204" s="637">
        <v>0</v>
      </c>
      <c r="DO204" s="637">
        <v>0</v>
      </c>
      <c r="DP204" s="636">
        <v>0</v>
      </c>
      <c r="DQ204" s="636">
        <v>0</v>
      </c>
      <c r="DR204" s="636">
        <v>0</v>
      </c>
      <c r="DS204" s="637">
        <v>0</v>
      </c>
      <c r="DT204" s="637">
        <v>0</v>
      </c>
      <c r="DU204" s="637">
        <v>0</v>
      </c>
      <c r="DV204" s="637">
        <v>0</v>
      </c>
      <c r="DW204" s="637">
        <v>0</v>
      </c>
      <c r="DX204" s="637">
        <v>0</v>
      </c>
      <c r="DY204" s="637">
        <v>0</v>
      </c>
      <c r="DZ204" s="637">
        <v>0</v>
      </c>
      <c r="EA204" s="637">
        <v>0</v>
      </c>
      <c r="EB204" s="637">
        <v>0</v>
      </c>
      <c r="EC204" s="637">
        <v>0</v>
      </c>
      <c r="ED204" s="637">
        <v>0</v>
      </c>
    </row>
    <row r="205" spans="1:134" ht="15" x14ac:dyDescent="0.25">
      <c r="A205" s="555">
        <v>121</v>
      </c>
      <c r="B205" s="555">
        <v>93</v>
      </c>
      <c r="C205" s="555" t="s">
        <v>1188</v>
      </c>
      <c r="D205" s="812">
        <v>99705</v>
      </c>
      <c r="E205" s="812">
        <v>99705</v>
      </c>
      <c r="F205" s="630" t="s">
        <v>311</v>
      </c>
      <c r="G205" s="45">
        <v>26</v>
      </c>
      <c r="H205" s="45">
        <v>17</v>
      </c>
      <c r="I205" s="45">
        <v>11</v>
      </c>
      <c r="J205" s="45">
        <v>6</v>
      </c>
      <c r="K205" s="45">
        <v>0</v>
      </c>
      <c r="L205" s="45">
        <v>16</v>
      </c>
      <c r="M205" s="45">
        <v>16</v>
      </c>
      <c r="N205" s="45">
        <v>0</v>
      </c>
      <c r="O205" s="45">
        <v>0</v>
      </c>
      <c r="P205" s="45">
        <v>0</v>
      </c>
      <c r="Q205" s="45">
        <v>16</v>
      </c>
      <c r="R205" s="45">
        <v>0</v>
      </c>
      <c r="S205" s="45">
        <v>2378.9375</v>
      </c>
      <c r="T205" s="45">
        <v>2378.9375</v>
      </c>
      <c r="U205" s="45">
        <v>0</v>
      </c>
      <c r="V205" s="45">
        <v>0</v>
      </c>
      <c r="W205" s="45">
        <v>0</v>
      </c>
      <c r="X205" s="45">
        <v>2378.9375</v>
      </c>
      <c r="Y205" s="45">
        <v>0</v>
      </c>
      <c r="Z205" s="45">
        <v>17</v>
      </c>
      <c r="AA205" s="45">
        <v>0</v>
      </c>
      <c r="AB205" s="508">
        <v>0</v>
      </c>
      <c r="AC205" s="508">
        <v>0</v>
      </c>
      <c r="AD205" s="631">
        <v>17</v>
      </c>
      <c r="AE205" s="632">
        <v>0</v>
      </c>
      <c r="AF205" s="632">
        <v>11</v>
      </c>
      <c r="AG205" s="633">
        <v>11</v>
      </c>
      <c r="AH205" s="632">
        <v>0</v>
      </c>
      <c r="AI205" s="632">
        <v>0</v>
      </c>
      <c r="AJ205" s="632">
        <v>15.778578903754628</v>
      </c>
      <c r="AK205" s="632">
        <v>15.778578903754628</v>
      </c>
      <c r="AL205" s="632">
        <v>0</v>
      </c>
      <c r="AM205" s="632">
        <v>0</v>
      </c>
      <c r="AN205" s="632">
        <v>10.262035108253933</v>
      </c>
      <c r="AO205" s="632">
        <v>10.262035108253933</v>
      </c>
      <c r="AP205" s="632">
        <v>0</v>
      </c>
      <c r="AQ205" s="632">
        <v>0</v>
      </c>
      <c r="AR205" s="632">
        <v>0</v>
      </c>
      <c r="AS205" s="632">
        <v>14.64491483658886</v>
      </c>
      <c r="AT205" s="632">
        <v>15.201182331907088</v>
      </c>
      <c r="AU205" s="632">
        <v>15.778578903754628</v>
      </c>
      <c r="AV205" s="632">
        <v>16.377907111832961</v>
      </c>
      <c r="AW205" s="632">
        <v>17</v>
      </c>
      <c r="AX205" s="632">
        <v>9.5735785966396634</v>
      </c>
      <c r="AY205" s="632">
        <v>9.9118312975123128</v>
      </c>
      <c r="AZ205" s="632">
        <v>10.262035108253933</v>
      </c>
      <c r="BA205" s="632">
        <v>10.624612284257401</v>
      </c>
      <c r="BB205" s="632">
        <v>11</v>
      </c>
      <c r="BC205" s="632">
        <v>0</v>
      </c>
      <c r="BD205" s="632">
        <v>0</v>
      </c>
      <c r="BE205" s="632">
        <v>0</v>
      </c>
      <c r="BF205" s="632">
        <v>0</v>
      </c>
      <c r="BG205" s="632">
        <v>0</v>
      </c>
      <c r="BH205" s="634">
        <v>17.276955421921539</v>
      </c>
      <c r="BI205" s="634">
        <v>17.558422861827299</v>
      </c>
      <c r="BJ205" s="634">
        <v>17.844475827237545</v>
      </c>
      <c r="BK205" s="635">
        <v>18.168796802252544</v>
      </c>
      <c r="BL205" s="635">
        <v>18.493117777267543</v>
      </c>
      <c r="BM205" s="635">
        <v>18.817438752282538</v>
      </c>
      <c r="BN205" s="635">
        <v>19.141759727297536</v>
      </c>
      <c r="BO205" s="635">
        <v>19.525248008637121</v>
      </c>
      <c r="BP205" s="635">
        <v>19.908736289976702</v>
      </c>
      <c r="BQ205" s="635">
        <v>20.971875895064169</v>
      </c>
      <c r="BR205" s="635">
        <v>22.23853396565702</v>
      </c>
      <c r="BS205" s="635">
        <v>22.79469858646409</v>
      </c>
      <c r="BT205" s="635">
        <v>23.100119770761403</v>
      </c>
      <c r="BU205" s="635">
        <v>23.416412224691072</v>
      </c>
      <c r="BV205" s="635">
        <v>23.740314567363381</v>
      </c>
      <c r="BW205" s="634">
        <v>11.179206449478643</v>
      </c>
      <c r="BX205" s="634">
        <v>11.361332440005899</v>
      </c>
      <c r="BY205" s="634">
        <v>11.546425535271352</v>
      </c>
      <c r="BZ205" s="635">
        <v>11.756280283810469</v>
      </c>
      <c r="CA205" s="635">
        <v>11.966135032349586</v>
      </c>
      <c r="CB205" s="635">
        <v>12.175989780888701</v>
      </c>
      <c r="CC205" s="635">
        <v>12.385844529427818</v>
      </c>
      <c r="CD205" s="635">
        <v>12.633984005588724</v>
      </c>
      <c r="CE205" s="635">
        <v>12.882123481749629</v>
      </c>
      <c r="CF205" s="635">
        <v>13.570037343865051</v>
      </c>
      <c r="CG205" s="635">
        <v>14.389639624836892</v>
      </c>
      <c r="CH205" s="635">
        <v>14.749510850064999</v>
      </c>
      <c r="CI205" s="635">
        <v>14.947136322257379</v>
      </c>
      <c r="CJ205" s="635">
        <v>15.151796145388341</v>
      </c>
      <c r="CK205" s="635">
        <v>15.361380014176305</v>
      </c>
      <c r="CL205" s="634">
        <v>0</v>
      </c>
      <c r="CM205" s="634">
        <v>0</v>
      </c>
      <c r="CN205" s="634">
        <v>0</v>
      </c>
      <c r="CO205" s="635">
        <v>0</v>
      </c>
      <c r="CP205" s="635">
        <v>0</v>
      </c>
      <c r="CQ205" s="635">
        <v>0</v>
      </c>
      <c r="CR205" s="635">
        <v>0</v>
      </c>
      <c r="CS205" s="635">
        <v>0</v>
      </c>
      <c r="CT205" s="635">
        <v>0</v>
      </c>
      <c r="CU205" s="635">
        <v>0</v>
      </c>
      <c r="CV205" s="635">
        <v>0</v>
      </c>
      <c r="CW205" s="635">
        <v>0</v>
      </c>
      <c r="CX205" s="635">
        <v>0</v>
      </c>
      <c r="CY205" s="635">
        <v>0</v>
      </c>
      <c r="CZ205" s="635">
        <v>0</v>
      </c>
      <c r="DA205" s="636">
        <v>0</v>
      </c>
      <c r="DB205" s="636">
        <v>0</v>
      </c>
      <c r="DC205" s="636">
        <v>0</v>
      </c>
      <c r="DD205" s="637">
        <v>0</v>
      </c>
      <c r="DE205" s="637">
        <v>0</v>
      </c>
      <c r="DF205" s="637">
        <v>0</v>
      </c>
      <c r="DG205" s="637">
        <v>0</v>
      </c>
      <c r="DH205" s="637">
        <v>0</v>
      </c>
      <c r="DI205" s="637">
        <v>0</v>
      </c>
      <c r="DJ205" s="637">
        <v>0</v>
      </c>
      <c r="DK205" s="637">
        <v>0</v>
      </c>
      <c r="DL205" s="637">
        <v>0</v>
      </c>
      <c r="DM205" s="637">
        <v>0</v>
      </c>
      <c r="DN205" s="637">
        <v>0</v>
      </c>
      <c r="DO205" s="637">
        <v>0</v>
      </c>
      <c r="DP205" s="636">
        <v>0</v>
      </c>
      <c r="DQ205" s="636">
        <v>0</v>
      </c>
      <c r="DR205" s="636">
        <v>0</v>
      </c>
      <c r="DS205" s="637">
        <v>0</v>
      </c>
      <c r="DT205" s="637">
        <v>0</v>
      </c>
      <c r="DU205" s="637">
        <v>0</v>
      </c>
      <c r="DV205" s="637">
        <v>0</v>
      </c>
      <c r="DW205" s="637">
        <v>0</v>
      </c>
      <c r="DX205" s="637">
        <v>0</v>
      </c>
      <c r="DY205" s="637">
        <v>0</v>
      </c>
      <c r="DZ205" s="637">
        <v>0</v>
      </c>
      <c r="EA205" s="637">
        <v>0</v>
      </c>
      <c r="EB205" s="637">
        <v>0</v>
      </c>
      <c r="EC205" s="637">
        <v>0</v>
      </c>
      <c r="ED205" s="637">
        <v>0</v>
      </c>
    </row>
    <row r="206" spans="1:134" ht="15" x14ac:dyDescent="0.25">
      <c r="A206" s="555">
        <v>98</v>
      </c>
      <c r="B206" s="555">
        <v>94</v>
      </c>
      <c r="C206" s="555" t="s">
        <v>1189</v>
      </c>
      <c r="D206" s="812">
        <v>99709</v>
      </c>
      <c r="E206" s="812">
        <v>99709</v>
      </c>
      <c r="F206" s="630" t="s">
        <v>989</v>
      </c>
      <c r="G206" s="45">
        <v>58</v>
      </c>
      <c r="H206" s="45">
        <v>30</v>
      </c>
      <c r="I206" s="45">
        <v>24</v>
      </c>
      <c r="J206" s="45">
        <v>6</v>
      </c>
      <c r="K206" s="45">
        <v>0</v>
      </c>
      <c r="L206" s="45">
        <v>38</v>
      </c>
      <c r="M206" s="45">
        <v>38</v>
      </c>
      <c r="N206" s="45">
        <v>1</v>
      </c>
      <c r="O206" s="45">
        <v>0</v>
      </c>
      <c r="P206" s="45">
        <v>0</v>
      </c>
      <c r="Q206" s="45">
        <v>39</v>
      </c>
      <c r="R206" s="45">
        <v>0</v>
      </c>
      <c r="S206" s="45">
        <v>1811.2368421052631</v>
      </c>
      <c r="T206" s="45">
        <v>1811.2368421052631</v>
      </c>
      <c r="U206" s="45">
        <v>2080</v>
      </c>
      <c r="V206" s="45">
        <v>0</v>
      </c>
      <c r="W206" s="45">
        <v>0</v>
      </c>
      <c r="X206" s="45">
        <v>1818.1282051282051</v>
      </c>
      <c r="Y206" s="45">
        <v>0</v>
      </c>
      <c r="Z206" s="45">
        <v>30</v>
      </c>
      <c r="AA206" s="45">
        <v>0</v>
      </c>
      <c r="AB206" s="508">
        <v>1</v>
      </c>
      <c r="AC206" s="508">
        <v>0</v>
      </c>
      <c r="AD206" s="631">
        <v>31</v>
      </c>
      <c r="AE206" s="632">
        <v>0</v>
      </c>
      <c r="AF206" s="632">
        <v>24</v>
      </c>
      <c r="AG206" s="633">
        <v>24</v>
      </c>
      <c r="AH206" s="632">
        <v>0</v>
      </c>
      <c r="AI206" s="632">
        <v>0</v>
      </c>
      <c r="AJ206" s="632">
        <v>28.564751850232181</v>
      </c>
      <c r="AK206" s="632">
        <v>28.564751850232181</v>
      </c>
      <c r="AL206" s="632">
        <v>0</v>
      </c>
      <c r="AM206" s="632">
        <v>0</v>
      </c>
      <c r="AN206" s="632">
        <v>22.894911093551432</v>
      </c>
      <c r="AO206" s="632">
        <v>22.894911093551432</v>
      </c>
      <c r="AP206" s="632">
        <v>0</v>
      </c>
      <c r="AQ206" s="632">
        <v>0.95966573850124082</v>
      </c>
      <c r="AR206" s="632">
        <v>0</v>
      </c>
      <c r="AS206" s="632">
        <v>27.198168275511424</v>
      </c>
      <c r="AT206" s="632">
        <v>27.873086079062741</v>
      </c>
      <c r="AU206" s="632">
        <v>28.564751850232181</v>
      </c>
      <c r="AV206" s="632">
        <v>29.273581186916051</v>
      </c>
      <c r="AW206" s="632">
        <v>30</v>
      </c>
      <c r="AX206" s="632">
        <v>21.840706415901014</v>
      </c>
      <c r="AY206" s="632">
        <v>22.361597250921324</v>
      </c>
      <c r="AZ206" s="632">
        <v>22.894911093551432</v>
      </c>
      <c r="BA206" s="632">
        <v>23.440944226827433</v>
      </c>
      <c r="BB206" s="632">
        <v>24</v>
      </c>
      <c r="BC206" s="632">
        <v>0.92095832965313207</v>
      </c>
      <c r="BD206" s="632">
        <v>0.94011284192667122</v>
      </c>
      <c r="BE206" s="632">
        <v>0.95966573850124082</v>
      </c>
      <c r="BF206" s="632">
        <v>0.97962530515561963</v>
      </c>
      <c r="BG206" s="632">
        <v>1</v>
      </c>
      <c r="BH206" s="634">
        <v>30.153678870335192</v>
      </c>
      <c r="BI206" s="634">
        <v>30.308144980509965</v>
      </c>
      <c r="BJ206" s="634">
        <v>30.463402363261956</v>
      </c>
      <c r="BK206" s="635">
        <v>31.123920208024167</v>
      </c>
      <c r="BL206" s="635">
        <v>31.784438052786378</v>
      </c>
      <c r="BM206" s="635">
        <v>32.444955897548581</v>
      </c>
      <c r="BN206" s="635">
        <v>33.105473742310792</v>
      </c>
      <c r="BO206" s="635">
        <v>33.886492771592721</v>
      </c>
      <c r="BP206" s="635">
        <v>34.667511800874657</v>
      </c>
      <c r="BQ206" s="635">
        <v>36.832720759688527</v>
      </c>
      <c r="BR206" s="635">
        <v>39.412419031747405</v>
      </c>
      <c r="BS206" s="635">
        <v>40.54511375385561</v>
      </c>
      <c r="BT206" s="635">
        <v>41.167139949933301</v>
      </c>
      <c r="BU206" s="635">
        <v>41.811306766385762</v>
      </c>
      <c r="BV206" s="635">
        <v>42.470972017100593</v>
      </c>
      <c r="BW206" s="634">
        <v>24.122943096268152</v>
      </c>
      <c r="BX206" s="634">
        <v>24.246515984407971</v>
      </c>
      <c r="BY206" s="634">
        <v>24.370721890609566</v>
      </c>
      <c r="BZ206" s="635">
        <v>24.899136166419336</v>
      </c>
      <c r="CA206" s="635">
        <v>25.427550442229101</v>
      </c>
      <c r="CB206" s="635">
        <v>25.955964718038864</v>
      </c>
      <c r="CC206" s="635">
        <v>26.484378993848633</v>
      </c>
      <c r="CD206" s="635">
        <v>27.10919421727418</v>
      </c>
      <c r="CE206" s="635">
        <v>27.734009440699726</v>
      </c>
      <c r="CF206" s="635">
        <v>29.466176607750821</v>
      </c>
      <c r="CG206" s="635">
        <v>31.529935225397924</v>
      </c>
      <c r="CH206" s="635">
        <v>32.436091003084492</v>
      </c>
      <c r="CI206" s="635">
        <v>32.933711959946642</v>
      </c>
      <c r="CJ206" s="635">
        <v>33.449045413108614</v>
      </c>
      <c r="CK206" s="635">
        <v>33.976777613680476</v>
      </c>
      <c r="CL206" s="634">
        <v>1.005122629011173</v>
      </c>
      <c r="CM206" s="634">
        <v>1.0102714993503321</v>
      </c>
      <c r="CN206" s="634">
        <v>1.0154467454420653</v>
      </c>
      <c r="CO206" s="635">
        <v>1.037464006934139</v>
      </c>
      <c r="CP206" s="635">
        <v>1.0594812684262127</v>
      </c>
      <c r="CQ206" s="635">
        <v>1.081498529918286</v>
      </c>
      <c r="CR206" s="635">
        <v>1.1035157914103597</v>
      </c>
      <c r="CS206" s="635">
        <v>1.1295497590530907</v>
      </c>
      <c r="CT206" s="635">
        <v>1.155583726695822</v>
      </c>
      <c r="CU206" s="635">
        <v>1.2277573586562842</v>
      </c>
      <c r="CV206" s="635">
        <v>1.313747301058247</v>
      </c>
      <c r="CW206" s="635">
        <v>1.3515037917951871</v>
      </c>
      <c r="CX206" s="635">
        <v>1.3722379983311102</v>
      </c>
      <c r="CY206" s="635">
        <v>1.3937102255461922</v>
      </c>
      <c r="CZ206" s="635">
        <v>1.4156990672366865</v>
      </c>
      <c r="DA206" s="636">
        <v>0</v>
      </c>
      <c r="DB206" s="636">
        <v>0</v>
      </c>
      <c r="DC206" s="636">
        <v>0</v>
      </c>
      <c r="DD206" s="637">
        <v>0</v>
      </c>
      <c r="DE206" s="637">
        <v>0</v>
      </c>
      <c r="DF206" s="637">
        <v>0</v>
      </c>
      <c r="DG206" s="637">
        <v>0</v>
      </c>
      <c r="DH206" s="637">
        <v>0</v>
      </c>
      <c r="DI206" s="637">
        <v>0</v>
      </c>
      <c r="DJ206" s="637">
        <v>0</v>
      </c>
      <c r="DK206" s="637">
        <v>0</v>
      </c>
      <c r="DL206" s="637">
        <v>0</v>
      </c>
      <c r="DM206" s="637">
        <v>0</v>
      </c>
      <c r="DN206" s="637">
        <v>0</v>
      </c>
      <c r="DO206" s="637">
        <v>0</v>
      </c>
      <c r="DP206" s="636">
        <v>0</v>
      </c>
      <c r="DQ206" s="636">
        <v>0</v>
      </c>
      <c r="DR206" s="636">
        <v>0</v>
      </c>
      <c r="DS206" s="637">
        <v>0</v>
      </c>
      <c r="DT206" s="637">
        <v>0</v>
      </c>
      <c r="DU206" s="637">
        <v>0</v>
      </c>
      <c r="DV206" s="637">
        <v>0</v>
      </c>
      <c r="DW206" s="637">
        <v>0</v>
      </c>
      <c r="DX206" s="637">
        <v>0</v>
      </c>
      <c r="DY206" s="637">
        <v>0</v>
      </c>
      <c r="DZ206" s="637">
        <v>0</v>
      </c>
      <c r="EA206" s="637">
        <v>0</v>
      </c>
      <c r="EB206" s="637">
        <v>0</v>
      </c>
      <c r="EC206" s="637">
        <v>0</v>
      </c>
      <c r="ED206" s="637">
        <v>0</v>
      </c>
    </row>
    <row r="207" spans="1:134" ht="15" x14ac:dyDescent="0.25">
      <c r="A207" s="555">
        <v>99</v>
      </c>
      <c r="B207" s="555">
        <v>94</v>
      </c>
      <c r="C207" s="555" t="s">
        <v>1190</v>
      </c>
      <c r="D207" s="812">
        <v>99709</v>
      </c>
      <c r="E207" s="812">
        <v>99725</v>
      </c>
      <c r="F207" s="630" t="s">
        <v>311</v>
      </c>
      <c r="G207" s="45">
        <v>66</v>
      </c>
      <c r="H207" s="45">
        <v>38</v>
      </c>
      <c r="I207" s="45">
        <v>34</v>
      </c>
      <c r="J207" s="45">
        <v>4</v>
      </c>
      <c r="K207" s="45">
        <v>0</v>
      </c>
      <c r="L207" s="45">
        <v>52</v>
      </c>
      <c r="M207" s="45">
        <v>52</v>
      </c>
      <c r="N207" s="45">
        <v>7</v>
      </c>
      <c r="O207" s="45">
        <v>0</v>
      </c>
      <c r="P207" s="45">
        <v>0</v>
      </c>
      <c r="Q207" s="45">
        <v>59</v>
      </c>
      <c r="R207" s="45">
        <v>0</v>
      </c>
      <c r="S207" s="45">
        <v>1350.5576923076924</v>
      </c>
      <c r="T207" s="45">
        <v>1350.5576923076924</v>
      </c>
      <c r="U207" s="45">
        <v>3115.7142857142858</v>
      </c>
      <c r="V207" s="45">
        <v>0</v>
      </c>
      <c r="W207" s="45">
        <v>0</v>
      </c>
      <c r="X207" s="45">
        <v>1559.9830508474577</v>
      </c>
      <c r="Y207" s="45">
        <v>0</v>
      </c>
      <c r="Z207" s="45">
        <v>38</v>
      </c>
      <c r="AA207" s="45">
        <v>0</v>
      </c>
      <c r="AB207" s="508">
        <v>7</v>
      </c>
      <c r="AC207" s="508">
        <v>0</v>
      </c>
      <c r="AD207" s="631">
        <v>45</v>
      </c>
      <c r="AE207" s="632">
        <v>0</v>
      </c>
      <c r="AF207" s="632">
        <v>34</v>
      </c>
      <c r="AG207" s="633">
        <v>34</v>
      </c>
      <c r="AH207" s="632">
        <v>0</v>
      </c>
      <c r="AI207" s="632">
        <v>0</v>
      </c>
      <c r="AJ207" s="632">
        <v>36.182019010294098</v>
      </c>
      <c r="AK207" s="632">
        <v>36.182019010294098</v>
      </c>
      <c r="AL207" s="632">
        <v>0</v>
      </c>
      <c r="AM207" s="632">
        <v>0</v>
      </c>
      <c r="AN207" s="632">
        <v>32.434457382531193</v>
      </c>
      <c r="AO207" s="632">
        <v>32.434457382531193</v>
      </c>
      <c r="AP207" s="632">
        <v>0</v>
      </c>
      <c r="AQ207" s="632">
        <v>6.7176601695086857</v>
      </c>
      <c r="AR207" s="632">
        <v>0</v>
      </c>
      <c r="AS207" s="632">
        <v>34.45101314898114</v>
      </c>
      <c r="AT207" s="632">
        <v>35.305909033479473</v>
      </c>
      <c r="AU207" s="632">
        <v>36.182019010294098</v>
      </c>
      <c r="AV207" s="632">
        <v>37.079869503426998</v>
      </c>
      <c r="AW207" s="632">
        <v>38</v>
      </c>
      <c r="AX207" s="632">
        <v>30.941000755859772</v>
      </c>
      <c r="AY207" s="632">
        <v>31.678929438805209</v>
      </c>
      <c r="AZ207" s="632">
        <v>32.434457382531193</v>
      </c>
      <c r="BA207" s="632">
        <v>33.208004321338862</v>
      </c>
      <c r="BB207" s="632">
        <v>34</v>
      </c>
      <c r="BC207" s="632">
        <v>6.4467083075719245</v>
      </c>
      <c r="BD207" s="632">
        <v>6.5807898934866982</v>
      </c>
      <c r="BE207" s="632">
        <v>6.7176601695086857</v>
      </c>
      <c r="BF207" s="632">
        <v>6.8573771360893376</v>
      </c>
      <c r="BG207" s="632">
        <v>7</v>
      </c>
      <c r="BH207" s="634">
        <v>38.395345683097716</v>
      </c>
      <c r="BI207" s="634">
        <v>38.794804476962369</v>
      </c>
      <c r="BJ207" s="634">
        <v>39.198419173714655</v>
      </c>
      <c r="BK207" s="635">
        <v>40.017469701864016</v>
      </c>
      <c r="BL207" s="635">
        <v>40.83652023001337</v>
      </c>
      <c r="BM207" s="635">
        <v>41.655570758162732</v>
      </c>
      <c r="BN207" s="635">
        <v>42.474621286312086</v>
      </c>
      <c r="BO207" s="635">
        <v>43.443094815832495</v>
      </c>
      <c r="BP207" s="635">
        <v>44.411568345352904</v>
      </c>
      <c r="BQ207" s="635">
        <v>47.096454991994023</v>
      </c>
      <c r="BR207" s="635">
        <v>50.295313658645917</v>
      </c>
      <c r="BS207" s="635">
        <v>51.699869519977291</v>
      </c>
      <c r="BT207" s="635">
        <v>52.471189914210662</v>
      </c>
      <c r="BU207" s="635">
        <v>53.269964959299152</v>
      </c>
      <c r="BV207" s="635">
        <v>54.087958259986245</v>
      </c>
      <c r="BW207" s="634">
        <v>34.353730348034794</v>
      </c>
      <c r="BX207" s="634">
        <v>34.711140847808437</v>
      </c>
      <c r="BY207" s="634">
        <v>35.072269787007848</v>
      </c>
      <c r="BZ207" s="635">
        <v>35.80510447008885</v>
      </c>
      <c r="CA207" s="635">
        <v>36.537939153169859</v>
      </c>
      <c r="CB207" s="635">
        <v>37.270773836250861</v>
      </c>
      <c r="CC207" s="635">
        <v>38.00360851933187</v>
      </c>
      <c r="CD207" s="635">
        <v>38.870137466797495</v>
      </c>
      <c r="CE207" s="635">
        <v>39.736666414263127</v>
      </c>
      <c r="CF207" s="635">
        <v>42.13893341388939</v>
      </c>
      <c r="CG207" s="635">
        <v>45.001070115630554</v>
      </c>
      <c r="CH207" s="635">
        <v>46.257777991558626</v>
      </c>
      <c r="CI207" s="635">
        <v>46.947906765346382</v>
      </c>
      <c r="CJ207" s="635">
        <v>47.662600226741347</v>
      </c>
      <c r="CK207" s="635">
        <v>48.394488969461371</v>
      </c>
      <c r="CL207" s="634">
        <v>7.0728268363601048</v>
      </c>
      <c r="CM207" s="634">
        <v>7.1464113510193847</v>
      </c>
      <c r="CN207" s="634">
        <v>7.2207614267369102</v>
      </c>
      <c r="CO207" s="635">
        <v>7.3716391556065286</v>
      </c>
      <c r="CP207" s="635">
        <v>7.5225168844761479</v>
      </c>
      <c r="CQ207" s="635">
        <v>7.6733946133457662</v>
      </c>
      <c r="CR207" s="635">
        <v>7.8242723422153846</v>
      </c>
      <c r="CS207" s="635">
        <v>8.0026753608112493</v>
      </c>
      <c r="CT207" s="635">
        <v>8.1810783794071149</v>
      </c>
      <c r="CU207" s="635">
        <v>8.6756627616831103</v>
      </c>
      <c r="CV207" s="635">
        <v>9.2649262002768786</v>
      </c>
      <c r="CW207" s="635">
        <v>9.5236601747326599</v>
      </c>
      <c r="CX207" s="635">
        <v>9.6657455105124903</v>
      </c>
      <c r="CY207" s="635">
        <v>9.8128882819761607</v>
      </c>
      <c r="CZ207" s="635">
        <v>9.9635712584185185</v>
      </c>
      <c r="DA207" s="636">
        <v>0</v>
      </c>
      <c r="DB207" s="636">
        <v>0</v>
      </c>
      <c r="DC207" s="636">
        <v>0</v>
      </c>
      <c r="DD207" s="637">
        <v>0</v>
      </c>
      <c r="DE207" s="637">
        <v>0</v>
      </c>
      <c r="DF207" s="637">
        <v>0</v>
      </c>
      <c r="DG207" s="637">
        <v>0</v>
      </c>
      <c r="DH207" s="637">
        <v>0</v>
      </c>
      <c r="DI207" s="637">
        <v>0</v>
      </c>
      <c r="DJ207" s="637">
        <v>0</v>
      </c>
      <c r="DK207" s="637">
        <v>0</v>
      </c>
      <c r="DL207" s="637">
        <v>0</v>
      </c>
      <c r="DM207" s="637">
        <v>0</v>
      </c>
      <c r="DN207" s="637">
        <v>0</v>
      </c>
      <c r="DO207" s="637">
        <v>0</v>
      </c>
      <c r="DP207" s="636">
        <v>0</v>
      </c>
      <c r="DQ207" s="636">
        <v>0</v>
      </c>
      <c r="DR207" s="636">
        <v>0</v>
      </c>
      <c r="DS207" s="637">
        <v>0</v>
      </c>
      <c r="DT207" s="637">
        <v>0</v>
      </c>
      <c r="DU207" s="637">
        <v>0</v>
      </c>
      <c r="DV207" s="637">
        <v>0</v>
      </c>
      <c r="DW207" s="637">
        <v>0</v>
      </c>
      <c r="DX207" s="637">
        <v>0</v>
      </c>
      <c r="DY207" s="637">
        <v>0</v>
      </c>
      <c r="DZ207" s="637">
        <v>0</v>
      </c>
      <c r="EA207" s="637">
        <v>0</v>
      </c>
      <c r="EB207" s="637">
        <v>0</v>
      </c>
      <c r="EC207" s="637">
        <v>0</v>
      </c>
      <c r="ED207" s="637">
        <v>0</v>
      </c>
    </row>
    <row r="208" spans="1:134" ht="15" x14ac:dyDescent="0.25">
      <c r="A208" s="555">
        <v>100</v>
      </c>
      <c r="B208" s="555">
        <v>94</v>
      </c>
      <c r="C208" s="555" t="s">
        <v>1191</v>
      </c>
      <c r="D208" s="812">
        <v>99709</v>
      </c>
      <c r="E208" s="812">
        <v>99709</v>
      </c>
      <c r="F208" s="630" t="s">
        <v>311</v>
      </c>
      <c r="G208" s="45">
        <v>61</v>
      </c>
      <c r="H208" s="45">
        <v>45</v>
      </c>
      <c r="I208" s="45">
        <v>36</v>
      </c>
      <c r="J208" s="45">
        <v>9</v>
      </c>
      <c r="K208" s="45">
        <v>0</v>
      </c>
      <c r="L208" s="45">
        <v>43</v>
      </c>
      <c r="M208" s="45">
        <v>43</v>
      </c>
      <c r="N208" s="45">
        <v>1</v>
      </c>
      <c r="O208" s="45">
        <v>0</v>
      </c>
      <c r="P208" s="45">
        <v>0</v>
      </c>
      <c r="Q208" s="45">
        <v>44</v>
      </c>
      <c r="R208" s="45">
        <v>0</v>
      </c>
      <c r="S208" s="45">
        <v>1594.4418604651162</v>
      </c>
      <c r="T208" s="45">
        <v>1594.4418604651162</v>
      </c>
      <c r="U208" s="45">
        <v>2476</v>
      </c>
      <c r="V208" s="45">
        <v>0</v>
      </c>
      <c r="W208" s="45">
        <v>0</v>
      </c>
      <c r="X208" s="45">
        <v>1614.4772727272727</v>
      </c>
      <c r="Y208" s="45">
        <v>0</v>
      </c>
      <c r="Z208" s="45">
        <v>45</v>
      </c>
      <c r="AA208" s="45">
        <v>0</v>
      </c>
      <c r="AB208" s="508">
        <v>1</v>
      </c>
      <c r="AC208" s="508">
        <v>0</v>
      </c>
      <c r="AD208" s="631">
        <v>46</v>
      </c>
      <c r="AE208" s="632">
        <v>0</v>
      </c>
      <c r="AF208" s="632">
        <v>36</v>
      </c>
      <c r="AG208" s="633">
        <v>36</v>
      </c>
      <c r="AH208" s="632">
        <v>0</v>
      </c>
      <c r="AI208" s="632">
        <v>0</v>
      </c>
      <c r="AJ208" s="632">
        <v>42.84712777534827</v>
      </c>
      <c r="AK208" s="632">
        <v>42.84712777534827</v>
      </c>
      <c r="AL208" s="632">
        <v>0</v>
      </c>
      <c r="AM208" s="632">
        <v>0</v>
      </c>
      <c r="AN208" s="632">
        <v>34.34236664032715</v>
      </c>
      <c r="AO208" s="632">
        <v>34.34236664032715</v>
      </c>
      <c r="AP208" s="632">
        <v>0</v>
      </c>
      <c r="AQ208" s="632">
        <v>0.95966573850124082</v>
      </c>
      <c r="AR208" s="632">
        <v>0</v>
      </c>
      <c r="AS208" s="632">
        <v>40.797252413267138</v>
      </c>
      <c r="AT208" s="632">
        <v>41.80962911859411</v>
      </c>
      <c r="AU208" s="632">
        <v>42.84712777534827</v>
      </c>
      <c r="AV208" s="632">
        <v>43.910371780374078</v>
      </c>
      <c r="AW208" s="632">
        <v>45</v>
      </c>
      <c r="AX208" s="632">
        <v>32.761059623851523</v>
      </c>
      <c r="AY208" s="632">
        <v>33.542395876381988</v>
      </c>
      <c r="AZ208" s="632">
        <v>34.34236664032715</v>
      </c>
      <c r="BA208" s="632">
        <v>35.161416340241146</v>
      </c>
      <c r="BB208" s="632">
        <v>36</v>
      </c>
      <c r="BC208" s="632">
        <v>0.92095832965313207</v>
      </c>
      <c r="BD208" s="632">
        <v>0.94011284192667122</v>
      </c>
      <c r="BE208" s="632">
        <v>0.95966573850124082</v>
      </c>
      <c r="BF208" s="632">
        <v>0.97962530515561963</v>
      </c>
      <c r="BG208" s="632">
        <v>1</v>
      </c>
      <c r="BH208" s="634">
        <v>45.420449589557364</v>
      </c>
      <c r="BI208" s="634">
        <v>45.844827575944933</v>
      </c>
      <c r="BJ208" s="634">
        <v>46.273170663447921</v>
      </c>
      <c r="BK208" s="635">
        <v>46.509734376680804</v>
      </c>
      <c r="BL208" s="635">
        <v>46.74629808991368</v>
      </c>
      <c r="BM208" s="635">
        <v>46.982861803146562</v>
      </c>
      <c r="BN208" s="635">
        <v>47.219425516379438</v>
      </c>
      <c r="BO208" s="635">
        <v>47.499146591498892</v>
      </c>
      <c r="BP208" s="635">
        <v>47.778867666618353</v>
      </c>
      <c r="BQ208" s="635">
        <v>48.554334787278073</v>
      </c>
      <c r="BR208" s="635">
        <v>49.478250783034987</v>
      </c>
      <c r="BS208" s="635">
        <v>49.88392410669465</v>
      </c>
      <c r="BT208" s="635">
        <v>50.106702079824558</v>
      </c>
      <c r="BU208" s="635">
        <v>50.33740969090546</v>
      </c>
      <c r="BV208" s="635">
        <v>50.573668048552079</v>
      </c>
      <c r="BW208" s="634">
        <v>36.336359671645894</v>
      </c>
      <c r="BX208" s="634">
        <v>36.675862060755946</v>
      </c>
      <c r="BY208" s="634">
        <v>37.01853653075834</v>
      </c>
      <c r="BZ208" s="635">
        <v>37.20778750134464</v>
      </c>
      <c r="CA208" s="635">
        <v>37.397038471930948</v>
      </c>
      <c r="CB208" s="635">
        <v>37.586289442517248</v>
      </c>
      <c r="CC208" s="635">
        <v>37.775540413103556</v>
      </c>
      <c r="CD208" s="635">
        <v>37.999317273199118</v>
      </c>
      <c r="CE208" s="635">
        <v>38.22309413329468</v>
      </c>
      <c r="CF208" s="635">
        <v>38.843467829822458</v>
      </c>
      <c r="CG208" s="635">
        <v>39.58260062642799</v>
      </c>
      <c r="CH208" s="635">
        <v>39.907139285355719</v>
      </c>
      <c r="CI208" s="635">
        <v>40.085361663859651</v>
      </c>
      <c r="CJ208" s="635">
        <v>40.269927752724371</v>
      </c>
      <c r="CK208" s="635">
        <v>40.458934438841666</v>
      </c>
      <c r="CL208" s="634">
        <v>1.0093433242123859</v>
      </c>
      <c r="CM208" s="634">
        <v>1.0187739461321097</v>
      </c>
      <c r="CN208" s="634">
        <v>1.0282926814099538</v>
      </c>
      <c r="CO208" s="635">
        <v>1.0335496528151289</v>
      </c>
      <c r="CP208" s="635">
        <v>1.038806624220304</v>
      </c>
      <c r="CQ208" s="635">
        <v>1.0440635956254791</v>
      </c>
      <c r="CR208" s="635">
        <v>1.0493205670306542</v>
      </c>
      <c r="CS208" s="635">
        <v>1.0555365909221976</v>
      </c>
      <c r="CT208" s="635">
        <v>1.0617526148137411</v>
      </c>
      <c r="CU208" s="635">
        <v>1.0789852174950683</v>
      </c>
      <c r="CV208" s="635">
        <v>1.0995166840674442</v>
      </c>
      <c r="CW208" s="635">
        <v>1.1085316468154367</v>
      </c>
      <c r="CX208" s="635">
        <v>1.1134822684405457</v>
      </c>
      <c r="CY208" s="635">
        <v>1.1186091042423436</v>
      </c>
      <c r="CZ208" s="635">
        <v>1.1238592899678239</v>
      </c>
      <c r="DA208" s="636">
        <v>0</v>
      </c>
      <c r="DB208" s="636">
        <v>0</v>
      </c>
      <c r="DC208" s="636">
        <v>0</v>
      </c>
      <c r="DD208" s="637">
        <v>0</v>
      </c>
      <c r="DE208" s="637">
        <v>0</v>
      </c>
      <c r="DF208" s="637">
        <v>0</v>
      </c>
      <c r="DG208" s="637">
        <v>0</v>
      </c>
      <c r="DH208" s="637">
        <v>0</v>
      </c>
      <c r="DI208" s="637">
        <v>0</v>
      </c>
      <c r="DJ208" s="637">
        <v>0</v>
      </c>
      <c r="DK208" s="637">
        <v>0</v>
      </c>
      <c r="DL208" s="637">
        <v>0</v>
      </c>
      <c r="DM208" s="637">
        <v>0</v>
      </c>
      <c r="DN208" s="637">
        <v>0</v>
      </c>
      <c r="DO208" s="637">
        <v>0</v>
      </c>
      <c r="DP208" s="636">
        <v>0</v>
      </c>
      <c r="DQ208" s="636">
        <v>0</v>
      </c>
      <c r="DR208" s="636">
        <v>0</v>
      </c>
      <c r="DS208" s="637">
        <v>0</v>
      </c>
      <c r="DT208" s="637">
        <v>0</v>
      </c>
      <c r="DU208" s="637">
        <v>0</v>
      </c>
      <c r="DV208" s="637">
        <v>0</v>
      </c>
      <c r="DW208" s="637">
        <v>0</v>
      </c>
      <c r="DX208" s="637">
        <v>0</v>
      </c>
      <c r="DY208" s="637">
        <v>0</v>
      </c>
      <c r="DZ208" s="637">
        <v>0</v>
      </c>
      <c r="EA208" s="637">
        <v>0</v>
      </c>
      <c r="EB208" s="637">
        <v>0</v>
      </c>
      <c r="EC208" s="637">
        <v>0</v>
      </c>
      <c r="ED208" s="637">
        <v>0</v>
      </c>
    </row>
    <row r="209" spans="1:134" ht="15" x14ac:dyDescent="0.25">
      <c r="A209" s="555">
        <v>101</v>
      </c>
      <c r="B209" s="555">
        <v>94</v>
      </c>
      <c r="C209" s="555" t="s">
        <v>1192</v>
      </c>
      <c r="D209" s="812">
        <v>99709</v>
      </c>
      <c r="E209" s="812">
        <v>99709</v>
      </c>
      <c r="F209" s="630" t="s">
        <v>311</v>
      </c>
      <c r="G209" s="45">
        <v>24</v>
      </c>
      <c r="H209" s="45">
        <v>12</v>
      </c>
      <c r="I209" s="45">
        <v>12</v>
      </c>
      <c r="J209" s="45">
        <v>0</v>
      </c>
      <c r="K209" s="45">
        <v>3</v>
      </c>
      <c r="L209" s="45">
        <v>27</v>
      </c>
      <c r="M209" s="45">
        <v>30</v>
      </c>
      <c r="N209" s="45">
        <v>7</v>
      </c>
      <c r="O209" s="45">
        <v>0</v>
      </c>
      <c r="P209" s="45">
        <v>0</v>
      </c>
      <c r="Q209" s="45">
        <v>37</v>
      </c>
      <c r="R209" s="45">
        <v>4389.333333333333</v>
      </c>
      <c r="S209" s="45">
        <v>1383.2222222222222</v>
      </c>
      <c r="T209" s="45">
        <v>1683.8333333333333</v>
      </c>
      <c r="U209" s="45">
        <v>4707.4285714285716</v>
      </c>
      <c r="V209" s="45">
        <v>0</v>
      </c>
      <c r="W209" s="45">
        <v>0</v>
      </c>
      <c r="X209" s="45">
        <v>2255.864864864865</v>
      </c>
      <c r="Y209" s="45">
        <v>1.2</v>
      </c>
      <c r="Z209" s="45">
        <v>10.8</v>
      </c>
      <c r="AA209" s="45">
        <v>0</v>
      </c>
      <c r="AB209" s="508">
        <v>7</v>
      </c>
      <c r="AC209" s="508">
        <v>0</v>
      </c>
      <c r="AD209" s="631">
        <v>19</v>
      </c>
      <c r="AE209" s="632">
        <v>1.2</v>
      </c>
      <c r="AF209" s="632">
        <v>10.800000000000002</v>
      </c>
      <c r="AG209" s="633">
        <v>12.000000000000002</v>
      </c>
      <c r="AH209" s="632">
        <v>0</v>
      </c>
      <c r="AI209" s="632">
        <v>1.1425900740092871</v>
      </c>
      <c r="AJ209" s="632">
        <v>10.283310666083585</v>
      </c>
      <c r="AK209" s="632">
        <v>11.425900740092873</v>
      </c>
      <c r="AL209" s="632">
        <v>0</v>
      </c>
      <c r="AM209" s="632">
        <v>1.1447455546775716</v>
      </c>
      <c r="AN209" s="632">
        <v>10.302709992098146</v>
      </c>
      <c r="AO209" s="632">
        <v>11.447455546775718</v>
      </c>
      <c r="AP209" s="632">
        <v>0</v>
      </c>
      <c r="AQ209" s="632">
        <v>6.7176601695086857</v>
      </c>
      <c r="AR209" s="632">
        <v>0</v>
      </c>
      <c r="AS209" s="632">
        <v>10.87926731020457</v>
      </c>
      <c r="AT209" s="632">
        <v>11.149234431625096</v>
      </c>
      <c r="AU209" s="632">
        <v>11.425900740092873</v>
      </c>
      <c r="AV209" s="632">
        <v>11.709432474766421</v>
      </c>
      <c r="AW209" s="632">
        <v>12</v>
      </c>
      <c r="AX209" s="632">
        <v>10.920353207950509</v>
      </c>
      <c r="AY209" s="632">
        <v>11.180798625460664</v>
      </c>
      <c r="AZ209" s="632">
        <v>11.447455546775718</v>
      </c>
      <c r="BA209" s="632">
        <v>11.720472113413718</v>
      </c>
      <c r="BB209" s="632">
        <v>12.000000000000002</v>
      </c>
      <c r="BC209" s="632">
        <v>6.4467083075719245</v>
      </c>
      <c r="BD209" s="632">
        <v>6.5807898934866982</v>
      </c>
      <c r="BE209" s="632">
        <v>6.7176601695086857</v>
      </c>
      <c r="BF209" s="632">
        <v>6.8573771360893376</v>
      </c>
      <c r="BG209" s="632">
        <v>7</v>
      </c>
      <c r="BH209" s="634">
        <v>12.11211989054863</v>
      </c>
      <c r="BI209" s="634">
        <v>12.225287353585315</v>
      </c>
      <c r="BJ209" s="634">
        <v>12.339512176919445</v>
      </c>
      <c r="BK209" s="635">
        <v>12.402595833781547</v>
      </c>
      <c r="BL209" s="635">
        <v>12.465679490643648</v>
      </c>
      <c r="BM209" s="635">
        <v>12.528763147505749</v>
      </c>
      <c r="BN209" s="635">
        <v>12.591846804367851</v>
      </c>
      <c r="BO209" s="635">
        <v>12.666439091066371</v>
      </c>
      <c r="BP209" s="635">
        <v>12.741031377764893</v>
      </c>
      <c r="BQ209" s="635">
        <v>12.947822609940818</v>
      </c>
      <c r="BR209" s="635">
        <v>13.194200208809329</v>
      </c>
      <c r="BS209" s="635">
        <v>13.30237976178524</v>
      </c>
      <c r="BT209" s="635">
        <v>13.361787221286548</v>
      </c>
      <c r="BU209" s="635">
        <v>13.423309250908122</v>
      </c>
      <c r="BV209" s="635">
        <v>13.486311479613887</v>
      </c>
      <c r="BW209" s="634">
        <v>12.112119890548634</v>
      </c>
      <c r="BX209" s="634">
        <v>12.225287353585319</v>
      </c>
      <c r="BY209" s="634">
        <v>12.339512176919447</v>
      </c>
      <c r="BZ209" s="635">
        <v>12.402595833781549</v>
      </c>
      <c r="CA209" s="635">
        <v>12.46567949064365</v>
      </c>
      <c r="CB209" s="635">
        <v>12.528763147505751</v>
      </c>
      <c r="CC209" s="635">
        <v>12.591846804367853</v>
      </c>
      <c r="CD209" s="635">
        <v>12.666439091066373</v>
      </c>
      <c r="CE209" s="635">
        <v>12.741031377764894</v>
      </c>
      <c r="CF209" s="635">
        <v>12.94782260994082</v>
      </c>
      <c r="CG209" s="635">
        <v>13.194200208809331</v>
      </c>
      <c r="CH209" s="635">
        <v>13.302379761785241</v>
      </c>
      <c r="CI209" s="635">
        <v>13.36178722128655</v>
      </c>
      <c r="CJ209" s="635">
        <v>13.423309250908124</v>
      </c>
      <c r="CK209" s="635">
        <v>13.486311479613889</v>
      </c>
      <c r="CL209" s="634">
        <v>7.0654032694867013</v>
      </c>
      <c r="CM209" s="634">
        <v>7.1314176229247677</v>
      </c>
      <c r="CN209" s="634">
        <v>7.1980487698696765</v>
      </c>
      <c r="CO209" s="635">
        <v>7.2348475697059023</v>
      </c>
      <c r="CP209" s="635">
        <v>7.2716463695421281</v>
      </c>
      <c r="CQ209" s="635">
        <v>7.3084451693783539</v>
      </c>
      <c r="CR209" s="635">
        <v>7.3452439692145788</v>
      </c>
      <c r="CS209" s="635">
        <v>7.3887561364553838</v>
      </c>
      <c r="CT209" s="635">
        <v>7.4322683036961878</v>
      </c>
      <c r="CU209" s="635">
        <v>7.5528965224654776</v>
      </c>
      <c r="CV209" s="635">
        <v>7.6966167884721086</v>
      </c>
      <c r="CW209" s="635">
        <v>7.7597215277080558</v>
      </c>
      <c r="CX209" s="635">
        <v>7.7943758790838196</v>
      </c>
      <c r="CY209" s="635">
        <v>7.8302637296964051</v>
      </c>
      <c r="CZ209" s="635">
        <v>7.8670150297747679</v>
      </c>
      <c r="DA209" s="636">
        <v>0</v>
      </c>
      <c r="DB209" s="636">
        <v>0</v>
      </c>
      <c r="DC209" s="636">
        <v>0</v>
      </c>
      <c r="DD209" s="637">
        <v>0</v>
      </c>
      <c r="DE209" s="637">
        <v>0</v>
      </c>
      <c r="DF209" s="637">
        <v>0</v>
      </c>
      <c r="DG209" s="637">
        <v>0</v>
      </c>
      <c r="DH209" s="637">
        <v>0</v>
      </c>
      <c r="DI209" s="637">
        <v>0</v>
      </c>
      <c r="DJ209" s="637">
        <v>0</v>
      </c>
      <c r="DK209" s="637">
        <v>0</v>
      </c>
      <c r="DL209" s="637">
        <v>0</v>
      </c>
      <c r="DM209" s="637">
        <v>0</v>
      </c>
      <c r="DN209" s="637">
        <v>0</v>
      </c>
      <c r="DO209" s="637">
        <v>0</v>
      </c>
      <c r="DP209" s="636">
        <v>0</v>
      </c>
      <c r="DQ209" s="636">
        <v>0</v>
      </c>
      <c r="DR209" s="636">
        <v>0</v>
      </c>
      <c r="DS209" s="637">
        <v>0</v>
      </c>
      <c r="DT209" s="637">
        <v>0</v>
      </c>
      <c r="DU209" s="637">
        <v>0</v>
      </c>
      <c r="DV209" s="637">
        <v>0</v>
      </c>
      <c r="DW209" s="637">
        <v>0</v>
      </c>
      <c r="DX209" s="637">
        <v>0</v>
      </c>
      <c r="DY209" s="637">
        <v>0</v>
      </c>
      <c r="DZ209" s="637">
        <v>0</v>
      </c>
      <c r="EA209" s="637">
        <v>0</v>
      </c>
      <c r="EB209" s="637">
        <v>0</v>
      </c>
      <c r="EC209" s="637">
        <v>0</v>
      </c>
      <c r="ED209" s="637">
        <v>0</v>
      </c>
    </row>
    <row r="210" spans="1:134" ht="15" x14ac:dyDescent="0.25">
      <c r="A210" s="555">
        <v>102</v>
      </c>
      <c r="B210" s="555">
        <v>94</v>
      </c>
      <c r="C210" s="555" t="s">
        <v>1193</v>
      </c>
      <c r="D210" s="812">
        <v>99709</v>
      </c>
      <c r="E210" s="812">
        <v>99709</v>
      </c>
      <c r="F210" s="630" t="s">
        <v>311</v>
      </c>
      <c r="G210" s="45">
        <v>62</v>
      </c>
      <c r="H210" s="45">
        <v>36</v>
      </c>
      <c r="I210" s="45">
        <v>31</v>
      </c>
      <c r="J210" s="45">
        <v>5</v>
      </c>
      <c r="K210" s="45">
        <v>0</v>
      </c>
      <c r="L210" s="45">
        <v>52</v>
      </c>
      <c r="M210" s="45">
        <v>52</v>
      </c>
      <c r="N210" s="45">
        <v>2</v>
      </c>
      <c r="O210" s="45">
        <v>0</v>
      </c>
      <c r="P210" s="45">
        <v>0</v>
      </c>
      <c r="Q210" s="45">
        <v>54</v>
      </c>
      <c r="R210" s="45">
        <v>0</v>
      </c>
      <c r="S210" s="45">
        <v>1464.9807692307693</v>
      </c>
      <c r="T210" s="45">
        <v>1464.9807692307693</v>
      </c>
      <c r="U210" s="45">
        <v>3984</v>
      </c>
      <c r="V210" s="45">
        <v>0</v>
      </c>
      <c r="W210" s="45">
        <v>0</v>
      </c>
      <c r="X210" s="45">
        <v>1558.2777777777778</v>
      </c>
      <c r="Y210" s="45">
        <v>0</v>
      </c>
      <c r="Z210" s="45">
        <v>36</v>
      </c>
      <c r="AA210" s="45">
        <v>0</v>
      </c>
      <c r="AB210" s="508">
        <v>2</v>
      </c>
      <c r="AC210" s="508">
        <v>0</v>
      </c>
      <c r="AD210" s="631">
        <v>38</v>
      </c>
      <c r="AE210" s="632">
        <v>0</v>
      </c>
      <c r="AF210" s="632">
        <v>31</v>
      </c>
      <c r="AG210" s="633">
        <v>31</v>
      </c>
      <c r="AH210" s="632">
        <v>0</v>
      </c>
      <c r="AI210" s="632">
        <v>0</v>
      </c>
      <c r="AJ210" s="632">
        <v>34.27770222027862</v>
      </c>
      <c r="AK210" s="632">
        <v>34.27770222027862</v>
      </c>
      <c r="AL210" s="632">
        <v>0</v>
      </c>
      <c r="AM210" s="632">
        <v>0</v>
      </c>
      <c r="AN210" s="632">
        <v>29.572593495837264</v>
      </c>
      <c r="AO210" s="632">
        <v>29.572593495837264</v>
      </c>
      <c r="AP210" s="632">
        <v>0</v>
      </c>
      <c r="AQ210" s="632">
        <v>1.9193314770024816</v>
      </c>
      <c r="AR210" s="632">
        <v>0</v>
      </c>
      <c r="AS210" s="632">
        <v>32.637801930613712</v>
      </c>
      <c r="AT210" s="632">
        <v>33.447703294875289</v>
      </c>
      <c r="AU210" s="632">
        <v>34.27770222027862</v>
      </c>
      <c r="AV210" s="632">
        <v>35.128297424299262</v>
      </c>
      <c r="AW210" s="632">
        <v>36</v>
      </c>
      <c r="AX210" s="632">
        <v>28.210912453872144</v>
      </c>
      <c r="AY210" s="632">
        <v>28.883729782440046</v>
      </c>
      <c r="AZ210" s="632">
        <v>29.572593495837264</v>
      </c>
      <c r="BA210" s="632">
        <v>30.277886292985432</v>
      </c>
      <c r="BB210" s="632">
        <v>31</v>
      </c>
      <c r="BC210" s="632">
        <v>1.8419166593062641</v>
      </c>
      <c r="BD210" s="632">
        <v>1.8802256838533424</v>
      </c>
      <c r="BE210" s="632">
        <v>1.9193314770024816</v>
      </c>
      <c r="BF210" s="632">
        <v>1.9592506103112393</v>
      </c>
      <c r="BG210" s="632">
        <v>2</v>
      </c>
      <c r="BH210" s="634">
        <v>36.336359671645894</v>
      </c>
      <c r="BI210" s="634">
        <v>36.675862060755946</v>
      </c>
      <c r="BJ210" s="634">
        <v>37.01853653075834</v>
      </c>
      <c r="BK210" s="635">
        <v>37.535615320918119</v>
      </c>
      <c r="BL210" s="635">
        <v>38.052694111077898</v>
      </c>
      <c r="BM210" s="635">
        <v>38.569772901237677</v>
      </c>
      <c r="BN210" s="635">
        <v>39.086851691397456</v>
      </c>
      <c r="BO210" s="635">
        <v>39.698263446515526</v>
      </c>
      <c r="BP210" s="635">
        <v>40.309675201633596</v>
      </c>
      <c r="BQ210" s="635">
        <v>42.004684106759612</v>
      </c>
      <c r="BR210" s="635">
        <v>44.024171198699868</v>
      </c>
      <c r="BS210" s="635">
        <v>44.910888221067275</v>
      </c>
      <c r="BT210" s="635">
        <v>45.397834267212822</v>
      </c>
      <c r="BU210" s="635">
        <v>45.902112843111453</v>
      </c>
      <c r="BV210" s="635">
        <v>46.418524189837242</v>
      </c>
      <c r="BW210" s="634">
        <v>31.289643050583965</v>
      </c>
      <c r="BX210" s="634">
        <v>31.5819923300954</v>
      </c>
      <c r="BY210" s="634">
        <v>31.877073123708566</v>
      </c>
      <c r="BZ210" s="635">
        <v>32.322335415235045</v>
      </c>
      <c r="CA210" s="635">
        <v>32.767597706761521</v>
      </c>
      <c r="CB210" s="635">
        <v>33.212859998287996</v>
      </c>
      <c r="CC210" s="635">
        <v>33.658122289814472</v>
      </c>
      <c r="CD210" s="635">
        <v>34.184615745610586</v>
      </c>
      <c r="CE210" s="635">
        <v>34.7111092014067</v>
      </c>
      <c r="CF210" s="635">
        <v>36.170700203042998</v>
      </c>
      <c r="CG210" s="635">
        <v>37.909702976658217</v>
      </c>
      <c r="CH210" s="635">
        <v>38.673264857030148</v>
      </c>
      <c r="CI210" s="635">
        <v>39.092579507877709</v>
      </c>
      <c r="CJ210" s="635">
        <v>39.5268193926793</v>
      </c>
      <c r="CK210" s="635">
        <v>39.971506941248734</v>
      </c>
      <c r="CL210" s="634">
        <v>2.0186866484247719</v>
      </c>
      <c r="CM210" s="634">
        <v>2.0375478922642194</v>
      </c>
      <c r="CN210" s="634">
        <v>2.0565853628199076</v>
      </c>
      <c r="CO210" s="635">
        <v>2.0853119622732286</v>
      </c>
      <c r="CP210" s="635">
        <v>2.1140385617265496</v>
      </c>
      <c r="CQ210" s="635">
        <v>2.1427651611798706</v>
      </c>
      <c r="CR210" s="635">
        <v>2.171491760633192</v>
      </c>
      <c r="CS210" s="635">
        <v>2.2054590803619734</v>
      </c>
      <c r="CT210" s="635">
        <v>2.2394264000907551</v>
      </c>
      <c r="CU210" s="635">
        <v>2.3335935614866448</v>
      </c>
      <c r="CV210" s="635">
        <v>2.4457872888166592</v>
      </c>
      <c r="CW210" s="635">
        <v>2.4950493456148486</v>
      </c>
      <c r="CX210" s="635">
        <v>2.5221019037340455</v>
      </c>
      <c r="CY210" s="635">
        <v>2.5501173801728583</v>
      </c>
      <c r="CZ210" s="635">
        <v>2.5788068994354023</v>
      </c>
      <c r="DA210" s="636">
        <v>0</v>
      </c>
      <c r="DB210" s="636">
        <v>0</v>
      </c>
      <c r="DC210" s="636">
        <v>0</v>
      </c>
      <c r="DD210" s="637">
        <v>0</v>
      </c>
      <c r="DE210" s="637">
        <v>0</v>
      </c>
      <c r="DF210" s="637">
        <v>0</v>
      </c>
      <c r="DG210" s="637">
        <v>0</v>
      </c>
      <c r="DH210" s="637">
        <v>0</v>
      </c>
      <c r="DI210" s="637">
        <v>0</v>
      </c>
      <c r="DJ210" s="637">
        <v>0</v>
      </c>
      <c r="DK210" s="637">
        <v>0</v>
      </c>
      <c r="DL210" s="637">
        <v>0</v>
      </c>
      <c r="DM210" s="637">
        <v>0</v>
      </c>
      <c r="DN210" s="637">
        <v>0</v>
      </c>
      <c r="DO210" s="637">
        <v>0</v>
      </c>
      <c r="DP210" s="636">
        <v>0</v>
      </c>
      <c r="DQ210" s="636">
        <v>0</v>
      </c>
      <c r="DR210" s="636">
        <v>0</v>
      </c>
      <c r="DS210" s="637">
        <v>0</v>
      </c>
      <c r="DT210" s="637">
        <v>0</v>
      </c>
      <c r="DU210" s="637">
        <v>0</v>
      </c>
      <c r="DV210" s="637">
        <v>0</v>
      </c>
      <c r="DW210" s="637">
        <v>0</v>
      </c>
      <c r="DX210" s="637">
        <v>0</v>
      </c>
      <c r="DY210" s="637">
        <v>0</v>
      </c>
      <c r="DZ210" s="637">
        <v>0</v>
      </c>
      <c r="EA210" s="637">
        <v>0</v>
      </c>
      <c r="EB210" s="637">
        <v>0</v>
      </c>
      <c r="EC210" s="637">
        <v>0</v>
      </c>
      <c r="ED210" s="637">
        <v>0</v>
      </c>
    </row>
    <row r="211" spans="1:134" ht="15" x14ac:dyDescent="0.25">
      <c r="A211" s="555">
        <v>103</v>
      </c>
      <c r="B211" s="555">
        <v>94</v>
      </c>
      <c r="C211" s="555" t="s">
        <v>1194</v>
      </c>
      <c r="D211" s="812">
        <v>99709</v>
      </c>
      <c r="E211" s="812">
        <v>99709</v>
      </c>
      <c r="F211" s="630" t="s">
        <v>311</v>
      </c>
      <c r="G211" s="45">
        <v>258</v>
      </c>
      <c r="H211" s="45">
        <v>87</v>
      </c>
      <c r="I211" s="45">
        <v>83</v>
      </c>
      <c r="J211" s="45">
        <v>4</v>
      </c>
      <c r="K211" s="45">
        <v>1</v>
      </c>
      <c r="L211" s="45">
        <v>148</v>
      </c>
      <c r="M211" s="45">
        <v>149</v>
      </c>
      <c r="N211" s="45">
        <v>1</v>
      </c>
      <c r="O211" s="45">
        <v>0</v>
      </c>
      <c r="P211" s="45">
        <v>0</v>
      </c>
      <c r="Q211" s="45">
        <v>150</v>
      </c>
      <c r="R211" s="45">
        <v>87118</v>
      </c>
      <c r="S211" s="45">
        <v>3077.6756756756758</v>
      </c>
      <c r="T211" s="45">
        <v>3641.7046979865772</v>
      </c>
      <c r="U211" s="45">
        <v>864</v>
      </c>
      <c r="V211" s="45">
        <v>0</v>
      </c>
      <c r="W211" s="45">
        <v>0</v>
      </c>
      <c r="X211" s="45">
        <v>3623.1866666666665</v>
      </c>
      <c r="Y211" s="45">
        <v>0.58389261744966447</v>
      </c>
      <c r="Z211" s="45">
        <v>86.416107382550337</v>
      </c>
      <c r="AA211" s="45">
        <v>0</v>
      </c>
      <c r="AB211" s="508">
        <v>1</v>
      </c>
      <c r="AC211" s="508">
        <v>0</v>
      </c>
      <c r="AD211" s="631">
        <v>88</v>
      </c>
      <c r="AE211" s="632">
        <v>0.5570469798657719</v>
      </c>
      <c r="AF211" s="632">
        <v>82.442953020134226</v>
      </c>
      <c r="AG211" s="633">
        <v>83</v>
      </c>
      <c r="AH211" s="632">
        <v>0</v>
      </c>
      <c r="AI211" s="632">
        <v>0.55595825748774041</v>
      </c>
      <c r="AJ211" s="632">
        <v>82.28182210818558</v>
      </c>
      <c r="AK211" s="632">
        <v>82.837780365673325</v>
      </c>
      <c r="AL211" s="632">
        <v>0</v>
      </c>
      <c r="AM211" s="632">
        <v>0.53139754495659086</v>
      </c>
      <c r="AN211" s="632">
        <v>78.646836653575434</v>
      </c>
      <c r="AO211" s="632">
        <v>79.178234198532024</v>
      </c>
      <c r="AP211" s="632">
        <v>0</v>
      </c>
      <c r="AQ211" s="632">
        <v>0.95966573850124082</v>
      </c>
      <c r="AR211" s="632">
        <v>0</v>
      </c>
      <c r="AS211" s="632">
        <v>78.874687998983134</v>
      </c>
      <c r="AT211" s="632">
        <v>80.831949629281951</v>
      </c>
      <c r="AU211" s="632">
        <v>82.837780365673325</v>
      </c>
      <c r="AV211" s="632">
        <v>84.893385442056555</v>
      </c>
      <c r="AW211" s="632">
        <v>87</v>
      </c>
      <c r="AX211" s="632">
        <v>75.532443021657684</v>
      </c>
      <c r="AY211" s="632">
        <v>77.333857159436249</v>
      </c>
      <c r="AZ211" s="632">
        <v>79.178234198532039</v>
      </c>
      <c r="BA211" s="632">
        <v>81.066598784444864</v>
      </c>
      <c r="BB211" s="632">
        <v>83</v>
      </c>
      <c r="BC211" s="632">
        <v>0.92095832965313207</v>
      </c>
      <c r="BD211" s="632">
        <v>0.94011284192667122</v>
      </c>
      <c r="BE211" s="632">
        <v>0.95966573850124082</v>
      </c>
      <c r="BF211" s="632">
        <v>0.97962530515561963</v>
      </c>
      <c r="BG211" s="632">
        <v>1</v>
      </c>
      <c r="BH211" s="634">
        <v>87.812869206477572</v>
      </c>
      <c r="BI211" s="634">
        <v>88.633333313493537</v>
      </c>
      <c r="BJ211" s="634">
        <v>89.461463282665974</v>
      </c>
      <c r="BK211" s="635">
        <v>89.742419650718944</v>
      </c>
      <c r="BL211" s="635">
        <v>90.023376018771927</v>
      </c>
      <c r="BM211" s="635">
        <v>90.304332386824925</v>
      </c>
      <c r="BN211" s="635">
        <v>90.585288754877894</v>
      </c>
      <c r="BO211" s="635">
        <v>90.917501232689631</v>
      </c>
      <c r="BP211" s="635">
        <v>91.249713710501368</v>
      </c>
      <c r="BQ211" s="635">
        <v>92.170702068299789</v>
      </c>
      <c r="BR211" s="635">
        <v>93.26799665759458</v>
      </c>
      <c r="BS211" s="635">
        <v>93.749797108195352</v>
      </c>
      <c r="BT211" s="635">
        <v>94.014380756115912</v>
      </c>
      <c r="BU211" s="635">
        <v>94.288382087958624</v>
      </c>
      <c r="BV211" s="635">
        <v>94.568975798546887</v>
      </c>
      <c r="BW211" s="634">
        <v>83.775495909628034</v>
      </c>
      <c r="BX211" s="634">
        <v>84.558237528965108</v>
      </c>
      <c r="BY211" s="634">
        <v>85.34829255702617</v>
      </c>
      <c r="BZ211" s="635">
        <v>85.616331390915789</v>
      </c>
      <c r="CA211" s="635">
        <v>85.884370224805423</v>
      </c>
      <c r="CB211" s="635">
        <v>86.152409058695042</v>
      </c>
      <c r="CC211" s="635">
        <v>86.420447892584662</v>
      </c>
      <c r="CD211" s="635">
        <v>86.737386233485523</v>
      </c>
      <c r="CE211" s="635">
        <v>87.054324574386371</v>
      </c>
      <c r="CF211" s="635">
        <v>87.932968639872229</v>
      </c>
      <c r="CG211" s="635">
        <v>88.979812903222424</v>
      </c>
      <c r="CH211" s="635">
        <v>89.439461608967989</v>
      </c>
      <c r="CI211" s="635">
        <v>89.691880491466904</v>
      </c>
      <c r="CJ211" s="635">
        <v>89.953284060926052</v>
      </c>
      <c r="CK211" s="635">
        <v>90.220976911257395</v>
      </c>
      <c r="CL211" s="634">
        <v>1.0093433242123859</v>
      </c>
      <c r="CM211" s="634">
        <v>1.0187739461321097</v>
      </c>
      <c r="CN211" s="634">
        <v>1.0282926814099538</v>
      </c>
      <c r="CO211" s="635">
        <v>1.0315220649507926</v>
      </c>
      <c r="CP211" s="635">
        <v>1.0347514484916314</v>
      </c>
      <c r="CQ211" s="635">
        <v>1.0379808320324704</v>
      </c>
      <c r="CR211" s="635">
        <v>1.0412102155733092</v>
      </c>
      <c r="CS211" s="635">
        <v>1.0450287498010302</v>
      </c>
      <c r="CT211" s="635">
        <v>1.0488472840287515</v>
      </c>
      <c r="CU211" s="635">
        <v>1.0594333571068941</v>
      </c>
      <c r="CV211" s="635">
        <v>1.0720459385930412</v>
      </c>
      <c r="CW211" s="635">
        <v>1.0775838748068431</v>
      </c>
      <c r="CX211" s="635">
        <v>1.0806250661622518</v>
      </c>
      <c r="CY211" s="635">
        <v>1.0837745067581452</v>
      </c>
      <c r="CZ211" s="635">
        <v>1.0869997218223781</v>
      </c>
      <c r="DA211" s="636">
        <v>0</v>
      </c>
      <c r="DB211" s="636">
        <v>0</v>
      </c>
      <c r="DC211" s="636">
        <v>0</v>
      </c>
      <c r="DD211" s="637">
        <v>0</v>
      </c>
      <c r="DE211" s="637">
        <v>0</v>
      </c>
      <c r="DF211" s="637">
        <v>0</v>
      </c>
      <c r="DG211" s="637">
        <v>0</v>
      </c>
      <c r="DH211" s="637">
        <v>0</v>
      </c>
      <c r="DI211" s="637">
        <v>0</v>
      </c>
      <c r="DJ211" s="637">
        <v>0</v>
      </c>
      <c r="DK211" s="637">
        <v>0</v>
      </c>
      <c r="DL211" s="637">
        <v>0</v>
      </c>
      <c r="DM211" s="637">
        <v>0</v>
      </c>
      <c r="DN211" s="637">
        <v>0</v>
      </c>
      <c r="DO211" s="637">
        <v>0</v>
      </c>
      <c r="DP211" s="636">
        <v>0</v>
      </c>
      <c r="DQ211" s="636">
        <v>0</v>
      </c>
      <c r="DR211" s="636">
        <v>0</v>
      </c>
      <c r="DS211" s="637">
        <v>0</v>
      </c>
      <c r="DT211" s="637">
        <v>0</v>
      </c>
      <c r="DU211" s="637">
        <v>0</v>
      </c>
      <c r="DV211" s="637">
        <v>0</v>
      </c>
      <c r="DW211" s="637">
        <v>0</v>
      </c>
      <c r="DX211" s="637">
        <v>0</v>
      </c>
      <c r="DY211" s="637">
        <v>0</v>
      </c>
      <c r="DZ211" s="637">
        <v>0</v>
      </c>
      <c r="EA211" s="637">
        <v>0</v>
      </c>
      <c r="EB211" s="637">
        <v>0</v>
      </c>
      <c r="EC211" s="637">
        <v>0</v>
      </c>
      <c r="ED211" s="637">
        <v>0</v>
      </c>
    </row>
    <row r="212" spans="1:134" ht="15" x14ac:dyDescent="0.25">
      <c r="A212" s="555">
        <v>104</v>
      </c>
      <c r="B212" s="555">
        <v>94</v>
      </c>
      <c r="C212" s="555" t="s">
        <v>1195</v>
      </c>
      <c r="D212" s="812">
        <v>99709</v>
      </c>
      <c r="E212" s="812">
        <v>99709</v>
      </c>
      <c r="F212" s="630" t="s">
        <v>311</v>
      </c>
      <c r="G212" s="45">
        <v>2321</v>
      </c>
      <c r="H212" s="45">
        <v>983</v>
      </c>
      <c r="I212" s="45">
        <v>933</v>
      </c>
      <c r="J212" s="45">
        <v>50</v>
      </c>
      <c r="K212" s="45">
        <v>27</v>
      </c>
      <c r="L212" s="45">
        <v>552</v>
      </c>
      <c r="M212" s="45">
        <v>579</v>
      </c>
      <c r="N212" s="45">
        <v>6</v>
      </c>
      <c r="O212" s="45">
        <v>0</v>
      </c>
      <c r="P212" s="45">
        <v>0</v>
      </c>
      <c r="Q212" s="45">
        <v>585</v>
      </c>
      <c r="R212" s="45">
        <v>7393.1111111111113</v>
      </c>
      <c r="S212" s="45">
        <v>2418.338768115942</v>
      </c>
      <c r="T212" s="45">
        <v>2650.322970639033</v>
      </c>
      <c r="U212" s="45">
        <v>11231.5</v>
      </c>
      <c r="V212" s="45">
        <v>0</v>
      </c>
      <c r="W212" s="45">
        <v>0</v>
      </c>
      <c r="X212" s="45">
        <v>2738.3350427350429</v>
      </c>
      <c r="Y212" s="45">
        <v>45.839378238341972</v>
      </c>
      <c r="Z212" s="45">
        <v>937.16062176165804</v>
      </c>
      <c r="AA212" s="45">
        <v>0</v>
      </c>
      <c r="AB212" s="508">
        <v>6</v>
      </c>
      <c r="AC212" s="508">
        <v>0</v>
      </c>
      <c r="AD212" s="631">
        <v>989</v>
      </c>
      <c r="AE212" s="632">
        <v>43.50777202072539</v>
      </c>
      <c r="AF212" s="632">
        <v>889.49222797927462</v>
      </c>
      <c r="AG212" s="633">
        <v>933</v>
      </c>
      <c r="AH212" s="632">
        <v>0</v>
      </c>
      <c r="AI212" s="632">
        <v>43.646348811572388</v>
      </c>
      <c r="AJ212" s="632">
        <v>892.32535348103545</v>
      </c>
      <c r="AK212" s="632">
        <v>935.9717022926078</v>
      </c>
      <c r="AL212" s="632">
        <v>0</v>
      </c>
      <c r="AM212" s="632">
        <v>41.504440512208845</v>
      </c>
      <c r="AN212" s="632">
        <v>848.53522824960305</v>
      </c>
      <c r="AO212" s="632">
        <v>890.03966876181187</v>
      </c>
      <c r="AP212" s="632">
        <v>0</v>
      </c>
      <c r="AQ212" s="632">
        <v>5.7579944310074449</v>
      </c>
      <c r="AR212" s="632">
        <v>0</v>
      </c>
      <c r="AS212" s="632">
        <v>891.19331382759106</v>
      </c>
      <c r="AT212" s="632">
        <v>913.30812052395584</v>
      </c>
      <c r="AU212" s="632">
        <v>935.9717022926078</v>
      </c>
      <c r="AV212" s="632">
        <v>959.19767689128264</v>
      </c>
      <c r="AW212" s="632">
        <v>983</v>
      </c>
      <c r="AX212" s="632">
        <v>849.05746191815194</v>
      </c>
      <c r="AY212" s="632">
        <v>869.30709312956651</v>
      </c>
      <c r="AZ212" s="632">
        <v>890.03966876181187</v>
      </c>
      <c r="BA212" s="632">
        <v>911.26670681791643</v>
      </c>
      <c r="BB212" s="632">
        <v>933</v>
      </c>
      <c r="BC212" s="632">
        <v>5.5257499779187924</v>
      </c>
      <c r="BD212" s="632">
        <v>5.6406770515600275</v>
      </c>
      <c r="BE212" s="632">
        <v>5.7579944310074449</v>
      </c>
      <c r="BF212" s="632">
        <v>5.8777518309337182</v>
      </c>
      <c r="BG212" s="632">
        <v>6</v>
      </c>
      <c r="BH212" s="634">
        <v>990.91115179976782</v>
      </c>
      <c r="BI212" s="634">
        <v>998.8859722900736</v>
      </c>
      <c r="BJ212" s="634">
        <v>1006.9249738744535</v>
      </c>
      <c r="BK212" s="635">
        <v>1010.1626517422575</v>
      </c>
      <c r="BL212" s="635">
        <v>1013.4003296100615</v>
      </c>
      <c r="BM212" s="635">
        <v>1016.6380074778652</v>
      </c>
      <c r="BN212" s="635">
        <v>1019.8756853456692</v>
      </c>
      <c r="BO212" s="635">
        <v>1023.704027071017</v>
      </c>
      <c r="BP212" s="635">
        <v>1027.5323687963648</v>
      </c>
      <c r="BQ212" s="635">
        <v>1038.145631073399</v>
      </c>
      <c r="BR212" s="635">
        <v>1050.7906066290013</v>
      </c>
      <c r="BS212" s="635">
        <v>1056.3427664409264</v>
      </c>
      <c r="BT212" s="635">
        <v>1059.3917687717569</v>
      </c>
      <c r="BU212" s="635">
        <v>1062.5492983696934</v>
      </c>
      <c r="BV212" s="635">
        <v>1065.7827970546041</v>
      </c>
      <c r="BW212" s="634">
        <v>940.50875343762289</v>
      </c>
      <c r="BX212" s="634">
        <v>948.07793707694668</v>
      </c>
      <c r="BY212" s="634">
        <v>955.70803725825544</v>
      </c>
      <c r="BZ212" s="635">
        <v>958.78103161294632</v>
      </c>
      <c r="CA212" s="635">
        <v>961.8540259676372</v>
      </c>
      <c r="CB212" s="635">
        <v>964.92702032232785</v>
      </c>
      <c r="CC212" s="635">
        <v>968.00001467701873</v>
      </c>
      <c r="CD212" s="635">
        <v>971.6336289493986</v>
      </c>
      <c r="CE212" s="635">
        <v>975.26724322177859</v>
      </c>
      <c r="CF212" s="635">
        <v>985.34066509814977</v>
      </c>
      <c r="CG212" s="635">
        <v>997.34245776689534</v>
      </c>
      <c r="CH212" s="635">
        <v>1002.6122086361997</v>
      </c>
      <c r="CI212" s="635">
        <v>1005.5061243784835</v>
      </c>
      <c r="CJ212" s="635">
        <v>1008.5030471810009</v>
      </c>
      <c r="CK212" s="635">
        <v>1011.5720749256823</v>
      </c>
      <c r="CL212" s="634">
        <v>6.0482878034573826</v>
      </c>
      <c r="CM212" s="634">
        <v>6.0969642255752206</v>
      </c>
      <c r="CN212" s="634">
        <v>6.1460323939437647</v>
      </c>
      <c r="CO212" s="635">
        <v>6.1657944155173396</v>
      </c>
      <c r="CP212" s="635">
        <v>6.1855564370909146</v>
      </c>
      <c r="CQ212" s="635">
        <v>6.2053184586644878</v>
      </c>
      <c r="CR212" s="635">
        <v>6.2250804802380628</v>
      </c>
      <c r="CS212" s="635">
        <v>6.2484477745942035</v>
      </c>
      <c r="CT212" s="635">
        <v>6.2718150689503442</v>
      </c>
      <c r="CU212" s="635">
        <v>6.3365959170299018</v>
      </c>
      <c r="CV212" s="635">
        <v>6.4137778634527027</v>
      </c>
      <c r="CW212" s="635">
        <v>6.4476669365672006</v>
      </c>
      <c r="CX212" s="635">
        <v>6.4662773271928193</v>
      </c>
      <c r="CY212" s="635">
        <v>6.4855501426430919</v>
      </c>
      <c r="CZ212" s="635">
        <v>6.5052866554706252</v>
      </c>
      <c r="DA212" s="636">
        <v>0</v>
      </c>
      <c r="DB212" s="636">
        <v>0</v>
      </c>
      <c r="DC212" s="636">
        <v>0</v>
      </c>
      <c r="DD212" s="637">
        <v>0</v>
      </c>
      <c r="DE212" s="637">
        <v>0</v>
      </c>
      <c r="DF212" s="637">
        <v>0</v>
      </c>
      <c r="DG212" s="637">
        <v>0</v>
      </c>
      <c r="DH212" s="637">
        <v>0</v>
      </c>
      <c r="DI212" s="637">
        <v>0</v>
      </c>
      <c r="DJ212" s="637">
        <v>0</v>
      </c>
      <c r="DK212" s="637">
        <v>0</v>
      </c>
      <c r="DL212" s="637">
        <v>0</v>
      </c>
      <c r="DM212" s="637">
        <v>0</v>
      </c>
      <c r="DN212" s="637">
        <v>0</v>
      </c>
      <c r="DO212" s="637">
        <v>0</v>
      </c>
      <c r="DP212" s="636">
        <v>0</v>
      </c>
      <c r="DQ212" s="636">
        <v>0</v>
      </c>
      <c r="DR212" s="636">
        <v>0</v>
      </c>
      <c r="DS212" s="637">
        <v>0</v>
      </c>
      <c r="DT212" s="637">
        <v>0</v>
      </c>
      <c r="DU212" s="637">
        <v>0</v>
      </c>
      <c r="DV212" s="637">
        <v>0</v>
      </c>
      <c r="DW212" s="637">
        <v>0</v>
      </c>
      <c r="DX212" s="637">
        <v>0</v>
      </c>
      <c r="DY212" s="637">
        <v>0</v>
      </c>
      <c r="DZ212" s="637">
        <v>0</v>
      </c>
      <c r="EA212" s="637">
        <v>0</v>
      </c>
      <c r="EB212" s="637">
        <v>0</v>
      </c>
      <c r="EC212" s="637">
        <v>0</v>
      </c>
      <c r="ED212" s="637">
        <v>0</v>
      </c>
    </row>
    <row r="213" spans="1:134" ht="15" x14ac:dyDescent="0.25">
      <c r="A213" s="555">
        <v>105</v>
      </c>
      <c r="B213" s="555">
        <v>94</v>
      </c>
      <c r="C213" s="555" t="s">
        <v>1196</v>
      </c>
      <c r="D213" s="812">
        <v>99709</v>
      </c>
      <c r="E213" s="812">
        <v>99709</v>
      </c>
      <c r="F213" s="630" t="s">
        <v>311</v>
      </c>
      <c r="G213" s="45">
        <v>1308</v>
      </c>
      <c r="H213" s="45">
        <v>508</v>
      </c>
      <c r="I213" s="45">
        <v>489</v>
      </c>
      <c r="J213" s="45">
        <v>19</v>
      </c>
      <c r="K213" s="45">
        <v>15</v>
      </c>
      <c r="L213" s="45">
        <v>325</v>
      </c>
      <c r="M213" s="45">
        <v>340</v>
      </c>
      <c r="N213" s="45">
        <v>9</v>
      </c>
      <c r="O213" s="45">
        <v>0</v>
      </c>
      <c r="P213" s="45">
        <v>0</v>
      </c>
      <c r="Q213" s="45">
        <v>349</v>
      </c>
      <c r="R213" s="45">
        <v>5749.8666666666668</v>
      </c>
      <c r="S213" s="45">
        <v>2513.8953846153845</v>
      </c>
      <c r="T213" s="45">
        <v>2656.6588235294116</v>
      </c>
      <c r="U213" s="45">
        <v>9360</v>
      </c>
      <c r="V213" s="45">
        <v>0</v>
      </c>
      <c r="W213" s="45">
        <v>0</v>
      </c>
      <c r="X213" s="45">
        <v>2829.5243553008595</v>
      </c>
      <c r="Y213" s="45">
        <v>22.411764705882351</v>
      </c>
      <c r="Z213" s="45">
        <v>485.58823529411762</v>
      </c>
      <c r="AA213" s="45">
        <v>0</v>
      </c>
      <c r="AB213" s="508">
        <v>9</v>
      </c>
      <c r="AC213" s="508">
        <v>0</v>
      </c>
      <c r="AD213" s="631">
        <v>517</v>
      </c>
      <c r="AE213" s="632">
        <v>21.573529411764707</v>
      </c>
      <c r="AF213" s="632">
        <v>467.4264705882353</v>
      </c>
      <c r="AG213" s="633">
        <v>489</v>
      </c>
      <c r="AH213" s="632">
        <v>0</v>
      </c>
      <c r="AI213" s="632">
        <v>21.339549911644038</v>
      </c>
      <c r="AJ213" s="632">
        <v>462.35691475228754</v>
      </c>
      <c r="AK213" s="632">
        <v>483.69646466393158</v>
      </c>
      <c r="AL213" s="632">
        <v>0</v>
      </c>
      <c r="AM213" s="632">
        <v>20.580168244019578</v>
      </c>
      <c r="AN213" s="632">
        <v>445.90364528709085</v>
      </c>
      <c r="AO213" s="632">
        <v>466.48381353111046</v>
      </c>
      <c r="AP213" s="632">
        <v>0</v>
      </c>
      <c r="AQ213" s="632">
        <v>8.6369916465111682</v>
      </c>
      <c r="AR213" s="632">
        <v>0</v>
      </c>
      <c r="AS213" s="632">
        <v>460.55564946532684</v>
      </c>
      <c r="AT213" s="632">
        <v>471.9842576054624</v>
      </c>
      <c r="AU213" s="632">
        <v>483.69646466393158</v>
      </c>
      <c r="AV213" s="632">
        <v>495.69930809844516</v>
      </c>
      <c r="AW213" s="632">
        <v>508</v>
      </c>
      <c r="AX213" s="632">
        <v>445.00439322398319</v>
      </c>
      <c r="AY213" s="632">
        <v>455.61754398752203</v>
      </c>
      <c r="AZ213" s="632">
        <v>466.4838135311104</v>
      </c>
      <c r="BA213" s="632">
        <v>477.60923862160894</v>
      </c>
      <c r="BB213" s="632">
        <v>489</v>
      </c>
      <c r="BC213" s="632">
        <v>8.2886249668781886</v>
      </c>
      <c r="BD213" s="632">
        <v>8.4610155773400404</v>
      </c>
      <c r="BE213" s="632">
        <v>8.6369916465111682</v>
      </c>
      <c r="BF213" s="632">
        <v>8.8166277464005773</v>
      </c>
      <c r="BG213" s="632">
        <v>9</v>
      </c>
      <c r="BH213" s="634">
        <v>512.08836735939167</v>
      </c>
      <c r="BI213" s="634">
        <v>516.2096377653686</v>
      </c>
      <c r="BJ213" s="634">
        <v>520.36407602057204</v>
      </c>
      <c r="BK213" s="635">
        <v>521.91705887860621</v>
      </c>
      <c r="BL213" s="635">
        <v>523.4700417366405</v>
      </c>
      <c r="BM213" s="635">
        <v>525.02302459467489</v>
      </c>
      <c r="BN213" s="635">
        <v>526.57600745270906</v>
      </c>
      <c r="BO213" s="635">
        <v>528.41230782504806</v>
      </c>
      <c r="BP213" s="635">
        <v>530.24860819738706</v>
      </c>
      <c r="BQ213" s="635">
        <v>535.33935998216384</v>
      </c>
      <c r="BR213" s="635">
        <v>541.40464228630856</v>
      </c>
      <c r="BS213" s="635">
        <v>544.06778833265537</v>
      </c>
      <c r="BT213" s="635">
        <v>545.5302711821605</v>
      </c>
      <c r="BU213" s="635">
        <v>547.04481016335239</v>
      </c>
      <c r="BV213" s="635">
        <v>548.595788436725</v>
      </c>
      <c r="BW213" s="634">
        <v>492.93545598177667</v>
      </c>
      <c r="BX213" s="634">
        <v>496.90258438438042</v>
      </c>
      <c r="BY213" s="634">
        <v>500.90164010641683</v>
      </c>
      <c r="BZ213" s="635">
        <v>502.39653895991825</v>
      </c>
      <c r="CA213" s="635">
        <v>503.89143781341977</v>
      </c>
      <c r="CB213" s="635">
        <v>505.3863366669213</v>
      </c>
      <c r="CC213" s="635">
        <v>506.88123552042276</v>
      </c>
      <c r="CD213" s="635">
        <v>508.64885536702462</v>
      </c>
      <c r="CE213" s="635">
        <v>510.41647521362654</v>
      </c>
      <c r="CF213" s="635">
        <v>515.31682486472073</v>
      </c>
      <c r="CG213" s="635">
        <v>521.15525605906487</v>
      </c>
      <c r="CH213" s="635">
        <v>523.71879624934752</v>
      </c>
      <c r="CI213" s="635">
        <v>525.12657993715857</v>
      </c>
      <c r="CJ213" s="635">
        <v>526.58447277535299</v>
      </c>
      <c r="CK213" s="635">
        <v>528.07744201881599</v>
      </c>
      <c r="CL213" s="634">
        <v>9.072431705186073</v>
      </c>
      <c r="CM213" s="634">
        <v>9.1454463383628308</v>
      </c>
      <c r="CN213" s="634">
        <v>9.2190485909156479</v>
      </c>
      <c r="CO213" s="635">
        <v>9.2465620667469626</v>
      </c>
      <c r="CP213" s="635">
        <v>9.274075542578279</v>
      </c>
      <c r="CQ213" s="635">
        <v>9.3015890184095955</v>
      </c>
      <c r="CR213" s="635">
        <v>9.3291024942409102</v>
      </c>
      <c r="CS213" s="635">
        <v>9.3616353748532148</v>
      </c>
      <c r="CT213" s="635">
        <v>9.3941682554655195</v>
      </c>
      <c r="CU213" s="635">
        <v>9.4843587398414861</v>
      </c>
      <c r="CV213" s="635">
        <v>9.5918145286944458</v>
      </c>
      <c r="CW213" s="635">
        <v>9.6389962499879918</v>
      </c>
      <c r="CX213" s="635">
        <v>9.6649063792115069</v>
      </c>
      <c r="CY213" s="635">
        <v>9.6917387627365592</v>
      </c>
      <c r="CZ213" s="635">
        <v>9.7192167242726875</v>
      </c>
      <c r="DA213" s="636">
        <v>0</v>
      </c>
      <c r="DB213" s="636">
        <v>0</v>
      </c>
      <c r="DC213" s="636">
        <v>0</v>
      </c>
      <c r="DD213" s="637">
        <v>0</v>
      </c>
      <c r="DE213" s="637">
        <v>0</v>
      </c>
      <c r="DF213" s="637">
        <v>0</v>
      </c>
      <c r="DG213" s="637">
        <v>0</v>
      </c>
      <c r="DH213" s="637">
        <v>0</v>
      </c>
      <c r="DI213" s="637">
        <v>0</v>
      </c>
      <c r="DJ213" s="637">
        <v>0</v>
      </c>
      <c r="DK213" s="637">
        <v>0</v>
      </c>
      <c r="DL213" s="637">
        <v>0</v>
      </c>
      <c r="DM213" s="637">
        <v>0</v>
      </c>
      <c r="DN213" s="637">
        <v>0</v>
      </c>
      <c r="DO213" s="637">
        <v>0</v>
      </c>
      <c r="DP213" s="636">
        <v>0</v>
      </c>
      <c r="DQ213" s="636">
        <v>0</v>
      </c>
      <c r="DR213" s="636">
        <v>0</v>
      </c>
      <c r="DS213" s="637">
        <v>0</v>
      </c>
      <c r="DT213" s="637">
        <v>0</v>
      </c>
      <c r="DU213" s="637">
        <v>0</v>
      </c>
      <c r="DV213" s="637">
        <v>0</v>
      </c>
      <c r="DW213" s="637">
        <v>0</v>
      </c>
      <c r="DX213" s="637">
        <v>0</v>
      </c>
      <c r="DY213" s="637">
        <v>0</v>
      </c>
      <c r="DZ213" s="637">
        <v>0</v>
      </c>
      <c r="EA213" s="637">
        <v>0</v>
      </c>
      <c r="EB213" s="637">
        <v>0</v>
      </c>
      <c r="EC213" s="637">
        <v>0</v>
      </c>
      <c r="ED213" s="637">
        <v>0</v>
      </c>
    </row>
    <row r="214" spans="1:134" ht="15" x14ac:dyDescent="0.25">
      <c r="A214" s="555">
        <v>106</v>
      </c>
      <c r="B214" s="555">
        <v>94</v>
      </c>
      <c r="C214" s="555" t="s">
        <v>1197</v>
      </c>
      <c r="D214" s="812">
        <v>99709</v>
      </c>
      <c r="E214" s="812">
        <v>99709</v>
      </c>
      <c r="F214" s="630" t="s">
        <v>311</v>
      </c>
      <c r="G214" s="45">
        <v>1331</v>
      </c>
      <c r="H214" s="45">
        <v>577</v>
      </c>
      <c r="I214" s="45">
        <v>518</v>
      </c>
      <c r="J214" s="45">
        <v>59</v>
      </c>
      <c r="K214" s="45">
        <v>9</v>
      </c>
      <c r="L214" s="45">
        <v>288</v>
      </c>
      <c r="M214" s="45">
        <v>297</v>
      </c>
      <c r="N214" s="45">
        <v>24</v>
      </c>
      <c r="O214" s="45">
        <v>0</v>
      </c>
      <c r="P214" s="45">
        <v>0</v>
      </c>
      <c r="Q214" s="45">
        <v>321</v>
      </c>
      <c r="R214" s="45">
        <v>4333.4444444444443</v>
      </c>
      <c r="S214" s="45">
        <v>2359.7048611111113</v>
      </c>
      <c r="T214" s="45">
        <v>2419.5151515151515</v>
      </c>
      <c r="U214" s="45">
        <v>8092.958333333333</v>
      </c>
      <c r="V214" s="45">
        <v>0</v>
      </c>
      <c r="W214" s="45">
        <v>0</v>
      </c>
      <c r="X214" s="45">
        <v>2843.6978193146419</v>
      </c>
      <c r="Y214" s="45">
        <v>17.484848484848484</v>
      </c>
      <c r="Z214" s="45">
        <v>559.5151515151515</v>
      </c>
      <c r="AA214" s="45">
        <v>0</v>
      </c>
      <c r="AB214" s="508">
        <v>24</v>
      </c>
      <c r="AC214" s="508">
        <v>0</v>
      </c>
      <c r="AD214" s="631">
        <v>601</v>
      </c>
      <c r="AE214" s="632">
        <v>15.696969696969695</v>
      </c>
      <c r="AF214" s="632">
        <v>502.30303030303025</v>
      </c>
      <c r="AG214" s="633">
        <v>518</v>
      </c>
      <c r="AH214" s="632">
        <v>0</v>
      </c>
      <c r="AI214" s="632">
        <v>16.648345270286836</v>
      </c>
      <c r="AJ214" s="632">
        <v>532.74704864917874</v>
      </c>
      <c r="AK214" s="632">
        <v>549.39539391946562</v>
      </c>
      <c r="AL214" s="632">
        <v>0</v>
      </c>
      <c r="AM214" s="632">
        <v>14.974196902095505</v>
      </c>
      <c r="AN214" s="632">
        <v>479.17430086705616</v>
      </c>
      <c r="AO214" s="632">
        <v>494.14849776915167</v>
      </c>
      <c r="AP214" s="632">
        <v>0</v>
      </c>
      <c r="AQ214" s="632">
        <v>23.03197772402978</v>
      </c>
      <c r="AR214" s="632">
        <v>0</v>
      </c>
      <c r="AS214" s="632">
        <v>523.11143649900305</v>
      </c>
      <c r="AT214" s="632">
        <v>536.09235558730666</v>
      </c>
      <c r="AU214" s="632">
        <v>549.39539391946562</v>
      </c>
      <c r="AV214" s="632">
        <v>563.0285448283521</v>
      </c>
      <c r="AW214" s="632">
        <v>577</v>
      </c>
      <c r="AX214" s="632">
        <v>471.39524680986358</v>
      </c>
      <c r="AY214" s="632">
        <v>482.63780733238525</v>
      </c>
      <c r="AZ214" s="632">
        <v>494.14849776915173</v>
      </c>
      <c r="BA214" s="632">
        <v>505.93371289569205</v>
      </c>
      <c r="BB214" s="632">
        <v>518</v>
      </c>
      <c r="BC214" s="632">
        <v>22.10299991167517</v>
      </c>
      <c r="BD214" s="632">
        <v>22.56270820624011</v>
      </c>
      <c r="BE214" s="632">
        <v>23.03197772402978</v>
      </c>
      <c r="BF214" s="632">
        <v>23.511007323734873</v>
      </c>
      <c r="BG214" s="632">
        <v>24</v>
      </c>
      <c r="BH214" s="634">
        <v>583.11260746506605</v>
      </c>
      <c r="BI214" s="634">
        <v>589.28997051075942</v>
      </c>
      <c r="BJ214" s="634">
        <v>595.53277514305159</v>
      </c>
      <c r="BK214" s="635">
        <v>597.44061934287083</v>
      </c>
      <c r="BL214" s="635">
        <v>599.34846354268996</v>
      </c>
      <c r="BM214" s="635">
        <v>601.25630774250919</v>
      </c>
      <c r="BN214" s="635">
        <v>603.16415194232832</v>
      </c>
      <c r="BO214" s="635">
        <v>605.42005257662606</v>
      </c>
      <c r="BP214" s="635">
        <v>607.67595321092358</v>
      </c>
      <c r="BQ214" s="635">
        <v>613.92995737784622</v>
      </c>
      <c r="BR214" s="635">
        <v>621.38117527401528</v>
      </c>
      <c r="BS214" s="635">
        <v>624.65285835249119</v>
      </c>
      <c r="BT214" s="635">
        <v>626.44952301451804</v>
      </c>
      <c r="BU214" s="635">
        <v>628.31013879383477</v>
      </c>
      <c r="BV214" s="635">
        <v>630.21552035525451</v>
      </c>
      <c r="BW214" s="634">
        <v>523.48757481265886</v>
      </c>
      <c r="BX214" s="634">
        <v>529.03328375142701</v>
      </c>
      <c r="BY214" s="634">
        <v>534.63774267608449</v>
      </c>
      <c r="BZ214" s="635">
        <v>536.35050402011632</v>
      </c>
      <c r="CA214" s="635">
        <v>538.06326536414804</v>
      </c>
      <c r="CB214" s="635">
        <v>539.77602670817987</v>
      </c>
      <c r="CC214" s="635">
        <v>541.48878805221159</v>
      </c>
      <c r="CD214" s="635">
        <v>543.51401600466602</v>
      </c>
      <c r="CE214" s="635">
        <v>545.53924395712033</v>
      </c>
      <c r="CF214" s="635">
        <v>551.15375723002489</v>
      </c>
      <c r="CG214" s="635">
        <v>557.84306549729627</v>
      </c>
      <c r="CH214" s="635">
        <v>560.78020905821563</v>
      </c>
      <c r="CI214" s="635">
        <v>562.39315930939404</v>
      </c>
      <c r="CJ214" s="635">
        <v>564.06352148216024</v>
      </c>
      <c r="CK214" s="635">
        <v>565.7740720000379</v>
      </c>
      <c r="CL214" s="634">
        <v>24.254250570470681</v>
      </c>
      <c r="CM214" s="634">
        <v>24.511194613965728</v>
      </c>
      <c r="CN214" s="634">
        <v>24.77086066452901</v>
      </c>
      <c r="CO214" s="635">
        <v>24.85021640247643</v>
      </c>
      <c r="CP214" s="635">
        <v>24.929572140423847</v>
      </c>
      <c r="CQ214" s="635">
        <v>25.008927878371267</v>
      </c>
      <c r="CR214" s="635">
        <v>25.088283616318687</v>
      </c>
      <c r="CS214" s="635">
        <v>25.182116571644759</v>
      </c>
      <c r="CT214" s="635">
        <v>25.275949526970827</v>
      </c>
      <c r="CU214" s="635">
        <v>25.536081416062931</v>
      </c>
      <c r="CV214" s="635">
        <v>25.846010756631486</v>
      </c>
      <c r="CW214" s="635">
        <v>25.982094628179876</v>
      </c>
      <c r="CX214" s="635">
        <v>26.056825913948757</v>
      </c>
      <c r="CY214" s="635">
        <v>26.134217211528657</v>
      </c>
      <c r="CZ214" s="635">
        <v>26.213470517376273</v>
      </c>
      <c r="DA214" s="636">
        <v>0</v>
      </c>
      <c r="DB214" s="636">
        <v>0</v>
      </c>
      <c r="DC214" s="636">
        <v>0</v>
      </c>
      <c r="DD214" s="637">
        <v>0</v>
      </c>
      <c r="DE214" s="637">
        <v>0</v>
      </c>
      <c r="DF214" s="637">
        <v>0</v>
      </c>
      <c r="DG214" s="637">
        <v>0</v>
      </c>
      <c r="DH214" s="637">
        <v>0</v>
      </c>
      <c r="DI214" s="637">
        <v>0</v>
      </c>
      <c r="DJ214" s="637">
        <v>0</v>
      </c>
      <c r="DK214" s="637">
        <v>0</v>
      </c>
      <c r="DL214" s="637">
        <v>0</v>
      </c>
      <c r="DM214" s="637">
        <v>0</v>
      </c>
      <c r="DN214" s="637">
        <v>0</v>
      </c>
      <c r="DO214" s="637">
        <v>0</v>
      </c>
      <c r="DP214" s="636">
        <v>0</v>
      </c>
      <c r="DQ214" s="636">
        <v>0</v>
      </c>
      <c r="DR214" s="636">
        <v>0</v>
      </c>
      <c r="DS214" s="637">
        <v>0</v>
      </c>
      <c r="DT214" s="637">
        <v>0</v>
      </c>
      <c r="DU214" s="637">
        <v>0</v>
      </c>
      <c r="DV214" s="637">
        <v>0</v>
      </c>
      <c r="DW214" s="637">
        <v>0</v>
      </c>
      <c r="DX214" s="637">
        <v>0</v>
      </c>
      <c r="DY214" s="637">
        <v>0</v>
      </c>
      <c r="DZ214" s="637">
        <v>0</v>
      </c>
      <c r="EA214" s="637">
        <v>0</v>
      </c>
      <c r="EB214" s="637">
        <v>0</v>
      </c>
      <c r="EC214" s="637">
        <v>0</v>
      </c>
      <c r="ED214" s="637">
        <v>0</v>
      </c>
    </row>
    <row r="215" spans="1:134" ht="15" x14ac:dyDescent="0.25">
      <c r="A215" s="555">
        <v>107</v>
      </c>
      <c r="B215" s="555">
        <v>94</v>
      </c>
      <c r="C215" s="555" t="s">
        <v>1198</v>
      </c>
      <c r="D215" s="812">
        <v>99709</v>
      </c>
      <c r="E215" s="812">
        <v>99709</v>
      </c>
      <c r="F215" s="630" t="s">
        <v>311</v>
      </c>
      <c r="G215" s="45">
        <v>1501</v>
      </c>
      <c r="H215" s="45">
        <v>566</v>
      </c>
      <c r="I215" s="45">
        <v>538</v>
      </c>
      <c r="J215" s="45">
        <v>28</v>
      </c>
      <c r="K215" s="45">
        <v>3</v>
      </c>
      <c r="L215" s="45">
        <v>456</v>
      </c>
      <c r="M215" s="45">
        <v>459</v>
      </c>
      <c r="N215" s="45">
        <v>22</v>
      </c>
      <c r="O215" s="45">
        <v>0</v>
      </c>
      <c r="P215" s="45">
        <v>0</v>
      </c>
      <c r="Q215" s="45">
        <v>481</v>
      </c>
      <c r="R215" s="45">
        <v>13988</v>
      </c>
      <c r="S215" s="45">
        <v>2847.7368421052633</v>
      </c>
      <c r="T215" s="45">
        <v>2920.5490196078431</v>
      </c>
      <c r="U215" s="45">
        <v>9652.136363636364</v>
      </c>
      <c r="V215" s="45">
        <v>0</v>
      </c>
      <c r="W215" s="45">
        <v>0</v>
      </c>
      <c r="X215" s="45">
        <v>3228.4386694386694</v>
      </c>
      <c r="Y215" s="45">
        <v>3.6993464052287583</v>
      </c>
      <c r="Z215" s="45">
        <v>562.30065359477123</v>
      </c>
      <c r="AA215" s="45">
        <v>0</v>
      </c>
      <c r="AB215" s="508">
        <v>22</v>
      </c>
      <c r="AC215" s="508">
        <v>0</v>
      </c>
      <c r="AD215" s="631">
        <v>588</v>
      </c>
      <c r="AE215" s="632">
        <v>3.5163398692810457</v>
      </c>
      <c r="AF215" s="632">
        <v>534.48366013071893</v>
      </c>
      <c r="AG215" s="633">
        <v>538</v>
      </c>
      <c r="AH215" s="632">
        <v>0</v>
      </c>
      <c r="AI215" s="632">
        <v>3.5223637357802646</v>
      </c>
      <c r="AJ215" s="632">
        <v>535.39928783860023</v>
      </c>
      <c r="AK215" s="632">
        <v>538.92165157438046</v>
      </c>
      <c r="AL215" s="632">
        <v>0</v>
      </c>
      <c r="AM215" s="632">
        <v>3.3544286950791586</v>
      </c>
      <c r="AN215" s="632">
        <v>509.87316165203208</v>
      </c>
      <c r="AO215" s="632">
        <v>513.22759034711123</v>
      </c>
      <c r="AP215" s="632">
        <v>0</v>
      </c>
      <c r="AQ215" s="632">
        <v>21.1126462470273</v>
      </c>
      <c r="AR215" s="632">
        <v>0</v>
      </c>
      <c r="AS215" s="632">
        <v>513.13877479798225</v>
      </c>
      <c r="AT215" s="632">
        <v>525.87222402498367</v>
      </c>
      <c r="AU215" s="632">
        <v>538.92165157438046</v>
      </c>
      <c r="AV215" s="632">
        <v>552.29489839314954</v>
      </c>
      <c r="AW215" s="632">
        <v>566</v>
      </c>
      <c r="AX215" s="632">
        <v>489.59583548978111</v>
      </c>
      <c r="AY215" s="632">
        <v>501.27247170815303</v>
      </c>
      <c r="AZ215" s="632">
        <v>513.22759034711123</v>
      </c>
      <c r="BA215" s="632">
        <v>525.46783308471493</v>
      </c>
      <c r="BB215" s="632">
        <v>538</v>
      </c>
      <c r="BC215" s="632">
        <v>20.261083252368906</v>
      </c>
      <c r="BD215" s="632">
        <v>20.682482522386767</v>
      </c>
      <c r="BE215" s="632">
        <v>21.1126462470273</v>
      </c>
      <c r="BF215" s="632">
        <v>21.551756713423632</v>
      </c>
      <c r="BG215" s="632">
        <v>22</v>
      </c>
      <c r="BH215" s="634">
        <v>575.6053291574475</v>
      </c>
      <c r="BI215" s="634">
        <v>585.37366599726761</v>
      </c>
      <c r="BJ215" s="634">
        <v>595.30777684886743</v>
      </c>
      <c r="BK215" s="635">
        <v>595.37514535137916</v>
      </c>
      <c r="BL215" s="635">
        <v>595.44251385389089</v>
      </c>
      <c r="BM215" s="635">
        <v>595.50988235640273</v>
      </c>
      <c r="BN215" s="635">
        <v>595.57725085891445</v>
      </c>
      <c r="BO215" s="635">
        <v>595.65690969455852</v>
      </c>
      <c r="BP215" s="635">
        <v>595.73656853020259</v>
      </c>
      <c r="BQ215" s="635">
        <v>595.95740569052634</v>
      </c>
      <c r="BR215" s="635">
        <v>596.22051805137903</v>
      </c>
      <c r="BS215" s="635">
        <v>596.33604550886787</v>
      </c>
      <c r="BT215" s="635">
        <v>596.39948811482486</v>
      </c>
      <c r="BU215" s="635">
        <v>596.46518891933204</v>
      </c>
      <c r="BV215" s="635">
        <v>596.53247046282422</v>
      </c>
      <c r="BW215" s="634">
        <v>547.13015386343943</v>
      </c>
      <c r="BX215" s="634">
        <v>556.41525142496459</v>
      </c>
      <c r="BY215" s="634">
        <v>565.85792216376444</v>
      </c>
      <c r="BZ215" s="635">
        <v>565.92195794883742</v>
      </c>
      <c r="CA215" s="635">
        <v>565.98599373391039</v>
      </c>
      <c r="CB215" s="635">
        <v>566.05002951898348</v>
      </c>
      <c r="CC215" s="635">
        <v>566.11406530405645</v>
      </c>
      <c r="CD215" s="635">
        <v>566.18978341991601</v>
      </c>
      <c r="CE215" s="635">
        <v>566.26550153577557</v>
      </c>
      <c r="CF215" s="635">
        <v>566.47541388958155</v>
      </c>
      <c r="CG215" s="635">
        <v>566.72551009124004</v>
      </c>
      <c r="CH215" s="635">
        <v>566.83532240948921</v>
      </c>
      <c r="CI215" s="635">
        <v>566.89562651197127</v>
      </c>
      <c r="CJ215" s="635">
        <v>566.95807710000111</v>
      </c>
      <c r="CK215" s="635">
        <v>567.02203022791412</v>
      </c>
      <c r="CL215" s="634">
        <v>22.373352016720574</v>
      </c>
      <c r="CM215" s="634">
        <v>22.753040021095206</v>
      </c>
      <c r="CN215" s="634">
        <v>23.139171538295201</v>
      </c>
      <c r="CO215" s="635">
        <v>23.141790101997071</v>
      </c>
      <c r="CP215" s="635">
        <v>23.14440866569894</v>
      </c>
      <c r="CQ215" s="635">
        <v>23.147027229400813</v>
      </c>
      <c r="CR215" s="635">
        <v>23.149645793102682</v>
      </c>
      <c r="CS215" s="635">
        <v>23.152742072933371</v>
      </c>
      <c r="CT215" s="635">
        <v>23.155838352764061</v>
      </c>
      <c r="CU215" s="635">
        <v>23.164422129313746</v>
      </c>
      <c r="CV215" s="635">
        <v>23.1746491115377</v>
      </c>
      <c r="CW215" s="635">
        <v>23.179139578083202</v>
      </c>
      <c r="CX215" s="635">
        <v>23.181605545099199</v>
      </c>
      <c r="CY215" s="635">
        <v>23.184159286617145</v>
      </c>
      <c r="CZ215" s="635">
        <v>23.186774470286455</v>
      </c>
      <c r="DA215" s="636">
        <v>0</v>
      </c>
      <c r="DB215" s="636">
        <v>0</v>
      </c>
      <c r="DC215" s="636">
        <v>0</v>
      </c>
      <c r="DD215" s="637">
        <v>0</v>
      </c>
      <c r="DE215" s="637">
        <v>0</v>
      </c>
      <c r="DF215" s="637">
        <v>0</v>
      </c>
      <c r="DG215" s="637">
        <v>0</v>
      </c>
      <c r="DH215" s="637">
        <v>0</v>
      </c>
      <c r="DI215" s="637">
        <v>0</v>
      </c>
      <c r="DJ215" s="637">
        <v>0</v>
      </c>
      <c r="DK215" s="637">
        <v>0</v>
      </c>
      <c r="DL215" s="637">
        <v>0</v>
      </c>
      <c r="DM215" s="637">
        <v>0</v>
      </c>
      <c r="DN215" s="637">
        <v>0</v>
      </c>
      <c r="DO215" s="637">
        <v>0</v>
      </c>
      <c r="DP215" s="636">
        <v>0</v>
      </c>
      <c r="DQ215" s="636">
        <v>0</v>
      </c>
      <c r="DR215" s="636">
        <v>0</v>
      </c>
      <c r="DS215" s="637">
        <v>0</v>
      </c>
      <c r="DT215" s="637">
        <v>0</v>
      </c>
      <c r="DU215" s="637">
        <v>0</v>
      </c>
      <c r="DV215" s="637">
        <v>0</v>
      </c>
      <c r="DW215" s="637">
        <v>0</v>
      </c>
      <c r="DX215" s="637">
        <v>0</v>
      </c>
      <c r="DY215" s="637">
        <v>0</v>
      </c>
      <c r="DZ215" s="637">
        <v>0</v>
      </c>
      <c r="EA215" s="637">
        <v>0</v>
      </c>
      <c r="EB215" s="637">
        <v>0</v>
      </c>
      <c r="EC215" s="637">
        <v>0</v>
      </c>
      <c r="ED215" s="637">
        <v>0</v>
      </c>
    </row>
    <row r="216" spans="1:134" ht="15" x14ac:dyDescent="0.25">
      <c r="A216" s="555">
        <v>108</v>
      </c>
      <c r="B216" s="555">
        <v>94</v>
      </c>
      <c r="C216" s="555" t="s">
        <v>1199</v>
      </c>
      <c r="D216" s="812">
        <v>99701</v>
      </c>
      <c r="E216" s="812">
        <v>99701</v>
      </c>
      <c r="F216" s="630" t="s">
        <v>311</v>
      </c>
      <c r="G216" s="45">
        <v>1159</v>
      </c>
      <c r="H216" s="45">
        <v>528</v>
      </c>
      <c r="I216" s="45">
        <v>470</v>
      </c>
      <c r="J216" s="45">
        <v>58</v>
      </c>
      <c r="K216" s="45">
        <v>4</v>
      </c>
      <c r="L216" s="45">
        <v>177</v>
      </c>
      <c r="M216" s="45">
        <v>181</v>
      </c>
      <c r="N216" s="45">
        <v>28</v>
      </c>
      <c r="O216" s="45">
        <v>0</v>
      </c>
      <c r="P216" s="45">
        <v>0</v>
      </c>
      <c r="Q216" s="45">
        <v>209</v>
      </c>
      <c r="R216" s="45">
        <v>3408.5</v>
      </c>
      <c r="S216" s="45">
        <v>2513.593220338983</v>
      </c>
      <c r="T216" s="45">
        <v>2533.3701657458564</v>
      </c>
      <c r="U216" s="45">
        <v>8862.4642857142862</v>
      </c>
      <c r="V216" s="45">
        <v>0</v>
      </c>
      <c r="W216" s="45">
        <v>0</v>
      </c>
      <c r="X216" s="45">
        <v>3381.287081339713</v>
      </c>
      <c r="Y216" s="45">
        <v>11.668508287292818</v>
      </c>
      <c r="Z216" s="45">
        <v>516.33149171270713</v>
      </c>
      <c r="AA216" s="45">
        <v>0</v>
      </c>
      <c r="AB216" s="508">
        <v>28</v>
      </c>
      <c r="AC216" s="508">
        <v>0</v>
      </c>
      <c r="AD216" s="631">
        <v>556</v>
      </c>
      <c r="AE216" s="632">
        <v>10.386740331491714</v>
      </c>
      <c r="AF216" s="632">
        <v>459.61325966850825</v>
      </c>
      <c r="AG216" s="633">
        <v>469.99999999999994</v>
      </c>
      <c r="AH216" s="632">
        <v>0</v>
      </c>
      <c r="AI216" s="632">
        <v>11.538988036142854</v>
      </c>
      <c r="AJ216" s="632">
        <v>510.60022059932123</v>
      </c>
      <c r="AK216" s="632">
        <v>522.13920863546412</v>
      </c>
      <c r="AL216" s="632">
        <v>0</v>
      </c>
      <c r="AM216" s="632">
        <v>10.29036442931698</v>
      </c>
      <c r="AN216" s="632">
        <v>455.34862599727632</v>
      </c>
      <c r="AO216" s="632">
        <v>465.6389904265933</v>
      </c>
      <c r="AP216" s="632">
        <v>0</v>
      </c>
      <c r="AQ216" s="632">
        <v>27.855380329919431</v>
      </c>
      <c r="AR216" s="632">
        <v>0</v>
      </c>
      <c r="AS216" s="632">
        <v>516.34347195922112</v>
      </c>
      <c r="AT216" s="632">
        <v>519.23325378183904</v>
      </c>
      <c r="AU216" s="632">
        <v>522.13920863546412</v>
      </c>
      <c r="AV216" s="632">
        <v>525.0614270345186</v>
      </c>
      <c r="AW216" s="632">
        <v>528</v>
      </c>
      <c r="AX216" s="632">
        <v>461.31844554361072</v>
      </c>
      <c r="AY216" s="632">
        <v>463.47368344717512</v>
      </c>
      <c r="AZ216" s="632">
        <v>465.6389904265933</v>
      </c>
      <c r="BA216" s="632">
        <v>467.81441352367375</v>
      </c>
      <c r="BB216" s="632">
        <v>469.99999999999994</v>
      </c>
      <c r="BC216" s="632">
        <v>27.711507618730796</v>
      </c>
      <c r="BD216" s="632">
        <v>27.783350846058983</v>
      </c>
      <c r="BE216" s="632">
        <v>27.855380329919431</v>
      </c>
      <c r="BF216" s="632">
        <v>27.927596553189893</v>
      </c>
      <c r="BG216" s="632">
        <v>28</v>
      </c>
      <c r="BH216" s="634">
        <v>531.3161563689639</v>
      </c>
      <c r="BI216" s="634">
        <v>534.6531401869114</v>
      </c>
      <c r="BJ216" s="634">
        <v>538.01108226270185</v>
      </c>
      <c r="BK216" s="635">
        <v>540.43769744494045</v>
      </c>
      <c r="BL216" s="635">
        <v>542.86431262717906</v>
      </c>
      <c r="BM216" s="635">
        <v>545.29092780941778</v>
      </c>
      <c r="BN216" s="635">
        <v>547.71754299165639</v>
      </c>
      <c r="BO216" s="635">
        <v>550.58685628743137</v>
      </c>
      <c r="BP216" s="635">
        <v>553.45616958320647</v>
      </c>
      <c r="BQ216" s="635">
        <v>561.41072974208942</v>
      </c>
      <c r="BR216" s="635">
        <v>570.88804370447986</v>
      </c>
      <c r="BS216" s="635">
        <v>575.04934567581245</v>
      </c>
      <c r="BT216" s="635">
        <v>577.3345499638142</v>
      </c>
      <c r="BU216" s="635">
        <v>579.70109462130279</v>
      </c>
      <c r="BV216" s="635">
        <v>582.12457753743229</v>
      </c>
      <c r="BW216" s="634">
        <v>472.95188161631245</v>
      </c>
      <c r="BX216" s="634">
        <v>475.92230281789455</v>
      </c>
      <c r="BY216" s="634">
        <v>478.91138004445042</v>
      </c>
      <c r="BZ216" s="635">
        <v>481.07143522560978</v>
      </c>
      <c r="CA216" s="635">
        <v>483.23149040676913</v>
      </c>
      <c r="CB216" s="635">
        <v>485.39154558792859</v>
      </c>
      <c r="CC216" s="635">
        <v>487.55160076908794</v>
      </c>
      <c r="CD216" s="635">
        <v>490.10572434676652</v>
      </c>
      <c r="CE216" s="635">
        <v>492.65984792444505</v>
      </c>
      <c r="CF216" s="635">
        <v>499.74061170223865</v>
      </c>
      <c r="CG216" s="635">
        <v>508.17685708542712</v>
      </c>
      <c r="CH216" s="635">
        <v>511.88104634021175</v>
      </c>
      <c r="CI216" s="635">
        <v>513.91522439960727</v>
      </c>
      <c r="CJ216" s="635">
        <v>516.02180771214444</v>
      </c>
      <c r="CK216" s="635">
        <v>518.17907470188095</v>
      </c>
      <c r="CL216" s="634">
        <v>28.175856777142023</v>
      </c>
      <c r="CM216" s="634">
        <v>28.352818040214999</v>
      </c>
      <c r="CN216" s="634">
        <v>28.53089072605237</v>
      </c>
      <c r="CO216" s="635">
        <v>28.659574864504417</v>
      </c>
      <c r="CP216" s="635">
        <v>28.788259002956462</v>
      </c>
      <c r="CQ216" s="635">
        <v>28.916943141408517</v>
      </c>
      <c r="CR216" s="635">
        <v>29.045627279860565</v>
      </c>
      <c r="CS216" s="635">
        <v>29.197787833424393</v>
      </c>
      <c r="CT216" s="635">
        <v>29.349948386988217</v>
      </c>
      <c r="CU216" s="635">
        <v>29.771781122686562</v>
      </c>
      <c r="CV216" s="635">
        <v>30.274365954025448</v>
      </c>
      <c r="CW216" s="635">
        <v>30.49504105856581</v>
      </c>
      <c r="CX216" s="635">
        <v>30.616226134444691</v>
      </c>
      <c r="CY216" s="635">
        <v>30.741724714766058</v>
      </c>
      <c r="CZ216" s="635">
        <v>30.870242748197168</v>
      </c>
      <c r="DA216" s="636">
        <v>0</v>
      </c>
      <c r="DB216" s="636">
        <v>0</v>
      </c>
      <c r="DC216" s="636">
        <v>0</v>
      </c>
      <c r="DD216" s="637">
        <v>0</v>
      </c>
      <c r="DE216" s="637">
        <v>0</v>
      </c>
      <c r="DF216" s="637">
        <v>0</v>
      </c>
      <c r="DG216" s="637">
        <v>0</v>
      </c>
      <c r="DH216" s="637">
        <v>0</v>
      </c>
      <c r="DI216" s="637">
        <v>0</v>
      </c>
      <c r="DJ216" s="637">
        <v>0</v>
      </c>
      <c r="DK216" s="637">
        <v>0</v>
      </c>
      <c r="DL216" s="637">
        <v>0</v>
      </c>
      <c r="DM216" s="637">
        <v>0</v>
      </c>
      <c r="DN216" s="637">
        <v>0</v>
      </c>
      <c r="DO216" s="637">
        <v>0</v>
      </c>
      <c r="DP216" s="636">
        <v>0</v>
      </c>
      <c r="DQ216" s="636">
        <v>0</v>
      </c>
      <c r="DR216" s="636">
        <v>0</v>
      </c>
      <c r="DS216" s="637">
        <v>0</v>
      </c>
      <c r="DT216" s="637">
        <v>0</v>
      </c>
      <c r="DU216" s="637">
        <v>0</v>
      </c>
      <c r="DV216" s="637">
        <v>0</v>
      </c>
      <c r="DW216" s="637">
        <v>0</v>
      </c>
      <c r="DX216" s="637">
        <v>0</v>
      </c>
      <c r="DY216" s="637">
        <v>0</v>
      </c>
      <c r="DZ216" s="637">
        <v>0</v>
      </c>
      <c r="EA216" s="637">
        <v>0</v>
      </c>
      <c r="EB216" s="637">
        <v>0</v>
      </c>
      <c r="EC216" s="637">
        <v>0</v>
      </c>
      <c r="ED216" s="637">
        <v>0</v>
      </c>
    </row>
    <row r="217" spans="1:134" ht="15" x14ac:dyDescent="0.25">
      <c r="A217" s="555">
        <v>109</v>
      </c>
      <c r="B217" s="555">
        <v>94</v>
      </c>
      <c r="C217" s="555" t="s">
        <v>1200</v>
      </c>
      <c r="D217" s="812">
        <v>99701</v>
      </c>
      <c r="E217" s="812">
        <v>99701</v>
      </c>
      <c r="F217" s="630" t="s">
        <v>311</v>
      </c>
      <c r="G217" s="45">
        <v>2461</v>
      </c>
      <c r="H217" s="45">
        <v>1456</v>
      </c>
      <c r="I217" s="45">
        <v>1242</v>
      </c>
      <c r="J217" s="45">
        <v>214</v>
      </c>
      <c r="K217" s="45">
        <v>17</v>
      </c>
      <c r="L217" s="45">
        <v>408</v>
      </c>
      <c r="M217" s="45">
        <v>425</v>
      </c>
      <c r="N217" s="45">
        <v>70</v>
      </c>
      <c r="O217" s="45">
        <v>29</v>
      </c>
      <c r="P217" s="45">
        <v>38</v>
      </c>
      <c r="Q217" s="45">
        <v>562</v>
      </c>
      <c r="R217" s="45">
        <v>4491.6470588235297</v>
      </c>
      <c r="S217" s="45">
        <v>2133.6200980392155</v>
      </c>
      <c r="T217" s="45">
        <v>2227.9411764705883</v>
      </c>
      <c r="U217" s="45">
        <v>8539.971428571429</v>
      </c>
      <c r="V217" s="45">
        <v>3203.4827586206898</v>
      </c>
      <c r="W217" s="45">
        <v>19775.236842105263</v>
      </c>
      <c r="X217" s="45">
        <v>4250.9483985765128</v>
      </c>
      <c r="Y217" s="45">
        <v>54.519823788546255</v>
      </c>
      <c r="Z217" s="45">
        <v>1308.4757709251101</v>
      </c>
      <c r="AA217" s="45">
        <v>93.004405286343612</v>
      </c>
      <c r="AB217" s="508">
        <v>70</v>
      </c>
      <c r="AC217" s="508">
        <v>38</v>
      </c>
      <c r="AD217" s="631">
        <v>1564</v>
      </c>
      <c r="AE217" s="632">
        <v>46.506607929515418</v>
      </c>
      <c r="AF217" s="632">
        <v>1116.1585903083699</v>
      </c>
      <c r="AG217" s="633">
        <v>1162.6651982378853</v>
      </c>
      <c r="AH217" s="632">
        <v>79.334801762114537</v>
      </c>
      <c r="AI217" s="632">
        <v>53.914654636167604</v>
      </c>
      <c r="AJ217" s="632">
        <v>1293.9517112680223</v>
      </c>
      <c r="AK217" s="632">
        <v>1347.8663659041899</v>
      </c>
      <c r="AL217" s="632">
        <v>91.972057908756497</v>
      </c>
      <c r="AM217" s="632">
        <v>46.075085030776513</v>
      </c>
      <c r="AN217" s="632">
        <v>1105.8020407386362</v>
      </c>
      <c r="AO217" s="632">
        <v>1151.8771257694127</v>
      </c>
      <c r="AP217" s="632">
        <v>78.598674464265812</v>
      </c>
      <c r="AQ217" s="632">
        <v>69.638450824798582</v>
      </c>
      <c r="AR217" s="632">
        <v>37.803730447747796</v>
      </c>
      <c r="AS217" s="632">
        <v>1332.9050712870696</v>
      </c>
      <c r="AT217" s="632">
        <v>1340.3648438134178</v>
      </c>
      <c r="AU217" s="632">
        <v>1347.8663659041902</v>
      </c>
      <c r="AV217" s="632">
        <v>1355.4098712161265</v>
      </c>
      <c r="AW217" s="632">
        <v>1362.9955947136564</v>
      </c>
      <c r="AX217" s="632">
        <v>1141.1891530611815</v>
      </c>
      <c r="AY217" s="632">
        <v>1146.5206851981975</v>
      </c>
      <c r="AZ217" s="632">
        <v>1151.8771257694127</v>
      </c>
      <c r="BA217" s="632">
        <v>1157.2585911447707</v>
      </c>
      <c r="BB217" s="632">
        <v>1162.6651982378853</v>
      </c>
      <c r="BC217" s="632">
        <v>69.278769046826994</v>
      </c>
      <c r="BD217" s="632">
        <v>69.458377115147456</v>
      </c>
      <c r="BE217" s="632">
        <v>69.638450824798582</v>
      </c>
      <c r="BF217" s="632">
        <v>69.818991382974744</v>
      </c>
      <c r="BG217" s="632">
        <v>70</v>
      </c>
      <c r="BH217" s="634">
        <v>1381.2850784733737</v>
      </c>
      <c r="BI217" s="634">
        <v>1399.8199813800743</v>
      </c>
      <c r="BJ217" s="634">
        <v>1418.6035966135171</v>
      </c>
      <c r="BK217" s="635">
        <v>1429.8529336300844</v>
      </c>
      <c r="BL217" s="635">
        <v>1441.1022706466522</v>
      </c>
      <c r="BM217" s="635">
        <v>1452.3516076632197</v>
      </c>
      <c r="BN217" s="635">
        <v>1463.6009446797873</v>
      </c>
      <c r="BO217" s="635">
        <v>1476.9025478785741</v>
      </c>
      <c r="BP217" s="635">
        <v>1490.2041510773608</v>
      </c>
      <c r="BQ217" s="635">
        <v>1527.0800136784042</v>
      </c>
      <c r="BR217" s="635">
        <v>1571.0150799200962</v>
      </c>
      <c r="BS217" s="635">
        <v>1590.3061025123318</v>
      </c>
      <c r="BT217" s="635">
        <v>1600.8998849033749</v>
      </c>
      <c r="BU217" s="635">
        <v>1611.8707461308586</v>
      </c>
      <c r="BV217" s="635">
        <v>1623.1055625438519</v>
      </c>
      <c r="BW217" s="634">
        <v>1178.2665298516001</v>
      </c>
      <c r="BX217" s="634">
        <v>1194.0772093915193</v>
      </c>
      <c r="BY217" s="634">
        <v>1210.1000460123544</v>
      </c>
      <c r="BZ217" s="635">
        <v>1219.6959777256625</v>
      </c>
      <c r="CA217" s="635">
        <v>1229.2919094389711</v>
      </c>
      <c r="CB217" s="635">
        <v>1238.8878411522794</v>
      </c>
      <c r="CC217" s="635">
        <v>1248.4837728655875</v>
      </c>
      <c r="CD217" s="635">
        <v>1259.8303327370802</v>
      </c>
      <c r="CE217" s="635">
        <v>1271.1768926085729</v>
      </c>
      <c r="CF217" s="635">
        <v>1302.6328138657814</v>
      </c>
      <c r="CG217" s="635">
        <v>1340.110390975796</v>
      </c>
      <c r="CH217" s="635">
        <v>1356.5660572254917</v>
      </c>
      <c r="CI217" s="635">
        <v>1365.6027864354335</v>
      </c>
      <c r="CJ217" s="635">
        <v>1374.9611721803062</v>
      </c>
      <c r="CK217" s="635">
        <v>1384.5447174996318</v>
      </c>
      <c r="CL217" s="634">
        <v>70.939301541505841</v>
      </c>
      <c r="CM217" s="634">
        <v>71.891207188524177</v>
      </c>
      <c r="CN217" s="634">
        <v>72.855886070422713</v>
      </c>
      <c r="CO217" s="635">
        <v>73.433623514486243</v>
      </c>
      <c r="CP217" s="635">
        <v>74.011360958549787</v>
      </c>
      <c r="CQ217" s="635">
        <v>74.589098402613331</v>
      </c>
      <c r="CR217" s="635">
        <v>75.166835846676861</v>
      </c>
      <c r="CS217" s="635">
        <v>75.849972481546686</v>
      </c>
      <c r="CT217" s="635">
        <v>76.533109116416497</v>
      </c>
      <c r="CU217" s="635">
        <v>78.426959978506289</v>
      </c>
      <c r="CV217" s="635">
        <v>80.683353652004939</v>
      </c>
      <c r="CW217" s="635">
        <v>81.674091690112974</v>
      </c>
      <c r="CX217" s="635">
        <v>82.218161509743467</v>
      </c>
      <c r="CY217" s="635">
        <v>82.781597142919665</v>
      </c>
      <c r="CZ217" s="635">
        <v>83.358588845577913</v>
      </c>
      <c r="DA217" s="636">
        <v>94.252393589947843</v>
      </c>
      <c r="DB217" s="636">
        <v>95.517128141228611</v>
      </c>
      <c r="DC217" s="636">
        <v>96.798833651275288</v>
      </c>
      <c r="DD217" s="637">
        <v>97.566435471229298</v>
      </c>
      <c r="DE217" s="637">
        <v>98.334037291183321</v>
      </c>
      <c r="DF217" s="637">
        <v>99.101639111137359</v>
      </c>
      <c r="DG217" s="637">
        <v>99.869240931091369</v>
      </c>
      <c r="DH217" s="637">
        <v>100.77687973759683</v>
      </c>
      <c r="DI217" s="637">
        <v>101.68451854410227</v>
      </c>
      <c r="DJ217" s="637">
        <v>104.20075387452641</v>
      </c>
      <c r="DK217" s="637">
        <v>107.19867604160656</v>
      </c>
      <c r="DL217" s="637">
        <v>108.51500464201794</v>
      </c>
      <c r="DM217" s="637">
        <v>109.23787449928912</v>
      </c>
      <c r="DN217" s="637">
        <v>109.98647444187036</v>
      </c>
      <c r="DO217" s="637">
        <v>110.75308544416872</v>
      </c>
      <c r="DP217" s="636">
        <v>38.509906551103171</v>
      </c>
      <c r="DQ217" s="636">
        <v>39.02665533091313</v>
      </c>
      <c r="DR217" s="636">
        <v>39.550338152515188</v>
      </c>
      <c r="DS217" s="637">
        <v>39.863967050721101</v>
      </c>
      <c r="DT217" s="637">
        <v>40.177595948927028</v>
      </c>
      <c r="DU217" s="637">
        <v>40.491224847132955</v>
      </c>
      <c r="DV217" s="637">
        <v>40.804853745338868</v>
      </c>
      <c r="DW217" s="637">
        <v>41.175699347125338</v>
      </c>
      <c r="DX217" s="637">
        <v>41.546544948911816</v>
      </c>
      <c r="DY217" s="637">
        <v>42.574635416903412</v>
      </c>
      <c r="DZ217" s="637">
        <v>43.799534839659827</v>
      </c>
      <c r="EA217" s="637">
        <v>44.337364060347042</v>
      </c>
      <c r="EB217" s="637">
        <v>44.632716248146451</v>
      </c>
      <c r="EC217" s="637">
        <v>44.938581306156387</v>
      </c>
      <c r="ED217" s="637">
        <v>45.251805373313729</v>
      </c>
    </row>
    <row r="218" spans="1:134" ht="15" x14ac:dyDescent="0.25">
      <c r="A218" s="555">
        <v>110</v>
      </c>
      <c r="B218" s="555">
        <v>94</v>
      </c>
      <c r="C218" s="555" t="s">
        <v>1201</v>
      </c>
      <c r="D218" s="812">
        <v>99701</v>
      </c>
      <c r="E218" s="812">
        <v>99701</v>
      </c>
      <c r="F218" s="630" t="s">
        <v>311</v>
      </c>
      <c r="G218" s="45">
        <v>2613</v>
      </c>
      <c r="H218" s="45">
        <v>1325</v>
      </c>
      <c r="I218" s="45">
        <v>1189</v>
      </c>
      <c r="J218" s="45">
        <v>136</v>
      </c>
      <c r="K218" s="45">
        <v>29</v>
      </c>
      <c r="L218" s="45">
        <v>516</v>
      </c>
      <c r="M218" s="45">
        <v>545</v>
      </c>
      <c r="N218" s="45">
        <v>68</v>
      </c>
      <c r="O218" s="45">
        <v>1</v>
      </c>
      <c r="P218" s="45">
        <v>7</v>
      </c>
      <c r="Q218" s="45">
        <v>621</v>
      </c>
      <c r="R218" s="45">
        <v>4888.3793103448279</v>
      </c>
      <c r="S218" s="45">
        <v>2042.2926356589148</v>
      </c>
      <c r="T218" s="45">
        <v>2193.735779816514</v>
      </c>
      <c r="U218" s="45">
        <v>6239.8235294117649</v>
      </c>
      <c r="V218" s="45">
        <v>39744</v>
      </c>
      <c r="W218" s="45">
        <v>38067.571428571428</v>
      </c>
      <c r="X218" s="45">
        <v>3101.6280193236717</v>
      </c>
      <c r="Y218" s="45">
        <v>70.375457875457869</v>
      </c>
      <c r="Z218" s="45">
        <v>1252.1978021978023</v>
      </c>
      <c r="AA218" s="45">
        <v>2.4267399267399266</v>
      </c>
      <c r="AB218" s="508">
        <v>68</v>
      </c>
      <c r="AC218" s="508">
        <v>7</v>
      </c>
      <c r="AD218" s="631">
        <v>1400</v>
      </c>
      <c r="AE218" s="632">
        <v>63.152014652014643</v>
      </c>
      <c r="AF218" s="632">
        <v>1123.6703296703297</v>
      </c>
      <c r="AG218" s="633">
        <v>1186.8223443223444</v>
      </c>
      <c r="AH218" s="632">
        <v>2.1776556776556775</v>
      </c>
      <c r="AI218" s="632">
        <v>69.594291444034113</v>
      </c>
      <c r="AJ218" s="632">
        <v>1238.298427073159</v>
      </c>
      <c r="AK218" s="632">
        <v>1307.8927185171931</v>
      </c>
      <c r="AL218" s="632">
        <v>2.3998031532425559</v>
      </c>
      <c r="AM218" s="632">
        <v>62.566043289296871</v>
      </c>
      <c r="AN218" s="632">
        <v>1113.2440805957651</v>
      </c>
      <c r="AO218" s="632">
        <v>1175.810123885062</v>
      </c>
      <c r="AP218" s="632">
        <v>2.157449768596444</v>
      </c>
      <c r="AQ218" s="632">
        <v>67.648780801232903</v>
      </c>
      <c r="AR218" s="632">
        <v>6.9638450824798577</v>
      </c>
      <c r="AS218" s="632">
        <v>1293.3751307322975</v>
      </c>
      <c r="AT218" s="632">
        <v>1300.6136689255554</v>
      </c>
      <c r="AU218" s="632">
        <v>1307.8927185171931</v>
      </c>
      <c r="AV218" s="632">
        <v>1315.2125062343966</v>
      </c>
      <c r="AW218" s="632">
        <v>1322.5732600732601</v>
      </c>
      <c r="AX218" s="632">
        <v>1164.9000830195914</v>
      </c>
      <c r="AY218" s="632">
        <v>1170.3423904691247</v>
      </c>
      <c r="AZ218" s="632">
        <v>1175.810123885062</v>
      </c>
      <c r="BA218" s="632">
        <v>1181.3034020552111</v>
      </c>
      <c r="BB218" s="632">
        <v>1186.8223443223444</v>
      </c>
      <c r="BC218" s="632">
        <v>67.299375645489079</v>
      </c>
      <c r="BD218" s="632">
        <v>67.473852054714669</v>
      </c>
      <c r="BE218" s="632">
        <v>67.648780801232903</v>
      </c>
      <c r="BF218" s="632">
        <v>67.824163057746887</v>
      </c>
      <c r="BG218" s="632">
        <v>68</v>
      </c>
      <c r="BH218" s="634">
        <v>1328.5907964888136</v>
      </c>
      <c r="BI218" s="634">
        <v>1334.635711912854</v>
      </c>
      <c r="BJ218" s="634">
        <v>1340.7081309163113</v>
      </c>
      <c r="BK218" s="635">
        <v>1348.7370904668062</v>
      </c>
      <c r="BL218" s="635">
        <v>1356.7660500173008</v>
      </c>
      <c r="BM218" s="635">
        <v>1364.7950095677954</v>
      </c>
      <c r="BN218" s="635">
        <v>1372.8239691182905</v>
      </c>
      <c r="BO218" s="635">
        <v>1382.3176871820758</v>
      </c>
      <c r="BP218" s="635">
        <v>1391.8114052458609</v>
      </c>
      <c r="BQ218" s="635">
        <v>1418.1307171108474</v>
      </c>
      <c r="BR218" s="635">
        <v>1449.4883757162688</v>
      </c>
      <c r="BS218" s="635">
        <v>1463.256906239679</v>
      </c>
      <c r="BT218" s="635">
        <v>1470.8179785214641</v>
      </c>
      <c r="BU218" s="635">
        <v>1478.6481822836799</v>
      </c>
      <c r="BV218" s="635">
        <v>1486.6667780821981</v>
      </c>
      <c r="BW218" s="634">
        <v>1192.2222317171315</v>
      </c>
      <c r="BX218" s="634">
        <v>1197.646687897648</v>
      </c>
      <c r="BY218" s="634">
        <v>1203.095824648675</v>
      </c>
      <c r="BZ218" s="635">
        <v>1210.3006796717229</v>
      </c>
      <c r="CA218" s="635">
        <v>1217.5055346947706</v>
      </c>
      <c r="CB218" s="635">
        <v>1224.7103897178181</v>
      </c>
      <c r="CC218" s="635">
        <v>1231.915244740866</v>
      </c>
      <c r="CD218" s="635">
        <v>1240.434513252444</v>
      </c>
      <c r="CE218" s="635">
        <v>1248.9537817640219</v>
      </c>
      <c r="CF218" s="635">
        <v>1272.5716397319229</v>
      </c>
      <c r="CG218" s="635">
        <v>1300.7107009257688</v>
      </c>
      <c r="CH218" s="635">
        <v>1313.0660086935688</v>
      </c>
      <c r="CI218" s="635">
        <v>1319.851001103412</v>
      </c>
      <c r="CJ218" s="635">
        <v>1326.8775009322985</v>
      </c>
      <c r="CK218" s="635">
        <v>1334.0730559545159</v>
      </c>
      <c r="CL218" s="634">
        <v>68.309391160860883</v>
      </c>
      <c r="CM218" s="634">
        <v>68.620190011286752</v>
      </c>
      <c r="CN218" s="634">
        <v>68.932402956082129</v>
      </c>
      <c r="CO218" s="635">
        <v>69.345211279005127</v>
      </c>
      <c r="CP218" s="635">
        <v>69.758019601928126</v>
      </c>
      <c r="CQ218" s="635">
        <v>70.17082792485111</v>
      </c>
      <c r="CR218" s="635">
        <v>70.583636247774123</v>
      </c>
      <c r="CS218" s="635">
        <v>71.071755014292691</v>
      </c>
      <c r="CT218" s="635">
        <v>71.559873780811259</v>
      </c>
      <c r="CU218" s="635">
        <v>72.91307912742468</v>
      </c>
      <c r="CV218" s="635">
        <v>74.525330674874326</v>
      </c>
      <c r="CW218" s="635">
        <v>75.233238587317715</v>
      </c>
      <c r="CX218" s="635">
        <v>75.621990523171078</v>
      </c>
      <c r="CY218" s="635">
        <v>76.024579832893835</v>
      </c>
      <c r="CZ218" s="635">
        <v>76.436855304325221</v>
      </c>
      <c r="DA218" s="636">
        <v>2.4377812779611254</v>
      </c>
      <c r="DB218" s="636">
        <v>2.4488728658951446</v>
      </c>
      <c r="DC218" s="636">
        <v>2.4600149191124978</v>
      </c>
      <c r="DD218" s="637">
        <v>2.4747469549849654</v>
      </c>
      <c r="DE218" s="637">
        <v>2.4894789908574326</v>
      </c>
      <c r="DF218" s="637">
        <v>2.5042110267298998</v>
      </c>
      <c r="DG218" s="637">
        <v>2.5189430626023679</v>
      </c>
      <c r="DH218" s="637">
        <v>2.5363627287744506</v>
      </c>
      <c r="DI218" s="637">
        <v>2.5537823949465337</v>
      </c>
      <c r="DJ218" s="637">
        <v>2.6020747102951329</v>
      </c>
      <c r="DK218" s="637">
        <v>2.6596116985619611</v>
      </c>
      <c r="DL218" s="637">
        <v>2.6848750573205118</v>
      </c>
      <c r="DM218" s="637">
        <v>2.6987485844430532</v>
      </c>
      <c r="DN218" s="637">
        <v>2.7131159307957429</v>
      </c>
      <c r="DO218" s="637">
        <v>2.7278289506095375</v>
      </c>
      <c r="DP218" s="636">
        <v>7.0318490900886204</v>
      </c>
      <c r="DQ218" s="636">
        <v>7.0638430893971655</v>
      </c>
      <c r="DR218" s="636">
        <v>7.0959826572437485</v>
      </c>
      <c r="DS218" s="637">
        <v>7.1384776316622931</v>
      </c>
      <c r="DT218" s="637">
        <v>7.1809726060808368</v>
      </c>
      <c r="DU218" s="637">
        <v>7.2234675804993795</v>
      </c>
      <c r="DV218" s="637">
        <v>7.2659625549179241</v>
      </c>
      <c r="DW218" s="637">
        <v>7.3162100750007175</v>
      </c>
      <c r="DX218" s="637">
        <v>7.3664575950835109</v>
      </c>
      <c r="DY218" s="637">
        <v>7.5057581454701872</v>
      </c>
      <c r="DZ218" s="637">
        <v>7.6717252165311809</v>
      </c>
      <c r="EA218" s="637">
        <v>7.7445980898709408</v>
      </c>
      <c r="EB218" s="637">
        <v>7.7846166715029055</v>
      </c>
      <c r="EC218" s="637">
        <v>7.8260596886802487</v>
      </c>
      <c r="ED218" s="637">
        <v>7.8684998107393609</v>
      </c>
    </row>
    <row r="219" spans="1:134" ht="15" x14ac:dyDescent="0.25">
      <c r="A219" s="555">
        <v>111</v>
      </c>
      <c r="B219" s="555">
        <v>94</v>
      </c>
      <c r="C219" s="555" t="s">
        <v>1202</v>
      </c>
      <c r="D219" s="812">
        <v>99701</v>
      </c>
      <c r="E219" s="812">
        <v>99701</v>
      </c>
      <c r="F219" s="630" t="s">
        <v>311</v>
      </c>
      <c r="G219" s="45">
        <v>2634</v>
      </c>
      <c r="H219" s="45">
        <v>1026</v>
      </c>
      <c r="I219" s="45">
        <v>904</v>
      </c>
      <c r="J219" s="45">
        <v>122</v>
      </c>
      <c r="K219" s="45">
        <v>18</v>
      </c>
      <c r="L219" s="45">
        <v>438</v>
      </c>
      <c r="M219" s="45">
        <v>456</v>
      </c>
      <c r="N219" s="45">
        <v>4</v>
      </c>
      <c r="O219" s="45">
        <v>0</v>
      </c>
      <c r="P219" s="45">
        <v>0</v>
      </c>
      <c r="Q219" s="45">
        <v>460</v>
      </c>
      <c r="R219" s="45">
        <v>6249.666666666667</v>
      </c>
      <c r="S219" s="45">
        <v>2289.4063926940639</v>
      </c>
      <c r="T219" s="45">
        <v>2445.7324561403507</v>
      </c>
      <c r="U219" s="45">
        <v>1614</v>
      </c>
      <c r="V219" s="45">
        <v>0</v>
      </c>
      <c r="W219" s="45">
        <v>0</v>
      </c>
      <c r="X219" s="45">
        <v>2438.5</v>
      </c>
      <c r="Y219" s="45">
        <v>40.5</v>
      </c>
      <c r="Z219" s="45">
        <v>985.5</v>
      </c>
      <c r="AA219" s="45">
        <v>0</v>
      </c>
      <c r="AB219" s="508">
        <v>4</v>
      </c>
      <c r="AC219" s="508">
        <v>0</v>
      </c>
      <c r="AD219" s="631">
        <v>1030</v>
      </c>
      <c r="AE219" s="632">
        <v>35.684210526315788</v>
      </c>
      <c r="AF219" s="632">
        <v>868.31578947368416</v>
      </c>
      <c r="AG219" s="633">
        <v>904</v>
      </c>
      <c r="AH219" s="632">
        <v>0</v>
      </c>
      <c r="AI219" s="632">
        <v>40.050450662379355</v>
      </c>
      <c r="AJ219" s="632">
        <v>974.56096611789758</v>
      </c>
      <c r="AK219" s="632">
        <v>1014.611416780277</v>
      </c>
      <c r="AL219" s="632">
        <v>0</v>
      </c>
      <c r="AM219" s="632">
        <v>35.353105880092976</v>
      </c>
      <c r="AN219" s="632">
        <v>860.25890974892911</v>
      </c>
      <c r="AO219" s="632">
        <v>895.61201562902204</v>
      </c>
      <c r="AP219" s="632">
        <v>0</v>
      </c>
      <c r="AQ219" s="632">
        <v>3.9793400471313474</v>
      </c>
      <c r="AR219" s="632">
        <v>0</v>
      </c>
      <c r="AS219" s="632">
        <v>1003.349246648032</v>
      </c>
      <c r="AT219" s="632">
        <v>1008.9646181442554</v>
      </c>
      <c r="AU219" s="632">
        <v>1014.611416780277</v>
      </c>
      <c r="AV219" s="632">
        <v>1020.2898184420759</v>
      </c>
      <c r="AW219" s="632">
        <v>1026</v>
      </c>
      <c r="AX219" s="632">
        <v>887.30186121579607</v>
      </c>
      <c r="AY219" s="632">
        <v>891.44725497073694</v>
      </c>
      <c r="AZ219" s="632">
        <v>895.61201562902204</v>
      </c>
      <c r="BA219" s="632">
        <v>899.79623367106615</v>
      </c>
      <c r="BB219" s="632">
        <v>904</v>
      </c>
      <c r="BC219" s="632">
        <v>3.9587868026758279</v>
      </c>
      <c r="BD219" s="632">
        <v>3.9690501208655693</v>
      </c>
      <c r="BE219" s="632">
        <v>3.9793400471313474</v>
      </c>
      <c r="BF219" s="632">
        <v>3.9896566504556992</v>
      </c>
      <c r="BG219" s="632">
        <v>4</v>
      </c>
      <c r="BH219" s="634">
        <v>1032.6258343515988</v>
      </c>
      <c r="BI219" s="634">
        <v>1039.2944578658239</v>
      </c>
      <c r="BJ219" s="634">
        <v>1046.0061468720164</v>
      </c>
      <c r="BK219" s="635">
        <v>1046.1506160791425</v>
      </c>
      <c r="BL219" s="635">
        <v>1046.2950852862684</v>
      </c>
      <c r="BM219" s="635">
        <v>1046.4395544933943</v>
      </c>
      <c r="BN219" s="635">
        <v>1046.5840237005204</v>
      </c>
      <c r="BO219" s="635">
        <v>1046.7548490624774</v>
      </c>
      <c r="BP219" s="635">
        <v>1046.9256744244349</v>
      </c>
      <c r="BQ219" s="635">
        <v>1047.399251367166</v>
      </c>
      <c r="BR219" s="635">
        <v>1047.9634858794414</v>
      </c>
      <c r="BS219" s="635">
        <v>1048.2112301451209</v>
      </c>
      <c r="BT219" s="635">
        <v>1048.3472804154831</v>
      </c>
      <c r="BU219" s="635">
        <v>1048.4881733072764</v>
      </c>
      <c r="BV219" s="635">
        <v>1048.6324560340718</v>
      </c>
      <c r="BW219" s="634">
        <v>909.83796710901095</v>
      </c>
      <c r="BX219" s="634">
        <v>915.71363539055051</v>
      </c>
      <c r="BY219" s="634">
        <v>921.62724831608455</v>
      </c>
      <c r="BZ219" s="635">
        <v>921.75453892353289</v>
      </c>
      <c r="CA219" s="635">
        <v>921.88182953098112</v>
      </c>
      <c r="CB219" s="635">
        <v>922.00912013842924</v>
      </c>
      <c r="CC219" s="635">
        <v>922.13641074587758</v>
      </c>
      <c r="CD219" s="635">
        <v>922.28692354042846</v>
      </c>
      <c r="CE219" s="635">
        <v>922.43743633497957</v>
      </c>
      <c r="CF219" s="635">
        <v>922.85470100966654</v>
      </c>
      <c r="CG219" s="635">
        <v>923.35184330898142</v>
      </c>
      <c r="CH219" s="635">
        <v>923.57012870486278</v>
      </c>
      <c r="CI219" s="635">
        <v>923.69000145769644</v>
      </c>
      <c r="CJ219" s="635">
        <v>923.81414100368215</v>
      </c>
      <c r="CK219" s="635">
        <v>923.94126730487392</v>
      </c>
      <c r="CL219" s="634">
        <v>4.0258317128717298</v>
      </c>
      <c r="CM219" s="634">
        <v>4.0518302450909314</v>
      </c>
      <c r="CN219" s="634">
        <v>4.077996673964976</v>
      </c>
      <c r="CO219" s="635">
        <v>4.0785599067412956</v>
      </c>
      <c r="CP219" s="635">
        <v>4.0791231395176162</v>
      </c>
      <c r="CQ219" s="635">
        <v>4.0796863722939349</v>
      </c>
      <c r="CR219" s="635">
        <v>4.0802496050702546</v>
      </c>
      <c r="CS219" s="635">
        <v>4.0809155908868515</v>
      </c>
      <c r="CT219" s="635">
        <v>4.0815815767034493</v>
      </c>
      <c r="CU219" s="635">
        <v>4.0834278805737458</v>
      </c>
      <c r="CV219" s="635">
        <v>4.0856276252609796</v>
      </c>
      <c r="CW219" s="635">
        <v>4.0865934898445255</v>
      </c>
      <c r="CX219" s="635">
        <v>4.0871239002552944</v>
      </c>
      <c r="CY219" s="635">
        <v>4.0876731902817793</v>
      </c>
      <c r="CZ219" s="635">
        <v>4.0882356960392654</v>
      </c>
      <c r="DA219" s="636">
        <v>0</v>
      </c>
      <c r="DB219" s="636">
        <v>0</v>
      </c>
      <c r="DC219" s="636">
        <v>0</v>
      </c>
      <c r="DD219" s="637">
        <v>0</v>
      </c>
      <c r="DE219" s="637">
        <v>0</v>
      </c>
      <c r="DF219" s="637">
        <v>0</v>
      </c>
      <c r="DG219" s="637">
        <v>0</v>
      </c>
      <c r="DH219" s="637">
        <v>0</v>
      </c>
      <c r="DI219" s="637">
        <v>0</v>
      </c>
      <c r="DJ219" s="637">
        <v>0</v>
      </c>
      <c r="DK219" s="637">
        <v>0</v>
      </c>
      <c r="DL219" s="637">
        <v>0</v>
      </c>
      <c r="DM219" s="637">
        <v>0</v>
      </c>
      <c r="DN219" s="637">
        <v>0</v>
      </c>
      <c r="DO219" s="637">
        <v>0</v>
      </c>
      <c r="DP219" s="636">
        <v>0</v>
      </c>
      <c r="DQ219" s="636">
        <v>0</v>
      </c>
      <c r="DR219" s="636">
        <v>0</v>
      </c>
      <c r="DS219" s="637">
        <v>0</v>
      </c>
      <c r="DT219" s="637">
        <v>0</v>
      </c>
      <c r="DU219" s="637">
        <v>0</v>
      </c>
      <c r="DV219" s="637">
        <v>0</v>
      </c>
      <c r="DW219" s="637">
        <v>0</v>
      </c>
      <c r="DX219" s="637">
        <v>0</v>
      </c>
      <c r="DY219" s="637">
        <v>0</v>
      </c>
      <c r="DZ219" s="637">
        <v>0</v>
      </c>
      <c r="EA219" s="637">
        <v>0</v>
      </c>
      <c r="EB219" s="637">
        <v>0</v>
      </c>
      <c r="EC219" s="637">
        <v>0</v>
      </c>
      <c r="ED219" s="637">
        <v>0</v>
      </c>
    </row>
    <row r="220" spans="1:134" ht="15" x14ac:dyDescent="0.25">
      <c r="A220" s="555">
        <v>112</v>
      </c>
      <c r="B220" s="555">
        <v>94</v>
      </c>
      <c r="C220" s="555" t="s">
        <v>1203</v>
      </c>
      <c r="D220" s="812">
        <v>99703</v>
      </c>
      <c r="E220" s="812">
        <v>99703</v>
      </c>
      <c r="F220" s="630" t="s">
        <v>311</v>
      </c>
      <c r="G220" s="45">
        <v>60</v>
      </c>
      <c r="H220" s="45">
        <v>26</v>
      </c>
      <c r="I220" s="45">
        <v>18</v>
      </c>
      <c r="J220" s="45">
        <v>8</v>
      </c>
      <c r="K220" s="45">
        <v>0</v>
      </c>
      <c r="L220" s="45">
        <v>0</v>
      </c>
      <c r="M220" s="45">
        <v>0</v>
      </c>
      <c r="N220" s="45">
        <v>0</v>
      </c>
      <c r="O220" s="45">
        <v>0</v>
      </c>
      <c r="P220" s="45">
        <v>0</v>
      </c>
      <c r="Q220" s="45">
        <v>0</v>
      </c>
      <c r="R220" s="45">
        <v>0</v>
      </c>
      <c r="S220" s="45">
        <v>834.49503068156923</v>
      </c>
      <c r="T220" s="45">
        <v>834.49503068156923</v>
      </c>
      <c r="U220" s="45">
        <v>1408.3846153846155</v>
      </c>
      <c r="V220" s="45">
        <v>0</v>
      </c>
      <c r="W220" s="45">
        <v>0</v>
      </c>
      <c r="X220" s="45">
        <v>1365.173957061457</v>
      </c>
      <c r="Y220" s="45">
        <v>0.59572072072072069</v>
      </c>
      <c r="Z220" s="45">
        <v>25.370495495495497</v>
      </c>
      <c r="AA220" s="45">
        <v>3.3783783783783786E-2</v>
      </c>
      <c r="AB220" s="508">
        <v>0</v>
      </c>
      <c r="AC220" s="508">
        <v>0</v>
      </c>
      <c r="AD220" s="631">
        <v>26</v>
      </c>
      <c r="AE220" s="632">
        <v>0.41242203742203737</v>
      </c>
      <c r="AF220" s="632">
        <v>17.564189189189189</v>
      </c>
      <c r="AG220" s="633">
        <v>17.976611226611226</v>
      </c>
      <c r="AH220" s="632">
        <v>2.338877338877339E-2</v>
      </c>
      <c r="AI220" s="632">
        <v>0.58423454066629699</v>
      </c>
      <c r="AJ220" s="632">
        <v>24.881323188414001</v>
      </c>
      <c r="AK220" s="632">
        <v>25.465557729080299</v>
      </c>
      <c r="AL220" s="632">
        <v>3.3132393610565053E-2</v>
      </c>
      <c r="AM220" s="632">
        <v>0.41374612523865917</v>
      </c>
      <c r="AN220" s="632">
        <v>17.620579310967397</v>
      </c>
      <c r="AO220" s="632">
        <v>18.034325436206057</v>
      </c>
      <c r="AP220" s="632">
        <v>2.3463863435084643E-2</v>
      </c>
      <c r="AQ220" s="632">
        <v>0</v>
      </c>
      <c r="AR220" s="632">
        <v>0</v>
      </c>
      <c r="AS220" s="632">
        <v>24.974552512896679</v>
      </c>
      <c r="AT220" s="632">
        <v>25.218860179935131</v>
      </c>
      <c r="AU220" s="632">
        <v>25.465557729080299</v>
      </c>
      <c r="AV220" s="632">
        <v>25.714668538789976</v>
      </c>
      <c r="AW220" s="632">
        <v>25.966216216216218</v>
      </c>
      <c r="AX220" s="632">
        <v>18.092224938231542</v>
      </c>
      <c r="AY220" s="632">
        <v>18.06325198852938</v>
      </c>
      <c r="AZ220" s="632">
        <v>18.034325436206057</v>
      </c>
      <c r="BA220" s="632">
        <v>18.005445206960648</v>
      </c>
      <c r="BB220" s="632">
        <v>17.976611226611226</v>
      </c>
      <c r="BC220" s="632">
        <v>0</v>
      </c>
      <c r="BD220" s="632">
        <v>0</v>
      </c>
      <c r="BE220" s="632">
        <v>0</v>
      </c>
      <c r="BF220" s="632">
        <v>0</v>
      </c>
      <c r="BG220" s="632">
        <v>0</v>
      </c>
      <c r="BH220" s="634">
        <v>26.074110376331209</v>
      </c>
      <c r="BI220" s="634">
        <v>26.182452855511638</v>
      </c>
      <c r="BJ220" s="634">
        <v>26.29124551660146</v>
      </c>
      <c r="BK220" s="635">
        <v>26.313056924423371</v>
      </c>
      <c r="BL220" s="635">
        <v>26.334868332245271</v>
      </c>
      <c r="BM220" s="635">
        <v>26.356679740067175</v>
      </c>
      <c r="BN220" s="635">
        <v>26.378491147889086</v>
      </c>
      <c r="BO220" s="635">
        <v>26.404281707068414</v>
      </c>
      <c r="BP220" s="635">
        <v>26.430072266247734</v>
      </c>
      <c r="BQ220" s="635">
        <v>26.50157110007158</v>
      </c>
      <c r="BR220" s="635">
        <v>26.586757066681766</v>
      </c>
      <c r="BS220" s="635">
        <v>26.624160547477238</v>
      </c>
      <c r="BT220" s="635">
        <v>26.644700896456669</v>
      </c>
      <c r="BU220" s="635">
        <v>26.665972365880855</v>
      </c>
      <c r="BV220" s="635">
        <v>26.687755619616354</v>
      </c>
      <c r="BW220" s="634">
        <v>18.051307183613915</v>
      </c>
      <c r="BX220" s="634">
        <v>18.126313515354209</v>
      </c>
      <c r="BY220" s="634">
        <v>18.201631511493318</v>
      </c>
      <c r="BZ220" s="635">
        <v>18.216731716908487</v>
      </c>
      <c r="CA220" s="635">
        <v>18.23183192232365</v>
      </c>
      <c r="CB220" s="635">
        <v>18.246932127738813</v>
      </c>
      <c r="CC220" s="635">
        <v>18.262032333153982</v>
      </c>
      <c r="CD220" s="635">
        <v>18.279887335662746</v>
      </c>
      <c r="CE220" s="635">
        <v>18.297742338171506</v>
      </c>
      <c r="CF220" s="635">
        <v>18.347241530818785</v>
      </c>
      <c r="CG220" s="635">
        <v>18.406216430779683</v>
      </c>
      <c r="CH220" s="635">
        <v>18.432111148253473</v>
      </c>
      <c r="CI220" s="635">
        <v>18.446331389854617</v>
      </c>
      <c r="CJ220" s="635">
        <v>18.461057791763668</v>
      </c>
      <c r="CK220" s="635">
        <v>18.476138505888244</v>
      </c>
      <c r="CL220" s="634">
        <v>0</v>
      </c>
      <c r="CM220" s="634">
        <v>0</v>
      </c>
      <c r="CN220" s="634">
        <v>0</v>
      </c>
      <c r="CO220" s="635">
        <v>0</v>
      </c>
      <c r="CP220" s="635">
        <v>0</v>
      </c>
      <c r="CQ220" s="635">
        <v>0</v>
      </c>
      <c r="CR220" s="635">
        <v>0</v>
      </c>
      <c r="CS220" s="635">
        <v>0</v>
      </c>
      <c r="CT220" s="635">
        <v>0</v>
      </c>
      <c r="CU220" s="635">
        <v>0</v>
      </c>
      <c r="CV220" s="635">
        <v>0</v>
      </c>
      <c r="CW220" s="635">
        <v>0</v>
      </c>
      <c r="CX220" s="635">
        <v>0</v>
      </c>
      <c r="CY220" s="635">
        <v>0</v>
      </c>
      <c r="CZ220" s="635">
        <v>0</v>
      </c>
      <c r="DA220" s="636">
        <v>3.39241613014978E-2</v>
      </c>
      <c r="DB220" s="636">
        <v>3.4065122112297209E-2</v>
      </c>
      <c r="DC220" s="636">
        <v>3.4206668639866586E-2</v>
      </c>
      <c r="DD220" s="637">
        <v>3.4235046740077241E-2</v>
      </c>
      <c r="DE220" s="637">
        <v>3.4263424840287889E-2</v>
      </c>
      <c r="DF220" s="637">
        <v>3.4291802940498536E-2</v>
      </c>
      <c r="DG220" s="637">
        <v>3.4320181040709191E-2</v>
      </c>
      <c r="DH220" s="637">
        <v>3.4353736282940944E-2</v>
      </c>
      <c r="DI220" s="637">
        <v>3.438729152517269E-2</v>
      </c>
      <c r="DJ220" s="637">
        <v>3.4480316289450398E-2</v>
      </c>
      <c r="DK220" s="637">
        <v>3.4591148928807915E-2</v>
      </c>
      <c r="DL220" s="637">
        <v>3.4639813358674519E-2</v>
      </c>
      <c r="DM220" s="637">
        <v>3.4666537726329258E-2</v>
      </c>
      <c r="DN220" s="637">
        <v>3.4694213330576179E-2</v>
      </c>
      <c r="DO220" s="637">
        <v>3.4722554800437615E-2</v>
      </c>
      <c r="DP220" s="636">
        <v>0</v>
      </c>
      <c r="DQ220" s="636">
        <v>0</v>
      </c>
      <c r="DR220" s="636">
        <v>0</v>
      </c>
      <c r="DS220" s="637">
        <v>0</v>
      </c>
      <c r="DT220" s="637">
        <v>0</v>
      </c>
      <c r="DU220" s="637">
        <v>0</v>
      </c>
      <c r="DV220" s="637">
        <v>0</v>
      </c>
      <c r="DW220" s="637">
        <v>0</v>
      </c>
      <c r="DX220" s="637">
        <v>0</v>
      </c>
      <c r="DY220" s="637">
        <v>0</v>
      </c>
      <c r="DZ220" s="637">
        <v>0</v>
      </c>
      <c r="EA220" s="637">
        <v>0</v>
      </c>
      <c r="EB220" s="637">
        <v>0</v>
      </c>
      <c r="EC220" s="637">
        <v>0</v>
      </c>
      <c r="ED220" s="637">
        <v>0</v>
      </c>
    </row>
    <row r="221" spans="1:134" ht="15" x14ac:dyDescent="0.25">
      <c r="A221" s="555">
        <v>113</v>
      </c>
      <c r="B221" s="555">
        <v>94</v>
      </c>
      <c r="C221" s="555" t="s">
        <v>1204</v>
      </c>
      <c r="D221" s="812">
        <v>99703</v>
      </c>
      <c r="E221" s="812">
        <v>99703</v>
      </c>
      <c r="F221" s="630" t="s">
        <v>311</v>
      </c>
      <c r="G221" s="45">
        <v>677</v>
      </c>
      <c r="H221" s="45">
        <v>183</v>
      </c>
      <c r="I221" s="45">
        <v>170</v>
      </c>
      <c r="J221" s="45">
        <v>13</v>
      </c>
      <c r="K221" s="45">
        <v>0</v>
      </c>
      <c r="L221" s="45">
        <v>0</v>
      </c>
      <c r="M221" s="45">
        <v>0</v>
      </c>
      <c r="N221" s="45">
        <v>0</v>
      </c>
      <c r="O221" s="45">
        <v>0</v>
      </c>
      <c r="P221" s="45">
        <v>0</v>
      </c>
      <c r="Q221" s="45">
        <v>0</v>
      </c>
      <c r="R221" s="45">
        <v>0</v>
      </c>
      <c r="S221" s="45">
        <v>834.49503068156923</v>
      </c>
      <c r="T221" s="45">
        <v>834.49503068156923</v>
      </c>
      <c r="U221" s="45">
        <v>1408.3846153846155</v>
      </c>
      <c r="V221" s="45">
        <v>0</v>
      </c>
      <c r="W221" s="45">
        <v>0</v>
      </c>
      <c r="X221" s="45">
        <v>1365.173957061457</v>
      </c>
      <c r="Y221" s="45">
        <v>4.1929573804573801</v>
      </c>
      <c r="Z221" s="45">
        <v>178.56925675675674</v>
      </c>
      <c r="AA221" s="45">
        <v>0.23778586278586278</v>
      </c>
      <c r="AB221" s="508">
        <v>0</v>
      </c>
      <c r="AC221" s="508">
        <v>0</v>
      </c>
      <c r="AD221" s="631">
        <v>183</v>
      </c>
      <c r="AE221" s="632">
        <v>3.8950970200970194</v>
      </c>
      <c r="AF221" s="632">
        <v>165.88400900900899</v>
      </c>
      <c r="AG221" s="633">
        <v>169.779106029106</v>
      </c>
      <c r="AH221" s="632">
        <v>0.22089397089397086</v>
      </c>
      <c r="AI221" s="632">
        <v>4.112112343920475</v>
      </c>
      <c r="AJ221" s="632">
        <v>175.12623628768313</v>
      </c>
      <c r="AK221" s="632">
        <v>179.2383486316036</v>
      </c>
      <c r="AL221" s="632">
        <v>0.23320107810513091</v>
      </c>
      <c r="AM221" s="632">
        <v>3.9076022939206694</v>
      </c>
      <c r="AN221" s="632">
        <v>166.41658238135872</v>
      </c>
      <c r="AO221" s="632">
        <v>170.32418467527938</v>
      </c>
      <c r="AP221" s="632">
        <v>0.22160315466468827</v>
      </c>
      <c r="AQ221" s="632">
        <v>0</v>
      </c>
      <c r="AR221" s="632">
        <v>0</v>
      </c>
      <c r="AS221" s="632">
        <v>175.78242730231122</v>
      </c>
      <c r="AT221" s="632">
        <v>177.50197742031264</v>
      </c>
      <c r="AU221" s="632">
        <v>179.2383486316036</v>
      </c>
      <c r="AV221" s="632">
        <v>180.99170548456021</v>
      </c>
      <c r="AW221" s="632">
        <v>182.76221413721413</v>
      </c>
      <c r="AX221" s="632">
        <v>170.87101330552011</v>
      </c>
      <c r="AY221" s="632">
        <v>170.59737989166635</v>
      </c>
      <c r="AZ221" s="632">
        <v>170.32418467527941</v>
      </c>
      <c r="BA221" s="632">
        <v>170.05142695462834</v>
      </c>
      <c r="BB221" s="632">
        <v>169.779106029106</v>
      </c>
      <c r="BC221" s="632">
        <v>0</v>
      </c>
      <c r="BD221" s="632">
        <v>0</v>
      </c>
      <c r="BE221" s="632">
        <v>0</v>
      </c>
      <c r="BF221" s="632">
        <v>0</v>
      </c>
      <c r="BG221" s="632">
        <v>0</v>
      </c>
      <c r="BH221" s="634">
        <v>183.52162303340813</v>
      </c>
      <c r="BI221" s="634">
        <v>184.28418740610113</v>
      </c>
      <c r="BJ221" s="634">
        <v>185.04992036684871</v>
      </c>
      <c r="BK221" s="635">
        <v>185.20343912190293</v>
      </c>
      <c r="BL221" s="635">
        <v>185.3569578769571</v>
      </c>
      <c r="BM221" s="635">
        <v>185.51047663201126</v>
      </c>
      <c r="BN221" s="635">
        <v>185.66399538706546</v>
      </c>
      <c r="BO221" s="635">
        <v>185.84552124590456</v>
      </c>
      <c r="BP221" s="635">
        <v>186.02704710474364</v>
      </c>
      <c r="BQ221" s="635">
        <v>186.53028889665762</v>
      </c>
      <c r="BR221" s="635">
        <v>187.1298670462601</v>
      </c>
      <c r="BS221" s="635">
        <v>187.3931300072436</v>
      </c>
      <c r="BT221" s="635">
        <v>187.53770246352192</v>
      </c>
      <c r="BU221" s="635">
        <v>187.68742088293061</v>
      </c>
      <c r="BV221" s="635">
        <v>187.84074147653044</v>
      </c>
      <c r="BW221" s="634">
        <v>170.48456784524251</v>
      </c>
      <c r="BX221" s="634">
        <v>171.1929609783453</v>
      </c>
      <c r="BY221" s="634">
        <v>171.90429760854798</v>
      </c>
      <c r="BZ221" s="635">
        <v>172.04691065969124</v>
      </c>
      <c r="CA221" s="635">
        <v>172.18952371083444</v>
      </c>
      <c r="CB221" s="635">
        <v>172.33213676197767</v>
      </c>
      <c r="CC221" s="635">
        <v>172.47474981312092</v>
      </c>
      <c r="CD221" s="635">
        <v>172.64338039237035</v>
      </c>
      <c r="CE221" s="635">
        <v>172.81201097161977</v>
      </c>
      <c r="CF221" s="635">
        <v>173.27950334662182</v>
      </c>
      <c r="CG221" s="635">
        <v>173.8364885129192</v>
      </c>
      <c r="CH221" s="635">
        <v>174.08104973350498</v>
      </c>
      <c r="CI221" s="635">
        <v>174.21535201529358</v>
      </c>
      <c r="CJ221" s="635">
        <v>174.35443469999018</v>
      </c>
      <c r="CK221" s="635">
        <v>174.49686366672228</v>
      </c>
      <c r="CL221" s="634">
        <v>0</v>
      </c>
      <c r="CM221" s="634">
        <v>0</v>
      </c>
      <c r="CN221" s="634">
        <v>0</v>
      </c>
      <c r="CO221" s="635">
        <v>0</v>
      </c>
      <c r="CP221" s="635">
        <v>0</v>
      </c>
      <c r="CQ221" s="635">
        <v>0</v>
      </c>
      <c r="CR221" s="635">
        <v>0</v>
      </c>
      <c r="CS221" s="635">
        <v>0</v>
      </c>
      <c r="CT221" s="635">
        <v>0</v>
      </c>
      <c r="CU221" s="635">
        <v>0</v>
      </c>
      <c r="CV221" s="635">
        <v>0</v>
      </c>
      <c r="CW221" s="635">
        <v>0</v>
      </c>
      <c r="CX221" s="635">
        <v>0</v>
      </c>
      <c r="CY221" s="635">
        <v>0</v>
      </c>
      <c r="CZ221" s="635">
        <v>0</v>
      </c>
      <c r="DA221" s="636">
        <v>0.23877390454515759</v>
      </c>
      <c r="DB221" s="636">
        <v>0.23976605179039959</v>
      </c>
      <c r="DC221" s="636">
        <v>0.24076232158059943</v>
      </c>
      <c r="DD221" s="637">
        <v>0.24096205974746673</v>
      </c>
      <c r="DE221" s="637">
        <v>0.24116179791433398</v>
      </c>
      <c r="DF221" s="637">
        <v>0.24136153608120123</v>
      </c>
      <c r="DG221" s="637">
        <v>0.24156127424806853</v>
      </c>
      <c r="DH221" s="637">
        <v>0.24179745152993048</v>
      </c>
      <c r="DI221" s="637">
        <v>0.24203362881179241</v>
      </c>
      <c r="DJ221" s="637">
        <v>0.24268838003728549</v>
      </c>
      <c r="DK221" s="637">
        <v>0.24346847130660956</v>
      </c>
      <c r="DL221" s="637">
        <v>0.24381099402451681</v>
      </c>
      <c r="DM221" s="637">
        <v>0.24399909245839438</v>
      </c>
      <c r="DN221" s="637">
        <v>0.24419388613444004</v>
      </c>
      <c r="DO221" s="637">
        <v>0.2443933664800032</v>
      </c>
      <c r="DP221" s="636">
        <v>0</v>
      </c>
      <c r="DQ221" s="636">
        <v>0</v>
      </c>
      <c r="DR221" s="636">
        <v>0</v>
      </c>
      <c r="DS221" s="637">
        <v>0</v>
      </c>
      <c r="DT221" s="637">
        <v>0</v>
      </c>
      <c r="DU221" s="637">
        <v>0</v>
      </c>
      <c r="DV221" s="637">
        <v>0</v>
      </c>
      <c r="DW221" s="637">
        <v>0</v>
      </c>
      <c r="DX221" s="637">
        <v>0</v>
      </c>
      <c r="DY221" s="637">
        <v>0</v>
      </c>
      <c r="DZ221" s="637">
        <v>0</v>
      </c>
      <c r="EA221" s="637">
        <v>0</v>
      </c>
      <c r="EB221" s="637">
        <v>0</v>
      </c>
      <c r="EC221" s="637">
        <v>0</v>
      </c>
      <c r="ED221" s="637">
        <v>0</v>
      </c>
    </row>
    <row r="222" spans="1:134" ht="15" x14ac:dyDescent="0.25">
      <c r="A222" s="555">
        <v>114</v>
      </c>
      <c r="B222" s="555">
        <v>94</v>
      </c>
      <c r="C222" s="555" t="s">
        <v>1205</v>
      </c>
      <c r="D222" s="812">
        <v>99703</v>
      </c>
      <c r="E222" s="812">
        <v>99703</v>
      </c>
      <c r="F222" s="630" t="s">
        <v>311</v>
      </c>
      <c r="G222" s="45">
        <v>501</v>
      </c>
      <c r="H222" s="45">
        <v>46</v>
      </c>
      <c r="I222" s="45">
        <v>46</v>
      </c>
      <c r="J222" s="45">
        <v>0</v>
      </c>
      <c r="K222" s="45">
        <v>0</v>
      </c>
      <c r="L222" s="45">
        <v>0</v>
      </c>
      <c r="M222" s="45">
        <v>0</v>
      </c>
      <c r="N222" s="45">
        <v>0</v>
      </c>
      <c r="O222" s="45">
        <v>0</v>
      </c>
      <c r="P222" s="45">
        <v>0</v>
      </c>
      <c r="Q222" s="45">
        <v>0</v>
      </c>
      <c r="R222" s="45">
        <v>0</v>
      </c>
      <c r="S222" s="45">
        <v>834.49503068156923</v>
      </c>
      <c r="T222" s="45">
        <v>834.49503068156923</v>
      </c>
      <c r="U222" s="45">
        <v>1408.3846153846155</v>
      </c>
      <c r="V222" s="45">
        <v>0</v>
      </c>
      <c r="W222" s="45">
        <v>0</v>
      </c>
      <c r="X222" s="45">
        <v>1365.173957061457</v>
      </c>
      <c r="Y222" s="45">
        <v>1.053967428967429</v>
      </c>
      <c r="Z222" s="45">
        <v>44.886261261261261</v>
      </c>
      <c r="AA222" s="45">
        <v>5.9771309771309775E-2</v>
      </c>
      <c r="AB222" s="508">
        <v>0</v>
      </c>
      <c r="AC222" s="508">
        <v>0</v>
      </c>
      <c r="AD222" s="631">
        <v>46</v>
      </c>
      <c r="AE222" s="632">
        <v>1.053967428967429</v>
      </c>
      <c r="AF222" s="632">
        <v>44.886261261261268</v>
      </c>
      <c r="AG222" s="633">
        <v>45.9402286902287</v>
      </c>
      <c r="AH222" s="632">
        <v>5.9771309771309775E-2</v>
      </c>
      <c r="AI222" s="632">
        <v>1.0336457257942178</v>
      </c>
      <c r="AJ222" s="632">
        <v>44.020802564117076</v>
      </c>
      <c r="AK222" s="632">
        <v>45.054448289911292</v>
      </c>
      <c r="AL222" s="632">
        <v>5.8618850234076626E-2</v>
      </c>
      <c r="AM222" s="632">
        <v>1.0573512089432402</v>
      </c>
      <c r="AN222" s="632">
        <v>45.03036935025002</v>
      </c>
      <c r="AO222" s="632">
        <v>46.087720559193258</v>
      </c>
      <c r="AP222" s="632">
        <v>5.9963206556327427E-2</v>
      </c>
      <c r="AQ222" s="632">
        <v>0</v>
      </c>
      <c r="AR222" s="632">
        <v>0</v>
      </c>
      <c r="AS222" s="632">
        <v>44.185746753586429</v>
      </c>
      <c r="AT222" s="632">
        <v>44.617983395269846</v>
      </c>
      <c r="AU222" s="632">
        <v>45.054448289911292</v>
      </c>
      <c r="AV222" s="632">
        <v>45.495182799397654</v>
      </c>
      <c r="AW222" s="632">
        <v>45.940228690228693</v>
      </c>
      <c r="AX222" s="632">
        <v>46.235685953258397</v>
      </c>
      <c r="AY222" s="632">
        <v>46.161643970686207</v>
      </c>
      <c r="AZ222" s="632">
        <v>46.087720559193265</v>
      </c>
      <c r="BA222" s="632">
        <v>46.013915528899446</v>
      </c>
      <c r="BB222" s="632">
        <v>45.9402286902287</v>
      </c>
      <c r="BC222" s="632">
        <v>0</v>
      </c>
      <c r="BD222" s="632">
        <v>0</v>
      </c>
      <c r="BE222" s="632">
        <v>0</v>
      </c>
      <c r="BF222" s="632">
        <v>0</v>
      </c>
      <c r="BG222" s="632">
        <v>0</v>
      </c>
      <c r="BH222" s="634">
        <v>46.131118358124453</v>
      </c>
      <c r="BI222" s="634">
        <v>46.322801205905208</v>
      </c>
      <c r="BJ222" s="634">
        <v>46.515280529371815</v>
      </c>
      <c r="BK222" s="635">
        <v>46.553869943210579</v>
      </c>
      <c r="BL222" s="635">
        <v>46.592459357049329</v>
      </c>
      <c r="BM222" s="635">
        <v>46.631048770888079</v>
      </c>
      <c r="BN222" s="635">
        <v>46.669638184726843</v>
      </c>
      <c r="BO222" s="635">
        <v>46.715267635582578</v>
      </c>
      <c r="BP222" s="635">
        <v>46.760897086438298</v>
      </c>
      <c r="BQ222" s="635">
        <v>46.88739502320356</v>
      </c>
      <c r="BR222" s="635">
        <v>47.038108656436975</v>
      </c>
      <c r="BS222" s="635">
        <v>47.104284045536652</v>
      </c>
      <c r="BT222" s="635">
        <v>47.140624662961798</v>
      </c>
      <c r="BU222" s="635">
        <v>47.178258801173818</v>
      </c>
      <c r="BV222" s="635">
        <v>47.216798403936622</v>
      </c>
      <c r="BW222" s="634">
        <v>46.131118358124461</v>
      </c>
      <c r="BX222" s="634">
        <v>46.322801205905215</v>
      </c>
      <c r="BY222" s="634">
        <v>46.515280529371822</v>
      </c>
      <c r="BZ222" s="635">
        <v>46.553869943210586</v>
      </c>
      <c r="CA222" s="635">
        <v>46.592459357049336</v>
      </c>
      <c r="CB222" s="635">
        <v>46.631048770888086</v>
      </c>
      <c r="CC222" s="635">
        <v>46.66963818472685</v>
      </c>
      <c r="CD222" s="635">
        <v>46.715267635582585</v>
      </c>
      <c r="CE222" s="635">
        <v>46.760897086438305</v>
      </c>
      <c r="CF222" s="635">
        <v>46.887395023203567</v>
      </c>
      <c r="CG222" s="635">
        <v>47.038108656436982</v>
      </c>
      <c r="CH222" s="635">
        <v>47.104284045536659</v>
      </c>
      <c r="CI222" s="635">
        <v>47.140624662961805</v>
      </c>
      <c r="CJ222" s="635">
        <v>47.178258801173826</v>
      </c>
      <c r="CK222" s="635">
        <v>47.216798403936629</v>
      </c>
      <c r="CL222" s="634">
        <v>0</v>
      </c>
      <c r="CM222" s="634">
        <v>0</v>
      </c>
      <c r="CN222" s="634">
        <v>0</v>
      </c>
      <c r="CO222" s="635">
        <v>0</v>
      </c>
      <c r="CP222" s="635">
        <v>0</v>
      </c>
      <c r="CQ222" s="635">
        <v>0</v>
      </c>
      <c r="CR222" s="635">
        <v>0</v>
      </c>
      <c r="CS222" s="635">
        <v>0</v>
      </c>
      <c r="CT222" s="635">
        <v>0</v>
      </c>
      <c r="CU222" s="635">
        <v>0</v>
      </c>
      <c r="CV222" s="635">
        <v>0</v>
      </c>
      <c r="CW222" s="635">
        <v>0</v>
      </c>
      <c r="CX222" s="635">
        <v>0</v>
      </c>
      <c r="CY222" s="635">
        <v>0</v>
      </c>
      <c r="CZ222" s="635">
        <v>0</v>
      </c>
      <c r="DA222" s="636">
        <v>6.0019669994957649E-2</v>
      </c>
      <c r="DB222" s="636">
        <v>6.0269062198679682E-2</v>
      </c>
      <c r="DC222" s="636">
        <v>6.0519490670533194E-2</v>
      </c>
      <c r="DD222" s="637">
        <v>6.0569698078598196E-2</v>
      </c>
      <c r="DE222" s="637">
        <v>6.0619905486663191E-2</v>
      </c>
      <c r="DF222" s="637">
        <v>6.0670112894728179E-2</v>
      </c>
      <c r="DG222" s="637">
        <v>6.0720320302793188E-2</v>
      </c>
      <c r="DH222" s="637">
        <v>6.0779687269818597E-2</v>
      </c>
      <c r="DI222" s="637">
        <v>6.0839054236843999E-2</v>
      </c>
      <c r="DJ222" s="637">
        <v>6.1003636512104553E-2</v>
      </c>
      <c r="DK222" s="637">
        <v>6.1199725027890929E-2</v>
      </c>
      <c r="DL222" s="637">
        <v>6.1285823634577997E-2</v>
      </c>
      <c r="DM222" s="637">
        <v>6.1333105208120998E-2</v>
      </c>
      <c r="DN222" s="637">
        <v>6.1382069738711707E-2</v>
      </c>
      <c r="DO222" s="637">
        <v>6.1432212339235778E-2</v>
      </c>
      <c r="DP222" s="636">
        <v>0</v>
      </c>
      <c r="DQ222" s="636">
        <v>0</v>
      </c>
      <c r="DR222" s="636">
        <v>0</v>
      </c>
      <c r="DS222" s="637">
        <v>0</v>
      </c>
      <c r="DT222" s="637">
        <v>0</v>
      </c>
      <c r="DU222" s="637">
        <v>0</v>
      </c>
      <c r="DV222" s="637">
        <v>0</v>
      </c>
      <c r="DW222" s="637">
        <v>0</v>
      </c>
      <c r="DX222" s="637">
        <v>0</v>
      </c>
      <c r="DY222" s="637">
        <v>0</v>
      </c>
      <c r="DZ222" s="637">
        <v>0</v>
      </c>
      <c r="EA222" s="637">
        <v>0</v>
      </c>
      <c r="EB222" s="637">
        <v>0</v>
      </c>
      <c r="EC222" s="637">
        <v>0</v>
      </c>
      <c r="ED222" s="637">
        <v>0</v>
      </c>
    </row>
    <row r="223" spans="1:134" ht="15" x14ac:dyDescent="0.25">
      <c r="A223" s="555">
        <v>115</v>
      </c>
      <c r="B223" s="555">
        <v>94</v>
      </c>
      <c r="C223" s="555" t="s">
        <v>1206</v>
      </c>
      <c r="D223" s="812">
        <v>99705</v>
      </c>
      <c r="E223" s="812">
        <v>99705</v>
      </c>
      <c r="F223" s="630" t="s">
        <v>311</v>
      </c>
      <c r="G223" s="45">
        <v>76</v>
      </c>
      <c r="H223" s="45">
        <v>39</v>
      </c>
      <c r="I223" s="45">
        <v>34</v>
      </c>
      <c r="J223" s="45">
        <v>5</v>
      </c>
      <c r="K223" s="45">
        <v>0</v>
      </c>
      <c r="L223" s="45">
        <v>48</v>
      </c>
      <c r="M223" s="45">
        <v>48</v>
      </c>
      <c r="N223" s="45">
        <v>0</v>
      </c>
      <c r="O223" s="45">
        <v>0</v>
      </c>
      <c r="P223" s="45">
        <v>0</v>
      </c>
      <c r="Q223" s="45">
        <v>48</v>
      </c>
      <c r="R223" s="45">
        <v>0</v>
      </c>
      <c r="S223" s="45">
        <v>1971.875</v>
      </c>
      <c r="T223" s="45">
        <v>1971.875</v>
      </c>
      <c r="U223" s="45">
        <v>0</v>
      </c>
      <c r="V223" s="45">
        <v>0</v>
      </c>
      <c r="W223" s="45">
        <v>0</v>
      </c>
      <c r="X223" s="45">
        <v>1971.875</v>
      </c>
      <c r="Y223" s="45">
        <v>0</v>
      </c>
      <c r="Z223" s="45">
        <v>39</v>
      </c>
      <c r="AA223" s="45">
        <v>0</v>
      </c>
      <c r="AB223" s="508">
        <v>0</v>
      </c>
      <c r="AC223" s="508">
        <v>0</v>
      </c>
      <c r="AD223" s="631">
        <v>39</v>
      </c>
      <c r="AE223" s="632">
        <v>0</v>
      </c>
      <c r="AF223" s="632">
        <v>34</v>
      </c>
      <c r="AG223" s="633">
        <v>34</v>
      </c>
      <c r="AH223" s="632">
        <v>0</v>
      </c>
      <c r="AI223" s="632">
        <v>0</v>
      </c>
      <c r="AJ223" s="632">
        <v>36.197916308613557</v>
      </c>
      <c r="AK223" s="632">
        <v>36.197916308613557</v>
      </c>
      <c r="AL223" s="632">
        <v>0</v>
      </c>
      <c r="AM223" s="632">
        <v>0</v>
      </c>
      <c r="AN223" s="632">
        <v>31.719017607330336</v>
      </c>
      <c r="AO223" s="632">
        <v>31.719017607330336</v>
      </c>
      <c r="AP223" s="632">
        <v>0</v>
      </c>
      <c r="AQ223" s="632">
        <v>0</v>
      </c>
      <c r="AR223" s="632">
        <v>0</v>
      </c>
      <c r="AS223" s="632">
        <v>33.59715756629209</v>
      </c>
      <c r="AT223" s="632">
        <v>34.873300643786848</v>
      </c>
      <c r="AU223" s="632">
        <v>36.197916308613557</v>
      </c>
      <c r="AV223" s="632">
        <v>37.572845727146202</v>
      </c>
      <c r="AW223" s="632">
        <v>39</v>
      </c>
      <c r="AX223" s="632">
        <v>29.59106111688623</v>
      </c>
      <c r="AY223" s="632">
        <v>30.636569465038058</v>
      </c>
      <c r="AZ223" s="632">
        <v>31.719017607330336</v>
      </c>
      <c r="BA223" s="632">
        <v>32.839710696795599</v>
      </c>
      <c r="BB223" s="632">
        <v>34</v>
      </c>
      <c r="BC223" s="632">
        <v>0</v>
      </c>
      <c r="BD223" s="632">
        <v>0</v>
      </c>
      <c r="BE223" s="632">
        <v>0</v>
      </c>
      <c r="BF223" s="632">
        <v>0</v>
      </c>
      <c r="BG223" s="632">
        <v>0</v>
      </c>
      <c r="BH223" s="634">
        <v>39.369302596271126</v>
      </c>
      <c r="BI223" s="634">
        <v>39.742102228634877</v>
      </c>
      <c r="BJ223" s="634">
        <v>40.118432011565837</v>
      </c>
      <c r="BK223" s="635">
        <v>40.159090103391911</v>
      </c>
      <c r="BL223" s="635">
        <v>40.199748195217985</v>
      </c>
      <c r="BM223" s="635">
        <v>40.240406287044053</v>
      </c>
      <c r="BN223" s="635">
        <v>40.281064378870127</v>
      </c>
      <c r="BO223" s="635">
        <v>40.329139905765054</v>
      </c>
      <c r="BP223" s="635">
        <v>40.377215432659995</v>
      </c>
      <c r="BQ223" s="635">
        <v>40.510494594408883</v>
      </c>
      <c r="BR223" s="635">
        <v>40.669287593054797</v>
      </c>
      <c r="BS223" s="635">
        <v>40.739010472440377</v>
      </c>
      <c r="BT223" s="635">
        <v>40.777299215733088</v>
      </c>
      <c r="BU223" s="635">
        <v>40.816950822093645</v>
      </c>
      <c r="BV223" s="635">
        <v>40.857556432601697</v>
      </c>
      <c r="BW223" s="634">
        <v>34.321956109569697</v>
      </c>
      <c r="BX223" s="634">
        <v>34.646960917271429</v>
      </c>
      <c r="BY223" s="634">
        <v>34.975043292134316</v>
      </c>
      <c r="BZ223" s="635">
        <v>35.010488808085249</v>
      </c>
      <c r="CA223" s="635">
        <v>35.045934324036189</v>
      </c>
      <c r="CB223" s="635">
        <v>35.081379839987115</v>
      </c>
      <c r="CC223" s="635">
        <v>35.116825355938055</v>
      </c>
      <c r="CD223" s="635">
        <v>35.158737353743895</v>
      </c>
      <c r="CE223" s="635">
        <v>35.200649351549735</v>
      </c>
      <c r="CF223" s="635">
        <v>35.316841441279536</v>
      </c>
      <c r="CG223" s="635">
        <v>35.455276363175969</v>
      </c>
      <c r="CH223" s="635">
        <v>35.516060411871095</v>
      </c>
      <c r="CI223" s="635">
        <v>35.549440341921148</v>
      </c>
      <c r="CJ223" s="635">
        <v>35.58400840900471</v>
      </c>
      <c r="CK223" s="635">
        <v>35.619408172011731</v>
      </c>
      <c r="CL223" s="634">
        <v>0</v>
      </c>
      <c r="CM223" s="634">
        <v>0</v>
      </c>
      <c r="CN223" s="634">
        <v>0</v>
      </c>
      <c r="CO223" s="635">
        <v>0</v>
      </c>
      <c r="CP223" s="635">
        <v>0</v>
      </c>
      <c r="CQ223" s="635">
        <v>0</v>
      </c>
      <c r="CR223" s="635">
        <v>0</v>
      </c>
      <c r="CS223" s="635">
        <v>0</v>
      </c>
      <c r="CT223" s="635">
        <v>0</v>
      </c>
      <c r="CU223" s="635">
        <v>0</v>
      </c>
      <c r="CV223" s="635">
        <v>0</v>
      </c>
      <c r="CW223" s="635">
        <v>0</v>
      </c>
      <c r="CX223" s="635">
        <v>0</v>
      </c>
      <c r="CY223" s="635">
        <v>0</v>
      </c>
      <c r="CZ223" s="635">
        <v>0</v>
      </c>
      <c r="DA223" s="636">
        <v>0</v>
      </c>
      <c r="DB223" s="636">
        <v>0</v>
      </c>
      <c r="DC223" s="636">
        <v>0</v>
      </c>
      <c r="DD223" s="637">
        <v>0</v>
      </c>
      <c r="DE223" s="637">
        <v>0</v>
      </c>
      <c r="DF223" s="637">
        <v>0</v>
      </c>
      <c r="DG223" s="637">
        <v>0</v>
      </c>
      <c r="DH223" s="637">
        <v>0</v>
      </c>
      <c r="DI223" s="637">
        <v>0</v>
      </c>
      <c r="DJ223" s="637">
        <v>0</v>
      </c>
      <c r="DK223" s="637">
        <v>0</v>
      </c>
      <c r="DL223" s="637">
        <v>0</v>
      </c>
      <c r="DM223" s="637">
        <v>0</v>
      </c>
      <c r="DN223" s="637">
        <v>0</v>
      </c>
      <c r="DO223" s="637">
        <v>0</v>
      </c>
      <c r="DP223" s="636">
        <v>0</v>
      </c>
      <c r="DQ223" s="636">
        <v>0</v>
      </c>
      <c r="DR223" s="636">
        <v>0</v>
      </c>
      <c r="DS223" s="637">
        <v>0</v>
      </c>
      <c r="DT223" s="637">
        <v>0</v>
      </c>
      <c r="DU223" s="637">
        <v>0</v>
      </c>
      <c r="DV223" s="637">
        <v>0</v>
      </c>
      <c r="DW223" s="637">
        <v>0</v>
      </c>
      <c r="DX223" s="637">
        <v>0</v>
      </c>
      <c r="DY223" s="637">
        <v>0</v>
      </c>
      <c r="DZ223" s="637">
        <v>0</v>
      </c>
      <c r="EA223" s="637">
        <v>0</v>
      </c>
      <c r="EB223" s="637">
        <v>0</v>
      </c>
      <c r="EC223" s="637">
        <v>0</v>
      </c>
      <c r="ED223" s="637">
        <v>0</v>
      </c>
    </row>
    <row r="224" spans="1:134" ht="15" x14ac:dyDescent="0.25">
      <c r="A224" s="555">
        <v>116</v>
      </c>
      <c r="B224" s="555">
        <v>94</v>
      </c>
      <c r="C224" s="555" t="s">
        <v>1207</v>
      </c>
      <c r="D224" s="812">
        <v>99705</v>
      </c>
      <c r="E224" s="812">
        <v>99705</v>
      </c>
      <c r="F224" s="630" t="s">
        <v>311</v>
      </c>
      <c r="G224" s="45">
        <v>36</v>
      </c>
      <c r="H224" s="45">
        <v>14</v>
      </c>
      <c r="I224" s="45">
        <v>13</v>
      </c>
      <c r="J224" s="45">
        <v>1</v>
      </c>
      <c r="K224" s="45">
        <v>0</v>
      </c>
      <c r="L224" s="45">
        <v>15</v>
      </c>
      <c r="M224" s="45">
        <v>15</v>
      </c>
      <c r="N224" s="45">
        <v>0</v>
      </c>
      <c r="O224" s="45">
        <v>0</v>
      </c>
      <c r="P224" s="45">
        <v>0</v>
      </c>
      <c r="Q224" s="45">
        <v>15</v>
      </c>
      <c r="R224" s="45">
        <v>0</v>
      </c>
      <c r="S224" s="45">
        <v>2211.7333333333331</v>
      </c>
      <c r="T224" s="45">
        <v>2211.7333333333331</v>
      </c>
      <c r="U224" s="45">
        <v>0</v>
      </c>
      <c r="V224" s="45">
        <v>0</v>
      </c>
      <c r="W224" s="45">
        <v>0</v>
      </c>
      <c r="X224" s="45">
        <v>2211.7333333333331</v>
      </c>
      <c r="Y224" s="45">
        <v>0</v>
      </c>
      <c r="Z224" s="45">
        <v>14</v>
      </c>
      <c r="AA224" s="45">
        <v>0</v>
      </c>
      <c r="AB224" s="508">
        <v>0</v>
      </c>
      <c r="AC224" s="508">
        <v>0</v>
      </c>
      <c r="AD224" s="631">
        <v>14</v>
      </c>
      <c r="AE224" s="632">
        <v>0</v>
      </c>
      <c r="AF224" s="632">
        <v>13</v>
      </c>
      <c r="AG224" s="633">
        <v>13</v>
      </c>
      <c r="AH224" s="632">
        <v>0</v>
      </c>
      <c r="AI224" s="632">
        <v>0</v>
      </c>
      <c r="AJ224" s="632">
        <v>12.994123803092048</v>
      </c>
      <c r="AK224" s="632">
        <v>12.994123803092048</v>
      </c>
      <c r="AL224" s="632">
        <v>0</v>
      </c>
      <c r="AM224" s="632">
        <v>0</v>
      </c>
      <c r="AN224" s="632">
        <v>12.127859673391011</v>
      </c>
      <c r="AO224" s="632">
        <v>12.127859673391011</v>
      </c>
      <c r="AP224" s="632">
        <v>0</v>
      </c>
      <c r="AQ224" s="632">
        <v>0</v>
      </c>
      <c r="AR224" s="632">
        <v>0</v>
      </c>
      <c r="AS224" s="632">
        <v>12.060518100720238</v>
      </c>
      <c r="AT224" s="632">
        <v>12.518620743923483</v>
      </c>
      <c r="AU224" s="632">
        <v>12.994123803092048</v>
      </c>
      <c r="AV224" s="632">
        <v>13.487688209744791</v>
      </c>
      <c r="AW224" s="632">
        <v>14</v>
      </c>
      <c r="AX224" s="632">
        <v>11.314229250574147</v>
      </c>
      <c r="AY224" s="632">
        <v>11.713982442514551</v>
      </c>
      <c r="AZ224" s="632">
        <v>12.127859673391011</v>
      </c>
      <c r="BA224" s="632">
        <v>12.5563599723042</v>
      </c>
      <c r="BB224" s="632">
        <v>13</v>
      </c>
      <c r="BC224" s="632">
        <v>0</v>
      </c>
      <c r="BD224" s="632">
        <v>0</v>
      </c>
      <c r="BE224" s="632">
        <v>0</v>
      </c>
      <c r="BF224" s="632">
        <v>0</v>
      </c>
      <c r="BG224" s="632">
        <v>0</v>
      </c>
      <c r="BH224" s="634">
        <v>14.132570162763994</v>
      </c>
      <c r="BI224" s="634">
        <v>14.266395671817648</v>
      </c>
      <c r="BJ224" s="634">
        <v>14.401488414408249</v>
      </c>
      <c r="BK224" s="635">
        <v>15.05164027701994</v>
      </c>
      <c r="BL224" s="635">
        <v>15.701792139631632</v>
      </c>
      <c r="BM224" s="635">
        <v>16.351944002243329</v>
      </c>
      <c r="BN224" s="635">
        <v>17.002095864855018</v>
      </c>
      <c r="BO224" s="635">
        <v>17.770857800129654</v>
      </c>
      <c r="BP224" s="635">
        <v>18.53961973540429</v>
      </c>
      <c r="BQ224" s="635">
        <v>20.670848510946531</v>
      </c>
      <c r="BR224" s="635">
        <v>23.21006172048374</v>
      </c>
      <c r="BS224" s="635">
        <v>24.324980248709434</v>
      </c>
      <c r="BT224" s="635">
        <v>24.93724453979571</v>
      </c>
      <c r="BU224" s="635">
        <v>25.571301982558658</v>
      </c>
      <c r="BV224" s="635">
        <v>26.22061463149527</v>
      </c>
      <c r="BW224" s="634">
        <v>13.123100865423709</v>
      </c>
      <c r="BX224" s="634">
        <v>13.247367409544959</v>
      </c>
      <c r="BY224" s="634">
        <v>13.372810670521945</v>
      </c>
      <c r="BZ224" s="635">
        <v>13.976523114375659</v>
      </c>
      <c r="CA224" s="635">
        <v>14.580235558229372</v>
      </c>
      <c r="CB224" s="635">
        <v>15.183948002083088</v>
      </c>
      <c r="CC224" s="635">
        <v>15.787660445936803</v>
      </c>
      <c r="CD224" s="635">
        <v>16.501510814406107</v>
      </c>
      <c r="CE224" s="635">
        <v>17.215361182875412</v>
      </c>
      <c r="CF224" s="635">
        <v>19.194359331593205</v>
      </c>
      <c r="CG224" s="635">
        <v>21.552200169020615</v>
      </c>
      <c r="CH224" s="635">
        <v>22.587481659515902</v>
      </c>
      <c r="CI224" s="635">
        <v>23.156012786953159</v>
      </c>
      <c r="CJ224" s="635">
        <v>23.744780412375896</v>
      </c>
      <c r="CK224" s="635">
        <v>24.347713586388466</v>
      </c>
      <c r="CL224" s="634">
        <v>0</v>
      </c>
      <c r="CM224" s="634">
        <v>0</v>
      </c>
      <c r="CN224" s="634">
        <v>0</v>
      </c>
      <c r="CO224" s="635">
        <v>0</v>
      </c>
      <c r="CP224" s="635">
        <v>0</v>
      </c>
      <c r="CQ224" s="635">
        <v>0</v>
      </c>
      <c r="CR224" s="635">
        <v>0</v>
      </c>
      <c r="CS224" s="635">
        <v>0</v>
      </c>
      <c r="CT224" s="635">
        <v>0</v>
      </c>
      <c r="CU224" s="635">
        <v>0</v>
      </c>
      <c r="CV224" s="635">
        <v>0</v>
      </c>
      <c r="CW224" s="635">
        <v>0</v>
      </c>
      <c r="CX224" s="635">
        <v>0</v>
      </c>
      <c r="CY224" s="635">
        <v>0</v>
      </c>
      <c r="CZ224" s="635">
        <v>0</v>
      </c>
      <c r="DA224" s="636">
        <v>0</v>
      </c>
      <c r="DB224" s="636">
        <v>0</v>
      </c>
      <c r="DC224" s="636">
        <v>0</v>
      </c>
      <c r="DD224" s="637">
        <v>0</v>
      </c>
      <c r="DE224" s="637">
        <v>0</v>
      </c>
      <c r="DF224" s="637">
        <v>0</v>
      </c>
      <c r="DG224" s="637">
        <v>0</v>
      </c>
      <c r="DH224" s="637">
        <v>0</v>
      </c>
      <c r="DI224" s="637">
        <v>0</v>
      </c>
      <c r="DJ224" s="637">
        <v>0</v>
      </c>
      <c r="DK224" s="637">
        <v>0</v>
      </c>
      <c r="DL224" s="637">
        <v>0</v>
      </c>
      <c r="DM224" s="637">
        <v>0</v>
      </c>
      <c r="DN224" s="637">
        <v>0</v>
      </c>
      <c r="DO224" s="637">
        <v>0</v>
      </c>
      <c r="DP224" s="636">
        <v>0</v>
      </c>
      <c r="DQ224" s="636">
        <v>0</v>
      </c>
      <c r="DR224" s="636">
        <v>0</v>
      </c>
      <c r="DS224" s="637">
        <v>0</v>
      </c>
      <c r="DT224" s="637">
        <v>0</v>
      </c>
      <c r="DU224" s="637">
        <v>0</v>
      </c>
      <c r="DV224" s="637">
        <v>0</v>
      </c>
      <c r="DW224" s="637">
        <v>0</v>
      </c>
      <c r="DX224" s="637">
        <v>0</v>
      </c>
      <c r="DY224" s="637">
        <v>0</v>
      </c>
      <c r="DZ224" s="637">
        <v>0</v>
      </c>
      <c r="EA224" s="637">
        <v>0</v>
      </c>
      <c r="EB224" s="637">
        <v>0</v>
      </c>
      <c r="EC224" s="637">
        <v>0</v>
      </c>
      <c r="ED224" s="637">
        <v>0</v>
      </c>
    </row>
    <row r="225" spans="1:134" ht="15" x14ac:dyDescent="0.25">
      <c r="A225" s="555">
        <v>117</v>
      </c>
      <c r="B225" s="555">
        <v>94</v>
      </c>
      <c r="C225" s="555" t="s">
        <v>1208</v>
      </c>
      <c r="D225" s="812">
        <v>99705</v>
      </c>
      <c r="E225" s="812">
        <v>99705</v>
      </c>
      <c r="F225" s="630" t="s">
        <v>311</v>
      </c>
      <c r="G225" s="45">
        <v>251</v>
      </c>
      <c r="H225" s="45">
        <v>105</v>
      </c>
      <c r="I225" s="45">
        <v>94</v>
      </c>
      <c r="J225" s="45">
        <v>11</v>
      </c>
      <c r="K225" s="45">
        <v>0</v>
      </c>
      <c r="L225" s="45">
        <v>103</v>
      </c>
      <c r="M225" s="45">
        <v>103</v>
      </c>
      <c r="N225" s="45">
        <v>0</v>
      </c>
      <c r="O225" s="45">
        <v>0</v>
      </c>
      <c r="P225" s="45">
        <v>0</v>
      </c>
      <c r="Q225" s="45">
        <v>103</v>
      </c>
      <c r="R225" s="45">
        <v>0</v>
      </c>
      <c r="S225" s="45">
        <v>2264.1844660194174</v>
      </c>
      <c r="T225" s="45">
        <v>2264.1844660194174</v>
      </c>
      <c r="U225" s="45">
        <v>0</v>
      </c>
      <c r="V225" s="45">
        <v>0</v>
      </c>
      <c r="W225" s="45">
        <v>0</v>
      </c>
      <c r="X225" s="45">
        <v>2264.1844660194174</v>
      </c>
      <c r="Y225" s="45">
        <v>0</v>
      </c>
      <c r="Z225" s="45">
        <v>105</v>
      </c>
      <c r="AA225" s="45">
        <v>0</v>
      </c>
      <c r="AB225" s="508">
        <v>0</v>
      </c>
      <c r="AC225" s="508">
        <v>0</v>
      </c>
      <c r="AD225" s="631">
        <v>105</v>
      </c>
      <c r="AE225" s="632">
        <v>0</v>
      </c>
      <c r="AF225" s="632">
        <v>94</v>
      </c>
      <c r="AG225" s="633">
        <v>94</v>
      </c>
      <c r="AH225" s="632">
        <v>0</v>
      </c>
      <c r="AI225" s="632">
        <v>0</v>
      </c>
      <c r="AJ225" s="632">
        <v>97.455928523190352</v>
      </c>
      <c r="AK225" s="632">
        <v>97.455928523190352</v>
      </c>
      <c r="AL225" s="632">
        <v>0</v>
      </c>
      <c r="AM225" s="632">
        <v>0</v>
      </c>
      <c r="AN225" s="632">
        <v>87.693754561442688</v>
      </c>
      <c r="AO225" s="632">
        <v>87.693754561442688</v>
      </c>
      <c r="AP225" s="632">
        <v>0</v>
      </c>
      <c r="AQ225" s="632">
        <v>0</v>
      </c>
      <c r="AR225" s="632">
        <v>0</v>
      </c>
      <c r="AS225" s="632">
        <v>90.453885755401785</v>
      </c>
      <c r="AT225" s="632">
        <v>93.889655579426119</v>
      </c>
      <c r="AU225" s="632">
        <v>97.455928523190352</v>
      </c>
      <c r="AV225" s="632">
        <v>101.15766157308593</v>
      </c>
      <c r="AW225" s="632">
        <v>105</v>
      </c>
      <c r="AX225" s="632">
        <v>81.810580734920748</v>
      </c>
      <c r="AY225" s="632">
        <v>84.701103815105213</v>
      </c>
      <c r="AZ225" s="632">
        <v>87.693754561442688</v>
      </c>
      <c r="BA225" s="632">
        <v>90.792141338199599</v>
      </c>
      <c r="BB225" s="632">
        <v>94</v>
      </c>
      <c r="BC225" s="632">
        <v>0</v>
      </c>
      <c r="BD225" s="632">
        <v>0</v>
      </c>
      <c r="BE225" s="632">
        <v>0</v>
      </c>
      <c r="BF225" s="632">
        <v>0</v>
      </c>
      <c r="BG225" s="632">
        <v>0</v>
      </c>
      <c r="BH225" s="634">
        <v>107.33283015623367</v>
      </c>
      <c r="BI225" s="634">
        <v>109.71748980330383</v>
      </c>
      <c r="BJ225" s="634">
        <v>112.15513045929819</v>
      </c>
      <c r="BK225" s="635">
        <v>113.35285887425083</v>
      </c>
      <c r="BL225" s="635">
        <v>114.55058728920348</v>
      </c>
      <c r="BM225" s="635">
        <v>115.74831570415611</v>
      </c>
      <c r="BN225" s="635">
        <v>116.94604411910875</v>
      </c>
      <c r="BO225" s="635">
        <v>118.36227941298863</v>
      </c>
      <c r="BP225" s="635">
        <v>119.77851470686851</v>
      </c>
      <c r="BQ225" s="635">
        <v>123.70472550472365</v>
      </c>
      <c r="BR225" s="635">
        <v>128.38253693245503</v>
      </c>
      <c r="BS225" s="635">
        <v>130.43647183352388</v>
      </c>
      <c r="BT225" s="635">
        <v>131.56440267717178</v>
      </c>
      <c r="BU225" s="635">
        <v>132.73248149011053</v>
      </c>
      <c r="BV225" s="635">
        <v>133.92866388155289</v>
      </c>
      <c r="BW225" s="634">
        <v>96.08843842558062</v>
      </c>
      <c r="BX225" s="634">
        <v>98.223276585814858</v>
      </c>
      <c r="BY225" s="634">
        <v>100.40554536356218</v>
      </c>
      <c r="BZ225" s="635">
        <v>101.47779746837693</v>
      </c>
      <c r="CA225" s="635">
        <v>102.55004957319167</v>
      </c>
      <c r="CB225" s="635">
        <v>103.62230167800642</v>
      </c>
      <c r="CC225" s="635">
        <v>104.69455378282116</v>
      </c>
      <c r="CD225" s="635">
        <v>105.96242156972315</v>
      </c>
      <c r="CE225" s="635">
        <v>107.23028935662512</v>
      </c>
      <c r="CF225" s="635">
        <v>110.74518283280021</v>
      </c>
      <c r="CG225" s="635">
        <v>114.93293782524543</v>
      </c>
      <c r="CH225" s="635">
        <v>116.77169859382136</v>
      </c>
      <c r="CI225" s="635">
        <v>117.78146525384902</v>
      </c>
      <c r="CJ225" s="635">
        <v>118.82717390543229</v>
      </c>
      <c r="CK225" s="635">
        <v>119.89804195110449</v>
      </c>
      <c r="CL225" s="634">
        <v>0</v>
      </c>
      <c r="CM225" s="634">
        <v>0</v>
      </c>
      <c r="CN225" s="634">
        <v>0</v>
      </c>
      <c r="CO225" s="635">
        <v>0</v>
      </c>
      <c r="CP225" s="635">
        <v>0</v>
      </c>
      <c r="CQ225" s="635">
        <v>0</v>
      </c>
      <c r="CR225" s="635">
        <v>0</v>
      </c>
      <c r="CS225" s="635">
        <v>0</v>
      </c>
      <c r="CT225" s="635">
        <v>0</v>
      </c>
      <c r="CU225" s="635">
        <v>0</v>
      </c>
      <c r="CV225" s="635">
        <v>0</v>
      </c>
      <c r="CW225" s="635">
        <v>0</v>
      </c>
      <c r="CX225" s="635">
        <v>0</v>
      </c>
      <c r="CY225" s="635">
        <v>0</v>
      </c>
      <c r="CZ225" s="635">
        <v>0</v>
      </c>
      <c r="DA225" s="636">
        <v>0</v>
      </c>
      <c r="DB225" s="636">
        <v>0</v>
      </c>
      <c r="DC225" s="636">
        <v>0</v>
      </c>
      <c r="DD225" s="637">
        <v>0</v>
      </c>
      <c r="DE225" s="637">
        <v>0</v>
      </c>
      <c r="DF225" s="637">
        <v>0</v>
      </c>
      <c r="DG225" s="637">
        <v>0</v>
      </c>
      <c r="DH225" s="637">
        <v>0</v>
      </c>
      <c r="DI225" s="637">
        <v>0</v>
      </c>
      <c r="DJ225" s="637">
        <v>0</v>
      </c>
      <c r="DK225" s="637">
        <v>0</v>
      </c>
      <c r="DL225" s="637">
        <v>0</v>
      </c>
      <c r="DM225" s="637">
        <v>0</v>
      </c>
      <c r="DN225" s="637">
        <v>0</v>
      </c>
      <c r="DO225" s="637">
        <v>0</v>
      </c>
      <c r="DP225" s="636">
        <v>0</v>
      </c>
      <c r="DQ225" s="636">
        <v>0</v>
      </c>
      <c r="DR225" s="636">
        <v>0</v>
      </c>
      <c r="DS225" s="637">
        <v>0</v>
      </c>
      <c r="DT225" s="637">
        <v>0</v>
      </c>
      <c r="DU225" s="637">
        <v>0</v>
      </c>
      <c r="DV225" s="637">
        <v>0</v>
      </c>
      <c r="DW225" s="637">
        <v>0</v>
      </c>
      <c r="DX225" s="637">
        <v>0</v>
      </c>
      <c r="DY225" s="637">
        <v>0</v>
      </c>
      <c r="DZ225" s="637">
        <v>0</v>
      </c>
      <c r="EA225" s="637">
        <v>0</v>
      </c>
      <c r="EB225" s="637">
        <v>0</v>
      </c>
      <c r="EC225" s="637">
        <v>0</v>
      </c>
      <c r="ED225" s="637">
        <v>0</v>
      </c>
    </row>
    <row r="226" spans="1:134" ht="15" x14ac:dyDescent="0.25">
      <c r="A226" s="555">
        <v>118</v>
      </c>
      <c r="B226" s="555">
        <v>94</v>
      </c>
      <c r="C226" s="555" t="s">
        <v>1209</v>
      </c>
      <c r="D226" s="812">
        <v>99705</v>
      </c>
      <c r="E226" s="812">
        <v>99705</v>
      </c>
      <c r="F226" s="630" t="s">
        <v>311</v>
      </c>
      <c r="G226" s="45">
        <v>208</v>
      </c>
      <c r="H226" s="45">
        <v>80</v>
      </c>
      <c r="I226" s="45">
        <v>76</v>
      </c>
      <c r="J226" s="45">
        <v>4</v>
      </c>
      <c r="K226" s="45">
        <v>0</v>
      </c>
      <c r="L226" s="45">
        <v>60</v>
      </c>
      <c r="M226" s="45">
        <v>60</v>
      </c>
      <c r="N226" s="45">
        <v>0</v>
      </c>
      <c r="O226" s="45">
        <v>0</v>
      </c>
      <c r="P226" s="45">
        <v>0</v>
      </c>
      <c r="Q226" s="45">
        <v>60</v>
      </c>
      <c r="R226" s="45">
        <v>0</v>
      </c>
      <c r="S226" s="45">
        <v>2129</v>
      </c>
      <c r="T226" s="45">
        <v>2129</v>
      </c>
      <c r="U226" s="45">
        <v>0</v>
      </c>
      <c r="V226" s="45">
        <v>0</v>
      </c>
      <c r="W226" s="45">
        <v>0</v>
      </c>
      <c r="X226" s="45">
        <v>2129</v>
      </c>
      <c r="Y226" s="45">
        <v>0</v>
      </c>
      <c r="Z226" s="45">
        <v>80</v>
      </c>
      <c r="AA226" s="45">
        <v>0</v>
      </c>
      <c r="AB226" s="508">
        <v>0</v>
      </c>
      <c r="AC226" s="508">
        <v>0</v>
      </c>
      <c r="AD226" s="631">
        <v>80</v>
      </c>
      <c r="AE226" s="632">
        <v>0</v>
      </c>
      <c r="AF226" s="632">
        <v>76</v>
      </c>
      <c r="AG226" s="633">
        <v>76</v>
      </c>
      <c r="AH226" s="632">
        <v>0</v>
      </c>
      <c r="AI226" s="632">
        <v>0</v>
      </c>
      <c r="AJ226" s="632">
        <v>74.252136017668846</v>
      </c>
      <c r="AK226" s="632">
        <v>74.252136017668846</v>
      </c>
      <c r="AL226" s="632">
        <v>0</v>
      </c>
      <c r="AM226" s="632">
        <v>0</v>
      </c>
      <c r="AN226" s="632">
        <v>70.901333475208986</v>
      </c>
      <c r="AO226" s="632">
        <v>70.901333475208986</v>
      </c>
      <c r="AP226" s="632">
        <v>0</v>
      </c>
      <c r="AQ226" s="632">
        <v>0</v>
      </c>
      <c r="AR226" s="632">
        <v>0</v>
      </c>
      <c r="AS226" s="632">
        <v>68.917246289829933</v>
      </c>
      <c r="AT226" s="632">
        <v>71.534975679562763</v>
      </c>
      <c r="AU226" s="632">
        <v>74.252136017668846</v>
      </c>
      <c r="AV226" s="632">
        <v>77.072504055684519</v>
      </c>
      <c r="AW226" s="632">
        <v>80</v>
      </c>
      <c r="AX226" s="632">
        <v>66.144724849510396</v>
      </c>
      <c r="AY226" s="632">
        <v>68.481743510085067</v>
      </c>
      <c r="AZ226" s="632">
        <v>70.901333475208986</v>
      </c>
      <c r="BA226" s="632">
        <v>73.406412145778404</v>
      </c>
      <c r="BB226" s="632">
        <v>76</v>
      </c>
      <c r="BC226" s="632">
        <v>0</v>
      </c>
      <c r="BD226" s="632">
        <v>0</v>
      </c>
      <c r="BE226" s="632">
        <v>0</v>
      </c>
      <c r="BF226" s="632">
        <v>0</v>
      </c>
      <c r="BG226" s="632">
        <v>0</v>
      </c>
      <c r="BH226" s="634">
        <v>81.777394404749458</v>
      </c>
      <c r="BI226" s="634">
        <v>83.594277945374358</v>
      </c>
      <c r="BJ226" s="634">
        <v>85.451527968989097</v>
      </c>
      <c r="BK226" s="635">
        <v>86.383359514591888</v>
      </c>
      <c r="BL226" s="635">
        <v>87.315191060194678</v>
      </c>
      <c r="BM226" s="635">
        <v>88.247022605797483</v>
      </c>
      <c r="BN226" s="635">
        <v>89.178854151400273</v>
      </c>
      <c r="BO226" s="635">
        <v>90.280683836960051</v>
      </c>
      <c r="BP226" s="635">
        <v>91.382513522519858</v>
      </c>
      <c r="BQ226" s="635">
        <v>94.437101716682704</v>
      </c>
      <c r="BR226" s="635">
        <v>98.076434472191963</v>
      </c>
      <c r="BS226" s="635">
        <v>99.674393833877645</v>
      </c>
      <c r="BT226" s="635">
        <v>100.55192293667599</v>
      </c>
      <c r="BU226" s="635">
        <v>101.46068712065809</v>
      </c>
      <c r="BV226" s="635">
        <v>102.39131586146878</v>
      </c>
      <c r="BW226" s="634">
        <v>77.688524684511989</v>
      </c>
      <c r="BX226" s="634">
        <v>79.414564048105632</v>
      </c>
      <c r="BY226" s="634">
        <v>81.178951570539638</v>
      </c>
      <c r="BZ226" s="635">
        <v>82.064191538862289</v>
      </c>
      <c r="CA226" s="635">
        <v>82.94943150718494</v>
      </c>
      <c r="CB226" s="635">
        <v>83.834671475507605</v>
      </c>
      <c r="CC226" s="635">
        <v>84.719911443830256</v>
      </c>
      <c r="CD226" s="635">
        <v>85.766649645112054</v>
      </c>
      <c r="CE226" s="635">
        <v>86.813387846393866</v>
      </c>
      <c r="CF226" s="635">
        <v>89.715246630848569</v>
      </c>
      <c r="CG226" s="635">
        <v>93.172612748582367</v>
      </c>
      <c r="CH226" s="635">
        <v>94.690674142183767</v>
      </c>
      <c r="CI226" s="635">
        <v>95.524326789842192</v>
      </c>
      <c r="CJ226" s="635">
        <v>96.387652764625187</v>
      </c>
      <c r="CK226" s="635">
        <v>97.271750068395335</v>
      </c>
      <c r="CL226" s="634">
        <v>0</v>
      </c>
      <c r="CM226" s="634">
        <v>0</v>
      </c>
      <c r="CN226" s="634">
        <v>0</v>
      </c>
      <c r="CO226" s="635">
        <v>0</v>
      </c>
      <c r="CP226" s="635">
        <v>0</v>
      </c>
      <c r="CQ226" s="635">
        <v>0</v>
      </c>
      <c r="CR226" s="635">
        <v>0</v>
      </c>
      <c r="CS226" s="635">
        <v>0</v>
      </c>
      <c r="CT226" s="635">
        <v>0</v>
      </c>
      <c r="CU226" s="635">
        <v>0</v>
      </c>
      <c r="CV226" s="635">
        <v>0</v>
      </c>
      <c r="CW226" s="635">
        <v>0</v>
      </c>
      <c r="CX226" s="635">
        <v>0</v>
      </c>
      <c r="CY226" s="635">
        <v>0</v>
      </c>
      <c r="CZ226" s="635">
        <v>0</v>
      </c>
      <c r="DA226" s="636">
        <v>0</v>
      </c>
      <c r="DB226" s="636">
        <v>0</v>
      </c>
      <c r="DC226" s="636">
        <v>0</v>
      </c>
      <c r="DD226" s="637">
        <v>0</v>
      </c>
      <c r="DE226" s="637">
        <v>0</v>
      </c>
      <c r="DF226" s="637">
        <v>0</v>
      </c>
      <c r="DG226" s="637">
        <v>0</v>
      </c>
      <c r="DH226" s="637">
        <v>0</v>
      </c>
      <c r="DI226" s="637">
        <v>0</v>
      </c>
      <c r="DJ226" s="637">
        <v>0</v>
      </c>
      <c r="DK226" s="637">
        <v>0</v>
      </c>
      <c r="DL226" s="637">
        <v>0</v>
      </c>
      <c r="DM226" s="637">
        <v>0</v>
      </c>
      <c r="DN226" s="637">
        <v>0</v>
      </c>
      <c r="DO226" s="637">
        <v>0</v>
      </c>
      <c r="DP226" s="636">
        <v>0</v>
      </c>
      <c r="DQ226" s="636">
        <v>0</v>
      </c>
      <c r="DR226" s="636">
        <v>0</v>
      </c>
      <c r="DS226" s="637">
        <v>0</v>
      </c>
      <c r="DT226" s="637">
        <v>0</v>
      </c>
      <c r="DU226" s="637">
        <v>0</v>
      </c>
      <c r="DV226" s="637">
        <v>0</v>
      </c>
      <c r="DW226" s="637">
        <v>0</v>
      </c>
      <c r="DX226" s="637">
        <v>0</v>
      </c>
      <c r="DY226" s="637">
        <v>0</v>
      </c>
      <c r="DZ226" s="637">
        <v>0</v>
      </c>
      <c r="EA226" s="637">
        <v>0</v>
      </c>
      <c r="EB226" s="637">
        <v>0</v>
      </c>
      <c r="EC226" s="637">
        <v>0</v>
      </c>
      <c r="ED226" s="637">
        <v>0</v>
      </c>
    </row>
    <row r="227" spans="1:134" ht="15" x14ac:dyDescent="0.25">
      <c r="A227" s="555">
        <v>119</v>
      </c>
      <c r="B227" s="555">
        <v>94</v>
      </c>
      <c r="C227" s="555" t="s">
        <v>1210</v>
      </c>
      <c r="D227" s="812">
        <v>99705</v>
      </c>
      <c r="E227" s="812">
        <v>99705</v>
      </c>
      <c r="F227" s="630" t="s">
        <v>311</v>
      </c>
      <c r="G227" s="45">
        <v>114</v>
      </c>
      <c r="H227" s="45">
        <v>49</v>
      </c>
      <c r="I227" s="45">
        <v>46</v>
      </c>
      <c r="J227" s="45">
        <v>3</v>
      </c>
      <c r="K227" s="45">
        <v>1</v>
      </c>
      <c r="L227" s="45">
        <v>42</v>
      </c>
      <c r="M227" s="45">
        <v>43</v>
      </c>
      <c r="N227" s="45">
        <v>1</v>
      </c>
      <c r="O227" s="45">
        <v>0</v>
      </c>
      <c r="P227" s="45">
        <v>0</v>
      </c>
      <c r="Q227" s="45">
        <v>44</v>
      </c>
      <c r="R227" s="45">
        <v>4233</v>
      </c>
      <c r="S227" s="45">
        <v>2755.3809523809523</v>
      </c>
      <c r="T227" s="45">
        <v>2789.7441860465115</v>
      </c>
      <c r="U227" s="45">
        <v>15520</v>
      </c>
      <c r="V227" s="45">
        <v>0</v>
      </c>
      <c r="W227" s="45">
        <v>0</v>
      </c>
      <c r="X227" s="45">
        <v>3079.068181818182</v>
      </c>
      <c r="Y227" s="45">
        <v>1.1395348837209303</v>
      </c>
      <c r="Z227" s="45">
        <v>47.860465116279073</v>
      </c>
      <c r="AA227" s="45">
        <v>0</v>
      </c>
      <c r="AB227" s="508">
        <v>1</v>
      </c>
      <c r="AC227" s="508">
        <v>0</v>
      </c>
      <c r="AD227" s="631">
        <v>50</v>
      </c>
      <c r="AE227" s="632">
        <v>1.0697674418604652</v>
      </c>
      <c r="AF227" s="632">
        <v>44.930232558139537</v>
      </c>
      <c r="AG227" s="633">
        <v>46</v>
      </c>
      <c r="AH227" s="632">
        <v>0</v>
      </c>
      <c r="AI227" s="632">
        <v>1.0576612397865619</v>
      </c>
      <c r="AJ227" s="632">
        <v>44.421772071035605</v>
      </c>
      <c r="AK227" s="632">
        <v>45.479433310822166</v>
      </c>
      <c r="AL227" s="632">
        <v>0</v>
      </c>
      <c r="AM227" s="632">
        <v>0.99799918600355375</v>
      </c>
      <c r="AN227" s="632">
        <v>41.915965812149253</v>
      </c>
      <c r="AO227" s="632">
        <v>42.913964998152807</v>
      </c>
      <c r="AP227" s="632">
        <v>0</v>
      </c>
      <c r="AQ227" s="632">
        <v>0.94010766733490925</v>
      </c>
      <c r="AR227" s="632">
        <v>0</v>
      </c>
      <c r="AS227" s="632">
        <v>42.211813352520835</v>
      </c>
      <c r="AT227" s="632">
        <v>43.815172603732194</v>
      </c>
      <c r="AU227" s="632">
        <v>45.479433310822166</v>
      </c>
      <c r="AV227" s="632">
        <v>47.206908734106769</v>
      </c>
      <c r="AW227" s="632">
        <v>49</v>
      </c>
      <c r="AX227" s="632">
        <v>40.034965040493134</v>
      </c>
      <c r="AY227" s="632">
        <v>41.449476335051493</v>
      </c>
      <c r="AZ227" s="632">
        <v>42.913964998152807</v>
      </c>
      <c r="BA227" s="632">
        <v>44.430196825076401</v>
      </c>
      <c r="BB227" s="632">
        <v>46</v>
      </c>
      <c r="BC227" s="632">
        <v>0.88380242618188454</v>
      </c>
      <c r="BD227" s="632">
        <v>0.91152039870909352</v>
      </c>
      <c r="BE227" s="632">
        <v>0.94010766733490925</v>
      </c>
      <c r="BF227" s="632">
        <v>0.96959149508177378</v>
      </c>
      <c r="BG227" s="632">
        <v>1</v>
      </c>
      <c r="BH227" s="634">
        <v>50.088654072909044</v>
      </c>
      <c r="BI227" s="634">
        <v>51.201495241541792</v>
      </c>
      <c r="BJ227" s="634">
        <v>52.339060881005821</v>
      </c>
      <c r="BK227" s="635">
        <v>53.967494200015018</v>
      </c>
      <c r="BL227" s="635">
        <v>55.595927519024222</v>
      </c>
      <c r="BM227" s="635">
        <v>57.224360838033427</v>
      </c>
      <c r="BN227" s="635">
        <v>58.852794157042624</v>
      </c>
      <c r="BO227" s="635">
        <v>60.778309750827674</v>
      </c>
      <c r="BP227" s="635">
        <v>62.703825344612731</v>
      </c>
      <c r="BQ227" s="635">
        <v>68.041907334538493</v>
      </c>
      <c r="BR227" s="635">
        <v>74.401866649072218</v>
      </c>
      <c r="BS227" s="635">
        <v>77.194399569073681</v>
      </c>
      <c r="BT227" s="635">
        <v>78.727936007221103</v>
      </c>
      <c r="BU227" s="635">
        <v>80.316057683614147</v>
      </c>
      <c r="BV227" s="635">
        <v>81.942389026779168</v>
      </c>
      <c r="BW227" s="634">
        <v>47.022001782730939</v>
      </c>
      <c r="BX227" s="634">
        <v>48.066709818590255</v>
      </c>
      <c r="BY227" s="634">
        <v>49.13462858216873</v>
      </c>
      <c r="BZ227" s="635">
        <v>50.663361902054916</v>
      </c>
      <c r="CA227" s="635">
        <v>52.192095221941109</v>
      </c>
      <c r="CB227" s="635">
        <v>53.720828541827302</v>
      </c>
      <c r="CC227" s="635">
        <v>55.249561861713481</v>
      </c>
      <c r="CD227" s="635">
        <v>57.057188745674956</v>
      </c>
      <c r="CE227" s="635">
        <v>58.864815629636446</v>
      </c>
      <c r="CF227" s="635">
        <v>63.876076273240216</v>
      </c>
      <c r="CG227" s="635">
        <v>69.846650323618817</v>
      </c>
      <c r="CH227" s="635">
        <v>72.468211840354883</v>
      </c>
      <c r="CI227" s="635">
        <v>73.907858292493287</v>
      </c>
      <c r="CJ227" s="635">
        <v>75.398748029515332</v>
      </c>
      <c r="CK227" s="635">
        <v>76.925508065955952</v>
      </c>
      <c r="CL227" s="634">
        <v>1.0222174300593683</v>
      </c>
      <c r="CM227" s="634">
        <v>1.0449284743171794</v>
      </c>
      <c r="CN227" s="634">
        <v>1.0681440996123637</v>
      </c>
      <c r="CO227" s="635">
        <v>1.1013774326533676</v>
      </c>
      <c r="CP227" s="635">
        <v>1.1346107656943718</v>
      </c>
      <c r="CQ227" s="635">
        <v>1.167844098735376</v>
      </c>
      <c r="CR227" s="635">
        <v>1.2010774317763799</v>
      </c>
      <c r="CS227" s="635">
        <v>1.2403736683842381</v>
      </c>
      <c r="CT227" s="635">
        <v>1.2796699049920965</v>
      </c>
      <c r="CU227" s="635">
        <v>1.3886103537660917</v>
      </c>
      <c r="CV227" s="635">
        <v>1.5184054418178003</v>
      </c>
      <c r="CW227" s="635">
        <v>1.5753959095729322</v>
      </c>
      <c r="CX227" s="635">
        <v>1.6066925715759408</v>
      </c>
      <c r="CY227" s="635">
        <v>1.6391032180329419</v>
      </c>
      <c r="CZ227" s="635">
        <v>1.6722936536077382</v>
      </c>
      <c r="DA227" s="636">
        <v>0</v>
      </c>
      <c r="DB227" s="636">
        <v>0</v>
      </c>
      <c r="DC227" s="636">
        <v>0</v>
      </c>
      <c r="DD227" s="637">
        <v>0</v>
      </c>
      <c r="DE227" s="637">
        <v>0</v>
      </c>
      <c r="DF227" s="637">
        <v>0</v>
      </c>
      <c r="DG227" s="637">
        <v>0</v>
      </c>
      <c r="DH227" s="637">
        <v>0</v>
      </c>
      <c r="DI227" s="637">
        <v>0</v>
      </c>
      <c r="DJ227" s="637">
        <v>0</v>
      </c>
      <c r="DK227" s="637">
        <v>0</v>
      </c>
      <c r="DL227" s="637">
        <v>0</v>
      </c>
      <c r="DM227" s="637">
        <v>0</v>
      </c>
      <c r="DN227" s="637">
        <v>0</v>
      </c>
      <c r="DO227" s="637">
        <v>0</v>
      </c>
      <c r="DP227" s="636">
        <v>0</v>
      </c>
      <c r="DQ227" s="636">
        <v>0</v>
      </c>
      <c r="DR227" s="636">
        <v>0</v>
      </c>
      <c r="DS227" s="637">
        <v>0</v>
      </c>
      <c r="DT227" s="637">
        <v>0</v>
      </c>
      <c r="DU227" s="637">
        <v>0</v>
      </c>
      <c r="DV227" s="637">
        <v>0</v>
      </c>
      <c r="DW227" s="637">
        <v>0</v>
      </c>
      <c r="DX227" s="637">
        <v>0</v>
      </c>
      <c r="DY227" s="637">
        <v>0</v>
      </c>
      <c r="DZ227" s="637">
        <v>0</v>
      </c>
      <c r="EA227" s="637">
        <v>0</v>
      </c>
      <c r="EB227" s="637">
        <v>0</v>
      </c>
      <c r="EC227" s="637">
        <v>0</v>
      </c>
      <c r="ED227" s="637">
        <v>0</v>
      </c>
    </row>
    <row r="228" spans="1:134" ht="15" x14ac:dyDescent="0.25">
      <c r="A228" s="555">
        <v>120</v>
      </c>
      <c r="B228" s="555">
        <v>94</v>
      </c>
      <c r="C228" s="555" t="s">
        <v>1211</v>
      </c>
      <c r="D228" s="812">
        <v>99705</v>
      </c>
      <c r="E228" s="812">
        <v>99705</v>
      </c>
      <c r="F228" s="630" t="s">
        <v>311</v>
      </c>
      <c r="G228" s="45">
        <v>31</v>
      </c>
      <c r="H228" s="45">
        <v>24</v>
      </c>
      <c r="I228" s="45">
        <v>18</v>
      </c>
      <c r="J228" s="45">
        <v>6</v>
      </c>
      <c r="K228" s="45">
        <v>0</v>
      </c>
      <c r="L228" s="45">
        <v>24</v>
      </c>
      <c r="M228" s="45">
        <v>24</v>
      </c>
      <c r="N228" s="45">
        <v>2</v>
      </c>
      <c r="O228" s="45">
        <v>0</v>
      </c>
      <c r="P228" s="45">
        <v>0</v>
      </c>
      <c r="Q228" s="45">
        <v>26</v>
      </c>
      <c r="R228" s="45">
        <v>0</v>
      </c>
      <c r="S228" s="45">
        <v>2149.625</v>
      </c>
      <c r="T228" s="45">
        <v>2149.625</v>
      </c>
      <c r="U228" s="45">
        <v>19469</v>
      </c>
      <c r="V228" s="45">
        <v>0</v>
      </c>
      <c r="W228" s="45">
        <v>0</v>
      </c>
      <c r="X228" s="45">
        <v>3481.8846153846152</v>
      </c>
      <c r="Y228" s="45">
        <v>0</v>
      </c>
      <c r="Z228" s="45">
        <v>24</v>
      </c>
      <c r="AA228" s="45">
        <v>0</v>
      </c>
      <c r="AB228" s="508">
        <v>2</v>
      </c>
      <c r="AC228" s="508">
        <v>0</v>
      </c>
      <c r="AD228" s="631">
        <v>26</v>
      </c>
      <c r="AE228" s="632">
        <v>0</v>
      </c>
      <c r="AF228" s="632">
        <v>18</v>
      </c>
      <c r="AG228" s="633">
        <v>18</v>
      </c>
      <c r="AH228" s="632">
        <v>0</v>
      </c>
      <c r="AI228" s="632">
        <v>0</v>
      </c>
      <c r="AJ228" s="632">
        <v>22.275640805300654</v>
      </c>
      <c r="AK228" s="632">
        <v>22.275640805300654</v>
      </c>
      <c r="AL228" s="632">
        <v>0</v>
      </c>
      <c r="AM228" s="632">
        <v>0</v>
      </c>
      <c r="AN228" s="632">
        <v>16.792421086233706</v>
      </c>
      <c r="AO228" s="632">
        <v>16.792421086233706</v>
      </c>
      <c r="AP228" s="632">
        <v>0</v>
      </c>
      <c r="AQ228" s="632">
        <v>1.8802153346698185</v>
      </c>
      <c r="AR228" s="632">
        <v>0</v>
      </c>
      <c r="AS228" s="632">
        <v>20.675173886948979</v>
      </c>
      <c r="AT228" s="632">
        <v>21.46049270386883</v>
      </c>
      <c r="AU228" s="632">
        <v>22.275640805300654</v>
      </c>
      <c r="AV228" s="632">
        <v>23.121751216705356</v>
      </c>
      <c r="AW228" s="632">
        <v>24</v>
      </c>
      <c r="AX228" s="632">
        <v>15.665855885410357</v>
      </c>
      <c r="AY228" s="632">
        <v>16.21936030502015</v>
      </c>
      <c r="AZ228" s="632">
        <v>16.792421086233706</v>
      </c>
      <c r="BA228" s="632">
        <v>17.385729192421202</v>
      </c>
      <c r="BB228" s="632">
        <v>18</v>
      </c>
      <c r="BC228" s="632">
        <v>1.7676048523637691</v>
      </c>
      <c r="BD228" s="632">
        <v>1.823040797418187</v>
      </c>
      <c r="BE228" s="632">
        <v>1.8802153346698185</v>
      </c>
      <c r="BF228" s="632">
        <v>1.9391829901635476</v>
      </c>
      <c r="BG228" s="632">
        <v>2</v>
      </c>
      <c r="BH228" s="634">
        <v>24.53321832142484</v>
      </c>
      <c r="BI228" s="634">
        <v>25.078283383612305</v>
      </c>
      <c r="BJ228" s="634">
        <v>25.635458390696726</v>
      </c>
      <c r="BK228" s="635">
        <v>26.887025231980623</v>
      </c>
      <c r="BL228" s="635">
        <v>28.138592073264515</v>
      </c>
      <c r="BM228" s="635">
        <v>29.390158914548419</v>
      </c>
      <c r="BN228" s="635">
        <v>30.641725755832312</v>
      </c>
      <c r="BO228" s="635">
        <v>32.121621457685627</v>
      </c>
      <c r="BP228" s="635">
        <v>33.601517159538936</v>
      </c>
      <c r="BQ228" s="635">
        <v>37.704212883494506</v>
      </c>
      <c r="BR228" s="635">
        <v>42.592294020785516</v>
      </c>
      <c r="BS228" s="635">
        <v>44.738554211527635</v>
      </c>
      <c r="BT228" s="635">
        <v>45.91718604955323</v>
      </c>
      <c r="BU228" s="635">
        <v>47.137770525991648</v>
      </c>
      <c r="BV228" s="635">
        <v>48.387721849319085</v>
      </c>
      <c r="BW228" s="634">
        <v>18.39991374106863</v>
      </c>
      <c r="BX228" s="634">
        <v>18.80871253770923</v>
      </c>
      <c r="BY228" s="634">
        <v>19.226593793022545</v>
      </c>
      <c r="BZ228" s="635">
        <v>20.165268923985465</v>
      </c>
      <c r="CA228" s="635">
        <v>21.103944054948386</v>
      </c>
      <c r="CB228" s="635">
        <v>22.042619185911313</v>
      </c>
      <c r="CC228" s="635">
        <v>22.981294316874234</v>
      </c>
      <c r="CD228" s="635">
        <v>24.091216093264222</v>
      </c>
      <c r="CE228" s="635">
        <v>25.201137869654204</v>
      </c>
      <c r="CF228" s="635">
        <v>28.27815966262088</v>
      </c>
      <c r="CG228" s="635">
        <v>31.944220515589137</v>
      </c>
      <c r="CH228" s="635">
        <v>33.553915658645728</v>
      </c>
      <c r="CI228" s="635">
        <v>34.437889537164921</v>
      </c>
      <c r="CJ228" s="635">
        <v>35.353327894493738</v>
      </c>
      <c r="CK228" s="635">
        <v>36.290791386989312</v>
      </c>
      <c r="CL228" s="634">
        <v>2.0444348601187365</v>
      </c>
      <c r="CM228" s="634">
        <v>2.0898569486343588</v>
      </c>
      <c r="CN228" s="634">
        <v>2.1362881992247273</v>
      </c>
      <c r="CO228" s="635">
        <v>2.2405854359983852</v>
      </c>
      <c r="CP228" s="635">
        <v>2.3448826727720431</v>
      </c>
      <c r="CQ228" s="635">
        <v>2.4491799095457014</v>
      </c>
      <c r="CR228" s="635">
        <v>2.5534771463193597</v>
      </c>
      <c r="CS228" s="635">
        <v>2.6768017881404691</v>
      </c>
      <c r="CT228" s="635">
        <v>2.8001264299615785</v>
      </c>
      <c r="CU228" s="635">
        <v>3.1420177402912093</v>
      </c>
      <c r="CV228" s="635">
        <v>3.5493578350654595</v>
      </c>
      <c r="CW228" s="635">
        <v>3.7282128509606367</v>
      </c>
      <c r="CX228" s="635">
        <v>3.8264321707961026</v>
      </c>
      <c r="CY228" s="635">
        <v>3.9281475438326376</v>
      </c>
      <c r="CZ228" s="635">
        <v>4.0323101541099238</v>
      </c>
      <c r="DA228" s="636">
        <v>0</v>
      </c>
      <c r="DB228" s="636">
        <v>0</v>
      </c>
      <c r="DC228" s="636">
        <v>0</v>
      </c>
      <c r="DD228" s="637">
        <v>0</v>
      </c>
      <c r="DE228" s="637">
        <v>0</v>
      </c>
      <c r="DF228" s="637">
        <v>0</v>
      </c>
      <c r="DG228" s="637">
        <v>0</v>
      </c>
      <c r="DH228" s="637">
        <v>0</v>
      </c>
      <c r="DI228" s="637">
        <v>0</v>
      </c>
      <c r="DJ228" s="637">
        <v>0</v>
      </c>
      <c r="DK228" s="637">
        <v>0</v>
      </c>
      <c r="DL228" s="637">
        <v>0</v>
      </c>
      <c r="DM228" s="637">
        <v>0</v>
      </c>
      <c r="DN228" s="637">
        <v>0</v>
      </c>
      <c r="DO228" s="637">
        <v>0</v>
      </c>
      <c r="DP228" s="636">
        <v>0</v>
      </c>
      <c r="DQ228" s="636">
        <v>0</v>
      </c>
      <c r="DR228" s="636">
        <v>0</v>
      </c>
      <c r="DS228" s="637">
        <v>0</v>
      </c>
      <c r="DT228" s="637">
        <v>0</v>
      </c>
      <c r="DU228" s="637">
        <v>0</v>
      </c>
      <c r="DV228" s="637">
        <v>0</v>
      </c>
      <c r="DW228" s="637">
        <v>0</v>
      </c>
      <c r="DX228" s="637">
        <v>0</v>
      </c>
      <c r="DY228" s="637">
        <v>0</v>
      </c>
      <c r="DZ228" s="637">
        <v>0</v>
      </c>
      <c r="EA228" s="637">
        <v>0</v>
      </c>
      <c r="EB228" s="637">
        <v>0</v>
      </c>
      <c r="EC228" s="637">
        <v>0</v>
      </c>
      <c r="ED228" s="637">
        <v>0</v>
      </c>
    </row>
    <row r="229" spans="1:134" ht="15" x14ac:dyDescent="0.25">
      <c r="A229" s="555">
        <v>121</v>
      </c>
      <c r="B229" s="555">
        <v>94</v>
      </c>
      <c r="C229" s="555" t="s">
        <v>1212</v>
      </c>
      <c r="D229" s="812">
        <v>99705</v>
      </c>
      <c r="E229" s="812">
        <v>99705</v>
      </c>
      <c r="F229" s="630" t="s">
        <v>311</v>
      </c>
      <c r="G229" s="45">
        <v>92</v>
      </c>
      <c r="H229" s="45">
        <v>53</v>
      </c>
      <c r="I229" s="45">
        <v>40</v>
      </c>
      <c r="J229" s="45">
        <v>13</v>
      </c>
      <c r="K229" s="45">
        <v>0</v>
      </c>
      <c r="L229" s="45">
        <v>8</v>
      </c>
      <c r="M229" s="45">
        <v>8</v>
      </c>
      <c r="N229" s="45">
        <v>1</v>
      </c>
      <c r="O229" s="45">
        <v>0</v>
      </c>
      <c r="P229" s="45">
        <v>0</v>
      </c>
      <c r="Q229" s="45">
        <v>9</v>
      </c>
      <c r="R229" s="45">
        <v>0</v>
      </c>
      <c r="S229" s="45">
        <v>2168.625</v>
      </c>
      <c r="T229" s="45">
        <v>2168.625</v>
      </c>
      <c r="U229" s="45">
        <v>6760</v>
      </c>
      <c r="V229" s="45">
        <v>0</v>
      </c>
      <c r="W229" s="45">
        <v>0</v>
      </c>
      <c r="X229" s="45">
        <v>2678.7777777777778</v>
      </c>
      <c r="Y229" s="45">
        <v>0</v>
      </c>
      <c r="Z229" s="45">
        <v>53</v>
      </c>
      <c r="AA229" s="45">
        <v>0</v>
      </c>
      <c r="AB229" s="508">
        <v>1</v>
      </c>
      <c r="AC229" s="508">
        <v>0</v>
      </c>
      <c r="AD229" s="631">
        <v>54</v>
      </c>
      <c r="AE229" s="632">
        <v>0</v>
      </c>
      <c r="AF229" s="632">
        <v>40</v>
      </c>
      <c r="AG229" s="633">
        <v>40</v>
      </c>
      <c r="AH229" s="632">
        <v>0</v>
      </c>
      <c r="AI229" s="632">
        <v>0</v>
      </c>
      <c r="AJ229" s="632">
        <v>49.192040111705609</v>
      </c>
      <c r="AK229" s="632">
        <v>49.192040111705609</v>
      </c>
      <c r="AL229" s="632">
        <v>0</v>
      </c>
      <c r="AM229" s="632">
        <v>0</v>
      </c>
      <c r="AN229" s="632">
        <v>37.316491302741575</v>
      </c>
      <c r="AO229" s="632">
        <v>37.316491302741575</v>
      </c>
      <c r="AP229" s="632">
        <v>0</v>
      </c>
      <c r="AQ229" s="632">
        <v>0.94010766733490925</v>
      </c>
      <c r="AR229" s="632">
        <v>0</v>
      </c>
      <c r="AS229" s="632">
        <v>45.657675667012334</v>
      </c>
      <c r="AT229" s="632">
        <v>47.391921387710333</v>
      </c>
      <c r="AU229" s="632">
        <v>49.192040111705609</v>
      </c>
      <c r="AV229" s="632">
        <v>51.060533936890998</v>
      </c>
      <c r="AW229" s="632">
        <v>53</v>
      </c>
      <c r="AX229" s="632">
        <v>34.813013078689679</v>
      </c>
      <c r="AY229" s="632">
        <v>36.043022900044775</v>
      </c>
      <c r="AZ229" s="632">
        <v>37.316491302741575</v>
      </c>
      <c r="BA229" s="632">
        <v>38.634953760936</v>
      </c>
      <c r="BB229" s="632">
        <v>40</v>
      </c>
      <c r="BC229" s="632">
        <v>0.88380242618188454</v>
      </c>
      <c r="BD229" s="632">
        <v>0.91152039870909352</v>
      </c>
      <c r="BE229" s="632">
        <v>0.94010766733490925</v>
      </c>
      <c r="BF229" s="632">
        <v>0.96959149508177378</v>
      </c>
      <c r="BG229" s="632">
        <v>1</v>
      </c>
      <c r="BH229" s="634">
        <v>53.863449256578917</v>
      </c>
      <c r="BI229" s="634">
        <v>54.740965392755697</v>
      </c>
      <c r="BJ229" s="634">
        <v>55.632777579034695</v>
      </c>
      <c r="BK229" s="635">
        <v>56.485560842460195</v>
      </c>
      <c r="BL229" s="635">
        <v>57.338344105885703</v>
      </c>
      <c r="BM229" s="635">
        <v>58.191127369311218</v>
      </c>
      <c r="BN229" s="635">
        <v>59.043910632736711</v>
      </c>
      <c r="BO229" s="635">
        <v>60.052270909253167</v>
      </c>
      <c r="BP229" s="635">
        <v>61.060631185769623</v>
      </c>
      <c r="BQ229" s="635">
        <v>63.856095345500499</v>
      </c>
      <c r="BR229" s="635">
        <v>67.186699550283947</v>
      </c>
      <c r="BS229" s="635">
        <v>68.649102283599987</v>
      </c>
      <c r="BT229" s="635">
        <v>69.452189639427999</v>
      </c>
      <c r="BU229" s="635">
        <v>70.283862370575036</v>
      </c>
      <c r="BV229" s="635">
        <v>71.135544864445464</v>
      </c>
      <c r="BW229" s="634">
        <v>40.651659816285971</v>
      </c>
      <c r="BX229" s="634">
        <v>41.313936145475992</v>
      </c>
      <c r="BY229" s="634">
        <v>41.987001946441282</v>
      </c>
      <c r="BZ229" s="635">
        <v>42.63061195657373</v>
      </c>
      <c r="CA229" s="635">
        <v>43.274221966706193</v>
      </c>
      <c r="CB229" s="635">
        <v>43.917831976838656</v>
      </c>
      <c r="CC229" s="635">
        <v>44.561441986971104</v>
      </c>
      <c r="CD229" s="635">
        <v>45.322468610757113</v>
      </c>
      <c r="CE229" s="635">
        <v>46.083495234543115</v>
      </c>
      <c r="CF229" s="635">
        <v>48.193279506038117</v>
      </c>
      <c r="CG229" s="635">
        <v>50.706943056818076</v>
      </c>
      <c r="CH229" s="635">
        <v>51.810643232905655</v>
      </c>
      <c r="CI229" s="635">
        <v>52.416746897681506</v>
      </c>
      <c r="CJ229" s="635">
        <v>53.044424430622676</v>
      </c>
      <c r="CK229" s="635">
        <v>53.687203671279597</v>
      </c>
      <c r="CL229" s="634">
        <v>1.0162914954071494</v>
      </c>
      <c r="CM229" s="634">
        <v>1.0328484036368999</v>
      </c>
      <c r="CN229" s="634">
        <v>1.049675048661032</v>
      </c>
      <c r="CO229" s="635">
        <v>1.0657652989143434</v>
      </c>
      <c r="CP229" s="635">
        <v>1.0818555491676549</v>
      </c>
      <c r="CQ229" s="635">
        <v>1.0979457994209663</v>
      </c>
      <c r="CR229" s="635">
        <v>1.1140360496742776</v>
      </c>
      <c r="CS229" s="635">
        <v>1.1330617152689277</v>
      </c>
      <c r="CT229" s="635">
        <v>1.1520873808635779</v>
      </c>
      <c r="CU229" s="635">
        <v>1.2048319876509528</v>
      </c>
      <c r="CV229" s="635">
        <v>1.2676735764204519</v>
      </c>
      <c r="CW229" s="635">
        <v>1.2952660808226413</v>
      </c>
      <c r="CX229" s="635">
        <v>1.3104186724420377</v>
      </c>
      <c r="CY229" s="635">
        <v>1.3261106107655669</v>
      </c>
      <c r="CZ229" s="635">
        <v>1.3421800917819899</v>
      </c>
      <c r="DA229" s="636">
        <v>0</v>
      </c>
      <c r="DB229" s="636">
        <v>0</v>
      </c>
      <c r="DC229" s="636">
        <v>0</v>
      </c>
      <c r="DD229" s="637">
        <v>0</v>
      </c>
      <c r="DE229" s="637">
        <v>0</v>
      </c>
      <c r="DF229" s="637">
        <v>0</v>
      </c>
      <c r="DG229" s="637">
        <v>0</v>
      </c>
      <c r="DH229" s="637">
        <v>0</v>
      </c>
      <c r="DI229" s="637">
        <v>0</v>
      </c>
      <c r="DJ229" s="637">
        <v>0</v>
      </c>
      <c r="DK229" s="637">
        <v>0</v>
      </c>
      <c r="DL229" s="637">
        <v>0</v>
      </c>
      <c r="DM229" s="637">
        <v>0</v>
      </c>
      <c r="DN229" s="637">
        <v>0</v>
      </c>
      <c r="DO229" s="637">
        <v>0</v>
      </c>
      <c r="DP229" s="636">
        <v>0</v>
      </c>
      <c r="DQ229" s="636">
        <v>0</v>
      </c>
      <c r="DR229" s="636">
        <v>0</v>
      </c>
      <c r="DS229" s="637">
        <v>0</v>
      </c>
      <c r="DT229" s="637">
        <v>0</v>
      </c>
      <c r="DU229" s="637">
        <v>0</v>
      </c>
      <c r="DV229" s="637">
        <v>0</v>
      </c>
      <c r="DW229" s="637">
        <v>0</v>
      </c>
      <c r="DX229" s="637">
        <v>0</v>
      </c>
      <c r="DY229" s="637">
        <v>0</v>
      </c>
      <c r="DZ229" s="637">
        <v>0</v>
      </c>
      <c r="EA229" s="637">
        <v>0</v>
      </c>
      <c r="EB229" s="637">
        <v>0</v>
      </c>
      <c r="EC229" s="637">
        <v>0</v>
      </c>
      <c r="ED229" s="637">
        <v>0</v>
      </c>
    </row>
    <row r="230" spans="1:134" ht="15" x14ac:dyDescent="0.25">
      <c r="A230" s="555">
        <v>122</v>
      </c>
      <c r="B230" s="555">
        <v>94</v>
      </c>
      <c r="C230" s="555" t="s">
        <v>1213</v>
      </c>
      <c r="D230" s="812">
        <v>99705</v>
      </c>
      <c r="E230" s="812">
        <v>99705</v>
      </c>
      <c r="F230" s="630" t="s">
        <v>989</v>
      </c>
      <c r="G230" s="45">
        <v>81</v>
      </c>
      <c r="H230" s="45">
        <v>29</v>
      </c>
      <c r="I230" s="45">
        <v>26</v>
      </c>
      <c r="J230" s="45">
        <v>3</v>
      </c>
      <c r="K230" s="45">
        <v>0</v>
      </c>
      <c r="L230" s="45">
        <v>93</v>
      </c>
      <c r="M230" s="45">
        <v>93</v>
      </c>
      <c r="N230" s="45">
        <v>0</v>
      </c>
      <c r="O230" s="45">
        <v>0</v>
      </c>
      <c r="P230" s="45">
        <v>0</v>
      </c>
      <c r="Q230" s="45">
        <v>93</v>
      </c>
      <c r="R230" s="45">
        <v>0</v>
      </c>
      <c r="S230" s="45">
        <v>1737.0967741935483</v>
      </c>
      <c r="T230" s="45">
        <v>1737.0967741935483</v>
      </c>
      <c r="U230" s="45">
        <v>0</v>
      </c>
      <c r="V230" s="45">
        <v>0</v>
      </c>
      <c r="W230" s="45">
        <v>0</v>
      </c>
      <c r="X230" s="45">
        <v>1737.0967741935483</v>
      </c>
      <c r="Y230" s="45">
        <v>0</v>
      </c>
      <c r="Z230" s="45">
        <v>29</v>
      </c>
      <c r="AA230" s="45">
        <v>0</v>
      </c>
      <c r="AB230" s="508">
        <v>0</v>
      </c>
      <c r="AC230" s="508">
        <v>0</v>
      </c>
      <c r="AD230" s="631">
        <v>29</v>
      </c>
      <c r="AE230" s="632">
        <v>0</v>
      </c>
      <c r="AF230" s="632">
        <v>26</v>
      </c>
      <c r="AG230" s="633">
        <v>26</v>
      </c>
      <c r="AH230" s="632">
        <v>0</v>
      </c>
      <c r="AI230" s="632">
        <v>0</v>
      </c>
      <c r="AJ230" s="632">
        <v>26.916399306404955</v>
      </c>
      <c r="AK230" s="632">
        <v>26.916399306404955</v>
      </c>
      <c r="AL230" s="632">
        <v>0</v>
      </c>
      <c r="AM230" s="632">
        <v>0</v>
      </c>
      <c r="AN230" s="632">
        <v>24.255719346782023</v>
      </c>
      <c r="AO230" s="632">
        <v>24.255719346782023</v>
      </c>
      <c r="AP230" s="632">
        <v>0</v>
      </c>
      <c r="AQ230" s="632">
        <v>0</v>
      </c>
      <c r="AR230" s="632">
        <v>0</v>
      </c>
      <c r="AS230" s="632">
        <v>24.982501780063352</v>
      </c>
      <c r="AT230" s="632">
        <v>25.931428683841503</v>
      </c>
      <c r="AU230" s="632">
        <v>26.916399306404955</v>
      </c>
      <c r="AV230" s="632">
        <v>27.938782720185639</v>
      </c>
      <c r="AW230" s="632">
        <v>29</v>
      </c>
      <c r="AX230" s="632">
        <v>22.628458501148295</v>
      </c>
      <c r="AY230" s="632">
        <v>23.427964885029102</v>
      </c>
      <c r="AZ230" s="632">
        <v>24.255719346782023</v>
      </c>
      <c r="BA230" s="632">
        <v>25.112719944608401</v>
      </c>
      <c r="BB230" s="632">
        <v>26</v>
      </c>
      <c r="BC230" s="632">
        <v>0</v>
      </c>
      <c r="BD230" s="632">
        <v>0</v>
      </c>
      <c r="BE230" s="632">
        <v>0</v>
      </c>
      <c r="BF230" s="632">
        <v>0</v>
      </c>
      <c r="BG230" s="632">
        <v>0</v>
      </c>
      <c r="BH230" s="634">
        <v>29.472453366807333</v>
      </c>
      <c r="BI230" s="634">
        <v>29.952603705470096</v>
      </c>
      <c r="BJ230" s="634">
        <v>30.440576411169928</v>
      </c>
      <c r="BK230" s="635">
        <v>30.993829839136691</v>
      </c>
      <c r="BL230" s="635">
        <v>31.547083267103453</v>
      </c>
      <c r="BM230" s="635">
        <v>32.100336695070212</v>
      </c>
      <c r="BN230" s="635">
        <v>32.65359012303697</v>
      </c>
      <c r="BO230" s="635">
        <v>33.307776014733911</v>
      </c>
      <c r="BP230" s="635">
        <v>33.961961906430844</v>
      </c>
      <c r="BQ230" s="635">
        <v>35.775552997462405</v>
      </c>
      <c r="BR230" s="635">
        <v>37.936322647297267</v>
      </c>
      <c r="BS230" s="635">
        <v>38.885074059262266</v>
      </c>
      <c r="BT230" s="635">
        <v>39.406086667769451</v>
      </c>
      <c r="BU230" s="635">
        <v>39.945644383296532</v>
      </c>
      <c r="BV230" s="635">
        <v>40.498183673737536</v>
      </c>
      <c r="BW230" s="634">
        <v>26.423578880585882</v>
      </c>
      <c r="BX230" s="634">
        <v>26.854058494559396</v>
      </c>
      <c r="BY230" s="634">
        <v>27.291551265186833</v>
      </c>
      <c r="BZ230" s="635">
        <v>27.787571579915653</v>
      </c>
      <c r="CA230" s="635">
        <v>28.283591894644477</v>
      </c>
      <c r="CB230" s="635">
        <v>28.779612209373294</v>
      </c>
      <c r="CC230" s="635">
        <v>29.275632524102114</v>
      </c>
      <c r="CD230" s="635">
        <v>29.862144013209711</v>
      </c>
      <c r="CE230" s="635">
        <v>30.448655502317308</v>
      </c>
      <c r="CF230" s="635">
        <v>32.074633721862845</v>
      </c>
      <c r="CG230" s="635">
        <v>34.011875476887205</v>
      </c>
      <c r="CH230" s="635">
        <v>34.862480191062723</v>
      </c>
      <c r="CI230" s="635">
        <v>35.329594943517442</v>
      </c>
      <c r="CJ230" s="635">
        <v>35.813336343645169</v>
      </c>
      <c r="CK230" s="635">
        <v>36.308716397143996</v>
      </c>
      <c r="CL230" s="634">
        <v>0</v>
      </c>
      <c r="CM230" s="634">
        <v>0</v>
      </c>
      <c r="CN230" s="634">
        <v>0</v>
      </c>
      <c r="CO230" s="635">
        <v>0</v>
      </c>
      <c r="CP230" s="635">
        <v>0</v>
      </c>
      <c r="CQ230" s="635">
        <v>0</v>
      </c>
      <c r="CR230" s="635">
        <v>0</v>
      </c>
      <c r="CS230" s="635">
        <v>0</v>
      </c>
      <c r="CT230" s="635">
        <v>0</v>
      </c>
      <c r="CU230" s="635">
        <v>0</v>
      </c>
      <c r="CV230" s="635">
        <v>0</v>
      </c>
      <c r="CW230" s="635">
        <v>0</v>
      </c>
      <c r="CX230" s="635">
        <v>0</v>
      </c>
      <c r="CY230" s="635">
        <v>0</v>
      </c>
      <c r="CZ230" s="635">
        <v>0</v>
      </c>
      <c r="DA230" s="636">
        <v>0</v>
      </c>
      <c r="DB230" s="636">
        <v>0</v>
      </c>
      <c r="DC230" s="636">
        <v>0</v>
      </c>
      <c r="DD230" s="637">
        <v>0</v>
      </c>
      <c r="DE230" s="637">
        <v>0</v>
      </c>
      <c r="DF230" s="637">
        <v>0</v>
      </c>
      <c r="DG230" s="637">
        <v>0</v>
      </c>
      <c r="DH230" s="637">
        <v>0</v>
      </c>
      <c r="DI230" s="637">
        <v>0</v>
      </c>
      <c r="DJ230" s="637">
        <v>0</v>
      </c>
      <c r="DK230" s="637">
        <v>0</v>
      </c>
      <c r="DL230" s="637">
        <v>0</v>
      </c>
      <c r="DM230" s="637">
        <v>0</v>
      </c>
      <c r="DN230" s="637">
        <v>0</v>
      </c>
      <c r="DO230" s="637">
        <v>0</v>
      </c>
      <c r="DP230" s="636">
        <v>0</v>
      </c>
      <c r="DQ230" s="636">
        <v>0</v>
      </c>
      <c r="DR230" s="636">
        <v>0</v>
      </c>
      <c r="DS230" s="637">
        <v>0</v>
      </c>
      <c r="DT230" s="637">
        <v>0</v>
      </c>
      <c r="DU230" s="637">
        <v>0</v>
      </c>
      <c r="DV230" s="637">
        <v>0</v>
      </c>
      <c r="DW230" s="637">
        <v>0</v>
      </c>
      <c r="DX230" s="637">
        <v>0</v>
      </c>
      <c r="DY230" s="637">
        <v>0</v>
      </c>
      <c r="DZ230" s="637">
        <v>0</v>
      </c>
      <c r="EA230" s="637">
        <v>0</v>
      </c>
      <c r="EB230" s="637">
        <v>0</v>
      </c>
      <c r="EC230" s="637">
        <v>0</v>
      </c>
      <c r="ED230" s="637">
        <v>0</v>
      </c>
    </row>
    <row r="231" spans="1:134" ht="15" x14ac:dyDescent="0.25">
      <c r="A231" s="555">
        <v>123</v>
      </c>
      <c r="B231" s="555">
        <v>94</v>
      </c>
      <c r="C231" s="555" t="s">
        <v>1214</v>
      </c>
      <c r="D231" s="812">
        <v>99712</v>
      </c>
      <c r="E231" s="812">
        <v>99705</v>
      </c>
      <c r="F231" s="630" t="s">
        <v>989</v>
      </c>
      <c r="G231" s="45">
        <v>154</v>
      </c>
      <c r="H231" s="45">
        <v>64</v>
      </c>
      <c r="I231" s="45">
        <v>53</v>
      </c>
      <c r="J231" s="45">
        <v>11</v>
      </c>
      <c r="K231" s="45">
        <v>0</v>
      </c>
      <c r="L231" s="45">
        <v>45</v>
      </c>
      <c r="M231" s="45">
        <v>45</v>
      </c>
      <c r="N231" s="45">
        <v>1</v>
      </c>
      <c r="O231" s="45">
        <v>0</v>
      </c>
      <c r="P231" s="45">
        <v>0</v>
      </c>
      <c r="Q231" s="45">
        <v>46</v>
      </c>
      <c r="R231" s="45">
        <v>0</v>
      </c>
      <c r="S231" s="45">
        <v>1763.7111111111112</v>
      </c>
      <c r="T231" s="45">
        <v>1763.7111111111112</v>
      </c>
      <c r="U231" s="45">
        <v>2364</v>
      </c>
      <c r="V231" s="45">
        <v>0</v>
      </c>
      <c r="W231" s="45">
        <v>0</v>
      </c>
      <c r="X231" s="45">
        <v>1776.7608695652175</v>
      </c>
      <c r="Y231" s="45">
        <v>0</v>
      </c>
      <c r="Z231" s="45">
        <v>64</v>
      </c>
      <c r="AA231" s="45">
        <v>0</v>
      </c>
      <c r="AB231" s="508">
        <v>1</v>
      </c>
      <c r="AC231" s="508">
        <v>0</v>
      </c>
      <c r="AD231" s="631">
        <v>65</v>
      </c>
      <c r="AE231" s="632">
        <v>0</v>
      </c>
      <c r="AF231" s="632">
        <v>53</v>
      </c>
      <c r="AG231" s="633">
        <v>53</v>
      </c>
      <c r="AH231" s="632">
        <v>0</v>
      </c>
      <c r="AI231" s="632">
        <v>0</v>
      </c>
      <c r="AJ231" s="632">
        <v>58.183311689327248</v>
      </c>
      <c r="AK231" s="632">
        <v>58.183311689327248</v>
      </c>
      <c r="AL231" s="632">
        <v>0</v>
      </c>
      <c r="AM231" s="632">
        <v>0</v>
      </c>
      <c r="AN231" s="632">
        <v>48.36006785055919</v>
      </c>
      <c r="AO231" s="632">
        <v>48.36006785055919</v>
      </c>
      <c r="AP231" s="632">
        <v>0</v>
      </c>
      <c r="AQ231" s="632">
        <v>0.92984135081383867</v>
      </c>
      <c r="AR231" s="632">
        <v>0</v>
      </c>
      <c r="AS231" s="632">
        <v>52.895277486521948</v>
      </c>
      <c r="AT231" s="632">
        <v>55.476323029665203</v>
      </c>
      <c r="AU231" s="632">
        <v>58.183311689327248</v>
      </c>
      <c r="AV231" s="632">
        <v>61.022388908636998</v>
      </c>
      <c r="AW231" s="632">
        <v>64</v>
      </c>
      <c r="AX231" s="632">
        <v>44.126342688880918</v>
      </c>
      <c r="AY231" s="632">
        <v>46.194728340269599</v>
      </c>
      <c r="AZ231" s="632">
        <v>48.36006785055919</v>
      </c>
      <c r="BA231" s="632">
        <v>50.626905851332026</v>
      </c>
      <c r="BB231" s="632">
        <v>53</v>
      </c>
      <c r="BC231" s="632">
        <v>0.86460493768330426</v>
      </c>
      <c r="BD231" s="632">
        <v>0.89663003695825327</v>
      </c>
      <c r="BE231" s="632">
        <v>0.92984135081383867</v>
      </c>
      <c r="BF231" s="632">
        <v>0.96428281681975381</v>
      </c>
      <c r="BG231" s="632">
        <v>1</v>
      </c>
      <c r="BH231" s="634">
        <v>64.810097554167811</v>
      </c>
      <c r="BI231" s="634">
        <v>65.630449140324188</v>
      </c>
      <c r="BJ231" s="634">
        <v>66.461184551691559</v>
      </c>
      <c r="BK231" s="635">
        <v>66.504515050415634</v>
      </c>
      <c r="BL231" s="635">
        <v>66.54784554913968</v>
      </c>
      <c r="BM231" s="635">
        <v>66.591176047863726</v>
      </c>
      <c r="BN231" s="635">
        <v>66.634506546587801</v>
      </c>
      <c r="BO231" s="635">
        <v>66.685742019361356</v>
      </c>
      <c r="BP231" s="635">
        <v>66.73697749213494</v>
      </c>
      <c r="BQ231" s="635">
        <v>66.879016930995192</v>
      </c>
      <c r="BR231" s="635">
        <v>67.048247200203363</v>
      </c>
      <c r="BS231" s="635">
        <v>67.122552879603646</v>
      </c>
      <c r="BT231" s="635">
        <v>67.163358295398538</v>
      </c>
      <c r="BU231" s="635">
        <v>67.20561615359226</v>
      </c>
      <c r="BV231" s="635">
        <v>67.248890721465116</v>
      </c>
      <c r="BW231" s="634">
        <v>53.670862037045218</v>
      </c>
      <c r="BX231" s="634">
        <v>54.35021569433097</v>
      </c>
      <c r="BY231" s="634">
        <v>55.03816845686957</v>
      </c>
      <c r="BZ231" s="635">
        <v>55.074051526125437</v>
      </c>
      <c r="CA231" s="635">
        <v>55.109934595381297</v>
      </c>
      <c r="CB231" s="635">
        <v>55.14581766463715</v>
      </c>
      <c r="CC231" s="635">
        <v>55.181700733893024</v>
      </c>
      <c r="CD231" s="635">
        <v>55.224130109783623</v>
      </c>
      <c r="CE231" s="635">
        <v>55.266559485674243</v>
      </c>
      <c r="CF231" s="635">
        <v>55.384185895980394</v>
      </c>
      <c r="CG231" s="635">
        <v>55.524329712668411</v>
      </c>
      <c r="CH231" s="635">
        <v>55.585864103421763</v>
      </c>
      <c r="CI231" s="635">
        <v>55.619656088376914</v>
      </c>
      <c r="CJ231" s="635">
        <v>55.654650877193582</v>
      </c>
      <c r="CK231" s="635">
        <v>55.690487628713299</v>
      </c>
      <c r="CL231" s="634">
        <v>1.012657774283872</v>
      </c>
      <c r="CM231" s="634">
        <v>1.0254757678175654</v>
      </c>
      <c r="CN231" s="634">
        <v>1.0384560086201806</v>
      </c>
      <c r="CO231" s="635">
        <v>1.0391330476627443</v>
      </c>
      <c r="CP231" s="635">
        <v>1.0398100867053075</v>
      </c>
      <c r="CQ231" s="635">
        <v>1.0404871257478707</v>
      </c>
      <c r="CR231" s="635">
        <v>1.0411641647904344</v>
      </c>
      <c r="CS231" s="635">
        <v>1.0419647190525212</v>
      </c>
      <c r="CT231" s="635">
        <v>1.0427652733146084</v>
      </c>
      <c r="CU231" s="635">
        <v>1.0449846395467999</v>
      </c>
      <c r="CV231" s="635">
        <v>1.0476288625031775</v>
      </c>
      <c r="CW231" s="635">
        <v>1.048789888743807</v>
      </c>
      <c r="CX231" s="635">
        <v>1.0494274733656022</v>
      </c>
      <c r="CY231" s="635">
        <v>1.0500877523998791</v>
      </c>
      <c r="CZ231" s="635">
        <v>1.0507639175228924</v>
      </c>
      <c r="DA231" s="636">
        <v>0</v>
      </c>
      <c r="DB231" s="636">
        <v>0</v>
      </c>
      <c r="DC231" s="636">
        <v>0</v>
      </c>
      <c r="DD231" s="637">
        <v>0</v>
      </c>
      <c r="DE231" s="637">
        <v>0</v>
      </c>
      <c r="DF231" s="637">
        <v>0</v>
      </c>
      <c r="DG231" s="637">
        <v>0</v>
      </c>
      <c r="DH231" s="637">
        <v>0</v>
      </c>
      <c r="DI231" s="637">
        <v>0</v>
      </c>
      <c r="DJ231" s="637">
        <v>0</v>
      </c>
      <c r="DK231" s="637">
        <v>0</v>
      </c>
      <c r="DL231" s="637">
        <v>0</v>
      </c>
      <c r="DM231" s="637">
        <v>0</v>
      </c>
      <c r="DN231" s="637">
        <v>0</v>
      </c>
      <c r="DO231" s="637">
        <v>0</v>
      </c>
      <c r="DP231" s="636">
        <v>0</v>
      </c>
      <c r="DQ231" s="636">
        <v>0</v>
      </c>
      <c r="DR231" s="636">
        <v>0</v>
      </c>
      <c r="DS231" s="637">
        <v>0</v>
      </c>
      <c r="DT231" s="637">
        <v>0</v>
      </c>
      <c r="DU231" s="637">
        <v>0</v>
      </c>
      <c r="DV231" s="637">
        <v>0</v>
      </c>
      <c r="DW231" s="637">
        <v>0</v>
      </c>
      <c r="DX231" s="637">
        <v>0</v>
      </c>
      <c r="DY231" s="637">
        <v>0</v>
      </c>
      <c r="DZ231" s="637">
        <v>0</v>
      </c>
      <c r="EA231" s="637">
        <v>0</v>
      </c>
      <c r="EB231" s="637">
        <v>0</v>
      </c>
      <c r="EC231" s="637">
        <v>0</v>
      </c>
      <c r="ED231" s="637">
        <v>0</v>
      </c>
    </row>
    <row r="232" spans="1:134" ht="15" x14ac:dyDescent="0.25">
      <c r="A232" s="555">
        <v>125</v>
      </c>
      <c r="B232" s="555">
        <v>94</v>
      </c>
      <c r="C232" s="555" t="s">
        <v>1215</v>
      </c>
      <c r="D232" s="812">
        <v>99712</v>
      </c>
      <c r="E232" s="812" t="s">
        <v>336</v>
      </c>
      <c r="F232" s="630" t="s">
        <v>989</v>
      </c>
      <c r="G232" s="45">
        <v>36</v>
      </c>
      <c r="H232" s="45">
        <v>12</v>
      </c>
      <c r="I232" s="45">
        <v>11</v>
      </c>
      <c r="J232" s="45">
        <v>1</v>
      </c>
      <c r="K232" s="45">
        <v>0</v>
      </c>
      <c r="L232" s="45">
        <v>0</v>
      </c>
      <c r="M232" s="45">
        <v>0</v>
      </c>
      <c r="N232" s="45">
        <v>0</v>
      </c>
      <c r="O232" s="45">
        <v>0</v>
      </c>
      <c r="P232" s="45">
        <v>0</v>
      </c>
      <c r="Q232" s="45">
        <v>0</v>
      </c>
      <c r="R232" s="45">
        <v>0</v>
      </c>
      <c r="S232" s="45">
        <v>834.49503068156923</v>
      </c>
      <c r="T232" s="45">
        <v>834.49503068156923</v>
      </c>
      <c r="U232" s="45">
        <v>1408.3846153846155</v>
      </c>
      <c r="V232" s="45">
        <v>0</v>
      </c>
      <c r="W232" s="45">
        <v>0</v>
      </c>
      <c r="X232" s="45">
        <v>1365.173957061457</v>
      </c>
      <c r="Y232" s="45">
        <v>0.27494802494802495</v>
      </c>
      <c r="Z232" s="45">
        <v>11.70945945945946</v>
      </c>
      <c r="AA232" s="45">
        <v>1.5592515592515593E-2</v>
      </c>
      <c r="AB232" s="508">
        <v>0</v>
      </c>
      <c r="AC232" s="508">
        <v>0</v>
      </c>
      <c r="AD232" s="631">
        <v>12</v>
      </c>
      <c r="AE232" s="632">
        <v>0.2520356895356895</v>
      </c>
      <c r="AF232" s="632">
        <v>10.733671171171173</v>
      </c>
      <c r="AG232" s="633">
        <v>10.985706860706863</v>
      </c>
      <c r="AH232" s="632">
        <v>1.4293139293139294E-2</v>
      </c>
      <c r="AI232" s="632">
        <v>0.2499591661549353</v>
      </c>
      <c r="AJ232" s="632">
        <v>10.645236397551111</v>
      </c>
      <c r="AK232" s="632">
        <v>10.895195563706046</v>
      </c>
      <c r="AL232" s="632">
        <v>1.4175378042812967E-2</v>
      </c>
      <c r="AM232" s="632">
        <v>0.22997100088129085</v>
      </c>
      <c r="AN232" s="632">
        <v>9.7939823796873409</v>
      </c>
      <c r="AO232" s="632">
        <v>10.023953380568631</v>
      </c>
      <c r="AP232" s="632">
        <v>1.3041833698371884E-2</v>
      </c>
      <c r="AQ232" s="632">
        <v>0</v>
      </c>
      <c r="AR232" s="632">
        <v>0</v>
      </c>
      <c r="AS232" s="632">
        <v>9.9049774906138168</v>
      </c>
      <c r="AT232" s="632">
        <v>10.388294701939483</v>
      </c>
      <c r="AU232" s="632">
        <v>10.895195563706045</v>
      </c>
      <c r="AV232" s="632">
        <v>11.426830849267086</v>
      </c>
      <c r="AW232" s="632">
        <v>11.984407484407484</v>
      </c>
      <c r="AX232" s="632">
        <v>9.1463974644366264</v>
      </c>
      <c r="AY232" s="632">
        <v>9.5751272463431985</v>
      </c>
      <c r="AZ232" s="632">
        <v>10.023953380568631</v>
      </c>
      <c r="BA232" s="632">
        <v>10.493817866930918</v>
      </c>
      <c r="BB232" s="632">
        <v>10.985706860706863</v>
      </c>
      <c r="BC232" s="632">
        <v>0</v>
      </c>
      <c r="BD232" s="632">
        <v>0</v>
      </c>
      <c r="BE232" s="632">
        <v>0</v>
      </c>
      <c r="BF232" s="632">
        <v>0</v>
      </c>
      <c r="BG232" s="632">
        <v>0</v>
      </c>
      <c r="BH232" s="634">
        <v>12.13610340927106</v>
      </c>
      <c r="BI232" s="634">
        <v>12.289719466911343</v>
      </c>
      <c r="BJ232" s="634">
        <v>12.445279961935615</v>
      </c>
      <c r="BK232" s="635">
        <v>12.3634577064925</v>
      </c>
      <c r="BL232" s="635">
        <v>12.282173396479802</v>
      </c>
      <c r="BM232" s="635">
        <v>12.370345467307303</v>
      </c>
      <c r="BN232" s="635">
        <v>12.459150513571888</v>
      </c>
      <c r="BO232" s="635">
        <v>12.548593079319089</v>
      </c>
      <c r="BP232" s="635">
        <v>12.638677741215519</v>
      </c>
      <c r="BQ232" s="635">
        <v>12.729409108783068</v>
      </c>
      <c r="BR232" s="635">
        <v>12.800867238265999</v>
      </c>
      <c r="BS232" s="635">
        <v>12.872726506892592</v>
      </c>
      <c r="BT232" s="635">
        <v>12.944989166507581</v>
      </c>
      <c r="BU232" s="635">
        <v>13.017657481596711</v>
      </c>
      <c r="BV232" s="635">
        <v>13.090733729357696</v>
      </c>
      <c r="BW232" s="634">
        <v>11.124761458498474</v>
      </c>
      <c r="BX232" s="634">
        <v>11.265576178002066</v>
      </c>
      <c r="BY232" s="634">
        <v>11.408173298440984</v>
      </c>
      <c r="BZ232" s="635">
        <v>11.333169564284795</v>
      </c>
      <c r="CA232" s="635">
        <v>11.258658946773156</v>
      </c>
      <c r="CB232" s="635">
        <v>11.339483345031697</v>
      </c>
      <c r="CC232" s="635">
        <v>11.420887970774235</v>
      </c>
      <c r="CD232" s="635">
        <v>11.502876989375835</v>
      </c>
      <c r="CE232" s="635">
        <v>11.585454596114229</v>
      </c>
      <c r="CF232" s="635">
        <v>11.668625016384482</v>
      </c>
      <c r="CG232" s="635">
        <v>11.734128301743835</v>
      </c>
      <c r="CH232" s="635">
        <v>11.799999297984879</v>
      </c>
      <c r="CI232" s="635">
        <v>11.866240069298618</v>
      </c>
      <c r="CJ232" s="635">
        <v>11.932852691463655</v>
      </c>
      <c r="CK232" s="635">
        <v>11.999839251911224</v>
      </c>
      <c r="CL232" s="634">
        <v>0</v>
      </c>
      <c r="CM232" s="634">
        <v>0</v>
      </c>
      <c r="CN232" s="634">
        <v>0</v>
      </c>
      <c r="CO232" s="635">
        <v>0</v>
      </c>
      <c r="CP232" s="635">
        <v>0</v>
      </c>
      <c r="CQ232" s="635">
        <v>0</v>
      </c>
      <c r="CR232" s="635">
        <v>0</v>
      </c>
      <c r="CS232" s="635">
        <v>0</v>
      </c>
      <c r="CT232" s="635">
        <v>0</v>
      </c>
      <c r="CU232" s="635">
        <v>0</v>
      </c>
      <c r="CV232" s="635">
        <v>0</v>
      </c>
      <c r="CW232" s="635">
        <v>0</v>
      </c>
      <c r="CX232" s="635">
        <v>0</v>
      </c>
      <c r="CY232" s="635">
        <v>0</v>
      </c>
      <c r="CZ232" s="635">
        <v>0</v>
      </c>
      <c r="DA232" s="636">
        <v>1.5789882135403412E-2</v>
      </c>
      <c r="DB232" s="636">
        <v>1.5989746899442291E-2</v>
      </c>
      <c r="DC232" s="636">
        <v>1.6192141506551672E-2</v>
      </c>
      <c r="DD232" s="637">
        <v>1.6085685280370153E-2</v>
      </c>
      <c r="DE232" s="637">
        <v>1.5979928957168623E-2</v>
      </c>
      <c r="DF232" s="637">
        <v>1.6094646717808098E-2</v>
      </c>
      <c r="DG232" s="637">
        <v>1.6210188021821351E-2</v>
      </c>
      <c r="DH232" s="637">
        <v>1.6326558781315496E-2</v>
      </c>
      <c r="DI232" s="637">
        <v>1.6443764950839861E-2</v>
      </c>
      <c r="DJ232" s="637">
        <v>1.6561812527690695E-2</v>
      </c>
      <c r="DK232" s="637">
        <v>1.6654784332898777E-2</v>
      </c>
      <c r="DL232" s="637">
        <v>1.6748278046958876E-2</v>
      </c>
      <c r="DM232" s="637">
        <v>1.6842296599671586E-2</v>
      </c>
      <c r="DN232" s="637">
        <v>1.6936842937284296E-2</v>
      </c>
      <c r="DO232" s="637">
        <v>1.7031920022583524E-2</v>
      </c>
      <c r="DP232" s="636">
        <v>0</v>
      </c>
      <c r="DQ232" s="636">
        <v>0</v>
      </c>
      <c r="DR232" s="636">
        <v>0</v>
      </c>
      <c r="DS232" s="637">
        <v>0</v>
      </c>
      <c r="DT232" s="637">
        <v>0</v>
      </c>
      <c r="DU232" s="637">
        <v>0</v>
      </c>
      <c r="DV232" s="637">
        <v>0</v>
      </c>
      <c r="DW232" s="637">
        <v>0</v>
      </c>
      <c r="DX232" s="637">
        <v>0</v>
      </c>
      <c r="DY232" s="637">
        <v>0</v>
      </c>
      <c r="DZ232" s="637">
        <v>0</v>
      </c>
      <c r="EA232" s="637">
        <v>0</v>
      </c>
      <c r="EB232" s="637">
        <v>0</v>
      </c>
      <c r="EC232" s="637">
        <v>0</v>
      </c>
      <c r="ED232" s="637">
        <v>0</v>
      </c>
    </row>
    <row r="233" spans="1:134" ht="15" x14ac:dyDescent="0.25">
      <c r="A233" s="555">
        <v>99</v>
      </c>
      <c r="B233" s="555">
        <v>95</v>
      </c>
      <c r="C233" s="555" t="s">
        <v>1216</v>
      </c>
      <c r="D233" s="812">
        <v>99709</v>
      </c>
      <c r="E233" s="812">
        <v>99725</v>
      </c>
      <c r="F233" s="630" t="s">
        <v>311</v>
      </c>
      <c r="G233" s="45">
        <v>8</v>
      </c>
      <c r="H233" s="45">
        <v>4</v>
      </c>
      <c r="I233" s="45">
        <v>3</v>
      </c>
      <c r="J233" s="45">
        <v>1</v>
      </c>
      <c r="K233" s="45">
        <v>0</v>
      </c>
      <c r="L233" s="45">
        <v>27</v>
      </c>
      <c r="M233" s="45">
        <v>27</v>
      </c>
      <c r="N233" s="45">
        <v>0</v>
      </c>
      <c r="O233" s="45">
        <v>0</v>
      </c>
      <c r="P233" s="45">
        <v>0</v>
      </c>
      <c r="Q233" s="45">
        <v>27</v>
      </c>
      <c r="R233" s="45">
        <v>0</v>
      </c>
      <c r="S233" s="45">
        <v>1988.0740740740741</v>
      </c>
      <c r="T233" s="45">
        <v>1988.0740740740741</v>
      </c>
      <c r="U233" s="45">
        <v>0</v>
      </c>
      <c r="V233" s="45">
        <v>0</v>
      </c>
      <c r="W233" s="45">
        <v>0</v>
      </c>
      <c r="X233" s="45">
        <v>1988.0740740740741</v>
      </c>
      <c r="Y233" s="45">
        <v>0</v>
      </c>
      <c r="Z233" s="45">
        <v>4</v>
      </c>
      <c r="AA233" s="45">
        <v>0</v>
      </c>
      <c r="AB233" s="508">
        <v>0</v>
      </c>
      <c r="AC233" s="508">
        <v>0</v>
      </c>
      <c r="AD233" s="631">
        <v>4</v>
      </c>
      <c r="AE233" s="632">
        <v>0</v>
      </c>
      <c r="AF233" s="632">
        <v>3</v>
      </c>
      <c r="AG233" s="633">
        <v>3</v>
      </c>
      <c r="AH233" s="632">
        <v>0</v>
      </c>
      <c r="AI233" s="632">
        <v>0</v>
      </c>
      <c r="AJ233" s="632">
        <v>3.8086335800309574</v>
      </c>
      <c r="AK233" s="632">
        <v>3.8086335800309574</v>
      </c>
      <c r="AL233" s="632">
        <v>0</v>
      </c>
      <c r="AM233" s="632">
        <v>0</v>
      </c>
      <c r="AN233" s="632">
        <v>2.861863886693929</v>
      </c>
      <c r="AO233" s="632">
        <v>2.861863886693929</v>
      </c>
      <c r="AP233" s="632">
        <v>0</v>
      </c>
      <c r="AQ233" s="632">
        <v>0</v>
      </c>
      <c r="AR233" s="632">
        <v>0</v>
      </c>
      <c r="AS233" s="632">
        <v>3.626422436734857</v>
      </c>
      <c r="AT233" s="632">
        <v>3.7164114772083656</v>
      </c>
      <c r="AU233" s="632">
        <v>3.8086335800309574</v>
      </c>
      <c r="AV233" s="632">
        <v>3.9031441582554733</v>
      </c>
      <c r="AW233" s="632">
        <v>4</v>
      </c>
      <c r="AX233" s="632">
        <v>2.7300883019876268</v>
      </c>
      <c r="AY233" s="632">
        <v>2.7951996563651655</v>
      </c>
      <c r="AZ233" s="632">
        <v>2.861863886693929</v>
      </c>
      <c r="BA233" s="632">
        <v>2.9301180283534292</v>
      </c>
      <c r="BB233" s="632">
        <v>3</v>
      </c>
      <c r="BC233" s="632">
        <v>0</v>
      </c>
      <c r="BD233" s="632">
        <v>0</v>
      </c>
      <c r="BE233" s="632">
        <v>0</v>
      </c>
      <c r="BF233" s="632">
        <v>0</v>
      </c>
      <c r="BG233" s="632">
        <v>0</v>
      </c>
      <c r="BH233" s="634">
        <v>4.0416153350629171</v>
      </c>
      <c r="BI233" s="634">
        <v>4.0836636291539339</v>
      </c>
      <c r="BJ233" s="634">
        <v>4.126149386706806</v>
      </c>
      <c r="BK233" s="635">
        <v>4.2123652317751592</v>
      </c>
      <c r="BL233" s="635">
        <v>4.2985810768435133</v>
      </c>
      <c r="BM233" s="635">
        <v>4.3847969219118665</v>
      </c>
      <c r="BN233" s="635">
        <v>4.4710127669802198</v>
      </c>
      <c r="BO233" s="635">
        <v>4.5729573490349997</v>
      </c>
      <c r="BP233" s="635">
        <v>4.6749019310897797</v>
      </c>
      <c r="BQ233" s="635">
        <v>4.9575215781046342</v>
      </c>
      <c r="BR233" s="635">
        <v>5.2942435430153596</v>
      </c>
      <c r="BS233" s="635">
        <v>5.4420915284186631</v>
      </c>
      <c r="BT233" s="635">
        <v>5.5232831488642811</v>
      </c>
      <c r="BU233" s="635">
        <v>5.607364732557806</v>
      </c>
      <c r="BV233" s="635">
        <v>5.6934692905248676</v>
      </c>
      <c r="BW233" s="634">
        <v>3.0312115012971876</v>
      </c>
      <c r="BX233" s="634">
        <v>3.0627477218654504</v>
      </c>
      <c r="BY233" s="634">
        <v>3.0946120400301043</v>
      </c>
      <c r="BZ233" s="635">
        <v>3.1592739238313694</v>
      </c>
      <c r="CA233" s="635">
        <v>3.2239358076326345</v>
      </c>
      <c r="CB233" s="635">
        <v>3.2885976914338997</v>
      </c>
      <c r="CC233" s="635">
        <v>3.3532595752351648</v>
      </c>
      <c r="CD233" s="635">
        <v>3.4297180117762496</v>
      </c>
      <c r="CE233" s="635">
        <v>3.5061764483173343</v>
      </c>
      <c r="CF233" s="635">
        <v>3.7181411835784757</v>
      </c>
      <c r="CG233" s="635">
        <v>3.9706826572615195</v>
      </c>
      <c r="CH233" s="635">
        <v>4.0815686463139969</v>
      </c>
      <c r="CI233" s="635">
        <v>4.1424623616482101</v>
      </c>
      <c r="CJ233" s="635">
        <v>4.2055235494183538</v>
      </c>
      <c r="CK233" s="635">
        <v>4.2701019678936509</v>
      </c>
      <c r="CL233" s="634">
        <v>0</v>
      </c>
      <c r="CM233" s="634">
        <v>0</v>
      </c>
      <c r="CN233" s="634">
        <v>0</v>
      </c>
      <c r="CO233" s="635">
        <v>0</v>
      </c>
      <c r="CP233" s="635">
        <v>0</v>
      </c>
      <c r="CQ233" s="635">
        <v>0</v>
      </c>
      <c r="CR233" s="635">
        <v>0</v>
      </c>
      <c r="CS233" s="635">
        <v>0</v>
      </c>
      <c r="CT233" s="635">
        <v>0</v>
      </c>
      <c r="CU233" s="635">
        <v>0</v>
      </c>
      <c r="CV233" s="635">
        <v>0</v>
      </c>
      <c r="CW233" s="635">
        <v>0</v>
      </c>
      <c r="CX233" s="635">
        <v>0</v>
      </c>
      <c r="CY233" s="635">
        <v>0</v>
      </c>
      <c r="CZ233" s="635">
        <v>0</v>
      </c>
      <c r="DA233" s="636">
        <v>0</v>
      </c>
      <c r="DB233" s="636">
        <v>0</v>
      </c>
      <c r="DC233" s="636">
        <v>0</v>
      </c>
      <c r="DD233" s="637">
        <v>0</v>
      </c>
      <c r="DE233" s="637">
        <v>0</v>
      </c>
      <c r="DF233" s="637">
        <v>0</v>
      </c>
      <c r="DG233" s="637">
        <v>0</v>
      </c>
      <c r="DH233" s="637">
        <v>0</v>
      </c>
      <c r="DI233" s="637">
        <v>0</v>
      </c>
      <c r="DJ233" s="637">
        <v>0</v>
      </c>
      <c r="DK233" s="637">
        <v>0</v>
      </c>
      <c r="DL233" s="637">
        <v>0</v>
      </c>
      <c r="DM233" s="637">
        <v>0</v>
      </c>
      <c r="DN233" s="637">
        <v>0</v>
      </c>
      <c r="DO233" s="637">
        <v>0</v>
      </c>
      <c r="DP233" s="636">
        <v>0</v>
      </c>
      <c r="DQ233" s="636">
        <v>0</v>
      </c>
      <c r="DR233" s="636">
        <v>0</v>
      </c>
      <c r="DS233" s="637">
        <v>0</v>
      </c>
      <c r="DT233" s="637">
        <v>0</v>
      </c>
      <c r="DU233" s="637">
        <v>0</v>
      </c>
      <c r="DV233" s="637">
        <v>0</v>
      </c>
      <c r="DW233" s="637">
        <v>0</v>
      </c>
      <c r="DX233" s="637">
        <v>0</v>
      </c>
      <c r="DY233" s="637">
        <v>0</v>
      </c>
      <c r="DZ233" s="637">
        <v>0</v>
      </c>
      <c r="EA233" s="637">
        <v>0</v>
      </c>
      <c r="EB233" s="637">
        <v>0</v>
      </c>
      <c r="EC233" s="637">
        <v>0</v>
      </c>
      <c r="ED233" s="637">
        <v>0</v>
      </c>
    </row>
    <row r="234" spans="1:134" ht="15" x14ac:dyDescent="0.25">
      <c r="A234" s="555">
        <v>100</v>
      </c>
      <c r="B234" s="555">
        <v>95</v>
      </c>
      <c r="C234" s="555" t="s">
        <v>1217</v>
      </c>
      <c r="D234" s="812">
        <v>99709</v>
      </c>
      <c r="E234" s="812">
        <v>99709</v>
      </c>
      <c r="F234" s="630" t="s">
        <v>311</v>
      </c>
      <c r="G234" s="45">
        <v>81</v>
      </c>
      <c r="H234" s="45">
        <v>34</v>
      </c>
      <c r="I234" s="45">
        <v>31</v>
      </c>
      <c r="J234" s="45">
        <v>3</v>
      </c>
      <c r="K234" s="45">
        <v>0</v>
      </c>
      <c r="L234" s="45">
        <v>57</v>
      </c>
      <c r="M234" s="45">
        <v>57</v>
      </c>
      <c r="N234" s="45">
        <v>0</v>
      </c>
      <c r="O234" s="45">
        <v>0</v>
      </c>
      <c r="P234" s="45">
        <v>0</v>
      </c>
      <c r="Q234" s="45">
        <v>57</v>
      </c>
      <c r="R234" s="45">
        <v>0</v>
      </c>
      <c r="S234" s="45">
        <v>2789.1754385964914</v>
      </c>
      <c r="T234" s="45">
        <v>2789.1754385964914</v>
      </c>
      <c r="U234" s="45">
        <v>0</v>
      </c>
      <c r="V234" s="45">
        <v>0</v>
      </c>
      <c r="W234" s="45">
        <v>0</v>
      </c>
      <c r="X234" s="45">
        <v>2789.1754385964914</v>
      </c>
      <c r="Y234" s="45">
        <v>0</v>
      </c>
      <c r="Z234" s="45">
        <v>34</v>
      </c>
      <c r="AA234" s="45">
        <v>0</v>
      </c>
      <c r="AB234" s="508">
        <v>0</v>
      </c>
      <c r="AC234" s="508">
        <v>0</v>
      </c>
      <c r="AD234" s="631">
        <v>34</v>
      </c>
      <c r="AE234" s="632">
        <v>0</v>
      </c>
      <c r="AF234" s="632">
        <v>31</v>
      </c>
      <c r="AG234" s="633">
        <v>31</v>
      </c>
      <c r="AH234" s="632">
        <v>0</v>
      </c>
      <c r="AI234" s="632">
        <v>0</v>
      </c>
      <c r="AJ234" s="632">
        <v>32.373385430263134</v>
      </c>
      <c r="AK234" s="632">
        <v>32.373385430263134</v>
      </c>
      <c r="AL234" s="632">
        <v>0</v>
      </c>
      <c r="AM234" s="632">
        <v>0</v>
      </c>
      <c r="AN234" s="632">
        <v>29.572593495837264</v>
      </c>
      <c r="AO234" s="632">
        <v>29.572593495837264</v>
      </c>
      <c r="AP234" s="632">
        <v>0</v>
      </c>
      <c r="AQ234" s="632">
        <v>0</v>
      </c>
      <c r="AR234" s="632">
        <v>0</v>
      </c>
      <c r="AS234" s="632">
        <v>30.824590712246284</v>
      </c>
      <c r="AT234" s="632">
        <v>31.589497556271105</v>
      </c>
      <c r="AU234" s="632">
        <v>32.373385430263134</v>
      </c>
      <c r="AV234" s="632">
        <v>33.176725345171526</v>
      </c>
      <c r="AW234" s="632">
        <v>34</v>
      </c>
      <c r="AX234" s="632">
        <v>28.210912453872144</v>
      </c>
      <c r="AY234" s="632">
        <v>28.883729782440046</v>
      </c>
      <c r="AZ234" s="632">
        <v>29.572593495837264</v>
      </c>
      <c r="BA234" s="632">
        <v>30.277886292985432</v>
      </c>
      <c r="BB234" s="632">
        <v>31</v>
      </c>
      <c r="BC234" s="632">
        <v>0</v>
      </c>
      <c r="BD234" s="632">
        <v>0</v>
      </c>
      <c r="BE234" s="632">
        <v>0</v>
      </c>
      <c r="BF234" s="632">
        <v>0</v>
      </c>
      <c r="BG234" s="632">
        <v>0</v>
      </c>
      <c r="BH234" s="634">
        <v>34.353730348034794</v>
      </c>
      <c r="BI234" s="634">
        <v>34.711140847808437</v>
      </c>
      <c r="BJ234" s="634">
        <v>35.072269787007848</v>
      </c>
      <c r="BK234" s="635">
        <v>35.80510447008885</v>
      </c>
      <c r="BL234" s="635">
        <v>36.537939153169859</v>
      </c>
      <c r="BM234" s="635">
        <v>37.270773836250861</v>
      </c>
      <c r="BN234" s="635">
        <v>38.00360851933187</v>
      </c>
      <c r="BO234" s="635">
        <v>38.870137466797495</v>
      </c>
      <c r="BP234" s="635">
        <v>39.736666414263127</v>
      </c>
      <c r="BQ234" s="635">
        <v>42.13893341388939</v>
      </c>
      <c r="BR234" s="635">
        <v>45.001070115630554</v>
      </c>
      <c r="BS234" s="635">
        <v>46.257777991558626</v>
      </c>
      <c r="BT234" s="635">
        <v>46.947906765346382</v>
      </c>
      <c r="BU234" s="635">
        <v>47.662600226741347</v>
      </c>
      <c r="BV234" s="635">
        <v>48.394488969461371</v>
      </c>
      <c r="BW234" s="634">
        <v>31.322518846737609</v>
      </c>
      <c r="BX234" s="634">
        <v>31.648393125942988</v>
      </c>
      <c r="BY234" s="634">
        <v>31.977657746977748</v>
      </c>
      <c r="BZ234" s="635">
        <v>32.645830546257486</v>
      </c>
      <c r="CA234" s="635">
        <v>33.31400334553723</v>
      </c>
      <c r="CB234" s="635">
        <v>33.982176144816968</v>
      </c>
      <c r="CC234" s="635">
        <v>34.650348944096706</v>
      </c>
      <c r="CD234" s="635">
        <v>35.440419455021249</v>
      </c>
      <c r="CE234" s="635">
        <v>36.230489965945793</v>
      </c>
      <c r="CF234" s="635">
        <v>38.420792230310923</v>
      </c>
      <c r="CG234" s="635">
        <v>41.030387458369042</v>
      </c>
      <c r="CH234" s="635">
        <v>42.176209345244636</v>
      </c>
      <c r="CI234" s="635">
        <v>42.805444403698182</v>
      </c>
      <c r="CJ234" s="635">
        <v>43.457076677322995</v>
      </c>
      <c r="CK234" s="635">
        <v>44.124387001567726</v>
      </c>
      <c r="CL234" s="634">
        <v>0</v>
      </c>
      <c r="CM234" s="634">
        <v>0</v>
      </c>
      <c r="CN234" s="634">
        <v>0</v>
      </c>
      <c r="CO234" s="635">
        <v>0</v>
      </c>
      <c r="CP234" s="635">
        <v>0</v>
      </c>
      <c r="CQ234" s="635">
        <v>0</v>
      </c>
      <c r="CR234" s="635">
        <v>0</v>
      </c>
      <c r="CS234" s="635">
        <v>0</v>
      </c>
      <c r="CT234" s="635">
        <v>0</v>
      </c>
      <c r="CU234" s="635">
        <v>0</v>
      </c>
      <c r="CV234" s="635">
        <v>0</v>
      </c>
      <c r="CW234" s="635">
        <v>0</v>
      </c>
      <c r="CX234" s="635">
        <v>0</v>
      </c>
      <c r="CY234" s="635">
        <v>0</v>
      </c>
      <c r="CZ234" s="635">
        <v>0</v>
      </c>
      <c r="DA234" s="636">
        <v>0</v>
      </c>
      <c r="DB234" s="636">
        <v>0</v>
      </c>
      <c r="DC234" s="636">
        <v>0</v>
      </c>
      <c r="DD234" s="637">
        <v>0</v>
      </c>
      <c r="DE234" s="637">
        <v>0</v>
      </c>
      <c r="DF234" s="637">
        <v>0</v>
      </c>
      <c r="DG234" s="637">
        <v>0</v>
      </c>
      <c r="DH234" s="637">
        <v>0</v>
      </c>
      <c r="DI234" s="637">
        <v>0</v>
      </c>
      <c r="DJ234" s="637">
        <v>0</v>
      </c>
      <c r="DK234" s="637">
        <v>0</v>
      </c>
      <c r="DL234" s="637">
        <v>0</v>
      </c>
      <c r="DM234" s="637">
        <v>0</v>
      </c>
      <c r="DN234" s="637">
        <v>0</v>
      </c>
      <c r="DO234" s="637">
        <v>0</v>
      </c>
      <c r="DP234" s="636">
        <v>0</v>
      </c>
      <c r="DQ234" s="636">
        <v>0</v>
      </c>
      <c r="DR234" s="636">
        <v>0</v>
      </c>
      <c r="DS234" s="637">
        <v>0</v>
      </c>
      <c r="DT234" s="637">
        <v>0</v>
      </c>
      <c r="DU234" s="637">
        <v>0</v>
      </c>
      <c r="DV234" s="637">
        <v>0</v>
      </c>
      <c r="DW234" s="637">
        <v>0</v>
      </c>
      <c r="DX234" s="637">
        <v>0</v>
      </c>
      <c r="DY234" s="637">
        <v>0</v>
      </c>
      <c r="DZ234" s="637">
        <v>0</v>
      </c>
      <c r="EA234" s="637">
        <v>0</v>
      </c>
      <c r="EB234" s="637">
        <v>0</v>
      </c>
      <c r="EC234" s="637">
        <v>0</v>
      </c>
      <c r="ED234" s="637">
        <v>0</v>
      </c>
    </row>
    <row r="235" spans="1:134" ht="15" x14ac:dyDescent="0.25">
      <c r="A235" s="555">
        <v>101</v>
      </c>
      <c r="B235" s="555">
        <v>95</v>
      </c>
      <c r="C235" s="555" t="s">
        <v>1218</v>
      </c>
      <c r="D235" s="812">
        <v>99709</v>
      </c>
      <c r="E235" s="812">
        <v>99709</v>
      </c>
      <c r="F235" s="630" t="s">
        <v>311</v>
      </c>
      <c r="G235" s="45">
        <v>305</v>
      </c>
      <c r="H235" s="45">
        <v>100</v>
      </c>
      <c r="I235" s="45">
        <v>90</v>
      </c>
      <c r="J235" s="45">
        <v>10</v>
      </c>
      <c r="K235" s="45">
        <v>0</v>
      </c>
      <c r="L235" s="45">
        <v>34</v>
      </c>
      <c r="M235" s="45">
        <v>34</v>
      </c>
      <c r="N235" s="45">
        <v>1</v>
      </c>
      <c r="O235" s="45">
        <v>0</v>
      </c>
      <c r="P235" s="45">
        <v>0</v>
      </c>
      <c r="Q235" s="45">
        <v>35</v>
      </c>
      <c r="R235" s="45">
        <v>0</v>
      </c>
      <c r="S235" s="45">
        <v>1872.6764705882354</v>
      </c>
      <c r="T235" s="45">
        <v>1872.6764705882354</v>
      </c>
      <c r="U235" s="45">
        <v>968</v>
      </c>
      <c r="V235" s="45">
        <v>0</v>
      </c>
      <c r="W235" s="45">
        <v>0</v>
      </c>
      <c r="X235" s="45">
        <v>1846.8285714285714</v>
      </c>
      <c r="Y235" s="45">
        <v>0</v>
      </c>
      <c r="Z235" s="45">
        <v>100</v>
      </c>
      <c r="AA235" s="45">
        <v>0</v>
      </c>
      <c r="AB235" s="508">
        <v>1</v>
      </c>
      <c r="AC235" s="508">
        <v>0</v>
      </c>
      <c r="AD235" s="631">
        <v>101</v>
      </c>
      <c r="AE235" s="632">
        <v>0</v>
      </c>
      <c r="AF235" s="632">
        <v>90</v>
      </c>
      <c r="AG235" s="633">
        <v>90</v>
      </c>
      <c r="AH235" s="632">
        <v>0</v>
      </c>
      <c r="AI235" s="632">
        <v>0</v>
      </c>
      <c r="AJ235" s="632">
        <v>95.215839500773939</v>
      </c>
      <c r="AK235" s="632">
        <v>95.215839500773939</v>
      </c>
      <c r="AL235" s="632">
        <v>0</v>
      </c>
      <c r="AM235" s="632">
        <v>0</v>
      </c>
      <c r="AN235" s="632">
        <v>85.855916600817864</v>
      </c>
      <c r="AO235" s="632">
        <v>85.855916600817864</v>
      </c>
      <c r="AP235" s="632">
        <v>0</v>
      </c>
      <c r="AQ235" s="632">
        <v>0.95966573850124082</v>
      </c>
      <c r="AR235" s="632">
        <v>0</v>
      </c>
      <c r="AS235" s="632">
        <v>90.660560918371417</v>
      </c>
      <c r="AT235" s="632">
        <v>92.910286930209139</v>
      </c>
      <c r="AU235" s="632">
        <v>95.215839500773939</v>
      </c>
      <c r="AV235" s="632">
        <v>97.578603956386843</v>
      </c>
      <c r="AW235" s="632">
        <v>100</v>
      </c>
      <c r="AX235" s="632">
        <v>81.902649059628814</v>
      </c>
      <c r="AY235" s="632">
        <v>83.855989690954971</v>
      </c>
      <c r="AZ235" s="632">
        <v>85.855916600817864</v>
      </c>
      <c r="BA235" s="632">
        <v>87.903540850602866</v>
      </c>
      <c r="BB235" s="632">
        <v>90</v>
      </c>
      <c r="BC235" s="632">
        <v>0.92095832965313207</v>
      </c>
      <c r="BD235" s="632">
        <v>0.94011284192667122</v>
      </c>
      <c r="BE235" s="632">
        <v>0.95966573850124082</v>
      </c>
      <c r="BF235" s="632">
        <v>0.97962530515561963</v>
      </c>
      <c r="BG235" s="632">
        <v>1</v>
      </c>
      <c r="BH235" s="634">
        <v>101.04038337657293</v>
      </c>
      <c r="BI235" s="634">
        <v>102.09159072884835</v>
      </c>
      <c r="BJ235" s="634">
        <v>103.15373466767015</v>
      </c>
      <c r="BK235" s="635">
        <v>105.30913079437899</v>
      </c>
      <c r="BL235" s="635">
        <v>107.46452692108782</v>
      </c>
      <c r="BM235" s="635">
        <v>109.61992304779666</v>
      </c>
      <c r="BN235" s="635">
        <v>111.7753191745055</v>
      </c>
      <c r="BO235" s="635">
        <v>114.32393372587499</v>
      </c>
      <c r="BP235" s="635">
        <v>116.87254827724449</v>
      </c>
      <c r="BQ235" s="635">
        <v>123.93803945261587</v>
      </c>
      <c r="BR235" s="635">
        <v>132.35608857538401</v>
      </c>
      <c r="BS235" s="635">
        <v>136.05228821046657</v>
      </c>
      <c r="BT235" s="635">
        <v>138.08207872160702</v>
      </c>
      <c r="BU235" s="635">
        <v>140.18411831394513</v>
      </c>
      <c r="BV235" s="635">
        <v>142.33673226312169</v>
      </c>
      <c r="BW235" s="634">
        <v>90.936345038915633</v>
      </c>
      <c r="BX235" s="634">
        <v>91.882431655963515</v>
      </c>
      <c r="BY235" s="634">
        <v>92.838361200903137</v>
      </c>
      <c r="BZ235" s="635">
        <v>94.778217714941093</v>
      </c>
      <c r="CA235" s="635">
        <v>96.718074228979049</v>
      </c>
      <c r="CB235" s="635">
        <v>98.657930743017005</v>
      </c>
      <c r="CC235" s="635">
        <v>100.59778725705496</v>
      </c>
      <c r="CD235" s="635">
        <v>102.8915403532875</v>
      </c>
      <c r="CE235" s="635">
        <v>105.18529344952005</v>
      </c>
      <c r="CF235" s="635">
        <v>111.54423550735427</v>
      </c>
      <c r="CG235" s="635">
        <v>119.1204797178456</v>
      </c>
      <c r="CH235" s="635">
        <v>122.44705938941992</v>
      </c>
      <c r="CI235" s="635">
        <v>124.27387084944633</v>
      </c>
      <c r="CJ235" s="635">
        <v>126.16570648255063</v>
      </c>
      <c r="CK235" s="635">
        <v>128.10305903680953</v>
      </c>
      <c r="CL235" s="634">
        <v>1.0104038337657293</v>
      </c>
      <c r="CM235" s="634">
        <v>1.0209159072884835</v>
      </c>
      <c r="CN235" s="634">
        <v>1.0315373466767015</v>
      </c>
      <c r="CO235" s="635">
        <v>1.0530913079437898</v>
      </c>
      <c r="CP235" s="635">
        <v>1.0746452692108783</v>
      </c>
      <c r="CQ235" s="635">
        <v>1.0961992304779666</v>
      </c>
      <c r="CR235" s="635">
        <v>1.1177531917450549</v>
      </c>
      <c r="CS235" s="635">
        <v>1.1432393372587499</v>
      </c>
      <c r="CT235" s="635">
        <v>1.1687254827724449</v>
      </c>
      <c r="CU235" s="635">
        <v>1.2393803945261586</v>
      </c>
      <c r="CV235" s="635">
        <v>1.3235608857538399</v>
      </c>
      <c r="CW235" s="635">
        <v>1.3605228821046658</v>
      </c>
      <c r="CX235" s="635">
        <v>1.3808207872160703</v>
      </c>
      <c r="CY235" s="635">
        <v>1.4018411831394515</v>
      </c>
      <c r="CZ235" s="635">
        <v>1.4233673226312169</v>
      </c>
      <c r="DA235" s="636">
        <v>0</v>
      </c>
      <c r="DB235" s="636">
        <v>0</v>
      </c>
      <c r="DC235" s="636">
        <v>0</v>
      </c>
      <c r="DD235" s="637">
        <v>0</v>
      </c>
      <c r="DE235" s="637">
        <v>0</v>
      </c>
      <c r="DF235" s="637">
        <v>0</v>
      </c>
      <c r="DG235" s="637">
        <v>0</v>
      </c>
      <c r="DH235" s="637">
        <v>0</v>
      </c>
      <c r="DI235" s="637">
        <v>0</v>
      </c>
      <c r="DJ235" s="637">
        <v>0</v>
      </c>
      <c r="DK235" s="637">
        <v>0</v>
      </c>
      <c r="DL235" s="637">
        <v>0</v>
      </c>
      <c r="DM235" s="637">
        <v>0</v>
      </c>
      <c r="DN235" s="637">
        <v>0</v>
      </c>
      <c r="DO235" s="637">
        <v>0</v>
      </c>
      <c r="DP235" s="636">
        <v>0</v>
      </c>
      <c r="DQ235" s="636">
        <v>0</v>
      </c>
      <c r="DR235" s="636">
        <v>0</v>
      </c>
      <c r="DS235" s="637">
        <v>0</v>
      </c>
      <c r="DT235" s="637">
        <v>0</v>
      </c>
      <c r="DU235" s="637">
        <v>0</v>
      </c>
      <c r="DV235" s="637">
        <v>0</v>
      </c>
      <c r="DW235" s="637">
        <v>0</v>
      </c>
      <c r="DX235" s="637">
        <v>0</v>
      </c>
      <c r="DY235" s="637">
        <v>0</v>
      </c>
      <c r="DZ235" s="637">
        <v>0</v>
      </c>
      <c r="EA235" s="637">
        <v>0</v>
      </c>
      <c r="EB235" s="637">
        <v>0</v>
      </c>
      <c r="EC235" s="637">
        <v>0</v>
      </c>
      <c r="ED235" s="637">
        <v>0</v>
      </c>
    </row>
    <row r="236" spans="1:134" ht="15" x14ac:dyDescent="0.25">
      <c r="A236" s="555">
        <v>102</v>
      </c>
      <c r="B236" s="555">
        <v>95</v>
      </c>
      <c r="C236" s="555" t="s">
        <v>1219</v>
      </c>
      <c r="D236" s="812">
        <v>99709</v>
      </c>
      <c r="E236" s="812">
        <v>99709</v>
      </c>
      <c r="F236" s="630" t="s">
        <v>311</v>
      </c>
      <c r="G236" s="45">
        <v>70</v>
      </c>
      <c r="H236" s="45">
        <v>46</v>
      </c>
      <c r="I236" s="45">
        <v>35</v>
      </c>
      <c r="J236" s="45">
        <v>11</v>
      </c>
      <c r="K236" s="45">
        <v>1</v>
      </c>
      <c r="L236" s="45">
        <v>47</v>
      </c>
      <c r="M236" s="45">
        <v>48</v>
      </c>
      <c r="N236" s="45">
        <v>10</v>
      </c>
      <c r="O236" s="45">
        <v>0</v>
      </c>
      <c r="P236" s="45">
        <v>0</v>
      </c>
      <c r="Q236" s="45">
        <v>58</v>
      </c>
      <c r="R236" s="45">
        <v>7504</v>
      </c>
      <c r="S236" s="45">
        <v>2140.7021276595747</v>
      </c>
      <c r="T236" s="45">
        <v>2252.4375000000005</v>
      </c>
      <c r="U236" s="45">
        <v>5436.4</v>
      </c>
      <c r="V236" s="45">
        <v>0</v>
      </c>
      <c r="W236" s="45">
        <v>0</v>
      </c>
      <c r="X236" s="45">
        <v>2801.3965517241381</v>
      </c>
      <c r="Y236" s="45">
        <v>0.95833333333333337</v>
      </c>
      <c r="Z236" s="45">
        <v>45.041666666666664</v>
      </c>
      <c r="AA236" s="45">
        <v>0</v>
      </c>
      <c r="AB236" s="508">
        <v>10</v>
      </c>
      <c r="AC236" s="508">
        <v>0</v>
      </c>
      <c r="AD236" s="631">
        <v>56</v>
      </c>
      <c r="AE236" s="632">
        <v>0.72916666666666674</v>
      </c>
      <c r="AF236" s="632">
        <v>34.270833333333329</v>
      </c>
      <c r="AG236" s="633">
        <v>34.999999999999993</v>
      </c>
      <c r="AH236" s="632">
        <v>0</v>
      </c>
      <c r="AI236" s="632">
        <v>0.91248512854908359</v>
      </c>
      <c r="AJ236" s="632">
        <v>42.886801041806926</v>
      </c>
      <c r="AK236" s="632">
        <v>43.799286170356012</v>
      </c>
      <c r="AL236" s="632">
        <v>0</v>
      </c>
      <c r="AM236" s="632">
        <v>0.69559191690477451</v>
      </c>
      <c r="AN236" s="632">
        <v>32.692820094524393</v>
      </c>
      <c r="AO236" s="632">
        <v>33.388412011429168</v>
      </c>
      <c r="AP236" s="632">
        <v>0</v>
      </c>
      <c r="AQ236" s="632">
        <v>9.5966573850124082</v>
      </c>
      <c r="AR236" s="632">
        <v>0</v>
      </c>
      <c r="AS236" s="632">
        <v>41.703858022450852</v>
      </c>
      <c r="AT236" s="632">
        <v>42.738731987896202</v>
      </c>
      <c r="AU236" s="632">
        <v>43.799286170356012</v>
      </c>
      <c r="AV236" s="632">
        <v>44.886157819937942</v>
      </c>
      <c r="AW236" s="632">
        <v>46</v>
      </c>
      <c r="AX236" s="632">
        <v>31.851030189855642</v>
      </c>
      <c r="AY236" s="632">
        <v>32.610662657593593</v>
      </c>
      <c r="AZ236" s="632">
        <v>33.388412011429168</v>
      </c>
      <c r="BA236" s="632">
        <v>34.184710330789997</v>
      </c>
      <c r="BB236" s="632">
        <v>34.999999999999993</v>
      </c>
      <c r="BC236" s="632">
        <v>9.2095832965313207</v>
      </c>
      <c r="BD236" s="632">
        <v>9.4011284192667119</v>
      </c>
      <c r="BE236" s="632">
        <v>9.5966573850124082</v>
      </c>
      <c r="BF236" s="632">
        <v>9.7962530515561959</v>
      </c>
      <c r="BG236" s="632">
        <v>10</v>
      </c>
      <c r="BH236" s="634">
        <v>46.478576353223545</v>
      </c>
      <c r="BI236" s="634">
        <v>46.962131735270241</v>
      </c>
      <c r="BJ236" s="634">
        <v>47.450717947128268</v>
      </c>
      <c r="BK236" s="635">
        <v>47.703974301601214</v>
      </c>
      <c r="BL236" s="635">
        <v>47.957230656074167</v>
      </c>
      <c r="BM236" s="635">
        <v>48.210487010547105</v>
      </c>
      <c r="BN236" s="635">
        <v>48.463743365020051</v>
      </c>
      <c r="BO236" s="635">
        <v>48.763202393566282</v>
      </c>
      <c r="BP236" s="635">
        <v>49.062661422112512</v>
      </c>
      <c r="BQ236" s="635">
        <v>49.892847815908993</v>
      </c>
      <c r="BR236" s="635">
        <v>50.881958080230447</v>
      </c>
      <c r="BS236" s="635">
        <v>51.3162569236707</v>
      </c>
      <c r="BT236" s="635">
        <v>51.554754775098196</v>
      </c>
      <c r="BU236" s="635">
        <v>51.801741803383443</v>
      </c>
      <c r="BV236" s="635">
        <v>52.054671255469124</v>
      </c>
      <c r="BW236" s="634">
        <v>35.364134181800516</v>
      </c>
      <c r="BX236" s="634">
        <v>35.732056755096913</v>
      </c>
      <c r="BY236" s="634">
        <v>36.103807133684548</v>
      </c>
      <c r="BZ236" s="635">
        <v>36.296502186000922</v>
      </c>
      <c r="CA236" s="635">
        <v>36.489197238317296</v>
      </c>
      <c r="CB236" s="635">
        <v>36.681892290633662</v>
      </c>
      <c r="CC236" s="635">
        <v>36.874587342950036</v>
      </c>
      <c r="CD236" s="635">
        <v>37.102436603800427</v>
      </c>
      <c r="CE236" s="635">
        <v>37.330285864650826</v>
      </c>
      <c r="CF236" s="635">
        <v>37.961949425148141</v>
      </c>
      <c r="CG236" s="635">
        <v>38.714533321914466</v>
      </c>
      <c r="CH236" s="635">
        <v>39.044978094097267</v>
      </c>
      <c r="CI236" s="635">
        <v>39.226443850618189</v>
      </c>
      <c r="CJ236" s="635">
        <v>39.414368763443917</v>
      </c>
      <c r="CK236" s="635">
        <v>39.606815085683024</v>
      </c>
      <c r="CL236" s="634">
        <v>10.104038337657293</v>
      </c>
      <c r="CM236" s="634">
        <v>10.209159072884834</v>
      </c>
      <c r="CN236" s="634">
        <v>10.315373466767015</v>
      </c>
      <c r="CO236" s="635">
        <v>10.370429196000265</v>
      </c>
      <c r="CP236" s="635">
        <v>10.425484925233516</v>
      </c>
      <c r="CQ236" s="635">
        <v>10.480540654466761</v>
      </c>
      <c r="CR236" s="635">
        <v>10.535596383700012</v>
      </c>
      <c r="CS236" s="635">
        <v>10.600696172514411</v>
      </c>
      <c r="CT236" s="635">
        <v>10.665795961328808</v>
      </c>
      <c r="CU236" s="635">
        <v>10.846271264328042</v>
      </c>
      <c r="CV236" s="635">
        <v>11.061295234832706</v>
      </c>
      <c r="CW236" s="635">
        <v>11.155708026884934</v>
      </c>
      <c r="CX236" s="635">
        <v>11.207555385890913</v>
      </c>
      <c r="CY236" s="635">
        <v>11.261248218126836</v>
      </c>
      <c r="CZ236" s="635">
        <v>11.316232881623723</v>
      </c>
      <c r="DA236" s="636">
        <v>0</v>
      </c>
      <c r="DB236" s="636">
        <v>0</v>
      </c>
      <c r="DC236" s="636">
        <v>0</v>
      </c>
      <c r="DD236" s="637">
        <v>0</v>
      </c>
      <c r="DE236" s="637">
        <v>0</v>
      </c>
      <c r="DF236" s="637">
        <v>0</v>
      </c>
      <c r="DG236" s="637">
        <v>0</v>
      </c>
      <c r="DH236" s="637">
        <v>0</v>
      </c>
      <c r="DI236" s="637">
        <v>0</v>
      </c>
      <c r="DJ236" s="637">
        <v>0</v>
      </c>
      <c r="DK236" s="637">
        <v>0</v>
      </c>
      <c r="DL236" s="637">
        <v>0</v>
      </c>
      <c r="DM236" s="637">
        <v>0</v>
      </c>
      <c r="DN236" s="637">
        <v>0</v>
      </c>
      <c r="DO236" s="637">
        <v>0</v>
      </c>
      <c r="DP236" s="636">
        <v>0</v>
      </c>
      <c r="DQ236" s="636">
        <v>0</v>
      </c>
      <c r="DR236" s="636">
        <v>0</v>
      </c>
      <c r="DS236" s="637">
        <v>0</v>
      </c>
      <c r="DT236" s="637">
        <v>0</v>
      </c>
      <c r="DU236" s="637">
        <v>0</v>
      </c>
      <c r="DV236" s="637">
        <v>0</v>
      </c>
      <c r="DW236" s="637">
        <v>0</v>
      </c>
      <c r="DX236" s="637">
        <v>0</v>
      </c>
      <c r="DY236" s="637">
        <v>0</v>
      </c>
      <c r="DZ236" s="637">
        <v>0</v>
      </c>
      <c r="EA236" s="637">
        <v>0</v>
      </c>
      <c r="EB236" s="637">
        <v>0</v>
      </c>
      <c r="EC236" s="637">
        <v>0</v>
      </c>
      <c r="ED236" s="637">
        <v>0</v>
      </c>
    </row>
    <row r="237" spans="1:134" ht="15" x14ac:dyDescent="0.25">
      <c r="A237" s="555">
        <v>103</v>
      </c>
      <c r="B237" s="555">
        <v>95</v>
      </c>
      <c r="C237" s="555" t="s">
        <v>1220</v>
      </c>
      <c r="D237" s="812">
        <v>99709</v>
      </c>
      <c r="E237" s="812">
        <v>99709</v>
      </c>
      <c r="F237" s="630" t="s">
        <v>311</v>
      </c>
      <c r="G237" s="45">
        <v>451</v>
      </c>
      <c r="H237" s="45">
        <v>244</v>
      </c>
      <c r="I237" s="45">
        <v>213</v>
      </c>
      <c r="J237" s="45">
        <v>31</v>
      </c>
      <c r="K237" s="45">
        <v>8</v>
      </c>
      <c r="L237" s="45">
        <v>73</v>
      </c>
      <c r="M237" s="45">
        <v>81</v>
      </c>
      <c r="N237" s="45">
        <v>3</v>
      </c>
      <c r="O237" s="45">
        <v>0</v>
      </c>
      <c r="P237" s="45">
        <v>0</v>
      </c>
      <c r="Q237" s="45">
        <v>84</v>
      </c>
      <c r="R237" s="45">
        <v>3671.125</v>
      </c>
      <c r="S237" s="45">
        <v>1580.3424657534247</v>
      </c>
      <c r="T237" s="45">
        <v>1786.8395061728395</v>
      </c>
      <c r="U237" s="45">
        <v>5404.333333333333</v>
      </c>
      <c r="V237" s="45">
        <v>0</v>
      </c>
      <c r="W237" s="45">
        <v>0</v>
      </c>
      <c r="X237" s="45">
        <v>1916.0357142857142</v>
      </c>
      <c r="Y237" s="45">
        <v>24.098765432098766</v>
      </c>
      <c r="Z237" s="45">
        <v>219.90123456790124</v>
      </c>
      <c r="AA237" s="45">
        <v>0</v>
      </c>
      <c r="AB237" s="508">
        <v>3</v>
      </c>
      <c r="AC237" s="508">
        <v>0</v>
      </c>
      <c r="AD237" s="631">
        <v>247</v>
      </c>
      <c r="AE237" s="632">
        <v>21.037037037037038</v>
      </c>
      <c r="AF237" s="632">
        <v>191.96296296296296</v>
      </c>
      <c r="AG237" s="633">
        <v>213</v>
      </c>
      <c r="AH237" s="632">
        <v>0</v>
      </c>
      <c r="AI237" s="632">
        <v>22.94584181549515</v>
      </c>
      <c r="AJ237" s="632">
        <v>209.38080656639326</v>
      </c>
      <c r="AK237" s="632">
        <v>232.32664838188842</v>
      </c>
      <c r="AL237" s="632">
        <v>0</v>
      </c>
      <c r="AM237" s="632">
        <v>20.068378859779649</v>
      </c>
      <c r="AN237" s="632">
        <v>183.12395709548932</v>
      </c>
      <c r="AO237" s="632">
        <v>203.19233595526896</v>
      </c>
      <c r="AP237" s="632">
        <v>0</v>
      </c>
      <c r="AQ237" s="632">
        <v>2.8789972155037225</v>
      </c>
      <c r="AR237" s="632">
        <v>0</v>
      </c>
      <c r="AS237" s="632">
        <v>221.21176864082625</v>
      </c>
      <c r="AT237" s="632">
        <v>226.7011001097103</v>
      </c>
      <c r="AU237" s="632">
        <v>232.32664838188839</v>
      </c>
      <c r="AV237" s="632">
        <v>238.09179365358389</v>
      </c>
      <c r="AW237" s="632">
        <v>244</v>
      </c>
      <c r="AX237" s="632">
        <v>193.83626944112152</v>
      </c>
      <c r="AY237" s="632">
        <v>198.45917560192677</v>
      </c>
      <c r="AZ237" s="632">
        <v>203.19233595526896</v>
      </c>
      <c r="BA237" s="632">
        <v>208.03838001309347</v>
      </c>
      <c r="BB237" s="632">
        <v>213</v>
      </c>
      <c r="BC237" s="632">
        <v>2.7628749889593962</v>
      </c>
      <c r="BD237" s="632">
        <v>2.8203385257800138</v>
      </c>
      <c r="BE237" s="632">
        <v>2.8789972155037225</v>
      </c>
      <c r="BF237" s="632">
        <v>2.9388759154668591</v>
      </c>
      <c r="BG237" s="632">
        <v>3</v>
      </c>
      <c r="BH237" s="634">
        <v>246.27977110782217</v>
      </c>
      <c r="BI237" s="634">
        <v>248.58084285623477</v>
      </c>
      <c r="BJ237" s="634">
        <v>250.90341426402873</v>
      </c>
      <c r="BK237" s="635">
        <v>252.18611528689144</v>
      </c>
      <c r="BL237" s="635">
        <v>253.46881630975417</v>
      </c>
      <c r="BM237" s="635">
        <v>254.75151733261688</v>
      </c>
      <c r="BN237" s="635">
        <v>256.0342183554796</v>
      </c>
      <c r="BO237" s="635">
        <v>257.55092818501623</v>
      </c>
      <c r="BP237" s="635">
        <v>259.06763801455281</v>
      </c>
      <c r="BQ237" s="635">
        <v>263.27239306879665</v>
      </c>
      <c r="BR237" s="635">
        <v>268.28207091245639</v>
      </c>
      <c r="BS237" s="635">
        <v>270.48172182296651</v>
      </c>
      <c r="BT237" s="635">
        <v>271.68967349949315</v>
      </c>
      <c r="BU237" s="635">
        <v>272.94062143513185</v>
      </c>
      <c r="BV237" s="635">
        <v>274.22166675214908</v>
      </c>
      <c r="BW237" s="634">
        <v>214.99012805723819</v>
      </c>
      <c r="BX237" s="634">
        <v>216.99885052613936</v>
      </c>
      <c r="BY237" s="634">
        <v>219.02634114032014</v>
      </c>
      <c r="BZ237" s="635">
        <v>220.14607604962245</v>
      </c>
      <c r="CA237" s="635">
        <v>221.26581095892473</v>
      </c>
      <c r="CB237" s="635">
        <v>222.38554586822704</v>
      </c>
      <c r="CC237" s="635">
        <v>223.50528077752932</v>
      </c>
      <c r="CD237" s="635">
        <v>224.82929386642809</v>
      </c>
      <c r="CE237" s="635">
        <v>226.15330695532683</v>
      </c>
      <c r="CF237" s="635">
        <v>229.82385132644953</v>
      </c>
      <c r="CG237" s="635">
        <v>234.19705370636558</v>
      </c>
      <c r="CH237" s="635">
        <v>236.11724077168799</v>
      </c>
      <c r="CI237" s="635">
        <v>237.17172317783621</v>
      </c>
      <c r="CJ237" s="635">
        <v>238.26373920361917</v>
      </c>
      <c r="CK237" s="635">
        <v>239.38202876314648</v>
      </c>
      <c r="CL237" s="634">
        <v>3.0280299726371576</v>
      </c>
      <c r="CM237" s="634">
        <v>3.0563218383963289</v>
      </c>
      <c r="CN237" s="634">
        <v>3.0848780442298613</v>
      </c>
      <c r="CO237" s="635">
        <v>3.1006489584453867</v>
      </c>
      <c r="CP237" s="635">
        <v>3.116419872660912</v>
      </c>
      <c r="CQ237" s="635">
        <v>3.1321907868764374</v>
      </c>
      <c r="CR237" s="635">
        <v>3.1479617010919627</v>
      </c>
      <c r="CS237" s="635">
        <v>3.1666097727665927</v>
      </c>
      <c r="CT237" s="635">
        <v>3.1852578444412232</v>
      </c>
      <c r="CU237" s="635">
        <v>3.2369556524852046</v>
      </c>
      <c r="CV237" s="635">
        <v>3.2985500522023323</v>
      </c>
      <c r="CW237" s="635">
        <v>3.3255949404463099</v>
      </c>
      <c r="CX237" s="635">
        <v>3.340446805321637</v>
      </c>
      <c r="CY237" s="635">
        <v>3.3558273127270306</v>
      </c>
      <c r="CZ237" s="635">
        <v>3.3715778699034717</v>
      </c>
      <c r="DA237" s="636">
        <v>0</v>
      </c>
      <c r="DB237" s="636">
        <v>0</v>
      </c>
      <c r="DC237" s="636">
        <v>0</v>
      </c>
      <c r="DD237" s="637">
        <v>0</v>
      </c>
      <c r="DE237" s="637">
        <v>0</v>
      </c>
      <c r="DF237" s="637">
        <v>0</v>
      </c>
      <c r="DG237" s="637">
        <v>0</v>
      </c>
      <c r="DH237" s="637">
        <v>0</v>
      </c>
      <c r="DI237" s="637">
        <v>0</v>
      </c>
      <c r="DJ237" s="637">
        <v>0</v>
      </c>
      <c r="DK237" s="637">
        <v>0</v>
      </c>
      <c r="DL237" s="637">
        <v>0</v>
      </c>
      <c r="DM237" s="637">
        <v>0</v>
      </c>
      <c r="DN237" s="637">
        <v>0</v>
      </c>
      <c r="DO237" s="637">
        <v>0</v>
      </c>
      <c r="DP237" s="636">
        <v>0</v>
      </c>
      <c r="DQ237" s="636">
        <v>0</v>
      </c>
      <c r="DR237" s="636">
        <v>0</v>
      </c>
      <c r="DS237" s="637">
        <v>0</v>
      </c>
      <c r="DT237" s="637">
        <v>0</v>
      </c>
      <c r="DU237" s="637">
        <v>0</v>
      </c>
      <c r="DV237" s="637">
        <v>0</v>
      </c>
      <c r="DW237" s="637">
        <v>0</v>
      </c>
      <c r="DX237" s="637">
        <v>0</v>
      </c>
      <c r="DY237" s="637">
        <v>0</v>
      </c>
      <c r="DZ237" s="637">
        <v>0</v>
      </c>
      <c r="EA237" s="637">
        <v>0</v>
      </c>
      <c r="EB237" s="637">
        <v>0</v>
      </c>
      <c r="EC237" s="637">
        <v>0</v>
      </c>
      <c r="ED237" s="637">
        <v>0</v>
      </c>
    </row>
    <row r="238" spans="1:134" ht="15" x14ac:dyDescent="0.25">
      <c r="A238" s="555">
        <v>105</v>
      </c>
      <c r="B238" s="555">
        <v>95</v>
      </c>
      <c r="C238" s="555" t="s">
        <v>1221</v>
      </c>
      <c r="D238" s="812">
        <v>99709</v>
      </c>
      <c r="E238" s="812">
        <v>99709</v>
      </c>
      <c r="F238" s="630" t="s">
        <v>311</v>
      </c>
      <c r="G238" s="45">
        <v>216</v>
      </c>
      <c r="H238" s="45">
        <v>2</v>
      </c>
      <c r="I238" s="45">
        <v>2</v>
      </c>
      <c r="J238" s="45">
        <v>0</v>
      </c>
      <c r="K238" s="45">
        <v>0</v>
      </c>
      <c r="L238" s="45">
        <v>0</v>
      </c>
      <c r="M238" s="45">
        <v>0</v>
      </c>
      <c r="N238" s="45">
        <v>2</v>
      </c>
      <c r="O238" s="45">
        <v>0</v>
      </c>
      <c r="P238" s="45">
        <v>0</v>
      </c>
      <c r="Q238" s="45">
        <v>2</v>
      </c>
      <c r="R238" s="45">
        <v>0</v>
      </c>
      <c r="S238" s="45">
        <v>0</v>
      </c>
      <c r="T238" s="45">
        <v>0</v>
      </c>
      <c r="U238" s="45">
        <v>13725</v>
      </c>
      <c r="V238" s="45">
        <v>0</v>
      </c>
      <c r="W238" s="45">
        <v>0</v>
      </c>
      <c r="X238" s="45">
        <v>13725</v>
      </c>
      <c r="Y238" s="45">
        <v>4.5824670824670823E-2</v>
      </c>
      <c r="Z238" s="45">
        <v>1.9515765765765767</v>
      </c>
      <c r="AA238" s="45">
        <v>2.5987525987525989E-3</v>
      </c>
      <c r="AB238" s="508">
        <v>2</v>
      </c>
      <c r="AC238" s="508">
        <v>0</v>
      </c>
      <c r="AD238" s="631">
        <v>4</v>
      </c>
      <c r="AE238" s="632">
        <v>4.5824670824670823E-2</v>
      </c>
      <c r="AF238" s="632">
        <v>1.9515765765765767</v>
      </c>
      <c r="AG238" s="633">
        <v>1.9974012474012475</v>
      </c>
      <c r="AH238" s="632">
        <v>2.5987525987525989E-3</v>
      </c>
      <c r="AI238" s="632">
        <v>4.3632345024176553E-2</v>
      </c>
      <c r="AJ238" s="632">
        <v>1.8582100208878518</v>
      </c>
      <c r="AK238" s="632">
        <v>1.9018423659120283</v>
      </c>
      <c r="AL238" s="632">
        <v>2.4744241034504663E-3</v>
      </c>
      <c r="AM238" s="632">
        <v>4.3714656850920776E-2</v>
      </c>
      <c r="AN238" s="632">
        <v>1.8617155088740913</v>
      </c>
      <c r="AO238" s="632">
        <v>1.9054301657250121</v>
      </c>
      <c r="AP238" s="632">
        <v>2.4790920709406869E-3</v>
      </c>
      <c r="AQ238" s="632">
        <v>1.9193314770024816</v>
      </c>
      <c r="AR238" s="632">
        <v>0</v>
      </c>
      <c r="AS238" s="632">
        <v>1.8108551746845185</v>
      </c>
      <c r="AT238" s="632">
        <v>1.8557912301080755</v>
      </c>
      <c r="AU238" s="632">
        <v>1.9018423659120283</v>
      </c>
      <c r="AV238" s="632">
        <v>1.9490362526215936</v>
      </c>
      <c r="AW238" s="632">
        <v>1.9974012474012475</v>
      </c>
      <c r="AX238" s="632">
        <v>1.8176939266352132</v>
      </c>
      <c r="AY238" s="632">
        <v>1.8610450934531066</v>
      </c>
      <c r="AZ238" s="632">
        <v>1.9054301657250121</v>
      </c>
      <c r="BA238" s="632">
        <v>1.9508738016220077</v>
      </c>
      <c r="BB238" s="632">
        <v>1.9974012474012475</v>
      </c>
      <c r="BC238" s="632">
        <v>1.8419166593062641</v>
      </c>
      <c r="BD238" s="632">
        <v>1.8802256838533424</v>
      </c>
      <c r="BE238" s="632">
        <v>1.9193314770024816</v>
      </c>
      <c r="BF238" s="632">
        <v>1.9592506103112393</v>
      </c>
      <c r="BG238" s="632">
        <v>2</v>
      </c>
      <c r="BH238" s="634">
        <v>2.0226748492063251</v>
      </c>
      <c r="BI238" s="634">
        <v>2.0482682440169553</v>
      </c>
      <c r="BJ238" s="634">
        <v>2.0741854782514997</v>
      </c>
      <c r="BK238" s="635">
        <v>2.1543826813464264</v>
      </c>
      <c r="BL238" s="635">
        <v>2.2345798844413531</v>
      </c>
      <c r="BM238" s="635">
        <v>2.3147770875362794</v>
      </c>
      <c r="BN238" s="635">
        <v>2.3949742906312061</v>
      </c>
      <c r="BO238" s="635">
        <v>2.4898022233040549</v>
      </c>
      <c r="BP238" s="635">
        <v>2.5846301559769027</v>
      </c>
      <c r="BQ238" s="635">
        <v>2.8475204079056198</v>
      </c>
      <c r="BR238" s="635">
        <v>3.1607361489919445</v>
      </c>
      <c r="BS238" s="635">
        <v>3.2982630143049723</v>
      </c>
      <c r="BT238" s="635">
        <v>3.3737867288764769</v>
      </c>
      <c r="BU238" s="635">
        <v>3.451998661250006</v>
      </c>
      <c r="BV238" s="635">
        <v>3.5320923460849523</v>
      </c>
      <c r="BW238" s="634">
        <v>2.0226748492063251</v>
      </c>
      <c r="BX238" s="634">
        <v>2.0482682440169553</v>
      </c>
      <c r="BY238" s="634">
        <v>2.0741854782514997</v>
      </c>
      <c r="BZ238" s="635">
        <v>2.1543826813464264</v>
      </c>
      <c r="CA238" s="635">
        <v>2.2345798844413531</v>
      </c>
      <c r="CB238" s="635">
        <v>2.3147770875362794</v>
      </c>
      <c r="CC238" s="635">
        <v>2.3949742906312061</v>
      </c>
      <c r="CD238" s="635">
        <v>2.4898022233040549</v>
      </c>
      <c r="CE238" s="635">
        <v>2.5846301559769027</v>
      </c>
      <c r="CF238" s="635">
        <v>2.8475204079056198</v>
      </c>
      <c r="CG238" s="635">
        <v>3.1607361489919445</v>
      </c>
      <c r="CH238" s="635">
        <v>3.2982630143049723</v>
      </c>
      <c r="CI238" s="635">
        <v>3.3737867288764769</v>
      </c>
      <c r="CJ238" s="635">
        <v>3.451998661250006</v>
      </c>
      <c r="CK238" s="635">
        <v>3.5320923460849523</v>
      </c>
      <c r="CL238" s="634">
        <v>2.0253064844511939</v>
      </c>
      <c r="CM238" s="634">
        <v>2.0509331779800268</v>
      </c>
      <c r="CN238" s="634">
        <v>2.0768841322695213</v>
      </c>
      <c r="CO238" s="635">
        <v>2.1571856772888496</v>
      </c>
      <c r="CP238" s="635">
        <v>2.2374872223081774</v>
      </c>
      <c r="CQ238" s="635">
        <v>2.3177887673275053</v>
      </c>
      <c r="CR238" s="635">
        <v>2.3980903123468336</v>
      </c>
      <c r="CS238" s="635">
        <v>2.4930416225016918</v>
      </c>
      <c r="CT238" s="635">
        <v>2.5879929326565501</v>
      </c>
      <c r="CU238" s="635">
        <v>2.8512252223837691</v>
      </c>
      <c r="CV238" s="635">
        <v>3.1648484780954989</v>
      </c>
      <c r="CW238" s="635">
        <v>3.3025542750573855</v>
      </c>
      <c r="CX238" s="635">
        <v>3.3781762510321838</v>
      </c>
      <c r="CY238" s="635">
        <v>3.456489942360141</v>
      </c>
      <c r="CZ238" s="635">
        <v>3.5366878344353094</v>
      </c>
      <c r="DA238" s="636">
        <v>2.631635244869015E-3</v>
      </c>
      <c r="DB238" s="636">
        <v>2.6649339630717608E-3</v>
      </c>
      <c r="DC238" s="636">
        <v>2.6986540180217273E-3</v>
      </c>
      <c r="DD238" s="637">
        <v>2.8029959424231412E-3</v>
      </c>
      <c r="DE238" s="637">
        <v>2.9073378668245547E-3</v>
      </c>
      <c r="DF238" s="637">
        <v>3.0116797912259682E-3</v>
      </c>
      <c r="DG238" s="637">
        <v>3.1160217156273825E-3</v>
      </c>
      <c r="DH238" s="637">
        <v>3.2393991976373336E-3</v>
      </c>
      <c r="DI238" s="637">
        <v>3.3627766796472842E-3</v>
      </c>
      <c r="DJ238" s="637">
        <v>3.7048144781493884E-3</v>
      </c>
      <c r="DK238" s="637">
        <v>4.1123291035544424E-3</v>
      </c>
      <c r="DL238" s="637">
        <v>4.291260752413443E-3</v>
      </c>
      <c r="DM238" s="637">
        <v>4.3895221557070999E-3</v>
      </c>
      <c r="DN238" s="637">
        <v>4.4912811101353181E-3</v>
      </c>
      <c r="DO238" s="637">
        <v>4.5954883503577307E-3</v>
      </c>
      <c r="DP238" s="636">
        <v>0</v>
      </c>
      <c r="DQ238" s="636">
        <v>0</v>
      </c>
      <c r="DR238" s="636">
        <v>0</v>
      </c>
      <c r="DS238" s="637">
        <v>0</v>
      </c>
      <c r="DT238" s="637">
        <v>0</v>
      </c>
      <c r="DU238" s="637">
        <v>0</v>
      </c>
      <c r="DV238" s="637">
        <v>0</v>
      </c>
      <c r="DW238" s="637">
        <v>0</v>
      </c>
      <c r="DX238" s="637">
        <v>0</v>
      </c>
      <c r="DY238" s="637">
        <v>0</v>
      </c>
      <c r="DZ238" s="637">
        <v>0</v>
      </c>
      <c r="EA238" s="637">
        <v>0</v>
      </c>
      <c r="EB238" s="637">
        <v>0</v>
      </c>
      <c r="EC238" s="637">
        <v>0</v>
      </c>
      <c r="ED238" s="637">
        <v>0</v>
      </c>
    </row>
    <row r="239" spans="1:134" ht="15" x14ac:dyDescent="0.25">
      <c r="A239" s="555">
        <v>106</v>
      </c>
      <c r="B239" s="555">
        <v>95</v>
      </c>
      <c r="C239" s="555" t="s">
        <v>1222</v>
      </c>
      <c r="D239" s="812">
        <v>99709</v>
      </c>
      <c r="E239" s="812">
        <v>99709</v>
      </c>
      <c r="F239" s="630" t="s">
        <v>311</v>
      </c>
      <c r="G239" s="45">
        <v>2081</v>
      </c>
      <c r="H239" s="45">
        <v>576</v>
      </c>
      <c r="I239" s="45">
        <v>508</v>
      </c>
      <c r="J239" s="45">
        <v>68</v>
      </c>
      <c r="K239" s="45">
        <v>19</v>
      </c>
      <c r="L239" s="45">
        <v>139</v>
      </c>
      <c r="M239" s="45">
        <v>158</v>
      </c>
      <c r="N239" s="45">
        <v>25</v>
      </c>
      <c r="O239" s="45">
        <v>0</v>
      </c>
      <c r="P239" s="45">
        <v>0</v>
      </c>
      <c r="Q239" s="45">
        <v>183</v>
      </c>
      <c r="R239" s="45">
        <v>7926.8421052631575</v>
      </c>
      <c r="S239" s="45">
        <v>1417.5395683453237</v>
      </c>
      <c r="T239" s="45">
        <v>2200.3037974683543</v>
      </c>
      <c r="U239" s="45">
        <v>6687.12</v>
      </c>
      <c r="V239" s="45">
        <v>0</v>
      </c>
      <c r="W239" s="45">
        <v>0</v>
      </c>
      <c r="X239" s="45">
        <v>2813.256830601093</v>
      </c>
      <c r="Y239" s="45">
        <v>69.265822784810126</v>
      </c>
      <c r="Z239" s="45">
        <v>506.73417721518985</v>
      </c>
      <c r="AA239" s="45">
        <v>0</v>
      </c>
      <c r="AB239" s="508">
        <v>25</v>
      </c>
      <c r="AC239" s="508">
        <v>0</v>
      </c>
      <c r="AD239" s="631">
        <v>601</v>
      </c>
      <c r="AE239" s="632">
        <v>61.088607594936711</v>
      </c>
      <c r="AF239" s="632">
        <v>446.91139240506322</v>
      </c>
      <c r="AG239" s="633">
        <v>507.99999999999994</v>
      </c>
      <c r="AH239" s="632">
        <v>0</v>
      </c>
      <c r="AI239" s="632">
        <v>65.952034651675319</v>
      </c>
      <c r="AJ239" s="632">
        <v>482.49120087278254</v>
      </c>
      <c r="AK239" s="632">
        <v>548.4432355244578</v>
      </c>
      <c r="AL239" s="632">
        <v>0</v>
      </c>
      <c r="AM239" s="632">
        <v>58.275759988121948</v>
      </c>
      <c r="AN239" s="632">
        <v>426.33319149204993</v>
      </c>
      <c r="AO239" s="632">
        <v>484.60895148017187</v>
      </c>
      <c r="AP239" s="632">
        <v>0</v>
      </c>
      <c r="AQ239" s="632">
        <v>23.991643462531023</v>
      </c>
      <c r="AR239" s="632">
        <v>0</v>
      </c>
      <c r="AS239" s="632">
        <v>522.20483088981939</v>
      </c>
      <c r="AT239" s="632">
        <v>535.16325271800463</v>
      </c>
      <c r="AU239" s="632">
        <v>548.44323552445792</v>
      </c>
      <c r="AV239" s="632">
        <v>562.0527587887882</v>
      </c>
      <c r="AW239" s="632">
        <v>576</v>
      </c>
      <c r="AX239" s="632">
        <v>462.29495246990479</v>
      </c>
      <c r="AY239" s="632">
        <v>473.32047514450136</v>
      </c>
      <c r="AZ239" s="632">
        <v>484.60895148017192</v>
      </c>
      <c r="BA239" s="632">
        <v>496.16665280118059</v>
      </c>
      <c r="BB239" s="632">
        <v>507.99999999999994</v>
      </c>
      <c r="BC239" s="632">
        <v>23.023958241328302</v>
      </c>
      <c r="BD239" s="632">
        <v>23.50282104816678</v>
      </c>
      <c r="BE239" s="632">
        <v>23.991643462531023</v>
      </c>
      <c r="BF239" s="632">
        <v>24.490632628890491</v>
      </c>
      <c r="BG239" s="632">
        <v>25</v>
      </c>
      <c r="BH239" s="634">
        <v>583.28826752194379</v>
      </c>
      <c r="BI239" s="634">
        <v>590.66875525824776</v>
      </c>
      <c r="BJ239" s="634">
        <v>598.14263009362207</v>
      </c>
      <c r="BK239" s="635">
        <v>600.07487833646917</v>
      </c>
      <c r="BL239" s="635">
        <v>602.00712657931626</v>
      </c>
      <c r="BM239" s="635">
        <v>603.93937482216359</v>
      </c>
      <c r="BN239" s="635">
        <v>605.87162306501068</v>
      </c>
      <c r="BO239" s="635">
        <v>608.15637987957234</v>
      </c>
      <c r="BP239" s="635">
        <v>610.44113669413423</v>
      </c>
      <c r="BQ239" s="635">
        <v>616.77513847658588</v>
      </c>
      <c r="BR239" s="635">
        <v>624.32166805604936</v>
      </c>
      <c r="BS239" s="635">
        <v>627.63520061816178</v>
      </c>
      <c r="BT239" s="635">
        <v>629.45484717867009</v>
      </c>
      <c r="BU239" s="635">
        <v>631.33926288228952</v>
      </c>
      <c r="BV239" s="635">
        <v>633.26901698608629</v>
      </c>
      <c r="BW239" s="634">
        <v>514.42784705060319</v>
      </c>
      <c r="BX239" s="634">
        <v>520.93702720692681</v>
      </c>
      <c r="BY239" s="634">
        <v>527.5285695964584</v>
      </c>
      <c r="BZ239" s="635">
        <v>529.23270519952496</v>
      </c>
      <c r="CA239" s="635">
        <v>530.93684080259152</v>
      </c>
      <c r="CB239" s="635">
        <v>532.64097640565819</v>
      </c>
      <c r="CC239" s="635">
        <v>534.34511200872475</v>
      </c>
      <c r="CD239" s="635">
        <v>536.360140588234</v>
      </c>
      <c r="CE239" s="635">
        <v>538.37516916774348</v>
      </c>
      <c r="CF239" s="635">
        <v>543.96140685087789</v>
      </c>
      <c r="CG239" s="635">
        <v>550.6170266883214</v>
      </c>
      <c r="CH239" s="635">
        <v>553.53937832296219</v>
      </c>
      <c r="CI239" s="635">
        <v>555.14420549785495</v>
      </c>
      <c r="CJ239" s="635">
        <v>556.80615545868591</v>
      </c>
      <c r="CK239" s="635">
        <v>558.50809136967337</v>
      </c>
      <c r="CL239" s="634">
        <v>25.316331055639925</v>
      </c>
      <c r="CM239" s="634">
        <v>25.636664724750336</v>
      </c>
      <c r="CN239" s="634">
        <v>25.961051653369015</v>
      </c>
      <c r="CO239" s="635">
        <v>26.044916594464809</v>
      </c>
      <c r="CP239" s="635">
        <v>26.128781535560606</v>
      </c>
      <c r="CQ239" s="635">
        <v>26.212646476656406</v>
      </c>
      <c r="CR239" s="635">
        <v>26.2965114177522</v>
      </c>
      <c r="CS239" s="635">
        <v>26.395676210050887</v>
      </c>
      <c r="CT239" s="635">
        <v>26.494841002349578</v>
      </c>
      <c r="CU239" s="635">
        <v>26.769754274157378</v>
      </c>
      <c r="CV239" s="635">
        <v>27.097294620488256</v>
      </c>
      <c r="CW239" s="635">
        <v>27.241111137941051</v>
      </c>
      <c r="CX239" s="635">
        <v>27.32008885324089</v>
      </c>
      <c r="CY239" s="635">
        <v>27.40187772926604</v>
      </c>
      <c r="CZ239" s="635">
        <v>27.485634417798888</v>
      </c>
      <c r="DA239" s="636">
        <v>0</v>
      </c>
      <c r="DB239" s="636">
        <v>0</v>
      </c>
      <c r="DC239" s="636">
        <v>0</v>
      </c>
      <c r="DD239" s="637">
        <v>0</v>
      </c>
      <c r="DE239" s="637">
        <v>0</v>
      </c>
      <c r="DF239" s="637">
        <v>0</v>
      </c>
      <c r="DG239" s="637">
        <v>0</v>
      </c>
      <c r="DH239" s="637">
        <v>0</v>
      </c>
      <c r="DI239" s="637">
        <v>0</v>
      </c>
      <c r="DJ239" s="637">
        <v>0</v>
      </c>
      <c r="DK239" s="637">
        <v>0</v>
      </c>
      <c r="DL239" s="637">
        <v>0</v>
      </c>
      <c r="DM239" s="637">
        <v>0</v>
      </c>
      <c r="DN239" s="637">
        <v>0</v>
      </c>
      <c r="DO239" s="637">
        <v>0</v>
      </c>
      <c r="DP239" s="636">
        <v>0</v>
      </c>
      <c r="DQ239" s="636">
        <v>0</v>
      </c>
      <c r="DR239" s="636">
        <v>0</v>
      </c>
      <c r="DS239" s="637">
        <v>0</v>
      </c>
      <c r="DT239" s="637">
        <v>0</v>
      </c>
      <c r="DU239" s="637">
        <v>0</v>
      </c>
      <c r="DV239" s="637">
        <v>0</v>
      </c>
      <c r="DW239" s="637">
        <v>0</v>
      </c>
      <c r="DX239" s="637">
        <v>0</v>
      </c>
      <c r="DY239" s="637">
        <v>0</v>
      </c>
      <c r="DZ239" s="637">
        <v>0</v>
      </c>
      <c r="EA239" s="637">
        <v>0</v>
      </c>
      <c r="EB239" s="637">
        <v>0</v>
      </c>
      <c r="EC239" s="637">
        <v>0</v>
      </c>
      <c r="ED239" s="637">
        <v>0</v>
      </c>
    </row>
    <row r="240" spans="1:134" ht="15" x14ac:dyDescent="0.25">
      <c r="A240" s="555">
        <v>107</v>
      </c>
      <c r="B240" s="555">
        <v>95</v>
      </c>
      <c r="C240" s="555" t="s">
        <v>1223</v>
      </c>
      <c r="D240" s="812">
        <v>99709</v>
      </c>
      <c r="E240" s="812">
        <v>99709</v>
      </c>
      <c r="F240" s="630" t="s">
        <v>311</v>
      </c>
      <c r="G240" s="45">
        <v>745</v>
      </c>
      <c r="H240" s="45">
        <v>331</v>
      </c>
      <c r="I240" s="45">
        <v>310</v>
      </c>
      <c r="J240" s="45">
        <v>21</v>
      </c>
      <c r="K240" s="45">
        <v>8</v>
      </c>
      <c r="L240" s="45">
        <v>239</v>
      </c>
      <c r="M240" s="45">
        <v>247</v>
      </c>
      <c r="N240" s="45">
        <v>40</v>
      </c>
      <c r="O240" s="45">
        <v>0</v>
      </c>
      <c r="P240" s="45">
        <v>0</v>
      </c>
      <c r="Q240" s="45">
        <v>287</v>
      </c>
      <c r="R240" s="45">
        <v>9243.125</v>
      </c>
      <c r="S240" s="45">
        <v>1943.062761506276</v>
      </c>
      <c r="T240" s="45">
        <v>2179.5020242914979</v>
      </c>
      <c r="U240" s="45">
        <v>7856.8</v>
      </c>
      <c r="V240" s="45">
        <v>0</v>
      </c>
      <c r="W240" s="45">
        <v>0</v>
      </c>
      <c r="X240" s="45">
        <v>2970.7630662020906</v>
      </c>
      <c r="Y240" s="45">
        <v>10.720647773279353</v>
      </c>
      <c r="Z240" s="45">
        <v>320.27935222672068</v>
      </c>
      <c r="AA240" s="45">
        <v>0</v>
      </c>
      <c r="AB240" s="508">
        <v>40</v>
      </c>
      <c r="AC240" s="508">
        <v>0</v>
      </c>
      <c r="AD240" s="631">
        <v>371</v>
      </c>
      <c r="AE240" s="632">
        <v>10.040485829959515</v>
      </c>
      <c r="AF240" s="632">
        <v>299.95951417004051</v>
      </c>
      <c r="AG240" s="633">
        <v>310</v>
      </c>
      <c r="AH240" s="632">
        <v>0</v>
      </c>
      <c r="AI240" s="632">
        <v>10.207754777248963</v>
      </c>
      <c r="AJ240" s="632">
        <v>304.95667397031281</v>
      </c>
      <c r="AK240" s="632">
        <v>315.16442874756177</v>
      </c>
      <c r="AL240" s="632">
        <v>0</v>
      </c>
      <c r="AM240" s="632">
        <v>9.5781679338744183</v>
      </c>
      <c r="AN240" s="632">
        <v>286.14776702449825</v>
      </c>
      <c r="AO240" s="632">
        <v>295.72593495837265</v>
      </c>
      <c r="AP240" s="632">
        <v>0</v>
      </c>
      <c r="AQ240" s="632">
        <v>38.386629540049633</v>
      </c>
      <c r="AR240" s="632">
        <v>0</v>
      </c>
      <c r="AS240" s="632">
        <v>300.0864566398094</v>
      </c>
      <c r="AT240" s="632">
        <v>307.53304973899225</v>
      </c>
      <c r="AU240" s="632">
        <v>315.16442874756171</v>
      </c>
      <c r="AV240" s="632">
        <v>322.98517909564043</v>
      </c>
      <c r="AW240" s="632">
        <v>331</v>
      </c>
      <c r="AX240" s="632">
        <v>282.10912453872146</v>
      </c>
      <c r="AY240" s="632">
        <v>288.83729782440048</v>
      </c>
      <c r="AZ240" s="632">
        <v>295.72593495837265</v>
      </c>
      <c r="BA240" s="632">
        <v>302.77886292985431</v>
      </c>
      <c r="BB240" s="632">
        <v>310</v>
      </c>
      <c r="BC240" s="632">
        <v>36.838333186125283</v>
      </c>
      <c r="BD240" s="632">
        <v>37.604513677066848</v>
      </c>
      <c r="BE240" s="632">
        <v>38.386629540049633</v>
      </c>
      <c r="BF240" s="632">
        <v>39.185012206224783</v>
      </c>
      <c r="BG240" s="632">
        <v>40</v>
      </c>
      <c r="BH240" s="634">
        <v>336.61725079702319</v>
      </c>
      <c r="BI240" s="634">
        <v>342.32982940829606</v>
      </c>
      <c r="BJ240" s="634">
        <v>348.13935359889598</v>
      </c>
      <c r="BK240" s="635">
        <v>351.51426319231467</v>
      </c>
      <c r="BL240" s="635">
        <v>354.88917278573336</v>
      </c>
      <c r="BM240" s="635">
        <v>358.26408237915211</v>
      </c>
      <c r="BN240" s="635">
        <v>361.63899197257081</v>
      </c>
      <c r="BO240" s="635">
        <v>365.62960121268168</v>
      </c>
      <c r="BP240" s="635">
        <v>369.62021045279249</v>
      </c>
      <c r="BQ240" s="635">
        <v>380.68332486340734</v>
      </c>
      <c r="BR240" s="635">
        <v>393.86426844507781</v>
      </c>
      <c r="BS240" s="635">
        <v>399.65176126509994</v>
      </c>
      <c r="BT240" s="635">
        <v>402.82999814870152</v>
      </c>
      <c r="BU240" s="635">
        <v>406.12136231977865</v>
      </c>
      <c r="BV240" s="635">
        <v>409.49191559208879</v>
      </c>
      <c r="BW240" s="634">
        <v>315.26086932651714</v>
      </c>
      <c r="BX240" s="634">
        <v>320.61101847906883</v>
      </c>
      <c r="BY240" s="634">
        <v>326.05196258506874</v>
      </c>
      <c r="BZ240" s="635">
        <v>329.2127540471829</v>
      </c>
      <c r="CA240" s="635">
        <v>332.37354550929712</v>
      </c>
      <c r="CB240" s="635">
        <v>335.53433697141134</v>
      </c>
      <c r="CC240" s="635">
        <v>338.69512843352555</v>
      </c>
      <c r="CD240" s="635">
        <v>342.43255702698281</v>
      </c>
      <c r="CE240" s="635">
        <v>346.16998562044012</v>
      </c>
      <c r="CF240" s="635">
        <v>356.53121059714886</v>
      </c>
      <c r="CG240" s="635">
        <v>368.8759009606469</v>
      </c>
      <c r="CH240" s="635">
        <v>374.29621145674008</v>
      </c>
      <c r="CI240" s="635">
        <v>377.2728079338292</v>
      </c>
      <c r="CJ240" s="635">
        <v>380.35535443846339</v>
      </c>
      <c r="CK240" s="635">
        <v>383.51206596237921</v>
      </c>
      <c r="CL240" s="634">
        <v>40.678821848582857</v>
      </c>
      <c r="CM240" s="634">
        <v>41.369163674718557</v>
      </c>
      <c r="CN240" s="634">
        <v>42.071220978718543</v>
      </c>
      <c r="CO240" s="635">
        <v>42.479065038346178</v>
      </c>
      <c r="CP240" s="635">
        <v>42.886909097973813</v>
      </c>
      <c r="CQ240" s="635">
        <v>43.294753157601463</v>
      </c>
      <c r="CR240" s="635">
        <v>43.702597217229098</v>
      </c>
      <c r="CS240" s="635">
        <v>44.184846067997782</v>
      </c>
      <c r="CT240" s="635">
        <v>44.667094918766459</v>
      </c>
      <c r="CU240" s="635">
        <v>46.004027173825655</v>
      </c>
      <c r="CV240" s="635">
        <v>47.596890446535078</v>
      </c>
      <c r="CW240" s="635">
        <v>48.296285349256785</v>
      </c>
      <c r="CX240" s="635">
        <v>48.680362314042476</v>
      </c>
      <c r="CY240" s="635">
        <v>49.078110250124304</v>
      </c>
      <c r="CZ240" s="635">
        <v>49.48542786611344</v>
      </c>
      <c r="DA240" s="636">
        <v>0</v>
      </c>
      <c r="DB240" s="636">
        <v>0</v>
      </c>
      <c r="DC240" s="636">
        <v>0</v>
      </c>
      <c r="DD240" s="637">
        <v>0</v>
      </c>
      <c r="DE240" s="637">
        <v>0</v>
      </c>
      <c r="DF240" s="637">
        <v>0</v>
      </c>
      <c r="DG240" s="637">
        <v>0</v>
      </c>
      <c r="DH240" s="637">
        <v>0</v>
      </c>
      <c r="DI240" s="637">
        <v>0</v>
      </c>
      <c r="DJ240" s="637">
        <v>0</v>
      </c>
      <c r="DK240" s="637">
        <v>0</v>
      </c>
      <c r="DL240" s="637">
        <v>0</v>
      </c>
      <c r="DM240" s="637">
        <v>0</v>
      </c>
      <c r="DN240" s="637">
        <v>0</v>
      </c>
      <c r="DO240" s="637">
        <v>0</v>
      </c>
      <c r="DP240" s="636">
        <v>0</v>
      </c>
      <c r="DQ240" s="636">
        <v>0</v>
      </c>
      <c r="DR240" s="636">
        <v>0</v>
      </c>
      <c r="DS240" s="637">
        <v>0</v>
      </c>
      <c r="DT240" s="637">
        <v>0</v>
      </c>
      <c r="DU240" s="637">
        <v>0</v>
      </c>
      <c r="DV240" s="637">
        <v>0</v>
      </c>
      <c r="DW240" s="637">
        <v>0</v>
      </c>
      <c r="DX240" s="637">
        <v>0</v>
      </c>
      <c r="DY240" s="637">
        <v>0</v>
      </c>
      <c r="DZ240" s="637">
        <v>0</v>
      </c>
      <c r="EA240" s="637">
        <v>0</v>
      </c>
      <c r="EB240" s="637">
        <v>0</v>
      </c>
      <c r="EC240" s="637">
        <v>0</v>
      </c>
      <c r="ED240" s="637">
        <v>0</v>
      </c>
    </row>
    <row r="241" spans="1:134" ht="15" x14ac:dyDescent="0.25">
      <c r="A241" s="555">
        <v>108</v>
      </c>
      <c r="B241" s="555">
        <v>95</v>
      </c>
      <c r="C241" s="555" t="s">
        <v>1224</v>
      </c>
      <c r="D241" s="812">
        <v>99709</v>
      </c>
      <c r="E241" s="812">
        <v>99709</v>
      </c>
      <c r="F241" s="630" t="s">
        <v>311</v>
      </c>
      <c r="G241" s="45">
        <v>1414</v>
      </c>
      <c r="H241" s="45">
        <v>608</v>
      </c>
      <c r="I241" s="45">
        <v>560</v>
      </c>
      <c r="J241" s="45">
        <v>48</v>
      </c>
      <c r="K241" s="45">
        <v>14</v>
      </c>
      <c r="L241" s="45">
        <v>305</v>
      </c>
      <c r="M241" s="45">
        <v>319</v>
      </c>
      <c r="N241" s="45">
        <v>40</v>
      </c>
      <c r="O241" s="45">
        <v>0</v>
      </c>
      <c r="P241" s="45">
        <v>0</v>
      </c>
      <c r="Q241" s="45">
        <v>359</v>
      </c>
      <c r="R241" s="45">
        <v>6314.7857142857147</v>
      </c>
      <c r="S241" s="45">
        <v>2235.8065573770491</v>
      </c>
      <c r="T241" s="45">
        <v>2414.8213166144201</v>
      </c>
      <c r="U241" s="45">
        <v>14087.475</v>
      </c>
      <c r="V241" s="45">
        <v>0</v>
      </c>
      <c r="W241" s="45">
        <v>0</v>
      </c>
      <c r="X241" s="45">
        <v>3715.3955431754875</v>
      </c>
      <c r="Y241" s="45">
        <v>26.683385579937305</v>
      </c>
      <c r="Z241" s="45">
        <v>581.31661442006271</v>
      </c>
      <c r="AA241" s="45">
        <v>0</v>
      </c>
      <c r="AB241" s="508">
        <v>40</v>
      </c>
      <c r="AC241" s="508">
        <v>0</v>
      </c>
      <c r="AD241" s="631">
        <v>648</v>
      </c>
      <c r="AE241" s="632">
        <v>24.576802507836991</v>
      </c>
      <c r="AF241" s="632">
        <v>535.42319749216301</v>
      </c>
      <c r="AG241" s="633">
        <v>560</v>
      </c>
      <c r="AH241" s="632">
        <v>0</v>
      </c>
      <c r="AI241" s="632">
        <v>25.40680958716576</v>
      </c>
      <c r="AJ241" s="632">
        <v>553.50549457753982</v>
      </c>
      <c r="AK241" s="632">
        <v>578.91230416470557</v>
      </c>
      <c r="AL241" s="632">
        <v>0</v>
      </c>
      <c r="AM241" s="632">
        <v>23.445154515862491</v>
      </c>
      <c r="AN241" s="632">
        <v>510.76943766700424</v>
      </c>
      <c r="AO241" s="632">
        <v>534.21459218286668</v>
      </c>
      <c r="AP241" s="632">
        <v>0</v>
      </c>
      <c r="AQ241" s="632">
        <v>38.386629540049633</v>
      </c>
      <c r="AR241" s="632">
        <v>0</v>
      </c>
      <c r="AS241" s="632">
        <v>551.21621038369824</v>
      </c>
      <c r="AT241" s="632">
        <v>564.89454453567157</v>
      </c>
      <c r="AU241" s="632">
        <v>578.91230416470557</v>
      </c>
      <c r="AV241" s="632">
        <v>593.27791205483197</v>
      </c>
      <c r="AW241" s="632">
        <v>608</v>
      </c>
      <c r="AX241" s="632">
        <v>509.61648303769039</v>
      </c>
      <c r="AY241" s="632">
        <v>521.77060252149761</v>
      </c>
      <c r="AZ241" s="632">
        <v>534.21459218286668</v>
      </c>
      <c r="BA241" s="632">
        <v>546.95536529264007</v>
      </c>
      <c r="BB241" s="632">
        <v>560</v>
      </c>
      <c r="BC241" s="632">
        <v>36.838333186125283</v>
      </c>
      <c r="BD241" s="632">
        <v>37.604513677066848</v>
      </c>
      <c r="BE241" s="632">
        <v>38.386629540049633</v>
      </c>
      <c r="BF241" s="632">
        <v>39.185012206224783</v>
      </c>
      <c r="BG241" s="632">
        <v>40</v>
      </c>
      <c r="BH241" s="634">
        <v>611.15722979065788</v>
      </c>
      <c r="BI241" s="634">
        <v>614.33085448255088</v>
      </c>
      <c r="BJ241" s="634">
        <v>617.5209592113215</v>
      </c>
      <c r="BK241" s="635">
        <v>617.87907548387238</v>
      </c>
      <c r="BL241" s="635">
        <v>618.23719175642316</v>
      </c>
      <c r="BM241" s="635">
        <v>618.59530802897405</v>
      </c>
      <c r="BN241" s="635">
        <v>618.95342430152493</v>
      </c>
      <c r="BO241" s="635">
        <v>619.37687330562926</v>
      </c>
      <c r="BP241" s="635">
        <v>619.8003223097337</v>
      </c>
      <c r="BQ241" s="635">
        <v>620.97424450997846</v>
      </c>
      <c r="BR241" s="635">
        <v>622.37289245994918</v>
      </c>
      <c r="BS241" s="635">
        <v>622.98701123817136</v>
      </c>
      <c r="BT241" s="635">
        <v>623.32425830051011</v>
      </c>
      <c r="BU241" s="635">
        <v>623.67350945403791</v>
      </c>
      <c r="BV241" s="635">
        <v>624.03116347139803</v>
      </c>
      <c r="BW241" s="634">
        <v>562.90797480718481</v>
      </c>
      <c r="BX241" s="634">
        <v>565.83105018129686</v>
      </c>
      <c r="BY241" s="634">
        <v>568.76930453674356</v>
      </c>
      <c r="BZ241" s="635">
        <v>569.09914847198775</v>
      </c>
      <c r="CA241" s="635">
        <v>569.42899240723193</v>
      </c>
      <c r="CB241" s="635">
        <v>569.75883634247623</v>
      </c>
      <c r="CC241" s="635">
        <v>570.08868027772041</v>
      </c>
      <c r="CD241" s="635">
        <v>570.47869909729025</v>
      </c>
      <c r="CE241" s="635">
        <v>570.86871791686008</v>
      </c>
      <c r="CF241" s="635">
        <v>571.94996204866447</v>
      </c>
      <c r="CG241" s="635">
        <v>573.23819042363755</v>
      </c>
      <c r="CH241" s="635">
        <v>573.80382614042105</v>
      </c>
      <c r="CI241" s="635">
        <v>574.11444843468041</v>
      </c>
      <c r="CJ241" s="635">
        <v>574.43612712871925</v>
      </c>
      <c r="CK241" s="635">
        <v>574.76554530260353</v>
      </c>
      <c r="CL241" s="634">
        <v>40.207712486227493</v>
      </c>
      <c r="CM241" s="634">
        <v>40.416503584378347</v>
      </c>
      <c r="CN241" s="634">
        <v>40.626378895481679</v>
      </c>
      <c r="CO241" s="635">
        <v>40.649939176570548</v>
      </c>
      <c r="CP241" s="635">
        <v>40.673499457659425</v>
      </c>
      <c r="CQ241" s="635">
        <v>40.697059738748294</v>
      </c>
      <c r="CR241" s="635">
        <v>40.72062001983717</v>
      </c>
      <c r="CS241" s="635">
        <v>40.748478506949297</v>
      </c>
      <c r="CT241" s="635">
        <v>40.776336994061431</v>
      </c>
      <c r="CU241" s="635">
        <v>40.853568717761739</v>
      </c>
      <c r="CV241" s="635">
        <v>40.945585030259814</v>
      </c>
      <c r="CW241" s="635">
        <v>40.985987581458645</v>
      </c>
      <c r="CX241" s="635">
        <v>41.008174888191455</v>
      </c>
      <c r="CY241" s="635">
        <v>41.031151937765657</v>
      </c>
      <c r="CZ241" s="635">
        <v>41.054681807328819</v>
      </c>
      <c r="DA241" s="636">
        <v>0</v>
      </c>
      <c r="DB241" s="636">
        <v>0</v>
      </c>
      <c r="DC241" s="636">
        <v>0</v>
      </c>
      <c r="DD241" s="637">
        <v>0</v>
      </c>
      <c r="DE241" s="637">
        <v>0</v>
      </c>
      <c r="DF241" s="637">
        <v>0</v>
      </c>
      <c r="DG241" s="637">
        <v>0</v>
      </c>
      <c r="DH241" s="637">
        <v>0</v>
      </c>
      <c r="DI241" s="637">
        <v>0</v>
      </c>
      <c r="DJ241" s="637">
        <v>0</v>
      </c>
      <c r="DK241" s="637">
        <v>0</v>
      </c>
      <c r="DL241" s="637">
        <v>0</v>
      </c>
      <c r="DM241" s="637">
        <v>0</v>
      </c>
      <c r="DN241" s="637">
        <v>0</v>
      </c>
      <c r="DO241" s="637">
        <v>0</v>
      </c>
      <c r="DP241" s="636">
        <v>0</v>
      </c>
      <c r="DQ241" s="636">
        <v>0</v>
      </c>
      <c r="DR241" s="636">
        <v>0</v>
      </c>
      <c r="DS241" s="637">
        <v>0</v>
      </c>
      <c r="DT241" s="637">
        <v>0</v>
      </c>
      <c r="DU241" s="637">
        <v>0</v>
      </c>
      <c r="DV241" s="637">
        <v>0</v>
      </c>
      <c r="DW241" s="637">
        <v>0</v>
      </c>
      <c r="DX241" s="637">
        <v>0</v>
      </c>
      <c r="DY241" s="637">
        <v>0</v>
      </c>
      <c r="DZ241" s="637">
        <v>0</v>
      </c>
      <c r="EA241" s="637">
        <v>0</v>
      </c>
      <c r="EB241" s="637">
        <v>0</v>
      </c>
      <c r="EC241" s="637">
        <v>0</v>
      </c>
      <c r="ED241" s="637">
        <v>0</v>
      </c>
    </row>
    <row r="242" spans="1:134" ht="15" x14ac:dyDescent="0.25">
      <c r="A242" s="555">
        <v>109</v>
      </c>
      <c r="B242" s="555">
        <v>95</v>
      </c>
      <c r="C242" s="555" t="s">
        <v>1225</v>
      </c>
      <c r="D242" s="812">
        <v>99701</v>
      </c>
      <c r="E242" s="812">
        <v>99701</v>
      </c>
      <c r="F242" s="630" t="s">
        <v>311</v>
      </c>
      <c r="G242" s="45">
        <v>1225</v>
      </c>
      <c r="H242" s="45">
        <v>750</v>
      </c>
      <c r="I242" s="45">
        <v>563</v>
      </c>
      <c r="J242" s="45">
        <v>187</v>
      </c>
      <c r="K242" s="45">
        <v>17</v>
      </c>
      <c r="L242" s="45">
        <v>407</v>
      </c>
      <c r="M242" s="45">
        <v>424</v>
      </c>
      <c r="N242" s="45">
        <v>50</v>
      </c>
      <c r="O242" s="45">
        <v>0</v>
      </c>
      <c r="P242" s="45">
        <v>0</v>
      </c>
      <c r="Q242" s="45">
        <v>474</v>
      </c>
      <c r="R242" s="45">
        <v>6998.4705882352937</v>
      </c>
      <c r="S242" s="45">
        <v>2068.6117936117935</v>
      </c>
      <c r="T242" s="45">
        <v>2266.2712264150941</v>
      </c>
      <c r="U242" s="45">
        <v>11067.44</v>
      </c>
      <c r="V242" s="45">
        <v>0</v>
      </c>
      <c r="W242" s="45">
        <v>0</v>
      </c>
      <c r="X242" s="45">
        <v>3194.6645569620255</v>
      </c>
      <c r="Y242" s="45">
        <v>30.070754716981131</v>
      </c>
      <c r="Z242" s="45">
        <v>719.92924528301887</v>
      </c>
      <c r="AA242" s="45">
        <v>0</v>
      </c>
      <c r="AB242" s="508">
        <v>50</v>
      </c>
      <c r="AC242" s="508">
        <v>0</v>
      </c>
      <c r="AD242" s="631">
        <v>800</v>
      </c>
      <c r="AE242" s="632">
        <v>22.57311320754717</v>
      </c>
      <c r="AF242" s="632">
        <v>540.42688679245282</v>
      </c>
      <c r="AG242" s="633">
        <v>563</v>
      </c>
      <c r="AH242" s="632">
        <v>0</v>
      </c>
      <c r="AI242" s="632">
        <v>29.73696983143121</v>
      </c>
      <c r="AJ242" s="632">
        <v>711.93804243485306</v>
      </c>
      <c r="AK242" s="632">
        <v>741.67501226628428</v>
      </c>
      <c r="AL242" s="632">
        <v>0</v>
      </c>
      <c r="AM242" s="632">
        <v>22.363663073930773</v>
      </c>
      <c r="AN242" s="632">
        <v>535.41240418175448</v>
      </c>
      <c r="AO242" s="632">
        <v>557.77606725568523</v>
      </c>
      <c r="AP242" s="632">
        <v>0</v>
      </c>
      <c r="AQ242" s="632">
        <v>49.741750589141837</v>
      </c>
      <c r="AR242" s="632">
        <v>0</v>
      </c>
      <c r="AS242" s="632">
        <v>733.44243176025725</v>
      </c>
      <c r="AT242" s="632">
        <v>737.54723548556683</v>
      </c>
      <c r="AU242" s="632">
        <v>741.67501226628428</v>
      </c>
      <c r="AV242" s="632">
        <v>745.82589067403205</v>
      </c>
      <c r="AW242" s="632">
        <v>750</v>
      </c>
      <c r="AX242" s="632">
        <v>552.60060604479338</v>
      </c>
      <c r="AY242" s="632">
        <v>555.18230591650979</v>
      </c>
      <c r="AZ242" s="632">
        <v>557.77606725568523</v>
      </c>
      <c r="BA242" s="632">
        <v>560.38194641240068</v>
      </c>
      <c r="BB242" s="632">
        <v>563</v>
      </c>
      <c r="BC242" s="632">
        <v>49.484835033447851</v>
      </c>
      <c r="BD242" s="632">
        <v>49.613126510819612</v>
      </c>
      <c r="BE242" s="632">
        <v>49.741750589141837</v>
      </c>
      <c r="BF242" s="632">
        <v>49.870708130696244</v>
      </c>
      <c r="BG242" s="632">
        <v>50</v>
      </c>
      <c r="BH242" s="634">
        <v>757.65672503256644</v>
      </c>
      <c r="BI242" s="634">
        <v>765.39161731609875</v>
      </c>
      <c r="BJ242" s="634">
        <v>773.20547485745965</v>
      </c>
      <c r="BK242" s="635">
        <v>781.01677021689568</v>
      </c>
      <c r="BL242" s="635">
        <v>788.82806557633182</v>
      </c>
      <c r="BM242" s="635">
        <v>796.63936093576774</v>
      </c>
      <c r="BN242" s="635">
        <v>804.45065629520377</v>
      </c>
      <c r="BO242" s="635">
        <v>813.68700072925549</v>
      </c>
      <c r="BP242" s="635">
        <v>822.9233451633072</v>
      </c>
      <c r="BQ242" s="635">
        <v>848.52914344159728</v>
      </c>
      <c r="BR242" s="635">
        <v>879.03669944643661</v>
      </c>
      <c r="BS242" s="635">
        <v>892.43196665476887</v>
      </c>
      <c r="BT242" s="635">
        <v>899.78805911676523</v>
      </c>
      <c r="BU242" s="635">
        <v>907.4059869350051</v>
      </c>
      <c r="BV242" s="635">
        <v>915.20719950261571</v>
      </c>
      <c r="BW242" s="634">
        <v>568.74764825777993</v>
      </c>
      <c r="BX242" s="634">
        <v>574.55397406528482</v>
      </c>
      <c r="BY242" s="634">
        <v>580.41957645966636</v>
      </c>
      <c r="BZ242" s="635">
        <v>586.28325550948307</v>
      </c>
      <c r="CA242" s="635">
        <v>592.14693455929967</v>
      </c>
      <c r="CB242" s="635">
        <v>598.01061360911626</v>
      </c>
      <c r="CC242" s="635">
        <v>603.87429265893297</v>
      </c>
      <c r="CD242" s="635">
        <v>610.80770854742775</v>
      </c>
      <c r="CE242" s="635">
        <v>617.74112443592264</v>
      </c>
      <c r="CF242" s="635">
        <v>636.9625436768257</v>
      </c>
      <c r="CG242" s="635">
        <v>659.86354905112501</v>
      </c>
      <c r="CH242" s="635">
        <v>669.91892963551311</v>
      </c>
      <c r="CI242" s="635">
        <v>675.4409030436517</v>
      </c>
      <c r="CJ242" s="635">
        <v>681.15942752587716</v>
      </c>
      <c r="CK242" s="635">
        <v>687.01553775996354</v>
      </c>
      <c r="CL242" s="634">
        <v>50.510448335504435</v>
      </c>
      <c r="CM242" s="634">
        <v>51.026107821073253</v>
      </c>
      <c r="CN242" s="634">
        <v>51.547031657163977</v>
      </c>
      <c r="CO242" s="635">
        <v>52.067784681126383</v>
      </c>
      <c r="CP242" s="635">
        <v>52.58853770508879</v>
      </c>
      <c r="CQ242" s="635">
        <v>53.109290729051182</v>
      </c>
      <c r="CR242" s="635">
        <v>53.630043753013588</v>
      </c>
      <c r="CS242" s="635">
        <v>54.245800048617035</v>
      </c>
      <c r="CT242" s="635">
        <v>54.861556344220482</v>
      </c>
      <c r="CU242" s="635">
        <v>56.568609562773155</v>
      </c>
      <c r="CV242" s="635">
        <v>58.60244662976244</v>
      </c>
      <c r="CW242" s="635">
        <v>59.495464443651258</v>
      </c>
      <c r="CX242" s="635">
        <v>59.985870607784349</v>
      </c>
      <c r="CY242" s="635">
        <v>60.493732462333675</v>
      </c>
      <c r="CZ242" s="635">
        <v>61.013813300174377</v>
      </c>
      <c r="DA242" s="636">
        <v>0</v>
      </c>
      <c r="DB242" s="636">
        <v>0</v>
      </c>
      <c r="DC242" s="636">
        <v>0</v>
      </c>
      <c r="DD242" s="637">
        <v>0</v>
      </c>
      <c r="DE242" s="637">
        <v>0</v>
      </c>
      <c r="DF242" s="637">
        <v>0</v>
      </c>
      <c r="DG242" s="637">
        <v>0</v>
      </c>
      <c r="DH242" s="637">
        <v>0</v>
      </c>
      <c r="DI242" s="637">
        <v>0</v>
      </c>
      <c r="DJ242" s="637">
        <v>0</v>
      </c>
      <c r="DK242" s="637">
        <v>0</v>
      </c>
      <c r="DL242" s="637">
        <v>0</v>
      </c>
      <c r="DM242" s="637">
        <v>0</v>
      </c>
      <c r="DN242" s="637">
        <v>0</v>
      </c>
      <c r="DO242" s="637">
        <v>0</v>
      </c>
      <c r="DP242" s="636">
        <v>0</v>
      </c>
      <c r="DQ242" s="636">
        <v>0</v>
      </c>
      <c r="DR242" s="636">
        <v>0</v>
      </c>
      <c r="DS242" s="637">
        <v>0</v>
      </c>
      <c r="DT242" s="637">
        <v>0</v>
      </c>
      <c r="DU242" s="637">
        <v>0</v>
      </c>
      <c r="DV242" s="637">
        <v>0</v>
      </c>
      <c r="DW242" s="637">
        <v>0</v>
      </c>
      <c r="DX242" s="637">
        <v>0</v>
      </c>
      <c r="DY242" s="637">
        <v>0</v>
      </c>
      <c r="DZ242" s="637">
        <v>0</v>
      </c>
      <c r="EA242" s="637">
        <v>0</v>
      </c>
      <c r="EB242" s="637">
        <v>0</v>
      </c>
      <c r="EC242" s="637">
        <v>0</v>
      </c>
      <c r="ED242" s="637">
        <v>0</v>
      </c>
    </row>
    <row r="243" spans="1:134" ht="15" x14ac:dyDescent="0.25">
      <c r="A243" s="555">
        <v>110</v>
      </c>
      <c r="B243" s="555">
        <v>95</v>
      </c>
      <c r="C243" s="555" t="s">
        <v>1226</v>
      </c>
      <c r="D243" s="812">
        <v>99701</v>
      </c>
      <c r="E243" s="812">
        <v>99701</v>
      </c>
      <c r="F243" s="630" t="s">
        <v>311</v>
      </c>
      <c r="G243" s="45">
        <v>383</v>
      </c>
      <c r="H243" s="45">
        <v>182</v>
      </c>
      <c r="I243" s="45">
        <v>164</v>
      </c>
      <c r="J243" s="45">
        <v>18</v>
      </c>
      <c r="K243" s="45">
        <v>4</v>
      </c>
      <c r="L243" s="45">
        <v>123</v>
      </c>
      <c r="M243" s="45">
        <v>127</v>
      </c>
      <c r="N243" s="45">
        <v>77</v>
      </c>
      <c r="O243" s="45">
        <v>0</v>
      </c>
      <c r="P243" s="45">
        <v>0</v>
      </c>
      <c r="Q243" s="45">
        <v>204</v>
      </c>
      <c r="R243" s="45">
        <v>3369</v>
      </c>
      <c r="S243" s="45">
        <v>1802.9674796747968</v>
      </c>
      <c r="T243" s="45">
        <v>1852.2913385826771</v>
      </c>
      <c r="U243" s="45">
        <v>24584.610389610389</v>
      </c>
      <c r="V243" s="45">
        <v>0</v>
      </c>
      <c r="W243" s="45">
        <v>0</v>
      </c>
      <c r="X243" s="45">
        <v>10432.627450980392</v>
      </c>
      <c r="Y243" s="45">
        <v>5.7322834645669287</v>
      </c>
      <c r="Z243" s="45">
        <v>176.26771653543307</v>
      </c>
      <c r="AA243" s="45">
        <v>0</v>
      </c>
      <c r="AB243" s="508">
        <v>77</v>
      </c>
      <c r="AC243" s="508">
        <v>0</v>
      </c>
      <c r="AD243" s="631">
        <v>259</v>
      </c>
      <c r="AE243" s="632">
        <v>5.1653543307086611</v>
      </c>
      <c r="AF243" s="632">
        <v>158.83464566929135</v>
      </c>
      <c r="AG243" s="633">
        <v>164</v>
      </c>
      <c r="AH243" s="632">
        <v>0</v>
      </c>
      <c r="AI243" s="632">
        <v>5.6686552118619939</v>
      </c>
      <c r="AJ243" s="632">
        <v>174.31114776475633</v>
      </c>
      <c r="AK243" s="632">
        <v>179.97980297661832</v>
      </c>
      <c r="AL243" s="632">
        <v>0</v>
      </c>
      <c r="AM243" s="632">
        <v>5.1174263313761976</v>
      </c>
      <c r="AN243" s="632">
        <v>157.36085968981808</v>
      </c>
      <c r="AO243" s="632">
        <v>162.47828602119429</v>
      </c>
      <c r="AP243" s="632">
        <v>0</v>
      </c>
      <c r="AQ243" s="632">
        <v>76.602295907278432</v>
      </c>
      <c r="AR243" s="632">
        <v>0</v>
      </c>
      <c r="AS243" s="632">
        <v>177.98203010715577</v>
      </c>
      <c r="AT243" s="632">
        <v>178.97812914449753</v>
      </c>
      <c r="AU243" s="632">
        <v>179.97980297661832</v>
      </c>
      <c r="AV243" s="632">
        <v>180.9870828035651</v>
      </c>
      <c r="AW243" s="632">
        <v>182</v>
      </c>
      <c r="AX243" s="632">
        <v>160.97069163649397</v>
      </c>
      <c r="AY243" s="632">
        <v>161.72273209646113</v>
      </c>
      <c r="AZ243" s="632">
        <v>162.47828602119426</v>
      </c>
      <c r="BA243" s="632">
        <v>163.23736982528192</v>
      </c>
      <c r="BB243" s="632">
        <v>164</v>
      </c>
      <c r="BC243" s="632">
        <v>76.206645951509685</v>
      </c>
      <c r="BD243" s="632">
        <v>76.404214826662212</v>
      </c>
      <c r="BE243" s="632">
        <v>76.602295907278432</v>
      </c>
      <c r="BF243" s="632">
        <v>76.800890521272208</v>
      </c>
      <c r="BG243" s="632">
        <v>77</v>
      </c>
      <c r="BH243" s="634">
        <v>183.72550814446063</v>
      </c>
      <c r="BI243" s="634">
        <v>185.46737551066082</v>
      </c>
      <c r="BJ243" s="634">
        <v>187.22575719733877</v>
      </c>
      <c r="BK243" s="635">
        <v>190.48978914991628</v>
      </c>
      <c r="BL243" s="635">
        <v>193.75382110249382</v>
      </c>
      <c r="BM243" s="635">
        <v>197.01785305507133</v>
      </c>
      <c r="BN243" s="635">
        <v>200.28188500764884</v>
      </c>
      <c r="BO243" s="635">
        <v>204.14138870972533</v>
      </c>
      <c r="BP243" s="635">
        <v>208.00089241180183</v>
      </c>
      <c r="BQ243" s="635">
        <v>218.70054463409696</v>
      </c>
      <c r="BR243" s="635">
        <v>231.44844789633288</v>
      </c>
      <c r="BS243" s="635">
        <v>237.04580123779809</v>
      </c>
      <c r="BT243" s="635">
        <v>240.1196218702577</v>
      </c>
      <c r="BU243" s="635">
        <v>243.30285316122743</v>
      </c>
      <c r="BV243" s="635">
        <v>246.56267191315445</v>
      </c>
      <c r="BW243" s="634">
        <v>165.55485349281068</v>
      </c>
      <c r="BX243" s="634">
        <v>167.12444826235372</v>
      </c>
      <c r="BY243" s="634">
        <v>168.70892406793163</v>
      </c>
      <c r="BZ243" s="635">
        <v>171.65013967355094</v>
      </c>
      <c r="CA243" s="635">
        <v>174.59135527917024</v>
      </c>
      <c r="CB243" s="635">
        <v>177.53257088478955</v>
      </c>
      <c r="CC243" s="635">
        <v>180.47378649040886</v>
      </c>
      <c r="CD243" s="635">
        <v>183.95158103513711</v>
      </c>
      <c r="CE243" s="635">
        <v>187.42937557986539</v>
      </c>
      <c r="CF243" s="635">
        <v>197.07082043951596</v>
      </c>
      <c r="CG243" s="635">
        <v>208.55794206043183</v>
      </c>
      <c r="CH243" s="635">
        <v>213.6017110054884</v>
      </c>
      <c r="CI243" s="635">
        <v>216.37152739957287</v>
      </c>
      <c r="CJ243" s="635">
        <v>219.23993361780933</v>
      </c>
      <c r="CK243" s="635">
        <v>222.17735271295234</v>
      </c>
      <c r="CL243" s="634">
        <v>77.730022676502571</v>
      </c>
      <c r="CM243" s="634">
        <v>78.466966562202657</v>
      </c>
      <c r="CN243" s="634">
        <v>79.210897275797166</v>
      </c>
      <c r="CO243" s="635">
        <v>80.591833871118425</v>
      </c>
      <c r="CP243" s="635">
        <v>81.972770466439684</v>
      </c>
      <c r="CQ243" s="635">
        <v>83.353707061760943</v>
      </c>
      <c r="CR243" s="635">
        <v>84.734643657082202</v>
      </c>
      <c r="CS243" s="635">
        <v>86.36751060796071</v>
      </c>
      <c r="CT243" s="635">
        <v>88.000377558839233</v>
      </c>
      <c r="CU243" s="635">
        <v>92.52715349904102</v>
      </c>
      <c r="CV243" s="635">
        <v>97.920497186910069</v>
      </c>
      <c r="CW243" s="635">
        <v>100.28860821599149</v>
      </c>
      <c r="CX243" s="635">
        <v>101.58907079126287</v>
      </c>
      <c r="CY243" s="635">
        <v>102.93582249128852</v>
      </c>
      <c r="CZ243" s="635">
        <v>104.31497657864226</v>
      </c>
      <c r="DA243" s="636">
        <v>0</v>
      </c>
      <c r="DB243" s="636">
        <v>0</v>
      </c>
      <c r="DC243" s="636">
        <v>0</v>
      </c>
      <c r="DD243" s="637">
        <v>0</v>
      </c>
      <c r="DE243" s="637">
        <v>0</v>
      </c>
      <c r="DF243" s="637">
        <v>0</v>
      </c>
      <c r="DG243" s="637">
        <v>0</v>
      </c>
      <c r="DH243" s="637">
        <v>0</v>
      </c>
      <c r="DI243" s="637">
        <v>0</v>
      </c>
      <c r="DJ243" s="637">
        <v>0</v>
      </c>
      <c r="DK243" s="637">
        <v>0</v>
      </c>
      <c r="DL243" s="637">
        <v>0</v>
      </c>
      <c r="DM243" s="637">
        <v>0</v>
      </c>
      <c r="DN243" s="637">
        <v>0</v>
      </c>
      <c r="DO243" s="637">
        <v>0</v>
      </c>
      <c r="DP243" s="636">
        <v>0</v>
      </c>
      <c r="DQ243" s="636">
        <v>0</v>
      </c>
      <c r="DR243" s="636">
        <v>0</v>
      </c>
      <c r="DS243" s="637">
        <v>0</v>
      </c>
      <c r="DT243" s="637">
        <v>0</v>
      </c>
      <c r="DU243" s="637">
        <v>0</v>
      </c>
      <c r="DV243" s="637">
        <v>0</v>
      </c>
      <c r="DW243" s="637">
        <v>0</v>
      </c>
      <c r="DX243" s="637">
        <v>0</v>
      </c>
      <c r="DY243" s="637">
        <v>0</v>
      </c>
      <c r="DZ243" s="637">
        <v>0</v>
      </c>
      <c r="EA243" s="637">
        <v>0</v>
      </c>
      <c r="EB243" s="637">
        <v>0</v>
      </c>
      <c r="EC243" s="637">
        <v>0</v>
      </c>
      <c r="ED243" s="637">
        <v>0</v>
      </c>
    </row>
    <row r="244" spans="1:134" ht="15" x14ac:dyDescent="0.25">
      <c r="A244" s="555">
        <v>111</v>
      </c>
      <c r="B244" s="555">
        <v>95</v>
      </c>
      <c r="C244" s="555" t="s">
        <v>1227</v>
      </c>
      <c r="D244" s="812">
        <v>99701</v>
      </c>
      <c r="E244" s="812">
        <v>99701</v>
      </c>
      <c r="F244" s="630" t="s">
        <v>311</v>
      </c>
      <c r="G244" s="45">
        <v>1867</v>
      </c>
      <c r="H244" s="45">
        <v>619</v>
      </c>
      <c r="I244" s="45">
        <v>597</v>
      </c>
      <c r="J244" s="45">
        <v>22</v>
      </c>
      <c r="K244" s="45">
        <v>2</v>
      </c>
      <c r="L244" s="45">
        <v>392</v>
      </c>
      <c r="M244" s="45">
        <v>394</v>
      </c>
      <c r="N244" s="45">
        <v>11</v>
      </c>
      <c r="O244" s="45">
        <v>0</v>
      </c>
      <c r="P244" s="45">
        <v>0</v>
      </c>
      <c r="Q244" s="45">
        <v>405</v>
      </c>
      <c r="R244" s="45">
        <v>4675.5</v>
      </c>
      <c r="S244" s="45">
        <v>2362.2321428571427</v>
      </c>
      <c r="T244" s="45">
        <v>2373.9746192893399</v>
      </c>
      <c r="U244" s="45">
        <v>29575.727272727272</v>
      </c>
      <c r="V244" s="45">
        <v>0</v>
      </c>
      <c r="W244" s="45">
        <v>0</v>
      </c>
      <c r="X244" s="45">
        <v>3112.7876543209877</v>
      </c>
      <c r="Y244" s="45">
        <v>3.1421319796954315</v>
      </c>
      <c r="Z244" s="45">
        <v>615.85786802030452</v>
      </c>
      <c r="AA244" s="45">
        <v>0</v>
      </c>
      <c r="AB244" s="508">
        <v>11</v>
      </c>
      <c r="AC244" s="508">
        <v>0</v>
      </c>
      <c r="AD244" s="631">
        <v>630</v>
      </c>
      <c r="AE244" s="632">
        <v>3.030456852791878</v>
      </c>
      <c r="AF244" s="632">
        <v>593.96954314720801</v>
      </c>
      <c r="AG244" s="633">
        <v>596.99999999999989</v>
      </c>
      <c r="AH244" s="632">
        <v>0</v>
      </c>
      <c r="AI244" s="632">
        <v>3.1072543661105243</v>
      </c>
      <c r="AJ244" s="632">
        <v>609.02185575766271</v>
      </c>
      <c r="AK244" s="632">
        <v>612.12911012377322</v>
      </c>
      <c r="AL244" s="632">
        <v>0</v>
      </c>
      <c r="AM244" s="632">
        <v>3.0023380201390668</v>
      </c>
      <c r="AN244" s="632">
        <v>588.45825194725705</v>
      </c>
      <c r="AO244" s="632">
        <v>591.46058996739612</v>
      </c>
      <c r="AP244" s="632">
        <v>0</v>
      </c>
      <c r="AQ244" s="632">
        <v>10.943185129611205</v>
      </c>
      <c r="AR244" s="632">
        <v>0</v>
      </c>
      <c r="AS244" s="632">
        <v>605.33448701279906</v>
      </c>
      <c r="AT244" s="632">
        <v>608.72231835408775</v>
      </c>
      <c r="AU244" s="632">
        <v>612.12911012377333</v>
      </c>
      <c r="AV244" s="632">
        <v>615.55496843630112</v>
      </c>
      <c r="AW244" s="632">
        <v>619</v>
      </c>
      <c r="AX244" s="632">
        <v>585.97257870113958</v>
      </c>
      <c r="AY244" s="632">
        <v>588.71018939992246</v>
      </c>
      <c r="AZ244" s="632">
        <v>591.46058996739612</v>
      </c>
      <c r="BA244" s="632">
        <v>594.22384015666637</v>
      </c>
      <c r="BB244" s="632">
        <v>596.99999999999989</v>
      </c>
      <c r="BC244" s="632">
        <v>10.886663707358526</v>
      </c>
      <c r="BD244" s="632">
        <v>10.914887832380316</v>
      </c>
      <c r="BE244" s="632">
        <v>10.943185129611205</v>
      </c>
      <c r="BF244" s="632">
        <v>10.971555788753173</v>
      </c>
      <c r="BG244" s="632">
        <v>11</v>
      </c>
      <c r="BH244" s="634">
        <v>630.79299671363651</v>
      </c>
      <c r="BI244" s="634">
        <v>642.8106699563325</v>
      </c>
      <c r="BJ244" s="634">
        <v>655.05730019588896</v>
      </c>
      <c r="BK244" s="635">
        <v>657.24730641822111</v>
      </c>
      <c r="BL244" s="635">
        <v>659.43731264055316</v>
      </c>
      <c r="BM244" s="635">
        <v>661.62731886288532</v>
      </c>
      <c r="BN244" s="635">
        <v>663.81732508521748</v>
      </c>
      <c r="BO244" s="635">
        <v>666.40686380464899</v>
      </c>
      <c r="BP244" s="635">
        <v>668.99640252408062</v>
      </c>
      <c r="BQ244" s="635">
        <v>676.17534724155257</v>
      </c>
      <c r="BR244" s="635">
        <v>684.7285684941628</v>
      </c>
      <c r="BS244" s="635">
        <v>688.48411955018742</v>
      </c>
      <c r="BT244" s="635">
        <v>690.54650325513342</v>
      </c>
      <c r="BU244" s="635">
        <v>692.68229617494273</v>
      </c>
      <c r="BV244" s="635">
        <v>694.86947554515609</v>
      </c>
      <c r="BW244" s="634">
        <v>608.37385951218243</v>
      </c>
      <c r="BX244" s="634">
        <v>619.96441028098616</v>
      </c>
      <c r="BY244" s="634">
        <v>631.77578064126919</v>
      </c>
      <c r="BZ244" s="635">
        <v>633.88795142435845</v>
      </c>
      <c r="CA244" s="635">
        <v>636.00012220744782</v>
      </c>
      <c r="CB244" s="635">
        <v>638.11229299053707</v>
      </c>
      <c r="CC244" s="635">
        <v>640.22446377362644</v>
      </c>
      <c r="CD244" s="635">
        <v>642.72196719123656</v>
      </c>
      <c r="CE244" s="635">
        <v>645.21947060884668</v>
      </c>
      <c r="CF244" s="635">
        <v>652.14326704879932</v>
      </c>
      <c r="CG244" s="635">
        <v>660.39249659291613</v>
      </c>
      <c r="CH244" s="635">
        <v>664.01457087473636</v>
      </c>
      <c r="CI244" s="635">
        <v>666.00365499727707</v>
      </c>
      <c r="CJ244" s="635">
        <v>668.06353928342605</v>
      </c>
      <c r="CK244" s="635">
        <v>670.17298368410025</v>
      </c>
      <c r="CL244" s="634">
        <v>11.209568600726982</v>
      </c>
      <c r="CM244" s="634">
        <v>11.423129837673113</v>
      </c>
      <c r="CN244" s="634">
        <v>11.640759777309821</v>
      </c>
      <c r="CO244" s="635">
        <v>11.679677496931232</v>
      </c>
      <c r="CP244" s="635">
        <v>11.718595216552643</v>
      </c>
      <c r="CQ244" s="635">
        <v>11.757512936174054</v>
      </c>
      <c r="CR244" s="635">
        <v>11.796430655795465</v>
      </c>
      <c r="CS244" s="635">
        <v>11.842448306706205</v>
      </c>
      <c r="CT244" s="635">
        <v>11.888465957616942</v>
      </c>
      <c r="CU244" s="635">
        <v>12.016040096376541</v>
      </c>
      <c r="CV244" s="635">
        <v>12.168035950623249</v>
      </c>
      <c r="CW244" s="635">
        <v>12.234774337725463</v>
      </c>
      <c r="CX244" s="635">
        <v>12.271424128928057</v>
      </c>
      <c r="CY244" s="635">
        <v>12.309378445758272</v>
      </c>
      <c r="CZ244" s="635">
        <v>12.348245930527815</v>
      </c>
      <c r="DA244" s="636">
        <v>0</v>
      </c>
      <c r="DB244" s="636">
        <v>0</v>
      </c>
      <c r="DC244" s="636">
        <v>0</v>
      </c>
      <c r="DD244" s="637">
        <v>0</v>
      </c>
      <c r="DE244" s="637">
        <v>0</v>
      </c>
      <c r="DF244" s="637">
        <v>0</v>
      </c>
      <c r="DG244" s="637">
        <v>0</v>
      </c>
      <c r="DH244" s="637">
        <v>0</v>
      </c>
      <c r="DI244" s="637">
        <v>0</v>
      </c>
      <c r="DJ244" s="637">
        <v>0</v>
      </c>
      <c r="DK244" s="637">
        <v>0</v>
      </c>
      <c r="DL244" s="637">
        <v>0</v>
      </c>
      <c r="DM244" s="637">
        <v>0</v>
      </c>
      <c r="DN244" s="637">
        <v>0</v>
      </c>
      <c r="DO244" s="637">
        <v>0</v>
      </c>
      <c r="DP244" s="636">
        <v>0</v>
      </c>
      <c r="DQ244" s="636">
        <v>0</v>
      </c>
      <c r="DR244" s="636">
        <v>0</v>
      </c>
      <c r="DS244" s="637">
        <v>0</v>
      </c>
      <c r="DT244" s="637">
        <v>0</v>
      </c>
      <c r="DU244" s="637">
        <v>0</v>
      </c>
      <c r="DV244" s="637">
        <v>0</v>
      </c>
      <c r="DW244" s="637">
        <v>0</v>
      </c>
      <c r="DX244" s="637">
        <v>0</v>
      </c>
      <c r="DY244" s="637">
        <v>0</v>
      </c>
      <c r="DZ244" s="637">
        <v>0</v>
      </c>
      <c r="EA244" s="637">
        <v>0</v>
      </c>
      <c r="EB244" s="637">
        <v>0</v>
      </c>
      <c r="EC244" s="637">
        <v>0</v>
      </c>
      <c r="ED244" s="637">
        <v>0</v>
      </c>
    </row>
    <row r="245" spans="1:134" ht="15" x14ac:dyDescent="0.25">
      <c r="A245" s="555">
        <v>117</v>
      </c>
      <c r="B245" s="555">
        <v>95</v>
      </c>
      <c r="C245" s="555" t="s">
        <v>1228</v>
      </c>
      <c r="D245" s="812">
        <v>99705</v>
      </c>
      <c r="E245" s="812">
        <v>99712</v>
      </c>
      <c r="F245" s="630" t="s">
        <v>311</v>
      </c>
      <c r="G245" s="45">
        <v>4</v>
      </c>
      <c r="H245" s="45">
        <v>2</v>
      </c>
      <c r="I245" s="45">
        <v>2</v>
      </c>
      <c r="J245" s="45">
        <v>0</v>
      </c>
      <c r="K245" s="45">
        <v>0</v>
      </c>
      <c r="L245" s="45">
        <v>0</v>
      </c>
      <c r="M245" s="45">
        <v>0</v>
      </c>
      <c r="N245" s="45">
        <v>0</v>
      </c>
      <c r="O245" s="45">
        <v>0</v>
      </c>
      <c r="P245" s="45">
        <v>0</v>
      </c>
      <c r="Q245" s="45">
        <v>0</v>
      </c>
      <c r="R245" s="45">
        <v>0</v>
      </c>
      <c r="S245" s="45">
        <v>834.49503068156923</v>
      </c>
      <c r="T245" s="45">
        <v>834.49503068156923</v>
      </c>
      <c r="U245" s="45">
        <v>1408.3846153846155</v>
      </c>
      <c r="V245" s="45">
        <v>0</v>
      </c>
      <c r="W245" s="45">
        <v>0</v>
      </c>
      <c r="X245" s="45">
        <v>1365.173957061457</v>
      </c>
      <c r="Y245" s="45">
        <v>4.5824670824670823E-2</v>
      </c>
      <c r="Z245" s="45">
        <v>1.9515765765765767</v>
      </c>
      <c r="AA245" s="45">
        <v>2.5987525987525989E-3</v>
      </c>
      <c r="AB245" s="508">
        <v>0</v>
      </c>
      <c r="AC245" s="508">
        <v>0</v>
      </c>
      <c r="AD245" s="631">
        <v>2</v>
      </c>
      <c r="AE245" s="632">
        <v>4.5824670824670823E-2</v>
      </c>
      <c r="AF245" s="632">
        <v>1.9515765765765767</v>
      </c>
      <c r="AG245" s="633">
        <v>1.9974012474012475</v>
      </c>
      <c r="AH245" s="632">
        <v>2.5987525987525989E-3</v>
      </c>
      <c r="AI245" s="632">
        <v>4.2532246137979485E-2</v>
      </c>
      <c r="AJ245" s="632">
        <v>1.811359117660756</v>
      </c>
      <c r="AK245" s="632">
        <v>1.8538913637987355</v>
      </c>
      <c r="AL245" s="632">
        <v>2.4120366429856042E-3</v>
      </c>
      <c r="AM245" s="632">
        <v>4.2750398256995607E-2</v>
      </c>
      <c r="AN245" s="632">
        <v>1.8206497586613499</v>
      </c>
      <c r="AO245" s="632">
        <v>1.8634001569183456</v>
      </c>
      <c r="AP245" s="632">
        <v>2.4244082187332102E-3</v>
      </c>
      <c r="AQ245" s="632">
        <v>0</v>
      </c>
      <c r="AR245" s="632">
        <v>0</v>
      </c>
      <c r="AS245" s="632">
        <v>1.7206924213345662</v>
      </c>
      <c r="AT245" s="632">
        <v>1.7860506206897071</v>
      </c>
      <c r="AU245" s="632">
        <v>1.8538913637987355</v>
      </c>
      <c r="AV245" s="632">
        <v>1.9243089467645247</v>
      </c>
      <c r="AW245" s="632">
        <v>1.9974012474012475</v>
      </c>
      <c r="AX245" s="632">
        <v>1.7383888937292677</v>
      </c>
      <c r="AY245" s="632">
        <v>1.799809472516529</v>
      </c>
      <c r="AZ245" s="632">
        <v>1.8634001569183454</v>
      </c>
      <c r="BA245" s="632">
        <v>1.9292376208845772</v>
      </c>
      <c r="BB245" s="632">
        <v>1.9974012474012475</v>
      </c>
      <c r="BC245" s="632">
        <v>0</v>
      </c>
      <c r="BD245" s="632">
        <v>0</v>
      </c>
      <c r="BE245" s="632">
        <v>0</v>
      </c>
      <c r="BF245" s="632">
        <v>0</v>
      </c>
      <c r="BG245" s="632">
        <v>0</v>
      </c>
      <c r="BH245" s="634">
        <v>2.0163152337207464</v>
      </c>
      <c r="BI245" s="634">
        <v>2.035408322200595</v>
      </c>
      <c r="BJ245" s="634">
        <v>2.0546822088124035</v>
      </c>
      <c r="BK245" s="635">
        <v>2.1474403617681777</v>
      </c>
      <c r="BL245" s="635">
        <v>2.2401985147239518</v>
      </c>
      <c r="BM245" s="635">
        <v>2.3329566676797264</v>
      </c>
      <c r="BN245" s="635">
        <v>2.4257148206355006</v>
      </c>
      <c r="BO245" s="635">
        <v>2.5353952526692254</v>
      </c>
      <c r="BP245" s="635">
        <v>2.6450756847029511</v>
      </c>
      <c r="BQ245" s="635">
        <v>2.9491413286147727</v>
      </c>
      <c r="BR245" s="635">
        <v>3.3114147309110118</v>
      </c>
      <c r="BS245" s="635">
        <v>3.4704818494130665</v>
      </c>
      <c r="BT245" s="635">
        <v>3.5578345250384213</v>
      </c>
      <c r="BU245" s="635">
        <v>3.6482964626883327</v>
      </c>
      <c r="BV245" s="635">
        <v>3.7409348837554321</v>
      </c>
      <c r="BW245" s="634">
        <v>2.0163152337207464</v>
      </c>
      <c r="BX245" s="634">
        <v>2.035408322200595</v>
      </c>
      <c r="BY245" s="634">
        <v>2.0546822088124035</v>
      </c>
      <c r="BZ245" s="635">
        <v>2.1474403617681777</v>
      </c>
      <c r="CA245" s="635">
        <v>2.2401985147239518</v>
      </c>
      <c r="CB245" s="635">
        <v>2.3329566676797264</v>
      </c>
      <c r="CC245" s="635">
        <v>2.4257148206355006</v>
      </c>
      <c r="CD245" s="635">
        <v>2.5353952526692254</v>
      </c>
      <c r="CE245" s="635">
        <v>2.6450756847029511</v>
      </c>
      <c r="CF245" s="635">
        <v>2.9491413286147727</v>
      </c>
      <c r="CG245" s="635">
        <v>3.3114147309110118</v>
      </c>
      <c r="CH245" s="635">
        <v>3.4704818494130665</v>
      </c>
      <c r="CI245" s="635">
        <v>3.5578345250384213</v>
      </c>
      <c r="CJ245" s="635">
        <v>3.6482964626883327</v>
      </c>
      <c r="CK245" s="635">
        <v>3.7409348837554321</v>
      </c>
      <c r="CL245" s="634">
        <v>0</v>
      </c>
      <c r="CM245" s="634">
        <v>0</v>
      </c>
      <c r="CN245" s="634">
        <v>0</v>
      </c>
      <c r="CO245" s="635">
        <v>0</v>
      </c>
      <c r="CP245" s="635">
        <v>0</v>
      </c>
      <c r="CQ245" s="635">
        <v>0</v>
      </c>
      <c r="CR245" s="635">
        <v>0</v>
      </c>
      <c r="CS245" s="635">
        <v>0</v>
      </c>
      <c r="CT245" s="635">
        <v>0</v>
      </c>
      <c r="CU245" s="635">
        <v>0</v>
      </c>
      <c r="CV245" s="635">
        <v>0</v>
      </c>
      <c r="CW245" s="635">
        <v>0</v>
      </c>
      <c r="CX245" s="635">
        <v>0</v>
      </c>
      <c r="CY245" s="635">
        <v>0</v>
      </c>
      <c r="CZ245" s="635">
        <v>0</v>
      </c>
      <c r="DA245" s="636">
        <v>2.6233609598240262E-3</v>
      </c>
      <c r="DB245" s="636">
        <v>2.6482023447834957E-3</v>
      </c>
      <c r="DC245" s="636">
        <v>2.6732789602034917E-3</v>
      </c>
      <c r="DD245" s="637">
        <v>2.7939635203853472E-3</v>
      </c>
      <c r="DE245" s="637">
        <v>2.9146480805672028E-3</v>
      </c>
      <c r="DF245" s="637">
        <v>3.0353326407490588E-3</v>
      </c>
      <c r="DG245" s="637">
        <v>3.1560172009309139E-3</v>
      </c>
      <c r="DH245" s="637">
        <v>3.2987187778678452E-3</v>
      </c>
      <c r="DI245" s="637">
        <v>3.4414203548047764E-3</v>
      </c>
      <c r="DJ245" s="637">
        <v>3.8370300918745418E-3</v>
      </c>
      <c r="DK245" s="637">
        <v>4.3083720152368096E-3</v>
      </c>
      <c r="DL245" s="637">
        <v>4.5153289739956635E-3</v>
      </c>
      <c r="DM245" s="637">
        <v>4.6289806466802263E-3</v>
      </c>
      <c r="DN245" s="637">
        <v>4.746677677190129E-3</v>
      </c>
      <c r="DO245" s="637">
        <v>4.8672064581777681E-3</v>
      </c>
      <c r="DP245" s="636">
        <v>0</v>
      </c>
      <c r="DQ245" s="636">
        <v>0</v>
      </c>
      <c r="DR245" s="636">
        <v>0</v>
      </c>
      <c r="DS245" s="637">
        <v>0</v>
      </c>
      <c r="DT245" s="637">
        <v>0</v>
      </c>
      <c r="DU245" s="637">
        <v>0</v>
      </c>
      <c r="DV245" s="637">
        <v>0</v>
      </c>
      <c r="DW245" s="637">
        <v>0</v>
      </c>
      <c r="DX245" s="637">
        <v>0</v>
      </c>
      <c r="DY245" s="637">
        <v>0</v>
      </c>
      <c r="DZ245" s="637">
        <v>0</v>
      </c>
      <c r="EA245" s="637">
        <v>0</v>
      </c>
      <c r="EB245" s="637">
        <v>0</v>
      </c>
      <c r="EC245" s="637">
        <v>0</v>
      </c>
      <c r="ED245" s="637">
        <v>0</v>
      </c>
    </row>
    <row r="246" spans="1:134" ht="15" x14ac:dyDescent="0.25">
      <c r="A246" s="555">
        <v>118</v>
      </c>
      <c r="B246" s="555">
        <v>95</v>
      </c>
      <c r="C246" s="555" t="s">
        <v>1229</v>
      </c>
      <c r="D246" s="812">
        <v>99712</v>
      </c>
      <c r="E246" s="812">
        <v>99712</v>
      </c>
      <c r="F246" s="630" t="s">
        <v>311</v>
      </c>
      <c r="G246" s="45">
        <v>4</v>
      </c>
      <c r="H246" s="45">
        <v>2</v>
      </c>
      <c r="I246" s="45">
        <v>1</v>
      </c>
      <c r="J246" s="45">
        <v>1</v>
      </c>
      <c r="K246" s="45">
        <v>0</v>
      </c>
      <c r="L246" s="45">
        <v>2</v>
      </c>
      <c r="M246" s="45">
        <v>2</v>
      </c>
      <c r="N246" s="45">
        <v>0</v>
      </c>
      <c r="O246" s="45">
        <v>0</v>
      </c>
      <c r="P246" s="45">
        <v>0</v>
      </c>
      <c r="Q246" s="45">
        <v>2</v>
      </c>
      <c r="R246" s="45">
        <v>0</v>
      </c>
      <c r="S246" s="45">
        <v>3404</v>
      </c>
      <c r="T246" s="45">
        <v>3404</v>
      </c>
      <c r="U246" s="45">
        <v>0</v>
      </c>
      <c r="V246" s="45">
        <v>0</v>
      </c>
      <c r="W246" s="45">
        <v>0</v>
      </c>
      <c r="X246" s="45">
        <v>3404</v>
      </c>
      <c r="Y246" s="45">
        <v>0</v>
      </c>
      <c r="Z246" s="45">
        <v>2</v>
      </c>
      <c r="AA246" s="45">
        <v>0</v>
      </c>
      <c r="AB246" s="508">
        <v>0</v>
      </c>
      <c r="AC246" s="508">
        <v>0</v>
      </c>
      <c r="AD246" s="631">
        <v>2</v>
      </c>
      <c r="AE246" s="632">
        <v>0</v>
      </c>
      <c r="AF246" s="632">
        <v>1</v>
      </c>
      <c r="AG246" s="633">
        <v>1</v>
      </c>
      <c r="AH246" s="632">
        <v>0</v>
      </c>
      <c r="AI246" s="632">
        <v>0</v>
      </c>
      <c r="AJ246" s="632">
        <v>1.8182284902914765</v>
      </c>
      <c r="AK246" s="632">
        <v>1.8182284902914765</v>
      </c>
      <c r="AL246" s="632">
        <v>0</v>
      </c>
      <c r="AM246" s="632">
        <v>0</v>
      </c>
      <c r="AN246" s="632">
        <v>0.91245411038790925</v>
      </c>
      <c r="AO246" s="632">
        <v>0.91245411038790925</v>
      </c>
      <c r="AP246" s="632">
        <v>0</v>
      </c>
      <c r="AQ246" s="632">
        <v>0</v>
      </c>
      <c r="AR246" s="632">
        <v>0</v>
      </c>
      <c r="AS246" s="632">
        <v>1.6529774214538109</v>
      </c>
      <c r="AT246" s="632">
        <v>1.7336350946770376</v>
      </c>
      <c r="AU246" s="632">
        <v>1.8182284902914765</v>
      </c>
      <c r="AV246" s="632">
        <v>1.9069496533949062</v>
      </c>
      <c r="AW246" s="632">
        <v>2</v>
      </c>
      <c r="AX246" s="632">
        <v>0.83257250356379087</v>
      </c>
      <c r="AY246" s="632">
        <v>0.87159864792961517</v>
      </c>
      <c r="AZ246" s="632">
        <v>0.91245411038790925</v>
      </c>
      <c r="BA246" s="632">
        <v>0.9552246387043779</v>
      </c>
      <c r="BB246" s="632">
        <v>1</v>
      </c>
      <c r="BC246" s="632">
        <v>0</v>
      </c>
      <c r="BD246" s="632">
        <v>0</v>
      </c>
      <c r="BE246" s="632">
        <v>0</v>
      </c>
      <c r="BF246" s="632">
        <v>0</v>
      </c>
      <c r="BG246" s="632">
        <v>0</v>
      </c>
      <c r="BH246" s="634">
        <v>2.0189385946805705</v>
      </c>
      <c r="BI246" s="634">
        <v>2.0380565245453783</v>
      </c>
      <c r="BJ246" s="634">
        <v>2.057355487772607</v>
      </c>
      <c r="BK246" s="635">
        <v>2.150234325288563</v>
      </c>
      <c r="BL246" s="635">
        <v>2.2431131628045189</v>
      </c>
      <c r="BM246" s="635">
        <v>2.3359920003204753</v>
      </c>
      <c r="BN246" s="635">
        <v>2.4288708378364312</v>
      </c>
      <c r="BO246" s="635">
        <v>2.5386939714470933</v>
      </c>
      <c r="BP246" s="635">
        <v>2.6485171050577558</v>
      </c>
      <c r="BQ246" s="635">
        <v>2.9529783587066474</v>
      </c>
      <c r="BR246" s="635">
        <v>3.3157231029262486</v>
      </c>
      <c r="BS246" s="635">
        <v>3.4749971783870621</v>
      </c>
      <c r="BT246" s="635">
        <v>3.5624635056851015</v>
      </c>
      <c r="BU246" s="635">
        <v>3.6530431403655226</v>
      </c>
      <c r="BV246" s="635">
        <v>3.7458020902136102</v>
      </c>
      <c r="BW246" s="634">
        <v>1.0094692973402852</v>
      </c>
      <c r="BX246" s="634">
        <v>1.0190282622726892</v>
      </c>
      <c r="BY246" s="634">
        <v>1.0286777438863035</v>
      </c>
      <c r="BZ246" s="635">
        <v>1.0751171626442815</v>
      </c>
      <c r="CA246" s="635">
        <v>1.1215565814022594</v>
      </c>
      <c r="CB246" s="635">
        <v>1.1679960001602376</v>
      </c>
      <c r="CC246" s="635">
        <v>1.2144354189182156</v>
      </c>
      <c r="CD246" s="635">
        <v>1.2693469857235467</v>
      </c>
      <c r="CE246" s="635">
        <v>1.3242585525288779</v>
      </c>
      <c r="CF246" s="635">
        <v>1.4764891793533237</v>
      </c>
      <c r="CG246" s="635">
        <v>1.6578615514631243</v>
      </c>
      <c r="CH246" s="635">
        <v>1.7374985891935311</v>
      </c>
      <c r="CI246" s="635">
        <v>1.7812317528425508</v>
      </c>
      <c r="CJ246" s="635">
        <v>1.8265215701827613</v>
      </c>
      <c r="CK246" s="635">
        <v>1.8729010451068051</v>
      </c>
      <c r="CL246" s="634">
        <v>0</v>
      </c>
      <c r="CM246" s="634">
        <v>0</v>
      </c>
      <c r="CN246" s="634">
        <v>0</v>
      </c>
      <c r="CO246" s="635">
        <v>0</v>
      </c>
      <c r="CP246" s="635">
        <v>0</v>
      </c>
      <c r="CQ246" s="635">
        <v>0</v>
      </c>
      <c r="CR246" s="635">
        <v>0</v>
      </c>
      <c r="CS246" s="635">
        <v>0</v>
      </c>
      <c r="CT246" s="635">
        <v>0</v>
      </c>
      <c r="CU246" s="635">
        <v>0</v>
      </c>
      <c r="CV246" s="635">
        <v>0</v>
      </c>
      <c r="CW246" s="635">
        <v>0</v>
      </c>
      <c r="CX246" s="635">
        <v>0</v>
      </c>
      <c r="CY246" s="635">
        <v>0</v>
      </c>
      <c r="CZ246" s="635">
        <v>0</v>
      </c>
      <c r="DA246" s="636">
        <v>0</v>
      </c>
      <c r="DB246" s="636">
        <v>0</v>
      </c>
      <c r="DC246" s="636">
        <v>0</v>
      </c>
      <c r="DD246" s="637">
        <v>0</v>
      </c>
      <c r="DE246" s="637">
        <v>0</v>
      </c>
      <c r="DF246" s="637">
        <v>0</v>
      </c>
      <c r="DG246" s="637">
        <v>0</v>
      </c>
      <c r="DH246" s="637">
        <v>0</v>
      </c>
      <c r="DI246" s="637">
        <v>0</v>
      </c>
      <c r="DJ246" s="637">
        <v>0</v>
      </c>
      <c r="DK246" s="637">
        <v>0</v>
      </c>
      <c r="DL246" s="637">
        <v>0</v>
      </c>
      <c r="DM246" s="637">
        <v>0</v>
      </c>
      <c r="DN246" s="637">
        <v>0</v>
      </c>
      <c r="DO246" s="637">
        <v>0</v>
      </c>
      <c r="DP246" s="636">
        <v>0</v>
      </c>
      <c r="DQ246" s="636">
        <v>0</v>
      </c>
      <c r="DR246" s="636">
        <v>0</v>
      </c>
      <c r="DS246" s="637">
        <v>0</v>
      </c>
      <c r="DT246" s="637">
        <v>0</v>
      </c>
      <c r="DU246" s="637">
        <v>0</v>
      </c>
      <c r="DV246" s="637">
        <v>0</v>
      </c>
      <c r="DW246" s="637">
        <v>0</v>
      </c>
      <c r="DX246" s="637">
        <v>0</v>
      </c>
      <c r="DY246" s="637">
        <v>0</v>
      </c>
      <c r="DZ246" s="637">
        <v>0</v>
      </c>
      <c r="EA246" s="637">
        <v>0</v>
      </c>
      <c r="EB246" s="637">
        <v>0</v>
      </c>
      <c r="EC246" s="637">
        <v>0</v>
      </c>
      <c r="ED246" s="637">
        <v>0</v>
      </c>
    </row>
    <row r="247" spans="1:134" ht="15" x14ac:dyDescent="0.25">
      <c r="A247" s="555">
        <v>120</v>
      </c>
      <c r="B247" s="555">
        <v>95</v>
      </c>
      <c r="C247" s="555" t="s">
        <v>1230</v>
      </c>
      <c r="D247" s="812">
        <v>99712</v>
      </c>
      <c r="E247" s="812">
        <v>99712</v>
      </c>
      <c r="F247" s="630" t="s">
        <v>311</v>
      </c>
      <c r="G247" s="45">
        <v>34</v>
      </c>
      <c r="H247" s="45">
        <v>13</v>
      </c>
      <c r="I247" s="45">
        <v>12</v>
      </c>
      <c r="J247" s="45">
        <v>1</v>
      </c>
      <c r="K247" s="45">
        <v>0</v>
      </c>
      <c r="L247" s="45">
        <v>27</v>
      </c>
      <c r="M247" s="45">
        <v>27</v>
      </c>
      <c r="N247" s="45">
        <v>0</v>
      </c>
      <c r="O247" s="45">
        <v>0</v>
      </c>
      <c r="P247" s="45">
        <v>0</v>
      </c>
      <c r="Q247" s="45">
        <v>27</v>
      </c>
      <c r="R247" s="45">
        <v>0</v>
      </c>
      <c r="S247" s="45">
        <v>2934.7037037037039</v>
      </c>
      <c r="T247" s="45">
        <v>2934.7037037037039</v>
      </c>
      <c r="U247" s="45">
        <v>0</v>
      </c>
      <c r="V247" s="45">
        <v>0</v>
      </c>
      <c r="W247" s="45">
        <v>0</v>
      </c>
      <c r="X247" s="45">
        <v>2934.7037037037039</v>
      </c>
      <c r="Y247" s="45">
        <v>0</v>
      </c>
      <c r="Z247" s="45">
        <v>13</v>
      </c>
      <c r="AA247" s="45">
        <v>0</v>
      </c>
      <c r="AB247" s="508">
        <v>0</v>
      </c>
      <c r="AC247" s="508">
        <v>0</v>
      </c>
      <c r="AD247" s="631">
        <v>13</v>
      </c>
      <c r="AE247" s="632">
        <v>0</v>
      </c>
      <c r="AF247" s="632">
        <v>12</v>
      </c>
      <c r="AG247" s="633">
        <v>12</v>
      </c>
      <c r="AH247" s="632">
        <v>0</v>
      </c>
      <c r="AI247" s="632">
        <v>0</v>
      </c>
      <c r="AJ247" s="632">
        <v>11.818485186894597</v>
      </c>
      <c r="AK247" s="632">
        <v>11.818485186894597</v>
      </c>
      <c r="AL247" s="632">
        <v>0</v>
      </c>
      <c r="AM247" s="632">
        <v>0</v>
      </c>
      <c r="AN247" s="632">
        <v>10.94944932465491</v>
      </c>
      <c r="AO247" s="632">
        <v>10.94944932465491</v>
      </c>
      <c r="AP247" s="632">
        <v>0</v>
      </c>
      <c r="AQ247" s="632">
        <v>0</v>
      </c>
      <c r="AR247" s="632">
        <v>0</v>
      </c>
      <c r="AS247" s="632">
        <v>10.74435323944977</v>
      </c>
      <c r="AT247" s="632">
        <v>11.268628115400743</v>
      </c>
      <c r="AU247" s="632">
        <v>11.818485186894597</v>
      </c>
      <c r="AV247" s="632">
        <v>12.395172747066891</v>
      </c>
      <c r="AW247" s="632">
        <v>13</v>
      </c>
      <c r="AX247" s="632">
        <v>9.99087004276549</v>
      </c>
      <c r="AY247" s="632">
        <v>10.459183775155381</v>
      </c>
      <c r="AZ247" s="632">
        <v>10.94944932465491</v>
      </c>
      <c r="BA247" s="632">
        <v>11.462695664452534</v>
      </c>
      <c r="BB247" s="632">
        <v>12</v>
      </c>
      <c r="BC247" s="632">
        <v>0</v>
      </c>
      <c r="BD247" s="632">
        <v>0</v>
      </c>
      <c r="BE247" s="632">
        <v>0</v>
      </c>
      <c r="BF247" s="632">
        <v>0</v>
      </c>
      <c r="BG247" s="632">
        <v>0</v>
      </c>
      <c r="BH247" s="634">
        <v>13.120365686805568</v>
      </c>
      <c r="BI247" s="634">
        <v>13.241845827346536</v>
      </c>
      <c r="BJ247" s="634">
        <v>13.364450740237462</v>
      </c>
      <c r="BK247" s="635">
        <v>13.740094877098025</v>
      </c>
      <c r="BL247" s="635">
        <v>14.115739013958589</v>
      </c>
      <c r="BM247" s="635">
        <v>14.491383150819155</v>
      </c>
      <c r="BN247" s="635">
        <v>14.867027287679718</v>
      </c>
      <c r="BO247" s="635">
        <v>15.311201841709986</v>
      </c>
      <c r="BP247" s="635">
        <v>15.755376395740255</v>
      </c>
      <c r="BQ247" s="635">
        <v>16.986755770129765</v>
      </c>
      <c r="BR247" s="635">
        <v>18.453860010314393</v>
      </c>
      <c r="BS247" s="635">
        <v>19.098036597800888</v>
      </c>
      <c r="BT247" s="635">
        <v>19.451790088918727</v>
      </c>
      <c r="BU247" s="635">
        <v>19.818135206888428</v>
      </c>
      <c r="BV247" s="635">
        <v>20.193294463654443</v>
      </c>
      <c r="BW247" s="634">
        <v>12.111106787820525</v>
      </c>
      <c r="BX247" s="634">
        <v>12.223242302166033</v>
      </c>
      <c r="BY247" s="634">
        <v>12.336416067911504</v>
      </c>
      <c r="BZ247" s="635">
        <v>12.683164501936639</v>
      </c>
      <c r="CA247" s="635">
        <v>13.029912935961775</v>
      </c>
      <c r="CB247" s="635">
        <v>13.376661369986913</v>
      </c>
      <c r="CC247" s="635">
        <v>13.723409804012048</v>
      </c>
      <c r="CD247" s="635">
        <v>14.133417084655372</v>
      </c>
      <c r="CE247" s="635">
        <v>14.543424365298696</v>
      </c>
      <c r="CF247" s="635">
        <v>15.680082249350553</v>
      </c>
      <c r="CG247" s="635">
        <v>17.034332317213288</v>
      </c>
      <c r="CH247" s="635">
        <v>17.628956859508513</v>
      </c>
      <c r="CI247" s="635">
        <v>17.955498543617285</v>
      </c>
      <c r="CJ247" s="635">
        <v>18.29366326789701</v>
      </c>
      <c r="CK247" s="635">
        <v>18.639964120296408</v>
      </c>
      <c r="CL247" s="634">
        <v>0</v>
      </c>
      <c r="CM247" s="634">
        <v>0</v>
      </c>
      <c r="CN247" s="634">
        <v>0</v>
      </c>
      <c r="CO247" s="635">
        <v>0</v>
      </c>
      <c r="CP247" s="635">
        <v>0</v>
      </c>
      <c r="CQ247" s="635">
        <v>0</v>
      </c>
      <c r="CR247" s="635">
        <v>0</v>
      </c>
      <c r="CS247" s="635">
        <v>0</v>
      </c>
      <c r="CT247" s="635">
        <v>0</v>
      </c>
      <c r="CU247" s="635">
        <v>0</v>
      </c>
      <c r="CV247" s="635">
        <v>0</v>
      </c>
      <c r="CW247" s="635">
        <v>0</v>
      </c>
      <c r="CX247" s="635">
        <v>0</v>
      </c>
      <c r="CY247" s="635">
        <v>0</v>
      </c>
      <c r="CZ247" s="635">
        <v>0</v>
      </c>
      <c r="DA247" s="636">
        <v>0</v>
      </c>
      <c r="DB247" s="636">
        <v>0</v>
      </c>
      <c r="DC247" s="636">
        <v>0</v>
      </c>
      <c r="DD247" s="637">
        <v>0</v>
      </c>
      <c r="DE247" s="637">
        <v>0</v>
      </c>
      <c r="DF247" s="637">
        <v>0</v>
      </c>
      <c r="DG247" s="637">
        <v>0</v>
      </c>
      <c r="DH247" s="637">
        <v>0</v>
      </c>
      <c r="DI247" s="637">
        <v>0</v>
      </c>
      <c r="DJ247" s="637">
        <v>0</v>
      </c>
      <c r="DK247" s="637">
        <v>0</v>
      </c>
      <c r="DL247" s="637">
        <v>0</v>
      </c>
      <c r="DM247" s="637">
        <v>0</v>
      </c>
      <c r="DN247" s="637">
        <v>0</v>
      </c>
      <c r="DO247" s="637">
        <v>0</v>
      </c>
      <c r="DP247" s="636">
        <v>0</v>
      </c>
      <c r="DQ247" s="636">
        <v>0</v>
      </c>
      <c r="DR247" s="636">
        <v>0</v>
      </c>
      <c r="DS247" s="637">
        <v>0</v>
      </c>
      <c r="DT247" s="637">
        <v>0</v>
      </c>
      <c r="DU247" s="637">
        <v>0</v>
      </c>
      <c r="DV247" s="637">
        <v>0</v>
      </c>
      <c r="DW247" s="637">
        <v>0</v>
      </c>
      <c r="DX247" s="637">
        <v>0</v>
      </c>
      <c r="DY247" s="637">
        <v>0</v>
      </c>
      <c r="DZ247" s="637">
        <v>0</v>
      </c>
      <c r="EA247" s="637">
        <v>0</v>
      </c>
      <c r="EB247" s="637">
        <v>0</v>
      </c>
      <c r="EC247" s="637">
        <v>0</v>
      </c>
      <c r="ED247" s="637">
        <v>0</v>
      </c>
    </row>
    <row r="248" spans="1:134" ht="15" x14ac:dyDescent="0.25">
      <c r="A248" s="555">
        <v>94</v>
      </c>
      <c r="B248" s="555">
        <v>96</v>
      </c>
      <c r="C248" s="555" t="s">
        <v>1231</v>
      </c>
      <c r="D248" s="812">
        <v>99709</v>
      </c>
      <c r="E248" s="812">
        <v>99709</v>
      </c>
      <c r="F248" s="630" t="s">
        <v>989</v>
      </c>
      <c r="G248" s="45">
        <v>262</v>
      </c>
      <c r="H248" s="45">
        <v>120</v>
      </c>
      <c r="I248" s="45">
        <v>116</v>
      </c>
      <c r="J248" s="45">
        <v>4</v>
      </c>
      <c r="K248" s="45">
        <v>0</v>
      </c>
      <c r="L248" s="45">
        <v>0</v>
      </c>
      <c r="M248" s="45">
        <v>0</v>
      </c>
      <c r="N248" s="45">
        <v>0</v>
      </c>
      <c r="O248" s="45">
        <v>0</v>
      </c>
      <c r="P248" s="45">
        <v>0</v>
      </c>
      <c r="Q248" s="45">
        <v>0</v>
      </c>
      <c r="R248" s="45">
        <v>0</v>
      </c>
      <c r="S248" s="45">
        <v>834.49503068156923</v>
      </c>
      <c r="T248" s="45">
        <v>834.49503068156923</v>
      </c>
      <c r="U248" s="45">
        <v>1408.3846153846155</v>
      </c>
      <c r="V248" s="45">
        <v>0</v>
      </c>
      <c r="W248" s="45">
        <v>0</v>
      </c>
      <c r="X248" s="45">
        <v>1365.173957061457</v>
      </c>
      <c r="Y248" s="45">
        <v>2.7494802494802495</v>
      </c>
      <c r="Z248" s="45">
        <v>117.0945945945946</v>
      </c>
      <c r="AA248" s="45">
        <v>0.15592515592515593</v>
      </c>
      <c r="AB248" s="508">
        <v>0</v>
      </c>
      <c r="AC248" s="508">
        <v>0</v>
      </c>
      <c r="AD248" s="631">
        <v>120</v>
      </c>
      <c r="AE248" s="632">
        <v>2.6578309078309079</v>
      </c>
      <c r="AF248" s="632">
        <v>113.19144144144144</v>
      </c>
      <c r="AG248" s="633">
        <v>115.84927234927235</v>
      </c>
      <c r="AH248" s="632">
        <v>0.15072765072765074</v>
      </c>
      <c r="AI248" s="632">
        <v>2.6179407014505931</v>
      </c>
      <c r="AJ248" s="632">
        <v>111.4926012532711</v>
      </c>
      <c r="AK248" s="632">
        <v>114.1105419547217</v>
      </c>
      <c r="AL248" s="632">
        <v>0.14846544620702798</v>
      </c>
      <c r="AM248" s="632">
        <v>2.5354500973534053</v>
      </c>
      <c r="AN248" s="632">
        <v>107.97949951469728</v>
      </c>
      <c r="AO248" s="632">
        <v>110.51494961205069</v>
      </c>
      <c r="AP248" s="632">
        <v>0.14378734011455985</v>
      </c>
      <c r="AQ248" s="632">
        <v>0</v>
      </c>
      <c r="AR248" s="632">
        <v>0</v>
      </c>
      <c r="AS248" s="632">
        <v>108.65131048107111</v>
      </c>
      <c r="AT248" s="632">
        <v>111.34747380648452</v>
      </c>
      <c r="AU248" s="632">
        <v>114.11054195472168</v>
      </c>
      <c r="AV248" s="632">
        <v>116.94217515729561</v>
      </c>
      <c r="AW248" s="632">
        <v>119.84407484407484</v>
      </c>
      <c r="AX248" s="632">
        <v>105.42624774484237</v>
      </c>
      <c r="AY248" s="632">
        <v>107.9406154202802</v>
      </c>
      <c r="AZ248" s="632">
        <v>110.5149496120507</v>
      </c>
      <c r="BA248" s="632">
        <v>113.15068049407644</v>
      </c>
      <c r="BB248" s="632">
        <v>115.84927234927235</v>
      </c>
      <c r="BC248" s="632">
        <v>0</v>
      </c>
      <c r="BD248" s="632">
        <v>0</v>
      </c>
      <c r="BE248" s="632">
        <v>0</v>
      </c>
      <c r="BF248" s="632">
        <v>0</v>
      </c>
      <c r="BG248" s="632">
        <v>0</v>
      </c>
      <c r="BH248" s="634">
        <v>120.45799157868828</v>
      </c>
      <c r="BI248" s="634">
        <v>121.07505318097691</v>
      </c>
      <c r="BJ248" s="634">
        <v>121.69527576093108</v>
      </c>
      <c r="BK248" s="635">
        <v>124.33391409504873</v>
      </c>
      <c r="BL248" s="635">
        <v>126.97255242916637</v>
      </c>
      <c r="BM248" s="635">
        <v>129.61119076328399</v>
      </c>
      <c r="BN248" s="635">
        <v>132.24982909740163</v>
      </c>
      <c r="BO248" s="635">
        <v>135.36984586406533</v>
      </c>
      <c r="BP248" s="635">
        <v>138.48986263072899</v>
      </c>
      <c r="BQ248" s="635">
        <v>147.13944478116736</v>
      </c>
      <c r="BR248" s="635">
        <v>157.44482987422586</v>
      </c>
      <c r="BS248" s="635">
        <v>161.96972157595334</v>
      </c>
      <c r="BT248" s="635">
        <v>164.45459337587701</v>
      </c>
      <c r="BU248" s="635">
        <v>167.02791258131029</v>
      </c>
      <c r="BV248" s="635">
        <v>169.6631449706004</v>
      </c>
      <c r="BW248" s="634">
        <v>116.44272519273201</v>
      </c>
      <c r="BX248" s="634">
        <v>117.03921807494436</v>
      </c>
      <c r="BY248" s="634">
        <v>117.63876656890005</v>
      </c>
      <c r="BZ248" s="635">
        <v>120.18945029188045</v>
      </c>
      <c r="CA248" s="635">
        <v>122.74013401486083</v>
      </c>
      <c r="CB248" s="635">
        <v>125.29081773784119</v>
      </c>
      <c r="CC248" s="635">
        <v>127.84150146082159</v>
      </c>
      <c r="CD248" s="635">
        <v>130.85751766859647</v>
      </c>
      <c r="CE248" s="635">
        <v>133.87353387637137</v>
      </c>
      <c r="CF248" s="635">
        <v>142.23479662179514</v>
      </c>
      <c r="CG248" s="635">
        <v>152.19666887841834</v>
      </c>
      <c r="CH248" s="635">
        <v>156.57073085675489</v>
      </c>
      <c r="CI248" s="635">
        <v>158.97277359668112</v>
      </c>
      <c r="CJ248" s="635">
        <v>161.46031549526663</v>
      </c>
      <c r="CK248" s="635">
        <v>164.00770680491374</v>
      </c>
      <c r="CL248" s="634">
        <v>0</v>
      </c>
      <c r="CM248" s="634">
        <v>0</v>
      </c>
      <c r="CN248" s="634">
        <v>0</v>
      </c>
      <c r="CO248" s="635">
        <v>0</v>
      </c>
      <c r="CP248" s="635">
        <v>0</v>
      </c>
      <c r="CQ248" s="635">
        <v>0</v>
      </c>
      <c r="CR248" s="635">
        <v>0</v>
      </c>
      <c r="CS248" s="635">
        <v>0</v>
      </c>
      <c r="CT248" s="635">
        <v>0</v>
      </c>
      <c r="CU248" s="635">
        <v>0</v>
      </c>
      <c r="CV248" s="635">
        <v>0</v>
      </c>
      <c r="CW248" s="635">
        <v>0</v>
      </c>
      <c r="CX248" s="635">
        <v>0</v>
      </c>
      <c r="CY248" s="635">
        <v>0</v>
      </c>
      <c r="CZ248" s="635">
        <v>0</v>
      </c>
      <c r="DA248" s="636">
        <v>0.1567239026524698</v>
      </c>
      <c r="DB248" s="636">
        <v>0.15752674106294159</v>
      </c>
      <c r="DC248" s="636">
        <v>0.15833369211674614</v>
      </c>
      <c r="DD248" s="637">
        <v>0.16176673704794264</v>
      </c>
      <c r="DE248" s="637">
        <v>0.16519978197913918</v>
      </c>
      <c r="DF248" s="637">
        <v>0.16863282691033565</v>
      </c>
      <c r="DG248" s="637">
        <v>0.17206587184153219</v>
      </c>
      <c r="DH248" s="637">
        <v>0.17612522230557548</v>
      </c>
      <c r="DI248" s="637">
        <v>0.1801845727696188</v>
      </c>
      <c r="DJ248" s="637">
        <v>0.19143825758673869</v>
      </c>
      <c r="DK248" s="637">
        <v>0.2048462527637599</v>
      </c>
      <c r="DL248" s="637">
        <v>0.210733439469104</v>
      </c>
      <c r="DM248" s="637">
        <v>0.21396642385620218</v>
      </c>
      <c r="DN248" s="637">
        <v>0.21731448423277425</v>
      </c>
      <c r="DO248" s="637">
        <v>0.22074309780197815</v>
      </c>
      <c r="DP248" s="636">
        <v>0</v>
      </c>
      <c r="DQ248" s="636">
        <v>0</v>
      </c>
      <c r="DR248" s="636">
        <v>0</v>
      </c>
      <c r="DS248" s="637">
        <v>0</v>
      </c>
      <c r="DT248" s="637">
        <v>0</v>
      </c>
      <c r="DU248" s="637">
        <v>0</v>
      </c>
      <c r="DV248" s="637">
        <v>0</v>
      </c>
      <c r="DW248" s="637">
        <v>0</v>
      </c>
      <c r="DX248" s="637">
        <v>0</v>
      </c>
      <c r="DY248" s="637">
        <v>0</v>
      </c>
      <c r="DZ248" s="637">
        <v>0</v>
      </c>
      <c r="EA248" s="637">
        <v>0</v>
      </c>
      <c r="EB248" s="637">
        <v>0</v>
      </c>
      <c r="EC248" s="637">
        <v>0</v>
      </c>
      <c r="ED248" s="637">
        <v>0</v>
      </c>
    </row>
    <row r="249" spans="1:134" ht="15" x14ac:dyDescent="0.25">
      <c r="A249" s="555">
        <v>98</v>
      </c>
      <c r="B249" s="555">
        <v>96</v>
      </c>
      <c r="C249" s="555" t="s">
        <v>1232</v>
      </c>
      <c r="D249" s="812">
        <v>99709</v>
      </c>
      <c r="E249" s="812">
        <v>99709</v>
      </c>
      <c r="F249" s="630" t="s">
        <v>989</v>
      </c>
      <c r="G249" s="45">
        <v>270</v>
      </c>
      <c r="H249" s="45">
        <v>144</v>
      </c>
      <c r="I249" s="45">
        <v>118</v>
      </c>
      <c r="J249" s="45">
        <v>26</v>
      </c>
      <c r="K249" s="45">
        <v>0</v>
      </c>
      <c r="L249" s="45">
        <v>4</v>
      </c>
      <c r="M249" s="45">
        <v>4</v>
      </c>
      <c r="N249" s="45">
        <v>0</v>
      </c>
      <c r="O249" s="45">
        <v>0</v>
      </c>
      <c r="P249" s="45">
        <v>0</v>
      </c>
      <c r="Q249" s="45">
        <v>4</v>
      </c>
      <c r="R249" s="45">
        <v>0</v>
      </c>
      <c r="S249" s="45">
        <v>1397</v>
      </c>
      <c r="T249" s="45">
        <v>1397</v>
      </c>
      <c r="U249" s="45">
        <v>0</v>
      </c>
      <c r="V249" s="45">
        <v>0</v>
      </c>
      <c r="W249" s="45">
        <v>0</v>
      </c>
      <c r="X249" s="45">
        <v>1397</v>
      </c>
      <c r="Y249" s="45">
        <v>0</v>
      </c>
      <c r="Z249" s="45">
        <v>144</v>
      </c>
      <c r="AA249" s="45">
        <v>0</v>
      </c>
      <c r="AB249" s="508">
        <v>0</v>
      </c>
      <c r="AC249" s="508">
        <v>0</v>
      </c>
      <c r="AD249" s="631">
        <v>144</v>
      </c>
      <c r="AE249" s="632">
        <v>0</v>
      </c>
      <c r="AF249" s="632">
        <v>118</v>
      </c>
      <c r="AG249" s="633">
        <v>118</v>
      </c>
      <c r="AH249" s="632">
        <v>0</v>
      </c>
      <c r="AI249" s="632">
        <v>0</v>
      </c>
      <c r="AJ249" s="632">
        <v>137.11080888111448</v>
      </c>
      <c r="AK249" s="632">
        <v>137.11080888111448</v>
      </c>
      <c r="AL249" s="632">
        <v>0</v>
      </c>
      <c r="AM249" s="632">
        <v>0</v>
      </c>
      <c r="AN249" s="632">
        <v>112.56664620996121</v>
      </c>
      <c r="AO249" s="632">
        <v>112.56664620996121</v>
      </c>
      <c r="AP249" s="632">
        <v>0</v>
      </c>
      <c r="AQ249" s="632">
        <v>0</v>
      </c>
      <c r="AR249" s="632">
        <v>0</v>
      </c>
      <c r="AS249" s="632">
        <v>130.55120772245485</v>
      </c>
      <c r="AT249" s="632">
        <v>133.79081317950116</v>
      </c>
      <c r="AU249" s="632">
        <v>137.11080888111448</v>
      </c>
      <c r="AV249" s="632">
        <v>140.51318969719705</v>
      </c>
      <c r="AW249" s="632">
        <v>144</v>
      </c>
      <c r="AX249" s="632">
        <v>107.38347321151332</v>
      </c>
      <c r="AY249" s="632">
        <v>109.94451981702984</v>
      </c>
      <c r="AZ249" s="632">
        <v>112.56664620996121</v>
      </c>
      <c r="BA249" s="632">
        <v>115.25130911523487</v>
      </c>
      <c r="BB249" s="632">
        <v>118</v>
      </c>
      <c r="BC249" s="632">
        <v>0</v>
      </c>
      <c r="BD249" s="632">
        <v>0</v>
      </c>
      <c r="BE249" s="632">
        <v>0</v>
      </c>
      <c r="BF249" s="632">
        <v>0</v>
      </c>
      <c r="BG249" s="632">
        <v>0</v>
      </c>
      <c r="BH249" s="634">
        <v>145.49815206226501</v>
      </c>
      <c r="BI249" s="634">
        <v>147.01189064954161</v>
      </c>
      <c r="BJ249" s="634">
        <v>148.54137792144502</v>
      </c>
      <c r="BK249" s="635">
        <v>148.9572247371427</v>
      </c>
      <c r="BL249" s="635">
        <v>149.37307155284037</v>
      </c>
      <c r="BM249" s="635">
        <v>149.78891836853811</v>
      </c>
      <c r="BN249" s="635">
        <v>150.20476518423578</v>
      </c>
      <c r="BO249" s="635">
        <v>150.69647676917126</v>
      </c>
      <c r="BP249" s="635">
        <v>151.18818835410676</v>
      </c>
      <c r="BQ249" s="635">
        <v>152.55135402477387</v>
      </c>
      <c r="BR249" s="635">
        <v>154.17547261657776</v>
      </c>
      <c r="BS249" s="635">
        <v>154.88859111455847</v>
      </c>
      <c r="BT249" s="635">
        <v>155.2802044751522</v>
      </c>
      <c r="BU249" s="635">
        <v>155.68575706017936</v>
      </c>
      <c r="BV249" s="635">
        <v>156.10106710230991</v>
      </c>
      <c r="BW249" s="634">
        <v>119.22765238435606</v>
      </c>
      <c r="BX249" s="634">
        <v>120.46807706004105</v>
      </c>
      <c r="BY249" s="634">
        <v>121.72140690785078</v>
      </c>
      <c r="BZ249" s="635">
        <v>122.06217027071416</v>
      </c>
      <c r="CA249" s="635">
        <v>122.40293363357753</v>
      </c>
      <c r="CB249" s="635">
        <v>122.74369699644095</v>
      </c>
      <c r="CC249" s="635">
        <v>123.08446035930432</v>
      </c>
      <c r="CD249" s="635">
        <v>123.48739068584867</v>
      </c>
      <c r="CE249" s="635">
        <v>123.89032101239304</v>
      </c>
      <c r="CF249" s="635">
        <v>125.00735954807858</v>
      </c>
      <c r="CG249" s="635">
        <v>126.33823450525122</v>
      </c>
      <c r="CH249" s="635">
        <v>126.92259549665206</v>
      </c>
      <c r="CI249" s="635">
        <v>127.24350088936083</v>
      </c>
      <c r="CJ249" s="635">
        <v>127.57582870209141</v>
      </c>
      <c r="CK249" s="635">
        <v>127.91615220883729</v>
      </c>
      <c r="CL249" s="634">
        <v>0</v>
      </c>
      <c r="CM249" s="634">
        <v>0</v>
      </c>
      <c r="CN249" s="634">
        <v>0</v>
      </c>
      <c r="CO249" s="635">
        <v>0</v>
      </c>
      <c r="CP249" s="635">
        <v>0</v>
      </c>
      <c r="CQ249" s="635">
        <v>0</v>
      </c>
      <c r="CR249" s="635">
        <v>0</v>
      </c>
      <c r="CS249" s="635">
        <v>0</v>
      </c>
      <c r="CT249" s="635">
        <v>0</v>
      </c>
      <c r="CU249" s="635">
        <v>0</v>
      </c>
      <c r="CV249" s="635">
        <v>0</v>
      </c>
      <c r="CW249" s="635">
        <v>0</v>
      </c>
      <c r="CX249" s="635">
        <v>0</v>
      </c>
      <c r="CY249" s="635">
        <v>0</v>
      </c>
      <c r="CZ249" s="635">
        <v>0</v>
      </c>
      <c r="DA249" s="636">
        <v>0</v>
      </c>
      <c r="DB249" s="636">
        <v>0</v>
      </c>
      <c r="DC249" s="636">
        <v>0</v>
      </c>
      <c r="DD249" s="637">
        <v>0</v>
      </c>
      <c r="DE249" s="637">
        <v>0</v>
      </c>
      <c r="DF249" s="637">
        <v>0</v>
      </c>
      <c r="DG249" s="637">
        <v>0</v>
      </c>
      <c r="DH249" s="637">
        <v>0</v>
      </c>
      <c r="DI249" s="637">
        <v>0</v>
      </c>
      <c r="DJ249" s="637">
        <v>0</v>
      </c>
      <c r="DK249" s="637">
        <v>0</v>
      </c>
      <c r="DL249" s="637">
        <v>0</v>
      </c>
      <c r="DM249" s="637">
        <v>0</v>
      </c>
      <c r="DN249" s="637">
        <v>0</v>
      </c>
      <c r="DO249" s="637">
        <v>0</v>
      </c>
      <c r="DP249" s="636">
        <v>0</v>
      </c>
      <c r="DQ249" s="636">
        <v>0</v>
      </c>
      <c r="DR249" s="636">
        <v>0</v>
      </c>
      <c r="DS249" s="637">
        <v>0</v>
      </c>
      <c r="DT249" s="637">
        <v>0</v>
      </c>
      <c r="DU249" s="637">
        <v>0</v>
      </c>
      <c r="DV249" s="637">
        <v>0</v>
      </c>
      <c r="DW249" s="637">
        <v>0</v>
      </c>
      <c r="DX249" s="637">
        <v>0</v>
      </c>
      <c r="DY249" s="637">
        <v>0</v>
      </c>
      <c r="DZ249" s="637">
        <v>0</v>
      </c>
      <c r="EA249" s="637">
        <v>0</v>
      </c>
      <c r="EB249" s="637">
        <v>0</v>
      </c>
      <c r="EC249" s="637">
        <v>0</v>
      </c>
      <c r="ED249" s="637">
        <v>0</v>
      </c>
    </row>
    <row r="250" spans="1:134" ht="15" x14ac:dyDescent="0.25">
      <c r="A250" s="555">
        <v>101</v>
      </c>
      <c r="B250" s="555">
        <v>96</v>
      </c>
      <c r="C250" s="555" t="s">
        <v>1233</v>
      </c>
      <c r="D250" s="812">
        <v>99709</v>
      </c>
      <c r="E250" s="812">
        <v>99709</v>
      </c>
      <c r="F250" s="630" t="s">
        <v>311</v>
      </c>
      <c r="G250" s="45">
        <v>49</v>
      </c>
      <c r="H250" s="45">
        <v>34</v>
      </c>
      <c r="I250" s="45">
        <v>27</v>
      </c>
      <c r="J250" s="45">
        <v>7</v>
      </c>
      <c r="K250" s="45">
        <v>0</v>
      </c>
      <c r="L250" s="45">
        <v>12</v>
      </c>
      <c r="M250" s="45">
        <v>12</v>
      </c>
      <c r="N250" s="45">
        <v>0</v>
      </c>
      <c r="O250" s="45">
        <v>0</v>
      </c>
      <c r="P250" s="45">
        <v>0</v>
      </c>
      <c r="Q250" s="45">
        <v>12</v>
      </c>
      <c r="R250" s="45">
        <v>0</v>
      </c>
      <c r="S250" s="45">
        <v>1782.4166666666667</v>
      </c>
      <c r="T250" s="45">
        <v>1782.4166666666667</v>
      </c>
      <c r="U250" s="45">
        <v>0</v>
      </c>
      <c r="V250" s="45">
        <v>0</v>
      </c>
      <c r="W250" s="45">
        <v>0</v>
      </c>
      <c r="X250" s="45">
        <v>1782.4166666666667</v>
      </c>
      <c r="Y250" s="45">
        <v>0</v>
      </c>
      <c r="Z250" s="45">
        <v>34</v>
      </c>
      <c r="AA250" s="45">
        <v>0</v>
      </c>
      <c r="AB250" s="508">
        <v>0</v>
      </c>
      <c r="AC250" s="508">
        <v>0</v>
      </c>
      <c r="AD250" s="631">
        <v>34</v>
      </c>
      <c r="AE250" s="632">
        <v>0</v>
      </c>
      <c r="AF250" s="632">
        <v>27</v>
      </c>
      <c r="AG250" s="633">
        <v>27</v>
      </c>
      <c r="AH250" s="632">
        <v>0</v>
      </c>
      <c r="AI250" s="632">
        <v>0</v>
      </c>
      <c r="AJ250" s="632">
        <v>32.373385430263134</v>
      </c>
      <c r="AK250" s="632">
        <v>32.373385430263134</v>
      </c>
      <c r="AL250" s="632">
        <v>0</v>
      </c>
      <c r="AM250" s="632">
        <v>0</v>
      </c>
      <c r="AN250" s="632">
        <v>25.75677498024536</v>
      </c>
      <c r="AO250" s="632">
        <v>25.75677498024536</v>
      </c>
      <c r="AP250" s="632">
        <v>0</v>
      </c>
      <c r="AQ250" s="632">
        <v>0</v>
      </c>
      <c r="AR250" s="632">
        <v>0</v>
      </c>
      <c r="AS250" s="632">
        <v>30.824590712246284</v>
      </c>
      <c r="AT250" s="632">
        <v>31.589497556271105</v>
      </c>
      <c r="AU250" s="632">
        <v>32.373385430263134</v>
      </c>
      <c r="AV250" s="632">
        <v>33.176725345171526</v>
      </c>
      <c r="AW250" s="632">
        <v>34</v>
      </c>
      <c r="AX250" s="632">
        <v>24.570794717888642</v>
      </c>
      <c r="AY250" s="632">
        <v>25.156796907286491</v>
      </c>
      <c r="AZ250" s="632">
        <v>25.75677498024536</v>
      </c>
      <c r="BA250" s="632">
        <v>26.37106225518086</v>
      </c>
      <c r="BB250" s="632">
        <v>27</v>
      </c>
      <c r="BC250" s="632">
        <v>0</v>
      </c>
      <c r="BD250" s="632">
        <v>0</v>
      </c>
      <c r="BE250" s="632">
        <v>0</v>
      </c>
      <c r="BF250" s="632">
        <v>0</v>
      </c>
      <c r="BG250" s="632">
        <v>0</v>
      </c>
      <c r="BH250" s="634">
        <v>34.353730348034794</v>
      </c>
      <c r="BI250" s="634">
        <v>34.711140847808437</v>
      </c>
      <c r="BJ250" s="634">
        <v>35.072269787007848</v>
      </c>
      <c r="BK250" s="635">
        <v>35.170455840714247</v>
      </c>
      <c r="BL250" s="635">
        <v>35.268641894420639</v>
      </c>
      <c r="BM250" s="635">
        <v>35.366827948127046</v>
      </c>
      <c r="BN250" s="635">
        <v>35.465014001833445</v>
      </c>
      <c r="BO250" s="635">
        <v>35.581112570498767</v>
      </c>
      <c r="BP250" s="635">
        <v>35.697211139164089</v>
      </c>
      <c r="BQ250" s="635">
        <v>36.019069700293826</v>
      </c>
      <c r="BR250" s="635">
        <v>36.402542145580853</v>
      </c>
      <c r="BS250" s="635">
        <v>36.570917346492962</v>
      </c>
      <c r="BT250" s="635">
        <v>36.663381612188708</v>
      </c>
      <c r="BU250" s="635">
        <v>36.759137083653457</v>
      </c>
      <c r="BV250" s="635">
        <v>36.857196399156507</v>
      </c>
      <c r="BW250" s="634">
        <v>27.280903511674691</v>
      </c>
      <c r="BX250" s="634">
        <v>27.564729496789052</v>
      </c>
      <c r="BY250" s="634">
        <v>27.851508360270941</v>
      </c>
      <c r="BZ250" s="635">
        <v>27.929479638214257</v>
      </c>
      <c r="CA250" s="635">
        <v>28.007450916157573</v>
      </c>
      <c r="CB250" s="635">
        <v>28.085422194100893</v>
      </c>
      <c r="CC250" s="635">
        <v>28.163393472044209</v>
      </c>
      <c r="CD250" s="635">
        <v>28.255589394219612</v>
      </c>
      <c r="CE250" s="635">
        <v>28.347785316395019</v>
      </c>
      <c r="CF250" s="635">
        <v>28.603378879645099</v>
      </c>
      <c r="CG250" s="635">
        <v>28.907901115608329</v>
      </c>
      <c r="CH250" s="635">
        <v>29.041610833979711</v>
      </c>
      <c r="CI250" s="635">
        <v>29.115038339091036</v>
      </c>
      <c r="CJ250" s="635">
        <v>29.191079448783629</v>
      </c>
      <c r="CK250" s="635">
        <v>29.268950081683109</v>
      </c>
      <c r="CL250" s="634">
        <v>0</v>
      </c>
      <c r="CM250" s="634">
        <v>0</v>
      </c>
      <c r="CN250" s="634">
        <v>0</v>
      </c>
      <c r="CO250" s="635">
        <v>0</v>
      </c>
      <c r="CP250" s="635">
        <v>0</v>
      </c>
      <c r="CQ250" s="635">
        <v>0</v>
      </c>
      <c r="CR250" s="635">
        <v>0</v>
      </c>
      <c r="CS250" s="635">
        <v>0</v>
      </c>
      <c r="CT250" s="635">
        <v>0</v>
      </c>
      <c r="CU250" s="635">
        <v>0</v>
      </c>
      <c r="CV250" s="635">
        <v>0</v>
      </c>
      <c r="CW250" s="635">
        <v>0</v>
      </c>
      <c r="CX250" s="635">
        <v>0</v>
      </c>
      <c r="CY250" s="635">
        <v>0</v>
      </c>
      <c r="CZ250" s="635">
        <v>0</v>
      </c>
      <c r="DA250" s="636">
        <v>0</v>
      </c>
      <c r="DB250" s="636">
        <v>0</v>
      </c>
      <c r="DC250" s="636">
        <v>0</v>
      </c>
      <c r="DD250" s="637">
        <v>0</v>
      </c>
      <c r="DE250" s="637">
        <v>0</v>
      </c>
      <c r="DF250" s="637">
        <v>0</v>
      </c>
      <c r="DG250" s="637">
        <v>0</v>
      </c>
      <c r="DH250" s="637">
        <v>0</v>
      </c>
      <c r="DI250" s="637">
        <v>0</v>
      </c>
      <c r="DJ250" s="637">
        <v>0</v>
      </c>
      <c r="DK250" s="637">
        <v>0</v>
      </c>
      <c r="DL250" s="637">
        <v>0</v>
      </c>
      <c r="DM250" s="637">
        <v>0</v>
      </c>
      <c r="DN250" s="637">
        <v>0</v>
      </c>
      <c r="DO250" s="637">
        <v>0</v>
      </c>
      <c r="DP250" s="636">
        <v>0</v>
      </c>
      <c r="DQ250" s="636">
        <v>0</v>
      </c>
      <c r="DR250" s="636">
        <v>0</v>
      </c>
      <c r="DS250" s="637">
        <v>0</v>
      </c>
      <c r="DT250" s="637">
        <v>0</v>
      </c>
      <c r="DU250" s="637">
        <v>0</v>
      </c>
      <c r="DV250" s="637">
        <v>0</v>
      </c>
      <c r="DW250" s="637">
        <v>0</v>
      </c>
      <c r="DX250" s="637">
        <v>0</v>
      </c>
      <c r="DY250" s="637">
        <v>0</v>
      </c>
      <c r="DZ250" s="637">
        <v>0</v>
      </c>
      <c r="EA250" s="637">
        <v>0</v>
      </c>
      <c r="EB250" s="637">
        <v>0</v>
      </c>
      <c r="EC250" s="637">
        <v>0</v>
      </c>
      <c r="ED250" s="637">
        <v>0</v>
      </c>
    </row>
    <row r="251" spans="1:134" ht="15" x14ac:dyDescent="0.25">
      <c r="A251" s="555">
        <v>103</v>
      </c>
      <c r="B251" s="555">
        <v>96</v>
      </c>
      <c r="C251" s="555" t="s">
        <v>1234</v>
      </c>
      <c r="D251" s="812">
        <v>99709</v>
      </c>
      <c r="E251" s="812">
        <v>99709</v>
      </c>
      <c r="F251" s="630" t="s">
        <v>311</v>
      </c>
      <c r="G251" s="45">
        <v>291</v>
      </c>
      <c r="H251" s="45">
        <v>167</v>
      </c>
      <c r="I251" s="45">
        <v>155</v>
      </c>
      <c r="J251" s="45">
        <v>12</v>
      </c>
      <c r="K251" s="45">
        <v>9</v>
      </c>
      <c r="L251" s="45">
        <v>56</v>
      </c>
      <c r="M251" s="45">
        <v>65</v>
      </c>
      <c r="N251" s="45">
        <v>0</v>
      </c>
      <c r="O251" s="45">
        <v>0</v>
      </c>
      <c r="P251" s="45">
        <v>0</v>
      </c>
      <c r="Q251" s="45">
        <v>65</v>
      </c>
      <c r="R251" s="45">
        <v>5317.666666666667</v>
      </c>
      <c r="S251" s="45">
        <v>1757.75</v>
      </c>
      <c r="T251" s="45">
        <v>2250.6615384615384</v>
      </c>
      <c r="U251" s="45">
        <v>0</v>
      </c>
      <c r="V251" s="45">
        <v>0</v>
      </c>
      <c r="W251" s="45">
        <v>0</v>
      </c>
      <c r="X251" s="45">
        <v>2250.6615384615384</v>
      </c>
      <c r="Y251" s="45">
        <v>23.123076923076923</v>
      </c>
      <c r="Z251" s="45">
        <v>143.87692307692308</v>
      </c>
      <c r="AA251" s="45">
        <v>0</v>
      </c>
      <c r="AB251" s="508">
        <v>0</v>
      </c>
      <c r="AC251" s="508">
        <v>0</v>
      </c>
      <c r="AD251" s="631">
        <v>167</v>
      </c>
      <c r="AE251" s="632">
        <v>21.46153846153846</v>
      </c>
      <c r="AF251" s="632">
        <v>133.53846153846155</v>
      </c>
      <c r="AG251" s="633">
        <v>155</v>
      </c>
      <c r="AH251" s="632">
        <v>0</v>
      </c>
      <c r="AI251" s="632">
        <v>22.01683181071742</v>
      </c>
      <c r="AJ251" s="632">
        <v>136.99362015557506</v>
      </c>
      <c r="AK251" s="632">
        <v>159.01045196629246</v>
      </c>
      <c r="AL251" s="632">
        <v>0</v>
      </c>
      <c r="AM251" s="632">
        <v>20.473333958656568</v>
      </c>
      <c r="AN251" s="632">
        <v>127.38963352052977</v>
      </c>
      <c r="AO251" s="632">
        <v>147.86296747918635</v>
      </c>
      <c r="AP251" s="632">
        <v>0</v>
      </c>
      <c r="AQ251" s="632">
        <v>0</v>
      </c>
      <c r="AR251" s="632">
        <v>0</v>
      </c>
      <c r="AS251" s="632">
        <v>151.40313673368027</v>
      </c>
      <c r="AT251" s="632">
        <v>155.16017917344925</v>
      </c>
      <c r="AU251" s="632">
        <v>159.01045196629246</v>
      </c>
      <c r="AV251" s="632">
        <v>162.95626860716601</v>
      </c>
      <c r="AW251" s="632">
        <v>167</v>
      </c>
      <c r="AX251" s="632">
        <v>141.05456226936073</v>
      </c>
      <c r="AY251" s="632">
        <v>144.41864891220024</v>
      </c>
      <c r="AZ251" s="632">
        <v>147.86296747918632</v>
      </c>
      <c r="BA251" s="632">
        <v>151.38943146492716</v>
      </c>
      <c r="BB251" s="632">
        <v>155</v>
      </c>
      <c r="BC251" s="632">
        <v>0</v>
      </c>
      <c r="BD251" s="632">
        <v>0</v>
      </c>
      <c r="BE251" s="632">
        <v>0</v>
      </c>
      <c r="BF251" s="632">
        <v>0</v>
      </c>
      <c r="BG251" s="632">
        <v>0</v>
      </c>
      <c r="BH251" s="634">
        <v>168.73744023887679</v>
      </c>
      <c r="BI251" s="634">
        <v>170.49295651717674</v>
      </c>
      <c r="BJ251" s="634">
        <v>172.26673689500916</v>
      </c>
      <c r="BK251" s="635">
        <v>173.55828607798711</v>
      </c>
      <c r="BL251" s="635">
        <v>174.84983526096505</v>
      </c>
      <c r="BM251" s="635">
        <v>176.14138444394302</v>
      </c>
      <c r="BN251" s="635">
        <v>177.43293362692097</v>
      </c>
      <c r="BO251" s="635">
        <v>178.96010582545935</v>
      </c>
      <c r="BP251" s="635">
        <v>180.4872780239977</v>
      </c>
      <c r="BQ251" s="635">
        <v>184.72103776858012</v>
      </c>
      <c r="BR251" s="635">
        <v>189.76527271549028</v>
      </c>
      <c r="BS251" s="635">
        <v>191.98009696967671</v>
      </c>
      <c r="BT251" s="635">
        <v>193.19638118017258</v>
      </c>
      <c r="BU251" s="635">
        <v>194.45595824094102</v>
      </c>
      <c r="BV251" s="635">
        <v>195.74584029690035</v>
      </c>
      <c r="BW251" s="634">
        <v>156.61259423368804</v>
      </c>
      <c r="BX251" s="634">
        <v>158.24196562971494</v>
      </c>
      <c r="BY251" s="634">
        <v>159.88828873488873</v>
      </c>
      <c r="BZ251" s="635">
        <v>161.0870319885509</v>
      </c>
      <c r="CA251" s="635">
        <v>162.28577524221308</v>
      </c>
      <c r="CB251" s="635">
        <v>163.48451849587525</v>
      </c>
      <c r="CC251" s="635">
        <v>164.68326174953742</v>
      </c>
      <c r="CD251" s="635">
        <v>166.10069702362992</v>
      </c>
      <c r="CE251" s="635">
        <v>167.51813229772242</v>
      </c>
      <c r="CF251" s="635">
        <v>171.44766978520909</v>
      </c>
      <c r="CG251" s="635">
        <v>176.1294447359341</v>
      </c>
      <c r="CH251" s="635">
        <v>178.1851199419155</v>
      </c>
      <c r="CI251" s="635">
        <v>179.31400648459132</v>
      </c>
      <c r="CJ251" s="635">
        <v>180.48307501404705</v>
      </c>
      <c r="CK251" s="635">
        <v>181.68027093424882</v>
      </c>
      <c r="CL251" s="634">
        <v>0</v>
      </c>
      <c r="CM251" s="634">
        <v>0</v>
      </c>
      <c r="CN251" s="634">
        <v>0</v>
      </c>
      <c r="CO251" s="635">
        <v>0</v>
      </c>
      <c r="CP251" s="635">
        <v>0</v>
      </c>
      <c r="CQ251" s="635">
        <v>0</v>
      </c>
      <c r="CR251" s="635">
        <v>0</v>
      </c>
      <c r="CS251" s="635">
        <v>0</v>
      </c>
      <c r="CT251" s="635">
        <v>0</v>
      </c>
      <c r="CU251" s="635">
        <v>0</v>
      </c>
      <c r="CV251" s="635">
        <v>0</v>
      </c>
      <c r="CW251" s="635">
        <v>0</v>
      </c>
      <c r="CX251" s="635">
        <v>0</v>
      </c>
      <c r="CY251" s="635">
        <v>0</v>
      </c>
      <c r="CZ251" s="635">
        <v>0</v>
      </c>
      <c r="DA251" s="636">
        <v>0</v>
      </c>
      <c r="DB251" s="636">
        <v>0</v>
      </c>
      <c r="DC251" s="636">
        <v>0</v>
      </c>
      <c r="DD251" s="637">
        <v>0</v>
      </c>
      <c r="DE251" s="637">
        <v>0</v>
      </c>
      <c r="DF251" s="637">
        <v>0</v>
      </c>
      <c r="DG251" s="637">
        <v>0</v>
      </c>
      <c r="DH251" s="637">
        <v>0</v>
      </c>
      <c r="DI251" s="637">
        <v>0</v>
      </c>
      <c r="DJ251" s="637">
        <v>0</v>
      </c>
      <c r="DK251" s="637">
        <v>0</v>
      </c>
      <c r="DL251" s="637">
        <v>0</v>
      </c>
      <c r="DM251" s="637">
        <v>0</v>
      </c>
      <c r="DN251" s="637">
        <v>0</v>
      </c>
      <c r="DO251" s="637">
        <v>0</v>
      </c>
      <c r="DP251" s="636">
        <v>0</v>
      </c>
      <c r="DQ251" s="636">
        <v>0</v>
      </c>
      <c r="DR251" s="636">
        <v>0</v>
      </c>
      <c r="DS251" s="637">
        <v>0</v>
      </c>
      <c r="DT251" s="637">
        <v>0</v>
      </c>
      <c r="DU251" s="637">
        <v>0</v>
      </c>
      <c r="DV251" s="637">
        <v>0</v>
      </c>
      <c r="DW251" s="637">
        <v>0</v>
      </c>
      <c r="DX251" s="637">
        <v>0</v>
      </c>
      <c r="DY251" s="637">
        <v>0</v>
      </c>
      <c r="DZ251" s="637">
        <v>0</v>
      </c>
      <c r="EA251" s="637">
        <v>0</v>
      </c>
      <c r="EB251" s="637">
        <v>0</v>
      </c>
      <c r="EC251" s="637">
        <v>0</v>
      </c>
      <c r="ED251" s="637">
        <v>0</v>
      </c>
    </row>
    <row r="252" spans="1:134" ht="15" x14ac:dyDescent="0.25">
      <c r="A252" s="555">
        <v>105</v>
      </c>
      <c r="B252" s="555">
        <v>96</v>
      </c>
      <c r="C252" s="555" t="s">
        <v>1235</v>
      </c>
      <c r="D252" s="812">
        <v>99709</v>
      </c>
      <c r="E252" s="812">
        <v>99709</v>
      </c>
      <c r="F252" s="630" t="s">
        <v>311</v>
      </c>
      <c r="G252" s="45">
        <v>77</v>
      </c>
      <c r="H252" s="45">
        <v>33</v>
      </c>
      <c r="I252" s="45">
        <v>32</v>
      </c>
      <c r="J252" s="45">
        <v>1</v>
      </c>
      <c r="K252" s="45">
        <v>0</v>
      </c>
      <c r="L252" s="45">
        <v>0</v>
      </c>
      <c r="M252" s="45">
        <v>0</v>
      </c>
      <c r="N252" s="45">
        <v>0</v>
      </c>
      <c r="O252" s="45">
        <v>0</v>
      </c>
      <c r="P252" s="45">
        <v>0</v>
      </c>
      <c r="Q252" s="45">
        <v>0</v>
      </c>
      <c r="R252" s="45">
        <v>0</v>
      </c>
      <c r="S252" s="45">
        <v>834.49503068156923</v>
      </c>
      <c r="T252" s="45">
        <v>834.49503068156923</v>
      </c>
      <c r="U252" s="45">
        <v>1408.3846153846155</v>
      </c>
      <c r="V252" s="45">
        <v>0</v>
      </c>
      <c r="W252" s="45">
        <v>0</v>
      </c>
      <c r="X252" s="45">
        <v>1365.173957061457</v>
      </c>
      <c r="Y252" s="45">
        <v>0.75610706860706856</v>
      </c>
      <c r="Z252" s="45">
        <v>32.201013513513516</v>
      </c>
      <c r="AA252" s="45">
        <v>4.2879417879417882E-2</v>
      </c>
      <c r="AB252" s="508">
        <v>0</v>
      </c>
      <c r="AC252" s="508">
        <v>0</v>
      </c>
      <c r="AD252" s="631">
        <v>33</v>
      </c>
      <c r="AE252" s="632">
        <v>0.73319473319473316</v>
      </c>
      <c r="AF252" s="632">
        <v>31.225225225225227</v>
      </c>
      <c r="AG252" s="633">
        <v>31.95841995841996</v>
      </c>
      <c r="AH252" s="632">
        <v>4.1580041580041582E-2</v>
      </c>
      <c r="AI252" s="632">
        <v>0.71993369289891307</v>
      </c>
      <c r="AJ252" s="632">
        <v>30.660465344649555</v>
      </c>
      <c r="AK252" s="632">
        <v>31.380399037548468</v>
      </c>
      <c r="AL252" s="632">
        <v>4.0827997706932691E-2</v>
      </c>
      <c r="AM252" s="632">
        <v>0.69943450961473241</v>
      </c>
      <c r="AN252" s="632">
        <v>29.787448141985461</v>
      </c>
      <c r="AO252" s="632">
        <v>30.486882651600194</v>
      </c>
      <c r="AP252" s="632">
        <v>3.9665473135050991E-2</v>
      </c>
      <c r="AQ252" s="632">
        <v>0</v>
      </c>
      <c r="AR252" s="632">
        <v>0</v>
      </c>
      <c r="AS252" s="632">
        <v>29.879110382294556</v>
      </c>
      <c r="AT252" s="632">
        <v>30.620555296783245</v>
      </c>
      <c r="AU252" s="632">
        <v>31.380399037548464</v>
      </c>
      <c r="AV252" s="632">
        <v>32.159098168256293</v>
      </c>
      <c r="AW252" s="632">
        <v>32.957120582120581</v>
      </c>
      <c r="AX252" s="632">
        <v>29.083102826163412</v>
      </c>
      <c r="AY252" s="632">
        <v>29.776721495249706</v>
      </c>
      <c r="AZ252" s="632">
        <v>30.486882651600194</v>
      </c>
      <c r="BA252" s="632">
        <v>31.213980825952124</v>
      </c>
      <c r="BB252" s="632">
        <v>31.95841995841996</v>
      </c>
      <c r="BC252" s="632">
        <v>0</v>
      </c>
      <c r="BD252" s="632">
        <v>0</v>
      </c>
      <c r="BE252" s="632">
        <v>0</v>
      </c>
      <c r="BF252" s="632">
        <v>0</v>
      </c>
      <c r="BG252" s="632">
        <v>0</v>
      </c>
      <c r="BH252" s="634">
        <v>33.374135011904357</v>
      </c>
      <c r="BI252" s="634">
        <v>33.796426026279761</v>
      </c>
      <c r="BJ252" s="634">
        <v>34.224060391149742</v>
      </c>
      <c r="BK252" s="635">
        <v>34.661763993172222</v>
      </c>
      <c r="BL252" s="635">
        <v>35.099467595194689</v>
      </c>
      <c r="BM252" s="635">
        <v>35.537171197217162</v>
      </c>
      <c r="BN252" s="635">
        <v>35.974874799239636</v>
      </c>
      <c r="BO252" s="635">
        <v>36.492430600457801</v>
      </c>
      <c r="BP252" s="635">
        <v>37.009986401675967</v>
      </c>
      <c r="BQ252" s="635">
        <v>38.444799659060934</v>
      </c>
      <c r="BR252" s="635">
        <v>40.154281446366504</v>
      </c>
      <c r="BS252" s="635">
        <v>40.904881242859659</v>
      </c>
      <c r="BT252" s="635">
        <v>41.317077686505399</v>
      </c>
      <c r="BU252" s="635">
        <v>41.74394599612102</v>
      </c>
      <c r="BV252" s="635">
        <v>42.181084611915551</v>
      </c>
      <c r="BW252" s="634">
        <v>32.362797587301202</v>
      </c>
      <c r="BX252" s="634">
        <v>32.772291904271285</v>
      </c>
      <c r="BY252" s="634">
        <v>33.186967652023995</v>
      </c>
      <c r="BZ252" s="635">
        <v>33.61140750853064</v>
      </c>
      <c r="CA252" s="635">
        <v>34.035847365037277</v>
      </c>
      <c r="CB252" s="635">
        <v>34.460287221543915</v>
      </c>
      <c r="CC252" s="635">
        <v>34.88472707805056</v>
      </c>
      <c r="CD252" s="635">
        <v>35.3865993701409</v>
      </c>
      <c r="CE252" s="635">
        <v>35.88847166223124</v>
      </c>
      <c r="CF252" s="635">
        <v>37.279805729998479</v>
      </c>
      <c r="CG252" s="635">
        <v>38.937485038900853</v>
      </c>
      <c r="CH252" s="635">
        <v>39.665339387015429</v>
      </c>
      <c r="CI252" s="635">
        <v>40.06504502933857</v>
      </c>
      <c r="CJ252" s="635">
        <v>40.478977935632507</v>
      </c>
      <c r="CK252" s="635">
        <v>40.902869926705989</v>
      </c>
      <c r="CL252" s="634">
        <v>0</v>
      </c>
      <c r="CM252" s="634">
        <v>0</v>
      </c>
      <c r="CN252" s="634">
        <v>0</v>
      </c>
      <c r="CO252" s="635">
        <v>0</v>
      </c>
      <c r="CP252" s="635">
        <v>0</v>
      </c>
      <c r="CQ252" s="635">
        <v>0</v>
      </c>
      <c r="CR252" s="635">
        <v>0</v>
      </c>
      <c r="CS252" s="635">
        <v>0</v>
      </c>
      <c r="CT252" s="635">
        <v>0</v>
      </c>
      <c r="CU252" s="635">
        <v>0</v>
      </c>
      <c r="CV252" s="635">
        <v>0</v>
      </c>
      <c r="CW252" s="635">
        <v>0</v>
      </c>
      <c r="CX252" s="635">
        <v>0</v>
      </c>
      <c r="CY252" s="635">
        <v>0</v>
      </c>
      <c r="CZ252" s="635">
        <v>0</v>
      </c>
      <c r="DA252" s="636">
        <v>4.3421981540338751E-2</v>
      </c>
      <c r="DB252" s="636">
        <v>4.397141039068405E-2</v>
      </c>
      <c r="DC252" s="636">
        <v>4.4527791297358503E-2</v>
      </c>
      <c r="DD252" s="637">
        <v>4.5097272954946949E-2</v>
      </c>
      <c r="DE252" s="637">
        <v>4.566675461253538E-2</v>
      </c>
      <c r="DF252" s="637">
        <v>4.6236236270123812E-2</v>
      </c>
      <c r="DG252" s="637">
        <v>4.6805717927712258E-2</v>
      </c>
      <c r="DH252" s="637">
        <v>4.747909263655712E-2</v>
      </c>
      <c r="DI252" s="637">
        <v>4.8152467345401989E-2</v>
      </c>
      <c r="DJ252" s="637">
        <v>5.0019255346163069E-2</v>
      </c>
      <c r="DK252" s="637">
        <v>5.2243405472764126E-2</v>
      </c>
      <c r="DL252" s="637">
        <v>5.3219986004241042E-2</v>
      </c>
      <c r="DM252" s="637">
        <v>5.3756281142994279E-2</v>
      </c>
      <c r="DN252" s="637">
        <v>5.4311665360552985E-2</v>
      </c>
      <c r="DO252" s="637">
        <v>5.4880411933275509E-2</v>
      </c>
      <c r="DP252" s="636">
        <v>0</v>
      </c>
      <c r="DQ252" s="636">
        <v>0</v>
      </c>
      <c r="DR252" s="636">
        <v>0</v>
      </c>
      <c r="DS252" s="637">
        <v>0</v>
      </c>
      <c r="DT252" s="637">
        <v>0</v>
      </c>
      <c r="DU252" s="637">
        <v>0</v>
      </c>
      <c r="DV252" s="637">
        <v>0</v>
      </c>
      <c r="DW252" s="637">
        <v>0</v>
      </c>
      <c r="DX252" s="637">
        <v>0</v>
      </c>
      <c r="DY252" s="637">
        <v>0</v>
      </c>
      <c r="DZ252" s="637">
        <v>0</v>
      </c>
      <c r="EA252" s="637">
        <v>0</v>
      </c>
      <c r="EB252" s="637">
        <v>0</v>
      </c>
      <c r="EC252" s="637">
        <v>0</v>
      </c>
      <c r="ED252" s="637">
        <v>0</v>
      </c>
    </row>
    <row r="253" spans="1:134" ht="15" x14ac:dyDescent="0.25">
      <c r="A253" s="555">
        <v>106</v>
      </c>
      <c r="B253" s="555">
        <v>96</v>
      </c>
      <c r="C253" s="555" t="s">
        <v>1236</v>
      </c>
      <c r="D253" s="812">
        <v>99709</v>
      </c>
      <c r="E253" s="812">
        <v>99709</v>
      </c>
      <c r="F253" s="630" t="s">
        <v>311</v>
      </c>
      <c r="G253" s="45">
        <v>295</v>
      </c>
      <c r="H253" s="45">
        <v>186</v>
      </c>
      <c r="I253" s="45">
        <v>169</v>
      </c>
      <c r="J253" s="45">
        <v>17</v>
      </c>
      <c r="K253" s="45">
        <v>6</v>
      </c>
      <c r="L253" s="45">
        <v>72</v>
      </c>
      <c r="M253" s="45">
        <v>78</v>
      </c>
      <c r="N253" s="45">
        <v>0</v>
      </c>
      <c r="O253" s="45">
        <v>0</v>
      </c>
      <c r="P253" s="45">
        <v>0</v>
      </c>
      <c r="Q253" s="45">
        <v>78</v>
      </c>
      <c r="R253" s="45">
        <v>5043.666666666667</v>
      </c>
      <c r="S253" s="45">
        <v>1138.4166666666667</v>
      </c>
      <c r="T253" s="45">
        <v>1438.8205128205129</v>
      </c>
      <c r="U253" s="45">
        <v>0</v>
      </c>
      <c r="V253" s="45">
        <v>0</v>
      </c>
      <c r="W253" s="45">
        <v>0</v>
      </c>
      <c r="X253" s="45">
        <v>1438.8205128205129</v>
      </c>
      <c r="Y253" s="45">
        <v>14.307692307692308</v>
      </c>
      <c r="Z253" s="45">
        <v>171.69230769230768</v>
      </c>
      <c r="AA253" s="45">
        <v>0</v>
      </c>
      <c r="AB253" s="508">
        <v>0</v>
      </c>
      <c r="AC253" s="508">
        <v>0</v>
      </c>
      <c r="AD253" s="631">
        <v>186</v>
      </c>
      <c r="AE253" s="632">
        <v>13</v>
      </c>
      <c r="AF253" s="632">
        <v>155.99999999999997</v>
      </c>
      <c r="AG253" s="633">
        <v>168.99999999999997</v>
      </c>
      <c r="AH253" s="632">
        <v>0</v>
      </c>
      <c r="AI253" s="632">
        <v>13.623189343956886</v>
      </c>
      <c r="AJ253" s="632">
        <v>163.47827212748263</v>
      </c>
      <c r="AK253" s="632">
        <v>177.10146147143951</v>
      </c>
      <c r="AL253" s="632">
        <v>0</v>
      </c>
      <c r="AM253" s="632">
        <v>12.401410175673693</v>
      </c>
      <c r="AN253" s="632">
        <v>148.81692210808427</v>
      </c>
      <c r="AO253" s="632">
        <v>161.21833228375797</v>
      </c>
      <c r="AP253" s="632">
        <v>0</v>
      </c>
      <c r="AQ253" s="632">
        <v>0</v>
      </c>
      <c r="AR253" s="632">
        <v>0</v>
      </c>
      <c r="AS253" s="632">
        <v>168.62864330817084</v>
      </c>
      <c r="AT253" s="632">
        <v>172.81313369018901</v>
      </c>
      <c r="AU253" s="632">
        <v>177.10146147143951</v>
      </c>
      <c r="AV253" s="632">
        <v>181.49620335887951</v>
      </c>
      <c r="AW253" s="632">
        <v>186</v>
      </c>
      <c r="AX253" s="632">
        <v>153.79497434530296</v>
      </c>
      <c r="AY253" s="632">
        <v>157.46291397523763</v>
      </c>
      <c r="AZ253" s="632">
        <v>161.21833228375797</v>
      </c>
      <c r="BA253" s="632">
        <v>165.06331559724313</v>
      </c>
      <c r="BB253" s="632">
        <v>168.99999999999997</v>
      </c>
      <c r="BC253" s="632">
        <v>0</v>
      </c>
      <c r="BD253" s="632">
        <v>0</v>
      </c>
      <c r="BE253" s="632">
        <v>0</v>
      </c>
      <c r="BF253" s="632">
        <v>0</v>
      </c>
      <c r="BG253" s="632">
        <v>0</v>
      </c>
      <c r="BH253" s="634">
        <v>187.76343140038284</v>
      </c>
      <c r="BI253" s="634">
        <v>189.54358156584019</v>
      </c>
      <c r="BJ253" s="634">
        <v>191.34060900387368</v>
      </c>
      <c r="BK253" s="635">
        <v>191.55780834293409</v>
      </c>
      <c r="BL253" s="635">
        <v>191.77500768199448</v>
      </c>
      <c r="BM253" s="635">
        <v>191.9922070210549</v>
      </c>
      <c r="BN253" s="635">
        <v>192.20940636011528</v>
      </c>
      <c r="BO253" s="635">
        <v>192.46623033284948</v>
      </c>
      <c r="BP253" s="635">
        <v>192.72305430558359</v>
      </c>
      <c r="BQ253" s="635">
        <v>193.43504408528642</v>
      </c>
      <c r="BR253" s="635">
        <v>194.28333117413587</v>
      </c>
      <c r="BS253" s="635">
        <v>194.65579733375594</v>
      </c>
      <c r="BT253" s="635">
        <v>194.86033939077629</v>
      </c>
      <c r="BU253" s="635">
        <v>195.07216199010134</v>
      </c>
      <c r="BV253" s="635">
        <v>195.28908096903973</v>
      </c>
      <c r="BW253" s="634">
        <v>170.60225756271342</v>
      </c>
      <c r="BX253" s="634">
        <v>172.21970583132787</v>
      </c>
      <c r="BY253" s="634">
        <v>173.85248882610026</v>
      </c>
      <c r="BZ253" s="635">
        <v>174.0498366126659</v>
      </c>
      <c r="CA253" s="635">
        <v>174.24718439923151</v>
      </c>
      <c r="CB253" s="635">
        <v>174.44453218579716</v>
      </c>
      <c r="CC253" s="635">
        <v>174.6418799723628</v>
      </c>
      <c r="CD253" s="635">
        <v>174.87523078629869</v>
      </c>
      <c r="CE253" s="635">
        <v>175.10858160023454</v>
      </c>
      <c r="CF253" s="635">
        <v>175.75549704523334</v>
      </c>
      <c r="CG253" s="635">
        <v>176.52625251843523</v>
      </c>
      <c r="CH253" s="635">
        <v>176.86467607206853</v>
      </c>
      <c r="CI253" s="635">
        <v>177.05052342495264</v>
      </c>
      <c r="CJ253" s="635">
        <v>177.24298589423185</v>
      </c>
      <c r="CK253" s="635">
        <v>177.44007894498768</v>
      </c>
      <c r="CL253" s="634">
        <v>0</v>
      </c>
      <c r="CM253" s="634">
        <v>0</v>
      </c>
      <c r="CN253" s="634">
        <v>0</v>
      </c>
      <c r="CO253" s="635">
        <v>0</v>
      </c>
      <c r="CP253" s="635">
        <v>0</v>
      </c>
      <c r="CQ253" s="635">
        <v>0</v>
      </c>
      <c r="CR253" s="635">
        <v>0</v>
      </c>
      <c r="CS253" s="635">
        <v>0</v>
      </c>
      <c r="CT253" s="635">
        <v>0</v>
      </c>
      <c r="CU253" s="635">
        <v>0</v>
      </c>
      <c r="CV253" s="635">
        <v>0</v>
      </c>
      <c r="CW253" s="635">
        <v>0</v>
      </c>
      <c r="CX253" s="635">
        <v>0</v>
      </c>
      <c r="CY253" s="635">
        <v>0</v>
      </c>
      <c r="CZ253" s="635">
        <v>0</v>
      </c>
      <c r="DA253" s="636">
        <v>0</v>
      </c>
      <c r="DB253" s="636">
        <v>0</v>
      </c>
      <c r="DC253" s="636">
        <v>0</v>
      </c>
      <c r="DD253" s="637">
        <v>0</v>
      </c>
      <c r="DE253" s="637">
        <v>0</v>
      </c>
      <c r="DF253" s="637">
        <v>0</v>
      </c>
      <c r="DG253" s="637">
        <v>0</v>
      </c>
      <c r="DH253" s="637">
        <v>0</v>
      </c>
      <c r="DI253" s="637">
        <v>0</v>
      </c>
      <c r="DJ253" s="637">
        <v>0</v>
      </c>
      <c r="DK253" s="637">
        <v>0</v>
      </c>
      <c r="DL253" s="637">
        <v>0</v>
      </c>
      <c r="DM253" s="637">
        <v>0</v>
      </c>
      <c r="DN253" s="637">
        <v>0</v>
      </c>
      <c r="DO253" s="637">
        <v>0</v>
      </c>
      <c r="DP253" s="636">
        <v>0</v>
      </c>
      <c r="DQ253" s="636">
        <v>0</v>
      </c>
      <c r="DR253" s="636">
        <v>0</v>
      </c>
      <c r="DS253" s="637">
        <v>0</v>
      </c>
      <c r="DT253" s="637">
        <v>0</v>
      </c>
      <c r="DU253" s="637">
        <v>0</v>
      </c>
      <c r="DV253" s="637">
        <v>0</v>
      </c>
      <c r="DW253" s="637">
        <v>0</v>
      </c>
      <c r="DX253" s="637">
        <v>0</v>
      </c>
      <c r="DY253" s="637">
        <v>0</v>
      </c>
      <c r="DZ253" s="637">
        <v>0</v>
      </c>
      <c r="EA253" s="637">
        <v>0</v>
      </c>
      <c r="EB253" s="637">
        <v>0</v>
      </c>
      <c r="EC253" s="637">
        <v>0</v>
      </c>
      <c r="ED253" s="637">
        <v>0</v>
      </c>
    </row>
    <row r="254" spans="1:134" ht="15" x14ac:dyDescent="0.25">
      <c r="A254" s="555">
        <v>107</v>
      </c>
      <c r="B254" s="555">
        <v>96</v>
      </c>
      <c r="C254" s="555" t="s">
        <v>1237</v>
      </c>
      <c r="D254" s="812">
        <v>99709</v>
      </c>
      <c r="E254" s="812">
        <v>99709</v>
      </c>
      <c r="F254" s="630" t="s">
        <v>311</v>
      </c>
      <c r="G254" s="45">
        <v>234</v>
      </c>
      <c r="H254" s="45">
        <v>105</v>
      </c>
      <c r="I254" s="45">
        <v>99</v>
      </c>
      <c r="J254" s="45">
        <v>6</v>
      </c>
      <c r="K254" s="45">
        <v>1</v>
      </c>
      <c r="L254" s="45">
        <v>92</v>
      </c>
      <c r="M254" s="45">
        <v>93</v>
      </c>
      <c r="N254" s="45">
        <v>10</v>
      </c>
      <c r="O254" s="45">
        <v>0</v>
      </c>
      <c r="P254" s="45">
        <v>0</v>
      </c>
      <c r="Q254" s="45">
        <v>103</v>
      </c>
      <c r="R254" s="45">
        <v>4272</v>
      </c>
      <c r="S254" s="45">
        <v>2161.413043478261</v>
      </c>
      <c r="T254" s="45">
        <v>2184.1075268817203</v>
      </c>
      <c r="U254" s="45">
        <v>4861.3</v>
      </c>
      <c r="V254" s="45">
        <v>0</v>
      </c>
      <c r="W254" s="45">
        <v>0</v>
      </c>
      <c r="X254" s="45">
        <v>2444.029126213592</v>
      </c>
      <c r="Y254" s="45">
        <v>1.1290322580645162</v>
      </c>
      <c r="Z254" s="45">
        <v>103.87096774193549</v>
      </c>
      <c r="AA254" s="45">
        <v>0</v>
      </c>
      <c r="AB254" s="508">
        <v>10</v>
      </c>
      <c r="AC254" s="508">
        <v>0</v>
      </c>
      <c r="AD254" s="631">
        <v>115</v>
      </c>
      <c r="AE254" s="632">
        <v>1.0645161290322582</v>
      </c>
      <c r="AF254" s="632">
        <v>97.935483870967744</v>
      </c>
      <c r="AG254" s="633">
        <v>99</v>
      </c>
      <c r="AH254" s="632">
        <v>0</v>
      </c>
      <c r="AI254" s="632">
        <v>1.0750175427506736</v>
      </c>
      <c r="AJ254" s="632">
        <v>98.901613933061967</v>
      </c>
      <c r="AK254" s="632">
        <v>99.976631475812638</v>
      </c>
      <c r="AL254" s="632">
        <v>0</v>
      </c>
      <c r="AM254" s="632">
        <v>1.0155000888268781</v>
      </c>
      <c r="AN254" s="632">
        <v>93.426008172072784</v>
      </c>
      <c r="AO254" s="632">
        <v>94.441508260899667</v>
      </c>
      <c r="AP254" s="632">
        <v>0</v>
      </c>
      <c r="AQ254" s="632">
        <v>9.5966573850124082</v>
      </c>
      <c r="AR254" s="632">
        <v>0</v>
      </c>
      <c r="AS254" s="632">
        <v>95.193588964289987</v>
      </c>
      <c r="AT254" s="632">
        <v>97.555801276719592</v>
      </c>
      <c r="AU254" s="632">
        <v>99.976631475812638</v>
      </c>
      <c r="AV254" s="632">
        <v>102.45753415420619</v>
      </c>
      <c r="AW254" s="632">
        <v>105</v>
      </c>
      <c r="AX254" s="632">
        <v>90.092913965591691</v>
      </c>
      <c r="AY254" s="632">
        <v>92.241588660050468</v>
      </c>
      <c r="AZ254" s="632">
        <v>94.441508260899653</v>
      </c>
      <c r="BA254" s="632">
        <v>96.693894935663153</v>
      </c>
      <c r="BB254" s="632">
        <v>99</v>
      </c>
      <c r="BC254" s="632">
        <v>9.2095832965313207</v>
      </c>
      <c r="BD254" s="632">
        <v>9.4011284192667119</v>
      </c>
      <c r="BE254" s="632">
        <v>9.5966573850124082</v>
      </c>
      <c r="BF254" s="632">
        <v>9.7962530515561959</v>
      </c>
      <c r="BG254" s="632">
        <v>10</v>
      </c>
      <c r="BH254" s="634">
        <v>105.99548546795805</v>
      </c>
      <c r="BI254" s="634">
        <v>107.00040894845817</v>
      </c>
      <c r="BJ254" s="634">
        <v>108.01485992154159</v>
      </c>
      <c r="BK254" s="635">
        <v>108.9081800830805</v>
      </c>
      <c r="BL254" s="635">
        <v>109.8015002446194</v>
      </c>
      <c r="BM254" s="635">
        <v>110.69482040615834</v>
      </c>
      <c r="BN254" s="635">
        <v>111.58814056769725</v>
      </c>
      <c r="BO254" s="635">
        <v>112.64443306749233</v>
      </c>
      <c r="BP254" s="635">
        <v>113.70072556728736</v>
      </c>
      <c r="BQ254" s="635">
        <v>116.62907161000398</v>
      </c>
      <c r="BR254" s="635">
        <v>120.11799548297967</v>
      </c>
      <c r="BS254" s="635">
        <v>121.64991326559802</v>
      </c>
      <c r="BT254" s="635">
        <v>122.49117523356439</v>
      </c>
      <c r="BU254" s="635">
        <v>123.36238137749305</v>
      </c>
      <c r="BV254" s="635">
        <v>124.25454844459524</v>
      </c>
      <c r="BW254" s="634">
        <v>99.938600584074734</v>
      </c>
      <c r="BX254" s="634">
        <v>100.88609986568913</v>
      </c>
      <c r="BY254" s="634">
        <v>101.84258221173921</v>
      </c>
      <c r="BZ254" s="635">
        <v>102.68485550690447</v>
      </c>
      <c r="CA254" s="635">
        <v>103.52712880206974</v>
      </c>
      <c r="CB254" s="635">
        <v>104.36940209723501</v>
      </c>
      <c r="CC254" s="635">
        <v>105.21167539240028</v>
      </c>
      <c r="CD254" s="635">
        <v>106.20760832077848</v>
      </c>
      <c r="CE254" s="635">
        <v>107.20354124915666</v>
      </c>
      <c r="CF254" s="635">
        <v>109.96455323228948</v>
      </c>
      <c r="CG254" s="635">
        <v>113.2541100268094</v>
      </c>
      <c r="CH254" s="635">
        <v>114.698489650421</v>
      </c>
      <c r="CI254" s="635">
        <v>115.49167950593215</v>
      </c>
      <c r="CJ254" s="635">
        <v>116.3131024416363</v>
      </c>
      <c r="CK254" s="635">
        <v>117.15428853347551</v>
      </c>
      <c r="CL254" s="634">
        <v>10.094808139805529</v>
      </c>
      <c r="CM254" s="634">
        <v>10.190515137948397</v>
      </c>
      <c r="CN254" s="634">
        <v>10.287129516337295</v>
      </c>
      <c r="CO254" s="635">
        <v>10.372207626960048</v>
      </c>
      <c r="CP254" s="635">
        <v>10.457285737582803</v>
      </c>
      <c r="CQ254" s="635">
        <v>10.542363848205557</v>
      </c>
      <c r="CR254" s="635">
        <v>10.627441958828312</v>
      </c>
      <c r="CS254" s="635">
        <v>10.72804124452308</v>
      </c>
      <c r="CT254" s="635">
        <v>10.828640530217845</v>
      </c>
      <c r="CU254" s="635">
        <v>11.10753062952419</v>
      </c>
      <c r="CV254" s="635">
        <v>11.439809093617111</v>
      </c>
      <c r="CW254" s="635">
        <v>11.58570602529505</v>
      </c>
      <c r="CX254" s="635">
        <v>11.66582621272042</v>
      </c>
      <c r="CY254" s="635">
        <v>11.74879822642791</v>
      </c>
      <c r="CZ254" s="635">
        <v>11.833766518532881</v>
      </c>
      <c r="DA254" s="636">
        <v>0</v>
      </c>
      <c r="DB254" s="636">
        <v>0</v>
      </c>
      <c r="DC254" s="636">
        <v>0</v>
      </c>
      <c r="DD254" s="637">
        <v>0</v>
      </c>
      <c r="DE254" s="637">
        <v>0</v>
      </c>
      <c r="DF254" s="637">
        <v>0</v>
      </c>
      <c r="DG254" s="637">
        <v>0</v>
      </c>
      <c r="DH254" s="637">
        <v>0</v>
      </c>
      <c r="DI254" s="637">
        <v>0</v>
      </c>
      <c r="DJ254" s="637">
        <v>0</v>
      </c>
      <c r="DK254" s="637">
        <v>0</v>
      </c>
      <c r="DL254" s="637">
        <v>0</v>
      </c>
      <c r="DM254" s="637">
        <v>0</v>
      </c>
      <c r="DN254" s="637">
        <v>0</v>
      </c>
      <c r="DO254" s="637">
        <v>0</v>
      </c>
      <c r="DP254" s="636">
        <v>0</v>
      </c>
      <c r="DQ254" s="636">
        <v>0</v>
      </c>
      <c r="DR254" s="636">
        <v>0</v>
      </c>
      <c r="DS254" s="637">
        <v>0</v>
      </c>
      <c r="DT254" s="637">
        <v>0</v>
      </c>
      <c r="DU254" s="637">
        <v>0</v>
      </c>
      <c r="DV254" s="637">
        <v>0</v>
      </c>
      <c r="DW254" s="637">
        <v>0</v>
      </c>
      <c r="DX254" s="637">
        <v>0</v>
      </c>
      <c r="DY254" s="637">
        <v>0</v>
      </c>
      <c r="DZ254" s="637">
        <v>0</v>
      </c>
      <c r="EA254" s="637">
        <v>0</v>
      </c>
      <c r="EB254" s="637">
        <v>0</v>
      </c>
      <c r="EC254" s="637">
        <v>0</v>
      </c>
      <c r="ED254" s="637">
        <v>0</v>
      </c>
    </row>
    <row r="255" spans="1:134" ht="15" x14ac:dyDescent="0.25">
      <c r="A255" s="555">
        <v>108</v>
      </c>
      <c r="B255" s="555">
        <v>96</v>
      </c>
      <c r="C255" s="555" t="s">
        <v>1238</v>
      </c>
      <c r="D255" s="812">
        <v>99709</v>
      </c>
      <c r="E255" s="812">
        <v>99709</v>
      </c>
      <c r="F255" s="630" t="s">
        <v>311</v>
      </c>
      <c r="G255" s="45">
        <v>613</v>
      </c>
      <c r="H255" s="45">
        <v>246</v>
      </c>
      <c r="I255" s="45">
        <v>235</v>
      </c>
      <c r="J255" s="45">
        <v>11</v>
      </c>
      <c r="K255" s="45">
        <v>6</v>
      </c>
      <c r="L255" s="45">
        <v>166</v>
      </c>
      <c r="M255" s="45">
        <v>172</v>
      </c>
      <c r="N255" s="45">
        <v>14</v>
      </c>
      <c r="O255" s="45">
        <v>0</v>
      </c>
      <c r="P255" s="45">
        <v>0</v>
      </c>
      <c r="Q255" s="45">
        <v>186</v>
      </c>
      <c r="R255" s="45">
        <v>4640.5</v>
      </c>
      <c r="S255" s="45">
        <v>2312.2831325301204</v>
      </c>
      <c r="T255" s="45">
        <v>2393.5</v>
      </c>
      <c r="U255" s="45">
        <v>4804.2857142857147</v>
      </c>
      <c r="V255" s="45">
        <v>0</v>
      </c>
      <c r="W255" s="45">
        <v>0</v>
      </c>
      <c r="X255" s="45">
        <v>2574.9569892473119</v>
      </c>
      <c r="Y255" s="45">
        <v>8.5813953488372086</v>
      </c>
      <c r="Z255" s="45">
        <v>237.41860465116278</v>
      </c>
      <c r="AA255" s="45">
        <v>0</v>
      </c>
      <c r="AB255" s="508">
        <v>14</v>
      </c>
      <c r="AC255" s="508">
        <v>0</v>
      </c>
      <c r="AD255" s="631">
        <v>260</v>
      </c>
      <c r="AE255" s="632">
        <v>8.1976744186046506</v>
      </c>
      <c r="AF255" s="632">
        <v>226.80232558139534</v>
      </c>
      <c r="AG255" s="633">
        <v>235</v>
      </c>
      <c r="AH255" s="632">
        <v>0</v>
      </c>
      <c r="AI255" s="632">
        <v>8.1708476222757156</v>
      </c>
      <c r="AJ255" s="632">
        <v>226.06011754962816</v>
      </c>
      <c r="AK255" s="632">
        <v>234.23096517190388</v>
      </c>
      <c r="AL255" s="632">
        <v>0</v>
      </c>
      <c r="AM255" s="632">
        <v>7.820209457826433</v>
      </c>
      <c r="AN255" s="632">
        <v>216.35912833319799</v>
      </c>
      <c r="AO255" s="632">
        <v>224.17933779102441</v>
      </c>
      <c r="AP255" s="632">
        <v>0</v>
      </c>
      <c r="AQ255" s="632">
        <v>13.435320339017371</v>
      </c>
      <c r="AR255" s="632">
        <v>0</v>
      </c>
      <c r="AS255" s="632">
        <v>223.02497985919368</v>
      </c>
      <c r="AT255" s="632">
        <v>228.55930584831447</v>
      </c>
      <c r="AU255" s="632">
        <v>234.23096517190388</v>
      </c>
      <c r="AV255" s="632">
        <v>240.04336573271164</v>
      </c>
      <c r="AW255" s="632">
        <v>246</v>
      </c>
      <c r="AX255" s="632">
        <v>213.85691698903076</v>
      </c>
      <c r="AY255" s="632">
        <v>218.95730641527132</v>
      </c>
      <c r="AZ255" s="632">
        <v>224.17933779102444</v>
      </c>
      <c r="BA255" s="632">
        <v>229.52591222101861</v>
      </c>
      <c r="BB255" s="632">
        <v>235</v>
      </c>
      <c r="BC255" s="632">
        <v>12.893416615143849</v>
      </c>
      <c r="BD255" s="632">
        <v>13.161579786973396</v>
      </c>
      <c r="BE255" s="632">
        <v>13.435320339017371</v>
      </c>
      <c r="BF255" s="632">
        <v>13.714754272178675</v>
      </c>
      <c r="BG255" s="632">
        <v>14</v>
      </c>
      <c r="BH255" s="634">
        <v>248.332280239216</v>
      </c>
      <c r="BI255" s="634">
        <v>250.68667239353056</v>
      </c>
      <c r="BJ255" s="634">
        <v>253.06338610189744</v>
      </c>
      <c r="BK255" s="635">
        <v>253.64779287283341</v>
      </c>
      <c r="BL255" s="635">
        <v>254.23219964376932</v>
      </c>
      <c r="BM255" s="635">
        <v>254.81660641470523</v>
      </c>
      <c r="BN255" s="635">
        <v>255.4010131856412</v>
      </c>
      <c r="BO255" s="635">
        <v>256.09203586210884</v>
      </c>
      <c r="BP255" s="635">
        <v>256.78305853857637</v>
      </c>
      <c r="BQ255" s="635">
        <v>258.69877177184645</v>
      </c>
      <c r="BR255" s="635">
        <v>260.98121296418958</v>
      </c>
      <c r="BS255" s="635">
        <v>261.98338795499808</v>
      </c>
      <c r="BT255" s="635">
        <v>262.53373844676747</v>
      </c>
      <c r="BU255" s="635">
        <v>263.10367830854756</v>
      </c>
      <c r="BV255" s="635">
        <v>263.6873307293352</v>
      </c>
      <c r="BW255" s="634">
        <v>237.22799128542994</v>
      </c>
      <c r="BX255" s="634">
        <v>239.47710574178734</v>
      </c>
      <c r="BY255" s="634">
        <v>241.74754363392643</v>
      </c>
      <c r="BZ255" s="635">
        <v>242.30581839477989</v>
      </c>
      <c r="CA255" s="635">
        <v>242.8640931556333</v>
      </c>
      <c r="CB255" s="635">
        <v>243.42236791648671</v>
      </c>
      <c r="CC255" s="635">
        <v>243.98064267734017</v>
      </c>
      <c r="CD255" s="635">
        <v>244.64076596583567</v>
      </c>
      <c r="CE255" s="635">
        <v>245.30088925433111</v>
      </c>
      <c r="CF255" s="635">
        <v>247.13094051375577</v>
      </c>
      <c r="CG255" s="635">
        <v>249.31132132757946</v>
      </c>
      <c r="CH255" s="635">
        <v>250.26868361554696</v>
      </c>
      <c r="CI255" s="635">
        <v>250.7944249389852</v>
      </c>
      <c r="CJ255" s="635">
        <v>251.33887968499465</v>
      </c>
      <c r="CK255" s="635">
        <v>251.89643382680396</v>
      </c>
      <c r="CL255" s="634">
        <v>14.13273139572774</v>
      </c>
      <c r="CM255" s="634">
        <v>14.266721193127756</v>
      </c>
      <c r="CN255" s="634">
        <v>14.401981322872212</v>
      </c>
      <c r="CO255" s="635">
        <v>14.435240244795397</v>
      </c>
      <c r="CP255" s="635">
        <v>14.46849916671858</v>
      </c>
      <c r="CQ255" s="635">
        <v>14.501758088641761</v>
      </c>
      <c r="CR255" s="635">
        <v>14.535017010564946</v>
      </c>
      <c r="CS255" s="635">
        <v>14.574343504347656</v>
      </c>
      <c r="CT255" s="635">
        <v>14.613669998130364</v>
      </c>
      <c r="CU255" s="635">
        <v>14.722694328479067</v>
      </c>
      <c r="CV255" s="635">
        <v>14.852589355685584</v>
      </c>
      <c r="CW255" s="635">
        <v>14.909623704755989</v>
      </c>
      <c r="CX255" s="635">
        <v>14.940944464450181</v>
      </c>
      <c r="CY255" s="635">
        <v>14.973380066340106</v>
      </c>
      <c r="CZ255" s="635">
        <v>15.006596057767043</v>
      </c>
      <c r="DA255" s="636">
        <v>0</v>
      </c>
      <c r="DB255" s="636">
        <v>0</v>
      </c>
      <c r="DC255" s="636">
        <v>0</v>
      </c>
      <c r="DD255" s="637">
        <v>0</v>
      </c>
      <c r="DE255" s="637">
        <v>0</v>
      </c>
      <c r="DF255" s="637">
        <v>0</v>
      </c>
      <c r="DG255" s="637">
        <v>0</v>
      </c>
      <c r="DH255" s="637">
        <v>0</v>
      </c>
      <c r="DI255" s="637">
        <v>0</v>
      </c>
      <c r="DJ255" s="637">
        <v>0</v>
      </c>
      <c r="DK255" s="637">
        <v>0</v>
      </c>
      <c r="DL255" s="637">
        <v>0</v>
      </c>
      <c r="DM255" s="637">
        <v>0</v>
      </c>
      <c r="DN255" s="637">
        <v>0</v>
      </c>
      <c r="DO255" s="637">
        <v>0</v>
      </c>
      <c r="DP255" s="636">
        <v>0</v>
      </c>
      <c r="DQ255" s="636">
        <v>0</v>
      </c>
      <c r="DR255" s="636">
        <v>0</v>
      </c>
      <c r="DS255" s="637">
        <v>0</v>
      </c>
      <c r="DT255" s="637">
        <v>0</v>
      </c>
      <c r="DU255" s="637">
        <v>0</v>
      </c>
      <c r="DV255" s="637">
        <v>0</v>
      </c>
      <c r="DW255" s="637">
        <v>0</v>
      </c>
      <c r="DX255" s="637">
        <v>0</v>
      </c>
      <c r="DY255" s="637">
        <v>0</v>
      </c>
      <c r="DZ255" s="637">
        <v>0</v>
      </c>
      <c r="EA255" s="637">
        <v>0</v>
      </c>
      <c r="EB255" s="637">
        <v>0</v>
      </c>
      <c r="EC255" s="637">
        <v>0</v>
      </c>
      <c r="ED255" s="637">
        <v>0</v>
      </c>
    </row>
    <row r="256" spans="1:134" ht="15" x14ac:dyDescent="0.25">
      <c r="A256" s="555">
        <v>109</v>
      </c>
      <c r="B256" s="555">
        <v>96</v>
      </c>
      <c r="C256" s="555" t="s">
        <v>1239</v>
      </c>
      <c r="D256" s="812">
        <v>99712</v>
      </c>
      <c r="E256" s="812">
        <v>99709</v>
      </c>
      <c r="F256" s="630" t="s">
        <v>311</v>
      </c>
      <c r="G256" s="45">
        <v>483</v>
      </c>
      <c r="H256" s="45">
        <v>385</v>
      </c>
      <c r="I256" s="45">
        <v>272</v>
      </c>
      <c r="J256" s="45">
        <v>113</v>
      </c>
      <c r="K256" s="45">
        <v>2</v>
      </c>
      <c r="L256" s="45">
        <v>0</v>
      </c>
      <c r="M256" s="45">
        <v>2</v>
      </c>
      <c r="N256" s="45">
        <v>2</v>
      </c>
      <c r="O256" s="45">
        <v>0</v>
      </c>
      <c r="P256" s="45">
        <v>0</v>
      </c>
      <c r="Q256" s="45">
        <v>4</v>
      </c>
      <c r="R256" s="45">
        <v>259074</v>
      </c>
      <c r="S256" s="45">
        <v>0</v>
      </c>
      <c r="T256" s="638">
        <v>1345.8389610389611</v>
      </c>
      <c r="U256" s="45">
        <v>66760</v>
      </c>
      <c r="V256" s="45">
        <v>0</v>
      </c>
      <c r="W256" s="45">
        <v>0</v>
      </c>
      <c r="X256" s="638">
        <v>1683.8966408268734</v>
      </c>
      <c r="Y256" s="45">
        <v>385</v>
      </c>
      <c r="Z256" s="45">
        <v>0</v>
      </c>
      <c r="AA256" s="45">
        <v>0</v>
      </c>
      <c r="AB256" s="508">
        <v>2</v>
      </c>
      <c r="AC256" s="508">
        <v>0</v>
      </c>
      <c r="AD256" s="631">
        <v>387</v>
      </c>
      <c r="AE256" s="632">
        <v>272</v>
      </c>
      <c r="AF256" s="632">
        <v>0</v>
      </c>
      <c r="AG256" s="633">
        <v>272</v>
      </c>
      <c r="AH256" s="632">
        <v>0</v>
      </c>
      <c r="AI256" s="632">
        <v>350.0089843811092</v>
      </c>
      <c r="AJ256" s="632">
        <v>0</v>
      </c>
      <c r="AK256" s="632">
        <v>350.0089843811092</v>
      </c>
      <c r="AL256" s="632">
        <v>0</v>
      </c>
      <c r="AM256" s="632">
        <v>248.18751802551131</v>
      </c>
      <c r="AN256" s="632">
        <v>0</v>
      </c>
      <c r="AO256" s="632">
        <v>248.18751802551131</v>
      </c>
      <c r="AP256" s="632">
        <v>0</v>
      </c>
      <c r="AQ256" s="632">
        <v>1.8596827016276773</v>
      </c>
      <c r="AR256" s="632">
        <v>0</v>
      </c>
      <c r="AS256" s="632">
        <v>318.19815362985861</v>
      </c>
      <c r="AT256" s="632">
        <v>333.72475572532971</v>
      </c>
      <c r="AU256" s="632">
        <v>350.0089843811092</v>
      </c>
      <c r="AV256" s="632">
        <v>367.08780827851945</v>
      </c>
      <c r="AW256" s="632">
        <v>385</v>
      </c>
      <c r="AX256" s="632">
        <v>226.45972096935111</v>
      </c>
      <c r="AY256" s="632">
        <v>237.07483223685531</v>
      </c>
      <c r="AZ256" s="632">
        <v>248.18751802551131</v>
      </c>
      <c r="BA256" s="632">
        <v>259.82110172759081</v>
      </c>
      <c r="BB256" s="632">
        <v>272</v>
      </c>
      <c r="BC256" s="632">
        <v>1.7292098753666085</v>
      </c>
      <c r="BD256" s="632">
        <v>1.7932600739165065</v>
      </c>
      <c r="BE256" s="632">
        <v>1.8596827016276773</v>
      </c>
      <c r="BF256" s="632">
        <v>1.9285656336395076</v>
      </c>
      <c r="BG256" s="632">
        <v>2</v>
      </c>
      <c r="BH256" s="634">
        <v>388.65011338251287</v>
      </c>
      <c r="BI256" s="634">
        <v>392.33483281101331</v>
      </c>
      <c r="BJ256" s="634">
        <v>396.05448637898581</v>
      </c>
      <c r="BK256" s="635">
        <v>397.04525182983718</v>
      </c>
      <c r="BL256" s="635">
        <v>398.03601728068861</v>
      </c>
      <c r="BM256" s="635">
        <v>399.02678273153987</v>
      </c>
      <c r="BN256" s="635">
        <v>400.01754818239129</v>
      </c>
      <c r="BO256" s="635">
        <v>401.18906334554117</v>
      </c>
      <c r="BP256" s="635">
        <v>402.36057850869105</v>
      </c>
      <c r="BQ256" s="635">
        <v>405.60835485156764</v>
      </c>
      <c r="BR256" s="635">
        <v>409.47785806309258</v>
      </c>
      <c r="BS256" s="635">
        <v>411.17688074041416</v>
      </c>
      <c r="BT256" s="635">
        <v>412.10990937769503</v>
      </c>
      <c r="BU256" s="635">
        <v>413.07614856621501</v>
      </c>
      <c r="BV256" s="635">
        <v>414.06563514060235</v>
      </c>
      <c r="BW256" s="634">
        <v>274.57878140271038</v>
      </c>
      <c r="BX256" s="634">
        <v>277.18201175219639</v>
      </c>
      <c r="BY256" s="634">
        <v>279.8099228443744</v>
      </c>
      <c r="BZ256" s="635">
        <v>280.50989220185903</v>
      </c>
      <c r="CA256" s="635">
        <v>281.20986155934361</v>
      </c>
      <c r="CB256" s="635">
        <v>281.90983091682818</v>
      </c>
      <c r="CC256" s="635">
        <v>282.60980027431282</v>
      </c>
      <c r="CD256" s="635">
        <v>283.43746812983687</v>
      </c>
      <c r="CE256" s="635">
        <v>284.26513598536093</v>
      </c>
      <c r="CF256" s="635">
        <v>286.55966888214652</v>
      </c>
      <c r="CG256" s="635">
        <v>289.29344777444464</v>
      </c>
      <c r="CH256" s="635">
        <v>290.49379626335752</v>
      </c>
      <c r="CI256" s="635">
        <v>291.15297493696897</v>
      </c>
      <c r="CJ256" s="635">
        <v>291.83561664937787</v>
      </c>
      <c r="CK256" s="635">
        <v>292.53468248894507</v>
      </c>
      <c r="CL256" s="634">
        <v>2.0189616279611058</v>
      </c>
      <c r="CM256" s="634">
        <v>2.0381030275896794</v>
      </c>
      <c r="CN256" s="634">
        <v>2.0574259032674589</v>
      </c>
      <c r="CO256" s="635">
        <v>2.062572736778375</v>
      </c>
      <c r="CP256" s="635">
        <v>2.0677195702892917</v>
      </c>
      <c r="CQ256" s="635">
        <v>2.0728664038002074</v>
      </c>
      <c r="CR256" s="635">
        <v>2.0780132373111235</v>
      </c>
      <c r="CS256" s="635">
        <v>2.0840990303664477</v>
      </c>
      <c r="CT256" s="635">
        <v>2.0901848234217719</v>
      </c>
      <c r="CU256" s="635">
        <v>2.1070563888393128</v>
      </c>
      <c r="CV256" s="635">
        <v>2.1271577042238579</v>
      </c>
      <c r="CW256" s="635">
        <v>2.1359837960540995</v>
      </c>
      <c r="CX256" s="635">
        <v>2.1408306980659484</v>
      </c>
      <c r="CY256" s="635">
        <v>2.1458501224218964</v>
      </c>
      <c r="CZ256" s="635">
        <v>2.1509903124187137</v>
      </c>
      <c r="DA256" s="636">
        <v>0</v>
      </c>
      <c r="DB256" s="636">
        <v>0</v>
      </c>
      <c r="DC256" s="636">
        <v>0</v>
      </c>
      <c r="DD256" s="637">
        <v>0</v>
      </c>
      <c r="DE256" s="637">
        <v>0</v>
      </c>
      <c r="DF256" s="637">
        <v>0</v>
      </c>
      <c r="DG256" s="637">
        <v>0</v>
      </c>
      <c r="DH256" s="637">
        <v>0</v>
      </c>
      <c r="DI256" s="637">
        <v>0</v>
      </c>
      <c r="DJ256" s="637">
        <v>0</v>
      </c>
      <c r="DK256" s="637">
        <v>0</v>
      </c>
      <c r="DL256" s="637">
        <v>0</v>
      </c>
      <c r="DM256" s="637">
        <v>0</v>
      </c>
      <c r="DN256" s="637">
        <v>0</v>
      </c>
      <c r="DO256" s="637">
        <v>0</v>
      </c>
      <c r="DP256" s="636">
        <v>0</v>
      </c>
      <c r="DQ256" s="636">
        <v>0</v>
      </c>
      <c r="DR256" s="636">
        <v>0</v>
      </c>
      <c r="DS256" s="637">
        <v>0</v>
      </c>
      <c r="DT256" s="637">
        <v>0</v>
      </c>
      <c r="DU256" s="637">
        <v>0</v>
      </c>
      <c r="DV256" s="637">
        <v>0</v>
      </c>
      <c r="DW256" s="637">
        <v>0</v>
      </c>
      <c r="DX256" s="637">
        <v>0</v>
      </c>
      <c r="DY256" s="637">
        <v>0</v>
      </c>
      <c r="DZ256" s="637">
        <v>0</v>
      </c>
      <c r="EA256" s="637">
        <v>0</v>
      </c>
      <c r="EB256" s="637">
        <v>0</v>
      </c>
      <c r="EC256" s="637">
        <v>0</v>
      </c>
      <c r="ED256" s="637">
        <v>0</v>
      </c>
    </row>
    <row r="257" spans="1:134" ht="15" x14ac:dyDescent="0.25">
      <c r="A257" s="555">
        <v>111</v>
      </c>
      <c r="B257" s="555">
        <v>96</v>
      </c>
      <c r="C257" s="555" t="s">
        <v>1240</v>
      </c>
      <c r="D257" s="812">
        <v>99712</v>
      </c>
      <c r="E257" s="812">
        <v>99712</v>
      </c>
      <c r="F257" s="630" t="s">
        <v>311</v>
      </c>
      <c r="G257" s="45">
        <v>142</v>
      </c>
      <c r="H257" s="45">
        <v>61</v>
      </c>
      <c r="I257" s="45">
        <v>56</v>
      </c>
      <c r="J257" s="45">
        <v>5</v>
      </c>
      <c r="K257" s="45">
        <v>0</v>
      </c>
      <c r="L257" s="45">
        <v>67</v>
      </c>
      <c r="M257" s="45">
        <v>67</v>
      </c>
      <c r="N257" s="45">
        <v>5</v>
      </c>
      <c r="O257" s="45">
        <v>0</v>
      </c>
      <c r="P257" s="45">
        <v>0</v>
      </c>
      <c r="Q257" s="45">
        <v>72</v>
      </c>
      <c r="R257" s="45">
        <v>0</v>
      </c>
      <c r="S257" s="45">
        <v>2531.4626865671644</v>
      </c>
      <c r="T257" s="45">
        <v>2531.4626865671644</v>
      </c>
      <c r="U257" s="45">
        <v>9182</v>
      </c>
      <c r="V257" s="45">
        <v>0</v>
      </c>
      <c r="W257" s="45">
        <v>0</v>
      </c>
      <c r="X257" s="45">
        <v>2993.3055555555557</v>
      </c>
      <c r="Y257" s="45">
        <v>0</v>
      </c>
      <c r="Z257" s="45">
        <v>61</v>
      </c>
      <c r="AA257" s="45">
        <v>0</v>
      </c>
      <c r="AB257" s="508">
        <v>5</v>
      </c>
      <c r="AC257" s="508">
        <v>0</v>
      </c>
      <c r="AD257" s="631">
        <v>66</v>
      </c>
      <c r="AE257" s="632">
        <v>0</v>
      </c>
      <c r="AF257" s="632">
        <v>56</v>
      </c>
      <c r="AG257" s="633">
        <v>56</v>
      </c>
      <c r="AH257" s="632">
        <v>0</v>
      </c>
      <c r="AI257" s="632">
        <v>0</v>
      </c>
      <c r="AJ257" s="632">
        <v>55.455968953890029</v>
      </c>
      <c r="AK257" s="632">
        <v>55.455968953890029</v>
      </c>
      <c r="AL257" s="632">
        <v>0</v>
      </c>
      <c r="AM257" s="632">
        <v>0</v>
      </c>
      <c r="AN257" s="632">
        <v>51.09743018172292</v>
      </c>
      <c r="AO257" s="632">
        <v>51.09743018172292</v>
      </c>
      <c r="AP257" s="632">
        <v>0</v>
      </c>
      <c r="AQ257" s="632">
        <v>4.6492067540691933</v>
      </c>
      <c r="AR257" s="632">
        <v>0</v>
      </c>
      <c r="AS257" s="632">
        <v>50.41581135434123</v>
      </c>
      <c r="AT257" s="632">
        <v>52.875870387649641</v>
      </c>
      <c r="AU257" s="632">
        <v>55.455968953890029</v>
      </c>
      <c r="AV257" s="632">
        <v>58.161964428544643</v>
      </c>
      <c r="AW257" s="632">
        <v>61</v>
      </c>
      <c r="AX257" s="632">
        <v>46.624060199572291</v>
      </c>
      <c r="AY257" s="632">
        <v>48.809524284058448</v>
      </c>
      <c r="AZ257" s="632">
        <v>51.09743018172292</v>
      </c>
      <c r="BA257" s="632">
        <v>53.492579767445164</v>
      </c>
      <c r="BB257" s="632">
        <v>56</v>
      </c>
      <c r="BC257" s="632">
        <v>4.3230246884165213</v>
      </c>
      <c r="BD257" s="632">
        <v>4.483150184791266</v>
      </c>
      <c r="BE257" s="632">
        <v>4.6492067540691933</v>
      </c>
      <c r="BF257" s="632">
        <v>4.8214140840987687</v>
      </c>
      <c r="BG257" s="632">
        <v>5</v>
      </c>
      <c r="BH257" s="634">
        <v>61.577627137757396</v>
      </c>
      <c r="BI257" s="634">
        <v>62.16072399863404</v>
      </c>
      <c r="BJ257" s="634">
        <v>62.749342377064515</v>
      </c>
      <c r="BK257" s="635">
        <v>63.573241115540689</v>
      </c>
      <c r="BL257" s="635">
        <v>64.397139854016871</v>
      </c>
      <c r="BM257" s="635">
        <v>65.221038592493059</v>
      </c>
      <c r="BN257" s="635">
        <v>66.044937330969233</v>
      </c>
      <c r="BO257" s="635">
        <v>67.019143551215905</v>
      </c>
      <c r="BP257" s="635">
        <v>67.993349771462576</v>
      </c>
      <c r="BQ257" s="635">
        <v>70.694129082498904</v>
      </c>
      <c r="BR257" s="635">
        <v>73.911922770970193</v>
      </c>
      <c r="BS257" s="635">
        <v>75.324792627589332</v>
      </c>
      <c r="BT257" s="635">
        <v>76.100678702903537</v>
      </c>
      <c r="BU257" s="635">
        <v>76.904181941539676</v>
      </c>
      <c r="BV257" s="635">
        <v>77.727017194501229</v>
      </c>
      <c r="BW257" s="634">
        <v>56.530280651055975</v>
      </c>
      <c r="BX257" s="634">
        <v>57.065582687270592</v>
      </c>
      <c r="BY257" s="634">
        <v>57.605953657632995</v>
      </c>
      <c r="BZ257" s="635">
        <v>58.362319712627517</v>
      </c>
      <c r="CA257" s="635">
        <v>59.11868576762204</v>
      </c>
      <c r="CB257" s="635">
        <v>59.87505182261657</v>
      </c>
      <c r="CC257" s="635">
        <v>60.631417877611092</v>
      </c>
      <c r="CD257" s="635">
        <v>61.525771128985092</v>
      </c>
      <c r="CE257" s="635">
        <v>62.420124380359091</v>
      </c>
      <c r="CF257" s="635">
        <v>64.899528338031772</v>
      </c>
      <c r="CG257" s="635">
        <v>67.853568445480818</v>
      </c>
      <c r="CH257" s="635">
        <v>69.150629297459048</v>
      </c>
      <c r="CI257" s="635">
        <v>69.862918153485211</v>
      </c>
      <c r="CJ257" s="635">
        <v>70.600560470921664</v>
      </c>
      <c r="CK257" s="635">
        <v>71.355950211345387</v>
      </c>
      <c r="CL257" s="634">
        <v>5.0473464867014259</v>
      </c>
      <c r="CM257" s="634">
        <v>5.0951413113634461</v>
      </c>
      <c r="CN257" s="634">
        <v>5.1433887194315178</v>
      </c>
      <c r="CO257" s="635">
        <v>5.2109214029131712</v>
      </c>
      <c r="CP257" s="635">
        <v>5.2784540863948255</v>
      </c>
      <c r="CQ257" s="635">
        <v>5.3459867698764798</v>
      </c>
      <c r="CR257" s="635">
        <v>5.4135194533581332</v>
      </c>
      <c r="CS257" s="635">
        <v>5.493372422230812</v>
      </c>
      <c r="CT257" s="635">
        <v>5.5732253911034908</v>
      </c>
      <c r="CU257" s="635">
        <v>5.7946007444671235</v>
      </c>
      <c r="CV257" s="635">
        <v>6.0583543254893595</v>
      </c>
      <c r="CW257" s="635">
        <v>6.1741633301302734</v>
      </c>
      <c r="CX257" s="635">
        <v>6.237760549418323</v>
      </c>
      <c r="CY257" s="635">
        <v>6.3036214706180065</v>
      </c>
      <c r="CZ257" s="635">
        <v>6.3710669831558384</v>
      </c>
      <c r="DA257" s="636">
        <v>0</v>
      </c>
      <c r="DB257" s="636">
        <v>0</v>
      </c>
      <c r="DC257" s="636">
        <v>0</v>
      </c>
      <c r="DD257" s="637">
        <v>0</v>
      </c>
      <c r="DE257" s="637">
        <v>0</v>
      </c>
      <c r="DF257" s="637">
        <v>0</v>
      </c>
      <c r="DG257" s="637">
        <v>0</v>
      </c>
      <c r="DH257" s="637">
        <v>0</v>
      </c>
      <c r="DI257" s="637">
        <v>0</v>
      </c>
      <c r="DJ257" s="637">
        <v>0</v>
      </c>
      <c r="DK257" s="637">
        <v>0</v>
      </c>
      <c r="DL257" s="637">
        <v>0</v>
      </c>
      <c r="DM257" s="637">
        <v>0</v>
      </c>
      <c r="DN257" s="637">
        <v>0</v>
      </c>
      <c r="DO257" s="637">
        <v>0</v>
      </c>
      <c r="DP257" s="636">
        <v>0</v>
      </c>
      <c r="DQ257" s="636">
        <v>0</v>
      </c>
      <c r="DR257" s="636">
        <v>0</v>
      </c>
      <c r="DS257" s="637">
        <v>0</v>
      </c>
      <c r="DT257" s="637">
        <v>0</v>
      </c>
      <c r="DU257" s="637">
        <v>0</v>
      </c>
      <c r="DV257" s="637">
        <v>0</v>
      </c>
      <c r="DW257" s="637">
        <v>0</v>
      </c>
      <c r="DX257" s="637">
        <v>0</v>
      </c>
      <c r="DY257" s="637">
        <v>0</v>
      </c>
      <c r="DZ257" s="637">
        <v>0</v>
      </c>
      <c r="EA257" s="637">
        <v>0</v>
      </c>
      <c r="EB257" s="637">
        <v>0</v>
      </c>
      <c r="EC257" s="637">
        <v>0</v>
      </c>
      <c r="ED257" s="637">
        <v>0</v>
      </c>
    </row>
    <row r="258" spans="1:134" ht="15" x14ac:dyDescent="0.25">
      <c r="A258" s="555">
        <v>112</v>
      </c>
      <c r="B258" s="555">
        <v>96</v>
      </c>
      <c r="C258" s="555" t="s">
        <v>1241</v>
      </c>
      <c r="D258" s="812">
        <v>99712</v>
      </c>
      <c r="E258" s="812">
        <v>99712</v>
      </c>
      <c r="F258" s="630" t="s">
        <v>311</v>
      </c>
      <c r="G258" s="45">
        <v>53</v>
      </c>
      <c r="H258" s="45">
        <v>17</v>
      </c>
      <c r="I258" s="45">
        <v>15</v>
      </c>
      <c r="J258" s="45">
        <v>2</v>
      </c>
      <c r="K258" s="45">
        <v>0</v>
      </c>
      <c r="L258" s="45">
        <v>13</v>
      </c>
      <c r="M258" s="45">
        <v>13</v>
      </c>
      <c r="N258" s="45">
        <v>0</v>
      </c>
      <c r="O258" s="45">
        <v>0</v>
      </c>
      <c r="P258" s="45">
        <v>0</v>
      </c>
      <c r="Q258" s="45">
        <v>13</v>
      </c>
      <c r="R258" s="45">
        <v>0</v>
      </c>
      <c r="S258" s="45">
        <v>2751.6923076923076</v>
      </c>
      <c r="T258" s="45">
        <v>2751.6923076923076</v>
      </c>
      <c r="U258" s="45">
        <v>0</v>
      </c>
      <c r="V258" s="45">
        <v>0</v>
      </c>
      <c r="W258" s="45">
        <v>0</v>
      </c>
      <c r="X258" s="45">
        <v>2751.6923076923076</v>
      </c>
      <c r="Y258" s="45">
        <v>0</v>
      </c>
      <c r="Z258" s="45">
        <v>17</v>
      </c>
      <c r="AA258" s="45">
        <v>0</v>
      </c>
      <c r="AB258" s="508">
        <v>0</v>
      </c>
      <c r="AC258" s="508">
        <v>0</v>
      </c>
      <c r="AD258" s="631">
        <v>17</v>
      </c>
      <c r="AE258" s="632">
        <v>0</v>
      </c>
      <c r="AF258" s="632">
        <v>15</v>
      </c>
      <c r="AG258" s="633">
        <v>15</v>
      </c>
      <c r="AH258" s="632">
        <v>0</v>
      </c>
      <c r="AI258" s="632">
        <v>0</v>
      </c>
      <c r="AJ258" s="632">
        <v>15.454942167477549</v>
      </c>
      <c r="AK258" s="632">
        <v>15.454942167477549</v>
      </c>
      <c r="AL258" s="632">
        <v>0</v>
      </c>
      <c r="AM258" s="632">
        <v>0</v>
      </c>
      <c r="AN258" s="632">
        <v>13.686811655818639</v>
      </c>
      <c r="AO258" s="632">
        <v>13.686811655818639</v>
      </c>
      <c r="AP258" s="632">
        <v>0</v>
      </c>
      <c r="AQ258" s="632">
        <v>0</v>
      </c>
      <c r="AR258" s="632">
        <v>0</v>
      </c>
      <c r="AS258" s="632">
        <v>14.050308082357391</v>
      </c>
      <c r="AT258" s="632">
        <v>14.735898304754819</v>
      </c>
      <c r="AU258" s="632">
        <v>15.454942167477549</v>
      </c>
      <c r="AV258" s="632">
        <v>16.209072053856705</v>
      </c>
      <c r="AW258" s="632">
        <v>17</v>
      </c>
      <c r="AX258" s="632">
        <v>12.488587553456863</v>
      </c>
      <c r="AY258" s="632">
        <v>13.073979718944226</v>
      </c>
      <c r="AZ258" s="632">
        <v>13.686811655818639</v>
      </c>
      <c r="BA258" s="632">
        <v>14.328369580565669</v>
      </c>
      <c r="BB258" s="632">
        <v>15</v>
      </c>
      <c r="BC258" s="632">
        <v>0</v>
      </c>
      <c r="BD258" s="632">
        <v>0</v>
      </c>
      <c r="BE258" s="632">
        <v>0</v>
      </c>
      <c r="BF258" s="632">
        <v>0</v>
      </c>
      <c r="BG258" s="632">
        <v>0</v>
      </c>
      <c r="BH258" s="634">
        <v>17.160978054784849</v>
      </c>
      <c r="BI258" s="634">
        <v>17.323480458635714</v>
      </c>
      <c r="BJ258" s="634">
        <v>17.487521646067158</v>
      </c>
      <c r="BK258" s="635">
        <v>17.532870458856276</v>
      </c>
      <c r="BL258" s="635">
        <v>17.578219271645391</v>
      </c>
      <c r="BM258" s="635">
        <v>17.623568084434506</v>
      </c>
      <c r="BN258" s="635">
        <v>17.668916897223625</v>
      </c>
      <c r="BO258" s="635">
        <v>17.722538894001616</v>
      </c>
      <c r="BP258" s="635">
        <v>17.776160890779604</v>
      </c>
      <c r="BQ258" s="635">
        <v>17.924816459287243</v>
      </c>
      <c r="BR258" s="635">
        <v>18.101929394115103</v>
      </c>
      <c r="BS258" s="635">
        <v>18.179696196794893</v>
      </c>
      <c r="BT258" s="635">
        <v>18.222402309490466</v>
      </c>
      <c r="BU258" s="635">
        <v>18.266628518662429</v>
      </c>
      <c r="BV258" s="635">
        <v>18.311918795367852</v>
      </c>
      <c r="BW258" s="634">
        <v>15.142039460104279</v>
      </c>
      <c r="BX258" s="634">
        <v>15.285423934090337</v>
      </c>
      <c r="BY258" s="634">
        <v>15.430166158294552</v>
      </c>
      <c r="BZ258" s="635">
        <v>15.470179816637893</v>
      </c>
      <c r="CA258" s="635">
        <v>15.510193474981229</v>
      </c>
      <c r="CB258" s="635">
        <v>15.550207133324566</v>
      </c>
      <c r="CC258" s="635">
        <v>15.590220791667907</v>
      </c>
      <c r="CD258" s="635">
        <v>15.637534318236719</v>
      </c>
      <c r="CE258" s="635">
        <v>15.684847844805534</v>
      </c>
      <c r="CF258" s="635">
        <v>15.81601452290051</v>
      </c>
      <c r="CG258" s="635">
        <v>15.972290641866268</v>
      </c>
      <c r="CH258" s="635">
        <v>16.040908408936673</v>
      </c>
      <c r="CI258" s="635">
        <v>16.078590273079826</v>
      </c>
      <c r="CJ258" s="635">
        <v>16.117613398819792</v>
      </c>
      <c r="CK258" s="635">
        <v>16.157575407677516</v>
      </c>
      <c r="CL258" s="634">
        <v>0</v>
      </c>
      <c r="CM258" s="634">
        <v>0</v>
      </c>
      <c r="CN258" s="634">
        <v>0</v>
      </c>
      <c r="CO258" s="635">
        <v>0</v>
      </c>
      <c r="CP258" s="635">
        <v>0</v>
      </c>
      <c r="CQ258" s="635">
        <v>0</v>
      </c>
      <c r="CR258" s="635">
        <v>0</v>
      </c>
      <c r="CS258" s="635">
        <v>0</v>
      </c>
      <c r="CT258" s="635">
        <v>0</v>
      </c>
      <c r="CU258" s="635">
        <v>0</v>
      </c>
      <c r="CV258" s="635">
        <v>0</v>
      </c>
      <c r="CW258" s="635">
        <v>0</v>
      </c>
      <c r="CX258" s="635">
        <v>0</v>
      </c>
      <c r="CY258" s="635">
        <v>0</v>
      </c>
      <c r="CZ258" s="635">
        <v>0</v>
      </c>
      <c r="DA258" s="636">
        <v>0</v>
      </c>
      <c r="DB258" s="636">
        <v>0</v>
      </c>
      <c r="DC258" s="636">
        <v>0</v>
      </c>
      <c r="DD258" s="637">
        <v>0</v>
      </c>
      <c r="DE258" s="637">
        <v>0</v>
      </c>
      <c r="DF258" s="637">
        <v>0</v>
      </c>
      <c r="DG258" s="637">
        <v>0</v>
      </c>
      <c r="DH258" s="637">
        <v>0</v>
      </c>
      <c r="DI258" s="637">
        <v>0</v>
      </c>
      <c r="DJ258" s="637">
        <v>0</v>
      </c>
      <c r="DK258" s="637">
        <v>0</v>
      </c>
      <c r="DL258" s="637">
        <v>0</v>
      </c>
      <c r="DM258" s="637">
        <v>0</v>
      </c>
      <c r="DN258" s="637">
        <v>0</v>
      </c>
      <c r="DO258" s="637">
        <v>0</v>
      </c>
      <c r="DP258" s="636">
        <v>0</v>
      </c>
      <c r="DQ258" s="636">
        <v>0</v>
      </c>
      <c r="DR258" s="636">
        <v>0</v>
      </c>
      <c r="DS258" s="637">
        <v>0</v>
      </c>
      <c r="DT258" s="637">
        <v>0</v>
      </c>
      <c r="DU258" s="637">
        <v>0</v>
      </c>
      <c r="DV258" s="637">
        <v>0</v>
      </c>
      <c r="DW258" s="637">
        <v>0</v>
      </c>
      <c r="DX258" s="637">
        <v>0</v>
      </c>
      <c r="DY258" s="637">
        <v>0</v>
      </c>
      <c r="DZ258" s="637">
        <v>0</v>
      </c>
      <c r="EA258" s="637">
        <v>0</v>
      </c>
      <c r="EB258" s="637">
        <v>0</v>
      </c>
      <c r="EC258" s="637">
        <v>0</v>
      </c>
      <c r="ED258" s="637">
        <v>0</v>
      </c>
    </row>
    <row r="259" spans="1:134" ht="15" x14ac:dyDescent="0.25">
      <c r="A259" s="555">
        <v>115</v>
      </c>
      <c r="B259" s="555">
        <v>96</v>
      </c>
      <c r="C259" s="555" t="s">
        <v>1242</v>
      </c>
      <c r="D259" s="812">
        <v>99701</v>
      </c>
      <c r="E259" s="812">
        <v>99703</v>
      </c>
      <c r="F259" s="630" t="s">
        <v>311</v>
      </c>
      <c r="G259" s="45">
        <v>10</v>
      </c>
      <c r="H259" s="45">
        <v>2</v>
      </c>
      <c r="I259" s="45">
        <v>2</v>
      </c>
      <c r="J259" s="45">
        <v>0</v>
      </c>
      <c r="K259" s="45">
        <v>0</v>
      </c>
      <c r="L259" s="45">
        <v>0</v>
      </c>
      <c r="M259" s="45">
        <v>0</v>
      </c>
      <c r="N259" s="45">
        <v>0</v>
      </c>
      <c r="O259" s="45">
        <v>0</v>
      </c>
      <c r="P259" s="45">
        <v>0</v>
      </c>
      <c r="Q259" s="45">
        <v>0</v>
      </c>
      <c r="R259" s="45">
        <v>0</v>
      </c>
      <c r="S259" s="45">
        <v>834.49503068156923</v>
      </c>
      <c r="T259" s="45">
        <v>834.49503068156923</v>
      </c>
      <c r="U259" s="45">
        <v>1408.3846153846155</v>
      </c>
      <c r="V259" s="45">
        <v>0</v>
      </c>
      <c r="W259" s="45">
        <v>0</v>
      </c>
      <c r="X259" s="45">
        <v>1365.173957061457</v>
      </c>
      <c r="Y259" s="45">
        <v>4.5824670824670823E-2</v>
      </c>
      <c r="Z259" s="45">
        <v>1.9515765765765767</v>
      </c>
      <c r="AA259" s="45">
        <v>2.5987525987525989E-3</v>
      </c>
      <c r="AB259" s="508">
        <v>0</v>
      </c>
      <c r="AC259" s="508">
        <v>0</v>
      </c>
      <c r="AD259" s="631">
        <v>2</v>
      </c>
      <c r="AE259" s="632">
        <v>4.5824670824670823E-2</v>
      </c>
      <c r="AF259" s="632">
        <v>1.9515765765765767</v>
      </c>
      <c r="AG259" s="633">
        <v>1.9974012474012475</v>
      </c>
      <c r="AH259" s="632">
        <v>2.5987525987525989E-3</v>
      </c>
      <c r="AI259" s="632">
        <v>4.5316017727981564E-2</v>
      </c>
      <c r="AJ259" s="632">
        <v>1.9299141084947009</v>
      </c>
      <c r="AK259" s="632">
        <v>1.9752301262226826</v>
      </c>
      <c r="AL259" s="632">
        <v>2.5699064874091628E-3</v>
      </c>
      <c r="AM259" s="632">
        <v>4.5399475445597207E-2</v>
      </c>
      <c r="AN259" s="632">
        <v>1.9334683975687328</v>
      </c>
      <c r="AO259" s="632">
        <v>1.9788678730143301</v>
      </c>
      <c r="AP259" s="632">
        <v>2.5746394392588213E-3</v>
      </c>
      <c r="AQ259" s="632">
        <v>0</v>
      </c>
      <c r="AR259" s="632">
        <v>0</v>
      </c>
      <c r="AS259" s="632">
        <v>1.9533051041265896</v>
      </c>
      <c r="AT259" s="632">
        <v>1.9642370242349503</v>
      </c>
      <c r="AU259" s="632">
        <v>1.9752301262226823</v>
      </c>
      <c r="AV259" s="632">
        <v>1.986284752501944</v>
      </c>
      <c r="AW259" s="632">
        <v>1.9974012474012475</v>
      </c>
      <c r="AX259" s="632">
        <v>1.9605064650596014</v>
      </c>
      <c r="AY259" s="632">
        <v>1.9696657733085927</v>
      </c>
      <c r="AZ259" s="632">
        <v>1.9788678730143299</v>
      </c>
      <c r="BA259" s="632">
        <v>1.9881129640946149</v>
      </c>
      <c r="BB259" s="632">
        <v>1.9974012474012475</v>
      </c>
      <c r="BC259" s="632">
        <v>0</v>
      </c>
      <c r="BD259" s="632">
        <v>0</v>
      </c>
      <c r="BE259" s="632">
        <v>0</v>
      </c>
      <c r="BF259" s="632">
        <v>0</v>
      </c>
      <c r="BG259" s="632">
        <v>0</v>
      </c>
      <c r="BH259" s="634">
        <v>2.005700798179324</v>
      </c>
      <c r="BI259" s="634">
        <v>2.0140348350393569</v>
      </c>
      <c r="BJ259" s="634">
        <v>2.0224035012770352</v>
      </c>
      <c r="BK259" s="635">
        <v>2.0840908246017777</v>
      </c>
      <c r="BL259" s="635">
        <v>2.1457781479265208</v>
      </c>
      <c r="BM259" s="635">
        <v>2.2074654712512638</v>
      </c>
      <c r="BN259" s="635">
        <v>2.2691527945760064</v>
      </c>
      <c r="BO259" s="635">
        <v>2.342094008449549</v>
      </c>
      <c r="BP259" s="635">
        <v>2.4150352223230906</v>
      </c>
      <c r="BQ259" s="635">
        <v>2.6172492066493822</v>
      </c>
      <c r="BR259" s="635">
        <v>2.8581733280045989</v>
      </c>
      <c r="BS259" s="635">
        <v>2.9639583663725988</v>
      </c>
      <c r="BT259" s="635">
        <v>3.0220508636127263</v>
      </c>
      <c r="BU259" s="635">
        <v>3.08221112574142</v>
      </c>
      <c r="BV259" s="635">
        <v>3.1438188232921083</v>
      </c>
      <c r="BW259" s="634">
        <v>2.005700798179324</v>
      </c>
      <c r="BX259" s="634">
        <v>2.0140348350393569</v>
      </c>
      <c r="BY259" s="634">
        <v>2.0224035012770352</v>
      </c>
      <c r="BZ259" s="635">
        <v>2.0840908246017777</v>
      </c>
      <c r="CA259" s="635">
        <v>2.1457781479265208</v>
      </c>
      <c r="CB259" s="635">
        <v>2.2074654712512638</v>
      </c>
      <c r="CC259" s="635">
        <v>2.2691527945760064</v>
      </c>
      <c r="CD259" s="635">
        <v>2.342094008449549</v>
      </c>
      <c r="CE259" s="635">
        <v>2.4150352223230906</v>
      </c>
      <c r="CF259" s="635">
        <v>2.6172492066493822</v>
      </c>
      <c r="CG259" s="635">
        <v>2.8581733280045989</v>
      </c>
      <c r="CH259" s="635">
        <v>2.9639583663725988</v>
      </c>
      <c r="CI259" s="635">
        <v>3.0220508636127263</v>
      </c>
      <c r="CJ259" s="635">
        <v>3.08221112574142</v>
      </c>
      <c r="CK259" s="635">
        <v>3.1438188232921083</v>
      </c>
      <c r="CL259" s="634">
        <v>0</v>
      </c>
      <c r="CM259" s="634">
        <v>0</v>
      </c>
      <c r="CN259" s="634">
        <v>0</v>
      </c>
      <c r="CO259" s="635">
        <v>0</v>
      </c>
      <c r="CP259" s="635">
        <v>0</v>
      </c>
      <c r="CQ259" s="635">
        <v>0</v>
      </c>
      <c r="CR259" s="635">
        <v>0</v>
      </c>
      <c r="CS259" s="635">
        <v>0</v>
      </c>
      <c r="CT259" s="635">
        <v>0</v>
      </c>
      <c r="CU259" s="635">
        <v>0</v>
      </c>
      <c r="CV259" s="635">
        <v>0</v>
      </c>
      <c r="CW259" s="635">
        <v>0</v>
      </c>
      <c r="CX259" s="635">
        <v>0</v>
      </c>
      <c r="CY259" s="635">
        <v>0</v>
      </c>
      <c r="CZ259" s="635">
        <v>0</v>
      </c>
      <c r="DA259" s="636">
        <v>2.6095508693459849E-3</v>
      </c>
      <c r="DB259" s="636">
        <v>2.6203940086382471E-3</v>
      </c>
      <c r="DC259" s="636">
        <v>2.6312822030666607E-3</v>
      </c>
      <c r="DD259" s="637">
        <v>2.7115415360418659E-3</v>
      </c>
      <c r="DE259" s="637">
        <v>2.7918008690170711E-3</v>
      </c>
      <c r="DF259" s="637">
        <v>2.8720602019922771E-3</v>
      </c>
      <c r="DG259" s="637">
        <v>2.9523195349674823E-3</v>
      </c>
      <c r="DH259" s="637">
        <v>3.0472209321487759E-3</v>
      </c>
      <c r="DI259" s="637">
        <v>3.1421223293300691E-3</v>
      </c>
      <c r="DJ259" s="637">
        <v>3.4052162459658896E-3</v>
      </c>
      <c r="DK259" s="637">
        <v>3.7186746396104596E-3</v>
      </c>
      <c r="DL259" s="637">
        <v>3.8563080488844643E-3</v>
      </c>
      <c r="DM259" s="637">
        <v>3.931890272720175E-3</v>
      </c>
      <c r="DN259" s="637">
        <v>4.0101627969573511E-3</v>
      </c>
      <c r="DO259" s="637">
        <v>4.090318531475551E-3</v>
      </c>
      <c r="DP259" s="636">
        <v>0</v>
      </c>
      <c r="DQ259" s="636">
        <v>0</v>
      </c>
      <c r="DR259" s="636">
        <v>0</v>
      </c>
      <c r="DS259" s="637">
        <v>0</v>
      </c>
      <c r="DT259" s="637">
        <v>0</v>
      </c>
      <c r="DU259" s="637">
        <v>0</v>
      </c>
      <c r="DV259" s="637">
        <v>0</v>
      </c>
      <c r="DW259" s="637">
        <v>0</v>
      </c>
      <c r="DX259" s="637">
        <v>0</v>
      </c>
      <c r="DY259" s="637">
        <v>0</v>
      </c>
      <c r="DZ259" s="637">
        <v>0</v>
      </c>
      <c r="EA259" s="637">
        <v>0</v>
      </c>
      <c r="EB259" s="637">
        <v>0</v>
      </c>
      <c r="EC259" s="637">
        <v>0</v>
      </c>
      <c r="ED259" s="637">
        <v>0</v>
      </c>
    </row>
    <row r="260" spans="1:134" ht="15" x14ac:dyDescent="0.25">
      <c r="A260" s="555">
        <v>128</v>
      </c>
      <c r="B260" s="555">
        <v>96</v>
      </c>
      <c r="C260" s="555" t="s">
        <v>1243</v>
      </c>
      <c r="D260" s="812">
        <v>99712</v>
      </c>
      <c r="E260" s="812">
        <v>99712</v>
      </c>
      <c r="F260" s="630" t="s">
        <v>989</v>
      </c>
      <c r="G260" s="45">
        <v>134</v>
      </c>
      <c r="H260" s="45">
        <v>65</v>
      </c>
      <c r="I260" s="45">
        <v>53</v>
      </c>
      <c r="J260" s="45">
        <v>12</v>
      </c>
      <c r="K260" s="45">
        <v>0</v>
      </c>
      <c r="L260" s="45">
        <v>20</v>
      </c>
      <c r="M260" s="45">
        <v>20</v>
      </c>
      <c r="N260" s="45">
        <v>0</v>
      </c>
      <c r="O260" s="45">
        <v>0</v>
      </c>
      <c r="P260" s="45">
        <v>0</v>
      </c>
      <c r="Q260" s="45">
        <v>20</v>
      </c>
      <c r="R260" s="45">
        <v>0</v>
      </c>
      <c r="S260" s="45">
        <v>1263.8499999999999</v>
      </c>
      <c r="T260" s="45">
        <v>1263.8499999999999</v>
      </c>
      <c r="U260" s="45">
        <v>0</v>
      </c>
      <c r="V260" s="45">
        <v>0</v>
      </c>
      <c r="W260" s="45">
        <v>0</v>
      </c>
      <c r="X260" s="45">
        <v>1263.8499999999999</v>
      </c>
      <c r="Y260" s="45">
        <v>0</v>
      </c>
      <c r="Z260" s="45">
        <v>65</v>
      </c>
      <c r="AA260" s="45">
        <v>0</v>
      </c>
      <c r="AB260" s="508">
        <v>0</v>
      </c>
      <c r="AC260" s="508">
        <v>0</v>
      </c>
      <c r="AD260" s="631">
        <v>65</v>
      </c>
      <c r="AE260" s="632">
        <v>0</v>
      </c>
      <c r="AF260" s="632">
        <v>53</v>
      </c>
      <c r="AG260" s="633">
        <v>53</v>
      </c>
      <c r="AH260" s="632">
        <v>0</v>
      </c>
      <c r="AI260" s="632">
        <v>0</v>
      </c>
      <c r="AJ260" s="632">
        <v>59.092425934472985</v>
      </c>
      <c r="AK260" s="632">
        <v>59.092425934472985</v>
      </c>
      <c r="AL260" s="632">
        <v>0</v>
      </c>
      <c r="AM260" s="632">
        <v>0</v>
      </c>
      <c r="AN260" s="632">
        <v>48.36006785055919</v>
      </c>
      <c r="AO260" s="632">
        <v>48.36006785055919</v>
      </c>
      <c r="AP260" s="632">
        <v>0</v>
      </c>
      <c r="AQ260" s="632">
        <v>0</v>
      </c>
      <c r="AR260" s="632">
        <v>0</v>
      </c>
      <c r="AS260" s="632">
        <v>53.721766197248854</v>
      </c>
      <c r="AT260" s="632">
        <v>56.343140577003716</v>
      </c>
      <c r="AU260" s="632">
        <v>59.092425934472985</v>
      </c>
      <c r="AV260" s="632">
        <v>61.975863735334457</v>
      </c>
      <c r="AW260" s="632">
        <v>65</v>
      </c>
      <c r="AX260" s="632">
        <v>44.126342688880918</v>
      </c>
      <c r="AY260" s="632">
        <v>46.194728340269599</v>
      </c>
      <c r="AZ260" s="632">
        <v>48.36006785055919</v>
      </c>
      <c r="BA260" s="632">
        <v>50.626905851332026</v>
      </c>
      <c r="BB260" s="632">
        <v>53</v>
      </c>
      <c r="BC260" s="632">
        <v>0</v>
      </c>
      <c r="BD260" s="632">
        <v>0</v>
      </c>
      <c r="BE260" s="632">
        <v>0</v>
      </c>
      <c r="BF260" s="632">
        <v>0</v>
      </c>
      <c r="BG260" s="632">
        <v>0</v>
      </c>
      <c r="BH260" s="634">
        <v>65.822755328451677</v>
      </c>
      <c r="BI260" s="634">
        <v>66.655924908141756</v>
      </c>
      <c r="BJ260" s="634">
        <v>67.499640560311747</v>
      </c>
      <c r="BK260" s="635">
        <v>67.055860038769723</v>
      </c>
      <c r="BL260" s="635">
        <v>66.61499717945027</v>
      </c>
      <c r="BM260" s="635">
        <v>67.093217284302696</v>
      </c>
      <c r="BN260" s="635">
        <v>67.574870466965947</v>
      </c>
      <c r="BO260" s="635">
        <v>68.059981373043868</v>
      </c>
      <c r="BP260" s="635">
        <v>68.548574825067789</v>
      </c>
      <c r="BQ260" s="635">
        <v>69.04067582376662</v>
      </c>
      <c r="BR260" s="635">
        <v>69.428244289077369</v>
      </c>
      <c r="BS260" s="635">
        <v>69.817988418422573</v>
      </c>
      <c r="BT260" s="635">
        <v>70.209920425164285</v>
      </c>
      <c r="BU260" s="635">
        <v>70.604052591225809</v>
      </c>
      <c r="BV260" s="635">
        <v>71.000397267476529</v>
      </c>
      <c r="BW260" s="634">
        <v>53.670862037045218</v>
      </c>
      <c r="BX260" s="634">
        <v>54.35021569433097</v>
      </c>
      <c r="BY260" s="634">
        <v>55.03816845686957</v>
      </c>
      <c r="BZ260" s="635">
        <v>54.676316646996845</v>
      </c>
      <c r="CA260" s="635">
        <v>54.316843854013293</v>
      </c>
      <c r="CB260" s="635">
        <v>54.706777170277576</v>
      </c>
      <c r="CC260" s="635">
        <v>55.099509765372225</v>
      </c>
      <c r="CD260" s="635">
        <v>55.495061734943455</v>
      </c>
      <c r="CE260" s="635">
        <v>55.893453318901415</v>
      </c>
      <c r="CF260" s="635">
        <v>56.294704902455855</v>
      </c>
      <c r="CG260" s="635">
        <v>56.610722266478469</v>
      </c>
      <c r="CH260" s="635">
        <v>56.928513633483014</v>
      </c>
      <c r="CI260" s="635">
        <v>57.248088962057032</v>
      </c>
      <c r="CJ260" s="635">
        <v>57.569458266691811</v>
      </c>
      <c r="CK260" s="635">
        <v>57.892631618096232</v>
      </c>
      <c r="CL260" s="634">
        <v>0</v>
      </c>
      <c r="CM260" s="634">
        <v>0</v>
      </c>
      <c r="CN260" s="634">
        <v>0</v>
      </c>
      <c r="CO260" s="635">
        <v>0</v>
      </c>
      <c r="CP260" s="635">
        <v>0</v>
      </c>
      <c r="CQ260" s="635">
        <v>0</v>
      </c>
      <c r="CR260" s="635">
        <v>0</v>
      </c>
      <c r="CS260" s="635">
        <v>0</v>
      </c>
      <c r="CT260" s="635">
        <v>0</v>
      </c>
      <c r="CU260" s="635">
        <v>0</v>
      </c>
      <c r="CV260" s="635">
        <v>0</v>
      </c>
      <c r="CW260" s="635">
        <v>0</v>
      </c>
      <c r="CX260" s="635">
        <v>0</v>
      </c>
      <c r="CY260" s="635">
        <v>0</v>
      </c>
      <c r="CZ260" s="635">
        <v>0</v>
      </c>
      <c r="DA260" s="636">
        <v>0</v>
      </c>
      <c r="DB260" s="636">
        <v>0</v>
      </c>
      <c r="DC260" s="636">
        <v>0</v>
      </c>
      <c r="DD260" s="637">
        <v>0</v>
      </c>
      <c r="DE260" s="637">
        <v>0</v>
      </c>
      <c r="DF260" s="637">
        <v>0</v>
      </c>
      <c r="DG260" s="637">
        <v>0</v>
      </c>
      <c r="DH260" s="637">
        <v>0</v>
      </c>
      <c r="DI260" s="637">
        <v>0</v>
      </c>
      <c r="DJ260" s="637">
        <v>0</v>
      </c>
      <c r="DK260" s="637">
        <v>0</v>
      </c>
      <c r="DL260" s="637">
        <v>0</v>
      </c>
      <c r="DM260" s="637">
        <v>0</v>
      </c>
      <c r="DN260" s="637">
        <v>0</v>
      </c>
      <c r="DO260" s="637">
        <v>0</v>
      </c>
      <c r="DP260" s="636">
        <v>0</v>
      </c>
      <c r="DQ260" s="636">
        <v>0</v>
      </c>
      <c r="DR260" s="636">
        <v>0</v>
      </c>
      <c r="DS260" s="637">
        <v>0</v>
      </c>
      <c r="DT260" s="637">
        <v>0</v>
      </c>
      <c r="DU260" s="637">
        <v>0</v>
      </c>
      <c r="DV260" s="637">
        <v>0</v>
      </c>
      <c r="DW260" s="637">
        <v>0</v>
      </c>
      <c r="DX260" s="637">
        <v>0</v>
      </c>
      <c r="DY260" s="637">
        <v>0</v>
      </c>
      <c r="DZ260" s="637">
        <v>0</v>
      </c>
      <c r="EA260" s="637">
        <v>0</v>
      </c>
      <c r="EB260" s="637">
        <v>0</v>
      </c>
      <c r="EC260" s="637">
        <v>0</v>
      </c>
      <c r="ED260" s="637">
        <v>0</v>
      </c>
    </row>
    <row r="261" spans="1:134" ht="15" x14ac:dyDescent="0.25">
      <c r="A261" s="555">
        <v>131</v>
      </c>
      <c r="B261" s="555">
        <v>96</v>
      </c>
      <c r="C261" s="555" t="s">
        <v>1244</v>
      </c>
      <c r="D261" s="812">
        <v>99712</v>
      </c>
      <c r="E261" s="812">
        <v>99712</v>
      </c>
      <c r="F261" s="630" t="s">
        <v>989</v>
      </c>
      <c r="G261" s="45">
        <v>40</v>
      </c>
      <c r="H261" s="45">
        <v>19</v>
      </c>
      <c r="I261" s="45">
        <v>16</v>
      </c>
      <c r="J261" s="45">
        <v>3</v>
      </c>
      <c r="K261" s="45">
        <v>0</v>
      </c>
      <c r="L261" s="45">
        <v>21</v>
      </c>
      <c r="M261" s="45">
        <v>21</v>
      </c>
      <c r="N261" s="45">
        <v>0</v>
      </c>
      <c r="O261" s="45">
        <v>0</v>
      </c>
      <c r="P261" s="45">
        <v>0</v>
      </c>
      <c r="Q261" s="45">
        <v>21</v>
      </c>
      <c r="R261" s="45">
        <v>0</v>
      </c>
      <c r="S261" s="45">
        <v>1460.0952380952381</v>
      </c>
      <c r="T261" s="45">
        <v>1460.0952380952381</v>
      </c>
      <c r="U261" s="45">
        <v>0</v>
      </c>
      <c r="V261" s="45">
        <v>0</v>
      </c>
      <c r="W261" s="45">
        <v>0</v>
      </c>
      <c r="X261" s="45">
        <v>1460.0952380952381</v>
      </c>
      <c r="Y261" s="45">
        <v>0</v>
      </c>
      <c r="Z261" s="45">
        <v>19</v>
      </c>
      <c r="AA261" s="45">
        <v>0</v>
      </c>
      <c r="AB261" s="508">
        <v>0</v>
      </c>
      <c r="AC261" s="508">
        <v>0</v>
      </c>
      <c r="AD261" s="631">
        <v>19</v>
      </c>
      <c r="AE261" s="632">
        <v>0</v>
      </c>
      <c r="AF261" s="632">
        <v>16</v>
      </c>
      <c r="AG261" s="633">
        <v>16</v>
      </c>
      <c r="AH261" s="632">
        <v>0</v>
      </c>
      <c r="AI261" s="632">
        <v>0</v>
      </c>
      <c r="AJ261" s="632">
        <v>17.273170657769025</v>
      </c>
      <c r="AK261" s="632">
        <v>17.273170657769025</v>
      </c>
      <c r="AL261" s="632">
        <v>0</v>
      </c>
      <c r="AM261" s="632">
        <v>0</v>
      </c>
      <c r="AN261" s="632">
        <v>14.599265766206548</v>
      </c>
      <c r="AO261" s="632">
        <v>14.599265766206548</v>
      </c>
      <c r="AP261" s="632">
        <v>0</v>
      </c>
      <c r="AQ261" s="632">
        <v>0</v>
      </c>
      <c r="AR261" s="632">
        <v>0</v>
      </c>
      <c r="AS261" s="632">
        <v>15.703285503811204</v>
      </c>
      <c r="AT261" s="632">
        <v>16.469533399431857</v>
      </c>
      <c r="AU261" s="632">
        <v>17.273170657769025</v>
      </c>
      <c r="AV261" s="632">
        <v>18.116021707251608</v>
      </c>
      <c r="AW261" s="632">
        <v>19</v>
      </c>
      <c r="AX261" s="632">
        <v>13.321160057020654</v>
      </c>
      <c r="AY261" s="632">
        <v>13.945578366873843</v>
      </c>
      <c r="AZ261" s="632">
        <v>14.599265766206548</v>
      </c>
      <c r="BA261" s="632">
        <v>15.283594219270046</v>
      </c>
      <c r="BB261" s="632">
        <v>16</v>
      </c>
      <c r="BC261" s="632">
        <v>0</v>
      </c>
      <c r="BD261" s="632">
        <v>0</v>
      </c>
      <c r="BE261" s="632">
        <v>0</v>
      </c>
      <c r="BF261" s="632">
        <v>0</v>
      </c>
      <c r="BG261" s="632">
        <v>0</v>
      </c>
      <c r="BH261" s="634">
        <v>19.240497711393569</v>
      </c>
      <c r="BI261" s="634">
        <v>19.484039588533744</v>
      </c>
      <c r="BJ261" s="634">
        <v>19.73066416378343</v>
      </c>
      <c r="BK261" s="635">
        <v>19.600943703640379</v>
      </c>
      <c r="BL261" s="635">
        <v>19.472076098608539</v>
      </c>
      <c r="BM261" s="635">
        <v>19.611863513873093</v>
      </c>
      <c r="BN261" s="635">
        <v>19.752654444190043</v>
      </c>
      <c r="BO261" s="635">
        <v>19.894456093658974</v>
      </c>
      <c r="BP261" s="635">
        <v>20.037275718096733</v>
      </c>
      <c r="BQ261" s="635">
        <v>20.181120625408703</v>
      </c>
      <c r="BR261" s="635">
        <v>20.294409869114922</v>
      </c>
      <c r="BS261" s="635">
        <v>20.408335076154287</v>
      </c>
      <c r="BT261" s="635">
        <v>20.522899816586481</v>
      </c>
      <c r="BU261" s="635">
        <v>20.638107680512157</v>
      </c>
      <c r="BV261" s="635">
        <v>20.75396227818544</v>
      </c>
      <c r="BW261" s="634">
        <v>16.202524388541953</v>
      </c>
      <c r="BX261" s="634">
        <v>16.407612285081047</v>
      </c>
      <c r="BY261" s="634">
        <v>16.61529613792289</v>
      </c>
      <c r="BZ261" s="635">
        <v>16.506057855697161</v>
      </c>
      <c r="CA261" s="635">
        <v>16.397537767249297</v>
      </c>
      <c r="CB261" s="635">
        <v>16.515253485366816</v>
      </c>
      <c r="CC261" s="635">
        <v>16.633814268791614</v>
      </c>
      <c r="CD261" s="635">
        <v>16.753226184133872</v>
      </c>
      <c r="CE261" s="635">
        <v>16.873495341555145</v>
      </c>
      <c r="CF261" s="635">
        <v>16.994627895081013</v>
      </c>
      <c r="CG261" s="635">
        <v>17.090029363465199</v>
      </c>
      <c r="CH261" s="635">
        <v>17.185966379919403</v>
      </c>
      <c r="CI261" s="635">
        <v>17.28244195080967</v>
      </c>
      <c r="CJ261" s="635">
        <v>17.379459099378661</v>
      </c>
      <c r="CK261" s="635">
        <v>17.477020865840373</v>
      </c>
      <c r="CL261" s="634">
        <v>0</v>
      </c>
      <c r="CM261" s="634">
        <v>0</v>
      </c>
      <c r="CN261" s="634">
        <v>0</v>
      </c>
      <c r="CO261" s="635">
        <v>0</v>
      </c>
      <c r="CP261" s="635">
        <v>0</v>
      </c>
      <c r="CQ261" s="635">
        <v>0</v>
      </c>
      <c r="CR261" s="635">
        <v>0</v>
      </c>
      <c r="CS261" s="635">
        <v>0</v>
      </c>
      <c r="CT261" s="635">
        <v>0</v>
      </c>
      <c r="CU261" s="635">
        <v>0</v>
      </c>
      <c r="CV261" s="635">
        <v>0</v>
      </c>
      <c r="CW261" s="635">
        <v>0</v>
      </c>
      <c r="CX261" s="635">
        <v>0</v>
      </c>
      <c r="CY261" s="635">
        <v>0</v>
      </c>
      <c r="CZ261" s="635">
        <v>0</v>
      </c>
      <c r="DA261" s="636">
        <v>0</v>
      </c>
      <c r="DB261" s="636">
        <v>0</v>
      </c>
      <c r="DC261" s="636">
        <v>0</v>
      </c>
      <c r="DD261" s="637">
        <v>0</v>
      </c>
      <c r="DE261" s="637">
        <v>0</v>
      </c>
      <c r="DF261" s="637">
        <v>0</v>
      </c>
      <c r="DG261" s="637">
        <v>0</v>
      </c>
      <c r="DH261" s="637">
        <v>0</v>
      </c>
      <c r="DI261" s="637">
        <v>0</v>
      </c>
      <c r="DJ261" s="637">
        <v>0</v>
      </c>
      <c r="DK261" s="637">
        <v>0</v>
      </c>
      <c r="DL261" s="637">
        <v>0</v>
      </c>
      <c r="DM261" s="637">
        <v>0</v>
      </c>
      <c r="DN261" s="637">
        <v>0</v>
      </c>
      <c r="DO261" s="637">
        <v>0</v>
      </c>
      <c r="DP261" s="636">
        <v>0</v>
      </c>
      <c r="DQ261" s="636">
        <v>0</v>
      </c>
      <c r="DR261" s="636">
        <v>0</v>
      </c>
      <c r="DS261" s="637">
        <v>0</v>
      </c>
      <c r="DT261" s="637">
        <v>0</v>
      </c>
      <c r="DU261" s="637">
        <v>0</v>
      </c>
      <c r="DV261" s="637">
        <v>0</v>
      </c>
      <c r="DW261" s="637">
        <v>0</v>
      </c>
      <c r="DX261" s="637">
        <v>0</v>
      </c>
      <c r="DY261" s="637">
        <v>0</v>
      </c>
      <c r="DZ261" s="637">
        <v>0</v>
      </c>
      <c r="EA261" s="637">
        <v>0</v>
      </c>
      <c r="EB261" s="637">
        <v>0</v>
      </c>
      <c r="EC261" s="637">
        <v>0</v>
      </c>
      <c r="ED261" s="637">
        <v>0</v>
      </c>
    </row>
    <row r="262" spans="1:134" ht="15" x14ac:dyDescent="0.25">
      <c r="A262" s="555">
        <v>132</v>
      </c>
      <c r="B262" s="555">
        <v>96</v>
      </c>
      <c r="C262" s="555" t="s">
        <v>1245</v>
      </c>
      <c r="D262" s="812">
        <v>99712</v>
      </c>
      <c r="E262" s="812">
        <v>99712</v>
      </c>
      <c r="F262" s="630" t="s">
        <v>989</v>
      </c>
      <c r="G262" s="45">
        <v>19</v>
      </c>
      <c r="H262" s="45">
        <v>10</v>
      </c>
      <c r="I262" s="45">
        <v>8</v>
      </c>
      <c r="J262" s="45">
        <v>2</v>
      </c>
      <c r="K262" s="45">
        <v>0</v>
      </c>
      <c r="L262" s="45">
        <v>5</v>
      </c>
      <c r="M262" s="45">
        <v>5</v>
      </c>
      <c r="N262" s="45">
        <v>0</v>
      </c>
      <c r="O262" s="45">
        <v>0</v>
      </c>
      <c r="P262" s="45">
        <v>0</v>
      </c>
      <c r="Q262" s="45">
        <v>5</v>
      </c>
      <c r="R262" s="45">
        <v>0</v>
      </c>
      <c r="S262" s="45">
        <v>1197</v>
      </c>
      <c r="T262" s="45">
        <v>1197</v>
      </c>
      <c r="U262" s="45">
        <v>0</v>
      </c>
      <c r="V262" s="45">
        <v>0</v>
      </c>
      <c r="W262" s="45">
        <v>0</v>
      </c>
      <c r="X262" s="45">
        <v>1197</v>
      </c>
      <c r="Y262" s="45">
        <v>0</v>
      </c>
      <c r="Z262" s="45">
        <v>10</v>
      </c>
      <c r="AA262" s="45">
        <v>0</v>
      </c>
      <c r="AB262" s="508">
        <v>0</v>
      </c>
      <c r="AC262" s="508">
        <v>0</v>
      </c>
      <c r="AD262" s="631">
        <v>10</v>
      </c>
      <c r="AE262" s="632">
        <v>0</v>
      </c>
      <c r="AF262" s="632">
        <v>8</v>
      </c>
      <c r="AG262" s="633">
        <v>8</v>
      </c>
      <c r="AH262" s="632">
        <v>0</v>
      </c>
      <c r="AI262" s="632">
        <v>0</v>
      </c>
      <c r="AJ262" s="632">
        <v>9.0911424514573813</v>
      </c>
      <c r="AK262" s="632">
        <v>9.0911424514573813</v>
      </c>
      <c r="AL262" s="632">
        <v>0</v>
      </c>
      <c r="AM262" s="632">
        <v>0</v>
      </c>
      <c r="AN262" s="632">
        <v>7.299632883103274</v>
      </c>
      <c r="AO262" s="632">
        <v>7.299632883103274</v>
      </c>
      <c r="AP262" s="632">
        <v>0</v>
      </c>
      <c r="AQ262" s="632">
        <v>0</v>
      </c>
      <c r="AR262" s="632">
        <v>0</v>
      </c>
      <c r="AS262" s="632">
        <v>8.264887107269054</v>
      </c>
      <c r="AT262" s="632">
        <v>8.6681754733851868</v>
      </c>
      <c r="AU262" s="632">
        <v>9.0911424514573813</v>
      </c>
      <c r="AV262" s="632">
        <v>9.5347482669745318</v>
      </c>
      <c r="AW262" s="632">
        <v>10</v>
      </c>
      <c r="AX262" s="632">
        <v>6.6605800285103269</v>
      </c>
      <c r="AY262" s="632">
        <v>6.9727891834369213</v>
      </c>
      <c r="AZ262" s="632">
        <v>7.299632883103274</v>
      </c>
      <c r="BA262" s="632">
        <v>7.6417971096350232</v>
      </c>
      <c r="BB262" s="632">
        <v>8</v>
      </c>
      <c r="BC262" s="632">
        <v>0</v>
      </c>
      <c r="BD262" s="632">
        <v>0</v>
      </c>
      <c r="BE262" s="632">
        <v>0</v>
      </c>
      <c r="BF262" s="632">
        <v>0</v>
      </c>
      <c r="BG262" s="632">
        <v>0</v>
      </c>
      <c r="BH262" s="634">
        <v>10.12657774283872</v>
      </c>
      <c r="BI262" s="634">
        <v>10.254757678175654</v>
      </c>
      <c r="BJ262" s="634">
        <v>10.384560086201805</v>
      </c>
      <c r="BK262" s="635">
        <v>10.316286159810724</v>
      </c>
      <c r="BL262" s="635">
        <v>10.24846110453081</v>
      </c>
      <c r="BM262" s="635">
        <v>10.32203342835426</v>
      </c>
      <c r="BN262" s="635">
        <v>10.396133917994758</v>
      </c>
      <c r="BO262" s="635">
        <v>10.470766365083671</v>
      </c>
      <c r="BP262" s="635">
        <v>10.545934588471965</v>
      </c>
      <c r="BQ262" s="635">
        <v>10.621642434425633</v>
      </c>
      <c r="BR262" s="635">
        <v>10.681268352165748</v>
      </c>
      <c r="BS262" s="635">
        <v>10.741228987449626</v>
      </c>
      <c r="BT262" s="635">
        <v>10.801526219256044</v>
      </c>
      <c r="BU262" s="635">
        <v>10.862161937111662</v>
      </c>
      <c r="BV262" s="635">
        <v>10.923138041150233</v>
      </c>
      <c r="BW262" s="634">
        <v>8.1012621942709764</v>
      </c>
      <c r="BX262" s="634">
        <v>8.2038061425405235</v>
      </c>
      <c r="BY262" s="634">
        <v>8.3076480689614449</v>
      </c>
      <c r="BZ262" s="635">
        <v>8.2530289278485807</v>
      </c>
      <c r="CA262" s="635">
        <v>8.1987688836246484</v>
      </c>
      <c r="CB262" s="635">
        <v>8.2576267426834082</v>
      </c>
      <c r="CC262" s="635">
        <v>8.316907134395807</v>
      </c>
      <c r="CD262" s="635">
        <v>8.3766130920669362</v>
      </c>
      <c r="CE262" s="635">
        <v>8.4367476707775726</v>
      </c>
      <c r="CF262" s="635">
        <v>8.4973139475405066</v>
      </c>
      <c r="CG262" s="635">
        <v>8.5450146817325994</v>
      </c>
      <c r="CH262" s="635">
        <v>8.5929831899597016</v>
      </c>
      <c r="CI262" s="635">
        <v>8.6412209754048348</v>
      </c>
      <c r="CJ262" s="635">
        <v>8.6897295496893303</v>
      </c>
      <c r="CK262" s="635">
        <v>8.7385104329201866</v>
      </c>
      <c r="CL262" s="634">
        <v>0</v>
      </c>
      <c r="CM262" s="634">
        <v>0</v>
      </c>
      <c r="CN262" s="634">
        <v>0</v>
      </c>
      <c r="CO262" s="635">
        <v>0</v>
      </c>
      <c r="CP262" s="635">
        <v>0</v>
      </c>
      <c r="CQ262" s="635">
        <v>0</v>
      </c>
      <c r="CR262" s="635">
        <v>0</v>
      </c>
      <c r="CS262" s="635">
        <v>0</v>
      </c>
      <c r="CT262" s="635">
        <v>0</v>
      </c>
      <c r="CU262" s="635">
        <v>0</v>
      </c>
      <c r="CV262" s="635">
        <v>0</v>
      </c>
      <c r="CW262" s="635">
        <v>0</v>
      </c>
      <c r="CX262" s="635">
        <v>0</v>
      </c>
      <c r="CY262" s="635">
        <v>0</v>
      </c>
      <c r="CZ262" s="635">
        <v>0</v>
      </c>
      <c r="DA262" s="636">
        <v>0</v>
      </c>
      <c r="DB262" s="636">
        <v>0</v>
      </c>
      <c r="DC262" s="636">
        <v>0</v>
      </c>
      <c r="DD262" s="637">
        <v>0</v>
      </c>
      <c r="DE262" s="637">
        <v>0</v>
      </c>
      <c r="DF262" s="637">
        <v>0</v>
      </c>
      <c r="DG262" s="637">
        <v>0</v>
      </c>
      <c r="DH262" s="637">
        <v>0</v>
      </c>
      <c r="DI262" s="637">
        <v>0</v>
      </c>
      <c r="DJ262" s="637">
        <v>0</v>
      </c>
      <c r="DK262" s="637">
        <v>0</v>
      </c>
      <c r="DL262" s="637">
        <v>0</v>
      </c>
      <c r="DM262" s="637">
        <v>0</v>
      </c>
      <c r="DN262" s="637">
        <v>0</v>
      </c>
      <c r="DO262" s="637">
        <v>0</v>
      </c>
      <c r="DP262" s="636">
        <v>0</v>
      </c>
      <c r="DQ262" s="636">
        <v>0</v>
      </c>
      <c r="DR262" s="636">
        <v>0</v>
      </c>
      <c r="DS262" s="637">
        <v>0</v>
      </c>
      <c r="DT262" s="637">
        <v>0</v>
      </c>
      <c r="DU262" s="637">
        <v>0</v>
      </c>
      <c r="DV262" s="637">
        <v>0</v>
      </c>
      <c r="DW262" s="637">
        <v>0</v>
      </c>
      <c r="DX262" s="637">
        <v>0</v>
      </c>
      <c r="DY262" s="637">
        <v>0</v>
      </c>
      <c r="DZ262" s="637">
        <v>0</v>
      </c>
      <c r="EA262" s="637">
        <v>0</v>
      </c>
      <c r="EB262" s="637">
        <v>0</v>
      </c>
      <c r="EC262" s="637">
        <v>0</v>
      </c>
      <c r="ED262" s="637">
        <v>0</v>
      </c>
    </row>
    <row r="263" spans="1:134" ht="15" x14ac:dyDescent="0.25">
      <c r="A263" s="555">
        <v>138</v>
      </c>
      <c r="B263" s="555">
        <v>96</v>
      </c>
      <c r="C263" s="555" t="s">
        <v>1246</v>
      </c>
      <c r="D263" s="812">
        <v>99712</v>
      </c>
      <c r="E263" s="812">
        <v>99712</v>
      </c>
      <c r="F263" s="630" t="s">
        <v>989</v>
      </c>
      <c r="G263" s="45">
        <v>482</v>
      </c>
      <c r="H263" s="45">
        <v>272</v>
      </c>
      <c r="I263" s="45">
        <v>205</v>
      </c>
      <c r="J263" s="45">
        <v>67</v>
      </c>
      <c r="K263" s="45">
        <v>0</v>
      </c>
      <c r="L263" s="45">
        <v>8</v>
      </c>
      <c r="M263" s="45">
        <v>8</v>
      </c>
      <c r="N263" s="45">
        <v>0</v>
      </c>
      <c r="O263" s="45">
        <v>0</v>
      </c>
      <c r="P263" s="45">
        <v>0</v>
      </c>
      <c r="Q263" s="45">
        <v>8</v>
      </c>
      <c r="R263" s="45">
        <v>0</v>
      </c>
      <c r="S263" s="45">
        <v>1442.375</v>
      </c>
      <c r="T263" s="45">
        <v>1442.375</v>
      </c>
      <c r="U263" s="45">
        <v>0</v>
      </c>
      <c r="V263" s="45">
        <v>0</v>
      </c>
      <c r="W263" s="45">
        <v>0</v>
      </c>
      <c r="X263" s="45">
        <v>1442.375</v>
      </c>
      <c r="Y263" s="45">
        <v>0</v>
      </c>
      <c r="Z263" s="45">
        <v>272</v>
      </c>
      <c r="AA263" s="45">
        <v>0</v>
      </c>
      <c r="AB263" s="508">
        <v>0</v>
      </c>
      <c r="AC263" s="508">
        <v>0</v>
      </c>
      <c r="AD263" s="631">
        <v>272</v>
      </c>
      <c r="AE263" s="632">
        <v>0</v>
      </c>
      <c r="AF263" s="632">
        <v>205</v>
      </c>
      <c r="AG263" s="633">
        <v>205</v>
      </c>
      <c r="AH263" s="632">
        <v>0</v>
      </c>
      <c r="AI263" s="632">
        <v>0</v>
      </c>
      <c r="AJ263" s="632">
        <v>247.27907467964079</v>
      </c>
      <c r="AK263" s="632">
        <v>247.27907467964079</v>
      </c>
      <c r="AL263" s="632">
        <v>0</v>
      </c>
      <c r="AM263" s="632">
        <v>0</v>
      </c>
      <c r="AN263" s="632">
        <v>187.05309262952139</v>
      </c>
      <c r="AO263" s="632">
        <v>187.05309262952139</v>
      </c>
      <c r="AP263" s="632">
        <v>0</v>
      </c>
      <c r="AQ263" s="632">
        <v>0</v>
      </c>
      <c r="AR263" s="632">
        <v>0</v>
      </c>
      <c r="AS263" s="632">
        <v>224.80492931771826</v>
      </c>
      <c r="AT263" s="632">
        <v>235.77437287607711</v>
      </c>
      <c r="AU263" s="632">
        <v>247.27907467964079</v>
      </c>
      <c r="AV263" s="632">
        <v>259.34515286170728</v>
      </c>
      <c r="AW263" s="632">
        <v>272</v>
      </c>
      <c r="AX263" s="632">
        <v>170.67736323057713</v>
      </c>
      <c r="AY263" s="632">
        <v>178.6777228255711</v>
      </c>
      <c r="AZ263" s="632">
        <v>187.05309262952139</v>
      </c>
      <c r="BA263" s="632">
        <v>195.82105093439748</v>
      </c>
      <c r="BB263" s="632">
        <v>205</v>
      </c>
      <c r="BC263" s="632">
        <v>0</v>
      </c>
      <c r="BD263" s="632">
        <v>0</v>
      </c>
      <c r="BE263" s="632">
        <v>0</v>
      </c>
      <c r="BF263" s="632">
        <v>0</v>
      </c>
      <c r="BG263" s="632">
        <v>0</v>
      </c>
      <c r="BH263" s="634">
        <v>275.44291460521322</v>
      </c>
      <c r="BI263" s="634">
        <v>278.92940884637778</v>
      </c>
      <c r="BJ263" s="634">
        <v>282.46003434468912</v>
      </c>
      <c r="BK263" s="635">
        <v>280.60298354685176</v>
      </c>
      <c r="BL263" s="635">
        <v>278.75814204323802</v>
      </c>
      <c r="BM263" s="635">
        <v>280.75930925123583</v>
      </c>
      <c r="BN263" s="635">
        <v>282.77484256945746</v>
      </c>
      <c r="BO263" s="635">
        <v>284.80484513027585</v>
      </c>
      <c r="BP263" s="635">
        <v>286.84942080643748</v>
      </c>
      <c r="BQ263" s="635">
        <v>288.90867421637722</v>
      </c>
      <c r="BR263" s="635">
        <v>290.53049917890837</v>
      </c>
      <c r="BS263" s="635">
        <v>292.16142845862981</v>
      </c>
      <c r="BT263" s="635">
        <v>293.80151316376441</v>
      </c>
      <c r="BU263" s="635">
        <v>295.45080468943723</v>
      </c>
      <c r="BV263" s="635">
        <v>297.10935471928633</v>
      </c>
      <c r="BW263" s="634">
        <v>207.59484372819378</v>
      </c>
      <c r="BX263" s="634">
        <v>210.2225324026009</v>
      </c>
      <c r="BY263" s="634">
        <v>212.88348176713703</v>
      </c>
      <c r="BZ263" s="635">
        <v>211.48386627611987</v>
      </c>
      <c r="CA263" s="635">
        <v>210.0934526428816</v>
      </c>
      <c r="CB263" s="635">
        <v>211.60168528126232</v>
      </c>
      <c r="CC263" s="635">
        <v>213.12074531889257</v>
      </c>
      <c r="CD263" s="635">
        <v>214.65071048421527</v>
      </c>
      <c r="CE263" s="635">
        <v>216.1916590636753</v>
      </c>
      <c r="CF263" s="635">
        <v>217.74366990572548</v>
      </c>
      <c r="CG263" s="635">
        <v>218.96600121939787</v>
      </c>
      <c r="CH263" s="635">
        <v>220.19519424271735</v>
      </c>
      <c r="CI263" s="635">
        <v>221.43128749474889</v>
      </c>
      <c r="CJ263" s="635">
        <v>222.67431971078909</v>
      </c>
      <c r="CK263" s="635">
        <v>223.92432984357978</v>
      </c>
      <c r="CL263" s="634">
        <v>0</v>
      </c>
      <c r="CM263" s="634">
        <v>0</v>
      </c>
      <c r="CN263" s="634">
        <v>0</v>
      </c>
      <c r="CO263" s="635">
        <v>0</v>
      </c>
      <c r="CP263" s="635">
        <v>0</v>
      </c>
      <c r="CQ263" s="635">
        <v>0</v>
      </c>
      <c r="CR263" s="635">
        <v>0</v>
      </c>
      <c r="CS263" s="635">
        <v>0</v>
      </c>
      <c r="CT263" s="635">
        <v>0</v>
      </c>
      <c r="CU263" s="635">
        <v>0</v>
      </c>
      <c r="CV263" s="635">
        <v>0</v>
      </c>
      <c r="CW263" s="635">
        <v>0</v>
      </c>
      <c r="CX263" s="635">
        <v>0</v>
      </c>
      <c r="CY263" s="635">
        <v>0</v>
      </c>
      <c r="CZ263" s="635">
        <v>0</v>
      </c>
      <c r="DA263" s="636">
        <v>0</v>
      </c>
      <c r="DB263" s="636">
        <v>0</v>
      </c>
      <c r="DC263" s="636">
        <v>0</v>
      </c>
      <c r="DD263" s="637">
        <v>0</v>
      </c>
      <c r="DE263" s="637">
        <v>0</v>
      </c>
      <c r="DF263" s="637">
        <v>0</v>
      </c>
      <c r="DG263" s="637">
        <v>0</v>
      </c>
      <c r="DH263" s="637">
        <v>0</v>
      </c>
      <c r="DI263" s="637">
        <v>0</v>
      </c>
      <c r="DJ263" s="637">
        <v>0</v>
      </c>
      <c r="DK263" s="637">
        <v>0</v>
      </c>
      <c r="DL263" s="637">
        <v>0</v>
      </c>
      <c r="DM263" s="637">
        <v>0</v>
      </c>
      <c r="DN263" s="637">
        <v>0</v>
      </c>
      <c r="DO263" s="637">
        <v>0</v>
      </c>
      <c r="DP263" s="636">
        <v>0</v>
      </c>
      <c r="DQ263" s="636">
        <v>0</v>
      </c>
      <c r="DR263" s="636">
        <v>0</v>
      </c>
      <c r="DS263" s="637">
        <v>0</v>
      </c>
      <c r="DT263" s="637">
        <v>0</v>
      </c>
      <c r="DU263" s="637">
        <v>0</v>
      </c>
      <c r="DV263" s="637">
        <v>0</v>
      </c>
      <c r="DW263" s="637">
        <v>0</v>
      </c>
      <c r="DX263" s="637">
        <v>0</v>
      </c>
      <c r="DY263" s="637">
        <v>0</v>
      </c>
      <c r="DZ263" s="637">
        <v>0</v>
      </c>
      <c r="EA263" s="637">
        <v>0</v>
      </c>
      <c r="EB263" s="637">
        <v>0</v>
      </c>
      <c r="EC263" s="637">
        <v>0</v>
      </c>
      <c r="ED263" s="637">
        <v>0</v>
      </c>
    </row>
    <row r="264" spans="1:134" ht="15" x14ac:dyDescent="0.25">
      <c r="A264" s="555">
        <v>100</v>
      </c>
      <c r="B264" s="555">
        <v>97</v>
      </c>
      <c r="C264" s="555" t="s">
        <v>1247</v>
      </c>
      <c r="D264" s="812">
        <v>99709</v>
      </c>
      <c r="E264" s="812">
        <v>99709</v>
      </c>
      <c r="F264" s="630" t="s">
        <v>311</v>
      </c>
      <c r="G264" s="45">
        <v>6</v>
      </c>
      <c r="H264" s="45">
        <v>7</v>
      </c>
      <c r="I264" s="45">
        <v>3</v>
      </c>
      <c r="J264" s="45">
        <v>4</v>
      </c>
      <c r="K264" s="45">
        <v>0</v>
      </c>
      <c r="L264" s="45">
        <v>0</v>
      </c>
      <c r="M264" s="45">
        <v>0</v>
      </c>
      <c r="N264" s="45">
        <v>0</v>
      </c>
      <c r="O264" s="45">
        <v>0</v>
      </c>
      <c r="P264" s="45">
        <v>0</v>
      </c>
      <c r="Q264" s="45">
        <v>0</v>
      </c>
      <c r="R264" s="45">
        <v>0</v>
      </c>
      <c r="S264" s="45">
        <v>834.49503068156923</v>
      </c>
      <c r="T264" s="45">
        <v>834.49503068156923</v>
      </c>
      <c r="U264" s="45">
        <v>1408.3846153846155</v>
      </c>
      <c r="V264" s="45">
        <v>0</v>
      </c>
      <c r="W264" s="45">
        <v>0</v>
      </c>
      <c r="X264" s="45">
        <v>1365.173957061457</v>
      </c>
      <c r="Y264" s="45">
        <v>0.1603863478863479</v>
      </c>
      <c r="Z264" s="45">
        <v>6.8305180180180178</v>
      </c>
      <c r="AA264" s="45">
        <v>9.0956340956340961E-3</v>
      </c>
      <c r="AB264" s="508">
        <v>0</v>
      </c>
      <c r="AC264" s="508">
        <v>0</v>
      </c>
      <c r="AD264" s="631">
        <v>7</v>
      </c>
      <c r="AE264" s="632">
        <v>6.8737006237006251E-2</v>
      </c>
      <c r="AF264" s="632">
        <v>2.9273648648648645</v>
      </c>
      <c r="AG264" s="633">
        <v>2.9961018711018705</v>
      </c>
      <c r="AH264" s="632">
        <v>3.8981288981288983E-3</v>
      </c>
      <c r="AI264" s="632">
        <v>0.15271320758461795</v>
      </c>
      <c r="AJ264" s="632">
        <v>6.5037350731074808</v>
      </c>
      <c r="AK264" s="632">
        <v>6.656448280692099</v>
      </c>
      <c r="AL264" s="632">
        <v>8.6604843620766321E-3</v>
      </c>
      <c r="AM264" s="632">
        <v>6.5571985276381181E-2</v>
      </c>
      <c r="AN264" s="632">
        <v>2.7925732633111364</v>
      </c>
      <c r="AO264" s="632">
        <v>2.8581452485875176</v>
      </c>
      <c r="AP264" s="632">
        <v>3.7186381064110304E-3</v>
      </c>
      <c r="AQ264" s="632">
        <v>0</v>
      </c>
      <c r="AR264" s="632">
        <v>0</v>
      </c>
      <c r="AS264" s="632">
        <v>6.3379931113958152</v>
      </c>
      <c r="AT264" s="632">
        <v>6.4952693053782635</v>
      </c>
      <c r="AU264" s="632">
        <v>6.656448280692099</v>
      </c>
      <c r="AV264" s="632">
        <v>6.8216268841755774</v>
      </c>
      <c r="AW264" s="632">
        <v>6.9909043659043659</v>
      </c>
      <c r="AX264" s="632">
        <v>2.7265408899528194</v>
      </c>
      <c r="AY264" s="632">
        <v>2.7915676401796596</v>
      </c>
      <c r="AZ264" s="632">
        <v>2.8581452485875172</v>
      </c>
      <c r="BA264" s="632">
        <v>2.9263107024330108</v>
      </c>
      <c r="BB264" s="632">
        <v>2.9961018711018705</v>
      </c>
      <c r="BC264" s="632">
        <v>0</v>
      </c>
      <c r="BD264" s="632">
        <v>0</v>
      </c>
      <c r="BE264" s="632">
        <v>0</v>
      </c>
      <c r="BF264" s="632">
        <v>0</v>
      </c>
      <c r="BG264" s="632">
        <v>0</v>
      </c>
      <c r="BH264" s="634">
        <v>7.0636365727993464</v>
      </c>
      <c r="BI264" s="634">
        <v>7.137125473484276</v>
      </c>
      <c r="BJ264" s="634">
        <v>7.2113789404755577</v>
      </c>
      <c r="BK264" s="635">
        <v>7.2315674496381162</v>
      </c>
      <c r="BL264" s="635">
        <v>7.2517559588006737</v>
      </c>
      <c r="BM264" s="635">
        <v>7.2719444679632339</v>
      </c>
      <c r="BN264" s="635">
        <v>7.2921329771257914</v>
      </c>
      <c r="BO264" s="635">
        <v>7.3160045650833689</v>
      </c>
      <c r="BP264" s="635">
        <v>7.3398761530409482</v>
      </c>
      <c r="BQ264" s="635">
        <v>7.4060550477528757</v>
      </c>
      <c r="BR264" s="635">
        <v>7.4849026710458499</v>
      </c>
      <c r="BS264" s="635">
        <v>7.5195231100801587</v>
      </c>
      <c r="BT264" s="635">
        <v>7.5385351347490559</v>
      </c>
      <c r="BU264" s="635">
        <v>7.5582238801467652</v>
      </c>
      <c r="BV264" s="635">
        <v>7.5783863300546441</v>
      </c>
      <c r="BW264" s="634">
        <v>3.0272728169140048</v>
      </c>
      <c r="BX264" s="634">
        <v>3.0587680600646889</v>
      </c>
      <c r="BY264" s="634">
        <v>3.0905909744895244</v>
      </c>
      <c r="BZ264" s="635">
        <v>3.0992431927020494</v>
      </c>
      <c r="CA264" s="635">
        <v>3.107895410914574</v>
      </c>
      <c r="CB264" s="635">
        <v>3.1165476291270995</v>
      </c>
      <c r="CC264" s="635">
        <v>3.1251998473396245</v>
      </c>
      <c r="CD264" s="635">
        <v>3.135430527892872</v>
      </c>
      <c r="CE264" s="635">
        <v>3.14566120844612</v>
      </c>
      <c r="CF264" s="635">
        <v>3.1740235918940893</v>
      </c>
      <c r="CG264" s="635">
        <v>3.2078154304482212</v>
      </c>
      <c r="CH264" s="635">
        <v>3.2226527614629248</v>
      </c>
      <c r="CI264" s="635">
        <v>3.2308007720353094</v>
      </c>
      <c r="CJ264" s="635">
        <v>3.2392388057771848</v>
      </c>
      <c r="CK264" s="635">
        <v>3.247879855737704</v>
      </c>
      <c r="CL264" s="634">
        <v>0</v>
      </c>
      <c r="CM264" s="634">
        <v>0</v>
      </c>
      <c r="CN264" s="634">
        <v>0</v>
      </c>
      <c r="CO264" s="635">
        <v>0</v>
      </c>
      <c r="CP264" s="635">
        <v>0</v>
      </c>
      <c r="CQ264" s="635">
        <v>0</v>
      </c>
      <c r="CR264" s="635">
        <v>0</v>
      </c>
      <c r="CS264" s="635">
        <v>0</v>
      </c>
      <c r="CT264" s="635">
        <v>0</v>
      </c>
      <c r="CU264" s="635">
        <v>0</v>
      </c>
      <c r="CV264" s="635">
        <v>0</v>
      </c>
      <c r="CW264" s="635">
        <v>0</v>
      </c>
      <c r="CX264" s="635">
        <v>0</v>
      </c>
      <c r="CY264" s="635">
        <v>0</v>
      </c>
      <c r="CZ264" s="635">
        <v>0</v>
      </c>
      <c r="DA264" s="636">
        <v>9.1902635607589728E-3</v>
      </c>
      <c r="DB264" s="636">
        <v>9.2858775351083479E-3</v>
      </c>
      <c r="DC264" s="636">
        <v>9.3824862613525357E-3</v>
      </c>
      <c r="DD264" s="637">
        <v>9.4087528618762902E-3</v>
      </c>
      <c r="DE264" s="637">
        <v>9.4350194624000464E-3</v>
      </c>
      <c r="DF264" s="637">
        <v>9.4612860629238026E-3</v>
      </c>
      <c r="DG264" s="637">
        <v>9.4875526634475571E-3</v>
      </c>
      <c r="DH264" s="637">
        <v>9.5186111957889282E-3</v>
      </c>
      <c r="DI264" s="637">
        <v>9.5496697281303011E-3</v>
      </c>
      <c r="DJ264" s="637">
        <v>9.6357728958533402E-3</v>
      </c>
      <c r="DK264" s="637">
        <v>9.7383589266794839E-3</v>
      </c>
      <c r="DL264" s="637">
        <v>9.7834024330993499E-3</v>
      </c>
      <c r="DM264" s="637">
        <v>9.8081383486196428E-3</v>
      </c>
      <c r="DN264" s="637">
        <v>9.8337547230637097E-3</v>
      </c>
      <c r="DO264" s="637">
        <v>9.8599874187544172E-3</v>
      </c>
      <c r="DP264" s="636">
        <v>0</v>
      </c>
      <c r="DQ264" s="636">
        <v>0</v>
      </c>
      <c r="DR264" s="636">
        <v>0</v>
      </c>
      <c r="DS264" s="637">
        <v>0</v>
      </c>
      <c r="DT264" s="637">
        <v>0</v>
      </c>
      <c r="DU264" s="637">
        <v>0</v>
      </c>
      <c r="DV264" s="637">
        <v>0</v>
      </c>
      <c r="DW264" s="637">
        <v>0</v>
      </c>
      <c r="DX264" s="637">
        <v>0</v>
      </c>
      <c r="DY264" s="637">
        <v>0</v>
      </c>
      <c r="DZ264" s="637">
        <v>0</v>
      </c>
      <c r="EA264" s="637">
        <v>0</v>
      </c>
      <c r="EB264" s="637">
        <v>0</v>
      </c>
      <c r="EC264" s="637">
        <v>0</v>
      </c>
      <c r="ED264" s="637">
        <v>0</v>
      </c>
    </row>
    <row r="265" spans="1:134" ht="15" x14ac:dyDescent="0.25">
      <c r="A265" s="555">
        <v>101</v>
      </c>
      <c r="B265" s="555">
        <v>97</v>
      </c>
      <c r="C265" s="555" t="s">
        <v>1248</v>
      </c>
      <c r="D265" s="812">
        <v>99709</v>
      </c>
      <c r="E265" s="812">
        <v>99709</v>
      </c>
      <c r="F265" s="630" t="s">
        <v>311</v>
      </c>
      <c r="G265" s="45">
        <v>8</v>
      </c>
      <c r="H265" s="45">
        <v>13</v>
      </c>
      <c r="I265" s="45">
        <v>5</v>
      </c>
      <c r="J265" s="45">
        <v>8</v>
      </c>
      <c r="K265" s="45">
        <v>0</v>
      </c>
      <c r="L265" s="45">
        <v>2</v>
      </c>
      <c r="M265" s="45">
        <v>2</v>
      </c>
      <c r="N265" s="45">
        <v>0</v>
      </c>
      <c r="O265" s="45">
        <v>0</v>
      </c>
      <c r="P265" s="45">
        <v>0</v>
      </c>
      <c r="Q265" s="45">
        <v>2</v>
      </c>
      <c r="R265" s="45">
        <v>0</v>
      </c>
      <c r="S265" s="45">
        <v>2530</v>
      </c>
      <c r="T265" s="45">
        <v>2530</v>
      </c>
      <c r="U265" s="45">
        <v>0</v>
      </c>
      <c r="V265" s="45">
        <v>0</v>
      </c>
      <c r="W265" s="45">
        <v>0</v>
      </c>
      <c r="X265" s="45">
        <v>2530</v>
      </c>
      <c r="Y265" s="45">
        <v>0</v>
      </c>
      <c r="Z265" s="45">
        <v>13</v>
      </c>
      <c r="AA265" s="45">
        <v>0</v>
      </c>
      <c r="AB265" s="508">
        <v>0</v>
      </c>
      <c r="AC265" s="508">
        <v>0</v>
      </c>
      <c r="AD265" s="631">
        <v>13</v>
      </c>
      <c r="AE265" s="632">
        <v>0</v>
      </c>
      <c r="AF265" s="632">
        <v>5</v>
      </c>
      <c r="AG265" s="633">
        <v>5</v>
      </c>
      <c r="AH265" s="632">
        <v>0</v>
      </c>
      <c r="AI265" s="632">
        <v>0</v>
      </c>
      <c r="AJ265" s="632">
        <v>12.378059135100612</v>
      </c>
      <c r="AK265" s="632">
        <v>12.378059135100612</v>
      </c>
      <c r="AL265" s="632">
        <v>0</v>
      </c>
      <c r="AM265" s="632">
        <v>0</v>
      </c>
      <c r="AN265" s="632">
        <v>4.7697731444898812</v>
      </c>
      <c r="AO265" s="632">
        <v>4.7697731444898812</v>
      </c>
      <c r="AP265" s="632">
        <v>0</v>
      </c>
      <c r="AQ265" s="632">
        <v>0</v>
      </c>
      <c r="AR265" s="632">
        <v>0</v>
      </c>
      <c r="AS265" s="632">
        <v>11.785872919388284</v>
      </c>
      <c r="AT265" s="632">
        <v>12.078337300927188</v>
      </c>
      <c r="AU265" s="632">
        <v>12.378059135100612</v>
      </c>
      <c r="AV265" s="632">
        <v>12.685218514330289</v>
      </c>
      <c r="AW265" s="632">
        <v>13</v>
      </c>
      <c r="AX265" s="632">
        <v>4.5501471699793781</v>
      </c>
      <c r="AY265" s="632">
        <v>4.6586660939419424</v>
      </c>
      <c r="AZ265" s="632">
        <v>4.7697731444898812</v>
      </c>
      <c r="BA265" s="632">
        <v>4.8835300472557153</v>
      </c>
      <c r="BB265" s="632">
        <v>5</v>
      </c>
      <c r="BC265" s="632">
        <v>0</v>
      </c>
      <c r="BD265" s="632">
        <v>0</v>
      </c>
      <c r="BE265" s="632">
        <v>0</v>
      </c>
      <c r="BF265" s="632">
        <v>0</v>
      </c>
      <c r="BG265" s="632">
        <v>0</v>
      </c>
      <c r="BH265" s="634">
        <v>13.135249838954481</v>
      </c>
      <c r="BI265" s="634">
        <v>13.271906794750285</v>
      </c>
      <c r="BJ265" s="634">
        <v>13.409985506797119</v>
      </c>
      <c r="BK265" s="635">
        <v>13.44752723321427</v>
      </c>
      <c r="BL265" s="635">
        <v>13.485068959631423</v>
      </c>
      <c r="BM265" s="635">
        <v>13.522610686048578</v>
      </c>
      <c r="BN265" s="635">
        <v>13.56015241246573</v>
      </c>
      <c r="BO265" s="635">
        <v>13.604543041661293</v>
      </c>
      <c r="BP265" s="635">
        <v>13.648933670856859</v>
      </c>
      <c r="BQ265" s="635">
        <v>13.771997238347639</v>
      </c>
      <c r="BR265" s="635">
        <v>13.918619055663269</v>
      </c>
      <c r="BS265" s="635">
        <v>13.982997808953193</v>
      </c>
      <c r="BT265" s="635">
        <v>14.018351792895684</v>
      </c>
      <c r="BU265" s="635">
        <v>14.054964179043967</v>
      </c>
      <c r="BV265" s="635">
        <v>14.092457446736312</v>
      </c>
      <c r="BW265" s="634">
        <v>5.0520191688286467</v>
      </c>
      <c r="BX265" s="634">
        <v>5.1045795364424169</v>
      </c>
      <c r="BY265" s="634">
        <v>5.1576867333835077</v>
      </c>
      <c r="BZ265" s="635">
        <v>5.1721258589285659</v>
      </c>
      <c r="CA265" s="635">
        <v>5.186564984473625</v>
      </c>
      <c r="CB265" s="635">
        <v>5.2010041100186841</v>
      </c>
      <c r="CC265" s="635">
        <v>5.2154432355637423</v>
      </c>
      <c r="CD265" s="635">
        <v>5.2325165544851133</v>
      </c>
      <c r="CE265" s="635">
        <v>5.2495898734064852</v>
      </c>
      <c r="CF265" s="635">
        <v>5.296922014749093</v>
      </c>
      <c r="CG265" s="635">
        <v>5.3533150214089504</v>
      </c>
      <c r="CH265" s="635">
        <v>5.378076080366613</v>
      </c>
      <c r="CI265" s="635">
        <v>5.3916737664983403</v>
      </c>
      <c r="CJ265" s="635">
        <v>5.4057554534784495</v>
      </c>
      <c r="CK265" s="635">
        <v>5.4201759410524275</v>
      </c>
      <c r="CL265" s="634">
        <v>0</v>
      </c>
      <c r="CM265" s="634">
        <v>0</v>
      </c>
      <c r="CN265" s="634">
        <v>0</v>
      </c>
      <c r="CO265" s="635">
        <v>0</v>
      </c>
      <c r="CP265" s="635">
        <v>0</v>
      </c>
      <c r="CQ265" s="635">
        <v>0</v>
      </c>
      <c r="CR265" s="635">
        <v>0</v>
      </c>
      <c r="CS265" s="635">
        <v>0</v>
      </c>
      <c r="CT265" s="635">
        <v>0</v>
      </c>
      <c r="CU265" s="635">
        <v>0</v>
      </c>
      <c r="CV265" s="635">
        <v>0</v>
      </c>
      <c r="CW265" s="635">
        <v>0</v>
      </c>
      <c r="CX265" s="635">
        <v>0</v>
      </c>
      <c r="CY265" s="635">
        <v>0</v>
      </c>
      <c r="CZ265" s="635">
        <v>0</v>
      </c>
      <c r="DA265" s="636">
        <v>0</v>
      </c>
      <c r="DB265" s="636">
        <v>0</v>
      </c>
      <c r="DC265" s="636">
        <v>0</v>
      </c>
      <c r="DD265" s="637">
        <v>0</v>
      </c>
      <c r="DE265" s="637">
        <v>0</v>
      </c>
      <c r="DF265" s="637">
        <v>0</v>
      </c>
      <c r="DG265" s="637">
        <v>0</v>
      </c>
      <c r="DH265" s="637">
        <v>0</v>
      </c>
      <c r="DI265" s="637">
        <v>0</v>
      </c>
      <c r="DJ265" s="637">
        <v>0</v>
      </c>
      <c r="DK265" s="637">
        <v>0</v>
      </c>
      <c r="DL265" s="637">
        <v>0</v>
      </c>
      <c r="DM265" s="637">
        <v>0</v>
      </c>
      <c r="DN265" s="637">
        <v>0</v>
      </c>
      <c r="DO265" s="637">
        <v>0</v>
      </c>
      <c r="DP265" s="636">
        <v>0</v>
      </c>
      <c r="DQ265" s="636">
        <v>0</v>
      </c>
      <c r="DR265" s="636">
        <v>0</v>
      </c>
      <c r="DS265" s="637">
        <v>0</v>
      </c>
      <c r="DT265" s="637">
        <v>0</v>
      </c>
      <c r="DU265" s="637">
        <v>0</v>
      </c>
      <c r="DV265" s="637">
        <v>0</v>
      </c>
      <c r="DW265" s="637">
        <v>0</v>
      </c>
      <c r="DX265" s="637">
        <v>0</v>
      </c>
      <c r="DY265" s="637">
        <v>0</v>
      </c>
      <c r="DZ265" s="637">
        <v>0</v>
      </c>
      <c r="EA265" s="637">
        <v>0</v>
      </c>
      <c r="EB265" s="637">
        <v>0</v>
      </c>
      <c r="EC265" s="637">
        <v>0</v>
      </c>
      <c r="ED265" s="637">
        <v>0</v>
      </c>
    </row>
    <row r="266" spans="1:134" ht="15" x14ac:dyDescent="0.25">
      <c r="A266" s="555">
        <v>102</v>
      </c>
      <c r="B266" s="555">
        <v>97</v>
      </c>
      <c r="C266" s="555" t="s">
        <v>1249</v>
      </c>
      <c r="D266" s="812">
        <v>99709</v>
      </c>
      <c r="E266" s="812">
        <v>99709</v>
      </c>
      <c r="F266" s="630" t="s">
        <v>311</v>
      </c>
      <c r="G266" s="45">
        <v>22</v>
      </c>
      <c r="H266" s="45">
        <v>17</v>
      </c>
      <c r="I266" s="45">
        <v>14</v>
      </c>
      <c r="J266" s="45">
        <v>3</v>
      </c>
      <c r="K266" s="45">
        <v>0</v>
      </c>
      <c r="L266" s="45">
        <v>9</v>
      </c>
      <c r="M266" s="45">
        <v>9</v>
      </c>
      <c r="N266" s="45">
        <v>1</v>
      </c>
      <c r="O266" s="45">
        <v>0</v>
      </c>
      <c r="P266" s="45">
        <v>0</v>
      </c>
      <c r="Q266" s="45">
        <v>10</v>
      </c>
      <c r="R266" s="45">
        <v>0</v>
      </c>
      <c r="S266" s="45">
        <v>1240.2222222222222</v>
      </c>
      <c r="T266" s="45">
        <v>1240.2222222222222</v>
      </c>
      <c r="U266" s="45">
        <v>4120</v>
      </c>
      <c r="V266" s="45">
        <v>0</v>
      </c>
      <c r="W266" s="45">
        <v>0</v>
      </c>
      <c r="X266" s="45">
        <v>1528.2</v>
      </c>
      <c r="Y266" s="45">
        <v>0</v>
      </c>
      <c r="Z266" s="45">
        <v>17</v>
      </c>
      <c r="AA266" s="45">
        <v>0</v>
      </c>
      <c r="AB266" s="508">
        <v>1</v>
      </c>
      <c r="AC266" s="508">
        <v>0</v>
      </c>
      <c r="AD266" s="631">
        <v>18</v>
      </c>
      <c r="AE266" s="632">
        <v>0</v>
      </c>
      <c r="AF266" s="632">
        <v>14</v>
      </c>
      <c r="AG266" s="633">
        <v>14</v>
      </c>
      <c r="AH266" s="632">
        <v>0</v>
      </c>
      <c r="AI266" s="632">
        <v>0</v>
      </c>
      <c r="AJ266" s="632">
        <v>16.186692715131567</v>
      </c>
      <c r="AK266" s="632">
        <v>16.186692715131567</v>
      </c>
      <c r="AL266" s="632">
        <v>0</v>
      </c>
      <c r="AM266" s="632">
        <v>0</v>
      </c>
      <c r="AN266" s="632">
        <v>13.355364804571668</v>
      </c>
      <c r="AO266" s="632">
        <v>13.355364804571668</v>
      </c>
      <c r="AP266" s="632">
        <v>0</v>
      </c>
      <c r="AQ266" s="632">
        <v>0.95966573850124082</v>
      </c>
      <c r="AR266" s="632">
        <v>0</v>
      </c>
      <c r="AS266" s="632">
        <v>15.412295356123142</v>
      </c>
      <c r="AT266" s="632">
        <v>15.794748778135553</v>
      </c>
      <c r="AU266" s="632">
        <v>16.186692715131567</v>
      </c>
      <c r="AV266" s="632">
        <v>16.588362672585763</v>
      </c>
      <c r="AW266" s="632">
        <v>17</v>
      </c>
      <c r="AX266" s="632">
        <v>12.74041207594226</v>
      </c>
      <c r="AY266" s="632">
        <v>13.044265063037439</v>
      </c>
      <c r="AZ266" s="632">
        <v>13.355364804571668</v>
      </c>
      <c r="BA266" s="632">
        <v>13.673884132316003</v>
      </c>
      <c r="BB266" s="632">
        <v>14</v>
      </c>
      <c r="BC266" s="632">
        <v>0.92095832965313207</v>
      </c>
      <c r="BD266" s="632">
        <v>0.94011284192667122</v>
      </c>
      <c r="BE266" s="632">
        <v>0.95966573850124082</v>
      </c>
      <c r="BF266" s="632">
        <v>0.97962530515561963</v>
      </c>
      <c r="BG266" s="632">
        <v>1</v>
      </c>
      <c r="BH266" s="634">
        <v>17.176865174017397</v>
      </c>
      <c r="BI266" s="634">
        <v>17.355570423904219</v>
      </c>
      <c r="BJ266" s="634">
        <v>17.536134893503924</v>
      </c>
      <c r="BK266" s="635">
        <v>17.585227920357124</v>
      </c>
      <c r="BL266" s="635">
        <v>17.63432094721032</v>
      </c>
      <c r="BM266" s="635">
        <v>17.683413974063523</v>
      </c>
      <c r="BN266" s="635">
        <v>17.732507000916723</v>
      </c>
      <c r="BO266" s="635">
        <v>17.790556285249384</v>
      </c>
      <c r="BP266" s="635">
        <v>17.848605569582045</v>
      </c>
      <c r="BQ266" s="635">
        <v>18.009534850146913</v>
      </c>
      <c r="BR266" s="635">
        <v>18.201271072790426</v>
      </c>
      <c r="BS266" s="635">
        <v>18.285458673246481</v>
      </c>
      <c r="BT266" s="635">
        <v>18.331690806094354</v>
      </c>
      <c r="BU266" s="635">
        <v>18.379568541826728</v>
      </c>
      <c r="BV266" s="635">
        <v>18.428598199578254</v>
      </c>
      <c r="BW266" s="634">
        <v>14.14565367272021</v>
      </c>
      <c r="BX266" s="634">
        <v>14.292822702038769</v>
      </c>
      <c r="BY266" s="634">
        <v>14.44152285347382</v>
      </c>
      <c r="BZ266" s="635">
        <v>14.481952404999983</v>
      </c>
      <c r="CA266" s="635">
        <v>14.522381956526148</v>
      </c>
      <c r="CB266" s="635">
        <v>14.562811508052315</v>
      </c>
      <c r="CC266" s="635">
        <v>14.603241059578478</v>
      </c>
      <c r="CD266" s="635">
        <v>14.651046352558316</v>
      </c>
      <c r="CE266" s="635">
        <v>14.698851645538156</v>
      </c>
      <c r="CF266" s="635">
        <v>14.831381641297458</v>
      </c>
      <c r="CG266" s="635">
        <v>14.98928205994506</v>
      </c>
      <c r="CH266" s="635">
        <v>15.058613025026515</v>
      </c>
      <c r="CI266" s="635">
        <v>15.096686546195352</v>
      </c>
      <c r="CJ266" s="635">
        <v>15.136115269739658</v>
      </c>
      <c r="CK266" s="635">
        <v>15.176492634946797</v>
      </c>
      <c r="CL266" s="634">
        <v>1.0104038337657293</v>
      </c>
      <c r="CM266" s="634">
        <v>1.0209159072884835</v>
      </c>
      <c r="CN266" s="634">
        <v>1.0315373466767015</v>
      </c>
      <c r="CO266" s="635">
        <v>1.0344251717857131</v>
      </c>
      <c r="CP266" s="635">
        <v>1.0373129968947248</v>
      </c>
      <c r="CQ266" s="635">
        <v>1.0402008220037369</v>
      </c>
      <c r="CR266" s="635">
        <v>1.0430886471127485</v>
      </c>
      <c r="CS266" s="635">
        <v>1.0465033108970225</v>
      </c>
      <c r="CT266" s="635">
        <v>1.049917974681297</v>
      </c>
      <c r="CU266" s="635">
        <v>1.0593844029498185</v>
      </c>
      <c r="CV266" s="635">
        <v>1.07066300428179</v>
      </c>
      <c r="CW266" s="635">
        <v>1.0756152160733226</v>
      </c>
      <c r="CX266" s="635">
        <v>1.0783347532996681</v>
      </c>
      <c r="CY266" s="635">
        <v>1.0811510906956898</v>
      </c>
      <c r="CZ266" s="635">
        <v>1.0840351882104855</v>
      </c>
      <c r="DA266" s="636">
        <v>0</v>
      </c>
      <c r="DB266" s="636">
        <v>0</v>
      </c>
      <c r="DC266" s="636">
        <v>0</v>
      </c>
      <c r="DD266" s="637">
        <v>0</v>
      </c>
      <c r="DE266" s="637">
        <v>0</v>
      </c>
      <c r="DF266" s="637">
        <v>0</v>
      </c>
      <c r="DG266" s="637">
        <v>0</v>
      </c>
      <c r="DH266" s="637">
        <v>0</v>
      </c>
      <c r="DI266" s="637">
        <v>0</v>
      </c>
      <c r="DJ266" s="637">
        <v>0</v>
      </c>
      <c r="DK266" s="637">
        <v>0</v>
      </c>
      <c r="DL266" s="637">
        <v>0</v>
      </c>
      <c r="DM266" s="637">
        <v>0</v>
      </c>
      <c r="DN266" s="637">
        <v>0</v>
      </c>
      <c r="DO266" s="637">
        <v>0</v>
      </c>
      <c r="DP266" s="636">
        <v>0</v>
      </c>
      <c r="DQ266" s="636">
        <v>0</v>
      </c>
      <c r="DR266" s="636">
        <v>0</v>
      </c>
      <c r="DS266" s="637">
        <v>0</v>
      </c>
      <c r="DT266" s="637">
        <v>0</v>
      </c>
      <c r="DU266" s="637">
        <v>0</v>
      </c>
      <c r="DV266" s="637">
        <v>0</v>
      </c>
      <c r="DW266" s="637">
        <v>0</v>
      </c>
      <c r="DX266" s="637">
        <v>0</v>
      </c>
      <c r="DY266" s="637">
        <v>0</v>
      </c>
      <c r="DZ266" s="637">
        <v>0</v>
      </c>
      <c r="EA266" s="637">
        <v>0</v>
      </c>
      <c r="EB266" s="637">
        <v>0</v>
      </c>
      <c r="EC266" s="637">
        <v>0</v>
      </c>
      <c r="ED266" s="637">
        <v>0</v>
      </c>
    </row>
    <row r="267" spans="1:134" ht="15" x14ac:dyDescent="0.25">
      <c r="A267" s="555">
        <v>103</v>
      </c>
      <c r="B267" s="555">
        <v>97</v>
      </c>
      <c r="C267" s="555" t="s">
        <v>1250</v>
      </c>
      <c r="D267" s="812">
        <v>99709</v>
      </c>
      <c r="E267" s="812">
        <v>99709</v>
      </c>
      <c r="F267" s="630" t="s">
        <v>311</v>
      </c>
      <c r="G267" s="45">
        <v>185</v>
      </c>
      <c r="H267" s="45">
        <v>105</v>
      </c>
      <c r="I267" s="45">
        <v>91</v>
      </c>
      <c r="J267" s="45">
        <v>14</v>
      </c>
      <c r="K267" s="45">
        <v>0</v>
      </c>
      <c r="L267" s="45">
        <v>37</v>
      </c>
      <c r="M267" s="45">
        <v>37</v>
      </c>
      <c r="N267" s="45">
        <v>1</v>
      </c>
      <c r="O267" s="45">
        <v>0</v>
      </c>
      <c r="P267" s="45">
        <v>0</v>
      </c>
      <c r="Q267" s="45">
        <v>38</v>
      </c>
      <c r="R267" s="45">
        <v>0</v>
      </c>
      <c r="S267" s="45">
        <v>1964.8108108108108</v>
      </c>
      <c r="T267" s="45">
        <v>1964.8108108108108</v>
      </c>
      <c r="U267" s="45">
        <v>1655</v>
      </c>
      <c r="V267" s="45">
        <v>0</v>
      </c>
      <c r="W267" s="45">
        <v>0</v>
      </c>
      <c r="X267" s="45">
        <v>1956.6578947368421</v>
      </c>
      <c r="Y267" s="45">
        <v>0</v>
      </c>
      <c r="Z267" s="45">
        <v>105</v>
      </c>
      <c r="AA267" s="45">
        <v>0</v>
      </c>
      <c r="AB267" s="508">
        <v>1</v>
      </c>
      <c r="AC267" s="508">
        <v>0</v>
      </c>
      <c r="AD267" s="631">
        <v>106</v>
      </c>
      <c r="AE267" s="632">
        <v>0</v>
      </c>
      <c r="AF267" s="632">
        <v>91</v>
      </c>
      <c r="AG267" s="633">
        <v>91</v>
      </c>
      <c r="AH267" s="632">
        <v>0</v>
      </c>
      <c r="AI267" s="632">
        <v>0</v>
      </c>
      <c r="AJ267" s="632">
        <v>99.976631475812638</v>
      </c>
      <c r="AK267" s="632">
        <v>99.976631475812638</v>
      </c>
      <c r="AL267" s="632">
        <v>0</v>
      </c>
      <c r="AM267" s="632">
        <v>0</v>
      </c>
      <c r="AN267" s="632">
        <v>86.809871229715839</v>
      </c>
      <c r="AO267" s="632">
        <v>86.809871229715839</v>
      </c>
      <c r="AP267" s="632">
        <v>0</v>
      </c>
      <c r="AQ267" s="632">
        <v>0.95966573850124082</v>
      </c>
      <c r="AR267" s="632">
        <v>0</v>
      </c>
      <c r="AS267" s="632">
        <v>95.193588964289987</v>
      </c>
      <c r="AT267" s="632">
        <v>97.555801276719592</v>
      </c>
      <c r="AU267" s="632">
        <v>99.976631475812638</v>
      </c>
      <c r="AV267" s="632">
        <v>102.45753415420619</v>
      </c>
      <c r="AW267" s="632">
        <v>105</v>
      </c>
      <c r="AX267" s="632">
        <v>82.812678493624688</v>
      </c>
      <c r="AY267" s="632">
        <v>84.787722909743366</v>
      </c>
      <c r="AZ267" s="632">
        <v>86.809871229715839</v>
      </c>
      <c r="BA267" s="632">
        <v>88.880246860054015</v>
      </c>
      <c r="BB267" s="632">
        <v>91</v>
      </c>
      <c r="BC267" s="632">
        <v>0.92095832965313207</v>
      </c>
      <c r="BD267" s="632">
        <v>0.94011284192667122</v>
      </c>
      <c r="BE267" s="632">
        <v>0.95966573850124082</v>
      </c>
      <c r="BF267" s="632">
        <v>0.97962530515561963</v>
      </c>
      <c r="BG267" s="632">
        <v>1</v>
      </c>
      <c r="BH267" s="634">
        <v>107.28215645669538</v>
      </c>
      <c r="BI267" s="634">
        <v>109.61391518094159</v>
      </c>
      <c r="BJ267" s="634">
        <v>111.99635426926392</v>
      </c>
      <c r="BK267" s="635">
        <v>112.53192425889695</v>
      </c>
      <c r="BL267" s="635">
        <v>113.06749424852998</v>
      </c>
      <c r="BM267" s="635">
        <v>113.60306423816299</v>
      </c>
      <c r="BN267" s="635">
        <v>114.13863422779602</v>
      </c>
      <c r="BO267" s="635">
        <v>114.77191061348746</v>
      </c>
      <c r="BP267" s="635">
        <v>115.40518699917892</v>
      </c>
      <c r="BQ267" s="635">
        <v>117.16081093700417</v>
      </c>
      <c r="BR267" s="635">
        <v>119.25251669147973</v>
      </c>
      <c r="BS267" s="635">
        <v>120.17094350672387</v>
      </c>
      <c r="BT267" s="635">
        <v>120.67530317849736</v>
      </c>
      <c r="BU267" s="635">
        <v>121.19761520677207</v>
      </c>
      <c r="BV267" s="635">
        <v>121.73249388459763</v>
      </c>
      <c r="BW267" s="634">
        <v>92.977868929135994</v>
      </c>
      <c r="BX267" s="634">
        <v>94.99872649014938</v>
      </c>
      <c r="BY267" s="634">
        <v>97.063507033362058</v>
      </c>
      <c r="BZ267" s="635">
        <v>97.527667691044016</v>
      </c>
      <c r="CA267" s="635">
        <v>97.991828348725974</v>
      </c>
      <c r="CB267" s="635">
        <v>98.455989006407918</v>
      </c>
      <c r="CC267" s="635">
        <v>98.920149664089877</v>
      </c>
      <c r="CD267" s="635">
        <v>99.4689891983558</v>
      </c>
      <c r="CE267" s="635">
        <v>100.01782873262172</v>
      </c>
      <c r="CF267" s="635">
        <v>101.53936947873694</v>
      </c>
      <c r="CG267" s="635">
        <v>103.35218113261575</v>
      </c>
      <c r="CH267" s="635">
        <v>104.14815103916068</v>
      </c>
      <c r="CI267" s="635">
        <v>104.58526275469771</v>
      </c>
      <c r="CJ267" s="635">
        <v>105.03793317920245</v>
      </c>
      <c r="CK267" s="635">
        <v>105.5014946999846</v>
      </c>
      <c r="CL267" s="634">
        <v>1.0217348233970989</v>
      </c>
      <c r="CM267" s="634">
        <v>1.0439420493423008</v>
      </c>
      <c r="CN267" s="634">
        <v>1.0666319454215611</v>
      </c>
      <c r="CO267" s="635">
        <v>1.0717326119894948</v>
      </c>
      <c r="CP267" s="635">
        <v>1.0768332785574284</v>
      </c>
      <c r="CQ267" s="635">
        <v>1.0819339451253618</v>
      </c>
      <c r="CR267" s="635">
        <v>1.0870346116932954</v>
      </c>
      <c r="CS267" s="635">
        <v>1.0930658153665473</v>
      </c>
      <c r="CT267" s="635">
        <v>1.0990970190397993</v>
      </c>
      <c r="CU267" s="635">
        <v>1.1158172470190875</v>
      </c>
      <c r="CV267" s="635">
        <v>1.1357382542045689</v>
      </c>
      <c r="CW267" s="635">
        <v>1.144485176254513</v>
      </c>
      <c r="CX267" s="635">
        <v>1.1492886016999748</v>
      </c>
      <c r="CY267" s="635">
        <v>1.1542630019692579</v>
      </c>
      <c r="CZ267" s="635">
        <v>1.1593570846152155</v>
      </c>
      <c r="DA267" s="636">
        <v>0</v>
      </c>
      <c r="DB267" s="636">
        <v>0</v>
      </c>
      <c r="DC267" s="636">
        <v>0</v>
      </c>
      <c r="DD267" s="637">
        <v>0</v>
      </c>
      <c r="DE267" s="637">
        <v>0</v>
      </c>
      <c r="DF267" s="637">
        <v>0</v>
      </c>
      <c r="DG267" s="637">
        <v>0</v>
      </c>
      <c r="DH267" s="637">
        <v>0</v>
      </c>
      <c r="DI267" s="637">
        <v>0</v>
      </c>
      <c r="DJ267" s="637">
        <v>0</v>
      </c>
      <c r="DK267" s="637">
        <v>0</v>
      </c>
      <c r="DL267" s="637">
        <v>0</v>
      </c>
      <c r="DM267" s="637">
        <v>0</v>
      </c>
      <c r="DN267" s="637">
        <v>0</v>
      </c>
      <c r="DO267" s="637">
        <v>0</v>
      </c>
      <c r="DP267" s="636">
        <v>0</v>
      </c>
      <c r="DQ267" s="636">
        <v>0</v>
      </c>
      <c r="DR267" s="636">
        <v>0</v>
      </c>
      <c r="DS267" s="637">
        <v>0</v>
      </c>
      <c r="DT267" s="637">
        <v>0</v>
      </c>
      <c r="DU267" s="637">
        <v>0</v>
      </c>
      <c r="DV267" s="637">
        <v>0</v>
      </c>
      <c r="DW267" s="637">
        <v>0</v>
      </c>
      <c r="DX267" s="637">
        <v>0</v>
      </c>
      <c r="DY267" s="637">
        <v>0</v>
      </c>
      <c r="DZ267" s="637">
        <v>0</v>
      </c>
      <c r="EA267" s="637">
        <v>0</v>
      </c>
      <c r="EB267" s="637">
        <v>0</v>
      </c>
      <c r="EC267" s="637">
        <v>0</v>
      </c>
      <c r="ED267" s="637">
        <v>0</v>
      </c>
    </row>
    <row r="268" spans="1:134" ht="15" x14ac:dyDescent="0.25">
      <c r="A268" s="555">
        <v>104</v>
      </c>
      <c r="B268" s="555">
        <v>97</v>
      </c>
      <c r="C268" s="555" t="s">
        <v>1251</v>
      </c>
      <c r="D268" s="812">
        <v>99709</v>
      </c>
      <c r="E268" s="812">
        <v>99709</v>
      </c>
      <c r="F268" s="630" t="s">
        <v>311</v>
      </c>
      <c r="G268" s="45">
        <v>8</v>
      </c>
      <c r="H268" s="45">
        <v>3</v>
      </c>
      <c r="I268" s="45">
        <v>3</v>
      </c>
      <c r="J268" s="45">
        <v>0</v>
      </c>
      <c r="K268" s="45">
        <v>0</v>
      </c>
      <c r="L268" s="45">
        <v>18</v>
      </c>
      <c r="M268" s="45">
        <v>18</v>
      </c>
      <c r="N268" s="45">
        <v>1</v>
      </c>
      <c r="O268" s="45">
        <v>0</v>
      </c>
      <c r="P268" s="45">
        <v>0</v>
      </c>
      <c r="Q268" s="45">
        <v>19</v>
      </c>
      <c r="R268" s="45">
        <v>0</v>
      </c>
      <c r="S268" s="45">
        <v>2199.1111111111113</v>
      </c>
      <c r="T268" s="45">
        <v>2199.1111111111113</v>
      </c>
      <c r="U268" s="45">
        <v>4969</v>
      </c>
      <c r="V268" s="45">
        <v>0</v>
      </c>
      <c r="W268" s="45">
        <v>0</v>
      </c>
      <c r="X268" s="45">
        <v>2344.8947368421054</v>
      </c>
      <c r="Y268" s="45">
        <v>0</v>
      </c>
      <c r="Z268" s="45">
        <v>3</v>
      </c>
      <c r="AA268" s="45">
        <v>0</v>
      </c>
      <c r="AB268" s="508">
        <v>1</v>
      </c>
      <c r="AC268" s="508">
        <v>0</v>
      </c>
      <c r="AD268" s="631">
        <v>4</v>
      </c>
      <c r="AE268" s="632">
        <v>0</v>
      </c>
      <c r="AF268" s="632">
        <v>3</v>
      </c>
      <c r="AG268" s="633">
        <v>3</v>
      </c>
      <c r="AH268" s="632">
        <v>0</v>
      </c>
      <c r="AI268" s="632">
        <v>0</v>
      </c>
      <c r="AJ268" s="632">
        <v>2.8564751850232182</v>
      </c>
      <c r="AK268" s="632">
        <v>2.8564751850232182</v>
      </c>
      <c r="AL268" s="632">
        <v>0</v>
      </c>
      <c r="AM268" s="632">
        <v>0</v>
      </c>
      <c r="AN268" s="632">
        <v>2.861863886693929</v>
      </c>
      <c r="AO268" s="632">
        <v>2.861863886693929</v>
      </c>
      <c r="AP268" s="632">
        <v>0</v>
      </c>
      <c r="AQ268" s="632">
        <v>0.95966573850124082</v>
      </c>
      <c r="AR268" s="632">
        <v>0</v>
      </c>
      <c r="AS268" s="632">
        <v>2.7198168275511425</v>
      </c>
      <c r="AT268" s="632">
        <v>2.7873086079062741</v>
      </c>
      <c r="AU268" s="632">
        <v>2.8564751850232182</v>
      </c>
      <c r="AV268" s="632">
        <v>2.9273581186916053</v>
      </c>
      <c r="AW268" s="632">
        <v>3</v>
      </c>
      <c r="AX268" s="632">
        <v>2.7300883019876268</v>
      </c>
      <c r="AY268" s="632">
        <v>2.7951996563651655</v>
      </c>
      <c r="AZ268" s="632">
        <v>2.861863886693929</v>
      </c>
      <c r="BA268" s="632">
        <v>2.9301180283534292</v>
      </c>
      <c r="BB268" s="632">
        <v>3</v>
      </c>
      <c r="BC268" s="632">
        <v>0.92095832965313207</v>
      </c>
      <c r="BD268" s="632">
        <v>0.94011284192667122</v>
      </c>
      <c r="BE268" s="632">
        <v>0.95966573850124082</v>
      </c>
      <c r="BF268" s="632">
        <v>0.97962530515561963</v>
      </c>
      <c r="BG268" s="632">
        <v>1</v>
      </c>
      <c r="BH268" s="634">
        <v>3.0652044701912966</v>
      </c>
      <c r="BI268" s="634">
        <v>3.1318261480269025</v>
      </c>
      <c r="BJ268" s="634">
        <v>3.1998958362646834</v>
      </c>
      <c r="BK268" s="635">
        <v>3.2356533127500269</v>
      </c>
      <c r="BL268" s="635">
        <v>3.2714107892353703</v>
      </c>
      <c r="BM268" s="635">
        <v>3.3071682657207142</v>
      </c>
      <c r="BN268" s="635">
        <v>3.3429257422060576</v>
      </c>
      <c r="BO268" s="635">
        <v>3.3852066128829255</v>
      </c>
      <c r="BP268" s="635">
        <v>3.4274874835597937</v>
      </c>
      <c r="BQ268" s="635">
        <v>3.5447021947815847</v>
      </c>
      <c r="BR268" s="635">
        <v>3.6843555001902146</v>
      </c>
      <c r="BS268" s="635">
        <v>3.7456745170979842</v>
      </c>
      <c r="BT268" s="635">
        <v>3.7793482281958615</v>
      </c>
      <c r="BU268" s="635">
        <v>3.8142205332737502</v>
      </c>
      <c r="BV268" s="635">
        <v>3.8499318541376488</v>
      </c>
      <c r="BW268" s="634">
        <v>3.0652044701912966</v>
      </c>
      <c r="BX268" s="634">
        <v>3.1318261480269025</v>
      </c>
      <c r="BY268" s="634">
        <v>3.1998958362646834</v>
      </c>
      <c r="BZ268" s="635">
        <v>3.2356533127500269</v>
      </c>
      <c r="CA268" s="635">
        <v>3.2714107892353703</v>
      </c>
      <c r="CB268" s="635">
        <v>3.3071682657207142</v>
      </c>
      <c r="CC268" s="635">
        <v>3.3429257422060576</v>
      </c>
      <c r="CD268" s="635">
        <v>3.3852066128829255</v>
      </c>
      <c r="CE268" s="635">
        <v>3.4274874835597937</v>
      </c>
      <c r="CF268" s="635">
        <v>3.5447021947815847</v>
      </c>
      <c r="CG268" s="635">
        <v>3.6843555001902146</v>
      </c>
      <c r="CH268" s="635">
        <v>3.7456745170979842</v>
      </c>
      <c r="CI268" s="635">
        <v>3.7793482281958615</v>
      </c>
      <c r="CJ268" s="635">
        <v>3.8142205332737502</v>
      </c>
      <c r="CK268" s="635">
        <v>3.8499318541376488</v>
      </c>
      <c r="CL268" s="634">
        <v>1.0217348233970989</v>
      </c>
      <c r="CM268" s="634">
        <v>1.0439420493423008</v>
      </c>
      <c r="CN268" s="634">
        <v>1.0666319454215611</v>
      </c>
      <c r="CO268" s="635">
        <v>1.0785511042500089</v>
      </c>
      <c r="CP268" s="635">
        <v>1.0904702630784568</v>
      </c>
      <c r="CQ268" s="635">
        <v>1.1023894219069046</v>
      </c>
      <c r="CR268" s="635">
        <v>1.1143085807353525</v>
      </c>
      <c r="CS268" s="635">
        <v>1.1284022042943085</v>
      </c>
      <c r="CT268" s="635">
        <v>1.1424958278532646</v>
      </c>
      <c r="CU268" s="635">
        <v>1.1815673982605281</v>
      </c>
      <c r="CV268" s="635">
        <v>1.2281185000634049</v>
      </c>
      <c r="CW268" s="635">
        <v>1.2485581723659946</v>
      </c>
      <c r="CX268" s="635">
        <v>1.2597827427319539</v>
      </c>
      <c r="CY268" s="635">
        <v>1.2714068444245834</v>
      </c>
      <c r="CZ268" s="635">
        <v>1.2833106180458829</v>
      </c>
      <c r="DA268" s="636">
        <v>0</v>
      </c>
      <c r="DB268" s="636">
        <v>0</v>
      </c>
      <c r="DC268" s="636">
        <v>0</v>
      </c>
      <c r="DD268" s="637">
        <v>0</v>
      </c>
      <c r="DE268" s="637">
        <v>0</v>
      </c>
      <c r="DF268" s="637">
        <v>0</v>
      </c>
      <c r="DG268" s="637">
        <v>0</v>
      </c>
      <c r="DH268" s="637">
        <v>0</v>
      </c>
      <c r="DI268" s="637">
        <v>0</v>
      </c>
      <c r="DJ268" s="637">
        <v>0</v>
      </c>
      <c r="DK268" s="637">
        <v>0</v>
      </c>
      <c r="DL268" s="637">
        <v>0</v>
      </c>
      <c r="DM268" s="637">
        <v>0</v>
      </c>
      <c r="DN268" s="637">
        <v>0</v>
      </c>
      <c r="DO268" s="637">
        <v>0</v>
      </c>
      <c r="DP268" s="636">
        <v>0</v>
      </c>
      <c r="DQ268" s="636">
        <v>0</v>
      </c>
      <c r="DR268" s="636">
        <v>0</v>
      </c>
      <c r="DS268" s="637">
        <v>0</v>
      </c>
      <c r="DT268" s="637">
        <v>0</v>
      </c>
      <c r="DU268" s="637">
        <v>0</v>
      </c>
      <c r="DV268" s="637">
        <v>0</v>
      </c>
      <c r="DW268" s="637">
        <v>0</v>
      </c>
      <c r="DX268" s="637">
        <v>0</v>
      </c>
      <c r="DY268" s="637">
        <v>0</v>
      </c>
      <c r="DZ268" s="637">
        <v>0</v>
      </c>
      <c r="EA268" s="637">
        <v>0</v>
      </c>
      <c r="EB268" s="637">
        <v>0</v>
      </c>
      <c r="EC268" s="637">
        <v>0</v>
      </c>
      <c r="ED268" s="637">
        <v>0</v>
      </c>
    </row>
    <row r="269" spans="1:134" ht="15" x14ac:dyDescent="0.25">
      <c r="A269" s="555">
        <v>105</v>
      </c>
      <c r="B269" s="555">
        <v>97</v>
      </c>
      <c r="C269" s="555" t="s">
        <v>1252</v>
      </c>
      <c r="D269" s="812">
        <v>99709</v>
      </c>
      <c r="E269" s="812">
        <v>99709</v>
      </c>
      <c r="F269" s="630" t="s">
        <v>311</v>
      </c>
      <c r="G269" s="45">
        <v>247</v>
      </c>
      <c r="H269" s="45">
        <v>88</v>
      </c>
      <c r="I269" s="45">
        <v>83</v>
      </c>
      <c r="J269" s="45">
        <v>5</v>
      </c>
      <c r="K269" s="45">
        <v>1</v>
      </c>
      <c r="L269" s="45">
        <v>95</v>
      </c>
      <c r="M269" s="45">
        <v>96</v>
      </c>
      <c r="N269" s="45">
        <v>0</v>
      </c>
      <c r="O269" s="45">
        <v>0</v>
      </c>
      <c r="P269" s="45">
        <v>0</v>
      </c>
      <c r="Q269" s="45">
        <v>96</v>
      </c>
      <c r="R269" s="45">
        <v>3114</v>
      </c>
      <c r="S269" s="45">
        <v>3067.8</v>
      </c>
      <c r="T269" s="45">
        <v>3068.28125</v>
      </c>
      <c r="U269" s="45">
        <v>0</v>
      </c>
      <c r="V269" s="45">
        <v>0</v>
      </c>
      <c r="W269" s="45">
        <v>0</v>
      </c>
      <c r="X269" s="45">
        <v>3068.28125</v>
      </c>
      <c r="Y269" s="45">
        <v>0.91666666666666663</v>
      </c>
      <c r="Z269" s="45">
        <v>87.083333333333329</v>
      </c>
      <c r="AA269" s="45">
        <v>0</v>
      </c>
      <c r="AB269" s="508">
        <v>0</v>
      </c>
      <c r="AC269" s="508">
        <v>0</v>
      </c>
      <c r="AD269" s="631">
        <v>88</v>
      </c>
      <c r="AE269" s="632">
        <v>0.86458333333333326</v>
      </c>
      <c r="AF269" s="632">
        <v>82.135416666666657</v>
      </c>
      <c r="AG269" s="633">
        <v>82.999999999999986</v>
      </c>
      <c r="AH269" s="632">
        <v>0</v>
      </c>
      <c r="AI269" s="632">
        <v>0.87281186209042771</v>
      </c>
      <c r="AJ269" s="632">
        <v>82.917126898590624</v>
      </c>
      <c r="AK269" s="632">
        <v>83.789938760681054</v>
      </c>
      <c r="AL269" s="632">
        <v>0</v>
      </c>
      <c r="AM269" s="632">
        <v>0.82477327290137525</v>
      </c>
      <c r="AN269" s="632">
        <v>78.353460925630657</v>
      </c>
      <c r="AO269" s="632">
        <v>79.178234198532039</v>
      </c>
      <c r="AP269" s="632">
        <v>0</v>
      </c>
      <c r="AQ269" s="632">
        <v>0</v>
      </c>
      <c r="AR269" s="632">
        <v>0</v>
      </c>
      <c r="AS269" s="632">
        <v>79.781293608166848</v>
      </c>
      <c r="AT269" s="632">
        <v>81.761052498584036</v>
      </c>
      <c r="AU269" s="632">
        <v>83.789938760681068</v>
      </c>
      <c r="AV269" s="632">
        <v>85.869171481620413</v>
      </c>
      <c r="AW269" s="632">
        <v>88</v>
      </c>
      <c r="AX269" s="632">
        <v>75.53244302165767</v>
      </c>
      <c r="AY269" s="632">
        <v>77.333857159436235</v>
      </c>
      <c r="AZ269" s="632">
        <v>79.178234198532024</v>
      </c>
      <c r="BA269" s="632">
        <v>81.066598784444849</v>
      </c>
      <c r="BB269" s="632">
        <v>82.999999999999986</v>
      </c>
      <c r="BC269" s="632">
        <v>0</v>
      </c>
      <c r="BD269" s="632">
        <v>0</v>
      </c>
      <c r="BE269" s="632">
        <v>0</v>
      </c>
      <c r="BF269" s="632">
        <v>0</v>
      </c>
      <c r="BG269" s="632">
        <v>0</v>
      </c>
      <c r="BH269" s="634">
        <v>89.912664458944704</v>
      </c>
      <c r="BI269" s="634">
        <v>91.866900342122477</v>
      </c>
      <c r="BJ269" s="634">
        <v>93.863611197097384</v>
      </c>
      <c r="BK269" s="635">
        <v>94.878813199731141</v>
      </c>
      <c r="BL269" s="635">
        <v>95.894015202364898</v>
      </c>
      <c r="BM269" s="635">
        <v>96.90921720499864</v>
      </c>
      <c r="BN269" s="635">
        <v>97.924419207632397</v>
      </c>
      <c r="BO269" s="635">
        <v>99.124828990516505</v>
      </c>
      <c r="BP269" s="635">
        <v>100.32523877340063</v>
      </c>
      <c r="BQ269" s="635">
        <v>103.65311929705204</v>
      </c>
      <c r="BR269" s="635">
        <v>107.61806115706769</v>
      </c>
      <c r="BS269" s="635">
        <v>109.35898906594336</v>
      </c>
      <c r="BT269" s="635">
        <v>110.31503021601411</v>
      </c>
      <c r="BU269" s="635">
        <v>111.30510103284146</v>
      </c>
      <c r="BV269" s="635">
        <v>112.31899261639842</v>
      </c>
      <c r="BW269" s="634">
        <v>84.803990341959192</v>
      </c>
      <c r="BX269" s="634">
        <v>86.647190095410949</v>
      </c>
      <c r="BY269" s="634">
        <v>88.530451469989558</v>
      </c>
      <c r="BZ269" s="635">
        <v>89.487971540655494</v>
      </c>
      <c r="CA269" s="635">
        <v>90.445491611321415</v>
      </c>
      <c r="CB269" s="635">
        <v>91.403011681987337</v>
      </c>
      <c r="CC269" s="635">
        <v>92.360531752653259</v>
      </c>
      <c r="CD269" s="635">
        <v>93.492736434237145</v>
      </c>
      <c r="CE269" s="635">
        <v>94.624941115821017</v>
      </c>
      <c r="CF269" s="635">
        <v>97.76373751881043</v>
      </c>
      <c r="CG269" s="635">
        <v>101.50339859132518</v>
      </c>
      <c r="CH269" s="635">
        <v>103.145410141742</v>
      </c>
      <c r="CI269" s="635">
        <v>104.04713077192238</v>
      </c>
      <c r="CJ269" s="635">
        <v>104.98094756506636</v>
      </c>
      <c r="CK269" s="635">
        <v>105.93723167228485</v>
      </c>
      <c r="CL269" s="634">
        <v>0</v>
      </c>
      <c r="CM269" s="634">
        <v>0</v>
      </c>
      <c r="CN269" s="634">
        <v>0</v>
      </c>
      <c r="CO269" s="635">
        <v>0</v>
      </c>
      <c r="CP269" s="635">
        <v>0</v>
      </c>
      <c r="CQ269" s="635">
        <v>0</v>
      </c>
      <c r="CR269" s="635">
        <v>0</v>
      </c>
      <c r="CS269" s="635">
        <v>0</v>
      </c>
      <c r="CT269" s="635">
        <v>0</v>
      </c>
      <c r="CU269" s="635">
        <v>0</v>
      </c>
      <c r="CV269" s="635">
        <v>0</v>
      </c>
      <c r="CW269" s="635">
        <v>0</v>
      </c>
      <c r="CX269" s="635">
        <v>0</v>
      </c>
      <c r="CY269" s="635">
        <v>0</v>
      </c>
      <c r="CZ269" s="635">
        <v>0</v>
      </c>
      <c r="DA269" s="636">
        <v>0</v>
      </c>
      <c r="DB269" s="636">
        <v>0</v>
      </c>
      <c r="DC269" s="636">
        <v>0</v>
      </c>
      <c r="DD269" s="637">
        <v>0</v>
      </c>
      <c r="DE269" s="637">
        <v>0</v>
      </c>
      <c r="DF269" s="637">
        <v>0</v>
      </c>
      <c r="DG269" s="637">
        <v>0</v>
      </c>
      <c r="DH269" s="637">
        <v>0</v>
      </c>
      <c r="DI269" s="637">
        <v>0</v>
      </c>
      <c r="DJ269" s="637">
        <v>0</v>
      </c>
      <c r="DK269" s="637">
        <v>0</v>
      </c>
      <c r="DL269" s="637">
        <v>0</v>
      </c>
      <c r="DM269" s="637">
        <v>0</v>
      </c>
      <c r="DN269" s="637">
        <v>0</v>
      </c>
      <c r="DO269" s="637">
        <v>0</v>
      </c>
      <c r="DP269" s="636">
        <v>0</v>
      </c>
      <c r="DQ269" s="636">
        <v>0</v>
      </c>
      <c r="DR269" s="636">
        <v>0</v>
      </c>
      <c r="DS269" s="637">
        <v>0</v>
      </c>
      <c r="DT269" s="637">
        <v>0</v>
      </c>
      <c r="DU269" s="637">
        <v>0</v>
      </c>
      <c r="DV269" s="637">
        <v>0</v>
      </c>
      <c r="DW269" s="637">
        <v>0</v>
      </c>
      <c r="DX269" s="637">
        <v>0</v>
      </c>
      <c r="DY269" s="637">
        <v>0</v>
      </c>
      <c r="DZ269" s="637">
        <v>0</v>
      </c>
      <c r="EA269" s="637">
        <v>0</v>
      </c>
      <c r="EB269" s="637">
        <v>0</v>
      </c>
      <c r="EC269" s="637">
        <v>0</v>
      </c>
      <c r="ED269" s="637">
        <v>0</v>
      </c>
    </row>
    <row r="270" spans="1:134" ht="15" x14ac:dyDescent="0.25">
      <c r="A270" s="555">
        <v>106</v>
      </c>
      <c r="B270" s="555">
        <v>97</v>
      </c>
      <c r="C270" s="555" t="s">
        <v>1253</v>
      </c>
      <c r="D270" s="812">
        <v>99709</v>
      </c>
      <c r="E270" s="812">
        <v>99709</v>
      </c>
      <c r="F270" s="630" t="s">
        <v>311</v>
      </c>
      <c r="G270" s="45">
        <v>207</v>
      </c>
      <c r="H270" s="45">
        <v>117</v>
      </c>
      <c r="I270" s="45">
        <v>105</v>
      </c>
      <c r="J270" s="45">
        <v>12</v>
      </c>
      <c r="K270" s="45">
        <v>0</v>
      </c>
      <c r="L270" s="45">
        <v>159</v>
      </c>
      <c r="M270" s="45">
        <v>159</v>
      </c>
      <c r="N270" s="45">
        <v>2</v>
      </c>
      <c r="O270" s="45">
        <v>0</v>
      </c>
      <c r="P270" s="45">
        <v>0</v>
      </c>
      <c r="Q270" s="45">
        <v>161</v>
      </c>
      <c r="R270" s="45">
        <v>0</v>
      </c>
      <c r="S270" s="45">
        <v>1928.5786163522012</v>
      </c>
      <c r="T270" s="45">
        <v>1928.5786163522012</v>
      </c>
      <c r="U270" s="45">
        <v>3400</v>
      </c>
      <c r="V270" s="45">
        <v>0</v>
      </c>
      <c r="W270" s="45">
        <v>0</v>
      </c>
      <c r="X270" s="45">
        <v>1946.8571428571429</v>
      </c>
      <c r="Y270" s="45">
        <v>0</v>
      </c>
      <c r="Z270" s="45">
        <v>117</v>
      </c>
      <c r="AA270" s="45">
        <v>0</v>
      </c>
      <c r="AB270" s="508">
        <v>2</v>
      </c>
      <c r="AC270" s="508">
        <v>0</v>
      </c>
      <c r="AD270" s="631">
        <v>119</v>
      </c>
      <c r="AE270" s="632">
        <v>0</v>
      </c>
      <c r="AF270" s="632">
        <v>105</v>
      </c>
      <c r="AG270" s="633">
        <v>105</v>
      </c>
      <c r="AH270" s="632">
        <v>0</v>
      </c>
      <c r="AI270" s="632">
        <v>0</v>
      </c>
      <c r="AJ270" s="632">
        <v>111.40253221590551</v>
      </c>
      <c r="AK270" s="632">
        <v>111.40253221590551</v>
      </c>
      <c r="AL270" s="632">
        <v>0</v>
      </c>
      <c r="AM270" s="632">
        <v>0</v>
      </c>
      <c r="AN270" s="632">
        <v>100.16523603428752</v>
      </c>
      <c r="AO270" s="632">
        <v>100.16523603428752</v>
      </c>
      <c r="AP270" s="632">
        <v>0</v>
      </c>
      <c r="AQ270" s="632">
        <v>1.9193314770024816</v>
      </c>
      <c r="AR270" s="632">
        <v>0</v>
      </c>
      <c r="AS270" s="632">
        <v>106.07285627449455</v>
      </c>
      <c r="AT270" s="632">
        <v>108.70503570834468</v>
      </c>
      <c r="AU270" s="632">
        <v>111.40253221590551</v>
      </c>
      <c r="AV270" s="632">
        <v>114.1669666289726</v>
      </c>
      <c r="AW270" s="632">
        <v>117</v>
      </c>
      <c r="AX270" s="632">
        <v>95.553090569566947</v>
      </c>
      <c r="AY270" s="632">
        <v>97.831987972780794</v>
      </c>
      <c r="AZ270" s="632">
        <v>100.16523603428752</v>
      </c>
      <c r="BA270" s="632">
        <v>102.55413099237002</v>
      </c>
      <c r="BB270" s="632">
        <v>105</v>
      </c>
      <c r="BC270" s="632">
        <v>1.8419166593062641</v>
      </c>
      <c r="BD270" s="632">
        <v>1.8802256838533424</v>
      </c>
      <c r="BE270" s="632">
        <v>1.9193314770024816</v>
      </c>
      <c r="BF270" s="632">
        <v>1.9592506103112393</v>
      </c>
      <c r="BG270" s="632">
        <v>2</v>
      </c>
      <c r="BH270" s="634">
        <v>118.23611263472672</v>
      </c>
      <c r="BI270" s="634">
        <v>119.48528488010071</v>
      </c>
      <c r="BJ270" s="634">
        <v>120.74765471176066</v>
      </c>
      <c r="BK270" s="635">
        <v>121.09930360405686</v>
      </c>
      <c r="BL270" s="635">
        <v>121.45095249635305</v>
      </c>
      <c r="BM270" s="635">
        <v>121.80260138864922</v>
      </c>
      <c r="BN270" s="635">
        <v>122.15425028094542</v>
      </c>
      <c r="BO270" s="635">
        <v>122.57005203208226</v>
      </c>
      <c r="BP270" s="635">
        <v>122.98585378321908</v>
      </c>
      <c r="BQ270" s="635">
        <v>124.13857560291619</v>
      </c>
      <c r="BR270" s="635">
        <v>125.51196475056976</v>
      </c>
      <c r="BS270" s="635">
        <v>126.11499288599049</v>
      </c>
      <c r="BT270" s="635">
        <v>126.44614945437765</v>
      </c>
      <c r="BU270" s="635">
        <v>126.78909332675863</v>
      </c>
      <c r="BV270" s="635">
        <v>127.14028831193524</v>
      </c>
      <c r="BW270" s="634">
        <v>106.10933185167782</v>
      </c>
      <c r="BX270" s="634">
        <v>107.23038386675704</v>
      </c>
      <c r="BY270" s="634">
        <v>108.3632798695288</v>
      </c>
      <c r="BZ270" s="635">
        <v>108.67886220876898</v>
      </c>
      <c r="CA270" s="635">
        <v>108.99444454800914</v>
      </c>
      <c r="CB270" s="635">
        <v>109.31002688724929</v>
      </c>
      <c r="CC270" s="635">
        <v>109.62560922648947</v>
      </c>
      <c r="CD270" s="635">
        <v>109.99876464417639</v>
      </c>
      <c r="CE270" s="635">
        <v>110.37192006186328</v>
      </c>
      <c r="CF270" s="635">
        <v>111.4064140026171</v>
      </c>
      <c r="CG270" s="635">
        <v>112.63894272487029</v>
      </c>
      <c r="CH270" s="635">
        <v>113.18012182076069</v>
      </c>
      <c r="CI270" s="635">
        <v>113.47731361290302</v>
      </c>
      <c r="CJ270" s="635">
        <v>113.78508375478339</v>
      </c>
      <c r="CK270" s="635">
        <v>114.10025874148035</v>
      </c>
      <c r="CL270" s="634">
        <v>2.021130130508149</v>
      </c>
      <c r="CM270" s="634">
        <v>2.0424835022239436</v>
      </c>
      <c r="CN270" s="634">
        <v>2.0640624737053104</v>
      </c>
      <c r="CO270" s="635">
        <v>2.0700735658813136</v>
      </c>
      <c r="CP270" s="635">
        <v>2.0760846580573169</v>
      </c>
      <c r="CQ270" s="635">
        <v>2.0820957502333202</v>
      </c>
      <c r="CR270" s="635">
        <v>2.0881068424093234</v>
      </c>
      <c r="CS270" s="635">
        <v>2.0952145646509788</v>
      </c>
      <c r="CT270" s="635">
        <v>2.1023222868926341</v>
      </c>
      <c r="CU270" s="635">
        <v>2.1220269333831827</v>
      </c>
      <c r="CV270" s="635">
        <v>2.1455036709499105</v>
      </c>
      <c r="CW270" s="635">
        <v>2.1558118442049654</v>
      </c>
      <c r="CX270" s="635">
        <v>2.1614726402457718</v>
      </c>
      <c r="CY270" s="635">
        <v>2.167334928662541</v>
      </c>
      <c r="CZ270" s="635">
        <v>2.1733382617424826</v>
      </c>
      <c r="DA270" s="636">
        <v>0</v>
      </c>
      <c r="DB270" s="636">
        <v>0</v>
      </c>
      <c r="DC270" s="636">
        <v>0</v>
      </c>
      <c r="DD270" s="637">
        <v>0</v>
      </c>
      <c r="DE270" s="637">
        <v>0</v>
      </c>
      <c r="DF270" s="637">
        <v>0</v>
      </c>
      <c r="DG270" s="637">
        <v>0</v>
      </c>
      <c r="DH270" s="637">
        <v>0</v>
      </c>
      <c r="DI270" s="637">
        <v>0</v>
      </c>
      <c r="DJ270" s="637">
        <v>0</v>
      </c>
      <c r="DK270" s="637">
        <v>0</v>
      </c>
      <c r="DL270" s="637">
        <v>0</v>
      </c>
      <c r="DM270" s="637">
        <v>0</v>
      </c>
      <c r="DN270" s="637">
        <v>0</v>
      </c>
      <c r="DO270" s="637">
        <v>0</v>
      </c>
      <c r="DP270" s="636">
        <v>0</v>
      </c>
      <c r="DQ270" s="636">
        <v>0</v>
      </c>
      <c r="DR270" s="636">
        <v>0</v>
      </c>
      <c r="DS270" s="637">
        <v>0</v>
      </c>
      <c r="DT270" s="637">
        <v>0</v>
      </c>
      <c r="DU270" s="637">
        <v>0</v>
      </c>
      <c r="DV270" s="637">
        <v>0</v>
      </c>
      <c r="DW270" s="637">
        <v>0</v>
      </c>
      <c r="DX270" s="637">
        <v>0</v>
      </c>
      <c r="DY270" s="637">
        <v>0</v>
      </c>
      <c r="DZ270" s="637">
        <v>0</v>
      </c>
      <c r="EA270" s="637">
        <v>0</v>
      </c>
      <c r="EB270" s="637">
        <v>0</v>
      </c>
      <c r="EC270" s="637">
        <v>0</v>
      </c>
      <c r="ED270" s="637">
        <v>0</v>
      </c>
    </row>
    <row r="271" spans="1:134" ht="15" x14ac:dyDescent="0.25">
      <c r="A271" s="555">
        <v>107</v>
      </c>
      <c r="B271" s="555">
        <v>97</v>
      </c>
      <c r="C271" s="555" t="s">
        <v>1254</v>
      </c>
      <c r="D271" s="812">
        <v>99709</v>
      </c>
      <c r="E271" s="812">
        <v>99709</v>
      </c>
      <c r="F271" s="630" t="s">
        <v>311</v>
      </c>
      <c r="G271" s="45">
        <v>197</v>
      </c>
      <c r="H271" s="45">
        <v>108</v>
      </c>
      <c r="I271" s="45">
        <v>96</v>
      </c>
      <c r="J271" s="45">
        <v>12</v>
      </c>
      <c r="K271" s="45">
        <v>2</v>
      </c>
      <c r="L271" s="45">
        <v>58</v>
      </c>
      <c r="M271" s="45">
        <v>60</v>
      </c>
      <c r="N271" s="45">
        <v>0</v>
      </c>
      <c r="O271" s="45">
        <v>0</v>
      </c>
      <c r="P271" s="45">
        <v>0</v>
      </c>
      <c r="Q271" s="45">
        <v>60</v>
      </c>
      <c r="R271" s="45">
        <v>3446</v>
      </c>
      <c r="S271" s="45">
        <v>2462.0689655172414</v>
      </c>
      <c r="T271" s="45">
        <v>2494.8666666666668</v>
      </c>
      <c r="U271" s="45">
        <v>0</v>
      </c>
      <c r="V271" s="45">
        <v>0</v>
      </c>
      <c r="W271" s="45">
        <v>0</v>
      </c>
      <c r="X271" s="45">
        <v>2494.8666666666668</v>
      </c>
      <c r="Y271" s="45">
        <v>3.6</v>
      </c>
      <c r="Z271" s="45">
        <v>104.4</v>
      </c>
      <c r="AA271" s="45">
        <v>0</v>
      </c>
      <c r="AB271" s="508">
        <v>0</v>
      </c>
      <c r="AC271" s="508">
        <v>0</v>
      </c>
      <c r="AD271" s="631">
        <v>108</v>
      </c>
      <c r="AE271" s="632">
        <v>3.2</v>
      </c>
      <c r="AF271" s="632">
        <v>92.800000000000011</v>
      </c>
      <c r="AG271" s="633">
        <v>96.000000000000014</v>
      </c>
      <c r="AH271" s="632">
        <v>0</v>
      </c>
      <c r="AI271" s="632">
        <v>3.4277702220278616</v>
      </c>
      <c r="AJ271" s="632">
        <v>99.405336438807993</v>
      </c>
      <c r="AK271" s="632">
        <v>102.83310666083585</v>
      </c>
      <c r="AL271" s="632">
        <v>0</v>
      </c>
      <c r="AM271" s="632">
        <v>3.0526548124735244</v>
      </c>
      <c r="AN271" s="632">
        <v>88.526989561732208</v>
      </c>
      <c r="AO271" s="632">
        <v>91.579644374205728</v>
      </c>
      <c r="AP271" s="632">
        <v>0</v>
      </c>
      <c r="AQ271" s="632">
        <v>0</v>
      </c>
      <c r="AR271" s="632">
        <v>0</v>
      </c>
      <c r="AS271" s="632">
        <v>97.913405791841129</v>
      </c>
      <c r="AT271" s="632">
        <v>100.34310988462586</v>
      </c>
      <c r="AU271" s="632">
        <v>102.83310666083585</v>
      </c>
      <c r="AV271" s="632">
        <v>105.38489227289779</v>
      </c>
      <c r="AW271" s="632">
        <v>108</v>
      </c>
      <c r="AX271" s="632">
        <v>87.36282566360407</v>
      </c>
      <c r="AY271" s="632">
        <v>89.446389003685312</v>
      </c>
      <c r="AZ271" s="632">
        <v>91.579644374205742</v>
      </c>
      <c r="BA271" s="632">
        <v>93.763776907309747</v>
      </c>
      <c r="BB271" s="632">
        <v>96.000000000000014</v>
      </c>
      <c r="BC271" s="632">
        <v>0</v>
      </c>
      <c r="BD271" s="632">
        <v>0</v>
      </c>
      <c r="BE271" s="632">
        <v>0</v>
      </c>
      <c r="BF271" s="632">
        <v>0</v>
      </c>
      <c r="BG271" s="632">
        <v>0</v>
      </c>
      <c r="BH271" s="634">
        <v>109.02392790989971</v>
      </c>
      <c r="BI271" s="634">
        <v>110.05756348984269</v>
      </c>
      <c r="BJ271" s="634">
        <v>111.10099877644278</v>
      </c>
      <c r="BK271" s="635">
        <v>112.38017105061867</v>
      </c>
      <c r="BL271" s="635">
        <v>113.65934332479452</v>
      </c>
      <c r="BM271" s="635">
        <v>114.93851559897038</v>
      </c>
      <c r="BN271" s="635">
        <v>116.21768787314628</v>
      </c>
      <c r="BO271" s="635">
        <v>117.73022518880482</v>
      </c>
      <c r="BP271" s="635">
        <v>119.2427625044634</v>
      </c>
      <c r="BQ271" s="635">
        <v>123.43595015242015</v>
      </c>
      <c r="BR271" s="635">
        <v>128.43184622324486</v>
      </c>
      <c r="BS271" s="635">
        <v>130.62544582863902</v>
      </c>
      <c r="BT271" s="635">
        <v>131.83007439415508</v>
      </c>
      <c r="BU271" s="635">
        <v>133.07758093479484</v>
      </c>
      <c r="BV271" s="635">
        <v>134.3551020580212</v>
      </c>
      <c r="BW271" s="634">
        <v>96.910158142133099</v>
      </c>
      <c r="BX271" s="634">
        <v>97.828945324304627</v>
      </c>
      <c r="BY271" s="634">
        <v>98.756443356838048</v>
      </c>
      <c r="BZ271" s="635">
        <v>99.893485378327725</v>
      </c>
      <c r="CA271" s="635">
        <v>101.03052739981737</v>
      </c>
      <c r="CB271" s="635">
        <v>102.16756942130704</v>
      </c>
      <c r="CC271" s="635">
        <v>103.30461144279671</v>
      </c>
      <c r="CD271" s="635">
        <v>104.64908905671543</v>
      </c>
      <c r="CE271" s="635">
        <v>105.99356667063415</v>
      </c>
      <c r="CF271" s="635">
        <v>109.72084457992904</v>
      </c>
      <c r="CG271" s="635">
        <v>114.1616410873288</v>
      </c>
      <c r="CH271" s="635">
        <v>116.1115074032347</v>
      </c>
      <c r="CI271" s="635">
        <v>117.18228835036011</v>
      </c>
      <c r="CJ271" s="635">
        <v>118.291183053151</v>
      </c>
      <c r="CK271" s="635">
        <v>119.42675738490777</v>
      </c>
      <c r="CL271" s="634">
        <v>0</v>
      </c>
      <c r="CM271" s="634">
        <v>0</v>
      </c>
      <c r="CN271" s="634">
        <v>0</v>
      </c>
      <c r="CO271" s="635">
        <v>0</v>
      </c>
      <c r="CP271" s="635">
        <v>0</v>
      </c>
      <c r="CQ271" s="635">
        <v>0</v>
      </c>
      <c r="CR271" s="635">
        <v>0</v>
      </c>
      <c r="CS271" s="635">
        <v>0</v>
      </c>
      <c r="CT271" s="635">
        <v>0</v>
      </c>
      <c r="CU271" s="635">
        <v>0</v>
      </c>
      <c r="CV271" s="635">
        <v>0</v>
      </c>
      <c r="CW271" s="635">
        <v>0</v>
      </c>
      <c r="CX271" s="635">
        <v>0</v>
      </c>
      <c r="CY271" s="635">
        <v>0</v>
      </c>
      <c r="CZ271" s="635">
        <v>0</v>
      </c>
      <c r="DA271" s="636">
        <v>0</v>
      </c>
      <c r="DB271" s="636">
        <v>0</v>
      </c>
      <c r="DC271" s="636">
        <v>0</v>
      </c>
      <c r="DD271" s="637">
        <v>0</v>
      </c>
      <c r="DE271" s="637">
        <v>0</v>
      </c>
      <c r="DF271" s="637">
        <v>0</v>
      </c>
      <c r="DG271" s="637">
        <v>0</v>
      </c>
      <c r="DH271" s="637">
        <v>0</v>
      </c>
      <c r="DI271" s="637">
        <v>0</v>
      </c>
      <c r="DJ271" s="637">
        <v>0</v>
      </c>
      <c r="DK271" s="637">
        <v>0</v>
      </c>
      <c r="DL271" s="637">
        <v>0</v>
      </c>
      <c r="DM271" s="637">
        <v>0</v>
      </c>
      <c r="DN271" s="637">
        <v>0</v>
      </c>
      <c r="DO271" s="637">
        <v>0</v>
      </c>
      <c r="DP271" s="636">
        <v>0</v>
      </c>
      <c r="DQ271" s="636">
        <v>0</v>
      </c>
      <c r="DR271" s="636">
        <v>0</v>
      </c>
      <c r="DS271" s="637">
        <v>0</v>
      </c>
      <c r="DT271" s="637">
        <v>0</v>
      </c>
      <c r="DU271" s="637">
        <v>0</v>
      </c>
      <c r="DV271" s="637">
        <v>0</v>
      </c>
      <c r="DW271" s="637">
        <v>0</v>
      </c>
      <c r="DX271" s="637">
        <v>0</v>
      </c>
      <c r="DY271" s="637">
        <v>0</v>
      </c>
      <c r="DZ271" s="637">
        <v>0</v>
      </c>
      <c r="EA271" s="637">
        <v>0</v>
      </c>
      <c r="EB271" s="637">
        <v>0</v>
      </c>
      <c r="EC271" s="637">
        <v>0</v>
      </c>
      <c r="ED271" s="637">
        <v>0</v>
      </c>
    </row>
    <row r="272" spans="1:134" ht="15" x14ac:dyDescent="0.25">
      <c r="A272" s="555">
        <v>108</v>
      </c>
      <c r="B272" s="555">
        <v>97</v>
      </c>
      <c r="C272" s="555" t="s">
        <v>1255</v>
      </c>
      <c r="D272" s="812">
        <v>99709</v>
      </c>
      <c r="E272" s="812">
        <v>99709</v>
      </c>
      <c r="F272" s="630" t="s">
        <v>311</v>
      </c>
      <c r="G272" s="45">
        <v>102</v>
      </c>
      <c r="H272" s="45">
        <v>53</v>
      </c>
      <c r="I272" s="45">
        <v>47</v>
      </c>
      <c r="J272" s="45">
        <v>6</v>
      </c>
      <c r="K272" s="45">
        <v>0</v>
      </c>
      <c r="L272" s="45">
        <v>0</v>
      </c>
      <c r="M272" s="45">
        <v>0</v>
      </c>
      <c r="N272" s="45">
        <v>0</v>
      </c>
      <c r="O272" s="45">
        <v>0</v>
      </c>
      <c r="P272" s="45">
        <v>0</v>
      </c>
      <c r="Q272" s="45">
        <v>0</v>
      </c>
      <c r="R272" s="45">
        <v>0</v>
      </c>
      <c r="S272" s="45">
        <v>834.49503068156923</v>
      </c>
      <c r="T272" s="45">
        <v>834.49503068156923</v>
      </c>
      <c r="U272" s="45">
        <v>1408.3846153846155</v>
      </c>
      <c r="V272" s="45">
        <v>0</v>
      </c>
      <c r="W272" s="45">
        <v>0</v>
      </c>
      <c r="X272" s="45">
        <v>1365.173957061457</v>
      </c>
      <c r="Y272" s="45">
        <v>1.2143537768537769</v>
      </c>
      <c r="Z272" s="45">
        <v>51.71677927927928</v>
      </c>
      <c r="AA272" s="45">
        <v>6.8866943866943864E-2</v>
      </c>
      <c r="AB272" s="508">
        <v>0</v>
      </c>
      <c r="AC272" s="508">
        <v>0</v>
      </c>
      <c r="AD272" s="631">
        <v>53</v>
      </c>
      <c r="AE272" s="632">
        <v>1.0768797643797643</v>
      </c>
      <c r="AF272" s="632">
        <v>45.862049549549546</v>
      </c>
      <c r="AG272" s="633">
        <v>46.938929313929307</v>
      </c>
      <c r="AH272" s="632">
        <v>6.1070686070686067E-2</v>
      </c>
      <c r="AI272" s="632">
        <v>1.1562571431406787</v>
      </c>
      <c r="AJ272" s="632">
        <v>49.242565553528067</v>
      </c>
      <c r="AK272" s="632">
        <v>50.398822696668745</v>
      </c>
      <c r="AL272" s="632">
        <v>6.5572238741437347E-2</v>
      </c>
      <c r="AM272" s="632">
        <v>1.0272944359966383</v>
      </c>
      <c r="AN272" s="632">
        <v>43.750314458541141</v>
      </c>
      <c r="AO272" s="632">
        <v>44.777608894537778</v>
      </c>
      <c r="AP272" s="632">
        <v>5.8258663667106136E-2</v>
      </c>
      <c r="AQ272" s="632">
        <v>0</v>
      </c>
      <c r="AR272" s="632">
        <v>0</v>
      </c>
      <c r="AS272" s="632">
        <v>47.987662129139743</v>
      </c>
      <c r="AT272" s="632">
        <v>49.178467597864</v>
      </c>
      <c r="AU272" s="632">
        <v>50.398822696668745</v>
      </c>
      <c r="AV272" s="632">
        <v>51.649460694472232</v>
      </c>
      <c r="AW272" s="632">
        <v>52.931133056133056</v>
      </c>
      <c r="AX272" s="632">
        <v>42.715807275927503</v>
      </c>
      <c r="AY272" s="632">
        <v>43.734559696147997</v>
      </c>
      <c r="AZ272" s="632">
        <v>44.777608894537771</v>
      </c>
      <c r="BA272" s="632">
        <v>45.845534338117169</v>
      </c>
      <c r="BB272" s="632">
        <v>46.938929313929307</v>
      </c>
      <c r="BC272" s="632">
        <v>0</v>
      </c>
      <c r="BD272" s="632">
        <v>0</v>
      </c>
      <c r="BE272" s="632">
        <v>0</v>
      </c>
      <c r="BF272" s="632">
        <v>0</v>
      </c>
      <c r="BG272" s="632">
        <v>0</v>
      </c>
      <c r="BH272" s="634">
        <v>53.43296328241815</v>
      </c>
      <c r="BI272" s="634">
        <v>53.939551267728469</v>
      </c>
      <c r="BJ272" s="634">
        <v>54.450942119492304</v>
      </c>
      <c r="BK272" s="635">
        <v>55.39379915664292</v>
      </c>
      <c r="BL272" s="635">
        <v>56.336656193793544</v>
      </c>
      <c r="BM272" s="635">
        <v>57.279513230944161</v>
      </c>
      <c r="BN272" s="635">
        <v>58.222370268094778</v>
      </c>
      <c r="BO272" s="635">
        <v>59.337236874268186</v>
      </c>
      <c r="BP272" s="635">
        <v>60.452103480441586</v>
      </c>
      <c r="BQ272" s="635">
        <v>63.542833761096098</v>
      </c>
      <c r="BR272" s="635">
        <v>67.225227338837584</v>
      </c>
      <c r="BS272" s="635">
        <v>68.842093859783063</v>
      </c>
      <c r="BT272" s="635">
        <v>69.730005944088703</v>
      </c>
      <c r="BU272" s="635">
        <v>70.649522685093288</v>
      </c>
      <c r="BV272" s="635">
        <v>71.591162685787154</v>
      </c>
      <c r="BW272" s="634">
        <v>47.383948571200989</v>
      </c>
      <c r="BX272" s="634">
        <v>47.833186973268639</v>
      </c>
      <c r="BY272" s="634">
        <v>48.286684521059207</v>
      </c>
      <c r="BZ272" s="635">
        <v>49.122803025702211</v>
      </c>
      <c r="CA272" s="635">
        <v>49.958921530345208</v>
      </c>
      <c r="CB272" s="635">
        <v>50.795040034988212</v>
      </c>
      <c r="CC272" s="635">
        <v>51.631158539631215</v>
      </c>
      <c r="CD272" s="635">
        <v>52.619813831898199</v>
      </c>
      <c r="CE272" s="635">
        <v>53.608469124165175</v>
      </c>
      <c r="CF272" s="635">
        <v>56.349305410783323</v>
      </c>
      <c r="CG272" s="635">
        <v>59.614824243874828</v>
      </c>
      <c r="CH272" s="635">
        <v>61.048649271883086</v>
      </c>
      <c r="CI272" s="635">
        <v>61.836043007022042</v>
      </c>
      <c r="CJ272" s="635">
        <v>62.651463513195928</v>
      </c>
      <c r="CK272" s="635">
        <v>63.486502759094265</v>
      </c>
      <c r="CL272" s="634">
        <v>0</v>
      </c>
      <c r="CM272" s="634">
        <v>0</v>
      </c>
      <c r="CN272" s="634">
        <v>0</v>
      </c>
      <c r="CO272" s="635">
        <v>0</v>
      </c>
      <c r="CP272" s="635">
        <v>0</v>
      </c>
      <c r="CQ272" s="635">
        <v>0</v>
      </c>
      <c r="CR272" s="635">
        <v>0</v>
      </c>
      <c r="CS272" s="635">
        <v>0</v>
      </c>
      <c r="CT272" s="635">
        <v>0</v>
      </c>
      <c r="CU272" s="635">
        <v>0</v>
      </c>
      <c r="CV272" s="635">
        <v>0</v>
      </c>
      <c r="CW272" s="635">
        <v>0</v>
      </c>
      <c r="CX272" s="635">
        <v>0</v>
      </c>
      <c r="CY272" s="635">
        <v>0</v>
      </c>
      <c r="CZ272" s="635">
        <v>0</v>
      </c>
      <c r="DA272" s="636">
        <v>6.9519858551155542E-2</v>
      </c>
      <c r="DB272" s="636">
        <v>7.0178963398033395E-2</v>
      </c>
      <c r="DC272" s="636">
        <v>7.0844317095358184E-2</v>
      </c>
      <c r="DD272" s="637">
        <v>7.2071037154102152E-2</v>
      </c>
      <c r="DE272" s="637">
        <v>7.3297757212846135E-2</v>
      </c>
      <c r="DF272" s="637">
        <v>7.4524477271590103E-2</v>
      </c>
      <c r="DG272" s="637">
        <v>7.5751197330334086E-2</v>
      </c>
      <c r="DH272" s="637">
        <v>7.7201713341488648E-2</v>
      </c>
      <c r="DI272" s="637">
        <v>7.8652229352643224E-2</v>
      </c>
      <c r="DJ272" s="637">
        <v>8.2673476139859606E-2</v>
      </c>
      <c r="DK272" s="637">
        <v>8.7464516443972906E-2</v>
      </c>
      <c r="DL272" s="637">
        <v>8.9568167915408614E-2</v>
      </c>
      <c r="DM272" s="637">
        <v>9.0723400916066468E-2</v>
      </c>
      <c r="DN272" s="637">
        <v>9.1919753688645953E-2</v>
      </c>
      <c r="DO272" s="637">
        <v>9.3144890301570582E-2</v>
      </c>
      <c r="DP272" s="636">
        <v>0</v>
      </c>
      <c r="DQ272" s="636">
        <v>0</v>
      </c>
      <c r="DR272" s="636">
        <v>0</v>
      </c>
      <c r="DS272" s="637">
        <v>0</v>
      </c>
      <c r="DT272" s="637">
        <v>0</v>
      </c>
      <c r="DU272" s="637">
        <v>0</v>
      </c>
      <c r="DV272" s="637">
        <v>0</v>
      </c>
      <c r="DW272" s="637">
        <v>0</v>
      </c>
      <c r="DX272" s="637">
        <v>0</v>
      </c>
      <c r="DY272" s="637">
        <v>0</v>
      </c>
      <c r="DZ272" s="637">
        <v>0</v>
      </c>
      <c r="EA272" s="637">
        <v>0</v>
      </c>
      <c r="EB272" s="637">
        <v>0</v>
      </c>
      <c r="EC272" s="637">
        <v>0</v>
      </c>
      <c r="ED272" s="637">
        <v>0</v>
      </c>
    </row>
    <row r="273" spans="1:134" ht="15" x14ac:dyDescent="0.25">
      <c r="A273" s="555">
        <v>109</v>
      </c>
      <c r="B273" s="555">
        <v>97</v>
      </c>
      <c r="C273" s="555" t="s">
        <v>1256</v>
      </c>
      <c r="D273" s="812">
        <v>99712</v>
      </c>
      <c r="E273" s="812">
        <v>99709</v>
      </c>
      <c r="F273" s="630" t="s">
        <v>311</v>
      </c>
      <c r="G273" s="45">
        <v>31</v>
      </c>
      <c r="H273" s="45">
        <v>20</v>
      </c>
      <c r="I273" s="45">
        <v>11</v>
      </c>
      <c r="J273" s="45">
        <v>9</v>
      </c>
      <c r="K273" s="45">
        <v>0</v>
      </c>
      <c r="L273" s="45">
        <v>7</v>
      </c>
      <c r="M273" s="45">
        <v>7</v>
      </c>
      <c r="N273" s="45">
        <v>0</v>
      </c>
      <c r="O273" s="45">
        <v>0</v>
      </c>
      <c r="P273" s="45">
        <v>0</v>
      </c>
      <c r="Q273" s="45">
        <v>7</v>
      </c>
      <c r="R273" s="45">
        <v>0</v>
      </c>
      <c r="S273" s="45">
        <v>1187.5714285714287</v>
      </c>
      <c r="T273" s="45">
        <v>1187.5714285714287</v>
      </c>
      <c r="U273" s="45">
        <v>0</v>
      </c>
      <c r="V273" s="45">
        <v>0</v>
      </c>
      <c r="W273" s="45">
        <v>0</v>
      </c>
      <c r="X273" s="45">
        <v>1187.5714285714287</v>
      </c>
      <c r="Y273" s="45">
        <v>0</v>
      </c>
      <c r="Z273" s="45">
        <v>20</v>
      </c>
      <c r="AA273" s="45">
        <v>0</v>
      </c>
      <c r="AB273" s="508">
        <v>0</v>
      </c>
      <c r="AC273" s="508">
        <v>0</v>
      </c>
      <c r="AD273" s="631">
        <v>20</v>
      </c>
      <c r="AE273" s="632">
        <v>0</v>
      </c>
      <c r="AF273" s="632">
        <v>11</v>
      </c>
      <c r="AG273" s="633">
        <v>11</v>
      </c>
      <c r="AH273" s="632">
        <v>0</v>
      </c>
      <c r="AI273" s="632">
        <v>0</v>
      </c>
      <c r="AJ273" s="632">
        <v>18.182284902914763</v>
      </c>
      <c r="AK273" s="632">
        <v>18.182284902914763</v>
      </c>
      <c r="AL273" s="632">
        <v>0</v>
      </c>
      <c r="AM273" s="632">
        <v>0</v>
      </c>
      <c r="AN273" s="632">
        <v>10.036995214267002</v>
      </c>
      <c r="AO273" s="632">
        <v>10.036995214267002</v>
      </c>
      <c r="AP273" s="632">
        <v>0</v>
      </c>
      <c r="AQ273" s="632">
        <v>0</v>
      </c>
      <c r="AR273" s="632">
        <v>0</v>
      </c>
      <c r="AS273" s="632">
        <v>16.529774214538108</v>
      </c>
      <c r="AT273" s="632">
        <v>17.336350946770374</v>
      </c>
      <c r="AU273" s="632">
        <v>18.182284902914763</v>
      </c>
      <c r="AV273" s="632">
        <v>19.069496533949064</v>
      </c>
      <c r="AW273" s="632">
        <v>20</v>
      </c>
      <c r="AX273" s="632">
        <v>9.1582975392016994</v>
      </c>
      <c r="AY273" s="632">
        <v>9.5875851272257666</v>
      </c>
      <c r="AZ273" s="632">
        <v>10.036995214267002</v>
      </c>
      <c r="BA273" s="632">
        <v>10.507471025748156</v>
      </c>
      <c r="BB273" s="632">
        <v>11</v>
      </c>
      <c r="BC273" s="632">
        <v>0</v>
      </c>
      <c r="BD273" s="632">
        <v>0</v>
      </c>
      <c r="BE273" s="632">
        <v>0</v>
      </c>
      <c r="BF273" s="632">
        <v>0</v>
      </c>
      <c r="BG273" s="632">
        <v>0</v>
      </c>
      <c r="BH273" s="634">
        <v>20.189616279611059</v>
      </c>
      <c r="BI273" s="634">
        <v>20.381030275896794</v>
      </c>
      <c r="BJ273" s="634">
        <v>20.57425903267459</v>
      </c>
      <c r="BK273" s="635">
        <v>20.930517054263028</v>
      </c>
      <c r="BL273" s="635">
        <v>21.286775075851466</v>
      </c>
      <c r="BM273" s="635">
        <v>21.643033097439908</v>
      </c>
      <c r="BN273" s="635">
        <v>21.999291119028346</v>
      </c>
      <c r="BO273" s="635">
        <v>22.420542863248933</v>
      </c>
      <c r="BP273" s="635">
        <v>22.841794607469524</v>
      </c>
      <c r="BQ273" s="635">
        <v>24.009625372541869</v>
      </c>
      <c r="BR273" s="635">
        <v>25.401015794445868</v>
      </c>
      <c r="BS273" s="635">
        <v>26.011947934980558</v>
      </c>
      <c r="BT273" s="635">
        <v>26.347445035850853</v>
      </c>
      <c r="BU273" s="635">
        <v>26.694883939162995</v>
      </c>
      <c r="BV273" s="635">
        <v>27.050682104184425</v>
      </c>
      <c r="BW273" s="634">
        <v>11.104288953786082</v>
      </c>
      <c r="BX273" s="634">
        <v>11.209566651743238</v>
      </c>
      <c r="BY273" s="634">
        <v>11.315842467971024</v>
      </c>
      <c r="BZ273" s="635">
        <v>11.511784379844665</v>
      </c>
      <c r="CA273" s="635">
        <v>11.707726291718306</v>
      </c>
      <c r="CB273" s="635">
        <v>11.903668203591948</v>
      </c>
      <c r="CC273" s="635">
        <v>12.099610115465589</v>
      </c>
      <c r="CD273" s="635">
        <v>12.331298574786913</v>
      </c>
      <c r="CE273" s="635">
        <v>12.562987034108236</v>
      </c>
      <c r="CF273" s="635">
        <v>13.205293954898028</v>
      </c>
      <c r="CG273" s="635">
        <v>13.970558686945228</v>
      </c>
      <c r="CH273" s="635">
        <v>14.306571364239305</v>
      </c>
      <c r="CI273" s="635">
        <v>14.49109476971797</v>
      </c>
      <c r="CJ273" s="635">
        <v>14.682186166539646</v>
      </c>
      <c r="CK273" s="635">
        <v>14.877875157301434</v>
      </c>
      <c r="CL273" s="634">
        <v>0</v>
      </c>
      <c r="CM273" s="634">
        <v>0</v>
      </c>
      <c r="CN273" s="634">
        <v>0</v>
      </c>
      <c r="CO273" s="635">
        <v>0</v>
      </c>
      <c r="CP273" s="635">
        <v>0</v>
      </c>
      <c r="CQ273" s="635">
        <v>0</v>
      </c>
      <c r="CR273" s="635">
        <v>0</v>
      </c>
      <c r="CS273" s="635">
        <v>0</v>
      </c>
      <c r="CT273" s="635">
        <v>0</v>
      </c>
      <c r="CU273" s="635">
        <v>0</v>
      </c>
      <c r="CV273" s="635">
        <v>0</v>
      </c>
      <c r="CW273" s="635">
        <v>0</v>
      </c>
      <c r="CX273" s="635">
        <v>0</v>
      </c>
      <c r="CY273" s="635">
        <v>0</v>
      </c>
      <c r="CZ273" s="635">
        <v>0</v>
      </c>
      <c r="DA273" s="636">
        <v>0</v>
      </c>
      <c r="DB273" s="636">
        <v>0</v>
      </c>
      <c r="DC273" s="636">
        <v>0</v>
      </c>
      <c r="DD273" s="637">
        <v>0</v>
      </c>
      <c r="DE273" s="637">
        <v>0</v>
      </c>
      <c r="DF273" s="637">
        <v>0</v>
      </c>
      <c r="DG273" s="637">
        <v>0</v>
      </c>
      <c r="DH273" s="637">
        <v>0</v>
      </c>
      <c r="DI273" s="637">
        <v>0</v>
      </c>
      <c r="DJ273" s="637">
        <v>0</v>
      </c>
      <c r="DK273" s="637">
        <v>0</v>
      </c>
      <c r="DL273" s="637">
        <v>0</v>
      </c>
      <c r="DM273" s="637">
        <v>0</v>
      </c>
      <c r="DN273" s="637">
        <v>0</v>
      </c>
      <c r="DO273" s="637">
        <v>0</v>
      </c>
      <c r="DP273" s="636">
        <v>0</v>
      </c>
      <c r="DQ273" s="636">
        <v>0</v>
      </c>
      <c r="DR273" s="636">
        <v>0</v>
      </c>
      <c r="DS273" s="637">
        <v>0</v>
      </c>
      <c r="DT273" s="637">
        <v>0</v>
      </c>
      <c r="DU273" s="637">
        <v>0</v>
      </c>
      <c r="DV273" s="637">
        <v>0</v>
      </c>
      <c r="DW273" s="637">
        <v>0</v>
      </c>
      <c r="DX273" s="637">
        <v>0</v>
      </c>
      <c r="DY273" s="637">
        <v>0</v>
      </c>
      <c r="DZ273" s="637">
        <v>0</v>
      </c>
      <c r="EA273" s="637">
        <v>0</v>
      </c>
      <c r="EB273" s="637">
        <v>0</v>
      </c>
      <c r="EC273" s="637">
        <v>0</v>
      </c>
      <c r="ED273" s="637">
        <v>0</v>
      </c>
    </row>
    <row r="274" spans="1:134" ht="15" x14ac:dyDescent="0.25">
      <c r="A274" s="555">
        <v>110</v>
      </c>
      <c r="B274" s="555">
        <v>97</v>
      </c>
      <c r="C274" s="555" t="s">
        <v>1257</v>
      </c>
      <c r="D274" s="812">
        <v>99712</v>
      </c>
      <c r="E274" s="812">
        <v>99709</v>
      </c>
      <c r="F274" s="630" t="s">
        <v>311</v>
      </c>
      <c r="G274" s="45">
        <v>92</v>
      </c>
      <c r="H274" s="45">
        <v>44</v>
      </c>
      <c r="I274" s="45">
        <v>37</v>
      </c>
      <c r="J274" s="45">
        <v>7</v>
      </c>
      <c r="K274" s="45">
        <v>0</v>
      </c>
      <c r="L274" s="45">
        <v>4</v>
      </c>
      <c r="M274" s="45">
        <v>4</v>
      </c>
      <c r="N274" s="45">
        <v>0</v>
      </c>
      <c r="O274" s="45">
        <v>0</v>
      </c>
      <c r="P274" s="45">
        <v>0</v>
      </c>
      <c r="Q274" s="45">
        <v>4</v>
      </c>
      <c r="R274" s="45">
        <v>0</v>
      </c>
      <c r="S274" s="45">
        <v>1371</v>
      </c>
      <c r="T274" s="45">
        <v>1371</v>
      </c>
      <c r="U274" s="45">
        <v>0</v>
      </c>
      <c r="V274" s="45">
        <v>0</v>
      </c>
      <c r="W274" s="45">
        <v>0</v>
      </c>
      <c r="X274" s="45">
        <v>1371</v>
      </c>
      <c r="Y274" s="45">
        <v>0</v>
      </c>
      <c r="Z274" s="45">
        <v>44</v>
      </c>
      <c r="AA274" s="45">
        <v>0</v>
      </c>
      <c r="AB274" s="508">
        <v>0</v>
      </c>
      <c r="AC274" s="508">
        <v>0</v>
      </c>
      <c r="AD274" s="631">
        <v>44</v>
      </c>
      <c r="AE274" s="632">
        <v>0</v>
      </c>
      <c r="AF274" s="632">
        <v>37</v>
      </c>
      <c r="AG274" s="633">
        <v>37</v>
      </c>
      <c r="AH274" s="632">
        <v>0</v>
      </c>
      <c r="AI274" s="632">
        <v>0</v>
      </c>
      <c r="AJ274" s="632">
        <v>40.001026786412481</v>
      </c>
      <c r="AK274" s="632">
        <v>40.001026786412481</v>
      </c>
      <c r="AL274" s="632">
        <v>0</v>
      </c>
      <c r="AM274" s="632">
        <v>0</v>
      </c>
      <c r="AN274" s="632">
        <v>33.76080208435264</v>
      </c>
      <c r="AO274" s="632">
        <v>33.76080208435264</v>
      </c>
      <c r="AP274" s="632">
        <v>0</v>
      </c>
      <c r="AQ274" s="632">
        <v>0</v>
      </c>
      <c r="AR274" s="632">
        <v>0</v>
      </c>
      <c r="AS274" s="632">
        <v>36.36550327198384</v>
      </c>
      <c r="AT274" s="632">
        <v>38.139972082894822</v>
      </c>
      <c r="AU274" s="632">
        <v>40.001026786412481</v>
      </c>
      <c r="AV274" s="632">
        <v>41.952892374687934</v>
      </c>
      <c r="AW274" s="632">
        <v>44</v>
      </c>
      <c r="AX274" s="632">
        <v>30.805182631860262</v>
      </c>
      <c r="AY274" s="632">
        <v>32.24914997339576</v>
      </c>
      <c r="AZ274" s="632">
        <v>33.76080208435264</v>
      </c>
      <c r="BA274" s="632">
        <v>35.343311632061983</v>
      </c>
      <c r="BB274" s="632">
        <v>37</v>
      </c>
      <c r="BC274" s="632">
        <v>0</v>
      </c>
      <c r="BD274" s="632">
        <v>0</v>
      </c>
      <c r="BE274" s="632">
        <v>0</v>
      </c>
      <c r="BF274" s="632">
        <v>0</v>
      </c>
      <c r="BG274" s="632">
        <v>0</v>
      </c>
      <c r="BH274" s="634">
        <v>44.417155815144326</v>
      </c>
      <c r="BI274" s="634">
        <v>44.838266606972951</v>
      </c>
      <c r="BJ274" s="634">
        <v>45.263369871884095</v>
      </c>
      <c r="BK274" s="635">
        <v>46.784604822407559</v>
      </c>
      <c r="BL274" s="635">
        <v>48.305839772931016</v>
      </c>
      <c r="BM274" s="635">
        <v>49.82707472345448</v>
      </c>
      <c r="BN274" s="635">
        <v>51.348309673977944</v>
      </c>
      <c r="BO274" s="635">
        <v>53.147070227972236</v>
      </c>
      <c r="BP274" s="635">
        <v>54.945830781966521</v>
      </c>
      <c r="BQ274" s="635">
        <v>59.932511413615408</v>
      </c>
      <c r="BR274" s="635">
        <v>65.873800062181374</v>
      </c>
      <c r="BS274" s="635">
        <v>68.482502935553086</v>
      </c>
      <c r="BT274" s="635">
        <v>69.915087985477342</v>
      </c>
      <c r="BU274" s="635">
        <v>71.398664974237903</v>
      </c>
      <c r="BV274" s="635">
        <v>72.91793632018387</v>
      </c>
      <c r="BW274" s="634">
        <v>37.350790117280454</v>
      </c>
      <c r="BX274" s="634">
        <v>37.704906010409069</v>
      </c>
      <c r="BY274" s="634">
        <v>38.062379210447986</v>
      </c>
      <c r="BZ274" s="635">
        <v>39.341599509751809</v>
      </c>
      <c r="CA274" s="635">
        <v>40.620819809055625</v>
      </c>
      <c r="CB274" s="635">
        <v>41.900040108359448</v>
      </c>
      <c r="CC274" s="635">
        <v>43.179260407663264</v>
      </c>
      <c r="CD274" s="635">
        <v>44.691854509885736</v>
      </c>
      <c r="CE274" s="635">
        <v>46.204448612108209</v>
      </c>
      <c r="CF274" s="635">
        <v>50.397793688722047</v>
      </c>
      <c r="CG274" s="635">
        <v>55.393877325016156</v>
      </c>
      <c r="CH274" s="635">
        <v>57.587559286715098</v>
      </c>
      <c r="CI274" s="635">
        <v>58.79223307869686</v>
      </c>
      <c r="CJ274" s="635">
        <v>60.039786455609146</v>
      </c>
      <c r="CK274" s="635">
        <v>61.317355541972795</v>
      </c>
      <c r="CL274" s="634">
        <v>0</v>
      </c>
      <c r="CM274" s="634">
        <v>0</v>
      </c>
      <c r="CN274" s="634">
        <v>0</v>
      </c>
      <c r="CO274" s="635">
        <v>0</v>
      </c>
      <c r="CP274" s="635">
        <v>0</v>
      </c>
      <c r="CQ274" s="635">
        <v>0</v>
      </c>
      <c r="CR274" s="635">
        <v>0</v>
      </c>
      <c r="CS274" s="635">
        <v>0</v>
      </c>
      <c r="CT274" s="635">
        <v>0</v>
      </c>
      <c r="CU274" s="635">
        <v>0</v>
      </c>
      <c r="CV274" s="635">
        <v>0</v>
      </c>
      <c r="CW274" s="635">
        <v>0</v>
      </c>
      <c r="CX274" s="635">
        <v>0</v>
      </c>
      <c r="CY274" s="635">
        <v>0</v>
      </c>
      <c r="CZ274" s="635">
        <v>0</v>
      </c>
      <c r="DA274" s="636">
        <v>0</v>
      </c>
      <c r="DB274" s="636">
        <v>0</v>
      </c>
      <c r="DC274" s="636">
        <v>0</v>
      </c>
      <c r="DD274" s="637">
        <v>0</v>
      </c>
      <c r="DE274" s="637">
        <v>0</v>
      </c>
      <c r="DF274" s="637">
        <v>0</v>
      </c>
      <c r="DG274" s="637">
        <v>0</v>
      </c>
      <c r="DH274" s="637">
        <v>0</v>
      </c>
      <c r="DI274" s="637">
        <v>0</v>
      </c>
      <c r="DJ274" s="637">
        <v>0</v>
      </c>
      <c r="DK274" s="637">
        <v>0</v>
      </c>
      <c r="DL274" s="637">
        <v>0</v>
      </c>
      <c r="DM274" s="637">
        <v>0</v>
      </c>
      <c r="DN274" s="637">
        <v>0</v>
      </c>
      <c r="DO274" s="637">
        <v>0</v>
      </c>
      <c r="DP274" s="636">
        <v>0</v>
      </c>
      <c r="DQ274" s="636">
        <v>0</v>
      </c>
      <c r="DR274" s="636">
        <v>0</v>
      </c>
      <c r="DS274" s="637">
        <v>0</v>
      </c>
      <c r="DT274" s="637">
        <v>0</v>
      </c>
      <c r="DU274" s="637">
        <v>0</v>
      </c>
      <c r="DV274" s="637">
        <v>0</v>
      </c>
      <c r="DW274" s="637">
        <v>0</v>
      </c>
      <c r="DX274" s="637">
        <v>0</v>
      </c>
      <c r="DY274" s="637">
        <v>0</v>
      </c>
      <c r="DZ274" s="637">
        <v>0</v>
      </c>
      <c r="EA274" s="637">
        <v>0</v>
      </c>
      <c r="EB274" s="637">
        <v>0</v>
      </c>
      <c r="EC274" s="637">
        <v>0</v>
      </c>
      <c r="ED274" s="637">
        <v>0</v>
      </c>
    </row>
    <row r="275" spans="1:134" ht="15" x14ac:dyDescent="0.25">
      <c r="A275" s="555">
        <v>111</v>
      </c>
      <c r="B275" s="555">
        <v>97</v>
      </c>
      <c r="C275" s="555" t="s">
        <v>1258</v>
      </c>
      <c r="D275" s="812">
        <v>99712</v>
      </c>
      <c r="E275" s="812">
        <v>99712</v>
      </c>
      <c r="F275" s="630" t="s">
        <v>311</v>
      </c>
      <c r="G275" s="45">
        <v>50</v>
      </c>
      <c r="H275" s="45">
        <v>25</v>
      </c>
      <c r="I275" s="45">
        <v>25</v>
      </c>
      <c r="J275" s="45">
        <v>0</v>
      </c>
      <c r="K275" s="45">
        <v>0</v>
      </c>
      <c r="L275" s="45">
        <v>16</v>
      </c>
      <c r="M275" s="45">
        <v>16</v>
      </c>
      <c r="N275" s="45">
        <v>5</v>
      </c>
      <c r="O275" s="45">
        <v>0</v>
      </c>
      <c r="P275" s="45">
        <v>0</v>
      </c>
      <c r="Q275" s="45">
        <v>21</v>
      </c>
      <c r="R275" s="45">
        <v>0</v>
      </c>
      <c r="S275" s="45">
        <v>2734.8125</v>
      </c>
      <c r="T275" s="45">
        <v>2734.8125</v>
      </c>
      <c r="U275" s="45">
        <v>3248.8</v>
      </c>
      <c r="V275" s="45">
        <v>0</v>
      </c>
      <c r="W275" s="45">
        <v>0</v>
      </c>
      <c r="X275" s="45">
        <v>2857.1904761904761</v>
      </c>
      <c r="Y275" s="45">
        <v>0</v>
      </c>
      <c r="Z275" s="45">
        <v>25</v>
      </c>
      <c r="AA275" s="45">
        <v>0</v>
      </c>
      <c r="AB275" s="508">
        <v>5</v>
      </c>
      <c r="AC275" s="508">
        <v>0</v>
      </c>
      <c r="AD275" s="631">
        <v>30</v>
      </c>
      <c r="AE275" s="632">
        <v>0</v>
      </c>
      <c r="AF275" s="632">
        <v>25</v>
      </c>
      <c r="AG275" s="633">
        <v>25</v>
      </c>
      <c r="AH275" s="632">
        <v>0</v>
      </c>
      <c r="AI275" s="632">
        <v>0</v>
      </c>
      <c r="AJ275" s="632">
        <v>22.727856128643456</v>
      </c>
      <c r="AK275" s="632">
        <v>22.727856128643456</v>
      </c>
      <c r="AL275" s="632">
        <v>0</v>
      </c>
      <c r="AM275" s="632">
        <v>0</v>
      </c>
      <c r="AN275" s="632">
        <v>22.81135275969773</v>
      </c>
      <c r="AO275" s="632">
        <v>22.81135275969773</v>
      </c>
      <c r="AP275" s="632">
        <v>0</v>
      </c>
      <c r="AQ275" s="632">
        <v>4.6492067540691933</v>
      </c>
      <c r="AR275" s="632">
        <v>0</v>
      </c>
      <c r="AS275" s="632">
        <v>20.662217768172635</v>
      </c>
      <c r="AT275" s="632">
        <v>21.670438683462969</v>
      </c>
      <c r="AU275" s="632">
        <v>22.727856128643456</v>
      </c>
      <c r="AV275" s="632">
        <v>23.83687066743633</v>
      </c>
      <c r="AW275" s="632">
        <v>25</v>
      </c>
      <c r="AX275" s="632">
        <v>20.814312589094772</v>
      </c>
      <c r="AY275" s="632">
        <v>21.789966198240379</v>
      </c>
      <c r="AZ275" s="632">
        <v>22.81135275969773</v>
      </c>
      <c r="BA275" s="632">
        <v>23.880615967609447</v>
      </c>
      <c r="BB275" s="632">
        <v>25</v>
      </c>
      <c r="BC275" s="632">
        <v>4.3230246884165213</v>
      </c>
      <c r="BD275" s="632">
        <v>4.483150184791266</v>
      </c>
      <c r="BE275" s="632">
        <v>4.6492067540691933</v>
      </c>
      <c r="BF275" s="632">
        <v>4.8214140840987687</v>
      </c>
      <c r="BG275" s="632">
        <v>5</v>
      </c>
      <c r="BH275" s="634">
        <v>25.499628449191182</v>
      </c>
      <c r="BI275" s="634">
        <v>26.00924204187201</v>
      </c>
      <c r="BJ275" s="634">
        <v>26.529040332512754</v>
      </c>
      <c r="BK275" s="635">
        <v>26.805091774349798</v>
      </c>
      <c r="BL275" s="635">
        <v>27.081143216186842</v>
      </c>
      <c r="BM275" s="635">
        <v>27.357194658023882</v>
      </c>
      <c r="BN275" s="635">
        <v>27.633246099860926</v>
      </c>
      <c r="BO275" s="635">
        <v>27.959658824127388</v>
      </c>
      <c r="BP275" s="635">
        <v>28.286071548393849</v>
      </c>
      <c r="BQ275" s="635">
        <v>29.190981324410931</v>
      </c>
      <c r="BR275" s="635">
        <v>30.269119384046178</v>
      </c>
      <c r="BS275" s="635">
        <v>30.742508579627636</v>
      </c>
      <c r="BT275" s="635">
        <v>31.002473135694213</v>
      </c>
      <c r="BU275" s="635">
        <v>31.271690962094191</v>
      </c>
      <c r="BV275" s="635">
        <v>31.547386077727566</v>
      </c>
      <c r="BW275" s="634">
        <v>25.499628449191182</v>
      </c>
      <c r="BX275" s="634">
        <v>26.00924204187201</v>
      </c>
      <c r="BY275" s="634">
        <v>26.529040332512754</v>
      </c>
      <c r="BZ275" s="635">
        <v>26.805091774349798</v>
      </c>
      <c r="CA275" s="635">
        <v>27.081143216186842</v>
      </c>
      <c r="CB275" s="635">
        <v>27.357194658023882</v>
      </c>
      <c r="CC275" s="635">
        <v>27.633246099860926</v>
      </c>
      <c r="CD275" s="635">
        <v>27.959658824127388</v>
      </c>
      <c r="CE275" s="635">
        <v>28.286071548393849</v>
      </c>
      <c r="CF275" s="635">
        <v>29.190981324410931</v>
      </c>
      <c r="CG275" s="635">
        <v>30.269119384046178</v>
      </c>
      <c r="CH275" s="635">
        <v>30.742508579627636</v>
      </c>
      <c r="CI275" s="635">
        <v>31.002473135694213</v>
      </c>
      <c r="CJ275" s="635">
        <v>31.271690962094191</v>
      </c>
      <c r="CK275" s="635">
        <v>31.547386077727566</v>
      </c>
      <c r="CL275" s="634">
        <v>5.0999256898382361</v>
      </c>
      <c r="CM275" s="634">
        <v>5.2018484083744019</v>
      </c>
      <c r="CN275" s="634">
        <v>5.3058080665025509</v>
      </c>
      <c r="CO275" s="635">
        <v>5.3610183548699597</v>
      </c>
      <c r="CP275" s="635">
        <v>5.4162286432373685</v>
      </c>
      <c r="CQ275" s="635">
        <v>5.4714389316047765</v>
      </c>
      <c r="CR275" s="635">
        <v>5.5266492199721853</v>
      </c>
      <c r="CS275" s="635">
        <v>5.5919317648254774</v>
      </c>
      <c r="CT275" s="635">
        <v>5.6572143096787704</v>
      </c>
      <c r="CU275" s="635">
        <v>5.8381962648821863</v>
      </c>
      <c r="CV275" s="635">
        <v>6.0538238768092363</v>
      </c>
      <c r="CW275" s="635">
        <v>6.1485017159255273</v>
      </c>
      <c r="CX275" s="635">
        <v>6.200494627138843</v>
      </c>
      <c r="CY275" s="635">
        <v>6.2543381924188379</v>
      </c>
      <c r="CZ275" s="635">
        <v>6.3094772155455141</v>
      </c>
      <c r="DA275" s="636">
        <v>0</v>
      </c>
      <c r="DB275" s="636">
        <v>0</v>
      </c>
      <c r="DC275" s="636">
        <v>0</v>
      </c>
      <c r="DD275" s="637">
        <v>0</v>
      </c>
      <c r="DE275" s="637">
        <v>0</v>
      </c>
      <c r="DF275" s="637">
        <v>0</v>
      </c>
      <c r="DG275" s="637">
        <v>0</v>
      </c>
      <c r="DH275" s="637">
        <v>0</v>
      </c>
      <c r="DI275" s="637">
        <v>0</v>
      </c>
      <c r="DJ275" s="637">
        <v>0</v>
      </c>
      <c r="DK275" s="637">
        <v>0</v>
      </c>
      <c r="DL275" s="637">
        <v>0</v>
      </c>
      <c r="DM275" s="637">
        <v>0</v>
      </c>
      <c r="DN275" s="637">
        <v>0</v>
      </c>
      <c r="DO275" s="637">
        <v>0</v>
      </c>
      <c r="DP275" s="636">
        <v>0</v>
      </c>
      <c r="DQ275" s="636">
        <v>0</v>
      </c>
      <c r="DR275" s="636">
        <v>0</v>
      </c>
      <c r="DS275" s="637">
        <v>0</v>
      </c>
      <c r="DT275" s="637">
        <v>0</v>
      </c>
      <c r="DU275" s="637">
        <v>0</v>
      </c>
      <c r="DV275" s="637">
        <v>0</v>
      </c>
      <c r="DW275" s="637">
        <v>0</v>
      </c>
      <c r="DX275" s="637">
        <v>0</v>
      </c>
      <c r="DY275" s="637">
        <v>0</v>
      </c>
      <c r="DZ275" s="637">
        <v>0</v>
      </c>
      <c r="EA275" s="637">
        <v>0</v>
      </c>
      <c r="EB275" s="637">
        <v>0</v>
      </c>
      <c r="EC275" s="637">
        <v>0</v>
      </c>
      <c r="ED275" s="637">
        <v>0</v>
      </c>
    </row>
    <row r="276" spans="1:134" ht="15" x14ac:dyDescent="0.25">
      <c r="A276" s="555">
        <v>112</v>
      </c>
      <c r="B276" s="555">
        <v>97</v>
      </c>
      <c r="C276" s="555" t="s">
        <v>1259</v>
      </c>
      <c r="D276" s="812">
        <v>99712</v>
      </c>
      <c r="E276" s="812">
        <v>99712</v>
      </c>
      <c r="F276" s="630" t="s">
        <v>311</v>
      </c>
      <c r="G276" s="45">
        <v>464</v>
      </c>
      <c r="H276" s="45">
        <v>161</v>
      </c>
      <c r="I276" s="45">
        <v>156</v>
      </c>
      <c r="J276" s="45">
        <v>5</v>
      </c>
      <c r="K276" s="45">
        <v>2</v>
      </c>
      <c r="L276" s="45">
        <v>118</v>
      </c>
      <c r="M276" s="45">
        <v>120</v>
      </c>
      <c r="N276" s="45">
        <v>2</v>
      </c>
      <c r="O276" s="45">
        <v>0</v>
      </c>
      <c r="P276" s="45">
        <v>0</v>
      </c>
      <c r="Q276" s="45">
        <v>122</v>
      </c>
      <c r="R276" s="45">
        <v>3845</v>
      </c>
      <c r="S276" s="45">
        <v>3305.0169491525426</v>
      </c>
      <c r="T276" s="45">
        <v>3314.0166666666669</v>
      </c>
      <c r="U276" s="45">
        <v>5506</v>
      </c>
      <c r="V276" s="45">
        <v>0</v>
      </c>
      <c r="W276" s="45">
        <v>0</v>
      </c>
      <c r="X276" s="45">
        <v>3349.9508196721313</v>
      </c>
      <c r="Y276" s="45">
        <v>2.6833333333333331</v>
      </c>
      <c r="Z276" s="45">
        <v>158.31666666666666</v>
      </c>
      <c r="AA276" s="45">
        <v>0</v>
      </c>
      <c r="AB276" s="508">
        <v>2</v>
      </c>
      <c r="AC276" s="508">
        <v>0</v>
      </c>
      <c r="AD276" s="631">
        <v>163</v>
      </c>
      <c r="AE276" s="632">
        <v>2.5999999999999996</v>
      </c>
      <c r="AF276" s="632">
        <v>153.39999999999998</v>
      </c>
      <c r="AG276" s="633">
        <v>155.99999999999997</v>
      </c>
      <c r="AH276" s="632">
        <v>0</v>
      </c>
      <c r="AI276" s="632">
        <v>2.4394565578077305</v>
      </c>
      <c r="AJ276" s="632">
        <v>143.92793691065611</v>
      </c>
      <c r="AK276" s="632">
        <v>146.36739346846383</v>
      </c>
      <c r="AL276" s="632">
        <v>0</v>
      </c>
      <c r="AM276" s="632">
        <v>2.3723806870085635</v>
      </c>
      <c r="AN276" s="632">
        <v>139.97046053350525</v>
      </c>
      <c r="AO276" s="632">
        <v>142.3428412205138</v>
      </c>
      <c r="AP276" s="632">
        <v>0</v>
      </c>
      <c r="AQ276" s="632">
        <v>1.8596827016276773</v>
      </c>
      <c r="AR276" s="632">
        <v>0</v>
      </c>
      <c r="AS276" s="632">
        <v>133.06468242703178</v>
      </c>
      <c r="AT276" s="632">
        <v>139.55762512150153</v>
      </c>
      <c r="AU276" s="632">
        <v>146.36739346846386</v>
      </c>
      <c r="AV276" s="632">
        <v>153.50944709828997</v>
      </c>
      <c r="AW276" s="632">
        <v>161</v>
      </c>
      <c r="AX276" s="632">
        <v>129.88131055595136</v>
      </c>
      <c r="AY276" s="632">
        <v>135.96938907701994</v>
      </c>
      <c r="AZ276" s="632">
        <v>142.3428412205138</v>
      </c>
      <c r="BA276" s="632">
        <v>149.01504363788291</v>
      </c>
      <c r="BB276" s="632">
        <v>155.99999999999997</v>
      </c>
      <c r="BC276" s="632">
        <v>1.7292098753666085</v>
      </c>
      <c r="BD276" s="632">
        <v>1.7932600739165065</v>
      </c>
      <c r="BE276" s="632">
        <v>1.8596827016276773</v>
      </c>
      <c r="BF276" s="632">
        <v>1.9285656336395076</v>
      </c>
      <c r="BG276" s="632">
        <v>2</v>
      </c>
      <c r="BH276" s="634">
        <v>162.52455687178593</v>
      </c>
      <c r="BI276" s="634">
        <v>164.06355022590296</v>
      </c>
      <c r="BJ276" s="634">
        <v>165.61711676569487</v>
      </c>
      <c r="BK276" s="635">
        <v>167.63793171523858</v>
      </c>
      <c r="BL276" s="635">
        <v>169.65874666478229</v>
      </c>
      <c r="BM276" s="635">
        <v>171.67956161432599</v>
      </c>
      <c r="BN276" s="635">
        <v>173.70037656386972</v>
      </c>
      <c r="BO276" s="635">
        <v>176.08985770017307</v>
      </c>
      <c r="BP276" s="635">
        <v>178.47933883647644</v>
      </c>
      <c r="BQ276" s="635">
        <v>185.10366650234326</v>
      </c>
      <c r="BR276" s="635">
        <v>192.99609949991873</v>
      </c>
      <c r="BS276" s="635">
        <v>196.46151144277027</v>
      </c>
      <c r="BT276" s="635">
        <v>198.36456348899333</v>
      </c>
      <c r="BU276" s="635">
        <v>200.3353534426785</v>
      </c>
      <c r="BV276" s="635">
        <v>202.35355993158714</v>
      </c>
      <c r="BW276" s="634">
        <v>157.47721038508448</v>
      </c>
      <c r="BX276" s="634">
        <v>158.96840891453948</v>
      </c>
      <c r="BY276" s="634">
        <v>160.47372804626332</v>
      </c>
      <c r="BZ276" s="635">
        <v>162.43178476756032</v>
      </c>
      <c r="CA276" s="635">
        <v>164.38984148885734</v>
      </c>
      <c r="CB276" s="635">
        <v>166.34789821015434</v>
      </c>
      <c r="CC276" s="635">
        <v>168.30595493145137</v>
      </c>
      <c r="CD276" s="635">
        <v>170.62122857904964</v>
      </c>
      <c r="CE276" s="635">
        <v>172.93650222664795</v>
      </c>
      <c r="CF276" s="635">
        <v>179.35510543084189</v>
      </c>
      <c r="CG276" s="635">
        <v>187.00243181358582</v>
      </c>
      <c r="CH276" s="635">
        <v>190.36022226752891</v>
      </c>
      <c r="CI276" s="635">
        <v>192.20417331852767</v>
      </c>
      <c r="CJ276" s="635">
        <v>194.11375861526608</v>
      </c>
      <c r="CK276" s="635">
        <v>196.06928788402226</v>
      </c>
      <c r="CL276" s="634">
        <v>2.0189385946805705</v>
      </c>
      <c r="CM276" s="634">
        <v>2.0380565245453783</v>
      </c>
      <c r="CN276" s="634">
        <v>2.057355487772607</v>
      </c>
      <c r="CO276" s="635">
        <v>2.0824587790712865</v>
      </c>
      <c r="CP276" s="635">
        <v>2.1075620703699665</v>
      </c>
      <c r="CQ276" s="635">
        <v>2.132665361668646</v>
      </c>
      <c r="CR276" s="635">
        <v>2.1577686529673255</v>
      </c>
      <c r="CS276" s="635">
        <v>2.1874516484493549</v>
      </c>
      <c r="CT276" s="635">
        <v>2.2171346439313844</v>
      </c>
      <c r="CU276" s="635">
        <v>2.2994244286005374</v>
      </c>
      <c r="CV276" s="635">
        <v>2.3974670745331519</v>
      </c>
      <c r="CW276" s="635">
        <v>2.4405156700965249</v>
      </c>
      <c r="CX276" s="635">
        <v>2.4641560681862527</v>
      </c>
      <c r="CY276" s="635">
        <v>2.4886379309649502</v>
      </c>
      <c r="CZ276" s="635">
        <v>2.5137088190259269</v>
      </c>
      <c r="DA276" s="636">
        <v>0</v>
      </c>
      <c r="DB276" s="636">
        <v>0</v>
      </c>
      <c r="DC276" s="636">
        <v>0</v>
      </c>
      <c r="DD276" s="637">
        <v>0</v>
      </c>
      <c r="DE276" s="637">
        <v>0</v>
      </c>
      <c r="DF276" s="637">
        <v>0</v>
      </c>
      <c r="DG276" s="637">
        <v>0</v>
      </c>
      <c r="DH276" s="637">
        <v>0</v>
      </c>
      <c r="DI276" s="637">
        <v>0</v>
      </c>
      <c r="DJ276" s="637">
        <v>0</v>
      </c>
      <c r="DK276" s="637">
        <v>0</v>
      </c>
      <c r="DL276" s="637">
        <v>0</v>
      </c>
      <c r="DM276" s="637">
        <v>0</v>
      </c>
      <c r="DN276" s="637">
        <v>0</v>
      </c>
      <c r="DO276" s="637">
        <v>0</v>
      </c>
      <c r="DP276" s="636">
        <v>0</v>
      </c>
      <c r="DQ276" s="636">
        <v>0</v>
      </c>
      <c r="DR276" s="636">
        <v>0</v>
      </c>
      <c r="DS276" s="637">
        <v>0</v>
      </c>
      <c r="DT276" s="637">
        <v>0</v>
      </c>
      <c r="DU276" s="637">
        <v>0</v>
      </c>
      <c r="DV276" s="637">
        <v>0</v>
      </c>
      <c r="DW276" s="637">
        <v>0</v>
      </c>
      <c r="DX276" s="637">
        <v>0</v>
      </c>
      <c r="DY276" s="637">
        <v>0</v>
      </c>
      <c r="DZ276" s="637">
        <v>0</v>
      </c>
      <c r="EA276" s="637">
        <v>0</v>
      </c>
      <c r="EB276" s="637">
        <v>0</v>
      </c>
      <c r="EC276" s="637">
        <v>0</v>
      </c>
      <c r="ED276" s="637">
        <v>0</v>
      </c>
    </row>
    <row r="277" spans="1:134" ht="15" x14ac:dyDescent="0.25">
      <c r="A277" s="555">
        <v>113</v>
      </c>
      <c r="B277" s="555">
        <v>97</v>
      </c>
      <c r="C277" s="555" t="s">
        <v>1260</v>
      </c>
      <c r="D277" s="812">
        <v>99712</v>
      </c>
      <c r="E277" s="812">
        <v>99712</v>
      </c>
      <c r="F277" s="630" t="s">
        <v>311</v>
      </c>
      <c r="G277" s="45">
        <v>225</v>
      </c>
      <c r="H277" s="45">
        <v>94</v>
      </c>
      <c r="I277" s="45">
        <v>87</v>
      </c>
      <c r="J277" s="45">
        <v>7</v>
      </c>
      <c r="K277" s="45">
        <v>0</v>
      </c>
      <c r="L277" s="45">
        <v>49</v>
      </c>
      <c r="M277" s="45">
        <v>49</v>
      </c>
      <c r="N277" s="45">
        <v>0</v>
      </c>
      <c r="O277" s="45">
        <v>0</v>
      </c>
      <c r="P277" s="45">
        <v>0</v>
      </c>
      <c r="Q277" s="45">
        <v>49</v>
      </c>
      <c r="R277" s="45">
        <v>0</v>
      </c>
      <c r="S277" s="45">
        <v>2875.0204081632655</v>
      </c>
      <c r="T277" s="45">
        <v>2875.0204081632655</v>
      </c>
      <c r="U277" s="45">
        <v>0</v>
      </c>
      <c r="V277" s="45">
        <v>0</v>
      </c>
      <c r="W277" s="45">
        <v>0</v>
      </c>
      <c r="X277" s="45">
        <v>2875.0204081632655</v>
      </c>
      <c r="Y277" s="45">
        <v>0</v>
      </c>
      <c r="Z277" s="45">
        <v>94</v>
      </c>
      <c r="AA277" s="45">
        <v>0</v>
      </c>
      <c r="AB277" s="508">
        <v>0</v>
      </c>
      <c r="AC277" s="508">
        <v>0</v>
      </c>
      <c r="AD277" s="631">
        <v>94</v>
      </c>
      <c r="AE277" s="632">
        <v>0</v>
      </c>
      <c r="AF277" s="632">
        <v>87</v>
      </c>
      <c r="AG277" s="633">
        <v>87</v>
      </c>
      <c r="AH277" s="632">
        <v>0</v>
      </c>
      <c r="AI277" s="632">
        <v>0</v>
      </c>
      <c r="AJ277" s="632">
        <v>85.456739043699386</v>
      </c>
      <c r="AK277" s="632">
        <v>85.456739043699386</v>
      </c>
      <c r="AL277" s="632">
        <v>0</v>
      </c>
      <c r="AM277" s="632">
        <v>0</v>
      </c>
      <c r="AN277" s="632">
        <v>79.3835076037481</v>
      </c>
      <c r="AO277" s="632">
        <v>79.3835076037481</v>
      </c>
      <c r="AP277" s="632">
        <v>0</v>
      </c>
      <c r="AQ277" s="632">
        <v>0</v>
      </c>
      <c r="AR277" s="632">
        <v>0</v>
      </c>
      <c r="AS277" s="632">
        <v>77.689938808329103</v>
      </c>
      <c r="AT277" s="632">
        <v>81.480849449820766</v>
      </c>
      <c r="AU277" s="632">
        <v>85.456739043699386</v>
      </c>
      <c r="AV277" s="632">
        <v>89.626633709560593</v>
      </c>
      <c r="AW277" s="632">
        <v>94</v>
      </c>
      <c r="AX277" s="632">
        <v>72.4338078100498</v>
      </c>
      <c r="AY277" s="632">
        <v>75.829082369876517</v>
      </c>
      <c r="AZ277" s="632">
        <v>79.3835076037481</v>
      </c>
      <c r="BA277" s="632">
        <v>83.104543567280871</v>
      </c>
      <c r="BB277" s="632">
        <v>87</v>
      </c>
      <c r="BC277" s="632">
        <v>0</v>
      </c>
      <c r="BD277" s="632">
        <v>0</v>
      </c>
      <c r="BE277" s="632">
        <v>0</v>
      </c>
      <c r="BF277" s="632">
        <v>0</v>
      </c>
      <c r="BG277" s="632">
        <v>0</v>
      </c>
      <c r="BH277" s="634">
        <v>94.890113949986812</v>
      </c>
      <c r="BI277" s="634">
        <v>95.788656653632785</v>
      </c>
      <c r="BJ277" s="634">
        <v>96.695707925312533</v>
      </c>
      <c r="BK277" s="635">
        <v>97.875562616350479</v>
      </c>
      <c r="BL277" s="635">
        <v>99.055417307388424</v>
      </c>
      <c r="BM277" s="635">
        <v>100.23527199842636</v>
      </c>
      <c r="BN277" s="635">
        <v>101.4151266894643</v>
      </c>
      <c r="BO277" s="635">
        <v>102.81022747711968</v>
      </c>
      <c r="BP277" s="635">
        <v>104.20532826477506</v>
      </c>
      <c r="BQ277" s="635">
        <v>108.07294814422526</v>
      </c>
      <c r="BR277" s="635">
        <v>112.68095250305814</v>
      </c>
      <c r="BS277" s="635">
        <v>114.70423649453667</v>
      </c>
      <c r="BT277" s="635">
        <v>115.81533520475386</v>
      </c>
      <c r="BU277" s="635">
        <v>116.96598275535267</v>
      </c>
      <c r="BV277" s="635">
        <v>118.14431449421858</v>
      </c>
      <c r="BW277" s="634">
        <v>87.823828868604821</v>
      </c>
      <c r="BX277" s="634">
        <v>88.655458817723954</v>
      </c>
      <c r="BY277" s="634">
        <v>89.494963718108409</v>
      </c>
      <c r="BZ277" s="635">
        <v>90.58695688960097</v>
      </c>
      <c r="CA277" s="635">
        <v>91.678950061093531</v>
      </c>
      <c r="CB277" s="635">
        <v>92.770943232586106</v>
      </c>
      <c r="CC277" s="635">
        <v>93.862936404078667</v>
      </c>
      <c r="CD277" s="635">
        <v>95.154146707546943</v>
      </c>
      <c r="CE277" s="635">
        <v>96.445357011015219</v>
      </c>
      <c r="CF277" s="635">
        <v>100.02496264412338</v>
      </c>
      <c r="CG277" s="635">
        <v>104.2898177421921</v>
      </c>
      <c r="CH277" s="635">
        <v>106.16243164919884</v>
      </c>
      <c r="CI277" s="635">
        <v>107.19078896610199</v>
      </c>
      <c r="CJ277" s="635">
        <v>108.25574999697534</v>
      </c>
      <c r="CK277" s="635">
        <v>109.34633362762783</v>
      </c>
      <c r="CL277" s="634">
        <v>0</v>
      </c>
      <c r="CM277" s="634">
        <v>0</v>
      </c>
      <c r="CN277" s="634">
        <v>0</v>
      </c>
      <c r="CO277" s="635">
        <v>0</v>
      </c>
      <c r="CP277" s="635">
        <v>0</v>
      </c>
      <c r="CQ277" s="635">
        <v>0</v>
      </c>
      <c r="CR277" s="635">
        <v>0</v>
      </c>
      <c r="CS277" s="635">
        <v>0</v>
      </c>
      <c r="CT277" s="635">
        <v>0</v>
      </c>
      <c r="CU277" s="635">
        <v>0</v>
      </c>
      <c r="CV277" s="635">
        <v>0</v>
      </c>
      <c r="CW277" s="635">
        <v>0</v>
      </c>
      <c r="CX277" s="635">
        <v>0</v>
      </c>
      <c r="CY277" s="635">
        <v>0</v>
      </c>
      <c r="CZ277" s="635">
        <v>0</v>
      </c>
      <c r="DA277" s="636">
        <v>0</v>
      </c>
      <c r="DB277" s="636">
        <v>0</v>
      </c>
      <c r="DC277" s="636">
        <v>0</v>
      </c>
      <c r="DD277" s="637">
        <v>0</v>
      </c>
      <c r="DE277" s="637">
        <v>0</v>
      </c>
      <c r="DF277" s="637">
        <v>0</v>
      </c>
      <c r="DG277" s="637">
        <v>0</v>
      </c>
      <c r="DH277" s="637">
        <v>0</v>
      </c>
      <c r="DI277" s="637">
        <v>0</v>
      </c>
      <c r="DJ277" s="637">
        <v>0</v>
      </c>
      <c r="DK277" s="637">
        <v>0</v>
      </c>
      <c r="DL277" s="637">
        <v>0</v>
      </c>
      <c r="DM277" s="637">
        <v>0</v>
      </c>
      <c r="DN277" s="637">
        <v>0</v>
      </c>
      <c r="DO277" s="637">
        <v>0</v>
      </c>
      <c r="DP277" s="636">
        <v>0</v>
      </c>
      <c r="DQ277" s="636">
        <v>0</v>
      </c>
      <c r="DR277" s="636">
        <v>0</v>
      </c>
      <c r="DS277" s="637">
        <v>0</v>
      </c>
      <c r="DT277" s="637">
        <v>0</v>
      </c>
      <c r="DU277" s="637">
        <v>0</v>
      </c>
      <c r="DV277" s="637">
        <v>0</v>
      </c>
      <c r="DW277" s="637">
        <v>0</v>
      </c>
      <c r="DX277" s="637">
        <v>0</v>
      </c>
      <c r="DY277" s="637">
        <v>0</v>
      </c>
      <c r="DZ277" s="637">
        <v>0</v>
      </c>
      <c r="EA277" s="637">
        <v>0</v>
      </c>
      <c r="EB277" s="637">
        <v>0</v>
      </c>
      <c r="EC277" s="637">
        <v>0</v>
      </c>
      <c r="ED277" s="637">
        <v>0</v>
      </c>
    </row>
    <row r="278" spans="1:134" ht="15" x14ac:dyDescent="0.25">
      <c r="A278" s="555">
        <v>114</v>
      </c>
      <c r="B278" s="555">
        <v>97</v>
      </c>
      <c r="C278" s="555" t="s">
        <v>1261</v>
      </c>
      <c r="D278" s="812">
        <v>99712</v>
      </c>
      <c r="E278" s="812">
        <v>99712</v>
      </c>
      <c r="F278" s="630" t="s">
        <v>311</v>
      </c>
      <c r="G278" s="45">
        <v>201</v>
      </c>
      <c r="H278" s="45">
        <v>83</v>
      </c>
      <c r="I278" s="45">
        <v>74</v>
      </c>
      <c r="J278" s="45">
        <v>9</v>
      </c>
      <c r="K278" s="45">
        <v>0</v>
      </c>
      <c r="L278" s="45">
        <v>41</v>
      </c>
      <c r="M278" s="45">
        <v>41</v>
      </c>
      <c r="N278" s="45">
        <v>0</v>
      </c>
      <c r="O278" s="45">
        <v>0</v>
      </c>
      <c r="P278" s="45">
        <v>0</v>
      </c>
      <c r="Q278" s="45">
        <v>41</v>
      </c>
      <c r="R278" s="45">
        <v>0</v>
      </c>
      <c r="S278" s="45">
        <v>2094.1707317073169</v>
      </c>
      <c r="T278" s="45">
        <v>2094.1707317073169</v>
      </c>
      <c r="U278" s="45">
        <v>0</v>
      </c>
      <c r="V278" s="45">
        <v>0</v>
      </c>
      <c r="W278" s="45">
        <v>0</v>
      </c>
      <c r="X278" s="45">
        <v>2094.1707317073169</v>
      </c>
      <c r="Y278" s="45">
        <v>0</v>
      </c>
      <c r="Z278" s="45">
        <v>83</v>
      </c>
      <c r="AA278" s="45">
        <v>0</v>
      </c>
      <c r="AB278" s="508">
        <v>0</v>
      </c>
      <c r="AC278" s="508">
        <v>0</v>
      </c>
      <c r="AD278" s="631">
        <v>83</v>
      </c>
      <c r="AE278" s="632">
        <v>0</v>
      </c>
      <c r="AF278" s="632">
        <v>74</v>
      </c>
      <c r="AG278" s="633">
        <v>74</v>
      </c>
      <c r="AH278" s="632">
        <v>0</v>
      </c>
      <c r="AI278" s="632">
        <v>0</v>
      </c>
      <c r="AJ278" s="632">
        <v>75.456482347096269</v>
      </c>
      <c r="AK278" s="632">
        <v>75.456482347096269</v>
      </c>
      <c r="AL278" s="632">
        <v>0</v>
      </c>
      <c r="AM278" s="632">
        <v>0</v>
      </c>
      <c r="AN278" s="632">
        <v>67.521604168705281</v>
      </c>
      <c r="AO278" s="632">
        <v>67.521604168705281</v>
      </c>
      <c r="AP278" s="632">
        <v>0</v>
      </c>
      <c r="AQ278" s="632">
        <v>0</v>
      </c>
      <c r="AR278" s="632">
        <v>0</v>
      </c>
      <c r="AS278" s="632">
        <v>68.59856299033315</v>
      </c>
      <c r="AT278" s="632">
        <v>71.945856429097063</v>
      </c>
      <c r="AU278" s="632">
        <v>75.456482347096269</v>
      </c>
      <c r="AV278" s="632">
        <v>79.138410615888603</v>
      </c>
      <c r="AW278" s="632">
        <v>83</v>
      </c>
      <c r="AX278" s="632">
        <v>61.610365263720524</v>
      </c>
      <c r="AY278" s="632">
        <v>64.498299946791519</v>
      </c>
      <c r="AZ278" s="632">
        <v>67.521604168705281</v>
      </c>
      <c r="BA278" s="632">
        <v>70.686623264123966</v>
      </c>
      <c r="BB278" s="632">
        <v>74</v>
      </c>
      <c r="BC278" s="632">
        <v>0</v>
      </c>
      <c r="BD278" s="632">
        <v>0</v>
      </c>
      <c r="BE278" s="632">
        <v>0</v>
      </c>
      <c r="BF278" s="632">
        <v>0</v>
      </c>
      <c r="BG278" s="632">
        <v>0</v>
      </c>
      <c r="BH278" s="634">
        <v>83.785951679243681</v>
      </c>
      <c r="BI278" s="634">
        <v>84.579345768633203</v>
      </c>
      <c r="BJ278" s="634">
        <v>85.380252742563187</v>
      </c>
      <c r="BK278" s="635">
        <v>86.422039331458393</v>
      </c>
      <c r="BL278" s="635">
        <v>87.463825920353599</v>
      </c>
      <c r="BM278" s="635">
        <v>88.505612509248806</v>
      </c>
      <c r="BN278" s="635">
        <v>89.547399098143998</v>
      </c>
      <c r="BO278" s="635">
        <v>90.77924341064822</v>
      </c>
      <c r="BP278" s="635">
        <v>92.011087723152443</v>
      </c>
      <c r="BQ278" s="635">
        <v>95.426113786922301</v>
      </c>
      <c r="BR278" s="635">
        <v>99.494883593125792</v>
      </c>
      <c r="BS278" s="635">
        <v>101.28140030900578</v>
      </c>
      <c r="BT278" s="635">
        <v>102.26247682972948</v>
      </c>
      <c r="BU278" s="635">
        <v>103.27847413504543</v>
      </c>
      <c r="BV278" s="635">
        <v>104.31891598957596</v>
      </c>
      <c r="BW278" s="634">
        <v>74.700728003181112</v>
      </c>
      <c r="BX278" s="634">
        <v>75.408091408179004</v>
      </c>
      <c r="BY278" s="634">
        <v>76.122153047586465</v>
      </c>
      <c r="BZ278" s="635">
        <v>77.05097482563761</v>
      </c>
      <c r="CA278" s="635">
        <v>77.979796603688754</v>
      </c>
      <c r="CB278" s="635">
        <v>78.908618381739899</v>
      </c>
      <c r="CC278" s="635">
        <v>79.837440159791058</v>
      </c>
      <c r="CD278" s="635">
        <v>80.935710992626142</v>
      </c>
      <c r="CE278" s="635">
        <v>82.033981825461225</v>
      </c>
      <c r="CF278" s="635">
        <v>85.078703858219882</v>
      </c>
      <c r="CG278" s="635">
        <v>88.706281757726629</v>
      </c>
      <c r="CH278" s="635">
        <v>90.299079793571423</v>
      </c>
      <c r="CI278" s="635">
        <v>91.17377452289135</v>
      </c>
      <c r="CJ278" s="635">
        <v>92.079603445703171</v>
      </c>
      <c r="CK278" s="635">
        <v>93.0072263039593</v>
      </c>
      <c r="CL278" s="634">
        <v>0</v>
      </c>
      <c r="CM278" s="634">
        <v>0</v>
      </c>
      <c r="CN278" s="634">
        <v>0</v>
      </c>
      <c r="CO278" s="635">
        <v>0</v>
      </c>
      <c r="CP278" s="635">
        <v>0</v>
      </c>
      <c r="CQ278" s="635">
        <v>0</v>
      </c>
      <c r="CR278" s="635">
        <v>0</v>
      </c>
      <c r="CS278" s="635">
        <v>0</v>
      </c>
      <c r="CT278" s="635">
        <v>0</v>
      </c>
      <c r="CU278" s="635">
        <v>0</v>
      </c>
      <c r="CV278" s="635">
        <v>0</v>
      </c>
      <c r="CW278" s="635">
        <v>0</v>
      </c>
      <c r="CX278" s="635">
        <v>0</v>
      </c>
      <c r="CY278" s="635">
        <v>0</v>
      </c>
      <c r="CZ278" s="635">
        <v>0</v>
      </c>
      <c r="DA278" s="636">
        <v>0</v>
      </c>
      <c r="DB278" s="636">
        <v>0</v>
      </c>
      <c r="DC278" s="636">
        <v>0</v>
      </c>
      <c r="DD278" s="637">
        <v>0</v>
      </c>
      <c r="DE278" s="637">
        <v>0</v>
      </c>
      <c r="DF278" s="637">
        <v>0</v>
      </c>
      <c r="DG278" s="637">
        <v>0</v>
      </c>
      <c r="DH278" s="637">
        <v>0</v>
      </c>
      <c r="DI278" s="637">
        <v>0</v>
      </c>
      <c r="DJ278" s="637">
        <v>0</v>
      </c>
      <c r="DK278" s="637">
        <v>0</v>
      </c>
      <c r="DL278" s="637">
        <v>0</v>
      </c>
      <c r="DM278" s="637">
        <v>0</v>
      </c>
      <c r="DN278" s="637">
        <v>0</v>
      </c>
      <c r="DO278" s="637">
        <v>0</v>
      </c>
      <c r="DP278" s="636">
        <v>0</v>
      </c>
      <c r="DQ278" s="636">
        <v>0</v>
      </c>
      <c r="DR278" s="636">
        <v>0</v>
      </c>
      <c r="DS278" s="637">
        <v>0</v>
      </c>
      <c r="DT278" s="637">
        <v>0</v>
      </c>
      <c r="DU278" s="637">
        <v>0</v>
      </c>
      <c r="DV278" s="637">
        <v>0</v>
      </c>
      <c r="DW278" s="637">
        <v>0</v>
      </c>
      <c r="DX278" s="637">
        <v>0</v>
      </c>
      <c r="DY278" s="637">
        <v>0</v>
      </c>
      <c r="DZ278" s="637">
        <v>0</v>
      </c>
      <c r="EA278" s="637">
        <v>0</v>
      </c>
      <c r="EB278" s="637">
        <v>0</v>
      </c>
      <c r="EC278" s="637">
        <v>0</v>
      </c>
      <c r="ED278" s="637">
        <v>0</v>
      </c>
    </row>
    <row r="279" spans="1:134" ht="15" x14ac:dyDescent="0.25">
      <c r="A279" s="555">
        <v>115</v>
      </c>
      <c r="B279" s="555">
        <v>97</v>
      </c>
      <c r="C279" s="555" t="s">
        <v>1262</v>
      </c>
      <c r="D279" s="812">
        <v>99712</v>
      </c>
      <c r="E279" s="812">
        <v>99712</v>
      </c>
      <c r="F279" s="630" t="s">
        <v>311</v>
      </c>
      <c r="G279" s="45">
        <v>36</v>
      </c>
      <c r="H279" s="45">
        <v>11</v>
      </c>
      <c r="I279" s="45">
        <v>11</v>
      </c>
      <c r="J279" s="45">
        <v>0</v>
      </c>
      <c r="K279" s="45">
        <v>0</v>
      </c>
      <c r="L279" s="45">
        <v>0</v>
      </c>
      <c r="M279" s="45">
        <v>0</v>
      </c>
      <c r="N279" s="45">
        <v>0</v>
      </c>
      <c r="O279" s="45">
        <v>0</v>
      </c>
      <c r="P279" s="45">
        <v>0</v>
      </c>
      <c r="Q279" s="45">
        <v>0</v>
      </c>
      <c r="R279" s="45">
        <v>0</v>
      </c>
      <c r="S279" s="45">
        <v>834.49503068156923</v>
      </c>
      <c r="T279" s="45">
        <v>834.49503068156923</v>
      </c>
      <c r="U279" s="45">
        <v>1408.3846153846155</v>
      </c>
      <c r="V279" s="45">
        <v>0</v>
      </c>
      <c r="W279" s="45">
        <v>0</v>
      </c>
      <c r="X279" s="45">
        <v>1365.173957061457</v>
      </c>
      <c r="Y279" s="45">
        <v>0.25203568953568956</v>
      </c>
      <c r="Z279" s="45">
        <v>10.733671171171171</v>
      </c>
      <c r="AA279" s="45">
        <v>1.4293139293139294E-2</v>
      </c>
      <c r="AB279" s="508">
        <v>0</v>
      </c>
      <c r="AC279" s="508">
        <v>0</v>
      </c>
      <c r="AD279" s="631">
        <v>11</v>
      </c>
      <c r="AE279" s="632">
        <v>0.25203568953568956</v>
      </c>
      <c r="AF279" s="632">
        <v>10.733671171171171</v>
      </c>
      <c r="AG279" s="633">
        <v>10.985706860706861</v>
      </c>
      <c r="AH279" s="632">
        <v>1.4293139293139294E-2</v>
      </c>
      <c r="AI279" s="632">
        <v>0.22912923564202403</v>
      </c>
      <c r="AJ279" s="632">
        <v>9.75813336442185</v>
      </c>
      <c r="AK279" s="632">
        <v>9.9872626000638736</v>
      </c>
      <c r="AL279" s="632">
        <v>1.299409653924522E-2</v>
      </c>
      <c r="AM279" s="632">
        <v>0.22997100088129091</v>
      </c>
      <c r="AN279" s="632">
        <v>9.7939823796873391</v>
      </c>
      <c r="AO279" s="632">
        <v>10.02395338056863</v>
      </c>
      <c r="AP279" s="632">
        <v>1.3041833698371884E-2</v>
      </c>
      <c r="AQ279" s="632">
        <v>0</v>
      </c>
      <c r="AR279" s="632">
        <v>0</v>
      </c>
      <c r="AS279" s="632">
        <v>9.0795626997293333</v>
      </c>
      <c r="AT279" s="632">
        <v>9.52260347677786</v>
      </c>
      <c r="AU279" s="632">
        <v>9.9872626000638753</v>
      </c>
      <c r="AV279" s="632">
        <v>10.474594945161495</v>
      </c>
      <c r="AW279" s="632">
        <v>10.985706860706861</v>
      </c>
      <c r="AX279" s="632">
        <v>9.1463974644366246</v>
      </c>
      <c r="AY279" s="632">
        <v>9.5751272463431967</v>
      </c>
      <c r="AZ279" s="632">
        <v>10.02395338056863</v>
      </c>
      <c r="BA279" s="632">
        <v>10.493817866930916</v>
      </c>
      <c r="BB279" s="632">
        <v>10.985706860706861</v>
      </c>
      <c r="BC279" s="632">
        <v>0</v>
      </c>
      <c r="BD279" s="632">
        <v>0</v>
      </c>
      <c r="BE279" s="632">
        <v>0</v>
      </c>
      <c r="BF279" s="632">
        <v>0</v>
      </c>
      <c r="BG279" s="632">
        <v>0</v>
      </c>
      <c r="BH279" s="634">
        <v>11.089733785464105</v>
      </c>
      <c r="BI279" s="634">
        <v>11.194745772103271</v>
      </c>
      <c r="BJ279" s="634">
        <v>11.30075214846822</v>
      </c>
      <c r="BK279" s="635">
        <v>11.438640848191334</v>
      </c>
      <c r="BL279" s="635">
        <v>11.576529547914447</v>
      </c>
      <c r="BM279" s="635">
        <v>11.714418247637562</v>
      </c>
      <c r="BN279" s="635">
        <v>11.852306947360676</v>
      </c>
      <c r="BO279" s="635">
        <v>12.015351290917305</v>
      </c>
      <c r="BP279" s="635">
        <v>12.178395634473937</v>
      </c>
      <c r="BQ279" s="635">
        <v>12.630401360476938</v>
      </c>
      <c r="BR279" s="635">
        <v>13.168935244508827</v>
      </c>
      <c r="BS279" s="635">
        <v>13.405394870320999</v>
      </c>
      <c r="BT279" s="635">
        <v>13.53524811206308</v>
      </c>
      <c r="BU279" s="635">
        <v>13.669723396008491</v>
      </c>
      <c r="BV279" s="635">
        <v>13.807434109496233</v>
      </c>
      <c r="BW279" s="634">
        <v>11.089733785464105</v>
      </c>
      <c r="BX279" s="634">
        <v>11.194745772103271</v>
      </c>
      <c r="BY279" s="634">
        <v>11.30075214846822</v>
      </c>
      <c r="BZ279" s="635">
        <v>11.438640848191334</v>
      </c>
      <c r="CA279" s="635">
        <v>11.576529547914447</v>
      </c>
      <c r="CB279" s="635">
        <v>11.714418247637562</v>
      </c>
      <c r="CC279" s="635">
        <v>11.852306947360676</v>
      </c>
      <c r="CD279" s="635">
        <v>12.015351290917305</v>
      </c>
      <c r="CE279" s="635">
        <v>12.178395634473937</v>
      </c>
      <c r="CF279" s="635">
        <v>12.630401360476938</v>
      </c>
      <c r="CG279" s="635">
        <v>13.168935244508827</v>
      </c>
      <c r="CH279" s="635">
        <v>13.405394870320999</v>
      </c>
      <c r="CI279" s="635">
        <v>13.53524811206308</v>
      </c>
      <c r="CJ279" s="635">
        <v>13.669723396008491</v>
      </c>
      <c r="CK279" s="635">
        <v>13.807434109496233</v>
      </c>
      <c r="CL279" s="634">
        <v>0</v>
      </c>
      <c r="CM279" s="634">
        <v>0</v>
      </c>
      <c r="CN279" s="634">
        <v>0</v>
      </c>
      <c r="CO279" s="635">
        <v>0</v>
      </c>
      <c r="CP279" s="635">
        <v>0</v>
      </c>
      <c r="CQ279" s="635">
        <v>0</v>
      </c>
      <c r="CR279" s="635">
        <v>0</v>
      </c>
      <c r="CS279" s="635">
        <v>0</v>
      </c>
      <c r="CT279" s="635">
        <v>0</v>
      </c>
      <c r="CU279" s="635">
        <v>0</v>
      </c>
      <c r="CV279" s="635">
        <v>0</v>
      </c>
      <c r="CW279" s="635">
        <v>0</v>
      </c>
      <c r="CX279" s="635">
        <v>0</v>
      </c>
      <c r="CY279" s="635">
        <v>0</v>
      </c>
      <c r="CZ279" s="635">
        <v>0</v>
      </c>
      <c r="DA279" s="636">
        <v>1.4428485279032144E-2</v>
      </c>
      <c r="DB279" s="636">
        <v>1.4565112896309228E-2</v>
      </c>
      <c r="DC279" s="636">
        <v>1.4703034281119205E-2</v>
      </c>
      <c r="DD279" s="637">
        <v>1.4882436700743344E-2</v>
      </c>
      <c r="DE279" s="637">
        <v>1.5061839120367484E-2</v>
      </c>
      <c r="DF279" s="637">
        <v>1.5241241539991623E-2</v>
      </c>
      <c r="DG279" s="637">
        <v>1.5420643959615763E-2</v>
      </c>
      <c r="DH279" s="637">
        <v>1.56327755541469E-2</v>
      </c>
      <c r="DI279" s="637">
        <v>1.5844907148678034E-2</v>
      </c>
      <c r="DJ279" s="637">
        <v>1.6432996826017357E-2</v>
      </c>
      <c r="DK279" s="637">
        <v>1.7133665423508752E-2</v>
      </c>
      <c r="DL279" s="637">
        <v>1.7441315209889407E-2</v>
      </c>
      <c r="DM279" s="637">
        <v>1.7610262961310279E-2</v>
      </c>
      <c r="DN279" s="637">
        <v>1.7785224298736003E-2</v>
      </c>
      <c r="DO279" s="637">
        <v>1.7964395146365126E-2</v>
      </c>
      <c r="DP279" s="636">
        <v>0</v>
      </c>
      <c r="DQ279" s="636">
        <v>0</v>
      </c>
      <c r="DR279" s="636">
        <v>0</v>
      </c>
      <c r="DS279" s="637">
        <v>0</v>
      </c>
      <c r="DT279" s="637">
        <v>0</v>
      </c>
      <c r="DU279" s="637">
        <v>0</v>
      </c>
      <c r="DV279" s="637">
        <v>0</v>
      </c>
      <c r="DW279" s="637">
        <v>0</v>
      </c>
      <c r="DX279" s="637">
        <v>0</v>
      </c>
      <c r="DY279" s="637">
        <v>0</v>
      </c>
      <c r="DZ279" s="637">
        <v>0</v>
      </c>
      <c r="EA279" s="637">
        <v>0</v>
      </c>
      <c r="EB279" s="637">
        <v>0</v>
      </c>
      <c r="EC279" s="637">
        <v>0</v>
      </c>
      <c r="ED279" s="637">
        <v>0</v>
      </c>
    </row>
    <row r="280" spans="1:134" ht="15" x14ac:dyDescent="0.25">
      <c r="A280" s="555">
        <v>116</v>
      </c>
      <c r="B280" s="555">
        <v>97</v>
      </c>
      <c r="C280" s="555" t="s">
        <v>1263</v>
      </c>
      <c r="D280" s="812">
        <v>99712</v>
      </c>
      <c r="E280" s="812">
        <v>99712</v>
      </c>
      <c r="F280" s="630" t="s">
        <v>311</v>
      </c>
      <c r="G280" s="45">
        <v>120</v>
      </c>
      <c r="H280" s="45">
        <v>40</v>
      </c>
      <c r="I280" s="45">
        <v>39</v>
      </c>
      <c r="J280" s="45">
        <v>1</v>
      </c>
      <c r="K280" s="45">
        <v>0</v>
      </c>
      <c r="L280" s="45">
        <v>0</v>
      </c>
      <c r="M280" s="45">
        <v>0</v>
      </c>
      <c r="N280" s="45">
        <v>0</v>
      </c>
      <c r="O280" s="45">
        <v>0</v>
      </c>
      <c r="P280" s="45">
        <v>0</v>
      </c>
      <c r="Q280" s="45">
        <v>0</v>
      </c>
      <c r="R280" s="45">
        <v>0</v>
      </c>
      <c r="S280" s="45">
        <v>834.49503068156923</v>
      </c>
      <c r="T280" s="45">
        <v>834.49503068156923</v>
      </c>
      <c r="U280" s="45">
        <v>1408.3846153846155</v>
      </c>
      <c r="V280" s="45">
        <v>0</v>
      </c>
      <c r="W280" s="45">
        <v>0</v>
      </c>
      <c r="X280" s="45">
        <v>1365.173957061457</v>
      </c>
      <c r="Y280" s="45">
        <v>0.91649341649341654</v>
      </c>
      <c r="Z280" s="45">
        <v>39.031531531531535</v>
      </c>
      <c r="AA280" s="45">
        <v>5.1975051975051978E-2</v>
      </c>
      <c r="AB280" s="508">
        <v>0</v>
      </c>
      <c r="AC280" s="508">
        <v>0</v>
      </c>
      <c r="AD280" s="631">
        <v>40</v>
      </c>
      <c r="AE280" s="632">
        <v>0.89358108108108103</v>
      </c>
      <c r="AF280" s="632">
        <v>38.055743243243242</v>
      </c>
      <c r="AG280" s="633">
        <v>38.949324324324323</v>
      </c>
      <c r="AH280" s="632">
        <v>5.0675675675675678E-2</v>
      </c>
      <c r="AI280" s="632">
        <v>0.83319722051645106</v>
      </c>
      <c r="AJ280" s="632">
        <v>35.484121325170371</v>
      </c>
      <c r="AK280" s="632">
        <v>36.317318545686824</v>
      </c>
      <c r="AL280" s="632">
        <v>4.7251260142709889E-2</v>
      </c>
      <c r="AM280" s="632">
        <v>0.81535173039730402</v>
      </c>
      <c r="AN280" s="632">
        <v>34.724119346164201</v>
      </c>
      <c r="AO280" s="632">
        <v>35.539471076561505</v>
      </c>
      <c r="AP280" s="632">
        <v>4.6239228566954865E-2</v>
      </c>
      <c r="AQ280" s="632">
        <v>0</v>
      </c>
      <c r="AR280" s="632">
        <v>0</v>
      </c>
      <c r="AS280" s="632">
        <v>33.016591635379392</v>
      </c>
      <c r="AT280" s="632">
        <v>34.627649006464949</v>
      </c>
      <c r="AU280" s="632">
        <v>36.317318545686824</v>
      </c>
      <c r="AV280" s="632">
        <v>38.089436164223628</v>
      </c>
      <c r="AW280" s="632">
        <v>39.948024948024951</v>
      </c>
      <c r="AX280" s="632">
        <v>32.42813646482076</v>
      </c>
      <c r="AY280" s="632">
        <v>33.948178418853153</v>
      </c>
      <c r="AZ280" s="632">
        <v>35.539471076561505</v>
      </c>
      <c r="BA280" s="632">
        <v>37.205354255482341</v>
      </c>
      <c r="BB280" s="632">
        <v>38.949324324324323</v>
      </c>
      <c r="BC280" s="632">
        <v>0</v>
      </c>
      <c r="BD280" s="632">
        <v>0</v>
      </c>
      <c r="BE280" s="632">
        <v>0</v>
      </c>
      <c r="BF280" s="632">
        <v>0</v>
      </c>
      <c r="BG280" s="632">
        <v>0</v>
      </c>
      <c r="BH280" s="634">
        <v>40.326304674414935</v>
      </c>
      <c r="BI280" s="634">
        <v>40.708166444011901</v>
      </c>
      <c r="BJ280" s="634">
        <v>41.093644176248077</v>
      </c>
      <c r="BK280" s="635">
        <v>41.224656982922198</v>
      </c>
      <c r="BL280" s="635">
        <v>41.35566978959632</v>
      </c>
      <c r="BM280" s="635">
        <v>41.486682596270434</v>
      </c>
      <c r="BN280" s="635">
        <v>41.617695402944555</v>
      </c>
      <c r="BO280" s="635">
        <v>41.772609453947915</v>
      </c>
      <c r="BP280" s="635">
        <v>41.927523504951274</v>
      </c>
      <c r="BQ280" s="635">
        <v>42.356989726007377</v>
      </c>
      <c r="BR280" s="635">
        <v>42.868669332659771</v>
      </c>
      <c r="BS280" s="635">
        <v>43.093337773982185</v>
      </c>
      <c r="BT280" s="635">
        <v>43.216715815043734</v>
      </c>
      <c r="BU280" s="635">
        <v>43.344485417725934</v>
      </c>
      <c r="BV280" s="635">
        <v>43.475329113542585</v>
      </c>
      <c r="BW280" s="634">
        <v>39.318147057554555</v>
      </c>
      <c r="BX280" s="634">
        <v>39.690462282911597</v>
      </c>
      <c r="BY280" s="634">
        <v>40.066303071841865</v>
      </c>
      <c r="BZ280" s="635">
        <v>40.194040558349137</v>
      </c>
      <c r="CA280" s="635">
        <v>40.321778044856401</v>
      </c>
      <c r="CB280" s="635">
        <v>40.449515531363666</v>
      </c>
      <c r="CC280" s="635">
        <v>40.577253017870937</v>
      </c>
      <c r="CD280" s="635">
        <v>40.728294217599206</v>
      </c>
      <c r="CE280" s="635">
        <v>40.879335417327489</v>
      </c>
      <c r="CF280" s="635">
        <v>41.298064982857184</v>
      </c>
      <c r="CG280" s="635">
        <v>41.796952599343264</v>
      </c>
      <c r="CH280" s="635">
        <v>42.016004329632615</v>
      </c>
      <c r="CI280" s="635">
        <v>42.136297919667626</v>
      </c>
      <c r="CJ280" s="635">
        <v>42.260873282282773</v>
      </c>
      <c r="CK280" s="635">
        <v>42.388445885704009</v>
      </c>
      <c r="CL280" s="634">
        <v>0</v>
      </c>
      <c r="CM280" s="634">
        <v>0</v>
      </c>
      <c r="CN280" s="634">
        <v>0</v>
      </c>
      <c r="CO280" s="635">
        <v>0</v>
      </c>
      <c r="CP280" s="635">
        <v>0</v>
      </c>
      <c r="CQ280" s="635">
        <v>0</v>
      </c>
      <c r="CR280" s="635">
        <v>0</v>
      </c>
      <c r="CS280" s="635">
        <v>0</v>
      </c>
      <c r="CT280" s="635">
        <v>0</v>
      </c>
      <c r="CU280" s="635">
        <v>0</v>
      </c>
      <c r="CV280" s="635">
        <v>0</v>
      </c>
      <c r="CW280" s="635">
        <v>0</v>
      </c>
      <c r="CX280" s="635">
        <v>0</v>
      </c>
      <c r="CY280" s="635">
        <v>0</v>
      </c>
      <c r="CZ280" s="635">
        <v>0</v>
      </c>
      <c r="DA280" s="636">
        <v>5.2467219196480522E-2</v>
      </c>
      <c r="DB280" s="636">
        <v>5.2964046895669921E-2</v>
      </c>
      <c r="DC280" s="636">
        <v>5.346557920406983E-2</v>
      </c>
      <c r="DD280" s="637">
        <v>5.3636035627013003E-2</v>
      </c>
      <c r="DE280" s="637">
        <v>5.3806492049956169E-2</v>
      </c>
      <c r="DF280" s="637">
        <v>5.3976948472899335E-2</v>
      </c>
      <c r="DG280" s="637">
        <v>5.4147404895842507E-2</v>
      </c>
      <c r="DH280" s="637">
        <v>5.4348958436049838E-2</v>
      </c>
      <c r="DI280" s="637">
        <v>5.4550511976257182E-2</v>
      </c>
      <c r="DJ280" s="637">
        <v>5.5109276250334863E-2</v>
      </c>
      <c r="DK280" s="637">
        <v>5.57750056370801E-2</v>
      </c>
      <c r="DL280" s="637">
        <v>5.6067314303906032E-2</v>
      </c>
      <c r="DM280" s="637">
        <v>5.6227837386213543E-2</v>
      </c>
      <c r="DN280" s="637">
        <v>5.6394074183874481E-2</v>
      </c>
      <c r="DO280" s="637">
        <v>5.6564310582282826E-2</v>
      </c>
      <c r="DP280" s="636">
        <v>0</v>
      </c>
      <c r="DQ280" s="636">
        <v>0</v>
      </c>
      <c r="DR280" s="636">
        <v>0</v>
      </c>
      <c r="DS280" s="637">
        <v>0</v>
      </c>
      <c r="DT280" s="637">
        <v>0</v>
      </c>
      <c r="DU280" s="637">
        <v>0</v>
      </c>
      <c r="DV280" s="637">
        <v>0</v>
      </c>
      <c r="DW280" s="637">
        <v>0</v>
      </c>
      <c r="DX280" s="637">
        <v>0</v>
      </c>
      <c r="DY280" s="637">
        <v>0</v>
      </c>
      <c r="DZ280" s="637">
        <v>0</v>
      </c>
      <c r="EA280" s="637">
        <v>0</v>
      </c>
      <c r="EB280" s="637">
        <v>0</v>
      </c>
      <c r="EC280" s="637">
        <v>0</v>
      </c>
      <c r="ED280" s="637">
        <v>0</v>
      </c>
    </row>
    <row r="281" spans="1:134" ht="15" x14ac:dyDescent="0.25">
      <c r="A281" s="555">
        <v>119</v>
      </c>
      <c r="B281" s="555">
        <v>97</v>
      </c>
      <c r="C281" s="555" t="s">
        <v>1264</v>
      </c>
      <c r="D281" s="812">
        <v>99712</v>
      </c>
      <c r="E281" s="812">
        <v>99712</v>
      </c>
      <c r="F281" s="630" t="s">
        <v>989</v>
      </c>
      <c r="G281" s="45">
        <v>146</v>
      </c>
      <c r="H281" s="45">
        <v>52</v>
      </c>
      <c r="I281" s="45">
        <v>52</v>
      </c>
      <c r="J281" s="45">
        <v>0</v>
      </c>
      <c r="K281" s="45">
        <v>0</v>
      </c>
      <c r="L281" s="45">
        <v>32</v>
      </c>
      <c r="M281" s="45">
        <v>32</v>
      </c>
      <c r="N281" s="45">
        <v>1</v>
      </c>
      <c r="O281" s="45">
        <v>0</v>
      </c>
      <c r="P281" s="45">
        <v>0</v>
      </c>
      <c r="Q281" s="45">
        <v>33</v>
      </c>
      <c r="R281" s="45">
        <v>0</v>
      </c>
      <c r="S281" s="45">
        <v>3082.875</v>
      </c>
      <c r="T281" s="45">
        <v>3082.875</v>
      </c>
      <c r="U281" s="45">
        <v>6720</v>
      </c>
      <c r="V281" s="45">
        <v>0</v>
      </c>
      <c r="W281" s="45">
        <v>0</v>
      </c>
      <c r="X281" s="45">
        <v>3193.090909090909</v>
      </c>
      <c r="Y281" s="45">
        <v>0</v>
      </c>
      <c r="Z281" s="45">
        <v>52</v>
      </c>
      <c r="AA281" s="45">
        <v>0</v>
      </c>
      <c r="AB281" s="508">
        <v>1</v>
      </c>
      <c r="AC281" s="508">
        <v>0</v>
      </c>
      <c r="AD281" s="631">
        <v>53</v>
      </c>
      <c r="AE281" s="632">
        <v>0</v>
      </c>
      <c r="AF281" s="632">
        <v>52</v>
      </c>
      <c r="AG281" s="633">
        <v>52</v>
      </c>
      <c r="AH281" s="632">
        <v>0</v>
      </c>
      <c r="AI281" s="632">
        <v>0</v>
      </c>
      <c r="AJ281" s="632">
        <v>47.273940747578386</v>
      </c>
      <c r="AK281" s="632">
        <v>47.273940747578386</v>
      </c>
      <c r="AL281" s="632">
        <v>0</v>
      </c>
      <c r="AM281" s="632">
        <v>0</v>
      </c>
      <c r="AN281" s="632">
        <v>47.447613740171278</v>
      </c>
      <c r="AO281" s="632">
        <v>47.447613740171278</v>
      </c>
      <c r="AP281" s="632">
        <v>0</v>
      </c>
      <c r="AQ281" s="632">
        <v>0.92984135081383867</v>
      </c>
      <c r="AR281" s="632">
        <v>0</v>
      </c>
      <c r="AS281" s="632">
        <v>42.977412957799082</v>
      </c>
      <c r="AT281" s="632">
        <v>45.074512461602971</v>
      </c>
      <c r="AU281" s="632">
        <v>47.273940747578386</v>
      </c>
      <c r="AV281" s="632">
        <v>49.580690988267563</v>
      </c>
      <c r="AW281" s="632">
        <v>52</v>
      </c>
      <c r="AX281" s="632">
        <v>43.293770185317122</v>
      </c>
      <c r="AY281" s="632">
        <v>45.32312969233999</v>
      </c>
      <c r="AZ281" s="632">
        <v>47.447613740171278</v>
      </c>
      <c r="BA281" s="632">
        <v>49.671681212627654</v>
      </c>
      <c r="BB281" s="632">
        <v>52</v>
      </c>
      <c r="BC281" s="632">
        <v>0.86460493768330426</v>
      </c>
      <c r="BD281" s="632">
        <v>0.89663003695825327</v>
      </c>
      <c r="BE281" s="632">
        <v>0.92984135081383867</v>
      </c>
      <c r="BF281" s="632">
        <v>0.96428281681975381</v>
      </c>
      <c r="BG281" s="632">
        <v>1</v>
      </c>
      <c r="BH281" s="634">
        <v>52.481462747222274</v>
      </c>
      <c r="BI281" s="634">
        <v>52.967383309386143</v>
      </c>
      <c r="BJ281" s="634">
        <v>53.457802960949849</v>
      </c>
      <c r="BK281" s="635">
        <v>53.769088771582176</v>
      </c>
      <c r="BL281" s="635">
        <v>54.080374582214503</v>
      </c>
      <c r="BM281" s="635">
        <v>54.391660392846845</v>
      </c>
      <c r="BN281" s="635">
        <v>54.702946203479172</v>
      </c>
      <c r="BO281" s="635">
        <v>55.071021257888695</v>
      </c>
      <c r="BP281" s="635">
        <v>55.439096312298197</v>
      </c>
      <c r="BQ281" s="635">
        <v>56.459506027610885</v>
      </c>
      <c r="BR281" s="635">
        <v>57.675254359275968</v>
      </c>
      <c r="BS281" s="635">
        <v>58.209065516031863</v>
      </c>
      <c r="BT281" s="635">
        <v>58.502211159584142</v>
      </c>
      <c r="BU281" s="635">
        <v>58.805791132830805</v>
      </c>
      <c r="BV281" s="635">
        <v>59.116675136863549</v>
      </c>
      <c r="BW281" s="634">
        <v>52.481462747222274</v>
      </c>
      <c r="BX281" s="634">
        <v>52.967383309386143</v>
      </c>
      <c r="BY281" s="634">
        <v>53.457802960949849</v>
      </c>
      <c r="BZ281" s="635">
        <v>53.769088771582176</v>
      </c>
      <c r="CA281" s="635">
        <v>54.080374582214503</v>
      </c>
      <c r="CB281" s="635">
        <v>54.391660392846845</v>
      </c>
      <c r="CC281" s="635">
        <v>54.702946203479172</v>
      </c>
      <c r="CD281" s="635">
        <v>55.071021257888695</v>
      </c>
      <c r="CE281" s="635">
        <v>55.439096312298197</v>
      </c>
      <c r="CF281" s="635">
        <v>56.459506027610885</v>
      </c>
      <c r="CG281" s="635">
        <v>57.675254359275968</v>
      </c>
      <c r="CH281" s="635">
        <v>58.209065516031863</v>
      </c>
      <c r="CI281" s="635">
        <v>58.502211159584142</v>
      </c>
      <c r="CJ281" s="635">
        <v>58.805791132830805</v>
      </c>
      <c r="CK281" s="635">
        <v>59.116675136863549</v>
      </c>
      <c r="CL281" s="634">
        <v>1.0092588989850437</v>
      </c>
      <c r="CM281" s="634">
        <v>1.0186035251805028</v>
      </c>
      <c r="CN281" s="634">
        <v>1.0280346723259586</v>
      </c>
      <c r="CO281" s="635">
        <v>1.0340209379150418</v>
      </c>
      <c r="CP281" s="635">
        <v>1.040007203504125</v>
      </c>
      <c r="CQ281" s="635">
        <v>1.0459934690932085</v>
      </c>
      <c r="CR281" s="635">
        <v>1.0519797346822917</v>
      </c>
      <c r="CS281" s="635">
        <v>1.0590581011132441</v>
      </c>
      <c r="CT281" s="635">
        <v>1.0661364675441962</v>
      </c>
      <c r="CU281" s="635">
        <v>1.0857597313002092</v>
      </c>
      <c r="CV281" s="635">
        <v>1.1091395069091532</v>
      </c>
      <c r="CW281" s="635">
        <v>1.1194051060775358</v>
      </c>
      <c r="CX281" s="635">
        <v>1.1250425222996949</v>
      </c>
      <c r="CY281" s="635">
        <v>1.1308805987082846</v>
      </c>
      <c r="CZ281" s="635">
        <v>1.1368591372473758</v>
      </c>
      <c r="DA281" s="636">
        <v>0</v>
      </c>
      <c r="DB281" s="636">
        <v>0</v>
      </c>
      <c r="DC281" s="636">
        <v>0</v>
      </c>
      <c r="DD281" s="637">
        <v>0</v>
      </c>
      <c r="DE281" s="637">
        <v>0</v>
      </c>
      <c r="DF281" s="637">
        <v>0</v>
      </c>
      <c r="DG281" s="637">
        <v>0</v>
      </c>
      <c r="DH281" s="637">
        <v>0</v>
      </c>
      <c r="DI281" s="637">
        <v>0</v>
      </c>
      <c r="DJ281" s="637">
        <v>0</v>
      </c>
      <c r="DK281" s="637">
        <v>0</v>
      </c>
      <c r="DL281" s="637">
        <v>0</v>
      </c>
      <c r="DM281" s="637">
        <v>0</v>
      </c>
      <c r="DN281" s="637">
        <v>0</v>
      </c>
      <c r="DO281" s="637">
        <v>0</v>
      </c>
      <c r="DP281" s="636">
        <v>0</v>
      </c>
      <c r="DQ281" s="636">
        <v>0</v>
      </c>
      <c r="DR281" s="636">
        <v>0</v>
      </c>
      <c r="DS281" s="637">
        <v>0</v>
      </c>
      <c r="DT281" s="637">
        <v>0</v>
      </c>
      <c r="DU281" s="637">
        <v>0</v>
      </c>
      <c r="DV281" s="637">
        <v>0</v>
      </c>
      <c r="DW281" s="637">
        <v>0</v>
      </c>
      <c r="DX281" s="637">
        <v>0</v>
      </c>
      <c r="DY281" s="637">
        <v>0</v>
      </c>
      <c r="DZ281" s="637">
        <v>0</v>
      </c>
      <c r="EA281" s="637">
        <v>0</v>
      </c>
      <c r="EB281" s="637">
        <v>0</v>
      </c>
      <c r="EC281" s="637">
        <v>0</v>
      </c>
      <c r="ED281" s="637">
        <v>0</v>
      </c>
    </row>
    <row r="282" spans="1:134" ht="15" x14ac:dyDescent="0.25">
      <c r="A282" s="555">
        <v>120</v>
      </c>
      <c r="B282" s="555">
        <v>97</v>
      </c>
      <c r="C282" s="555" t="s">
        <v>1265</v>
      </c>
      <c r="D282" s="812">
        <v>99712</v>
      </c>
      <c r="E282" s="812">
        <v>99712</v>
      </c>
      <c r="F282" s="630" t="s">
        <v>989</v>
      </c>
      <c r="G282" s="45">
        <v>59</v>
      </c>
      <c r="H282" s="45">
        <v>23</v>
      </c>
      <c r="I282" s="45">
        <v>22</v>
      </c>
      <c r="J282" s="45">
        <v>1</v>
      </c>
      <c r="K282" s="45">
        <v>0</v>
      </c>
      <c r="L282" s="45">
        <v>40</v>
      </c>
      <c r="M282" s="45">
        <v>40</v>
      </c>
      <c r="N282" s="45">
        <v>0</v>
      </c>
      <c r="O282" s="45">
        <v>0</v>
      </c>
      <c r="P282" s="45">
        <v>0</v>
      </c>
      <c r="Q282" s="45">
        <v>40</v>
      </c>
      <c r="R282" s="45">
        <v>0</v>
      </c>
      <c r="S282" s="45">
        <v>2665.0250000000001</v>
      </c>
      <c r="T282" s="45">
        <v>2665.0250000000001</v>
      </c>
      <c r="U282" s="45">
        <v>0</v>
      </c>
      <c r="V282" s="45">
        <v>0</v>
      </c>
      <c r="W282" s="45">
        <v>0</v>
      </c>
      <c r="X282" s="45">
        <v>2665.0250000000001</v>
      </c>
      <c r="Y282" s="45">
        <v>0</v>
      </c>
      <c r="Z282" s="45">
        <v>23</v>
      </c>
      <c r="AA282" s="45">
        <v>0</v>
      </c>
      <c r="AB282" s="508">
        <v>0</v>
      </c>
      <c r="AC282" s="508">
        <v>0</v>
      </c>
      <c r="AD282" s="631">
        <v>23</v>
      </c>
      <c r="AE282" s="632">
        <v>0</v>
      </c>
      <c r="AF282" s="632">
        <v>22</v>
      </c>
      <c r="AG282" s="633">
        <v>22</v>
      </c>
      <c r="AH282" s="632">
        <v>0</v>
      </c>
      <c r="AI282" s="632">
        <v>0</v>
      </c>
      <c r="AJ282" s="632">
        <v>20.909627638351978</v>
      </c>
      <c r="AK282" s="632">
        <v>20.909627638351978</v>
      </c>
      <c r="AL282" s="632">
        <v>0</v>
      </c>
      <c r="AM282" s="632">
        <v>0</v>
      </c>
      <c r="AN282" s="632">
        <v>20.073990428534003</v>
      </c>
      <c r="AO282" s="632">
        <v>20.073990428534003</v>
      </c>
      <c r="AP282" s="632">
        <v>0</v>
      </c>
      <c r="AQ282" s="632">
        <v>0</v>
      </c>
      <c r="AR282" s="632">
        <v>0</v>
      </c>
      <c r="AS282" s="632">
        <v>19.009240346718826</v>
      </c>
      <c r="AT282" s="632">
        <v>19.936803588785931</v>
      </c>
      <c r="AU282" s="632">
        <v>20.909627638351978</v>
      </c>
      <c r="AV282" s="632">
        <v>21.929921014041422</v>
      </c>
      <c r="AW282" s="632">
        <v>23</v>
      </c>
      <c r="AX282" s="632">
        <v>18.316595078403399</v>
      </c>
      <c r="AY282" s="632">
        <v>19.175170254451533</v>
      </c>
      <c r="AZ282" s="632">
        <v>20.073990428534003</v>
      </c>
      <c r="BA282" s="632">
        <v>21.014942051496313</v>
      </c>
      <c r="BB282" s="632">
        <v>22</v>
      </c>
      <c r="BC282" s="632">
        <v>0</v>
      </c>
      <c r="BD282" s="632">
        <v>0</v>
      </c>
      <c r="BE282" s="632">
        <v>0</v>
      </c>
      <c r="BF282" s="632">
        <v>0</v>
      </c>
      <c r="BG282" s="632">
        <v>0</v>
      </c>
      <c r="BH282" s="634">
        <v>23.212954676656004</v>
      </c>
      <c r="BI282" s="634">
        <v>23.427881079151565</v>
      </c>
      <c r="BJ282" s="634">
        <v>23.644797463497046</v>
      </c>
      <c r="BK282" s="635">
        <v>23.78248157204596</v>
      </c>
      <c r="BL282" s="635">
        <v>23.920165680594874</v>
      </c>
      <c r="BM282" s="635">
        <v>24.057849789143795</v>
      </c>
      <c r="BN282" s="635">
        <v>24.195533897692709</v>
      </c>
      <c r="BO282" s="635">
        <v>24.358336325604611</v>
      </c>
      <c r="BP282" s="635">
        <v>24.52113875351651</v>
      </c>
      <c r="BQ282" s="635">
        <v>24.972473819904813</v>
      </c>
      <c r="BR282" s="635">
        <v>25.510208658910521</v>
      </c>
      <c r="BS282" s="635">
        <v>25.746317439783322</v>
      </c>
      <c r="BT282" s="635">
        <v>25.875978012892983</v>
      </c>
      <c r="BU282" s="635">
        <v>26.010253770290547</v>
      </c>
      <c r="BV282" s="635">
        <v>26.147760156689642</v>
      </c>
      <c r="BW282" s="634">
        <v>22.203695777670962</v>
      </c>
      <c r="BX282" s="634">
        <v>22.409277553971062</v>
      </c>
      <c r="BY282" s="634">
        <v>22.616762791171087</v>
      </c>
      <c r="BZ282" s="635">
        <v>22.748460634130918</v>
      </c>
      <c r="CA282" s="635">
        <v>22.880158477090749</v>
      </c>
      <c r="CB282" s="635">
        <v>23.011856320050587</v>
      </c>
      <c r="CC282" s="635">
        <v>23.143554163010418</v>
      </c>
      <c r="CD282" s="635">
        <v>23.299278224491367</v>
      </c>
      <c r="CE282" s="635">
        <v>23.455002285972313</v>
      </c>
      <c r="CF282" s="635">
        <v>23.886714088604602</v>
      </c>
      <c r="CG282" s="635">
        <v>24.401069152001369</v>
      </c>
      <c r="CH282" s="635">
        <v>24.626912333705786</v>
      </c>
      <c r="CI282" s="635">
        <v>24.750935490593289</v>
      </c>
      <c r="CJ282" s="635">
        <v>24.879373171582262</v>
      </c>
      <c r="CK282" s="635">
        <v>25.010901019442265</v>
      </c>
      <c r="CL282" s="634">
        <v>0</v>
      </c>
      <c r="CM282" s="634">
        <v>0</v>
      </c>
      <c r="CN282" s="634">
        <v>0</v>
      </c>
      <c r="CO282" s="635">
        <v>0</v>
      </c>
      <c r="CP282" s="635">
        <v>0</v>
      </c>
      <c r="CQ282" s="635">
        <v>0</v>
      </c>
      <c r="CR282" s="635">
        <v>0</v>
      </c>
      <c r="CS282" s="635">
        <v>0</v>
      </c>
      <c r="CT282" s="635">
        <v>0</v>
      </c>
      <c r="CU282" s="635">
        <v>0</v>
      </c>
      <c r="CV282" s="635">
        <v>0</v>
      </c>
      <c r="CW282" s="635">
        <v>0</v>
      </c>
      <c r="CX282" s="635">
        <v>0</v>
      </c>
      <c r="CY282" s="635">
        <v>0</v>
      </c>
      <c r="CZ282" s="635">
        <v>0</v>
      </c>
      <c r="DA282" s="636">
        <v>0</v>
      </c>
      <c r="DB282" s="636">
        <v>0</v>
      </c>
      <c r="DC282" s="636">
        <v>0</v>
      </c>
      <c r="DD282" s="637">
        <v>0</v>
      </c>
      <c r="DE282" s="637">
        <v>0</v>
      </c>
      <c r="DF282" s="637">
        <v>0</v>
      </c>
      <c r="DG282" s="637">
        <v>0</v>
      </c>
      <c r="DH282" s="637">
        <v>0</v>
      </c>
      <c r="DI282" s="637">
        <v>0</v>
      </c>
      <c r="DJ282" s="637">
        <v>0</v>
      </c>
      <c r="DK282" s="637">
        <v>0</v>
      </c>
      <c r="DL282" s="637">
        <v>0</v>
      </c>
      <c r="DM282" s="637">
        <v>0</v>
      </c>
      <c r="DN282" s="637">
        <v>0</v>
      </c>
      <c r="DO282" s="637">
        <v>0</v>
      </c>
      <c r="DP282" s="636">
        <v>0</v>
      </c>
      <c r="DQ282" s="636">
        <v>0</v>
      </c>
      <c r="DR282" s="636">
        <v>0</v>
      </c>
      <c r="DS282" s="637">
        <v>0</v>
      </c>
      <c r="DT282" s="637">
        <v>0</v>
      </c>
      <c r="DU282" s="637">
        <v>0</v>
      </c>
      <c r="DV282" s="637">
        <v>0</v>
      </c>
      <c r="DW282" s="637">
        <v>0</v>
      </c>
      <c r="DX282" s="637">
        <v>0</v>
      </c>
      <c r="DY282" s="637">
        <v>0</v>
      </c>
      <c r="DZ282" s="637">
        <v>0</v>
      </c>
      <c r="EA282" s="637">
        <v>0</v>
      </c>
      <c r="EB282" s="637">
        <v>0</v>
      </c>
      <c r="EC282" s="637">
        <v>0</v>
      </c>
      <c r="ED282" s="637">
        <v>0</v>
      </c>
    </row>
    <row r="283" spans="1:134" ht="15" x14ac:dyDescent="0.25">
      <c r="A283" s="555">
        <v>122</v>
      </c>
      <c r="B283" s="555">
        <v>97</v>
      </c>
      <c r="C283" s="555" t="s">
        <v>1266</v>
      </c>
      <c r="D283" s="812">
        <v>99712</v>
      </c>
      <c r="E283" s="812">
        <v>99712</v>
      </c>
      <c r="F283" s="630" t="s">
        <v>989</v>
      </c>
      <c r="G283" s="45">
        <v>100</v>
      </c>
      <c r="H283" s="45">
        <v>55</v>
      </c>
      <c r="I283" s="45">
        <v>48</v>
      </c>
      <c r="J283" s="45">
        <v>7</v>
      </c>
      <c r="K283" s="45">
        <v>0</v>
      </c>
      <c r="L283" s="45">
        <v>4</v>
      </c>
      <c r="M283" s="45">
        <v>4</v>
      </c>
      <c r="N283" s="45">
        <v>0</v>
      </c>
      <c r="O283" s="45">
        <v>0</v>
      </c>
      <c r="P283" s="45">
        <v>0</v>
      </c>
      <c r="Q283" s="45">
        <v>4</v>
      </c>
      <c r="R283" s="45">
        <v>0</v>
      </c>
      <c r="S283" s="45">
        <v>1750</v>
      </c>
      <c r="T283" s="45">
        <v>1750</v>
      </c>
      <c r="U283" s="45">
        <v>0</v>
      </c>
      <c r="V283" s="45">
        <v>0</v>
      </c>
      <c r="W283" s="45">
        <v>0</v>
      </c>
      <c r="X283" s="45">
        <v>1750</v>
      </c>
      <c r="Y283" s="45">
        <v>0</v>
      </c>
      <c r="Z283" s="45">
        <v>55</v>
      </c>
      <c r="AA283" s="45">
        <v>0</v>
      </c>
      <c r="AB283" s="508">
        <v>0</v>
      </c>
      <c r="AC283" s="508">
        <v>0</v>
      </c>
      <c r="AD283" s="631">
        <v>55</v>
      </c>
      <c r="AE283" s="632">
        <v>0</v>
      </c>
      <c r="AF283" s="632">
        <v>48</v>
      </c>
      <c r="AG283" s="633">
        <v>48</v>
      </c>
      <c r="AH283" s="632">
        <v>0</v>
      </c>
      <c r="AI283" s="632">
        <v>0</v>
      </c>
      <c r="AJ283" s="632">
        <v>50.001283483015605</v>
      </c>
      <c r="AK283" s="632">
        <v>50.001283483015605</v>
      </c>
      <c r="AL283" s="632">
        <v>0</v>
      </c>
      <c r="AM283" s="632">
        <v>0</v>
      </c>
      <c r="AN283" s="632">
        <v>43.797797298619642</v>
      </c>
      <c r="AO283" s="632">
        <v>43.797797298619642</v>
      </c>
      <c r="AP283" s="632">
        <v>0</v>
      </c>
      <c r="AQ283" s="632">
        <v>0</v>
      </c>
      <c r="AR283" s="632">
        <v>0</v>
      </c>
      <c r="AS283" s="632">
        <v>45.4568790899798</v>
      </c>
      <c r="AT283" s="632">
        <v>47.674965103618533</v>
      </c>
      <c r="AU283" s="632">
        <v>50.001283483015605</v>
      </c>
      <c r="AV283" s="632">
        <v>52.441115468359925</v>
      </c>
      <c r="AW283" s="632">
        <v>55</v>
      </c>
      <c r="AX283" s="632">
        <v>39.96348017106196</v>
      </c>
      <c r="AY283" s="632">
        <v>41.836735100621524</v>
      </c>
      <c r="AZ283" s="632">
        <v>43.797797298619642</v>
      </c>
      <c r="BA283" s="632">
        <v>45.850782657810136</v>
      </c>
      <c r="BB283" s="632">
        <v>48</v>
      </c>
      <c r="BC283" s="632">
        <v>0</v>
      </c>
      <c r="BD283" s="632">
        <v>0</v>
      </c>
      <c r="BE283" s="632">
        <v>0</v>
      </c>
      <c r="BF283" s="632">
        <v>0</v>
      </c>
      <c r="BG283" s="632">
        <v>0</v>
      </c>
      <c r="BH283" s="634">
        <v>55.696177585612965</v>
      </c>
      <c r="BI283" s="634">
        <v>56.401167229966099</v>
      </c>
      <c r="BJ283" s="634">
        <v>57.115080474109931</v>
      </c>
      <c r="BK283" s="635">
        <v>56.739573878958986</v>
      </c>
      <c r="BL283" s="635">
        <v>56.366536074919452</v>
      </c>
      <c r="BM283" s="635">
        <v>56.771183855948429</v>
      </c>
      <c r="BN283" s="635">
        <v>57.178736548971173</v>
      </c>
      <c r="BO283" s="635">
        <v>57.589215007960192</v>
      </c>
      <c r="BP283" s="635">
        <v>58.002640236595809</v>
      </c>
      <c r="BQ283" s="635">
        <v>58.419033389340981</v>
      </c>
      <c r="BR283" s="635">
        <v>58.746975936911618</v>
      </c>
      <c r="BS283" s="635">
        <v>59.076759430972942</v>
      </c>
      <c r="BT283" s="635">
        <v>59.408394205908237</v>
      </c>
      <c r="BU283" s="635">
        <v>59.741890654114144</v>
      </c>
      <c r="BV283" s="635">
        <v>60.077259226326284</v>
      </c>
      <c r="BW283" s="634">
        <v>48.607573165625858</v>
      </c>
      <c r="BX283" s="634">
        <v>49.222836855243145</v>
      </c>
      <c r="BY283" s="634">
        <v>49.84588841376867</v>
      </c>
      <c r="BZ283" s="635">
        <v>49.518173567091488</v>
      </c>
      <c r="CA283" s="635">
        <v>49.19261330174789</v>
      </c>
      <c r="CB283" s="635">
        <v>49.545760456100446</v>
      </c>
      <c r="CC283" s="635">
        <v>49.901442806374845</v>
      </c>
      <c r="CD283" s="635">
        <v>50.259678552401624</v>
      </c>
      <c r="CE283" s="635">
        <v>50.620486024665439</v>
      </c>
      <c r="CF283" s="635">
        <v>50.983883685243036</v>
      </c>
      <c r="CG283" s="635">
        <v>51.270088090395596</v>
      </c>
      <c r="CH283" s="635">
        <v>51.557899139758206</v>
      </c>
      <c r="CI283" s="635">
        <v>51.847325852429009</v>
      </c>
      <c r="CJ283" s="635">
        <v>52.138377298135978</v>
      </c>
      <c r="CK283" s="635">
        <v>52.43106259752112</v>
      </c>
      <c r="CL283" s="634">
        <v>0</v>
      </c>
      <c r="CM283" s="634">
        <v>0</v>
      </c>
      <c r="CN283" s="634">
        <v>0</v>
      </c>
      <c r="CO283" s="635">
        <v>0</v>
      </c>
      <c r="CP283" s="635">
        <v>0</v>
      </c>
      <c r="CQ283" s="635">
        <v>0</v>
      </c>
      <c r="CR283" s="635">
        <v>0</v>
      </c>
      <c r="CS283" s="635">
        <v>0</v>
      </c>
      <c r="CT283" s="635">
        <v>0</v>
      </c>
      <c r="CU283" s="635">
        <v>0</v>
      </c>
      <c r="CV283" s="635">
        <v>0</v>
      </c>
      <c r="CW283" s="635">
        <v>0</v>
      </c>
      <c r="CX283" s="635">
        <v>0</v>
      </c>
      <c r="CY283" s="635">
        <v>0</v>
      </c>
      <c r="CZ283" s="635">
        <v>0</v>
      </c>
      <c r="DA283" s="636">
        <v>0</v>
      </c>
      <c r="DB283" s="636">
        <v>0</v>
      </c>
      <c r="DC283" s="636">
        <v>0</v>
      </c>
      <c r="DD283" s="637">
        <v>0</v>
      </c>
      <c r="DE283" s="637">
        <v>0</v>
      </c>
      <c r="DF283" s="637">
        <v>0</v>
      </c>
      <c r="DG283" s="637">
        <v>0</v>
      </c>
      <c r="DH283" s="637">
        <v>0</v>
      </c>
      <c r="DI283" s="637">
        <v>0</v>
      </c>
      <c r="DJ283" s="637">
        <v>0</v>
      </c>
      <c r="DK283" s="637">
        <v>0</v>
      </c>
      <c r="DL283" s="637">
        <v>0</v>
      </c>
      <c r="DM283" s="637">
        <v>0</v>
      </c>
      <c r="DN283" s="637">
        <v>0</v>
      </c>
      <c r="DO283" s="637">
        <v>0</v>
      </c>
      <c r="DP283" s="636">
        <v>0</v>
      </c>
      <c r="DQ283" s="636">
        <v>0</v>
      </c>
      <c r="DR283" s="636">
        <v>0</v>
      </c>
      <c r="DS283" s="637">
        <v>0</v>
      </c>
      <c r="DT283" s="637">
        <v>0</v>
      </c>
      <c r="DU283" s="637">
        <v>0</v>
      </c>
      <c r="DV283" s="637">
        <v>0</v>
      </c>
      <c r="DW283" s="637">
        <v>0</v>
      </c>
      <c r="DX283" s="637">
        <v>0</v>
      </c>
      <c r="DY283" s="637">
        <v>0</v>
      </c>
      <c r="DZ283" s="637">
        <v>0</v>
      </c>
      <c r="EA283" s="637">
        <v>0</v>
      </c>
      <c r="EB283" s="637">
        <v>0</v>
      </c>
      <c r="EC283" s="637">
        <v>0</v>
      </c>
      <c r="ED283" s="637">
        <v>0</v>
      </c>
    </row>
    <row r="284" spans="1:134" ht="15" x14ac:dyDescent="0.25">
      <c r="A284" s="555">
        <v>125</v>
      </c>
      <c r="B284" s="555">
        <v>97</v>
      </c>
      <c r="C284" s="555" t="s">
        <v>1267</v>
      </c>
      <c r="D284" s="812">
        <v>99712</v>
      </c>
      <c r="E284" s="812">
        <v>99712</v>
      </c>
      <c r="F284" s="630" t="s">
        <v>989</v>
      </c>
      <c r="G284" s="45">
        <v>31</v>
      </c>
      <c r="H284" s="45">
        <v>17</v>
      </c>
      <c r="I284" s="45">
        <v>15</v>
      </c>
      <c r="J284" s="45">
        <v>2</v>
      </c>
      <c r="K284" s="45">
        <v>0</v>
      </c>
      <c r="L284" s="45">
        <v>0</v>
      </c>
      <c r="M284" s="45">
        <v>0</v>
      </c>
      <c r="N284" s="45">
        <v>0</v>
      </c>
      <c r="O284" s="45">
        <v>0</v>
      </c>
      <c r="P284" s="45">
        <v>0</v>
      </c>
      <c r="Q284" s="45">
        <v>0</v>
      </c>
      <c r="R284" s="45">
        <v>0</v>
      </c>
      <c r="S284" s="45">
        <v>834.49503068156923</v>
      </c>
      <c r="T284" s="45">
        <v>834.49503068156923</v>
      </c>
      <c r="U284" s="45">
        <v>1408.3846153846155</v>
      </c>
      <c r="V284" s="45">
        <v>0</v>
      </c>
      <c r="W284" s="45">
        <v>0</v>
      </c>
      <c r="X284" s="45">
        <v>1365.173957061457</v>
      </c>
      <c r="Y284" s="45">
        <v>0.38950970200970203</v>
      </c>
      <c r="Z284" s="45">
        <v>16.588400900900901</v>
      </c>
      <c r="AA284" s="45">
        <v>2.2089397089397091E-2</v>
      </c>
      <c r="AB284" s="508">
        <v>0</v>
      </c>
      <c r="AC284" s="508">
        <v>0</v>
      </c>
      <c r="AD284" s="631">
        <v>16.999999999999996</v>
      </c>
      <c r="AE284" s="632">
        <v>0.34368503118503119</v>
      </c>
      <c r="AF284" s="632">
        <v>14.636824324324325</v>
      </c>
      <c r="AG284" s="633">
        <v>14.980509355509355</v>
      </c>
      <c r="AH284" s="632">
        <v>1.9490644490644492E-2</v>
      </c>
      <c r="AI284" s="632">
        <v>0.35410881871949168</v>
      </c>
      <c r="AJ284" s="632">
        <v>15.080751563197406</v>
      </c>
      <c r="AK284" s="632">
        <v>15.434860381916899</v>
      </c>
      <c r="AL284" s="632">
        <v>2.0081785560651703E-2</v>
      </c>
      <c r="AM284" s="632">
        <v>0.31359681938357847</v>
      </c>
      <c r="AN284" s="632">
        <v>13.355430517755462</v>
      </c>
      <c r="AO284" s="632">
        <v>13.66902733713904</v>
      </c>
      <c r="AP284" s="632">
        <v>1.7784318679598024E-2</v>
      </c>
      <c r="AQ284" s="632">
        <v>0</v>
      </c>
      <c r="AR284" s="632">
        <v>0</v>
      </c>
      <c r="AS284" s="632">
        <v>14.03205144503624</v>
      </c>
      <c r="AT284" s="632">
        <v>14.7167508277476</v>
      </c>
      <c r="AU284" s="632">
        <v>15.434860381916897</v>
      </c>
      <c r="AV284" s="632">
        <v>16.188010369795037</v>
      </c>
      <c r="AW284" s="632">
        <v>16.977910602910601</v>
      </c>
      <c r="AX284" s="632">
        <v>12.472360178777215</v>
      </c>
      <c r="AY284" s="632">
        <v>13.056991699558903</v>
      </c>
      <c r="AZ284" s="632">
        <v>13.66902733713904</v>
      </c>
      <c r="BA284" s="632">
        <v>14.309751636723977</v>
      </c>
      <c r="BB284" s="632">
        <v>14.980509355509355</v>
      </c>
      <c r="BC284" s="632">
        <v>0</v>
      </c>
      <c r="BD284" s="632">
        <v>0</v>
      </c>
      <c r="BE284" s="632">
        <v>0</v>
      </c>
      <c r="BF284" s="632">
        <v>0</v>
      </c>
      <c r="BG284" s="632">
        <v>0</v>
      </c>
      <c r="BH284" s="634">
        <v>17.192813163134002</v>
      </c>
      <c r="BI284" s="634">
        <v>17.410435911457736</v>
      </c>
      <c r="BJ284" s="634">
        <v>17.630813279408788</v>
      </c>
      <c r="BK284" s="635">
        <v>17.514898417531043</v>
      </c>
      <c r="BL284" s="635">
        <v>17.399745645013052</v>
      </c>
      <c r="BM284" s="635">
        <v>17.524656078685346</v>
      </c>
      <c r="BN284" s="635">
        <v>17.650463227560177</v>
      </c>
      <c r="BO284" s="635">
        <v>17.777173529035377</v>
      </c>
      <c r="BP284" s="635">
        <v>17.904793466721983</v>
      </c>
      <c r="BQ284" s="635">
        <v>18.033329570776012</v>
      </c>
      <c r="BR284" s="635">
        <v>18.13456192087683</v>
      </c>
      <c r="BS284" s="635">
        <v>18.236362551431171</v>
      </c>
      <c r="BT284" s="635">
        <v>18.338734652552404</v>
      </c>
      <c r="BU284" s="635">
        <v>18.441681432262005</v>
      </c>
      <c r="BV284" s="635">
        <v>18.545206116590069</v>
      </c>
      <c r="BW284" s="634">
        <v>15.170129261588826</v>
      </c>
      <c r="BX284" s="634">
        <v>15.362149333639179</v>
      </c>
      <c r="BY284" s="634">
        <v>15.55659995241952</v>
      </c>
      <c r="BZ284" s="635">
        <v>15.454322133115626</v>
      </c>
      <c r="CA284" s="635">
        <v>15.352716745599754</v>
      </c>
      <c r="CB284" s="635">
        <v>15.46293183413413</v>
      </c>
      <c r="CC284" s="635">
        <v>15.573938141964863</v>
      </c>
      <c r="CD284" s="635">
        <v>15.685741349148863</v>
      </c>
      <c r="CE284" s="635">
        <v>15.798347176519398</v>
      </c>
      <c r="CF284" s="635">
        <v>15.911761385978837</v>
      </c>
      <c r="CG284" s="635">
        <v>16.001084047832499</v>
      </c>
      <c r="CH284" s="635">
        <v>16.090908133615741</v>
      </c>
      <c r="CI284" s="635">
        <v>16.181236458134475</v>
      </c>
      <c r="CJ284" s="635">
        <v>16.272071851995889</v>
      </c>
      <c r="CK284" s="635">
        <v>16.363417161697122</v>
      </c>
      <c r="CL284" s="634">
        <v>0</v>
      </c>
      <c r="CM284" s="634">
        <v>0</v>
      </c>
      <c r="CN284" s="634">
        <v>0</v>
      </c>
      <c r="CO284" s="635">
        <v>0</v>
      </c>
      <c r="CP284" s="635">
        <v>0</v>
      </c>
      <c r="CQ284" s="635">
        <v>0</v>
      </c>
      <c r="CR284" s="635">
        <v>0</v>
      </c>
      <c r="CS284" s="635">
        <v>0</v>
      </c>
      <c r="CT284" s="635">
        <v>0</v>
      </c>
      <c r="CU284" s="635">
        <v>0</v>
      </c>
      <c r="CV284" s="635">
        <v>0</v>
      </c>
      <c r="CW284" s="635">
        <v>0</v>
      </c>
      <c r="CX284" s="635">
        <v>0</v>
      </c>
      <c r="CY284" s="635">
        <v>0</v>
      </c>
      <c r="CZ284" s="635">
        <v>0</v>
      </c>
      <c r="DA284" s="636">
        <v>2.23689996918215E-2</v>
      </c>
      <c r="DB284" s="636">
        <v>2.2652141440876575E-2</v>
      </c>
      <c r="DC284" s="636">
        <v>2.2938867134281539E-2</v>
      </c>
      <c r="DD284" s="637">
        <v>2.2788054147191057E-2</v>
      </c>
      <c r="DE284" s="637">
        <v>2.2638232689322219E-2</v>
      </c>
      <c r="DF284" s="637">
        <v>2.2800749516894807E-2</v>
      </c>
      <c r="DG284" s="637">
        <v>2.2964433030913584E-2</v>
      </c>
      <c r="DH284" s="637">
        <v>2.3129291606863622E-2</v>
      </c>
      <c r="DI284" s="637">
        <v>2.3295333680356477E-2</v>
      </c>
      <c r="DJ284" s="637">
        <v>2.3462567747561822E-2</v>
      </c>
      <c r="DK284" s="637">
        <v>2.3594277804939938E-2</v>
      </c>
      <c r="DL284" s="637">
        <v>2.3726727233191743E-2</v>
      </c>
      <c r="DM284" s="637">
        <v>2.3859920182868082E-2</v>
      </c>
      <c r="DN284" s="637">
        <v>2.3993860827819423E-2</v>
      </c>
      <c r="DO284" s="637">
        <v>2.4128553365326662E-2</v>
      </c>
      <c r="DP284" s="636">
        <v>0</v>
      </c>
      <c r="DQ284" s="636">
        <v>0</v>
      </c>
      <c r="DR284" s="636">
        <v>0</v>
      </c>
      <c r="DS284" s="637">
        <v>0</v>
      </c>
      <c r="DT284" s="637">
        <v>0</v>
      </c>
      <c r="DU284" s="637">
        <v>0</v>
      </c>
      <c r="DV284" s="637">
        <v>0</v>
      </c>
      <c r="DW284" s="637">
        <v>0</v>
      </c>
      <c r="DX284" s="637">
        <v>0</v>
      </c>
      <c r="DY284" s="637">
        <v>0</v>
      </c>
      <c r="DZ284" s="637">
        <v>0</v>
      </c>
      <c r="EA284" s="637">
        <v>0</v>
      </c>
      <c r="EB284" s="637">
        <v>0</v>
      </c>
      <c r="EC284" s="637">
        <v>0</v>
      </c>
      <c r="ED284" s="637">
        <v>0</v>
      </c>
    </row>
    <row r="285" spans="1:134" ht="15" x14ac:dyDescent="0.25">
      <c r="A285" s="555">
        <v>129</v>
      </c>
      <c r="B285" s="555">
        <v>97</v>
      </c>
      <c r="C285" s="555" t="s">
        <v>1268</v>
      </c>
      <c r="D285" s="812">
        <v>99712</v>
      </c>
      <c r="E285" s="812">
        <v>99712</v>
      </c>
      <c r="F285" s="630" t="s">
        <v>989</v>
      </c>
      <c r="G285" s="45">
        <v>14</v>
      </c>
      <c r="H285" s="45">
        <v>6</v>
      </c>
      <c r="I285" s="45">
        <v>6</v>
      </c>
      <c r="J285" s="45">
        <v>0</v>
      </c>
      <c r="K285" s="45">
        <v>0</v>
      </c>
      <c r="L285" s="45">
        <v>60</v>
      </c>
      <c r="M285" s="45">
        <v>60</v>
      </c>
      <c r="N285" s="45">
        <v>0</v>
      </c>
      <c r="O285" s="45">
        <v>0</v>
      </c>
      <c r="P285" s="45">
        <v>0</v>
      </c>
      <c r="Q285" s="45">
        <v>60</v>
      </c>
      <c r="R285" s="45">
        <v>0</v>
      </c>
      <c r="S285" s="45">
        <v>1559.2</v>
      </c>
      <c r="T285" s="45">
        <v>1559.2</v>
      </c>
      <c r="U285" s="45">
        <v>0</v>
      </c>
      <c r="V285" s="45">
        <v>0</v>
      </c>
      <c r="W285" s="45">
        <v>0</v>
      </c>
      <c r="X285" s="45">
        <v>1559.2</v>
      </c>
      <c r="Y285" s="45">
        <v>0</v>
      </c>
      <c r="Z285" s="45">
        <v>6</v>
      </c>
      <c r="AA285" s="45">
        <v>0</v>
      </c>
      <c r="AB285" s="508">
        <v>0</v>
      </c>
      <c r="AC285" s="508">
        <v>0</v>
      </c>
      <c r="AD285" s="631">
        <v>6</v>
      </c>
      <c r="AE285" s="632">
        <v>0</v>
      </c>
      <c r="AF285" s="632">
        <v>6</v>
      </c>
      <c r="AG285" s="633">
        <v>6</v>
      </c>
      <c r="AH285" s="632">
        <v>0</v>
      </c>
      <c r="AI285" s="632">
        <v>0</v>
      </c>
      <c r="AJ285" s="632">
        <v>5.4546854708744297</v>
      </c>
      <c r="AK285" s="632">
        <v>5.4546854708744297</v>
      </c>
      <c r="AL285" s="632">
        <v>0</v>
      </c>
      <c r="AM285" s="632">
        <v>0</v>
      </c>
      <c r="AN285" s="632">
        <v>5.4747246623274552</v>
      </c>
      <c r="AO285" s="632">
        <v>5.4747246623274552</v>
      </c>
      <c r="AP285" s="632">
        <v>0</v>
      </c>
      <c r="AQ285" s="632">
        <v>0</v>
      </c>
      <c r="AR285" s="632">
        <v>0</v>
      </c>
      <c r="AS285" s="632">
        <v>4.9589322643614322</v>
      </c>
      <c r="AT285" s="632">
        <v>5.2009052840311121</v>
      </c>
      <c r="AU285" s="632">
        <v>5.4546854708744297</v>
      </c>
      <c r="AV285" s="632">
        <v>5.7208489601847186</v>
      </c>
      <c r="AW285" s="632">
        <v>6</v>
      </c>
      <c r="AX285" s="632">
        <v>4.995435021382745</v>
      </c>
      <c r="AY285" s="632">
        <v>5.2295918875776906</v>
      </c>
      <c r="AZ285" s="632">
        <v>5.4747246623274552</v>
      </c>
      <c r="BA285" s="632">
        <v>5.731347832226267</v>
      </c>
      <c r="BB285" s="632">
        <v>6</v>
      </c>
      <c r="BC285" s="632">
        <v>0</v>
      </c>
      <c r="BD285" s="632">
        <v>0</v>
      </c>
      <c r="BE285" s="632">
        <v>0</v>
      </c>
      <c r="BF285" s="632">
        <v>0</v>
      </c>
      <c r="BG285" s="632">
        <v>0</v>
      </c>
      <c r="BH285" s="634">
        <v>6.0759466457032323</v>
      </c>
      <c r="BI285" s="634">
        <v>6.1528546069053931</v>
      </c>
      <c r="BJ285" s="634">
        <v>6.2307360517210837</v>
      </c>
      <c r="BK285" s="635">
        <v>6.1897716958864359</v>
      </c>
      <c r="BL285" s="635">
        <v>6.1490766627184863</v>
      </c>
      <c r="BM285" s="635">
        <v>6.1932200570125557</v>
      </c>
      <c r="BN285" s="635">
        <v>6.2376803507968557</v>
      </c>
      <c r="BO285" s="635">
        <v>6.282459819050203</v>
      </c>
      <c r="BP285" s="635">
        <v>6.3275607530831799</v>
      </c>
      <c r="BQ285" s="635">
        <v>6.3729854606553795</v>
      </c>
      <c r="BR285" s="635">
        <v>6.4087610112994495</v>
      </c>
      <c r="BS285" s="635">
        <v>6.4447373924697757</v>
      </c>
      <c r="BT285" s="635">
        <v>6.4809157315536261</v>
      </c>
      <c r="BU285" s="635">
        <v>6.5172971622669973</v>
      </c>
      <c r="BV285" s="635">
        <v>6.5538828246901399</v>
      </c>
      <c r="BW285" s="634">
        <v>6.0759466457032323</v>
      </c>
      <c r="BX285" s="634">
        <v>6.1528546069053931</v>
      </c>
      <c r="BY285" s="634">
        <v>6.2307360517210837</v>
      </c>
      <c r="BZ285" s="635">
        <v>6.1897716958864359</v>
      </c>
      <c r="CA285" s="635">
        <v>6.1490766627184863</v>
      </c>
      <c r="CB285" s="635">
        <v>6.1932200570125557</v>
      </c>
      <c r="CC285" s="635">
        <v>6.2376803507968557</v>
      </c>
      <c r="CD285" s="635">
        <v>6.282459819050203</v>
      </c>
      <c r="CE285" s="635">
        <v>6.3275607530831799</v>
      </c>
      <c r="CF285" s="635">
        <v>6.3729854606553795</v>
      </c>
      <c r="CG285" s="635">
        <v>6.4087610112994495</v>
      </c>
      <c r="CH285" s="635">
        <v>6.4447373924697757</v>
      </c>
      <c r="CI285" s="635">
        <v>6.4809157315536261</v>
      </c>
      <c r="CJ285" s="635">
        <v>6.5172971622669973</v>
      </c>
      <c r="CK285" s="635">
        <v>6.5538828246901399</v>
      </c>
      <c r="CL285" s="634">
        <v>0</v>
      </c>
      <c r="CM285" s="634">
        <v>0</v>
      </c>
      <c r="CN285" s="634">
        <v>0</v>
      </c>
      <c r="CO285" s="635">
        <v>0</v>
      </c>
      <c r="CP285" s="635">
        <v>0</v>
      </c>
      <c r="CQ285" s="635">
        <v>0</v>
      </c>
      <c r="CR285" s="635">
        <v>0</v>
      </c>
      <c r="CS285" s="635">
        <v>0</v>
      </c>
      <c r="CT285" s="635">
        <v>0</v>
      </c>
      <c r="CU285" s="635">
        <v>0</v>
      </c>
      <c r="CV285" s="635">
        <v>0</v>
      </c>
      <c r="CW285" s="635">
        <v>0</v>
      </c>
      <c r="CX285" s="635">
        <v>0</v>
      </c>
      <c r="CY285" s="635">
        <v>0</v>
      </c>
      <c r="CZ285" s="635">
        <v>0</v>
      </c>
      <c r="DA285" s="636">
        <v>0</v>
      </c>
      <c r="DB285" s="636">
        <v>0</v>
      </c>
      <c r="DC285" s="636">
        <v>0</v>
      </c>
      <c r="DD285" s="637">
        <v>0</v>
      </c>
      <c r="DE285" s="637">
        <v>0</v>
      </c>
      <c r="DF285" s="637">
        <v>0</v>
      </c>
      <c r="DG285" s="637">
        <v>0</v>
      </c>
      <c r="DH285" s="637">
        <v>0</v>
      </c>
      <c r="DI285" s="637">
        <v>0</v>
      </c>
      <c r="DJ285" s="637">
        <v>0</v>
      </c>
      <c r="DK285" s="637">
        <v>0</v>
      </c>
      <c r="DL285" s="637">
        <v>0</v>
      </c>
      <c r="DM285" s="637">
        <v>0</v>
      </c>
      <c r="DN285" s="637">
        <v>0</v>
      </c>
      <c r="DO285" s="637">
        <v>0</v>
      </c>
      <c r="DP285" s="636">
        <v>0</v>
      </c>
      <c r="DQ285" s="636">
        <v>0</v>
      </c>
      <c r="DR285" s="636">
        <v>0</v>
      </c>
      <c r="DS285" s="637">
        <v>0</v>
      </c>
      <c r="DT285" s="637">
        <v>0</v>
      </c>
      <c r="DU285" s="637">
        <v>0</v>
      </c>
      <c r="DV285" s="637">
        <v>0</v>
      </c>
      <c r="DW285" s="637">
        <v>0</v>
      </c>
      <c r="DX285" s="637">
        <v>0</v>
      </c>
      <c r="DY285" s="637">
        <v>0</v>
      </c>
      <c r="DZ285" s="637">
        <v>0</v>
      </c>
      <c r="EA285" s="637">
        <v>0</v>
      </c>
      <c r="EB285" s="637">
        <v>0</v>
      </c>
      <c r="EC285" s="637">
        <v>0</v>
      </c>
      <c r="ED285" s="637">
        <v>0</v>
      </c>
    </row>
    <row r="286" spans="1:134" ht="15" x14ac:dyDescent="0.25">
      <c r="A286" s="555">
        <v>132</v>
      </c>
      <c r="B286" s="555">
        <v>97</v>
      </c>
      <c r="C286" s="555" t="s">
        <v>1269</v>
      </c>
      <c r="D286" s="812">
        <v>99712</v>
      </c>
      <c r="E286" s="812">
        <v>99712</v>
      </c>
      <c r="F286" s="630" t="s">
        <v>989</v>
      </c>
      <c r="G286" s="45">
        <v>79</v>
      </c>
      <c r="H286" s="45">
        <v>43</v>
      </c>
      <c r="I286" s="45">
        <v>34</v>
      </c>
      <c r="J286" s="45">
        <v>9</v>
      </c>
      <c r="K286" s="45">
        <v>0</v>
      </c>
      <c r="L286" s="45">
        <v>34</v>
      </c>
      <c r="M286" s="45">
        <v>34</v>
      </c>
      <c r="N286" s="45">
        <v>0</v>
      </c>
      <c r="O286" s="45">
        <v>0</v>
      </c>
      <c r="P286" s="45">
        <v>0</v>
      </c>
      <c r="Q286" s="45">
        <v>34</v>
      </c>
      <c r="R286" s="45">
        <v>0</v>
      </c>
      <c r="S286" s="45">
        <v>1787.6764705882354</v>
      </c>
      <c r="T286" s="45">
        <v>1787.6764705882354</v>
      </c>
      <c r="U286" s="45">
        <v>0</v>
      </c>
      <c r="V286" s="45">
        <v>0</v>
      </c>
      <c r="W286" s="45">
        <v>0</v>
      </c>
      <c r="X286" s="45">
        <v>1787.6764705882354</v>
      </c>
      <c r="Y286" s="45">
        <v>0</v>
      </c>
      <c r="Z286" s="45">
        <v>43</v>
      </c>
      <c r="AA286" s="45">
        <v>0</v>
      </c>
      <c r="AB286" s="508">
        <v>0</v>
      </c>
      <c r="AC286" s="508">
        <v>0</v>
      </c>
      <c r="AD286" s="631">
        <v>43</v>
      </c>
      <c r="AE286" s="632">
        <v>0</v>
      </c>
      <c r="AF286" s="632">
        <v>34</v>
      </c>
      <c r="AG286" s="633">
        <v>34</v>
      </c>
      <c r="AH286" s="632">
        <v>0</v>
      </c>
      <c r="AI286" s="632">
        <v>0</v>
      </c>
      <c r="AJ286" s="632">
        <v>39.091912541266744</v>
      </c>
      <c r="AK286" s="632">
        <v>39.091912541266744</v>
      </c>
      <c r="AL286" s="632">
        <v>0</v>
      </c>
      <c r="AM286" s="632">
        <v>0</v>
      </c>
      <c r="AN286" s="632">
        <v>31.023439753188914</v>
      </c>
      <c r="AO286" s="632">
        <v>31.023439753188914</v>
      </c>
      <c r="AP286" s="632">
        <v>0</v>
      </c>
      <c r="AQ286" s="632">
        <v>0</v>
      </c>
      <c r="AR286" s="632">
        <v>0</v>
      </c>
      <c r="AS286" s="632">
        <v>35.539014561256934</v>
      </c>
      <c r="AT286" s="632">
        <v>37.273154535556309</v>
      </c>
      <c r="AU286" s="632">
        <v>39.091912541266744</v>
      </c>
      <c r="AV286" s="632">
        <v>40.999417547990483</v>
      </c>
      <c r="AW286" s="632">
        <v>43</v>
      </c>
      <c r="AX286" s="632">
        <v>28.307465121168889</v>
      </c>
      <c r="AY286" s="632">
        <v>29.634354029606914</v>
      </c>
      <c r="AZ286" s="632">
        <v>31.023439753188914</v>
      </c>
      <c r="BA286" s="632">
        <v>32.477637715948852</v>
      </c>
      <c r="BB286" s="632">
        <v>34</v>
      </c>
      <c r="BC286" s="632">
        <v>0</v>
      </c>
      <c r="BD286" s="632">
        <v>0</v>
      </c>
      <c r="BE286" s="632">
        <v>0</v>
      </c>
      <c r="BF286" s="632">
        <v>0</v>
      </c>
      <c r="BG286" s="632">
        <v>0</v>
      </c>
      <c r="BH286" s="634">
        <v>43.544284294206498</v>
      </c>
      <c r="BI286" s="634">
        <v>44.095458016155312</v>
      </c>
      <c r="BJ286" s="634">
        <v>44.653608370667769</v>
      </c>
      <c r="BK286" s="635">
        <v>44.360030487186123</v>
      </c>
      <c r="BL286" s="635">
        <v>44.068382749482488</v>
      </c>
      <c r="BM286" s="635">
        <v>44.384743741923323</v>
      </c>
      <c r="BN286" s="635">
        <v>44.703375847377465</v>
      </c>
      <c r="BO286" s="635">
        <v>45.024295369859786</v>
      </c>
      <c r="BP286" s="635">
        <v>45.347518730429456</v>
      </c>
      <c r="BQ286" s="635">
        <v>45.673062468030224</v>
      </c>
      <c r="BR286" s="635">
        <v>45.929453914312724</v>
      </c>
      <c r="BS286" s="635">
        <v>46.187284646033397</v>
      </c>
      <c r="BT286" s="635">
        <v>46.446562742800992</v>
      </c>
      <c r="BU286" s="635">
        <v>46.707296329580153</v>
      </c>
      <c r="BV286" s="635">
        <v>46.969493576946007</v>
      </c>
      <c r="BW286" s="634">
        <v>34.430364325651652</v>
      </c>
      <c r="BX286" s="634">
        <v>34.866176105797223</v>
      </c>
      <c r="BY286" s="634">
        <v>35.30750429308614</v>
      </c>
      <c r="BZ286" s="635">
        <v>35.07537294335647</v>
      </c>
      <c r="CA286" s="635">
        <v>34.844767755404753</v>
      </c>
      <c r="CB286" s="635">
        <v>35.094913656404479</v>
      </c>
      <c r="CC286" s="635">
        <v>35.346855321182183</v>
      </c>
      <c r="CD286" s="635">
        <v>35.600605641284481</v>
      </c>
      <c r="CE286" s="635">
        <v>35.856177600804685</v>
      </c>
      <c r="CF286" s="635">
        <v>36.113584277047153</v>
      </c>
      <c r="CG286" s="635">
        <v>36.316312397363546</v>
      </c>
      <c r="CH286" s="635">
        <v>36.520178557328727</v>
      </c>
      <c r="CI286" s="635">
        <v>36.725189145470551</v>
      </c>
      <c r="CJ286" s="635">
        <v>36.931350586179654</v>
      </c>
      <c r="CK286" s="635">
        <v>37.138669339910791</v>
      </c>
      <c r="CL286" s="634">
        <v>0</v>
      </c>
      <c r="CM286" s="634">
        <v>0</v>
      </c>
      <c r="CN286" s="634">
        <v>0</v>
      </c>
      <c r="CO286" s="635">
        <v>0</v>
      </c>
      <c r="CP286" s="635">
        <v>0</v>
      </c>
      <c r="CQ286" s="635">
        <v>0</v>
      </c>
      <c r="CR286" s="635">
        <v>0</v>
      </c>
      <c r="CS286" s="635">
        <v>0</v>
      </c>
      <c r="CT286" s="635">
        <v>0</v>
      </c>
      <c r="CU286" s="635">
        <v>0</v>
      </c>
      <c r="CV286" s="635">
        <v>0</v>
      </c>
      <c r="CW286" s="635">
        <v>0</v>
      </c>
      <c r="CX286" s="635">
        <v>0</v>
      </c>
      <c r="CY286" s="635">
        <v>0</v>
      </c>
      <c r="CZ286" s="635">
        <v>0</v>
      </c>
      <c r="DA286" s="636">
        <v>0</v>
      </c>
      <c r="DB286" s="636">
        <v>0</v>
      </c>
      <c r="DC286" s="636">
        <v>0</v>
      </c>
      <c r="DD286" s="637">
        <v>0</v>
      </c>
      <c r="DE286" s="637">
        <v>0</v>
      </c>
      <c r="DF286" s="637">
        <v>0</v>
      </c>
      <c r="DG286" s="637">
        <v>0</v>
      </c>
      <c r="DH286" s="637">
        <v>0</v>
      </c>
      <c r="DI286" s="637">
        <v>0</v>
      </c>
      <c r="DJ286" s="637">
        <v>0</v>
      </c>
      <c r="DK286" s="637">
        <v>0</v>
      </c>
      <c r="DL286" s="637">
        <v>0</v>
      </c>
      <c r="DM286" s="637">
        <v>0</v>
      </c>
      <c r="DN286" s="637">
        <v>0</v>
      </c>
      <c r="DO286" s="637">
        <v>0</v>
      </c>
      <c r="DP286" s="636">
        <v>0</v>
      </c>
      <c r="DQ286" s="636">
        <v>0</v>
      </c>
      <c r="DR286" s="636">
        <v>0</v>
      </c>
      <c r="DS286" s="637">
        <v>0</v>
      </c>
      <c r="DT286" s="637">
        <v>0</v>
      </c>
      <c r="DU286" s="637">
        <v>0</v>
      </c>
      <c r="DV286" s="637">
        <v>0</v>
      </c>
      <c r="DW286" s="637">
        <v>0</v>
      </c>
      <c r="DX286" s="637">
        <v>0</v>
      </c>
      <c r="DY286" s="637">
        <v>0</v>
      </c>
      <c r="DZ286" s="637">
        <v>0</v>
      </c>
      <c r="EA286" s="637">
        <v>0</v>
      </c>
      <c r="EB286" s="637">
        <v>0</v>
      </c>
      <c r="EC286" s="637">
        <v>0</v>
      </c>
      <c r="ED286" s="637">
        <v>0</v>
      </c>
    </row>
    <row r="287" spans="1:134" ht="15" x14ac:dyDescent="0.25">
      <c r="A287" s="555">
        <v>133</v>
      </c>
      <c r="B287" s="555">
        <v>97</v>
      </c>
      <c r="C287" s="555" t="s">
        <v>1270</v>
      </c>
      <c r="D287" s="812">
        <v>99712</v>
      </c>
      <c r="E287" s="812">
        <v>99712</v>
      </c>
      <c r="F287" s="630" t="s">
        <v>989</v>
      </c>
      <c r="G287" s="45">
        <v>14</v>
      </c>
      <c r="H287" s="45">
        <v>7</v>
      </c>
      <c r="I287" s="45">
        <v>5</v>
      </c>
      <c r="J287" s="45">
        <v>2</v>
      </c>
      <c r="K287" s="45">
        <v>0</v>
      </c>
      <c r="L287" s="45">
        <v>10</v>
      </c>
      <c r="M287" s="45">
        <v>10</v>
      </c>
      <c r="N287" s="45">
        <v>0</v>
      </c>
      <c r="O287" s="45">
        <v>0</v>
      </c>
      <c r="P287" s="45">
        <v>0</v>
      </c>
      <c r="Q287" s="45">
        <v>10</v>
      </c>
      <c r="R287" s="45">
        <v>0</v>
      </c>
      <c r="S287" s="45">
        <v>1791.7</v>
      </c>
      <c r="T287" s="45">
        <v>1791.7</v>
      </c>
      <c r="U287" s="45">
        <v>0</v>
      </c>
      <c r="V287" s="45">
        <v>0</v>
      </c>
      <c r="W287" s="45">
        <v>0</v>
      </c>
      <c r="X287" s="45">
        <v>1791.7</v>
      </c>
      <c r="Y287" s="45">
        <v>0</v>
      </c>
      <c r="Z287" s="45">
        <v>7</v>
      </c>
      <c r="AA287" s="45">
        <v>0</v>
      </c>
      <c r="AB287" s="508">
        <v>0</v>
      </c>
      <c r="AC287" s="508">
        <v>0</v>
      </c>
      <c r="AD287" s="631">
        <v>7</v>
      </c>
      <c r="AE287" s="632">
        <v>0</v>
      </c>
      <c r="AF287" s="632">
        <v>5</v>
      </c>
      <c r="AG287" s="633">
        <v>5</v>
      </c>
      <c r="AH287" s="632">
        <v>0</v>
      </c>
      <c r="AI287" s="632">
        <v>0</v>
      </c>
      <c r="AJ287" s="632">
        <v>6.3637997160201678</v>
      </c>
      <c r="AK287" s="632">
        <v>6.3637997160201678</v>
      </c>
      <c r="AL287" s="632">
        <v>0</v>
      </c>
      <c r="AM287" s="632">
        <v>0</v>
      </c>
      <c r="AN287" s="632">
        <v>4.5622705519395463</v>
      </c>
      <c r="AO287" s="632">
        <v>4.5622705519395463</v>
      </c>
      <c r="AP287" s="632">
        <v>0</v>
      </c>
      <c r="AQ287" s="632">
        <v>0</v>
      </c>
      <c r="AR287" s="632">
        <v>0</v>
      </c>
      <c r="AS287" s="632">
        <v>5.7854209750883383</v>
      </c>
      <c r="AT287" s="632">
        <v>6.0677228313696316</v>
      </c>
      <c r="AU287" s="632">
        <v>6.3637997160201678</v>
      </c>
      <c r="AV287" s="632">
        <v>6.6743237868821721</v>
      </c>
      <c r="AW287" s="632">
        <v>7</v>
      </c>
      <c r="AX287" s="632">
        <v>4.1628625178189544</v>
      </c>
      <c r="AY287" s="632">
        <v>4.3579932396480761</v>
      </c>
      <c r="AZ287" s="632">
        <v>4.5622705519395463</v>
      </c>
      <c r="BA287" s="632">
        <v>4.7761231935218893</v>
      </c>
      <c r="BB287" s="632">
        <v>5</v>
      </c>
      <c r="BC287" s="632">
        <v>0</v>
      </c>
      <c r="BD287" s="632">
        <v>0</v>
      </c>
      <c r="BE287" s="632">
        <v>0</v>
      </c>
      <c r="BF287" s="632">
        <v>0</v>
      </c>
      <c r="BG287" s="632">
        <v>0</v>
      </c>
      <c r="BH287" s="634">
        <v>7.0886044199871048</v>
      </c>
      <c r="BI287" s="634">
        <v>7.1783303747229583</v>
      </c>
      <c r="BJ287" s="634">
        <v>7.2691920603412647</v>
      </c>
      <c r="BK287" s="635">
        <v>7.2214003118675087</v>
      </c>
      <c r="BL287" s="635">
        <v>7.1739227731715678</v>
      </c>
      <c r="BM287" s="635">
        <v>7.2254233998479824</v>
      </c>
      <c r="BN287" s="635">
        <v>7.2772937425963322</v>
      </c>
      <c r="BO287" s="635">
        <v>7.3295364555585705</v>
      </c>
      <c r="BP287" s="635">
        <v>7.3821542119303762</v>
      </c>
      <c r="BQ287" s="635">
        <v>7.4351497040979435</v>
      </c>
      <c r="BR287" s="635">
        <v>7.4768878465160249</v>
      </c>
      <c r="BS287" s="635">
        <v>7.5188602912147386</v>
      </c>
      <c r="BT287" s="635">
        <v>7.5610683534792313</v>
      </c>
      <c r="BU287" s="635">
        <v>7.6035133559781647</v>
      </c>
      <c r="BV287" s="635">
        <v>7.6461966288051642</v>
      </c>
      <c r="BW287" s="634">
        <v>5.0632888714193598</v>
      </c>
      <c r="BX287" s="634">
        <v>5.127378839087827</v>
      </c>
      <c r="BY287" s="634">
        <v>5.1922800431009026</v>
      </c>
      <c r="BZ287" s="635">
        <v>5.1581430799053622</v>
      </c>
      <c r="CA287" s="635">
        <v>5.1242305522654048</v>
      </c>
      <c r="CB287" s="635">
        <v>5.1610167141771299</v>
      </c>
      <c r="CC287" s="635">
        <v>5.1980669589973791</v>
      </c>
      <c r="CD287" s="635">
        <v>5.2353831825418355</v>
      </c>
      <c r="CE287" s="635">
        <v>5.2729672942359826</v>
      </c>
      <c r="CF287" s="635">
        <v>5.3108212172128164</v>
      </c>
      <c r="CG287" s="635">
        <v>5.3406341760828742</v>
      </c>
      <c r="CH287" s="635">
        <v>5.3706144937248128</v>
      </c>
      <c r="CI287" s="635">
        <v>5.4007631096280218</v>
      </c>
      <c r="CJ287" s="635">
        <v>5.4310809685558308</v>
      </c>
      <c r="CK287" s="635">
        <v>5.4615690205751166</v>
      </c>
      <c r="CL287" s="634">
        <v>0</v>
      </c>
      <c r="CM287" s="634">
        <v>0</v>
      </c>
      <c r="CN287" s="634">
        <v>0</v>
      </c>
      <c r="CO287" s="635">
        <v>0</v>
      </c>
      <c r="CP287" s="635">
        <v>0</v>
      </c>
      <c r="CQ287" s="635">
        <v>0</v>
      </c>
      <c r="CR287" s="635">
        <v>0</v>
      </c>
      <c r="CS287" s="635">
        <v>0</v>
      </c>
      <c r="CT287" s="635">
        <v>0</v>
      </c>
      <c r="CU287" s="635">
        <v>0</v>
      </c>
      <c r="CV287" s="635">
        <v>0</v>
      </c>
      <c r="CW287" s="635">
        <v>0</v>
      </c>
      <c r="CX287" s="635">
        <v>0</v>
      </c>
      <c r="CY287" s="635">
        <v>0</v>
      </c>
      <c r="CZ287" s="635">
        <v>0</v>
      </c>
      <c r="DA287" s="636">
        <v>0</v>
      </c>
      <c r="DB287" s="636">
        <v>0</v>
      </c>
      <c r="DC287" s="636">
        <v>0</v>
      </c>
      <c r="DD287" s="637">
        <v>0</v>
      </c>
      <c r="DE287" s="637">
        <v>0</v>
      </c>
      <c r="DF287" s="637">
        <v>0</v>
      </c>
      <c r="DG287" s="637">
        <v>0</v>
      </c>
      <c r="DH287" s="637">
        <v>0</v>
      </c>
      <c r="DI287" s="637">
        <v>0</v>
      </c>
      <c r="DJ287" s="637">
        <v>0</v>
      </c>
      <c r="DK287" s="637">
        <v>0</v>
      </c>
      <c r="DL287" s="637">
        <v>0</v>
      </c>
      <c r="DM287" s="637">
        <v>0</v>
      </c>
      <c r="DN287" s="637">
        <v>0</v>
      </c>
      <c r="DO287" s="637">
        <v>0</v>
      </c>
      <c r="DP287" s="636">
        <v>0</v>
      </c>
      <c r="DQ287" s="636">
        <v>0</v>
      </c>
      <c r="DR287" s="636">
        <v>0</v>
      </c>
      <c r="DS287" s="637">
        <v>0</v>
      </c>
      <c r="DT287" s="637">
        <v>0</v>
      </c>
      <c r="DU287" s="637">
        <v>0</v>
      </c>
      <c r="DV287" s="637">
        <v>0</v>
      </c>
      <c r="DW287" s="637">
        <v>0</v>
      </c>
      <c r="DX287" s="637">
        <v>0</v>
      </c>
      <c r="DY287" s="637">
        <v>0</v>
      </c>
      <c r="DZ287" s="637">
        <v>0</v>
      </c>
      <c r="EA287" s="637">
        <v>0</v>
      </c>
      <c r="EB287" s="637">
        <v>0</v>
      </c>
      <c r="EC287" s="637">
        <v>0</v>
      </c>
      <c r="ED287" s="637">
        <v>0</v>
      </c>
    </row>
    <row r="288" spans="1:134" ht="15" x14ac:dyDescent="0.25">
      <c r="A288" s="555">
        <v>134</v>
      </c>
      <c r="B288" s="555">
        <v>97</v>
      </c>
      <c r="C288" s="555" t="s">
        <v>1271</v>
      </c>
      <c r="D288" s="812">
        <v>99712</v>
      </c>
      <c r="E288" s="812">
        <v>99712</v>
      </c>
      <c r="F288" s="630" t="s">
        <v>989</v>
      </c>
      <c r="G288" s="45">
        <v>19</v>
      </c>
      <c r="H288" s="45">
        <v>7</v>
      </c>
      <c r="I288" s="45">
        <v>7</v>
      </c>
      <c r="J288" s="45">
        <v>0</v>
      </c>
      <c r="K288" s="45">
        <v>0</v>
      </c>
      <c r="L288" s="45">
        <v>18</v>
      </c>
      <c r="M288" s="45">
        <v>18</v>
      </c>
      <c r="N288" s="45">
        <v>0</v>
      </c>
      <c r="O288" s="45">
        <v>0</v>
      </c>
      <c r="P288" s="45">
        <v>0</v>
      </c>
      <c r="Q288" s="45">
        <v>18</v>
      </c>
      <c r="R288" s="45">
        <v>0</v>
      </c>
      <c r="S288" s="45">
        <v>2543.6111111111113</v>
      </c>
      <c r="T288" s="45">
        <v>2543.6111111111113</v>
      </c>
      <c r="U288" s="45">
        <v>0</v>
      </c>
      <c r="V288" s="45">
        <v>0</v>
      </c>
      <c r="W288" s="45">
        <v>0</v>
      </c>
      <c r="X288" s="45">
        <v>2543.6111111111113</v>
      </c>
      <c r="Y288" s="45">
        <v>0</v>
      </c>
      <c r="Z288" s="45">
        <v>7</v>
      </c>
      <c r="AA288" s="45">
        <v>0</v>
      </c>
      <c r="AB288" s="508">
        <v>0</v>
      </c>
      <c r="AC288" s="508">
        <v>0</v>
      </c>
      <c r="AD288" s="631">
        <v>7</v>
      </c>
      <c r="AE288" s="632">
        <v>0</v>
      </c>
      <c r="AF288" s="632">
        <v>7</v>
      </c>
      <c r="AG288" s="633">
        <v>7</v>
      </c>
      <c r="AH288" s="632">
        <v>0</v>
      </c>
      <c r="AI288" s="632">
        <v>0</v>
      </c>
      <c r="AJ288" s="632">
        <v>6.3637997160201678</v>
      </c>
      <c r="AK288" s="632">
        <v>6.3637997160201678</v>
      </c>
      <c r="AL288" s="632">
        <v>0</v>
      </c>
      <c r="AM288" s="632">
        <v>0</v>
      </c>
      <c r="AN288" s="632">
        <v>6.387178772715365</v>
      </c>
      <c r="AO288" s="632">
        <v>6.387178772715365</v>
      </c>
      <c r="AP288" s="632">
        <v>0</v>
      </c>
      <c r="AQ288" s="632">
        <v>0</v>
      </c>
      <c r="AR288" s="632">
        <v>0</v>
      </c>
      <c r="AS288" s="632">
        <v>5.7854209750883383</v>
      </c>
      <c r="AT288" s="632">
        <v>6.0677228313696316</v>
      </c>
      <c r="AU288" s="632">
        <v>6.3637997160201678</v>
      </c>
      <c r="AV288" s="632">
        <v>6.6743237868821721</v>
      </c>
      <c r="AW288" s="632">
        <v>7</v>
      </c>
      <c r="AX288" s="632">
        <v>5.8280075249465364</v>
      </c>
      <c r="AY288" s="632">
        <v>6.1011905355073059</v>
      </c>
      <c r="AZ288" s="632">
        <v>6.387178772715365</v>
      </c>
      <c r="BA288" s="632">
        <v>6.6865724709306456</v>
      </c>
      <c r="BB288" s="632">
        <v>7</v>
      </c>
      <c r="BC288" s="632">
        <v>0</v>
      </c>
      <c r="BD288" s="632">
        <v>0</v>
      </c>
      <c r="BE288" s="632">
        <v>0</v>
      </c>
      <c r="BF288" s="632">
        <v>0</v>
      </c>
      <c r="BG288" s="632">
        <v>0</v>
      </c>
      <c r="BH288" s="634">
        <v>7.0886044199871048</v>
      </c>
      <c r="BI288" s="634">
        <v>7.1783303747229583</v>
      </c>
      <c r="BJ288" s="634">
        <v>7.2691920603412647</v>
      </c>
      <c r="BK288" s="635">
        <v>7.2214003118675087</v>
      </c>
      <c r="BL288" s="635">
        <v>7.1739227731715678</v>
      </c>
      <c r="BM288" s="635">
        <v>7.2254233998479824</v>
      </c>
      <c r="BN288" s="635">
        <v>7.2772937425963322</v>
      </c>
      <c r="BO288" s="635">
        <v>7.3295364555585705</v>
      </c>
      <c r="BP288" s="635">
        <v>7.3821542119303762</v>
      </c>
      <c r="BQ288" s="635">
        <v>7.4351497040979435</v>
      </c>
      <c r="BR288" s="635">
        <v>7.4768878465160249</v>
      </c>
      <c r="BS288" s="635">
        <v>7.5188602912147386</v>
      </c>
      <c r="BT288" s="635">
        <v>7.5610683534792313</v>
      </c>
      <c r="BU288" s="635">
        <v>7.6035133559781647</v>
      </c>
      <c r="BV288" s="635">
        <v>7.6461966288051642</v>
      </c>
      <c r="BW288" s="634">
        <v>7.0886044199871048</v>
      </c>
      <c r="BX288" s="634">
        <v>7.1783303747229583</v>
      </c>
      <c r="BY288" s="634">
        <v>7.2691920603412647</v>
      </c>
      <c r="BZ288" s="635">
        <v>7.2214003118675087</v>
      </c>
      <c r="CA288" s="635">
        <v>7.1739227731715678</v>
      </c>
      <c r="CB288" s="635">
        <v>7.2254233998479824</v>
      </c>
      <c r="CC288" s="635">
        <v>7.2772937425963322</v>
      </c>
      <c r="CD288" s="635">
        <v>7.3295364555585705</v>
      </c>
      <c r="CE288" s="635">
        <v>7.3821542119303762</v>
      </c>
      <c r="CF288" s="635">
        <v>7.4351497040979435</v>
      </c>
      <c r="CG288" s="635">
        <v>7.4768878465160249</v>
      </c>
      <c r="CH288" s="635">
        <v>7.5188602912147386</v>
      </c>
      <c r="CI288" s="635">
        <v>7.5610683534792313</v>
      </c>
      <c r="CJ288" s="635">
        <v>7.6035133559781647</v>
      </c>
      <c r="CK288" s="635">
        <v>7.6461966288051642</v>
      </c>
      <c r="CL288" s="634">
        <v>0</v>
      </c>
      <c r="CM288" s="634">
        <v>0</v>
      </c>
      <c r="CN288" s="634">
        <v>0</v>
      </c>
      <c r="CO288" s="635">
        <v>0</v>
      </c>
      <c r="CP288" s="635">
        <v>0</v>
      </c>
      <c r="CQ288" s="635">
        <v>0</v>
      </c>
      <c r="CR288" s="635">
        <v>0</v>
      </c>
      <c r="CS288" s="635">
        <v>0</v>
      </c>
      <c r="CT288" s="635">
        <v>0</v>
      </c>
      <c r="CU288" s="635">
        <v>0</v>
      </c>
      <c r="CV288" s="635">
        <v>0</v>
      </c>
      <c r="CW288" s="635">
        <v>0</v>
      </c>
      <c r="CX288" s="635">
        <v>0</v>
      </c>
      <c r="CY288" s="635">
        <v>0</v>
      </c>
      <c r="CZ288" s="635">
        <v>0</v>
      </c>
      <c r="DA288" s="636">
        <v>0</v>
      </c>
      <c r="DB288" s="636">
        <v>0</v>
      </c>
      <c r="DC288" s="636">
        <v>0</v>
      </c>
      <c r="DD288" s="637">
        <v>0</v>
      </c>
      <c r="DE288" s="637">
        <v>0</v>
      </c>
      <c r="DF288" s="637">
        <v>0</v>
      </c>
      <c r="DG288" s="637">
        <v>0</v>
      </c>
      <c r="DH288" s="637">
        <v>0</v>
      </c>
      <c r="DI288" s="637">
        <v>0</v>
      </c>
      <c r="DJ288" s="637">
        <v>0</v>
      </c>
      <c r="DK288" s="637">
        <v>0</v>
      </c>
      <c r="DL288" s="637">
        <v>0</v>
      </c>
      <c r="DM288" s="637">
        <v>0</v>
      </c>
      <c r="DN288" s="637">
        <v>0</v>
      </c>
      <c r="DO288" s="637">
        <v>0</v>
      </c>
      <c r="DP288" s="636">
        <v>0</v>
      </c>
      <c r="DQ288" s="636">
        <v>0</v>
      </c>
      <c r="DR288" s="636">
        <v>0</v>
      </c>
      <c r="DS288" s="637">
        <v>0</v>
      </c>
      <c r="DT288" s="637">
        <v>0</v>
      </c>
      <c r="DU288" s="637">
        <v>0</v>
      </c>
      <c r="DV288" s="637">
        <v>0</v>
      </c>
      <c r="DW288" s="637">
        <v>0</v>
      </c>
      <c r="DX288" s="637">
        <v>0</v>
      </c>
      <c r="DY288" s="637">
        <v>0</v>
      </c>
      <c r="DZ288" s="637">
        <v>0</v>
      </c>
      <c r="EA288" s="637">
        <v>0</v>
      </c>
      <c r="EB288" s="637">
        <v>0</v>
      </c>
      <c r="EC288" s="637">
        <v>0</v>
      </c>
      <c r="ED288" s="637">
        <v>0</v>
      </c>
    </row>
    <row r="289" spans="1:134" ht="15" x14ac:dyDescent="0.25">
      <c r="A289" s="555">
        <v>135</v>
      </c>
      <c r="B289" s="555">
        <v>97</v>
      </c>
      <c r="C289" s="555" t="s">
        <v>1272</v>
      </c>
      <c r="D289" s="812">
        <v>99712</v>
      </c>
      <c r="E289" s="812">
        <v>99712</v>
      </c>
      <c r="F289" s="630" t="s">
        <v>989</v>
      </c>
      <c r="G289" s="45">
        <v>3</v>
      </c>
      <c r="H289" s="45">
        <v>1</v>
      </c>
      <c r="I289" s="45">
        <v>1</v>
      </c>
      <c r="J289" s="45">
        <v>0</v>
      </c>
      <c r="K289" s="45">
        <v>0</v>
      </c>
      <c r="L289" s="45">
        <v>8</v>
      </c>
      <c r="M289" s="45">
        <v>8</v>
      </c>
      <c r="N289" s="45">
        <v>0</v>
      </c>
      <c r="O289" s="45">
        <v>0</v>
      </c>
      <c r="P289" s="45">
        <v>0</v>
      </c>
      <c r="Q289" s="45">
        <v>8</v>
      </c>
      <c r="R289" s="45">
        <v>0</v>
      </c>
      <c r="S289" s="45">
        <v>1390.25</v>
      </c>
      <c r="T289" s="45">
        <v>1390.25</v>
      </c>
      <c r="U289" s="45">
        <v>0</v>
      </c>
      <c r="V289" s="45">
        <v>0</v>
      </c>
      <c r="W289" s="45">
        <v>0</v>
      </c>
      <c r="X289" s="45">
        <v>1390.25</v>
      </c>
      <c r="Y289" s="45">
        <v>0</v>
      </c>
      <c r="Z289" s="45">
        <v>1</v>
      </c>
      <c r="AA289" s="45">
        <v>0</v>
      </c>
      <c r="AB289" s="508">
        <v>0</v>
      </c>
      <c r="AC289" s="508">
        <v>0</v>
      </c>
      <c r="AD289" s="631">
        <v>1</v>
      </c>
      <c r="AE289" s="632">
        <v>0</v>
      </c>
      <c r="AF289" s="632">
        <v>1</v>
      </c>
      <c r="AG289" s="633">
        <v>1</v>
      </c>
      <c r="AH289" s="632">
        <v>0</v>
      </c>
      <c r="AI289" s="632">
        <v>0</v>
      </c>
      <c r="AJ289" s="632">
        <v>0.90911424514573824</v>
      </c>
      <c r="AK289" s="632">
        <v>0.90911424514573824</v>
      </c>
      <c r="AL289" s="632">
        <v>0</v>
      </c>
      <c r="AM289" s="632">
        <v>0</v>
      </c>
      <c r="AN289" s="632">
        <v>0.91245411038790925</v>
      </c>
      <c r="AO289" s="632">
        <v>0.91245411038790925</v>
      </c>
      <c r="AP289" s="632">
        <v>0</v>
      </c>
      <c r="AQ289" s="632">
        <v>0</v>
      </c>
      <c r="AR289" s="632">
        <v>0</v>
      </c>
      <c r="AS289" s="632">
        <v>0.82648871072690544</v>
      </c>
      <c r="AT289" s="632">
        <v>0.86681754733851879</v>
      </c>
      <c r="AU289" s="632">
        <v>0.90911424514573824</v>
      </c>
      <c r="AV289" s="632">
        <v>0.95347482669745309</v>
      </c>
      <c r="AW289" s="632">
        <v>1</v>
      </c>
      <c r="AX289" s="632">
        <v>0.83257250356379087</v>
      </c>
      <c r="AY289" s="632">
        <v>0.87159864792961517</v>
      </c>
      <c r="AZ289" s="632">
        <v>0.91245411038790925</v>
      </c>
      <c r="BA289" s="632">
        <v>0.9552246387043779</v>
      </c>
      <c r="BB289" s="632">
        <v>1</v>
      </c>
      <c r="BC289" s="632">
        <v>0</v>
      </c>
      <c r="BD289" s="632">
        <v>0</v>
      </c>
      <c r="BE289" s="632">
        <v>0</v>
      </c>
      <c r="BF289" s="632">
        <v>0</v>
      </c>
      <c r="BG289" s="632">
        <v>0</v>
      </c>
      <c r="BH289" s="634">
        <v>1.012657774283872</v>
      </c>
      <c r="BI289" s="634">
        <v>1.0254757678175654</v>
      </c>
      <c r="BJ289" s="634">
        <v>1.0384560086201806</v>
      </c>
      <c r="BK289" s="635">
        <v>1.0316286159810726</v>
      </c>
      <c r="BL289" s="635">
        <v>1.024846110453081</v>
      </c>
      <c r="BM289" s="635">
        <v>1.032203342835426</v>
      </c>
      <c r="BN289" s="635">
        <v>1.0396133917994759</v>
      </c>
      <c r="BO289" s="635">
        <v>1.047076636508367</v>
      </c>
      <c r="BP289" s="635">
        <v>1.0545934588471966</v>
      </c>
      <c r="BQ289" s="635">
        <v>1.0621642434425633</v>
      </c>
      <c r="BR289" s="635">
        <v>1.0681268352165749</v>
      </c>
      <c r="BS289" s="635">
        <v>1.0741228987449627</v>
      </c>
      <c r="BT289" s="635">
        <v>1.0801526219256044</v>
      </c>
      <c r="BU289" s="635">
        <v>1.0862161937111663</v>
      </c>
      <c r="BV289" s="635">
        <v>1.0923138041150233</v>
      </c>
      <c r="BW289" s="634">
        <v>1.012657774283872</v>
      </c>
      <c r="BX289" s="634">
        <v>1.0254757678175654</v>
      </c>
      <c r="BY289" s="634">
        <v>1.0384560086201806</v>
      </c>
      <c r="BZ289" s="635">
        <v>1.0316286159810726</v>
      </c>
      <c r="CA289" s="635">
        <v>1.024846110453081</v>
      </c>
      <c r="CB289" s="635">
        <v>1.032203342835426</v>
      </c>
      <c r="CC289" s="635">
        <v>1.0396133917994759</v>
      </c>
      <c r="CD289" s="635">
        <v>1.047076636508367</v>
      </c>
      <c r="CE289" s="635">
        <v>1.0545934588471966</v>
      </c>
      <c r="CF289" s="635">
        <v>1.0621642434425633</v>
      </c>
      <c r="CG289" s="635">
        <v>1.0681268352165749</v>
      </c>
      <c r="CH289" s="635">
        <v>1.0741228987449627</v>
      </c>
      <c r="CI289" s="635">
        <v>1.0801526219256044</v>
      </c>
      <c r="CJ289" s="635">
        <v>1.0862161937111663</v>
      </c>
      <c r="CK289" s="635">
        <v>1.0923138041150233</v>
      </c>
      <c r="CL289" s="634">
        <v>0</v>
      </c>
      <c r="CM289" s="634">
        <v>0</v>
      </c>
      <c r="CN289" s="634">
        <v>0</v>
      </c>
      <c r="CO289" s="635">
        <v>0</v>
      </c>
      <c r="CP289" s="635">
        <v>0</v>
      </c>
      <c r="CQ289" s="635">
        <v>0</v>
      </c>
      <c r="CR289" s="635">
        <v>0</v>
      </c>
      <c r="CS289" s="635">
        <v>0</v>
      </c>
      <c r="CT289" s="635">
        <v>0</v>
      </c>
      <c r="CU289" s="635">
        <v>0</v>
      </c>
      <c r="CV289" s="635">
        <v>0</v>
      </c>
      <c r="CW289" s="635">
        <v>0</v>
      </c>
      <c r="CX289" s="635">
        <v>0</v>
      </c>
      <c r="CY289" s="635">
        <v>0</v>
      </c>
      <c r="CZ289" s="635">
        <v>0</v>
      </c>
      <c r="DA289" s="636">
        <v>0</v>
      </c>
      <c r="DB289" s="636">
        <v>0</v>
      </c>
      <c r="DC289" s="636">
        <v>0</v>
      </c>
      <c r="DD289" s="637">
        <v>0</v>
      </c>
      <c r="DE289" s="637">
        <v>0</v>
      </c>
      <c r="DF289" s="637">
        <v>0</v>
      </c>
      <c r="DG289" s="637">
        <v>0</v>
      </c>
      <c r="DH289" s="637">
        <v>0</v>
      </c>
      <c r="DI289" s="637">
        <v>0</v>
      </c>
      <c r="DJ289" s="637">
        <v>0</v>
      </c>
      <c r="DK289" s="637">
        <v>0</v>
      </c>
      <c r="DL289" s="637">
        <v>0</v>
      </c>
      <c r="DM289" s="637">
        <v>0</v>
      </c>
      <c r="DN289" s="637">
        <v>0</v>
      </c>
      <c r="DO289" s="637">
        <v>0</v>
      </c>
      <c r="DP289" s="636">
        <v>0</v>
      </c>
      <c r="DQ289" s="636">
        <v>0</v>
      </c>
      <c r="DR289" s="636">
        <v>0</v>
      </c>
      <c r="DS289" s="637">
        <v>0</v>
      </c>
      <c r="DT289" s="637">
        <v>0</v>
      </c>
      <c r="DU289" s="637">
        <v>0</v>
      </c>
      <c r="DV289" s="637">
        <v>0</v>
      </c>
      <c r="DW289" s="637">
        <v>0</v>
      </c>
      <c r="DX289" s="637">
        <v>0</v>
      </c>
      <c r="DY289" s="637">
        <v>0</v>
      </c>
      <c r="DZ289" s="637">
        <v>0</v>
      </c>
      <c r="EA289" s="637">
        <v>0</v>
      </c>
      <c r="EB289" s="637">
        <v>0</v>
      </c>
      <c r="EC289" s="637">
        <v>0</v>
      </c>
      <c r="ED289" s="637">
        <v>0</v>
      </c>
    </row>
    <row r="290" spans="1:134" ht="15" x14ac:dyDescent="0.25">
      <c r="A290" s="555">
        <v>136</v>
      </c>
      <c r="B290" s="555">
        <v>97</v>
      </c>
      <c r="C290" s="555" t="s">
        <v>1273</v>
      </c>
      <c r="D290" s="812">
        <v>99712</v>
      </c>
      <c r="E290" s="812">
        <v>99712</v>
      </c>
      <c r="F290" s="630" t="s">
        <v>989</v>
      </c>
      <c r="G290" s="45">
        <v>25</v>
      </c>
      <c r="H290" s="45">
        <v>12</v>
      </c>
      <c r="I290" s="45">
        <v>12</v>
      </c>
      <c r="J290" s="45">
        <v>0</v>
      </c>
      <c r="K290" s="45">
        <v>0</v>
      </c>
      <c r="L290" s="45">
        <v>23</v>
      </c>
      <c r="M290" s="45">
        <v>23</v>
      </c>
      <c r="N290" s="45">
        <v>2</v>
      </c>
      <c r="O290" s="45">
        <v>0</v>
      </c>
      <c r="P290" s="45">
        <v>0</v>
      </c>
      <c r="Q290" s="45">
        <v>25</v>
      </c>
      <c r="R290" s="45">
        <v>0</v>
      </c>
      <c r="S290" s="45">
        <v>1751.7391304347825</v>
      </c>
      <c r="T290" s="45">
        <v>1751.7391304347825</v>
      </c>
      <c r="U290" s="45">
        <v>1336</v>
      </c>
      <c r="V290" s="45">
        <v>0</v>
      </c>
      <c r="W290" s="45">
        <v>0</v>
      </c>
      <c r="X290" s="45">
        <v>1718.48</v>
      </c>
      <c r="Y290" s="45">
        <v>0</v>
      </c>
      <c r="Z290" s="45">
        <v>12</v>
      </c>
      <c r="AA290" s="45">
        <v>0</v>
      </c>
      <c r="AB290" s="508">
        <v>2</v>
      </c>
      <c r="AC290" s="508">
        <v>0</v>
      </c>
      <c r="AD290" s="631">
        <v>14</v>
      </c>
      <c r="AE290" s="632">
        <v>0</v>
      </c>
      <c r="AF290" s="632">
        <v>12</v>
      </c>
      <c r="AG290" s="633">
        <v>12</v>
      </c>
      <c r="AH290" s="632">
        <v>0</v>
      </c>
      <c r="AI290" s="632">
        <v>0</v>
      </c>
      <c r="AJ290" s="632">
        <v>10.909370941748859</v>
      </c>
      <c r="AK290" s="632">
        <v>10.909370941748859</v>
      </c>
      <c r="AL290" s="632">
        <v>0</v>
      </c>
      <c r="AM290" s="632">
        <v>0</v>
      </c>
      <c r="AN290" s="632">
        <v>10.94944932465491</v>
      </c>
      <c r="AO290" s="632">
        <v>10.94944932465491</v>
      </c>
      <c r="AP290" s="632">
        <v>0</v>
      </c>
      <c r="AQ290" s="632">
        <v>1.8596827016276773</v>
      </c>
      <c r="AR290" s="632">
        <v>0</v>
      </c>
      <c r="AS290" s="632">
        <v>9.9178645287228644</v>
      </c>
      <c r="AT290" s="632">
        <v>10.401810568062224</v>
      </c>
      <c r="AU290" s="632">
        <v>10.909370941748859</v>
      </c>
      <c r="AV290" s="632">
        <v>11.441697920369437</v>
      </c>
      <c r="AW290" s="632">
        <v>12</v>
      </c>
      <c r="AX290" s="632">
        <v>9.99087004276549</v>
      </c>
      <c r="AY290" s="632">
        <v>10.459183775155381</v>
      </c>
      <c r="AZ290" s="632">
        <v>10.94944932465491</v>
      </c>
      <c r="BA290" s="632">
        <v>11.462695664452534</v>
      </c>
      <c r="BB290" s="632">
        <v>12</v>
      </c>
      <c r="BC290" s="632">
        <v>1.7292098753666085</v>
      </c>
      <c r="BD290" s="632">
        <v>1.7932600739165065</v>
      </c>
      <c r="BE290" s="632">
        <v>1.8596827016276773</v>
      </c>
      <c r="BF290" s="632">
        <v>1.9285656336395076</v>
      </c>
      <c r="BG290" s="632">
        <v>2</v>
      </c>
      <c r="BH290" s="634">
        <v>12.151893291406465</v>
      </c>
      <c r="BI290" s="634">
        <v>12.305709213810786</v>
      </c>
      <c r="BJ290" s="634">
        <v>12.461472103442167</v>
      </c>
      <c r="BK290" s="635">
        <v>12.379543391772872</v>
      </c>
      <c r="BL290" s="635">
        <v>12.298153325436973</v>
      </c>
      <c r="BM290" s="635">
        <v>12.386440114025111</v>
      </c>
      <c r="BN290" s="635">
        <v>12.475360701593711</v>
      </c>
      <c r="BO290" s="635">
        <v>12.564919638100406</v>
      </c>
      <c r="BP290" s="635">
        <v>12.65512150616636</v>
      </c>
      <c r="BQ290" s="635">
        <v>12.745970921310759</v>
      </c>
      <c r="BR290" s="635">
        <v>12.817522022598899</v>
      </c>
      <c r="BS290" s="635">
        <v>12.889474784939551</v>
      </c>
      <c r="BT290" s="635">
        <v>12.961831463107252</v>
      </c>
      <c r="BU290" s="635">
        <v>13.034594324533995</v>
      </c>
      <c r="BV290" s="635">
        <v>13.10776564938028</v>
      </c>
      <c r="BW290" s="634">
        <v>12.151893291406465</v>
      </c>
      <c r="BX290" s="634">
        <v>12.305709213810786</v>
      </c>
      <c r="BY290" s="634">
        <v>12.461472103442167</v>
      </c>
      <c r="BZ290" s="635">
        <v>12.379543391772872</v>
      </c>
      <c r="CA290" s="635">
        <v>12.298153325436973</v>
      </c>
      <c r="CB290" s="635">
        <v>12.386440114025111</v>
      </c>
      <c r="CC290" s="635">
        <v>12.475360701593711</v>
      </c>
      <c r="CD290" s="635">
        <v>12.564919638100406</v>
      </c>
      <c r="CE290" s="635">
        <v>12.65512150616636</v>
      </c>
      <c r="CF290" s="635">
        <v>12.745970921310759</v>
      </c>
      <c r="CG290" s="635">
        <v>12.817522022598899</v>
      </c>
      <c r="CH290" s="635">
        <v>12.889474784939551</v>
      </c>
      <c r="CI290" s="635">
        <v>12.961831463107252</v>
      </c>
      <c r="CJ290" s="635">
        <v>13.034594324533995</v>
      </c>
      <c r="CK290" s="635">
        <v>13.10776564938028</v>
      </c>
      <c r="CL290" s="634">
        <v>2.0253155485677441</v>
      </c>
      <c r="CM290" s="634">
        <v>2.0509515356351309</v>
      </c>
      <c r="CN290" s="634">
        <v>2.0769120172403612</v>
      </c>
      <c r="CO290" s="635">
        <v>2.0632572319621452</v>
      </c>
      <c r="CP290" s="635">
        <v>2.0496922209061621</v>
      </c>
      <c r="CQ290" s="635">
        <v>2.0644066856708521</v>
      </c>
      <c r="CR290" s="635">
        <v>2.0792267835989517</v>
      </c>
      <c r="CS290" s="635">
        <v>2.094153273016734</v>
      </c>
      <c r="CT290" s="635">
        <v>2.1091869176943931</v>
      </c>
      <c r="CU290" s="635">
        <v>2.1243284868851267</v>
      </c>
      <c r="CV290" s="635">
        <v>2.1362536704331498</v>
      </c>
      <c r="CW290" s="635">
        <v>2.1482457974899254</v>
      </c>
      <c r="CX290" s="635">
        <v>2.1603052438512087</v>
      </c>
      <c r="CY290" s="635">
        <v>2.1724323874223326</v>
      </c>
      <c r="CZ290" s="635">
        <v>2.1846276082300466</v>
      </c>
      <c r="DA290" s="636">
        <v>0</v>
      </c>
      <c r="DB290" s="636">
        <v>0</v>
      </c>
      <c r="DC290" s="636">
        <v>0</v>
      </c>
      <c r="DD290" s="637">
        <v>0</v>
      </c>
      <c r="DE290" s="637">
        <v>0</v>
      </c>
      <c r="DF290" s="637">
        <v>0</v>
      </c>
      <c r="DG290" s="637">
        <v>0</v>
      </c>
      <c r="DH290" s="637">
        <v>0</v>
      </c>
      <c r="DI290" s="637">
        <v>0</v>
      </c>
      <c r="DJ290" s="637">
        <v>0</v>
      </c>
      <c r="DK290" s="637">
        <v>0</v>
      </c>
      <c r="DL290" s="637">
        <v>0</v>
      </c>
      <c r="DM290" s="637">
        <v>0</v>
      </c>
      <c r="DN290" s="637">
        <v>0</v>
      </c>
      <c r="DO290" s="637">
        <v>0</v>
      </c>
      <c r="DP290" s="636">
        <v>0</v>
      </c>
      <c r="DQ290" s="636">
        <v>0</v>
      </c>
      <c r="DR290" s="636">
        <v>0</v>
      </c>
      <c r="DS290" s="637">
        <v>0</v>
      </c>
      <c r="DT290" s="637">
        <v>0</v>
      </c>
      <c r="DU290" s="637">
        <v>0</v>
      </c>
      <c r="DV290" s="637">
        <v>0</v>
      </c>
      <c r="DW290" s="637">
        <v>0</v>
      </c>
      <c r="DX290" s="637">
        <v>0</v>
      </c>
      <c r="DY290" s="637">
        <v>0</v>
      </c>
      <c r="DZ290" s="637">
        <v>0</v>
      </c>
      <c r="EA290" s="637">
        <v>0</v>
      </c>
      <c r="EB290" s="637">
        <v>0</v>
      </c>
      <c r="EC290" s="637">
        <v>0</v>
      </c>
      <c r="ED290" s="637">
        <v>0</v>
      </c>
    </row>
    <row r="291" spans="1:134" ht="15" x14ac:dyDescent="0.25">
      <c r="A291" s="555">
        <v>137</v>
      </c>
      <c r="B291" s="555">
        <v>97</v>
      </c>
      <c r="C291" s="555" t="s">
        <v>1274</v>
      </c>
      <c r="D291" s="812">
        <v>99712</v>
      </c>
      <c r="E291" s="812">
        <v>99712</v>
      </c>
      <c r="F291" s="630" t="s">
        <v>989</v>
      </c>
      <c r="G291" s="45">
        <v>1</v>
      </c>
      <c r="H291" s="45">
        <v>1</v>
      </c>
      <c r="I291" s="45">
        <v>1</v>
      </c>
      <c r="J291" s="45">
        <v>0</v>
      </c>
      <c r="K291" s="45">
        <v>0</v>
      </c>
      <c r="L291" s="45">
        <v>53</v>
      </c>
      <c r="M291" s="45">
        <v>53</v>
      </c>
      <c r="N291" s="45">
        <v>2</v>
      </c>
      <c r="O291" s="45">
        <v>0</v>
      </c>
      <c r="P291" s="45">
        <v>0</v>
      </c>
      <c r="Q291" s="45">
        <v>55</v>
      </c>
      <c r="R291" s="45">
        <v>0</v>
      </c>
      <c r="S291" s="45">
        <v>1733.2452830188679</v>
      </c>
      <c r="T291" s="45">
        <v>1733.2452830188679</v>
      </c>
      <c r="U291" s="45">
        <v>1620</v>
      </c>
      <c r="V291" s="45">
        <v>0</v>
      </c>
      <c r="W291" s="45">
        <v>0</v>
      </c>
      <c r="X291" s="45">
        <v>1729.1272727272728</v>
      </c>
      <c r="Y291" s="45">
        <v>0</v>
      </c>
      <c r="Z291" s="45">
        <v>1</v>
      </c>
      <c r="AA291" s="45">
        <v>0</v>
      </c>
      <c r="AB291" s="508">
        <v>2</v>
      </c>
      <c r="AC291" s="508">
        <v>0</v>
      </c>
      <c r="AD291" s="631">
        <v>3</v>
      </c>
      <c r="AE291" s="632">
        <v>0</v>
      </c>
      <c r="AF291" s="632">
        <v>1</v>
      </c>
      <c r="AG291" s="633">
        <v>1</v>
      </c>
      <c r="AH291" s="632">
        <v>0</v>
      </c>
      <c r="AI291" s="632">
        <v>0</v>
      </c>
      <c r="AJ291" s="632">
        <v>0.90911424514573824</v>
      </c>
      <c r="AK291" s="632">
        <v>0.90911424514573824</v>
      </c>
      <c r="AL291" s="632">
        <v>0</v>
      </c>
      <c r="AM291" s="632">
        <v>0</v>
      </c>
      <c r="AN291" s="632">
        <v>0.91245411038790925</v>
      </c>
      <c r="AO291" s="632">
        <v>0.91245411038790925</v>
      </c>
      <c r="AP291" s="632">
        <v>0</v>
      </c>
      <c r="AQ291" s="632">
        <v>1.8596827016276773</v>
      </c>
      <c r="AR291" s="632">
        <v>0</v>
      </c>
      <c r="AS291" s="632">
        <v>0.82648871072690544</v>
      </c>
      <c r="AT291" s="632">
        <v>0.86681754733851879</v>
      </c>
      <c r="AU291" s="632">
        <v>0.90911424514573824</v>
      </c>
      <c r="AV291" s="632">
        <v>0.95347482669745309</v>
      </c>
      <c r="AW291" s="632">
        <v>1</v>
      </c>
      <c r="AX291" s="632">
        <v>0.83257250356379087</v>
      </c>
      <c r="AY291" s="632">
        <v>0.87159864792961517</v>
      </c>
      <c r="AZ291" s="632">
        <v>0.91245411038790925</v>
      </c>
      <c r="BA291" s="632">
        <v>0.9552246387043779</v>
      </c>
      <c r="BB291" s="632">
        <v>1</v>
      </c>
      <c r="BC291" s="632">
        <v>1.7292098753666085</v>
      </c>
      <c r="BD291" s="632">
        <v>1.7932600739165065</v>
      </c>
      <c r="BE291" s="632">
        <v>1.8596827016276773</v>
      </c>
      <c r="BF291" s="632">
        <v>1.9285656336395076</v>
      </c>
      <c r="BG291" s="632">
        <v>2</v>
      </c>
      <c r="BH291" s="634">
        <v>1.012657774283872</v>
      </c>
      <c r="BI291" s="634">
        <v>1.0254757678175654</v>
      </c>
      <c r="BJ291" s="634">
        <v>1.0384560086201806</v>
      </c>
      <c r="BK291" s="635">
        <v>1.0316286159810726</v>
      </c>
      <c r="BL291" s="635">
        <v>1.024846110453081</v>
      </c>
      <c r="BM291" s="635">
        <v>1.032203342835426</v>
      </c>
      <c r="BN291" s="635">
        <v>1.0396133917994759</v>
      </c>
      <c r="BO291" s="635">
        <v>1.047076636508367</v>
      </c>
      <c r="BP291" s="635">
        <v>1.0545934588471966</v>
      </c>
      <c r="BQ291" s="635">
        <v>1.0621642434425633</v>
      </c>
      <c r="BR291" s="635">
        <v>1.0681268352165749</v>
      </c>
      <c r="BS291" s="635">
        <v>1.0741228987449627</v>
      </c>
      <c r="BT291" s="635">
        <v>1.0801526219256044</v>
      </c>
      <c r="BU291" s="635">
        <v>1.0862161937111663</v>
      </c>
      <c r="BV291" s="635">
        <v>1.0923138041150233</v>
      </c>
      <c r="BW291" s="634">
        <v>1.012657774283872</v>
      </c>
      <c r="BX291" s="634">
        <v>1.0254757678175654</v>
      </c>
      <c r="BY291" s="634">
        <v>1.0384560086201806</v>
      </c>
      <c r="BZ291" s="635">
        <v>1.0316286159810726</v>
      </c>
      <c r="CA291" s="635">
        <v>1.024846110453081</v>
      </c>
      <c r="CB291" s="635">
        <v>1.032203342835426</v>
      </c>
      <c r="CC291" s="635">
        <v>1.0396133917994759</v>
      </c>
      <c r="CD291" s="635">
        <v>1.047076636508367</v>
      </c>
      <c r="CE291" s="635">
        <v>1.0545934588471966</v>
      </c>
      <c r="CF291" s="635">
        <v>1.0621642434425633</v>
      </c>
      <c r="CG291" s="635">
        <v>1.0681268352165749</v>
      </c>
      <c r="CH291" s="635">
        <v>1.0741228987449627</v>
      </c>
      <c r="CI291" s="635">
        <v>1.0801526219256044</v>
      </c>
      <c r="CJ291" s="635">
        <v>1.0862161937111663</v>
      </c>
      <c r="CK291" s="635">
        <v>1.0923138041150233</v>
      </c>
      <c r="CL291" s="634">
        <v>2.0253155485677441</v>
      </c>
      <c r="CM291" s="634">
        <v>2.0509515356351309</v>
      </c>
      <c r="CN291" s="634">
        <v>2.0769120172403612</v>
      </c>
      <c r="CO291" s="635">
        <v>2.0632572319621452</v>
      </c>
      <c r="CP291" s="635">
        <v>2.0496922209061621</v>
      </c>
      <c r="CQ291" s="635">
        <v>2.0644066856708521</v>
      </c>
      <c r="CR291" s="635">
        <v>2.0792267835989517</v>
      </c>
      <c r="CS291" s="635">
        <v>2.094153273016734</v>
      </c>
      <c r="CT291" s="635">
        <v>2.1091869176943931</v>
      </c>
      <c r="CU291" s="635">
        <v>2.1243284868851267</v>
      </c>
      <c r="CV291" s="635">
        <v>2.1362536704331498</v>
      </c>
      <c r="CW291" s="635">
        <v>2.1482457974899254</v>
      </c>
      <c r="CX291" s="635">
        <v>2.1603052438512087</v>
      </c>
      <c r="CY291" s="635">
        <v>2.1724323874223326</v>
      </c>
      <c r="CZ291" s="635">
        <v>2.1846276082300466</v>
      </c>
      <c r="DA291" s="636">
        <v>0</v>
      </c>
      <c r="DB291" s="636">
        <v>0</v>
      </c>
      <c r="DC291" s="636">
        <v>0</v>
      </c>
      <c r="DD291" s="637">
        <v>0</v>
      </c>
      <c r="DE291" s="637">
        <v>0</v>
      </c>
      <c r="DF291" s="637">
        <v>0</v>
      </c>
      <c r="DG291" s="637">
        <v>0</v>
      </c>
      <c r="DH291" s="637">
        <v>0</v>
      </c>
      <c r="DI291" s="637">
        <v>0</v>
      </c>
      <c r="DJ291" s="637">
        <v>0</v>
      </c>
      <c r="DK291" s="637">
        <v>0</v>
      </c>
      <c r="DL291" s="637">
        <v>0</v>
      </c>
      <c r="DM291" s="637">
        <v>0</v>
      </c>
      <c r="DN291" s="637">
        <v>0</v>
      </c>
      <c r="DO291" s="637">
        <v>0</v>
      </c>
      <c r="DP291" s="636">
        <v>0</v>
      </c>
      <c r="DQ291" s="636">
        <v>0</v>
      </c>
      <c r="DR291" s="636">
        <v>0</v>
      </c>
      <c r="DS291" s="637">
        <v>0</v>
      </c>
      <c r="DT291" s="637">
        <v>0</v>
      </c>
      <c r="DU291" s="637">
        <v>0</v>
      </c>
      <c r="DV291" s="637">
        <v>0</v>
      </c>
      <c r="DW291" s="637">
        <v>0</v>
      </c>
      <c r="DX291" s="637">
        <v>0</v>
      </c>
      <c r="DY291" s="637">
        <v>0</v>
      </c>
      <c r="DZ291" s="637">
        <v>0</v>
      </c>
      <c r="EA291" s="637">
        <v>0</v>
      </c>
      <c r="EB291" s="637">
        <v>0</v>
      </c>
      <c r="EC291" s="637">
        <v>0</v>
      </c>
      <c r="ED291" s="637">
        <v>0</v>
      </c>
    </row>
    <row r="292" spans="1:134" ht="15" x14ac:dyDescent="0.25">
      <c r="A292" s="555">
        <v>138</v>
      </c>
      <c r="B292" s="555">
        <v>97</v>
      </c>
      <c r="C292" s="555" t="s">
        <v>1275</v>
      </c>
      <c r="D292" s="812">
        <v>99712</v>
      </c>
      <c r="E292" s="812">
        <v>99712</v>
      </c>
      <c r="F292" s="630" t="s">
        <v>989</v>
      </c>
      <c r="G292" s="45">
        <v>32</v>
      </c>
      <c r="H292" s="45">
        <v>16</v>
      </c>
      <c r="I292" s="45">
        <v>13</v>
      </c>
      <c r="J292" s="45">
        <v>3</v>
      </c>
      <c r="K292" s="45">
        <v>0</v>
      </c>
      <c r="L292" s="45">
        <v>51</v>
      </c>
      <c r="M292" s="45">
        <v>51</v>
      </c>
      <c r="N292" s="45">
        <v>2</v>
      </c>
      <c r="O292" s="45">
        <v>0</v>
      </c>
      <c r="P292" s="45">
        <v>0</v>
      </c>
      <c r="Q292" s="45">
        <v>53</v>
      </c>
      <c r="R292" s="45">
        <v>0</v>
      </c>
      <c r="S292" s="45">
        <v>2051.4313725490197</v>
      </c>
      <c r="T292" s="45">
        <v>2051.4313725490197</v>
      </c>
      <c r="U292" s="45">
        <v>4336</v>
      </c>
      <c r="V292" s="45">
        <v>0</v>
      </c>
      <c r="W292" s="45">
        <v>0</v>
      </c>
      <c r="X292" s="45">
        <v>2137.6415094339623</v>
      </c>
      <c r="Y292" s="45">
        <v>0</v>
      </c>
      <c r="Z292" s="45">
        <v>16</v>
      </c>
      <c r="AA292" s="45">
        <v>0</v>
      </c>
      <c r="AB292" s="508">
        <v>2</v>
      </c>
      <c r="AC292" s="508">
        <v>0</v>
      </c>
      <c r="AD292" s="631">
        <v>18</v>
      </c>
      <c r="AE292" s="632">
        <v>0</v>
      </c>
      <c r="AF292" s="632">
        <v>13</v>
      </c>
      <c r="AG292" s="633">
        <v>13</v>
      </c>
      <c r="AH292" s="632">
        <v>0</v>
      </c>
      <c r="AI292" s="632">
        <v>0</v>
      </c>
      <c r="AJ292" s="632">
        <v>14.545827922331812</v>
      </c>
      <c r="AK292" s="632">
        <v>14.545827922331812</v>
      </c>
      <c r="AL292" s="632">
        <v>0</v>
      </c>
      <c r="AM292" s="632">
        <v>0</v>
      </c>
      <c r="AN292" s="632">
        <v>11.861903435042819</v>
      </c>
      <c r="AO292" s="632">
        <v>11.861903435042819</v>
      </c>
      <c r="AP292" s="632">
        <v>0</v>
      </c>
      <c r="AQ292" s="632">
        <v>1.8596827016276773</v>
      </c>
      <c r="AR292" s="632">
        <v>0</v>
      </c>
      <c r="AS292" s="632">
        <v>13.223819371630487</v>
      </c>
      <c r="AT292" s="632">
        <v>13.869080757416301</v>
      </c>
      <c r="AU292" s="632">
        <v>14.545827922331812</v>
      </c>
      <c r="AV292" s="632">
        <v>15.255597227159249</v>
      </c>
      <c r="AW292" s="632">
        <v>16</v>
      </c>
      <c r="AX292" s="632">
        <v>10.82344254632928</v>
      </c>
      <c r="AY292" s="632">
        <v>11.330782423084997</v>
      </c>
      <c r="AZ292" s="632">
        <v>11.861903435042819</v>
      </c>
      <c r="BA292" s="632">
        <v>12.417920303156913</v>
      </c>
      <c r="BB292" s="632">
        <v>13</v>
      </c>
      <c r="BC292" s="632">
        <v>1.7292098753666085</v>
      </c>
      <c r="BD292" s="632">
        <v>1.7932600739165065</v>
      </c>
      <c r="BE292" s="632">
        <v>1.8596827016276773</v>
      </c>
      <c r="BF292" s="632">
        <v>1.9285656336395076</v>
      </c>
      <c r="BG292" s="632">
        <v>2</v>
      </c>
      <c r="BH292" s="634">
        <v>16.202524388541953</v>
      </c>
      <c r="BI292" s="634">
        <v>16.407612285081047</v>
      </c>
      <c r="BJ292" s="634">
        <v>16.61529613792289</v>
      </c>
      <c r="BK292" s="635">
        <v>16.506057855697161</v>
      </c>
      <c r="BL292" s="635">
        <v>16.397537767249297</v>
      </c>
      <c r="BM292" s="635">
        <v>16.515253485366816</v>
      </c>
      <c r="BN292" s="635">
        <v>16.633814268791614</v>
      </c>
      <c r="BO292" s="635">
        <v>16.753226184133872</v>
      </c>
      <c r="BP292" s="635">
        <v>16.873495341555145</v>
      </c>
      <c r="BQ292" s="635">
        <v>16.994627895081013</v>
      </c>
      <c r="BR292" s="635">
        <v>17.090029363465199</v>
      </c>
      <c r="BS292" s="635">
        <v>17.185966379919403</v>
      </c>
      <c r="BT292" s="635">
        <v>17.28244195080967</v>
      </c>
      <c r="BU292" s="635">
        <v>17.379459099378661</v>
      </c>
      <c r="BV292" s="635">
        <v>17.477020865840373</v>
      </c>
      <c r="BW292" s="634">
        <v>13.164551065690336</v>
      </c>
      <c r="BX292" s="634">
        <v>13.331184981628351</v>
      </c>
      <c r="BY292" s="634">
        <v>13.499928112062348</v>
      </c>
      <c r="BZ292" s="635">
        <v>13.411172007753944</v>
      </c>
      <c r="CA292" s="635">
        <v>13.322999435890052</v>
      </c>
      <c r="CB292" s="635">
        <v>13.418643456860538</v>
      </c>
      <c r="CC292" s="635">
        <v>13.514974093393187</v>
      </c>
      <c r="CD292" s="635">
        <v>13.611996274608773</v>
      </c>
      <c r="CE292" s="635">
        <v>13.709714965013555</v>
      </c>
      <c r="CF292" s="635">
        <v>13.808135164753322</v>
      </c>
      <c r="CG292" s="635">
        <v>13.885648857815474</v>
      </c>
      <c r="CH292" s="635">
        <v>13.963597683684513</v>
      </c>
      <c r="CI292" s="635">
        <v>14.041984085032857</v>
      </c>
      <c r="CJ292" s="635">
        <v>14.120810518245161</v>
      </c>
      <c r="CK292" s="635">
        <v>14.200079453495302</v>
      </c>
      <c r="CL292" s="634">
        <v>2.0253155485677441</v>
      </c>
      <c r="CM292" s="634">
        <v>2.0509515356351309</v>
      </c>
      <c r="CN292" s="634">
        <v>2.0769120172403612</v>
      </c>
      <c r="CO292" s="635">
        <v>2.0632572319621452</v>
      </c>
      <c r="CP292" s="635">
        <v>2.0496922209061621</v>
      </c>
      <c r="CQ292" s="635">
        <v>2.0644066856708521</v>
      </c>
      <c r="CR292" s="635">
        <v>2.0792267835989517</v>
      </c>
      <c r="CS292" s="635">
        <v>2.094153273016734</v>
      </c>
      <c r="CT292" s="635">
        <v>2.1091869176943931</v>
      </c>
      <c r="CU292" s="635">
        <v>2.1243284868851267</v>
      </c>
      <c r="CV292" s="635">
        <v>2.1362536704331498</v>
      </c>
      <c r="CW292" s="635">
        <v>2.1482457974899254</v>
      </c>
      <c r="CX292" s="635">
        <v>2.1603052438512087</v>
      </c>
      <c r="CY292" s="635">
        <v>2.1724323874223326</v>
      </c>
      <c r="CZ292" s="635">
        <v>2.1846276082300466</v>
      </c>
      <c r="DA292" s="636">
        <v>0</v>
      </c>
      <c r="DB292" s="636">
        <v>0</v>
      </c>
      <c r="DC292" s="636">
        <v>0</v>
      </c>
      <c r="DD292" s="637">
        <v>0</v>
      </c>
      <c r="DE292" s="637">
        <v>0</v>
      </c>
      <c r="DF292" s="637">
        <v>0</v>
      </c>
      <c r="DG292" s="637">
        <v>0</v>
      </c>
      <c r="DH292" s="637">
        <v>0</v>
      </c>
      <c r="DI292" s="637">
        <v>0</v>
      </c>
      <c r="DJ292" s="637">
        <v>0</v>
      </c>
      <c r="DK292" s="637">
        <v>0</v>
      </c>
      <c r="DL292" s="637">
        <v>0</v>
      </c>
      <c r="DM292" s="637">
        <v>0</v>
      </c>
      <c r="DN292" s="637">
        <v>0</v>
      </c>
      <c r="DO292" s="637">
        <v>0</v>
      </c>
      <c r="DP292" s="636">
        <v>0</v>
      </c>
      <c r="DQ292" s="636">
        <v>0</v>
      </c>
      <c r="DR292" s="636">
        <v>0</v>
      </c>
      <c r="DS292" s="637">
        <v>0</v>
      </c>
      <c r="DT292" s="637">
        <v>0</v>
      </c>
      <c r="DU292" s="637">
        <v>0</v>
      </c>
      <c r="DV292" s="637">
        <v>0</v>
      </c>
      <c r="DW292" s="637">
        <v>0</v>
      </c>
      <c r="DX292" s="637">
        <v>0</v>
      </c>
      <c r="DY292" s="637">
        <v>0</v>
      </c>
      <c r="DZ292" s="637">
        <v>0</v>
      </c>
      <c r="EA292" s="637">
        <v>0</v>
      </c>
      <c r="EB292" s="637">
        <v>0</v>
      </c>
      <c r="EC292" s="637">
        <v>0</v>
      </c>
      <c r="ED292" s="637">
        <v>0</v>
      </c>
    </row>
    <row r="293" spans="1:134" ht="15" x14ac:dyDescent="0.25">
      <c r="A293" s="555">
        <v>139</v>
      </c>
      <c r="B293" s="555">
        <v>97</v>
      </c>
      <c r="C293" s="555" t="s">
        <v>1276</v>
      </c>
      <c r="D293" s="812">
        <v>99712</v>
      </c>
      <c r="E293" s="812">
        <v>99712</v>
      </c>
      <c r="F293" s="630" t="s">
        <v>989</v>
      </c>
      <c r="G293" s="45">
        <v>44</v>
      </c>
      <c r="H293" s="45">
        <v>25</v>
      </c>
      <c r="I293" s="45">
        <v>19</v>
      </c>
      <c r="J293" s="45">
        <v>6</v>
      </c>
      <c r="K293" s="45">
        <v>0</v>
      </c>
      <c r="L293" s="45">
        <v>41</v>
      </c>
      <c r="M293" s="45">
        <v>41</v>
      </c>
      <c r="N293" s="45">
        <v>2</v>
      </c>
      <c r="O293" s="45">
        <v>0</v>
      </c>
      <c r="P293" s="45">
        <v>0</v>
      </c>
      <c r="Q293" s="45">
        <v>43</v>
      </c>
      <c r="R293" s="45">
        <v>0</v>
      </c>
      <c r="S293" s="45">
        <v>2037.3902439024391</v>
      </c>
      <c r="T293" s="45">
        <v>2037.3902439024391</v>
      </c>
      <c r="U293" s="45">
        <v>2499</v>
      </c>
      <c r="V293" s="45">
        <v>0</v>
      </c>
      <c r="W293" s="45">
        <v>0</v>
      </c>
      <c r="X293" s="45">
        <v>2058.8604651162791</v>
      </c>
      <c r="Y293" s="45">
        <v>0</v>
      </c>
      <c r="Z293" s="45">
        <v>25</v>
      </c>
      <c r="AA293" s="45">
        <v>0</v>
      </c>
      <c r="AB293" s="508">
        <v>2</v>
      </c>
      <c r="AC293" s="508">
        <v>0</v>
      </c>
      <c r="AD293" s="631">
        <v>27</v>
      </c>
      <c r="AE293" s="632">
        <v>0</v>
      </c>
      <c r="AF293" s="632">
        <v>19</v>
      </c>
      <c r="AG293" s="633">
        <v>19</v>
      </c>
      <c r="AH293" s="632">
        <v>0</v>
      </c>
      <c r="AI293" s="632">
        <v>0</v>
      </c>
      <c r="AJ293" s="632">
        <v>22.727856128643456</v>
      </c>
      <c r="AK293" s="632">
        <v>22.727856128643456</v>
      </c>
      <c r="AL293" s="632">
        <v>0</v>
      </c>
      <c r="AM293" s="632">
        <v>0</v>
      </c>
      <c r="AN293" s="632">
        <v>17.336628097370276</v>
      </c>
      <c r="AO293" s="632">
        <v>17.336628097370276</v>
      </c>
      <c r="AP293" s="632">
        <v>0</v>
      </c>
      <c r="AQ293" s="632">
        <v>1.8596827016276773</v>
      </c>
      <c r="AR293" s="632">
        <v>0</v>
      </c>
      <c r="AS293" s="632">
        <v>20.662217768172635</v>
      </c>
      <c r="AT293" s="632">
        <v>21.670438683462969</v>
      </c>
      <c r="AU293" s="632">
        <v>22.727856128643456</v>
      </c>
      <c r="AV293" s="632">
        <v>23.83687066743633</v>
      </c>
      <c r="AW293" s="632">
        <v>25</v>
      </c>
      <c r="AX293" s="632">
        <v>15.818877567712025</v>
      </c>
      <c r="AY293" s="632">
        <v>16.560374310662688</v>
      </c>
      <c r="AZ293" s="632">
        <v>17.336628097370276</v>
      </c>
      <c r="BA293" s="632">
        <v>18.149268135383181</v>
      </c>
      <c r="BB293" s="632">
        <v>19</v>
      </c>
      <c r="BC293" s="632">
        <v>1.7292098753666085</v>
      </c>
      <c r="BD293" s="632">
        <v>1.7932600739165065</v>
      </c>
      <c r="BE293" s="632">
        <v>1.8596827016276773</v>
      </c>
      <c r="BF293" s="632">
        <v>1.9285656336395076</v>
      </c>
      <c r="BG293" s="632">
        <v>2</v>
      </c>
      <c r="BH293" s="634">
        <v>25.316444357096803</v>
      </c>
      <c r="BI293" s="634">
        <v>25.636894195439137</v>
      </c>
      <c r="BJ293" s="634">
        <v>25.961400215504515</v>
      </c>
      <c r="BK293" s="635">
        <v>25.790715399526814</v>
      </c>
      <c r="BL293" s="635">
        <v>25.621152761327025</v>
      </c>
      <c r="BM293" s="635">
        <v>25.80508357088565</v>
      </c>
      <c r="BN293" s="635">
        <v>25.990334794986897</v>
      </c>
      <c r="BO293" s="635">
        <v>26.176915912709177</v>
      </c>
      <c r="BP293" s="635">
        <v>26.364836471179913</v>
      </c>
      <c r="BQ293" s="635">
        <v>26.554106086064081</v>
      </c>
      <c r="BR293" s="635">
        <v>26.703170880414373</v>
      </c>
      <c r="BS293" s="635">
        <v>26.853072468624067</v>
      </c>
      <c r="BT293" s="635">
        <v>27.003815548140111</v>
      </c>
      <c r="BU293" s="635">
        <v>27.155404842779156</v>
      </c>
      <c r="BV293" s="635">
        <v>27.307845102875582</v>
      </c>
      <c r="BW293" s="634">
        <v>19.240497711393569</v>
      </c>
      <c r="BX293" s="634">
        <v>19.484039588533744</v>
      </c>
      <c r="BY293" s="634">
        <v>19.73066416378343</v>
      </c>
      <c r="BZ293" s="635">
        <v>19.600943703640379</v>
      </c>
      <c r="CA293" s="635">
        <v>19.472076098608539</v>
      </c>
      <c r="CB293" s="635">
        <v>19.611863513873093</v>
      </c>
      <c r="CC293" s="635">
        <v>19.752654444190043</v>
      </c>
      <c r="CD293" s="635">
        <v>19.894456093658974</v>
      </c>
      <c r="CE293" s="635">
        <v>20.037275718096733</v>
      </c>
      <c r="CF293" s="635">
        <v>20.181120625408703</v>
      </c>
      <c r="CG293" s="635">
        <v>20.294409869114922</v>
      </c>
      <c r="CH293" s="635">
        <v>20.408335076154287</v>
      </c>
      <c r="CI293" s="635">
        <v>20.522899816586481</v>
      </c>
      <c r="CJ293" s="635">
        <v>20.638107680512157</v>
      </c>
      <c r="CK293" s="635">
        <v>20.75396227818544</v>
      </c>
      <c r="CL293" s="634">
        <v>2.0253155485677441</v>
      </c>
      <c r="CM293" s="634">
        <v>2.0509515356351309</v>
      </c>
      <c r="CN293" s="634">
        <v>2.0769120172403612</v>
      </c>
      <c r="CO293" s="635">
        <v>2.0632572319621452</v>
      </c>
      <c r="CP293" s="635">
        <v>2.0496922209061621</v>
      </c>
      <c r="CQ293" s="635">
        <v>2.0644066856708521</v>
      </c>
      <c r="CR293" s="635">
        <v>2.0792267835989517</v>
      </c>
      <c r="CS293" s="635">
        <v>2.094153273016734</v>
      </c>
      <c r="CT293" s="635">
        <v>2.1091869176943931</v>
      </c>
      <c r="CU293" s="635">
        <v>2.1243284868851267</v>
      </c>
      <c r="CV293" s="635">
        <v>2.1362536704331498</v>
      </c>
      <c r="CW293" s="635">
        <v>2.1482457974899254</v>
      </c>
      <c r="CX293" s="635">
        <v>2.1603052438512087</v>
      </c>
      <c r="CY293" s="635">
        <v>2.1724323874223326</v>
      </c>
      <c r="CZ293" s="635">
        <v>2.1846276082300466</v>
      </c>
      <c r="DA293" s="636">
        <v>0</v>
      </c>
      <c r="DB293" s="636">
        <v>0</v>
      </c>
      <c r="DC293" s="636">
        <v>0</v>
      </c>
      <c r="DD293" s="637">
        <v>0</v>
      </c>
      <c r="DE293" s="637">
        <v>0</v>
      </c>
      <c r="DF293" s="637">
        <v>0</v>
      </c>
      <c r="DG293" s="637">
        <v>0</v>
      </c>
      <c r="DH293" s="637">
        <v>0</v>
      </c>
      <c r="DI293" s="637">
        <v>0</v>
      </c>
      <c r="DJ293" s="637">
        <v>0</v>
      </c>
      <c r="DK293" s="637">
        <v>0</v>
      </c>
      <c r="DL293" s="637">
        <v>0</v>
      </c>
      <c r="DM293" s="637">
        <v>0</v>
      </c>
      <c r="DN293" s="637">
        <v>0</v>
      </c>
      <c r="DO293" s="637">
        <v>0</v>
      </c>
      <c r="DP293" s="636">
        <v>0</v>
      </c>
      <c r="DQ293" s="636">
        <v>0</v>
      </c>
      <c r="DR293" s="636">
        <v>0</v>
      </c>
      <c r="DS293" s="637">
        <v>0</v>
      </c>
      <c r="DT293" s="637">
        <v>0</v>
      </c>
      <c r="DU293" s="637">
        <v>0</v>
      </c>
      <c r="DV293" s="637">
        <v>0</v>
      </c>
      <c r="DW293" s="637">
        <v>0</v>
      </c>
      <c r="DX293" s="637">
        <v>0</v>
      </c>
      <c r="DY293" s="637">
        <v>0</v>
      </c>
      <c r="DZ293" s="637">
        <v>0</v>
      </c>
      <c r="EA293" s="637">
        <v>0</v>
      </c>
      <c r="EB293" s="637">
        <v>0</v>
      </c>
      <c r="EC293" s="637">
        <v>0</v>
      </c>
      <c r="ED293" s="637">
        <v>0</v>
      </c>
    </row>
    <row r="294" spans="1:134" ht="15" x14ac:dyDescent="0.25">
      <c r="A294" s="555">
        <v>141</v>
      </c>
      <c r="B294" s="555">
        <v>97</v>
      </c>
      <c r="C294" s="555" t="s">
        <v>1277</v>
      </c>
      <c r="D294" s="812">
        <v>99712</v>
      </c>
      <c r="E294" s="812">
        <v>99712</v>
      </c>
      <c r="F294" s="630" t="s">
        <v>989</v>
      </c>
      <c r="G294" s="45">
        <v>9</v>
      </c>
      <c r="H294" s="45">
        <v>3</v>
      </c>
      <c r="I294" s="45">
        <v>3</v>
      </c>
      <c r="J294" s="45">
        <v>0</v>
      </c>
      <c r="K294" s="45">
        <v>0</v>
      </c>
      <c r="L294" s="45">
        <v>6</v>
      </c>
      <c r="M294" s="45">
        <v>6</v>
      </c>
      <c r="N294" s="45">
        <v>0</v>
      </c>
      <c r="O294" s="45">
        <v>0</v>
      </c>
      <c r="P294" s="45">
        <v>0</v>
      </c>
      <c r="Q294" s="45">
        <v>6</v>
      </c>
      <c r="R294" s="45">
        <v>0</v>
      </c>
      <c r="S294" s="45">
        <v>2149.8333333333335</v>
      </c>
      <c r="T294" s="45">
        <v>2149.8333333333335</v>
      </c>
      <c r="U294" s="45">
        <v>0</v>
      </c>
      <c r="V294" s="45">
        <v>0</v>
      </c>
      <c r="W294" s="45">
        <v>0</v>
      </c>
      <c r="X294" s="45">
        <v>2149.8333333333335</v>
      </c>
      <c r="Y294" s="45">
        <v>0</v>
      </c>
      <c r="Z294" s="45">
        <v>3</v>
      </c>
      <c r="AA294" s="45">
        <v>0</v>
      </c>
      <c r="AB294" s="508">
        <v>0</v>
      </c>
      <c r="AC294" s="508">
        <v>0</v>
      </c>
      <c r="AD294" s="631">
        <v>3</v>
      </c>
      <c r="AE294" s="632">
        <v>0</v>
      </c>
      <c r="AF294" s="632">
        <v>3</v>
      </c>
      <c r="AG294" s="633">
        <v>3</v>
      </c>
      <c r="AH294" s="632">
        <v>0</v>
      </c>
      <c r="AI294" s="632">
        <v>0</v>
      </c>
      <c r="AJ294" s="632">
        <v>2.7273427354372148</v>
      </c>
      <c r="AK294" s="632">
        <v>2.7273427354372148</v>
      </c>
      <c r="AL294" s="632">
        <v>0</v>
      </c>
      <c r="AM294" s="632">
        <v>0</v>
      </c>
      <c r="AN294" s="632">
        <v>2.7373623311637276</v>
      </c>
      <c r="AO294" s="632">
        <v>2.7373623311637276</v>
      </c>
      <c r="AP294" s="632">
        <v>0</v>
      </c>
      <c r="AQ294" s="632">
        <v>0</v>
      </c>
      <c r="AR294" s="632">
        <v>0</v>
      </c>
      <c r="AS294" s="632">
        <v>2.4794661321807161</v>
      </c>
      <c r="AT294" s="632">
        <v>2.600452642015556</v>
      </c>
      <c r="AU294" s="632">
        <v>2.7273427354372148</v>
      </c>
      <c r="AV294" s="632">
        <v>2.8604244800923593</v>
      </c>
      <c r="AW294" s="632">
        <v>3</v>
      </c>
      <c r="AX294" s="632">
        <v>2.4977175106913725</v>
      </c>
      <c r="AY294" s="632">
        <v>2.6147959437888453</v>
      </c>
      <c r="AZ294" s="632">
        <v>2.7373623311637276</v>
      </c>
      <c r="BA294" s="632">
        <v>2.8656739161131335</v>
      </c>
      <c r="BB294" s="632">
        <v>3</v>
      </c>
      <c r="BC294" s="632">
        <v>0</v>
      </c>
      <c r="BD294" s="632">
        <v>0</v>
      </c>
      <c r="BE294" s="632">
        <v>0</v>
      </c>
      <c r="BF294" s="632">
        <v>0</v>
      </c>
      <c r="BG294" s="632">
        <v>0</v>
      </c>
      <c r="BH294" s="634">
        <v>3.0379733228516161</v>
      </c>
      <c r="BI294" s="634">
        <v>3.0764273034526965</v>
      </c>
      <c r="BJ294" s="634">
        <v>3.1153680258605418</v>
      </c>
      <c r="BK294" s="635">
        <v>3.094885847943218</v>
      </c>
      <c r="BL294" s="635">
        <v>3.0745383313592431</v>
      </c>
      <c r="BM294" s="635">
        <v>3.0966100285062779</v>
      </c>
      <c r="BN294" s="635">
        <v>3.1188401753984278</v>
      </c>
      <c r="BO294" s="635">
        <v>3.1412299095251015</v>
      </c>
      <c r="BP294" s="635">
        <v>3.1637803765415899</v>
      </c>
      <c r="BQ294" s="635">
        <v>3.1864927303276898</v>
      </c>
      <c r="BR294" s="635">
        <v>3.2043805056497248</v>
      </c>
      <c r="BS294" s="635">
        <v>3.2223686962348879</v>
      </c>
      <c r="BT294" s="635">
        <v>3.2404578657768131</v>
      </c>
      <c r="BU294" s="635">
        <v>3.2586485811334986</v>
      </c>
      <c r="BV294" s="635">
        <v>3.27694141234507</v>
      </c>
      <c r="BW294" s="634">
        <v>3.0379733228516161</v>
      </c>
      <c r="BX294" s="634">
        <v>3.0764273034526965</v>
      </c>
      <c r="BY294" s="634">
        <v>3.1153680258605418</v>
      </c>
      <c r="BZ294" s="635">
        <v>3.094885847943218</v>
      </c>
      <c r="CA294" s="635">
        <v>3.0745383313592431</v>
      </c>
      <c r="CB294" s="635">
        <v>3.0966100285062779</v>
      </c>
      <c r="CC294" s="635">
        <v>3.1188401753984278</v>
      </c>
      <c r="CD294" s="635">
        <v>3.1412299095251015</v>
      </c>
      <c r="CE294" s="635">
        <v>3.1637803765415899</v>
      </c>
      <c r="CF294" s="635">
        <v>3.1864927303276898</v>
      </c>
      <c r="CG294" s="635">
        <v>3.2043805056497248</v>
      </c>
      <c r="CH294" s="635">
        <v>3.2223686962348879</v>
      </c>
      <c r="CI294" s="635">
        <v>3.2404578657768131</v>
      </c>
      <c r="CJ294" s="635">
        <v>3.2586485811334986</v>
      </c>
      <c r="CK294" s="635">
        <v>3.27694141234507</v>
      </c>
      <c r="CL294" s="634">
        <v>0</v>
      </c>
      <c r="CM294" s="634">
        <v>0</v>
      </c>
      <c r="CN294" s="634">
        <v>0</v>
      </c>
      <c r="CO294" s="635">
        <v>0</v>
      </c>
      <c r="CP294" s="635">
        <v>0</v>
      </c>
      <c r="CQ294" s="635">
        <v>0</v>
      </c>
      <c r="CR294" s="635">
        <v>0</v>
      </c>
      <c r="CS294" s="635">
        <v>0</v>
      </c>
      <c r="CT294" s="635">
        <v>0</v>
      </c>
      <c r="CU294" s="635">
        <v>0</v>
      </c>
      <c r="CV294" s="635">
        <v>0</v>
      </c>
      <c r="CW294" s="635">
        <v>0</v>
      </c>
      <c r="CX294" s="635">
        <v>0</v>
      </c>
      <c r="CY294" s="635">
        <v>0</v>
      </c>
      <c r="CZ294" s="635">
        <v>0</v>
      </c>
      <c r="DA294" s="636">
        <v>0</v>
      </c>
      <c r="DB294" s="636">
        <v>0</v>
      </c>
      <c r="DC294" s="636">
        <v>0</v>
      </c>
      <c r="DD294" s="637">
        <v>0</v>
      </c>
      <c r="DE294" s="637">
        <v>0</v>
      </c>
      <c r="DF294" s="637">
        <v>0</v>
      </c>
      <c r="DG294" s="637">
        <v>0</v>
      </c>
      <c r="DH294" s="637">
        <v>0</v>
      </c>
      <c r="DI294" s="637">
        <v>0</v>
      </c>
      <c r="DJ294" s="637">
        <v>0</v>
      </c>
      <c r="DK294" s="637">
        <v>0</v>
      </c>
      <c r="DL294" s="637">
        <v>0</v>
      </c>
      <c r="DM294" s="637">
        <v>0</v>
      </c>
      <c r="DN294" s="637">
        <v>0</v>
      </c>
      <c r="DO294" s="637">
        <v>0</v>
      </c>
      <c r="DP294" s="636">
        <v>0</v>
      </c>
      <c r="DQ294" s="636">
        <v>0</v>
      </c>
      <c r="DR294" s="636">
        <v>0</v>
      </c>
      <c r="DS294" s="637">
        <v>0</v>
      </c>
      <c r="DT294" s="637">
        <v>0</v>
      </c>
      <c r="DU294" s="637">
        <v>0</v>
      </c>
      <c r="DV294" s="637">
        <v>0</v>
      </c>
      <c r="DW294" s="637">
        <v>0</v>
      </c>
      <c r="DX294" s="637">
        <v>0</v>
      </c>
      <c r="DY294" s="637">
        <v>0</v>
      </c>
      <c r="DZ294" s="637">
        <v>0</v>
      </c>
      <c r="EA294" s="637">
        <v>0</v>
      </c>
      <c r="EB294" s="637">
        <v>0</v>
      </c>
      <c r="EC294" s="637">
        <v>0</v>
      </c>
      <c r="ED294" s="637">
        <v>0</v>
      </c>
    </row>
    <row r="295" spans="1:134" ht="15" x14ac:dyDescent="0.25">
      <c r="A295" s="555">
        <v>89</v>
      </c>
      <c r="B295" s="555">
        <v>98</v>
      </c>
      <c r="C295" s="555" t="s">
        <v>1278</v>
      </c>
      <c r="D295" s="812">
        <v>99709</v>
      </c>
      <c r="E295" s="812">
        <v>99709</v>
      </c>
      <c r="F295" s="630" t="s">
        <v>989</v>
      </c>
      <c r="G295" s="45">
        <v>55</v>
      </c>
      <c r="H295" s="45">
        <v>34</v>
      </c>
      <c r="I295" s="45">
        <v>27</v>
      </c>
      <c r="J295" s="45">
        <v>7</v>
      </c>
      <c r="K295" s="45">
        <v>0</v>
      </c>
      <c r="L295" s="45">
        <v>0</v>
      </c>
      <c r="M295" s="45">
        <v>0</v>
      </c>
      <c r="N295" s="45">
        <v>0</v>
      </c>
      <c r="O295" s="45">
        <v>0</v>
      </c>
      <c r="P295" s="45">
        <v>0</v>
      </c>
      <c r="Q295" s="45">
        <v>0</v>
      </c>
      <c r="R295" s="45">
        <v>0</v>
      </c>
      <c r="S295" s="45">
        <v>834.49503068156923</v>
      </c>
      <c r="T295" s="45">
        <v>834.49503068156923</v>
      </c>
      <c r="U295" s="45">
        <v>1408.3846153846155</v>
      </c>
      <c r="V295" s="45">
        <v>0</v>
      </c>
      <c r="W295" s="45">
        <v>0</v>
      </c>
      <c r="X295" s="45">
        <v>1365.173957061457</v>
      </c>
      <c r="Y295" s="45">
        <v>0.77901940401940406</v>
      </c>
      <c r="Z295" s="45">
        <v>33.176801801801801</v>
      </c>
      <c r="AA295" s="45">
        <v>4.4178794178794181E-2</v>
      </c>
      <c r="AB295" s="508">
        <v>0</v>
      </c>
      <c r="AC295" s="508">
        <v>0</v>
      </c>
      <c r="AD295" s="631">
        <v>33.999999999999993</v>
      </c>
      <c r="AE295" s="632">
        <v>0.61863305613305619</v>
      </c>
      <c r="AF295" s="632">
        <v>26.346283783783782</v>
      </c>
      <c r="AG295" s="633">
        <v>26.964916839916839</v>
      </c>
      <c r="AH295" s="632">
        <v>3.5083160083160085E-2</v>
      </c>
      <c r="AI295" s="632">
        <v>0.74174986541100141</v>
      </c>
      <c r="AJ295" s="632">
        <v>31.589570355093478</v>
      </c>
      <c r="AK295" s="632">
        <v>32.33132022050448</v>
      </c>
      <c r="AL295" s="632">
        <v>4.2065209758657927E-2</v>
      </c>
      <c r="AM295" s="632">
        <v>0.59014786748743053</v>
      </c>
      <c r="AN295" s="632">
        <v>25.133159369800229</v>
      </c>
      <c r="AO295" s="632">
        <v>25.72330723728766</v>
      </c>
      <c r="AP295" s="632">
        <v>3.3467742957699276E-2</v>
      </c>
      <c r="AQ295" s="632">
        <v>0</v>
      </c>
      <c r="AR295" s="632">
        <v>0</v>
      </c>
      <c r="AS295" s="632">
        <v>30.784537969636812</v>
      </c>
      <c r="AT295" s="632">
        <v>31.548450911837278</v>
      </c>
      <c r="AU295" s="632">
        <v>32.331320220504473</v>
      </c>
      <c r="AV295" s="632">
        <v>33.133616294567091</v>
      </c>
      <c r="AW295" s="632">
        <v>33.955821205821202</v>
      </c>
      <c r="AX295" s="632">
        <v>24.538868009575378</v>
      </c>
      <c r="AY295" s="632">
        <v>25.124108761616938</v>
      </c>
      <c r="AZ295" s="632">
        <v>25.72330723728766</v>
      </c>
      <c r="BA295" s="632">
        <v>26.336796321897101</v>
      </c>
      <c r="BB295" s="632">
        <v>26.964916839916839</v>
      </c>
      <c r="BC295" s="632">
        <v>0</v>
      </c>
      <c r="BD295" s="632">
        <v>0</v>
      </c>
      <c r="BE295" s="632">
        <v>0</v>
      </c>
      <c r="BF295" s="632">
        <v>0</v>
      </c>
      <c r="BG295" s="632">
        <v>0</v>
      </c>
      <c r="BH295" s="634">
        <v>34.129764280628343</v>
      </c>
      <c r="BI295" s="634">
        <v>34.304598401276785</v>
      </c>
      <c r="BJ295" s="634">
        <v>34.480328132263807</v>
      </c>
      <c r="BK295" s="635">
        <v>34.917931085069391</v>
      </c>
      <c r="BL295" s="635">
        <v>35.355534037874968</v>
      </c>
      <c r="BM295" s="635">
        <v>35.793136990680544</v>
      </c>
      <c r="BN295" s="635">
        <v>36.230739943486128</v>
      </c>
      <c r="BO295" s="635">
        <v>36.748176733606705</v>
      </c>
      <c r="BP295" s="635">
        <v>37.265613523727289</v>
      </c>
      <c r="BQ295" s="635">
        <v>38.70009684818487</v>
      </c>
      <c r="BR295" s="635">
        <v>40.409185542990421</v>
      </c>
      <c r="BS295" s="635">
        <v>41.159612740306031</v>
      </c>
      <c r="BT295" s="635">
        <v>41.571714400063627</v>
      </c>
      <c r="BU295" s="635">
        <v>41.99848455201986</v>
      </c>
      <c r="BV295" s="635">
        <v>42.435522648515132</v>
      </c>
      <c r="BW295" s="634">
        <v>27.103048105204863</v>
      </c>
      <c r="BX295" s="634">
        <v>27.241886965719804</v>
      </c>
      <c r="BY295" s="634">
        <v>27.381437046209491</v>
      </c>
      <c r="BZ295" s="635">
        <v>27.728945273437454</v>
      </c>
      <c r="CA295" s="635">
        <v>28.076453500665416</v>
      </c>
      <c r="CB295" s="635">
        <v>28.423961727893371</v>
      </c>
      <c r="CC295" s="635">
        <v>28.771469955121333</v>
      </c>
      <c r="CD295" s="635">
        <v>29.182375641393559</v>
      </c>
      <c r="CE295" s="635">
        <v>29.593281327665785</v>
      </c>
      <c r="CF295" s="635">
        <v>30.73242985002916</v>
      </c>
      <c r="CG295" s="635">
        <v>32.089647342962984</v>
      </c>
      <c r="CH295" s="635">
        <v>32.685574823184197</v>
      </c>
      <c r="CI295" s="635">
        <v>33.012832023579932</v>
      </c>
      <c r="CJ295" s="635">
        <v>33.351737732486356</v>
      </c>
      <c r="CK295" s="635">
        <v>33.698797397350248</v>
      </c>
      <c r="CL295" s="634">
        <v>0</v>
      </c>
      <c r="CM295" s="634">
        <v>0</v>
      </c>
      <c r="CN295" s="634">
        <v>0</v>
      </c>
      <c r="CO295" s="635">
        <v>0</v>
      </c>
      <c r="CP295" s="635">
        <v>0</v>
      </c>
      <c r="CQ295" s="635">
        <v>0</v>
      </c>
      <c r="CR295" s="635">
        <v>0</v>
      </c>
      <c r="CS295" s="635">
        <v>0</v>
      </c>
      <c r="CT295" s="635">
        <v>0</v>
      </c>
      <c r="CU295" s="635">
        <v>0</v>
      </c>
      <c r="CV295" s="635">
        <v>0</v>
      </c>
      <c r="CW295" s="635">
        <v>0</v>
      </c>
      <c r="CX295" s="635">
        <v>0</v>
      </c>
      <c r="CY295" s="635">
        <v>0</v>
      </c>
      <c r="CZ295" s="635">
        <v>0</v>
      </c>
      <c r="DA295" s="636">
        <v>4.4405105751533114E-2</v>
      </c>
      <c r="DB295" s="636">
        <v>4.4632576634500119E-2</v>
      </c>
      <c r="DC295" s="636">
        <v>4.4861212766411411E-2</v>
      </c>
      <c r="DD295" s="637">
        <v>4.5430563472637769E-2</v>
      </c>
      <c r="DE295" s="637">
        <v>4.5999914178864135E-2</v>
      </c>
      <c r="DF295" s="637">
        <v>4.6569264885090486E-2</v>
      </c>
      <c r="DG295" s="637">
        <v>4.7138615591316851E-2</v>
      </c>
      <c r="DH295" s="637">
        <v>4.7811835458764912E-2</v>
      </c>
      <c r="DI295" s="637">
        <v>4.8485055326212979E-2</v>
      </c>
      <c r="DJ295" s="637">
        <v>5.0351414062171321E-2</v>
      </c>
      <c r="DK295" s="637">
        <v>5.2575052749141857E-2</v>
      </c>
      <c r="DL295" s="637">
        <v>5.3551408717546226E-2</v>
      </c>
      <c r="DM295" s="637">
        <v>5.4087580536122337E-2</v>
      </c>
      <c r="DN295" s="637">
        <v>5.4642837044001906E-2</v>
      </c>
      <c r="DO295" s="637">
        <v>5.5211452834393882E-2</v>
      </c>
      <c r="DP295" s="636">
        <v>0</v>
      </c>
      <c r="DQ295" s="636">
        <v>0</v>
      </c>
      <c r="DR295" s="636">
        <v>0</v>
      </c>
      <c r="DS295" s="637">
        <v>0</v>
      </c>
      <c r="DT295" s="637">
        <v>0</v>
      </c>
      <c r="DU295" s="637">
        <v>0</v>
      </c>
      <c r="DV295" s="637">
        <v>0</v>
      </c>
      <c r="DW295" s="637">
        <v>0</v>
      </c>
      <c r="DX295" s="637">
        <v>0</v>
      </c>
      <c r="DY295" s="637">
        <v>0</v>
      </c>
      <c r="DZ295" s="637">
        <v>0</v>
      </c>
      <c r="EA295" s="637">
        <v>0</v>
      </c>
      <c r="EB295" s="637">
        <v>0</v>
      </c>
      <c r="EC295" s="637">
        <v>0</v>
      </c>
      <c r="ED295" s="637">
        <v>0</v>
      </c>
    </row>
    <row r="296" spans="1:134" ht="15" x14ac:dyDescent="0.25">
      <c r="A296" s="555">
        <v>90</v>
      </c>
      <c r="B296" s="555">
        <v>98</v>
      </c>
      <c r="C296" s="555" t="s">
        <v>1279</v>
      </c>
      <c r="D296" s="812">
        <v>99709</v>
      </c>
      <c r="E296" s="812">
        <v>99709</v>
      </c>
      <c r="F296" s="630" t="s">
        <v>989</v>
      </c>
      <c r="G296" s="45">
        <v>10</v>
      </c>
      <c r="H296" s="45">
        <v>3</v>
      </c>
      <c r="I296" s="45">
        <v>3</v>
      </c>
      <c r="J296" s="45">
        <v>0</v>
      </c>
      <c r="K296" s="45">
        <v>0</v>
      </c>
      <c r="L296" s="45">
        <v>2</v>
      </c>
      <c r="M296" s="45">
        <v>2</v>
      </c>
      <c r="N296" s="45">
        <v>0</v>
      </c>
      <c r="O296" s="45">
        <v>0</v>
      </c>
      <c r="P296" s="45">
        <v>0</v>
      </c>
      <c r="Q296" s="45">
        <v>2</v>
      </c>
      <c r="R296" s="45">
        <v>0</v>
      </c>
      <c r="S296" s="45">
        <v>1071</v>
      </c>
      <c r="T296" s="45">
        <v>1071</v>
      </c>
      <c r="U296" s="45">
        <v>0</v>
      </c>
      <c r="V296" s="45">
        <v>0</v>
      </c>
      <c r="W296" s="45">
        <v>0</v>
      </c>
      <c r="X296" s="45">
        <v>1071</v>
      </c>
      <c r="Y296" s="45">
        <v>0</v>
      </c>
      <c r="Z296" s="45">
        <v>3</v>
      </c>
      <c r="AA296" s="45">
        <v>0</v>
      </c>
      <c r="AB296" s="508">
        <v>0</v>
      </c>
      <c r="AC296" s="508">
        <v>0</v>
      </c>
      <c r="AD296" s="631">
        <v>3</v>
      </c>
      <c r="AE296" s="632">
        <v>0</v>
      </c>
      <c r="AF296" s="632">
        <v>3</v>
      </c>
      <c r="AG296" s="633">
        <v>3</v>
      </c>
      <c r="AH296" s="632">
        <v>0</v>
      </c>
      <c r="AI296" s="632">
        <v>0</v>
      </c>
      <c r="AJ296" s="632">
        <v>2.8564751850232182</v>
      </c>
      <c r="AK296" s="632">
        <v>2.8564751850232182</v>
      </c>
      <c r="AL296" s="632">
        <v>0</v>
      </c>
      <c r="AM296" s="632">
        <v>0</v>
      </c>
      <c r="AN296" s="632">
        <v>2.861863886693929</v>
      </c>
      <c r="AO296" s="632">
        <v>2.861863886693929</v>
      </c>
      <c r="AP296" s="632">
        <v>0</v>
      </c>
      <c r="AQ296" s="632">
        <v>0</v>
      </c>
      <c r="AR296" s="632">
        <v>0</v>
      </c>
      <c r="AS296" s="632">
        <v>2.7198168275511425</v>
      </c>
      <c r="AT296" s="632">
        <v>2.7873086079062741</v>
      </c>
      <c r="AU296" s="632">
        <v>2.8564751850232182</v>
      </c>
      <c r="AV296" s="632">
        <v>2.9273581186916053</v>
      </c>
      <c r="AW296" s="632">
        <v>3</v>
      </c>
      <c r="AX296" s="632">
        <v>2.7300883019876268</v>
      </c>
      <c r="AY296" s="632">
        <v>2.7951996563651655</v>
      </c>
      <c r="AZ296" s="632">
        <v>2.861863886693929</v>
      </c>
      <c r="BA296" s="632">
        <v>2.9301180283534292</v>
      </c>
      <c r="BB296" s="632">
        <v>3</v>
      </c>
      <c r="BC296" s="632">
        <v>0</v>
      </c>
      <c r="BD296" s="632">
        <v>0</v>
      </c>
      <c r="BE296" s="632">
        <v>0</v>
      </c>
      <c r="BF296" s="632">
        <v>0</v>
      </c>
      <c r="BG296" s="632">
        <v>0</v>
      </c>
      <c r="BH296" s="634">
        <v>3.015367887033519</v>
      </c>
      <c r="BI296" s="634">
        <v>3.0308144980509963</v>
      </c>
      <c r="BJ296" s="634">
        <v>3.0463402363261958</v>
      </c>
      <c r="BK296" s="635">
        <v>3.0850024984007671</v>
      </c>
      <c r="BL296" s="635">
        <v>3.1236647604753385</v>
      </c>
      <c r="BM296" s="635">
        <v>3.1623270225499089</v>
      </c>
      <c r="BN296" s="635">
        <v>3.2009892846244803</v>
      </c>
      <c r="BO296" s="635">
        <v>3.2467048737410713</v>
      </c>
      <c r="BP296" s="635">
        <v>3.2924204628576619</v>
      </c>
      <c r="BQ296" s="635">
        <v>3.4191571996100332</v>
      </c>
      <c r="BR296" s="635">
        <v>3.570155346682903</v>
      </c>
      <c r="BS296" s="635">
        <v>3.6364556602079623</v>
      </c>
      <c r="BT296" s="635">
        <v>3.6728648806411539</v>
      </c>
      <c r="BU296" s="635">
        <v>3.7105700637409291</v>
      </c>
      <c r="BV296" s="635">
        <v>3.7491824207073114</v>
      </c>
      <c r="BW296" s="634">
        <v>3.015367887033519</v>
      </c>
      <c r="BX296" s="634">
        <v>3.0308144980509963</v>
      </c>
      <c r="BY296" s="634">
        <v>3.0463402363261958</v>
      </c>
      <c r="BZ296" s="635">
        <v>3.0850024984007671</v>
      </c>
      <c r="CA296" s="635">
        <v>3.1236647604753385</v>
      </c>
      <c r="CB296" s="635">
        <v>3.1623270225499089</v>
      </c>
      <c r="CC296" s="635">
        <v>3.2009892846244803</v>
      </c>
      <c r="CD296" s="635">
        <v>3.2467048737410713</v>
      </c>
      <c r="CE296" s="635">
        <v>3.2924204628576619</v>
      </c>
      <c r="CF296" s="635">
        <v>3.4191571996100332</v>
      </c>
      <c r="CG296" s="635">
        <v>3.570155346682903</v>
      </c>
      <c r="CH296" s="635">
        <v>3.6364556602079623</v>
      </c>
      <c r="CI296" s="635">
        <v>3.6728648806411539</v>
      </c>
      <c r="CJ296" s="635">
        <v>3.7105700637409291</v>
      </c>
      <c r="CK296" s="635">
        <v>3.7491824207073114</v>
      </c>
      <c r="CL296" s="634">
        <v>0</v>
      </c>
      <c r="CM296" s="634">
        <v>0</v>
      </c>
      <c r="CN296" s="634">
        <v>0</v>
      </c>
      <c r="CO296" s="635">
        <v>0</v>
      </c>
      <c r="CP296" s="635">
        <v>0</v>
      </c>
      <c r="CQ296" s="635">
        <v>0</v>
      </c>
      <c r="CR296" s="635">
        <v>0</v>
      </c>
      <c r="CS296" s="635">
        <v>0</v>
      </c>
      <c r="CT296" s="635">
        <v>0</v>
      </c>
      <c r="CU296" s="635">
        <v>0</v>
      </c>
      <c r="CV296" s="635">
        <v>0</v>
      </c>
      <c r="CW296" s="635">
        <v>0</v>
      </c>
      <c r="CX296" s="635">
        <v>0</v>
      </c>
      <c r="CY296" s="635">
        <v>0</v>
      </c>
      <c r="CZ296" s="635">
        <v>0</v>
      </c>
      <c r="DA296" s="636">
        <v>0</v>
      </c>
      <c r="DB296" s="636">
        <v>0</v>
      </c>
      <c r="DC296" s="636">
        <v>0</v>
      </c>
      <c r="DD296" s="637">
        <v>0</v>
      </c>
      <c r="DE296" s="637">
        <v>0</v>
      </c>
      <c r="DF296" s="637">
        <v>0</v>
      </c>
      <c r="DG296" s="637">
        <v>0</v>
      </c>
      <c r="DH296" s="637">
        <v>0</v>
      </c>
      <c r="DI296" s="637">
        <v>0</v>
      </c>
      <c r="DJ296" s="637">
        <v>0</v>
      </c>
      <c r="DK296" s="637">
        <v>0</v>
      </c>
      <c r="DL296" s="637">
        <v>0</v>
      </c>
      <c r="DM296" s="637">
        <v>0</v>
      </c>
      <c r="DN296" s="637">
        <v>0</v>
      </c>
      <c r="DO296" s="637">
        <v>0</v>
      </c>
      <c r="DP296" s="636">
        <v>0</v>
      </c>
      <c r="DQ296" s="636">
        <v>0</v>
      </c>
      <c r="DR296" s="636">
        <v>0</v>
      </c>
      <c r="DS296" s="637">
        <v>0</v>
      </c>
      <c r="DT296" s="637">
        <v>0</v>
      </c>
      <c r="DU296" s="637">
        <v>0</v>
      </c>
      <c r="DV296" s="637">
        <v>0</v>
      </c>
      <c r="DW296" s="637">
        <v>0</v>
      </c>
      <c r="DX296" s="637">
        <v>0</v>
      </c>
      <c r="DY296" s="637">
        <v>0</v>
      </c>
      <c r="DZ296" s="637">
        <v>0</v>
      </c>
      <c r="EA296" s="637">
        <v>0</v>
      </c>
      <c r="EB296" s="637">
        <v>0</v>
      </c>
      <c r="EC296" s="637">
        <v>0</v>
      </c>
      <c r="ED296" s="637">
        <v>0</v>
      </c>
    </row>
    <row r="297" spans="1:134" ht="15" x14ac:dyDescent="0.25">
      <c r="A297" s="555">
        <v>101</v>
      </c>
      <c r="B297" s="555">
        <v>98</v>
      </c>
      <c r="C297" s="555" t="s">
        <v>1280</v>
      </c>
      <c r="D297" s="812">
        <v>99709</v>
      </c>
      <c r="E297" s="812">
        <v>99709</v>
      </c>
      <c r="F297" s="630" t="s">
        <v>311</v>
      </c>
      <c r="G297" s="45">
        <v>34</v>
      </c>
      <c r="H297" s="45">
        <v>20</v>
      </c>
      <c r="I297" s="45">
        <v>15</v>
      </c>
      <c r="J297" s="45">
        <v>5</v>
      </c>
      <c r="K297" s="45">
        <v>0</v>
      </c>
      <c r="L297" s="45">
        <v>29</v>
      </c>
      <c r="M297" s="45">
        <v>29</v>
      </c>
      <c r="N297" s="45">
        <v>1</v>
      </c>
      <c r="O297" s="45">
        <v>0</v>
      </c>
      <c r="P297" s="45">
        <v>0</v>
      </c>
      <c r="Q297" s="45">
        <v>30</v>
      </c>
      <c r="R297" s="45">
        <v>0</v>
      </c>
      <c r="S297" s="45">
        <v>1284.5862068965516</v>
      </c>
      <c r="T297" s="45">
        <v>1284.5862068965516</v>
      </c>
      <c r="U297" s="45">
        <v>11822</v>
      </c>
      <c r="V297" s="45">
        <v>0</v>
      </c>
      <c r="W297" s="45">
        <v>0</v>
      </c>
      <c r="X297" s="45">
        <v>1635.8333333333333</v>
      </c>
      <c r="Y297" s="45">
        <v>0</v>
      </c>
      <c r="Z297" s="45">
        <v>20</v>
      </c>
      <c r="AA297" s="45">
        <v>0</v>
      </c>
      <c r="AB297" s="508">
        <v>1</v>
      </c>
      <c r="AC297" s="508">
        <v>0</v>
      </c>
      <c r="AD297" s="631">
        <v>21</v>
      </c>
      <c r="AE297" s="632">
        <v>0</v>
      </c>
      <c r="AF297" s="632">
        <v>15</v>
      </c>
      <c r="AG297" s="633">
        <v>15</v>
      </c>
      <c r="AH297" s="632">
        <v>0</v>
      </c>
      <c r="AI297" s="632">
        <v>0</v>
      </c>
      <c r="AJ297" s="632">
        <v>19.043167900154788</v>
      </c>
      <c r="AK297" s="632">
        <v>19.043167900154788</v>
      </c>
      <c r="AL297" s="632">
        <v>0</v>
      </c>
      <c r="AM297" s="632">
        <v>0</v>
      </c>
      <c r="AN297" s="632">
        <v>14.309319433469645</v>
      </c>
      <c r="AO297" s="632">
        <v>14.309319433469645</v>
      </c>
      <c r="AP297" s="632">
        <v>0</v>
      </c>
      <c r="AQ297" s="632">
        <v>0.95966573850124082</v>
      </c>
      <c r="AR297" s="632">
        <v>0</v>
      </c>
      <c r="AS297" s="632">
        <v>18.132112183674284</v>
      </c>
      <c r="AT297" s="632">
        <v>18.582057386041829</v>
      </c>
      <c r="AU297" s="632">
        <v>19.043167900154788</v>
      </c>
      <c r="AV297" s="632">
        <v>19.515720791277367</v>
      </c>
      <c r="AW297" s="632">
        <v>20</v>
      </c>
      <c r="AX297" s="632">
        <v>13.650441509938135</v>
      </c>
      <c r="AY297" s="632">
        <v>13.975998281825829</v>
      </c>
      <c r="AZ297" s="632">
        <v>14.309319433469645</v>
      </c>
      <c r="BA297" s="632">
        <v>14.650590141767145</v>
      </c>
      <c r="BB297" s="632">
        <v>15</v>
      </c>
      <c r="BC297" s="632">
        <v>0.92095832965313207</v>
      </c>
      <c r="BD297" s="632">
        <v>0.94011284192667122</v>
      </c>
      <c r="BE297" s="632">
        <v>0.95966573850124082</v>
      </c>
      <c r="BF297" s="632">
        <v>0.97962530515561963</v>
      </c>
      <c r="BG297" s="632">
        <v>1</v>
      </c>
      <c r="BH297" s="634">
        <v>20.208076675314587</v>
      </c>
      <c r="BI297" s="634">
        <v>20.418318145769668</v>
      </c>
      <c r="BJ297" s="634">
        <v>20.630746933534031</v>
      </c>
      <c r="BK297" s="635">
        <v>20.688503435714264</v>
      </c>
      <c r="BL297" s="635">
        <v>20.7462599378945</v>
      </c>
      <c r="BM297" s="635">
        <v>20.804016440074736</v>
      </c>
      <c r="BN297" s="635">
        <v>20.861772942254969</v>
      </c>
      <c r="BO297" s="635">
        <v>20.930066217940453</v>
      </c>
      <c r="BP297" s="635">
        <v>20.998359493625941</v>
      </c>
      <c r="BQ297" s="635">
        <v>21.187688058996372</v>
      </c>
      <c r="BR297" s="635">
        <v>21.413260085635802</v>
      </c>
      <c r="BS297" s="635">
        <v>21.512304321466452</v>
      </c>
      <c r="BT297" s="635">
        <v>21.566695065993361</v>
      </c>
      <c r="BU297" s="635">
        <v>21.623021813913798</v>
      </c>
      <c r="BV297" s="635">
        <v>21.68070376420971</v>
      </c>
      <c r="BW297" s="634">
        <v>15.15605750648594</v>
      </c>
      <c r="BX297" s="634">
        <v>15.313738609327253</v>
      </c>
      <c r="BY297" s="634">
        <v>15.473060200150522</v>
      </c>
      <c r="BZ297" s="635">
        <v>15.516377576785697</v>
      </c>
      <c r="CA297" s="635">
        <v>15.559694953420873</v>
      </c>
      <c r="CB297" s="635">
        <v>15.603012330056051</v>
      </c>
      <c r="CC297" s="635">
        <v>15.646329706691226</v>
      </c>
      <c r="CD297" s="635">
        <v>15.697549663455339</v>
      </c>
      <c r="CE297" s="635">
        <v>15.748769620219454</v>
      </c>
      <c r="CF297" s="635">
        <v>15.890766044247277</v>
      </c>
      <c r="CG297" s="635">
        <v>16.059945064226849</v>
      </c>
      <c r="CH297" s="635">
        <v>16.134228241099837</v>
      </c>
      <c r="CI297" s="635">
        <v>16.175021299495022</v>
      </c>
      <c r="CJ297" s="635">
        <v>16.21726636043535</v>
      </c>
      <c r="CK297" s="635">
        <v>16.260527823157283</v>
      </c>
      <c r="CL297" s="634">
        <v>1.0104038337657293</v>
      </c>
      <c r="CM297" s="634">
        <v>1.0209159072884835</v>
      </c>
      <c r="CN297" s="634">
        <v>1.0315373466767015</v>
      </c>
      <c r="CO297" s="635">
        <v>1.0344251717857131</v>
      </c>
      <c r="CP297" s="635">
        <v>1.0373129968947248</v>
      </c>
      <c r="CQ297" s="635">
        <v>1.0402008220037369</v>
      </c>
      <c r="CR297" s="635">
        <v>1.0430886471127485</v>
      </c>
      <c r="CS297" s="635">
        <v>1.0465033108970225</v>
      </c>
      <c r="CT297" s="635">
        <v>1.049917974681297</v>
      </c>
      <c r="CU297" s="635">
        <v>1.0593844029498185</v>
      </c>
      <c r="CV297" s="635">
        <v>1.07066300428179</v>
      </c>
      <c r="CW297" s="635">
        <v>1.0756152160733226</v>
      </c>
      <c r="CX297" s="635">
        <v>1.0783347532996681</v>
      </c>
      <c r="CY297" s="635">
        <v>1.0811510906956898</v>
      </c>
      <c r="CZ297" s="635">
        <v>1.0840351882104855</v>
      </c>
      <c r="DA297" s="636">
        <v>0</v>
      </c>
      <c r="DB297" s="636">
        <v>0</v>
      </c>
      <c r="DC297" s="636">
        <v>0</v>
      </c>
      <c r="DD297" s="637">
        <v>0</v>
      </c>
      <c r="DE297" s="637">
        <v>0</v>
      </c>
      <c r="DF297" s="637">
        <v>0</v>
      </c>
      <c r="DG297" s="637">
        <v>0</v>
      </c>
      <c r="DH297" s="637">
        <v>0</v>
      </c>
      <c r="DI297" s="637">
        <v>0</v>
      </c>
      <c r="DJ297" s="637">
        <v>0</v>
      </c>
      <c r="DK297" s="637">
        <v>0</v>
      </c>
      <c r="DL297" s="637">
        <v>0</v>
      </c>
      <c r="DM297" s="637">
        <v>0</v>
      </c>
      <c r="DN297" s="637">
        <v>0</v>
      </c>
      <c r="DO297" s="637">
        <v>0</v>
      </c>
      <c r="DP297" s="636">
        <v>0</v>
      </c>
      <c r="DQ297" s="636">
        <v>0</v>
      </c>
      <c r="DR297" s="636">
        <v>0</v>
      </c>
      <c r="DS297" s="637">
        <v>0</v>
      </c>
      <c r="DT297" s="637">
        <v>0</v>
      </c>
      <c r="DU297" s="637">
        <v>0</v>
      </c>
      <c r="DV297" s="637">
        <v>0</v>
      </c>
      <c r="DW297" s="637">
        <v>0</v>
      </c>
      <c r="DX297" s="637">
        <v>0</v>
      </c>
      <c r="DY297" s="637">
        <v>0</v>
      </c>
      <c r="DZ297" s="637">
        <v>0</v>
      </c>
      <c r="EA297" s="637">
        <v>0</v>
      </c>
      <c r="EB297" s="637">
        <v>0</v>
      </c>
      <c r="EC297" s="637">
        <v>0</v>
      </c>
      <c r="ED297" s="637">
        <v>0</v>
      </c>
    </row>
    <row r="298" spans="1:134" ht="15" x14ac:dyDescent="0.25">
      <c r="A298" s="555">
        <v>102</v>
      </c>
      <c r="B298" s="555">
        <v>98</v>
      </c>
      <c r="C298" s="555" t="s">
        <v>1281</v>
      </c>
      <c r="D298" s="812">
        <v>99709</v>
      </c>
      <c r="E298" s="812">
        <v>99709</v>
      </c>
      <c r="F298" s="630" t="s">
        <v>311</v>
      </c>
      <c r="G298" s="45">
        <v>37</v>
      </c>
      <c r="H298" s="45">
        <v>25</v>
      </c>
      <c r="I298" s="45">
        <v>20</v>
      </c>
      <c r="J298" s="45">
        <v>5</v>
      </c>
      <c r="K298" s="45">
        <v>0</v>
      </c>
      <c r="L298" s="45">
        <v>10</v>
      </c>
      <c r="M298" s="45">
        <v>10</v>
      </c>
      <c r="N298" s="45">
        <v>6</v>
      </c>
      <c r="O298" s="45">
        <v>0</v>
      </c>
      <c r="P298" s="45">
        <v>0</v>
      </c>
      <c r="Q298" s="45">
        <v>16</v>
      </c>
      <c r="R298" s="45">
        <v>0</v>
      </c>
      <c r="S298" s="45">
        <v>1474.6</v>
      </c>
      <c r="T298" s="45">
        <v>1474.6</v>
      </c>
      <c r="U298" s="45">
        <v>7943.166666666667</v>
      </c>
      <c r="V298" s="45">
        <v>0</v>
      </c>
      <c r="W298" s="45">
        <v>0</v>
      </c>
      <c r="X298" s="45">
        <v>3900.3125</v>
      </c>
      <c r="Y298" s="45">
        <v>0</v>
      </c>
      <c r="Z298" s="45">
        <v>25</v>
      </c>
      <c r="AA298" s="45">
        <v>0</v>
      </c>
      <c r="AB298" s="508">
        <v>6</v>
      </c>
      <c r="AC298" s="508">
        <v>0</v>
      </c>
      <c r="AD298" s="631">
        <v>31</v>
      </c>
      <c r="AE298" s="632">
        <v>0</v>
      </c>
      <c r="AF298" s="632">
        <v>20</v>
      </c>
      <c r="AG298" s="633">
        <v>20</v>
      </c>
      <c r="AH298" s="632">
        <v>0</v>
      </c>
      <c r="AI298" s="632">
        <v>0</v>
      </c>
      <c r="AJ298" s="632">
        <v>23.803959875193485</v>
      </c>
      <c r="AK298" s="632">
        <v>23.803959875193485</v>
      </c>
      <c r="AL298" s="632">
        <v>0</v>
      </c>
      <c r="AM298" s="632">
        <v>0</v>
      </c>
      <c r="AN298" s="632">
        <v>19.079092577959525</v>
      </c>
      <c r="AO298" s="632">
        <v>19.079092577959525</v>
      </c>
      <c r="AP298" s="632">
        <v>0</v>
      </c>
      <c r="AQ298" s="632">
        <v>5.7579944310074449</v>
      </c>
      <c r="AR298" s="632">
        <v>0</v>
      </c>
      <c r="AS298" s="632">
        <v>22.665140229592854</v>
      </c>
      <c r="AT298" s="632">
        <v>23.227571732552285</v>
      </c>
      <c r="AU298" s="632">
        <v>23.803959875193485</v>
      </c>
      <c r="AV298" s="632">
        <v>24.394650989096711</v>
      </c>
      <c r="AW298" s="632">
        <v>25</v>
      </c>
      <c r="AX298" s="632">
        <v>18.200588679917512</v>
      </c>
      <c r="AY298" s="632">
        <v>18.63466437576777</v>
      </c>
      <c r="AZ298" s="632">
        <v>19.079092577959525</v>
      </c>
      <c r="BA298" s="632">
        <v>19.534120189022861</v>
      </c>
      <c r="BB298" s="632">
        <v>20</v>
      </c>
      <c r="BC298" s="632">
        <v>5.5257499779187924</v>
      </c>
      <c r="BD298" s="632">
        <v>5.6406770515600275</v>
      </c>
      <c r="BE298" s="632">
        <v>5.7579944310074449</v>
      </c>
      <c r="BF298" s="632">
        <v>5.8777518309337182</v>
      </c>
      <c r="BG298" s="632">
        <v>6</v>
      </c>
      <c r="BH298" s="634">
        <v>25.128065725279324</v>
      </c>
      <c r="BI298" s="634">
        <v>25.256787483758302</v>
      </c>
      <c r="BJ298" s="634">
        <v>25.386168636051632</v>
      </c>
      <c r="BK298" s="635">
        <v>26.120030429903334</v>
      </c>
      <c r="BL298" s="635">
        <v>26.853892223755039</v>
      </c>
      <c r="BM298" s="635">
        <v>27.587754017606734</v>
      </c>
      <c r="BN298" s="635">
        <v>28.32161581145844</v>
      </c>
      <c r="BO298" s="635">
        <v>29.189359250044109</v>
      </c>
      <c r="BP298" s="635">
        <v>30.057102688629783</v>
      </c>
      <c r="BQ298" s="635">
        <v>32.462736606288679</v>
      </c>
      <c r="BR298" s="635">
        <v>35.3288847604098</v>
      </c>
      <c r="BS298" s="635">
        <v>36.587353986100354</v>
      </c>
      <c r="BT298" s="635">
        <v>37.278450015823296</v>
      </c>
      <c r="BU298" s="635">
        <v>37.994145162003235</v>
      </c>
      <c r="BV298" s="635">
        <v>38.727059689703083</v>
      </c>
      <c r="BW298" s="634">
        <v>20.10245258022346</v>
      </c>
      <c r="BX298" s="634">
        <v>20.205429987006642</v>
      </c>
      <c r="BY298" s="634">
        <v>20.308934908841305</v>
      </c>
      <c r="BZ298" s="635">
        <v>20.896024343922669</v>
      </c>
      <c r="CA298" s="635">
        <v>21.483113779004029</v>
      </c>
      <c r="CB298" s="635">
        <v>22.070203214085389</v>
      </c>
      <c r="CC298" s="635">
        <v>22.657292649166749</v>
      </c>
      <c r="CD298" s="635">
        <v>23.351487400035285</v>
      </c>
      <c r="CE298" s="635">
        <v>24.045682150903826</v>
      </c>
      <c r="CF298" s="635">
        <v>25.970189285030941</v>
      </c>
      <c r="CG298" s="635">
        <v>28.263107808327838</v>
      </c>
      <c r="CH298" s="635">
        <v>29.269883188880279</v>
      </c>
      <c r="CI298" s="635">
        <v>29.822760012658637</v>
      </c>
      <c r="CJ298" s="635">
        <v>30.395316129602588</v>
      </c>
      <c r="CK298" s="635">
        <v>30.981647751762463</v>
      </c>
      <c r="CL298" s="634">
        <v>6.030735774067038</v>
      </c>
      <c r="CM298" s="634">
        <v>6.0616289961019927</v>
      </c>
      <c r="CN298" s="634">
        <v>6.0926804726523915</v>
      </c>
      <c r="CO298" s="635">
        <v>6.2688073031767999</v>
      </c>
      <c r="CP298" s="635">
        <v>6.4449341337012092</v>
      </c>
      <c r="CQ298" s="635">
        <v>6.6210609642256166</v>
      </c>
      <c r="CR298" s="635">
        <v>6.797187794750025</v>
      </c>
      <c r="CS298" s="635">
        <v>7.0054462200105858</v>
      </c>
      <c r="CT298" s="635">
        <v>7.2137046452711475</v>
      </c>
      <c r="CU298" s="635">
        <v>7.7910567855092827</v>
      </c>
      <c r="CV298" s="635">
        <v>8.4789323424983518</v>
      </c>
      <c r="CW298" s="635">
        <v>8.7809649566640839</v>
      </c>
      <c r="CX298" s="635">
        <v>8.9468280037975916</v>
      </c>
      <c r="CY298" s="635">
        <v>9.1185948388807763</v>
      </c>
      <c r="CZ298" s="635">
        <v>9.2944943255287384</v>
      </c>
      <c r="DA298" s="636">
        <v>0</v>
      </c>
      <c r="DB298" s="636">
        <v>0</v>
      </c>
      <c r="DC298" s="636">
        <v>0</v>
      </c>
      <c r="DD298" s="637">
        <v>0</v>
      </c>
      <c r="DE298" s="637">
        <v>0</v>
      </c>
      <c r="DF298" s="637">
        <v>0</v>
      </c>
      <c r="DG298" s="637">
        <v>0</v>
      </c>
      <c r="DH298" s="637">
        <v>0</v>
      </c>
      <c r="DI298" s="637">
        <v>0</v>
      </c>
      <c r="DJ298" s="637">
        <v>0</v>
      </c>
      <c r="DK298" s="637">
        <v>0</v>
      </c>
      <c r="DL298" s="637">
        <v>0</v>
      </c>
      <c r="DM298" s="637">
        <v>0</v>
      </c>
      <c r="DN298" s="637">
        <v>0</v>
      </c>
      <c r="DO298" s="637">
        <v>0</v>
      </c>
      <c r="DP298" s="636">
        <v>0</v>
      </c>
      <c r="DQ298" s="636">
        <v>0</v>
      </c>
      <c r="DR298" s="636">
        <v>0</v>
      </c>
      <c r="DS298" s="637">
        <v>0</v>
      </c>
      <c r="DT298" s="637">
        <v>0</v>
      </c>
      <c r="DU298" s="637">
        <v>0</v>
      </c>
      <c r="DV298" s="637">
        <v>0</v>
      </c>
      <c r="DW298" s="637">
        <v>0</v>
      </c>
      <c r="DX298" s="637">
        <v>0</v>
      </c>
      <c r="DY298" s="637">
        <v>0</v>
      </c>
      <c r="DZ298" s="637">
        <v>0</v>
      </c>
      <c r="EA298" s="637">
        <v>0</v>
      </c>
      <c r="EB298" s="637">
        <v>0</v>
      </c>
      <c r="EC298" s="637">
        <v>0</v>
      </c>
      <c r="ED298" s="637">
        <v>0</v>
      </c>
    </row>
    <row r="299" spans="1:134" ht="15" x14ac:dyDescent="0.25">
      <c r="A299" s="555">
        <v>105</v>
      </c>
      <c r="B299" s="555">
        <v>98</v>
      </c>
      <c r="C299" s="555" t="s">
        <v>1282</v>
      </c>
      <c r="D299" s="812">
        <v>99709</v>
      </c>
      <c r="E299" s="812">
        <v>99709</v>
      </c>
      <c r="F299" s="630" t="s">
        <v>311</v>
      </c>
      <c r="G299" s="45">
        <v>495</v>
      </c>
      <c r="H299" s="45">
        <v>198</v>
      </c>
      <c r="I299" s="45">
        <v>186</v>
      </c>
      <c r="J299" s="45">
        <v>12</v>
      </c>
      <c r="K299" s="45">
        <v>0</v>
      </c>
      <c r="L299" s="45">
        <v>129</v>
      </c>
      <c r="M299" s="45">
        <v>129</v>
      </c>
      <c r="N299" s="45">
        <v>0</v>
      </c>
      <c r="O299" s="45">
        <v>0</v>
      </c>
      <c r="P299" s="45">
        <v>0</v>
      </c>
      <c r="Q299" s="45">
        <v>129</v>
      </c>
      <c r="R299" s="45">
        <v>0</v>
      </c>
      <c r="S299" s="45">
        <v>2874.6046511627906</v>
      </c>
      <c r="T299" s="45">
        <v>2874.6046511627906</v>
      </c>
      <c r="U299" s="45">
        <v>0</v>
      </c>
      <c r="V299" s="45">
        <v>0</v>
      </c>
      <c r="W299" s="45">
        <v>0</v>
      </c>
      <c r="X299" s="45">
        <v>2874.6046511627906</v>
      </c>
      <c r="Y299" s="45">
        <v>0</v>
      </c>
      <c r="Z299" s="45">
        <v>198</v>
      </c>
      <c r="AA299" s="45">
        <v>0</v>
      </c>
      <c r="AB299" s="508">
        <v>0</v>
      </c>
      <c r="AC299" s="508">
        <v>0</v>
      </c>
      <c r="AD299" s="631">
        <v>198</v>
      </c>
      <c r="AE299" s="632">
        <v>0</v>
      </c>
      <c r="AF299" s="632">
        <v>186</v>
      </c>
      <c r="AG299" s="633">
        <v>186</v>
      </c>
      <c r="AH299" s="632">
        <v>0</v>
      </c>
      <c r="AI299" s="632">
        <v>0</v>
      </c>
      <c r="AJ299" s="632">
        <v>188.52736221153239</v>
      </c>
      <c r="AK299" s="632">
        <v>188.52736221153239</v>
      </c>
      <c r="AL299" s="632">
        <v>0</v>
      </c>
      <c r="AM299" s="632">
        <v>0</v>
      </c>
      <c r="AN299" s="632">
        <v>177.43556097502361</v>
      </c>
      <c r="AO299" s="632">
        <v>177.43556097502361</v>
      </c>
      <c r="AP299" s="632">
        <v>0</v>
      </c>
      <c r="AQ299" s="632">
        <v>0</v>
      </c>
      <c r="AR299" s="632">
        <v>0</v>
      </c>
      <c r="AS299" s="632">
        <v>179.5079106183754</v>
      </c>
      <c r="AT299" s="632">
        <v>183.96236812181408</v>
      </c>
      <c r="AU299" s="632">
        <v>188.52736221153239</v>
      </c>
      <c r="AV299" s="632">
        <v>193.20563583364594</v>
      </c>
      <c r="AW299" s="632">
        <v>198</v>
      </c>
      <c r="AX299" s="632">
        <v>169.26547472323287</v>
      </c>
      <c r="AY299" s="632">
        <v>173.30237869464028</v>
      </c>
      <c r="AZ299" s="632">
        <v>177.43556097502361</v>
      </c>
      <c r="BA299" s="632">
        <v>181.6673177579126</v>
      </c>
      <c r="BB299" s="632">
        <v>186</v>
      </c>
      <c r="BC299" s="632">
        <v>0</v>
      </c>
      <c r="BD299" s="632">
        <v>0</v>
      </c>
      <c r="BE299" s="632">
        <v>0</v>
      </c>
      <c r="BF299" s="632">
        <v>0</v>
      </c>
      <c r="BG299" s="632">
        <v>0</v>
      </c>
      <c r="BH299" s="634">
        <v>202.30349503262556</v>
      </c>
      <c r="BI299" s="634">
        <v>206.70052576977557</v>
      </c>
      <c r="BJ299" s="634">
        <v>211.19312519346911</v>
      </c>
      <c r="BK299" s="635">
        <v>212.69018656628967</v>
      </c>
      <c r="BL299" s="635">
        <v>214.18724793911022</v>
      </c>
      <c r="BM299" s="635">
        <v>215.68430931193083</v>
      </c>
      <c r="BN299" s="635">
        <v>217.18137068475139</v>
      </c>
      <c r="BO299" s="635">
        <v>218.95154756861243</v>
      </c>
      <c r="BP299" s="635">
        <v>220.72172445247352</v>
      </c>
      <c r="BQ299" s="635">
        <v>225.62916294490699</v>
      </c>
      <c r="BR299" s="635">
        <v>231.47604000849589</v>
      </c>
      <c r="BS299" s="635">
        <v>234.04328861368143</v>
      </c>
      <c r="BT299" s="635">
        <v>235.45310880009234</v>
      </c>
      <c r="BU299" s="635">
        <v>236.91311062473793</v>
      </c>
      <c r="BV299" s="635">
        <v>238.40823959614775</v>
      </c>
      <c r="BW299" s="634">
        <v>190.0426771518604</v>
      </c>
      <c r="BX299" s="634">
        <v>194.17322117766795</v>
      </c>
      <c r="BY299" s="634">
        <v>198.39354184841036</v>
      </c>
      <c r="BZ299" s="635">
        <v>199.79987222893877</v>
      </c>
      <c r="CA299" s="635">
        <v>201.20620260946717</v>
      </c>
      <c r="CB299" s="635">
        <v>202.6125329899956</v>
      </c>
      <c r="CC299" s="635">
        <v>204.018863370524</v>
      </c>
      <c r="CD299" s="635">
        <v>205.68175680687833</v>
      </c>
      <c r="CE299" s="635">
        <v>207.34465024323268</v>
      </c>
      <c r="CF299" s="635">
        <v>211.95466822097322</v>
      </c>
      <c r="CG299" s="635">
        <v>217.44718909889008</v>
      </c>
      <c r="CH299" s="635">
        <v>219.85884687951889</v>
      </c>
      <c r="CI299" s="635">
        <v>221.18322341826854</v>
      </c>
      <c r="CJ299" s="635">
        <v>222.55474028384469</v>
      </c>
      <c r="CK299" s="635">
        <v>223.9592553781994</v>
      </c>
      <c r="CL299" s="634">
        <v>0</v>
      </c>
      <c r="CM299" s="634">
        <v>0</v>
      </c>
      <c r="CN299" s="634">
        <v>0</v>
      </c>
      <c r="CO299" s="635">
        <v>0</v>
      </c>
      <c r="CP299" s="635">
        <v>0</v>
      </c>
      <c r="CQ299" s="635">
        <v>0</v>
      </c>
      <c r="CR299" s="635">
        <v>0</v>
      </c>
      <c r="CS299" s="635">
        <v>0</v>
      </c>
      <c r="CT299" s="635">
        <v>0</v>
      </c>
      <c r="CU299" s="635">
        <v>0</v>
      </c>
      <c r="CV299" s="635">
        <v>0</v>
      </c>
      <c r="CW299" s="635">
        <v>0</v>
      </c>
      <c r="CX299" s="635">
        <v>0</v>
      </c>
      <c r="CY299" s="635">
        <v>0</v>
      </c>
      <c r="CZ299" s="635">
        <v>0</v>
      </c>
      <c r="DA299" s="636">
        <v>0</v>
      </c>
      <c r="DB299" s="636">
        <v>0</v>
      </c>
      <c r="DC299" s="636">
        <v>0</v>
      </c>
      <c r="DD299" s="637">
        <v>0</v>
      </c>
      <c r="DE299" s="637">
        <v>0</v>
      </c>
      <c r="DF299" s="637">
        <v>0</v>
      </c>
      <c r="DG299" s="637">
        <v>0</v>
      </c>
      <c r="DH299" s="637">
        <v>0</v>
      </c>
      <c r="DI299" s="637">
        <v>0</v>
      </c>
      <c r="DJ299" s="637">
        <v>0</v>
      </c>
      <c r="DK299" s="637">
        <v>0</v>
      </c>
      <c r="DL299" s="637">
        <v>0</v>
      </c>
      <c r="DM299" s="637">
        <v>0</v>
      </c>
      <c r="DN299" s="637">
        <v>0</v>
      </c>
      <c r="DO299" s="637">
        <v>0</v>
      </c>
      <c r="DP299" s="636">
        <v>0</v>
      </c>
      <c r="DQ299" s="636">
        <v>0</v>
      </c>
      <c r="DR299" s="636">
        <v>0</v>
      </c>
      <c r="DS299" s="637">
        <v>0</v>
      </c>
      <c r="DT299" s="637">
        <v>0</v>
      </c>
      <c r="DU299" s="637">
        <v>0</v>
      </c>
      <c r="DV299" s="637">
        <v>0</v>
      </c>
      <c r="DW299" s="637">
        <v>0</v>
      </c>
      <c r="DX299" s="637">
        <v>0</v>
      </c>
      <c r="DY299" s="637">
        <v>0</v>
      </c>
      <c r="DZ299" s="637">
        <v>0</v>
      </c>
      <c r="EA299" s="637">
        <v>0</v>
      </c>
      <c r="EB299" s="637">
        <v>0</v>
      </c>
      <c r="EC299" s="637">
        <v>0</v>
      </c>
      <c r="ED299" s="637">
        <v>0</v>
      </c>
    </row>
    <row r="300" spans="1:134" ht="15" x14ac:dyDescent="0.25">
      <c r="A300" s="555">
        <v>106</v>
      </c>
      <c r="B300" s="555">
        <v>98</v>
      </c>
      <c r="C300" s="555" t="s">
        <v>1283</v>
      </c>
      <c r="D300" s="812">
        <v>99709</v>
      </c>
      <c r="E300" s="812">
        <v>99709</v>
      </c>
      <c r="F300" s="630" t="s">
        <v>311</v>
      </c>
      <c r="G300" s="45">
        <v>107</v>
      </c>
      <c r="H300" s="45">
        <v>48</v>
      </c>
      <c r="I300" s="45">
        <v>45</v>
      </c>
      <c r="J300" s="45">
        <v>3</v>
      </c>
      <c r="K300" s="45">
        <v>0</v>
      </c>
      <c r="L300" s="45">
        <v>60</v>
      </c>
      <c r="M300" s="45">
        <v>60</v>
      </c>
      <c r="N300" s="45">
        <v>3</v>
      </c>
      <c r="O300" s="45">
        <v>0</v>
      </c>
      <c r="P300" s="45">
        <v>0</v>
      </c>
      <c r="Q300" s="45">
        <v>63</v>
      </c>
      <c r="R300" s="45">
        <v>0</v>
      </c>
      <c r="S300" s="45">
        <v>3196.5166666666669</v>
      </c>
      <c r="T300" s="45">
        <v>3196.5166666666669</v>
      </c>
      <c r="U300" s="45">
        <v>1737</v>
      </c>
      <c r="V300" s="45">
        <v>0</v>
      </c>
      <c r="W300" s="45">
        <v>0</v>
      </c>
      <c r="X300" s="45">
        <v>3127.0158730158732</v>
      </c>
      <c r="Y300" s="45">
        <v>0</v>
      </c>
      <c r="Z300" s="45">
        <v>48</v>
      </c>
      <c r="AA300" s="45">
        <v>0</v>
      </c>
      <c r="AB300" s="508">
        <v>3</v>
      </c>
      <c r="AC300" s="508">
        <v>0</v>
      </c>
      <c r="AD300" s="631">
        <v>51</v>
      </c>
      <c r="AE300" s="632">
        <v>0</v>
      </c>
      <c r="AF300" s="632">
        <v>45</v>
      </c>
      <c r="AG300" s="633">
        <v>45</v>
      </c>
      <c r="AH300" s="632">
        <v>0</v>
      </c>
      <c r="AI300" s="632">
        <v>0</v>
      </c>
      <c r="AJ300" s="632">
        <v>45.703602960371491</v>
      </c>
      <c r="AK300" s="632">
        <v>45.703602960371491</v>
      </c>
      <c r="AL300" s="632">
        <v>0</v>
      </c>
      <c r="AM300" s="632">
        <v>0</v>
      </c>
      <c r="AN300" s="632">
        <v>42.927958300408932</v>
      </c>
      <c r="AO300" s="632">
        <v>42.927958300408932</v>
      </c>
      <c r="AP300" s="632">
        <v>0</v>
      </c>
      <c r="AQ300" s="632">
        <v>2.8789972155037225</v>
      </c>
      <c r="AR300" s="632">
        <v>0</v>
      </c>
      <c r="AS300" s="632">
        <v>43.51706924081828</v>
      </c>
      <c r="AT300" s="632">
        <v>44.596937726500386</v>
      </c>
      <c r="AU300" s="632">
        <v>45.703602960371491</v>
      </c>
      <c r="AV300" s="632">
        <v>46.837729899065685</v>
      </c>
      <c r="AW300" s="632">
        <v>48</v>
      </c>
      <c r="AX300" s="632">
        <v>40.951324529814407</v>
      </c>
      <c r="AY300" s="632">
        <v>41.927994845477485</v>
      </c>
      <c r="AZ300" s="632">
        <v>42.927958300408932</v>
      </c>
      <c r="BA300" s="632">
        <v>43.951770425301433</v>
      </c>
      <c r="BB300" s="632">
        <v>45</v>
      </c>
      <c r="BC300" s="632">
        <v>2.7628749889593962</v>
      </c>
      <c r="BD300" s="632">
        <v>2.8203385257800138</v>
      </c>
      <c r="BE300" s="632">
        <v>2.8789972155037225</v>
      </c>
      <c r="BF300" s="632">
        <v>2.9388759154668591</v>
      </c>
      <c r="BG300" s="632">
        <v>3</v>
      </c>
      <c r="BH300" s="634">
        <v>48.507123132195574</v>
      </c>
      <c r="BI300" s="634">
        <v>49.01960405337465</v>
      </c>
      <c r="BJ300" s="634">
        <v>49.537499368927449</v>
      </c>
      <c r="BK300" s="635">
        <v>49.681765581151531</v>
      </c>
      <c r="BL300" s="635">
        <v>49.826031793375613</v>
      </c>
      <c r="BM300" s="635">
        <v>49.97029800559968</v>
      </c>
      <c r="BN300" s="635">
        <v>50.114564217823762</v>
      </c>
      <c r="BO300" s="635">
        <v>50.285149551623491</v>
      </c>
      <c r="BP300" s="635">
        <v>50.455734885423212</v>
      </c>
      <c r="BQ300" s="635">
        <v>50.928646401196389</v>
      </c>
      <c r="BR300" s="635">
        <v>51.492088102797844</v>
      </c>
      <c r="BS300" s="635">
        <v>51.739484260919177</v>
      </c>
      <c r="BT300" s="635">
        <v>51.875343365898523</v>
      </c>
      <c r="BU300" s="635">
        <v>52.016038287900976</v>
      </c>
      <c r="BV300" s="635">
        <v>52.160118281819585</v>
      </c>
      <c r="BW300" s="634">
        <v>45.475427936433356</v>
      </c>
      <c r="BX300" s="634">
        <v>45.955878800038732</v>
      </c>
      <c r="BY300" s="634">
        <v>46.441405658369483</v>
      </c>
      <c r="BZ300" s="635">
        <v>46.576655232329557</v>
      </c>
      <c r="CA300" s="635">
        <v>46.711904806289631</v>
      </c>
      <c r="CB300" s="635">
        <v>46.847154380249698</v>
      </c>
      <c r="CC300" s="635">
        <v>46.982403954209772</v>
      </c>
      <c r="CD300" s="635">
        <v>47.142327704647023</v>
      </c>
      <c r="CE300" s="635">
        <v>47.30225145508426</v>
      </c>
      <c r="CF300" s="635">
        <v>47.745606001121615</v>
      </c>
      <c r="CG300" s="635">
        <v>48.273832596372984</v>
      </c>
      <c r="CH300" s="635">
        <v>48.505766494611727</v>
      </c>
      <c r="CI300" s="635">
        <v>48.633134405529866</v>
      </c>
      <c r="CJ300" s="635">
        <v>48.765035894907165</v>
      </c>
      <c r="CK300" s="635">
        <v>48.900110889205855</v>
      </c>
      <c r="CL300" s="634">
        <v>3.0316951957622233</v>
      </c>
      <c r="CM300" s="634">
        <v>3.0637252533359156</v>
      </c>
      <c r="CN300" s="634">
        <v>3.0960937105579656</v>
      </c>
      <c r="CO300" s="635">
        <v>3.1051103488219707</v>
      </c>
      <c r="CP300" s="635">
        <v>3.1141269870859758</v>
      </c>
      <c r="CQ300" s="635">
        <v>3.12314362534998</v>
      </c>
      <c r="CR300" s="635">
        <v>3.1321602636139851</v>
      </c>
      <c r="CS300" s="635">
        <v>3.1428218469764682</v>
      </c>
      <c r="CT300" s="635">
        <v>3.1534834303389507</v>
      </c>
      <c r="CU300" s="635">
        <v>3.1830404000747743</v>
      </c>
      <c r="CV300" s="635">
        <v>3.2182555064248652</v>
      </c>
      <c r="CW300" s="635">
        <v>3.2337177663074486</v>
      </c>
      <c r="CX300" s="635">
        <v>3.2422089603686577</v>
      </c>
      <c r="CY300" s="635">
        <v>3.251002392993811</v>
      </c>
      <c r="CZ300" s="635">
        <v>3.2600073926137241</v>
      </c>
      <c r="DA300" s="636">
        <v>0</v>
      </c>
      <c r="DB300" s="636">
        <v>0</v>
      </c>
      <c r="DC300" s="636">
        <v>0</v>
      </c>
      <c r="DD300" s="637">
        <v>0</v>
      </c>
      <c r="DE300" s="637">
        <v>0</v>
      </c>
      <c r="DF300" s="637">
        <v>0</v>
      </c>
      <c r="DG300" s="637">
        <v>0</v>
      </c>
      <c r="DH300" s="637">
        <v>0</v>
      </c>
      <c r="DI300" s="637">
        <v>0</v>
      </c>
      <c r="DJ300" s="637">
        <v>0</v>
      </c>
      <c r="DK300" s="637">
        <v>0</v>
      </c>
      <c r="DL300" s="637">
        <v>0</v>
      </c>
      <c r="DM300" s="637">
        <v>0</v>
      </c>
      <c r="DN300" s="637">
        <v>0</v>
      </c>
      <c r="DO300" s="637">
        <v>0</v>
      </c>
      <c r="DP300" s="636">
        <v>0</v>
      </c>
      <c r="DQ300" s="636">
        <v>0</v>
      </c>
      <c r="DR300" s="636">
        <v>0</v>
      </c>
      <c r="DS300" s="637">
        <v>0</v>
      </c>
      <c r="DT300" s="637">
        <v>0</v>
      </c>
      <c r="DU300" s="637">
        <v>0</v>
      </c>
      <c r="DV300" s="637">
        <v>0</v>
      </c>
      <c r="DW300" s="637">
        <v>0</v>
      </c>
      <c r="DX300" s="637">
        <v>0</v>
      </c>
      <c r="DY300" s="637">
        <v>0</v>
      </c>
      <c r="DZ300" s="637">
        <v>0</v>
      </c>
      <c r="EA300" s="637">
        <v>0</v>
      </c>
      <c r="EB300" s="637">
        <v>0</v>
      </c>
      <c r="EC300" s="637">
        <v>0</v>
      </c>
      <c r="ED300" s="637">
        <v>0</v>
      </c>
    </row>
    <row r="301" spans="1:134" ht="15" x14ac:dyDescent="0.25">
      <c r="A301" s="555">
        <v>107</v>
      </c>
      <c r="B301" s="555">
        <v>98</v>
      </c>
      <c r="C301" s="555" t="s">
        <v>1284</v>
      </c>
      <c r="D301" s="812">
        <v>99709</v>
      </c>
      <c r="E301" s="812">
        <v>99709</v>
      </c>
      <c r="F301" s="630" t="s">
        <v>311</v>
      </c>
      <c r="G301" s="45">
        <v>13</v>
      </c>
      <c r="H301" s="45">
        <v>7</v>
      </c>
      <c r="I301" s="45">
        <v>7</v>
      </c>
      <c r="J301" s="45">
        <v>0</v>
      </c>
      <c r="K301" s="45">
        <v>2</v>
      </c>
      <c r="L301" s="45">
        <v>162</v>
      </c>
      <c r="M301" s="45">
        <v>164</v>
      </c>
      <c r="N301" s="45">
        <v>0</v>
      </c>
      <c r="O301" s="45">
        <v>0</v>
      </c>
      <c r="P301" s="45">
        <v>0</v>
      </c>
      <c r="Q301" s="45">
        <v>164</v>
      </c>
      <c r="R301" s="45">
        <v>3256</v>
      </c>
      <c r="S301" s="45">
        <v>3317.6975308641977</v>
      </c>
      <c r="T301" s="45">
        <v>3316.9451219512193</v>
      </c>
      <c r="U301" s="45">
        <v>0</v>
      </c>
      <c r="V301" s="45">
        <v>0</v>
      </c>
      <c r="W301" s="45">
        <v>0</v>
      </c>
      <c r="X301" s="45">
        <v>3316.9451219512193</v>
      </c>
      <c r="Y301" s="45">
        <v>8.5365853658536592E-2</v>
      </c>
      <c r="Z301" s="45">
        <v>6.9146341463414638</v>
      </c>
      <c r="AA301" s="45">
        <v>0</v>
      </c>
      <c r="AB301" s="508">
        <v>0</v>
      </c>
      <c r="AC301" s="508">
        <v>0</v>
      </c>
      <c r="AD301" s="631">
        <v>7</v>
      </c>
      <c r="AE301" s="632">
        <v>8.5365853658536592E-2</v>
      </c>
      <c r="AF301" s="632">
        <v>6.9146341463414638</v>
      </c>
      <c r="AG301" s="633">
        <v>7</v>
      </c>
      <c r="AH301" s="632">
        <v>0</v>
      </c>
      <c r="AI301" s="632">
        <v>8.1281814207977754E-2</v>
      </c>
      <c r="AJ301" s="632">
        <v>6.5838269508461984</v>
      </c>
      <c r="AK301" s="632">
        <v>6.6651087650541765</v>
      </c>
      <c r="AL301" s="632">
        <v>0</v>
      </c>
      <c r="AM301" s="632">
        <v>8.1435151247388232E-2</v>
      </c>
      <c r="AN301" s="632">
        <v>6.596247251038446</v>
      </c>
      <c r="AO301" s="632">
        <v>6.6776824022858339</v>
      </c>
      <c r="AP301" s="632">
        <v>0</v>
      </c>
      <c r="AQ301" s="632">
        <v>0</v>
      </c>
      <c r="AR301" s="632">
        <v>0</v>
      </c>
      <c r="AS301" s="632">
        <v>6.346239264285999</v>
      </c>
      <c r="AT301" s="632">
        <v>6.5037200851146393</v>
      </c>
      <c r="AU301" s="632">
        <v>6.6651087650541756</v>
      </c>
      <c r="AV301" s="632">
        <v>6.8305022769470787</v>
      </c>
      <c r="AW301" s="632">
        <v>7</v>
      </c>
      <c r="AX301" s="632">
        <v>6.3702060379711298</v>
      </c>
      <c r="AY301" s="632">
        <v>6.5221325315187197</v>
      </c>
      <c r="AZ301" s="632">
        <v>6.6776824022858339</v>
      </c>
      <c r="BA301" s="632">
        <v>6.8369420661580014</v>
      </c>
      <c r="BB301" s="632">
        <v>7</v>
      </c>
      <c r="BC301" s="632">
        <v>0</v>
      </c>
      <c r="BD301" s="632">
        <v>0</v>
      </c>
      <c r="BE301" s="632">
        <v>0</v>
      </c>
      <c r="BF301" s="632">
        <v>0</v>
      </c>
      <c r="BG301" s="632">
        <v>0</v>
      </c>
      <c r="BH301" s="634">
        <v>7.0739554567785214</v>
      </c>
      <c r="BI301" s="634">
        <v>7.1486922577838028</v>
      </c>
      <c r="BJ301" s="634">
        <v>7.2242186579685868</v>
      </c>
      <c r="BK301" s="635">
        <v>7.2452574805845984</v>
      </c>
      <c r="BL301" s="635">
        <v>7.26629630320061</v>
      </c>
      <c r="BM301" s="635">
        <v>7.2873351258166199</v>
      </c>
      <c r="BN301" s="635">
        <v>7.3083739484326316</v>
      </c>
      <c r="BO301" s="635">
        <v>7.3332509762784266</v>
      </c>
      <c r="BP301" s="635">
        <v>7.358128004124219</v>
      </c>
      <c r="BQ301" s="635">
        <v>7.4270942668411406</v>
      </c>
      <c r="BR301" s="635">
        <v>7.5092628483246866</v>
      </c>
      <c r="BS301" s="635">
        <v>7.5453414547173798</v>
      </c>
      <c r="BT301" s="635">
        <v>7.5651542408602017</v>
      </c>
      <c r="BU301" s="635">
        <v>7.5856722503188934</v>
      </c>
      <c r="BV301" s="635">
        <v>7.6066839160986897</v>
      </c>
      <c r="BW301" s="634">
        <v>7.0739554567785214</v>
      </c>
      <c r="BX301" s="634">
        <v>7.1486922577838028</v>
      </c>
      <c r="BY301" s="634">
        <v>7.2242186579685868</v>
      </c>
      <c r="BZ301" s="635">
        <v>7.2452574805845984</v>
      </c>
      <c r="CA301" s="635">
        <v>7.26629630320061</v>
      </c>
      <c r="CB301" s="635">
        <v>7.2873351258166199</v>
      </c>
      <c r="CC301" s="635">
        <v>7.3083739484326316</v>
      </c>
      <c r="CD301" s="635">
        <v>7.3332509762784266</v>
      </c>
      <c r="CE301" s="635">
        <v>7.358128004124219</v>
      </c>
      <c r="CF301" s="635">
        <v>7.4270942668411406</v>
      </c>
      <c r="CG301" s="635">
        <v>7.5092628483246866</v>
      </c>
      <c r="CH301" s="635">
        <v>7.5453414547173798</v>
      </c>
      <c r="CI301" s="635">
        <v>7.5651542408602017</v>
      </c>
      <c r="CJ301" s="635">
        <v>7.5856722503188934</v>
      </c>
      <c r="CK301" s="635">
        <v>7.6066839160986897</v>
      </c>
      <c r="CL301" s="634">
        <v>0</v>
      </c>
      <c r="CM301" s="634">
        <v>0</v>
      </c>
      <c r="CN301" s="634">
        <v>0</v>
      </c>
      <c r="CO301" s="635">
        <v>0</v>
      </c>
      <c r="CP301" s="635">
        <v>0</v>
      </c>
      <c r="CQ301" s="635">
        <v>0</v>
      </c>
      <c r="CR301" s="635">
        <v>0</v>
      </c>
      <c r="CS301" s="635">
        <v>0</v>
      </c>
      <c r="CT301" s="635">
        <v>0</v>
      </c>
      <c r="CU301" s="635">
        <v>0</v>
      </c>
      <c r="CV301" s="635">
        <v>0</v>
      </c>
      <c r="CW301" s="635">
        <v>0</v>
      </c>
      <c r="CX301" s="635">
        <v>0</v>
      </c>
      <c r="CY301" s="635">
        <v>0</v>
      </c>
      <c r="CZ301" s="635">
        <v>0</v>
      </c>
      <c r="DA301" s="636">
        <v>0</v>
      </c>
      <c r="DB301" s="636">
        <v>0</v>
      </c>
      <c r="DC301" s="636">
        <v>0</v>
      </c>
      <c r="DD301" s="637">
        <v>0</v>
      </c>
      <c r="DE301" s="637">
        <v>0</v>
      </c>
      <c r="DF301" s="637">
        <v>0</v>
      </c>
      <c r="DG301" s="637">
        <v>0</v>
      </c>
      <c r="DH301" s="637">
        <v>0</v>
      </c>
      <c r="DI301" s="637">
        <v>0</v>
      </c>
      <c r="DJ301" s="637">
        <v>0</v>
      </c>
      <c r="DK301" s="637">
        <v>0</v>
      </c>
      <c r="DL301" s="637">
        <v>0</v>
      </c>
      <c r="DM301" s="637">
        <v>0</v>
      </c>
      <c r="DN301" s="637">
        <v>0</v>
      </c>
      <c r="DO301" s="637">
        <v>0</v>
      </c>
      <c r="DP301" s="636">
        <v>0</v>
      </c>
      <c r="DQ301" s="636">
        <v>0</v>
      </c>
      <c r="DR301" s="636">
        <v>0</v>
      </c>
      <c r="DS301" s="637">
        <v>0</v>
      </c>
      <c r="DT301" s="637">
        <v>0</v>
      </c>
      <c r="DU301" s="637">
        <v>0</v>
      </c>
      <c r="DV301" s="637">
        <v>0</v>
      </c>
      <c r="DW301" s="637">
        <v>0</v>
      </c>
      <c r="DX301" s="637">
        <v>0</v>
      </c>
      <c r="DY301" s="637">
        <v>0</v>
      </c>
      <c r="DZ301" s="637">
        <v>0</v>
      </c>
      <c r="EA301" s="637">
        <v>0</v>
      </c>
      <c r="EB301" s="637">
        <v>0</v>
      </c>
      <c r="EC301" s="637">
        <v>0</v>
      </c>
      <c r="ED301" s="637">
        <v>0</v>
      </c>
    </row>
    <row r="302" spans="1:134" ht="15" x14ac:dyDescent="0.25">
      <c r="A302" s="555">
        <v>108</v>
      </c>
      <c r="B302" s="555">
        <v>98</v>
      </c>
      <c r="C302" s="555" t="s">
        <v>1285</v>
      </c>
      <c r="D302" s="812">
        <v>99709</v>
      </c>
      <c r="E302" s="812">
        <v>99709</v>
      </c>
      <c r="F302" s="630" t="s">
        <v>311</v>
      </c>
      <c r="G302" s="45">
        <v>103</v>
      </c>
      <c r="H302" s="45">
        <v>65</v>
      </c>
      <c r="I302" s="45">
        <v>55</v>
      </c>
      <c r="J302" s="45">
        <v>10</v>
      </c>
      <c r="K302" s="45">
        <v>0</v>
      </c>
      <c r="L302" s="45">
        <v>118</v>
      </c>
      <c r="M302" s="45">
        <v>118</v>
      </c>
      <c r="N302" s="45">
        <v>0</v>
      </c>
      <c r="O302" s="45">
        <v>0</v>
      </c>
      <c r="P302" s="45">
        <v>0</v>
      </c>
      <c r="Q302" s="45">
        <v>118</v>
      </c>
      <c r="R302" s="45">
        <v>0</v>
      </c>
      <c r="S302" s="45">
        <v>2388.101694915254</v>
      </c>
      <c r="T302" s="45">
        <v>2388.101694915254</v>
      </c>
      <c r="U302" s="45">
        <v>0</v>
      </c>
      <c r="V302" s="45">
        <v>0</v>
      </c>
      <c r="W302" s="45">
        <v>0</v>
      </c>
      <c r="X302" s="45">
        <v>2388.101694915254</v>
      </c>
      <c r="Y302" s="45">
        <v>0</v>
      </c>
      <c r="Z302" s="45">
        <v>65</v>
      </c>
      <c r="AA302" s="45">
        <v>0</v>
      </c>
      <c r="AB302" s="508">
        <v>0</v>
      </c>
      <c r="AC302" s="508">
        <v>0</v>
      </c>
      <c r="AD302" s="631">
        <v>65</v>
      </c>
      <c r="AE302" s="632">
        <v>0</v>
      </c>
      <c r="AF302" s="632">
        <v>55</v>
      </c>
      <c r="AG302" s="633">
        <v>55</v>
      </c>
      <c r="AH302" s="632">
        <v>0</v>
      </c>
      <c r="AI302" s="632">
        <v>0</v>
      </c>
      <c r="AJ302" s="632">
        <v>61.890295675503054</v>
      </c>
      <c r="AK302" s="632">
        <v>61.890295675503054</v>
      </c>
      <c r="AL302" s="632">
        <v>0</v>
      </c>
      <c r="AM302" s="632">
        <v>0</v>
      </c>
      <c r="AN302" s="632">
        <v>52.467504589388696</v>
      </c>
      <c r="AO302" s="632">
        <v>52.467504589388696</v>
      </c>
      <c r="AP302" s="632">
        <v>0</v>
      </c>
      <c r="AQ302" s="632">
        <v>0</v>
      </c>
      <c r="AR302" s="632">
        <v>0</v>
      </c>
      <c r="AS302" s="632">
        <v>58.929364596941426</v>
      </c>
      <c r="AT302" s="632">
        <v>60.391686504635935</v>
      </c>
      <c r="AU302" s="632">
        <v>61.890295675503054</v>
      </c>
      <c r="AV302" s="632">
        <v>63.426092571651445</v>
      </c>
      <c r="AW302" s="632">
        <v>65</v>
      </c>
      <c r="AX302" s="632">
        <v>50.051618869773158</v>
      </c>
      <c r="AY302" s="632">
        <v>51.24532703336137</v>
      </c>
      <c r="AZ302" s="632">
        <v>52.467504589388696</v>
      </c>
      <c r="BA302" s="632">
        <v>53.718830519812869</v>
      </c>
      <c r="BB302" s="632">
        <v>55</v>
      </c>
      <c r="BC302" s="632">
        <v>0</v>
      </c>
      <c r="BD302" s="632">
        <v>0</v>
      </c>
      <c r="BE302" s="632">
        <v>0</v>
      </c>
      <c r="BF302" s="632">
        <v>0</v>
      </c>
      <c r="BG302" s="632">
        <v>0</v>
      </c>
      <c r="BH302" s="634">
        <v>65.68672924151484</v>
      </c>
      <c r="BI302" s="634">
        <v>66.380713822278167</v>
      </c>
      <c r="BJ302" s="634">
        <v>67.082030395422592</v>
      </c>
      <c r="BK302" s="635">
        <v>67.854552702255006</v>
      </c>
      <c r="BL302" s="635">
        <v>68.627075009087434</v>
      </c>
      <c r="BM302" s="635">
        <v>69.399597315919848</v>
      </c>
      <c r="BN302" s="635">
        <v>70.172119622752277</v>
      </c>
      <c r="BO302" s="635">
        <v>71.085576582265773</v>
      </c>
      <c r="BP302" s="635">
        <v>71.999033541779269</v>
      </c>
      <c r="BQ302" s="635">
        <v>74.531398462577556</v>
      </c>
      <c r="BR302" s="635">
        <v>77.548537932564159</v>
      </c>
      <c r="BS302" s="635">
        <v>78.873304472331085</v>
      </c>
      <c r="BT302" s="635">
        <v>79.600808075321737</v>
      </c>
      <c r="BU302" s="635">
        <v>80.354206698806166</v>
      </c>
      <c r="BV302" s="635">
        <v>81.125731836636277</v>
      </c>
      <c r="BW302" s="634">
        <v>55.581078588974101</v>
      </c>
      <c r="BX302" s="634">
        <v>56.16829631115845</v>
      </c>
      <c r="BY302" s="634">
        <v>56.761718026896034</v>
      </c>
      <c r="BZ302" s="635">
        <v>57.415390748061924</v>
      </c>
      <c r="CA302" s="635">
        <v>58.069063469227821</v>
      </c>
      <c r="CB302" s="635">
        <v>58.722736190393711</v>
      </c>
      <c r="CC302" s="635">
        <v>59.376408911559608</v>
      </c>
      <c r="CD302" s="635">
        <v>60.149334031147959</v>
      </c>
      <c r="CE302" s="635">
        <v>60.922259150736295</v>
      </c>
      <c r="CF302" s="635">
        <v>63.065029468334849</v>
      </c>
      <c r="CG302" s="635">
        <v>65.617993635246592</v>
      </c>
      <c r="CH302" s="635">
        <v>66.738949938126297</v>
      </c>
      <c r="CI302" s="635">
        <v>67.354529909887617</v>
      </c>
      <c r="CJ302" s="635">
        <v>67.99202105283598</v>
      </c>
      <c r="CK302" s="635">
        <v>68.644850015615305</v>
      </c>
      <c r="CL302" s="634">
        <v>0</v>
      </c>
      <c r="CM302" s="634">
        <v>0</v>
      </c>
      <c r="CN302" s="634">
        <v>0</v>
      </c>
      <c r="CO302" s="635">
        <v>0</v>
      </c>
      <c r="CP302" s="635">
        <v>0</v>
      </c>
      <c r="CQ302" s="635">
        <v>0</v>
      </c>
      <c r="CR302" s="635">
        <v>0</v>
      </c>
      <c r="CS302" s="635">
        <v>0</v>
      </c>
      <c r="CT302" s="635">
        <v>0</v>
      </c>
      <c r="CU302" s="635">
        <v>0</v>
      </c>
      <c r="CV302" s="635">
        <v>0</v>
      </c>
      <c r="CW302" s="635">
        <v>0</v>
      </c>
      <c r="CX302" s="635">
        <v>0</v>
      </c>
      <c r="CY302" s="635">
        <v>0</v>
      </c>
      <c r="CZ302" s="635">
        <v>0</v>
      </c>
      <c r="DA302" s="636">
        <v>0</v>
      </c>
      <c r="DB302" s="636">
        <v>0</v>
      </c>
      <c r="DC302" s="636">
        <v>0</v>
      </c>
      <c r="DD302" s="637">
        <v>0</v>
      </c>
      <c r="DE302" s="637">
        <v>0</v>
      </c>
      <c r="DF302" s="637">
        <v>0</v>
      </c>
      <c r="DG302" s="637">
        <v>0</v>
      </c>
      <c r="DH302" s="637">
        <v>0</v>
      </c>
      <c r="DI302" s="637">
        <v>0</v>
      </c>
      <c r="DJ302" s="637">
        <v>0</v>
      </c>
      <c r="DK302" s="637">
        <v>0</v>
      </c>
      <c r="DL302" s="637">
        <v>0</v>
      </c>
      <c r="DM302" s="637">
        <v>0</v>
      </c>
      <c r="DN302" s="637">
        <v>0</v>
      </c>
      <c r="DO302" s="637">
        <v>0</v>
      </c>
      <c r="DP302" s="636">
        <v>0</v>
      </c>
      <c r="DQ302" s="636">
        <v>0</v>
      </c>
      <c r="DR302" s="636">
        <v>0</v>
      </c>
      <c r="DS302" s="637">
        <v>0</v>
      </c>
      <c r="DT302" s="637">
        <v>0</v>
      </c>
      <c r="DU302" s="637">
        <v>0</v>
      </c>
      <c r="DV302" s="637">
        <v>0</v>
      </c>
      <c r="DW302" s="637">
        <v>0</v>
      </c>
      <c r="DX302" s="637">
        <v>0</v>
      </c>
      <c r="DY302" s="637">
        <v>0</v>
      </c>
      <c r="DZ302" s="637">
        <v>0</v>
      </c>
      <c r="EA302" s="637">
        <v>0</v>
      </c>
      <c r="EB302" s="637">
        <v>0</v>
      </c>
      <c r="EC302" s="637">
        <v>0</v>
      </c>
      <c r="ED302" s="637">
        <v>0</v>
      </c>
    </row>
    <row r="303" spans="1:134" ht="15" x14ac:dyDescent="0.25">
      <c r="A303" s="555">
        <v>109</v>
      </c>
      <c r="B303" s="555">
        <v>98</v>
      </c>
      <c r="C303" s="555" t="s">
        <v>1286</v>
      </c>
      <c r="D303" s="812">
        <v>99709</v>
      </c>
      <c r="E303" s="812">
        <v>99709</v>
      </c>
      <c r="F303" s="630" t="s">
        <v>311</v>
      </c>
      <c r="G303" s="45">
        <v>66</v>
      </c>
      <c r="H303" s="45">
        <v>34</v>
      </c>
      <c r="I303" s="45">
        <v>30</v>
      </c>
      <c r="J303" s="45">
        <v>4</v>
      </c>
      <c r="K303" s="45">
        <v>0</v>
      </c>
      <c r="L303" s="45">
        <v>71</v>
      </c>
      <c r="M303" s="45">
        <v>71</v>
      </c>
      <c r="N303" s="45">
        <v>0</v>
      </c>
      <c r="O303" s="45">
        <v>0</v>
      </c>
      <c r="P303" s="45">
        <v>0</v>
      </c>
      <c r="Q303" s="45">
        <v>71</v>
      </c>
      <c r="R303" s="45">
        <v>0</v>
      </c>
      <c r="S303" s="45">
        <v>1156.6338028169014</v>
      </c>
      <c r="T303" s="45">
        <v>1156.6338028169014</v>
      </c>
      <c r="U303" s="45">
        <v>0</v>
      </c>
      <c r="V303" s="45">
        <v>0</v>
      </c>
      <c r="W303" s="45">
        <v>0</v>
      </c>
      <c r="X303" s="45">
        <v>1156.6338028169014</v>
      </c>
      <c r="Y303" s="45">
        <v>0</v>
      </c>
      <c r="Z303" s="45">
        <v>34</v>
      </c>
      <c r="AA303" s="45">
        <v>0</v>
      </c>
      <c r="AB303" s="508">
        <v>0</v>
      </c>
      <c r="AC303" s="508">
        <v>0</v>
      </c>
      <c r="AD303" s="631">
        <v>34</v>
      </c>
      <c r="AE303" s="632">
        <v>0</v>
      </c>
      <c r="AF303" s="632">
        <v>30</v>
      </c>
      <c r="AG303" s="633">
        <v>30</v>
      </c>
      <c r="AH303" s="632">
        <v>0</v>
      </c>
      <c r="AI303" s="632">
        <v>0</v>
      </c>
      <c r="AJ303" s="632">
        <v>32.373385430263134</v>
      </c>
      <c r="AK303" s="632">
        <v>32.373385430263134</v>
      </c>
      <c r="AL303" s="632">
        <v>0</v>
      </c>
      <c r="AM303" s="632">
        <v>0</v>
      </c>
      <c r="AN303" s="632">
        <v>28.618638866939289</v>
      </c>
      <c r="AO303" s="632">
        <v>28.618638866939289</v>
      </c>
      <c r="AP303" s="632">
        <v>0</v>
      </c>
      <c r="AQ303" s="632">
        <v>0</v>
      </c>
      <c r="AR303" s="632">
        <v>0</v>
      </c>
      <c r="AS303" s="632">
        <v>30.824590712246284</v>
      </c>
      <c r="AT303" s="632">
        <v>31.589497556271105</v>
      </c>
      <c r="AU303" s="632">
        <v>32.373385430263134</v>
      </c>
      <c r="AV303" s="632">
        <v>33.176725345171526</v>
      </c>
      <c r="AW303" s="632">
        <v>34</v>
      </c>
      <c r="AX303" s="632">
        <v>27.30088301987627</v>
      </c>
      <c r="AY303" s="632">
        <v>27.951996563651658</v>
      </c>
      <c r="AZ303" s="632">
        <v>28.618638866939289</v>
      </c>
      <c r="BA303" s="632">
        <v>29.30118028353429</v>
      </c>
      <c r="BB303" s="632">
        <v>30</v>
      </c>
      <c r="BC303" s="632">
        <v>0</v>
      </c>
      <c r="BD303" s="632">
        <v>0</v>
      </c>
      <c r="BE303" s="632">
        <v>0</v>
      </c>
      <c r="BF303" s="632">
        <v>0</v>
      </c>
      <c r="BG303" s="632">
        <v>0</v>
      </c>
      <c r="BH303" s="634">
        <v>34.322347675338797</v>
      </c>
      <c r="BI303" s="634">
        <v>34.647751469024548</v>
      </c>
      <c r="BJ303" s="634">
        <v>34.9762403555468</v>
      </c>
      <c r="BK303" s="635">
        <v>35.581878992247148</v>
      </c>
      <c r="BL303" s="635">
        <v>36.187517628947489</v>
      </c>
      <c r="BM303" s="635">
        <v>36.793156265647838</v>
      </c>
      <c r="BN303" s="635">
        <v>37.398794902348186</v>
      </c>
      <c r="BO303" s="635">
        <v>38.114922867523184</v>
      </c>
      <c r="BP303" s="635">
        <v>38.831050832698182</v>
      </c>
      <c r="BQ303" s="635">
        <v>40.816363133321175</v>
      </c>
      <c r="BR303" s="635">
        <v>43.181726850557972</v>
      </c>
      <c r="BS303" s="635">
        <v>44.220311489466944</v>
      </c>
      <c r="BT303" s="635">
        <v>44.790656560946445</v>
      </c>
      <c r="BU303" s="635">
        <v>45.381302696577087</v>
      </c>
      <c r="BV303" s="635">
        <v>45.986159577113519</v>
      </c>
      <c r="BW303" s="634">
        <v>30.284424419416588</v>
      </c>
      <c r="BX303" s="634">
        <v>30.571545413845193</v>
      </c>
      <c r="BY303" s="634">
        <v>30.861388549011885</v>
      </c>
      <c r="BZ303" s="635">
        <v>31.395775581394542</v>
      </c>
      <c r="CA303" s="635">
        <v>31.930162613777203</v>
      </c>
      <c r="CB303" s="635">
        <v>32.46454964615986</v>
      </c>
      <c r="CC303" s="635">
        <v>32.99893667854252</v>
      </c>
      <c r="CD303" s="635">
        <v>33.630814294873403</v>
      </c>
      <c r="CE303" s="635">
        <v>34.262691911204286</v>
      </c>
      <c r="CF303" s="635">
        <v>36.014438058812807</v>
      </c>
      <c r="CG303" s="635">
        <v>38.101523691668802</v>
      </c>
      <c r="CH303" s="635">
        <v>39.017921902470839</v>
      </c>
      <c r="CI303" s="635">
        <v>39.52116755377628</v>
      </c>
      <c r="CJ303" s="635">
        <v>40.042325908744495</v>
      </c>
      <c r="CK303" s="635">
        <v>40.576023156276641</v>
      </c>
      <c r="CL303" s="634">
        <v>0</v>
      </c>
      <c r="CM303" s="634">
        <v>0</v>
      </c>
      <c r="CN303" s="634">
        <v>0</v>
      </c>
      <c r="CO303" s="635">
        <v>0</v>
      </c>
      <c r="CP303" s="635">
        <v>0</v>
      </c>
      <c r="CQ303" s="635">
        <v>0</v>
      </c>
      <c r="CR303" s="635">
        <v>0</v>
      </c>
      <c r="CS303" s="635">
        <v>0</v>
      </c>
      <c r="CT303" s="635">
        <v>0</v>
      </c>
      <c r="CU303" s="635">
        <v>0</v>
      </c>
      <c r="CV303" s="635">
        <v>0</v>
      </c>
      <c r="CW303" s="635">
        <v>0</v>
      </c>
      <c r="CX303" s="635">
        <v>0</v>
      </c>
      <c r="CY303" s="635">
        <v>0</v>
      </c>
      <c r="CZ303" s="635">
        <v>0</v>
      </c>
      <c r="DA303" s="636">
        <v>0</v>
      </c>
      <c r="DB303" s="636">
        <v>0</v>
      </c>
      <c r="DC303" s="636">
        <v>0</v>
      </c>
      <c r="DD303" s="637">
        <v>0</v>
      </c>
      <c r="DE303" s="637">
        <v>0</v>
      </c>
      <c r="DF303" s="637">
        <v>0</v>
      </c>
      <c r="DG303" s="637">
        <v>0</v>
      </c>
      <c r="DH303" s="637">
        <v>0</v>
      </c>
      <c r="DI303" s="637">
        <v>0</v>
      </c>
      <c r="DJ303" s="637">
        <v>0</v>
      </c>
      <c r="DK303" s="637">
        <v>0</v>
      </c>
      <c r="DL303" s="637">
        <v>0</v>
      </c>
      <c r="DM303" s="637">
        <v>0</v>
      </c>
      <c r="DN303" s="637">
        <v>0</v>
      </c>
      <c r="DO303" s="637">
        <v>0</v>
      </c>
      <c r="DP303" s="636">
        <v>0</v>
      </c>
      <c r="DQ303" s="636">
        <v>0</v>
      </c>
      <c r="DR303" s="636">
        <v>0</v>
      </c>
      <c r="DS303" s="637">
        <v>0</v>
      </c>
      <c r="DT303" s="637">
        <v>0</v>
      </c>
      <c r="DU303" s="637">
        <v>0</v>
      </c>
      <c r="DV303" s="637">
        <v>0</v>
      </c>
      <c r="DW303" s="637">
        <v>0</v>
      </c>
      <c r="DX303" s="637">
        <v>0</v>
      </c>
      <c r="DY303" s="637">
        <v>0</v>
      </c>
      <c r="DZ303" s="637">
        <v>0</v>
      </c>
      <c r="EA303" s="637">
        <v>0</v>
      </c>
      <c r="EB303" s="637">
        <v>0</v>
      </c>
      <c r="EC303" s="637">
        <v>0</v>
      </c>
      <c r="ED303" s="637">
        <v>0</v>
      </c>
    </row>
    <row r="304" spans="1:134" ht="15" x14ac:dyDescent="0.25">
      <c r="A304" s="555">
        <v>110</v>
      </c>
      <c r="B304" s="555">
        <v>98</v>
      </c>
      <c r="C304" s="555" t="s">
        <v>1287</v>
      </c>
      <c r="D304" s="812">
        <v>99712</v>
      </c>
      <c r="E304" s="812">
        <v>99709</v>
      </c>
      <c r="F304" s="630" t="s">
        <v>311</v>
      </c>
      <c r="G304" s="45">
        <v>81</v>
      </c>
      <c r="H304" s="45">
        <v>48</v>
      </c>
      <c r="I304" s="45">
        <v>34</v>
      </c>
      <c r="J304" s="45">
        <v>14</v>
      </c>
      <c r="K304" s="45">
        <v>0</v>
      </c>
      <c r="L304" s="45">
        <v>50</v>
      </c>
      <c r="M304" s="45">
        <v>50</v>
      </c>
      <c r="N304" s="45">
        <v>4</v>
      </c>
      <c r="O304" s="45">
        <v>0</v>
      </c>
      <c r="P304" s="45">
        <v>0</v>
      </c>
      <c r="Q304" s="45">
        <v>54</v>
      </c>
      <c r="R304" s="45">
        <v>0</v>
      </c>
      <c r="S304" s="45">
        <v>2638.36</v>
      </c>
      <c r="T304" s="45">
        <v>2638.36</v>
      </c>
      <c r="U304" s="45">
        <v>3539</v>
      </c>
      <c r="V304" s="45">
        <v>0</v>
      </c>
      <c r="W304" s="45">
        <v>0</v>
      </c>
      <c r="X304" s="45">
        <v>2705.0740740740739</v>
      </c>
      <c r="Y304" s="45">
        <v>0</v>
      </c>
      <c r="Z304" s="45">
        <v>48</v>
      </c>
      <c r="AA304" s="45">
        <v>0</v>
      </c>
      <c r="AB304" s="508">
        <v>4</v>
      </c>
      <c r="AC304" s="508">
        <v>0</v>
      </c>
      <c r="AD304" s="631">
        <v>52</v>
      </c>
      <c r="AE304" s="632">
        <v>0</v>
      </c>
      <c r="AF304" s="632">
        <v>34</v>
      </c>
      <c r="AG304" s="633">
        <v>34</v>
      </c>
      <c r="AH304" s="632">
        <v>0</v>
      </c>
      <c r="AI304" s="632">
        <v>0</v>
      </c>
      <c r="AJ304" s="632">
        <v>43.637483766995437</v>
      </c>
      <c r="AK304" s="632">
        <v>43.637483766995437</v>
      </c>
      <c r="AL304" s="632">
        <v>0</v>
      </c>
      <c r="AM304" s="632">
        <v>0</v>
      </c>
      <c r="AN304" s="632">
        <v>31.023439753188914</v>
      </c>
      <c r="AO304" s="632">
        <v>31.023439753188914</v>
      </c>
      <c r="AP304" s="632">
        <v>0</v>
      </c>
      <c r="AQ304" s="632">
        <v>3.7193654032553547</v>
      </c>
      <c r="AR304" s="632">
        <v>0</v>
      </c>
      <c r="AS304" s="632">
        <v>39.671458114891458</v>
      </c>
      <c r="AT304" s="632">
        <v>41.607242272248897</v>
      </c>
      <c r="AU304" s="632">
        <v>43.637483766995437</v>
      </c>
      <c r="AV304" s="632">
        <v>45.766791681477748</v>
      </c>
      <c r="AW304" s="632">
        <v>48</v>
      </c>
      <c r="AX304" s="632">
        <v>28.307465121168889</v>
      </c>
      <c r="AY304" s="632">
        <v>29.634354029606914</v>
      </c>
      <c r="AZ304" s="632">
        <v>31.023439753188914</v>
      </c>
      <c r="BA304" s="632">
        <v>32.477637715948852</v>
      </c>
      <c r="BB304" s="632">
        <v>34</v>
      </c>
      <c r="BC304" s="632">
        <v>3.4584197507332171</v>
      </c>
      <c r="BD304" s="632">
        <v>3.5865201478330131</v>
      </c>
      <c r="BE304" s="632">
        <v>3.7193654032553547</v>
      </c>
      <c r="BF304" s="632">
        <v>3.8571312672790152</v>
      </c>
      <c r="BG304" s="632">
        <v>4</v>
      </c>
      <c r="BH304" s="634">
        <v>48.455079071066535</v>
      </c>
      <c r="BI304" s="634">
        <v>48.914472662152306</v>
      </c>
      <c r="BJ304" s="634">
        <v>49.37822167841901</v>
      </c>
      <c r="BK304" s="635">
        <v>51.037750715353695</v>
      </c>
      <c r="BL304" s="635">
        <v>52.697279752288381</v>
      </c>
      <c r="BM304" s="635">
        <v>54.356808789223066</v>
      </c>
      <c r="BN304" s="635">
        <v>56.016337826157752</v>
      </c>
      <c r="BO304" s="635">
        <v>57.978622066878799</v>
      </c>
      <c r="BP304" s="635">
        <v>59.940906307599839</v>
      </c>
      <c r="BQ304" s="635">
        <v>65.380921542125904</v>
      </c>
      <c r="BR304" s="635">
        <v>71.862327340561492</v>
      </c>
      <c r="BS304" s="635">
        <v>74.708185020603366</v>
      </c>
      <c r="BT304" s="635">
        <v>76.271005075066199</v>
      </c>
      <c r="BU304" s="635">
        <v>77.889452699168615</v>
      </c>
      <c r="BV304" s="635">
        <v>79.546839622018766</v>
      </c>
      <c r="BW304" s="634">
        <v>34.322347675338797</v>
      </c>
      <c r="BX304" s="634">
        <v>34.647751469024548</v>
      </c>
      <c r="BY304" s="634">
        <v>34.9762403555468</v>
      </c>
      <c r="BZ304" s="635">
        <v>36.151740090042203</v>
      </c>
      <c r="CA304" s="635">
        <v>37.327239824537607</v>
      </c>
      <c r="CB304" s="635">
        <v>38.50273955903301</v>
      </c>
      <c r="CC304" s="635">
        <v>39.678239293528407</v>
      </c>
      <c r="CD304" s="635">
        <v>41.068190630705814</v>
      </c>
      <c r="CE304" s="635">
        <v>42.458141967883222</v>
      </c>
      <c r="CF304" s="635">
        <v>46.31148609233918</v>
      </c>
      <c r="CG304" s="635">
        <v>50.902481866231064</v>
      </c>
      <c r="CH304" s="635">
        <v>52.918297722927392</v>
      </c>
      <c r="CI304" s="635">
        <v>54.025295261505221</v>
      </c>
      <c r="CJ304" s="635">
        <v>55.171695661911109</v>
      </c>
      <c r="CK304" s="635">
        <v>56.345678065596623</v>
      </c>
      <c r="CL304" s="634">
        <v>4.0379232559222116</v>
      </c>
      <c r="CM304" s="634">
        <v>4.0762060551793589</v>
      </c>
      <c r="CN304" s="634">
        <v>4.1148518065349178</v>
      </c>
      <c r="CO304" s="635">
        <v>4.2531458929461419</v>
      </c>
      <c r="CP304" s="635">
        <v>4.3914399793573651</v>
      </c>
      <c r="CQ304" s="635">
        <v>4.5297340657685892</v>
      </c>
      <c r="CR304" s="635">
        <v>4.6680281521798133</v>
      </c>
      <c r="CS304" s="635">
        <v>4.8315518389065666</v>
      </c>
      <c r="CT304" s="635">
        <v>4.9950755256333208</v>
      </c>
      <c r="CU304" s="635">
        <v>5.448410128510492</v>
      </c>
      <c r="CV304" s="635">
        <v>5.9885272783801256</v>
      </c>
      <c r="CW304" s="635">
        <v>6.2256820850502814</v>
      </c>
      <c r="CX304" s="635">
        <v>6.3559170895888499</v>
      </c>
      <c r="CY304" s="635">
        <v>6.4907877249307191</v>
      </c>
      <c r="CZ304" s="635">
        <v>6.6289033018348968</v>
      </c>
      <c r="DA304" s="636">
        <v>0</v>
      </c>
      <c r="DB304" s="636">
        <v>0</v>
      </c>
      <c r="DC304" s="636">
        <v>0</v>
      </c>
      <c r="DD304" s="637">
        <v>0</v>
      </c>
      <c r="DE304" s="637">
        <v>0</v>
      </c>
      <c r="DF304" s="637">
        <v>0</v>
      </c>
      <c r="DG304" s="637">
        <v>0</v>
      </c>
      <c r="DH304" s="637">
        <v>0</v>
      </c>
      <c r="DI304" s="637">
        <v>0</v>
      </c>
      <c r="DJ304" s="637">
        <v>0</v>
      </c>
      <c r="DK304" s="637">
        <v>0</v>
      </c>
      <c r="DL304" s="637">
        <v>0</v>
      </c>
      <c r="DM304" s="637">
        <v>0</v>
      </c>
      <c r="DN304" s="637">
        <v>0</v>
      </c>
      <c r="DO304" s="637">
        <v>0</v>
      </c>
      <c r="DP304" s="636">
        <v>0</v>
      </c>
      <c r="DQ304" s="636">
        <v>0</v>
      </c>
      <c r="DR304" s="636">
        <v>0</v>
      </c>
      <c r="DS304" s="637">
        <v>0</v>
      </c>
      <c r="DT304" s="637">
        <v>0</v>
      </c>
      <c r="DU304" s="637">
        <v>0</v>
      </c>
      <c r="DV304" s="637">
        <v>0</v>
      </c>
      <c r="DW304" s="637">
        <v>0</v>
      </c>
      <c r="DX304" s="637">
        <v>0</v>
      </c>
      <c r="DY304" s="637">
        <v>0</v>
      </c>
      <c r="DZ304" s="637">
        <v>0</v>
      </c>
      <c r="EA304" s="637">
        <v>0</v>
      </c>
      <c r="EB304" s="637">
        <v>0</v>
      </c>
      <c r="EC304" s="637">
        <v>0</v>
      </c>
      <c r="ED304" s="637">
        <v>0</v>
      </c>
    </row>
    <row r="305" spans="1:134" ht="15" x14ac:dyDescent="0.25">
      <c r="A305" s="555">
        <v>111</v>
      </c>
      <c r="B305" s="555">
        <v>98</v>
      </c>
      <c r="C305" s="555" t="s">
        <v>1288</v>
      </c>
      <c r="D305" s="812">
        <v>99712</v>
      </c>
      <c r="E305" s="812">
        <v>99712</v>
      </c>
      <c r="F305" s="630" t="s">
        <v>311</v>
      </c>
      <c r="G305" s="45">
        <v>338</v>
      </c>
      <c r="H305" s="45">
        <v>162</v>
      </c>
      <c r="I305" s="45">
        <v>147</v>
      </c>
      <c r="J305" s="45">
        <v>15</v>
      </c>
      <c r="K305" s="45">
        <v>0</v>
      </c>
      <c r="L305" s="45">
        <v>148</v>
      </c>
      <c r="M305" s="45">
        <v>148</v>
      </c>
      <c r="N305" s="45">
        <v>3</v>
      </c>
      <c r="O305" s="45">
        <v>0</v>
      </c>
      <c r="P305" s="45">
        <v>0</v>
      </c>
      <c r="Q305" s="45">
        <v>151</v>
      </c>
      <c r="R305" s="45">
        <v>0</v>
      </c>
      <c r="S305" s="45">
        <v>1644.0135135135135</v>
      </c>
      <c r="T305" s="45">
        <v>1644.0135135135135</v>
      </c>
      <c r="U305" s="45">
        <v>2548</v>
      </c>
      <c r="V305" s="45">
        <v>0</v>
      </c>
      <c r="W305" s="45">
        <v>0</v>
      </c>
      <c r="X305" s="45">
        <v>1661.9735099337747</v>
      </c>
      <c r="Y305" s="45">
        <v>0</v>
      </c>
      <c r="Z305" s="45">
        <v>162</v>
      </c>
      <c r="AA305" s="45">
        <v>0</v>
      </c>
      <c r="AB305" s="508">
        <v>3</v>
      </c>
      <c r="AC305" s="508">
        <v>0</v>
      </c>
      <c r="AD305" s="631">
        <v>165</v>
      </c>
      <c r="AE305" s="632">
        <v>0</v>
      </c>
      <c r="AF305" s="632">
        <v>147</v>
      </c>
      <c r="AG305" s="633">
        <v>147</v>
      </c>
      <c r="AH305" s="632">
        <v>0</v>
      </c>
      <c r="AI305" s="632">
        <v>0</v>
      </c>
      <c r="AJ305" s="632">
        <v>147.27650771360959</v>
      </c>
      <c r="AK305" s="632">
        <v>147.27650771360959</v>
      </c>
      <c r="AL305" s="632">
        <v>0</v>
      </c>
      <c r="AM305" s="632">
        <v>0</v>
      </c>
      <c r="AN305" s="632">
        <v>134.13075422702266</v>
      </c>
      <c r="AO305" s="632">
        <v>134.13075422702266</v>
      </c>
      <c r="AP305" s="632">
        <v>0</v>
      </c>
      <c r="AQ305" s="632">
        <v>2.7895240524415161</v>
      </c>
      <c r="AR305" s="632">
        <v>0</v>
      </c>
      <c r="AS305" s="632">
        <v>133.89117113775868</v>
      </c>
      <c r="AT305" s="632">
        <v>140.42444266884004</v>
      </c>
      <c r="AU305" s="632">
        <v>147.27650771360959</v>
      </c>
      <c r="AV305" s="632">
        <v>154.4629219249874</v>
      </c>
      <c r="AW305" s="632">
        <v>162</v>
      </c>
      <c r="AX305" s="632">
        <v>122.38815802387725</v>
      </c>
      <c r="AY305" s="632">
        <v>128.12500124565344</v>
      </c>
      <c r="AZ305" s="632">
        <v>134.13075422702266</v>
      </c>
      <c r="BA305" s="632">
        <v>140.41802188954355</v>
      </c>
      <c r="BB305" s="632">
        <v>147</v>
      </c>
      <c r="BC305" s="632">
        <v>2.5938148130499128</v>
      </c>
      <c r="BD305" s="632">
        <v>2.6898901108747597</v>
      </c>
      <c r="BE305" s="632">
        <v>2.7895240524415161</v>
      </c>
      <c r="BF305" s="632">
        <v>2.8928484504592613</v>
      </c>
      <c r="BG305" s="632">
        <v>3</v>
      </c>
      <c r="BH305" s="634">
        <v>164.21424748789261</v>
      </c>
      <c r="BI305" s="634">
        <v>166.45875974083236</v>
      </c>
      <c r="BJ305" s="634">
        <v>168.73395042351049</v>
      </c>
      <c r="BK305" s="635">
        <v>168.99463128425683</v>
      </c>
      <c r="BL305" s="635">
        <v>169.25531214500316</v>
      </c>
      <c r="BM305" s="635">
        <v>169.51599300574946</v>
      </c>
      <c r="BN305" s="635">
        <v>169.7766738664958</v>
      </c>
      <c r="BO305" s="635">
        <v>170.08491188675063</v>
      </c>
      <c r="BP305" s="635">
        <v>170.39314990700544</v>
      </c>
      <c r="BQ305" s="635">
        <v>171.2476741860315</v>
      </c>
      <c r="BR305" s="635">
        <v>172.2657813747453</v>
      </c>
      <c r="BS305" s="635">
        <v>172.71281219679418</v>
      </c>
      <c r="BT305" s="635">
        <v>172.95830189171477</v>
      </c>
      <c r="BU305" s="635">
        <v>173.21252963364279</v>
      </c>
      <c r="BV305" s="635">
        <v>173.472874008476</v>
      </c>
      <c r="BW305" s="634">
        <v>149.00922457234699</v>
      </c>
      <c r="BX305" s="634">
        <v>151.04591161668122</v>
      </c>
      <c r="BY305" s="634">
        <v>153.11043649540767</v>
      </c>
      <c r="BZ305" s="635">
        <v>153.34698023941823</v>
      </c>
      <c r="CA305" s="635">
        <v>153.58352398342879</v>
      </c>
      <c r="CB305" s="635">
        <v>153.82006772743932</v>
      </c>
      <c r="CC305" s="635">
        <v>154.05661147144988</v>
      </c>
      <c r="CD305" s="635">
        <v>154.33630893427372</v>
      </c>
      <c r="CE305" s="635">
        <v>154.61600639709752</v>
      </c>
      <c r="CF305" s="635">
        <v>155.39140805769526</v>
      </c>
      <c r="CG305" s="635">
        <v>156.3152460622689</v>
      </c>
      <c r="CH305" s="635">
        <v>156.72088514153546</v>
      </c>
      <c r="CI305" s="635">
        <v>156.9436443091486</v>
      </c>
      <c r="CJ305" s="635">
        <v>157.17433244534254</v>
      </c>
      <c r="CK305" s="635">
        <v>157.41057085954301</v>
      </c>
      <c r="CL305" s="634">
        <v>3.0410045831091224</v>
      </c>
      <c r="CM305" s="634">
        <v>3.0825696248302288</v>
      </c>
      <c r="CN305" s="634">
        <v>3.1247027856205642</v>
      </c>
      <c r="CO305" s="635">
        <v>3.1295302089677186</v>
      </c>
      <c r="CP305" s="635">
        <v>3.1343576323148725</v>
      </c>
      <c r="CQ305" s="635">
        <v>3.1391850556620269</v>
      </c>
      <c r="CR305" s="635">
        <v>3.1440124790091812</v>
      </c>
      <c r="CS305" s="635">
        <v>3.1497205904953818</v>
      </c>
      <c r="CT305" s="635">
        <v>3.1554287019815819</v>
      </c>
      <c r="CU305" s="635">
        <v>3.1712532256672494</v>
      </c>
      <c r="CV305" s="635">
        <v>3.190107062495283</v>
      </c>
      <c r="CW305" s="635">
        <v>3.1983854110517433</v>
      </c>
      <c r="CX305" s="635">
        <v>3.2029315165132362</v>
      </c>
      <c r="CY305" s="635">
        <v>3.2076394376600512</v>
      </c>
      <c r="CZ305" s="635">
        <v>3.2124606297865919</v>
      </c>
      <c r="DA305" s="636">
        <v>0</v>
      </c>
      <c r="DB305" s="636">
        <v>0</v>
      </c>
      <c r="DC305" s="636">
        <v>0</v>
      </c>
      <c r="DD305" s="637">
        <v>0</v>
      </c>
      <c r="DE305" s="637">
        <v>0</v>
      </c>
      <c r="DF305" s="637">
        <v>0</v>
      </c>
      <c r="DG305" s="637">
        <v>0</v>
      </c>
      <c r="DH305" s="637">
        <v>0</v>
      </c>
      <c r="DI305" s="637">
        <v>0</v>
      </c>
      <c r="DJ305" s="637">
        <v>0</v>
      </c>
      <c r="DK305" s="637">
        <v>0</v>
      </c>
      <c r="DL305" s="637">
        <v>0</v>
      </c>
      <c r="DM305" s="637">
        <v>0</v>
      </c>
      <c r="DN305" s="637">
        <v>0</v>
      </c>
      <c r="DO305" s="637">
        <v>0</v>
      </c>
      <c r="DP305" s="636">
        <v>0</v>
      </c>
      <c r="DQ305" s="636">
        <v>0</v>
      </c>
      <c r="DR305" s="636">
        <v>0</v>
      </c>
      <c r="DS305" s="637">
        <v>0</v>
      </c>
      <c r="DT305" s="637">
        <v>0</v>
      </c>
      <c r="DU305" s="637">
        <v>0</v>
      </c>
      <c r="DV305" s="637">
        <v>0</v>
      </c>
      <c r="DW305" s="637">
        <v>0</v>
      </c>
      <c r="DX305" s="637">
        <v>0</v>
      </c>
      <c r="DY305" s="637">
        <v>0</v>
      </c>
      <c r="DZ305" s="637">
        <v>0</v>
      </c>
      <c r="EA305" s="637">
        <v>0</v>
      </c>
      <c r="EB305" s="637">
        <v>0</v>
      </c>
      <c r="EC305" s="637">
        <v>0</v>
      </c>
      <c r="ED305" s="637">
        <v>0</v>
      </c>
    </row>
    <row r="306" spans="1:134" ht="15" x14ac:dyDescent="0.25">
      <c r="A306" s="555">
        <v>112</v>
      </c>
      <c r="B306" s="555">
        <v>98</v>
      </c>
      <c r="C306" s="555" t="s">
        <v>1289</v>
      </c>
      <c r="D306" s="812">
        <v>99712</v>
      </c>
      <c r="E306" s="812">
        <v>99712</v>
      </c>
      <c r="F306" s="630" t="s">
        <v>311</v>
      </c>
      <c r="G306" s="45">
        <v>168</v>
      </c>
      <c r="H306" s="45">
        <v>86</v>
      </c>
      <c r="I306" s="45">
        <v>74</v>
      </c>
      <c r="J306" s="45">
        <v>12</v>
      </c>
      <c r="K306" s="45">
        <v>4</v>
      </c>
      <c r="L306" s="45">
        <v>35</v>
      </c>
      <c r="M306" s="45">
        <v>39</v>
      </c>
      <c r="N306" s="45">
        <v>9</v>
      </c>
      <c r="O306" s="45">
        <v>0</v>
      </c>
      <c r="P306" s="45">
        <v>0</v>
      </c>
      <c r="Q306" s="45">
        <v>48</v>
      </c>
      <c r="R306" s="45">
        <v>6543</v>
      </c>
      <c r="S306" s="45">
        <v>1661.3428571428572</v>
      </c>
      <c r="T306" s="45">
        <v>2162.0256410256411</v>
      </c>
      <c r="U306" s="45">
        <v>8518.1111111111113</v>
      </c>
      <c r="V306" s="45">
        <v>0</v>
      </c>
      <c r="W306" s="45">
        <v>0</v>
      </c>
      <c r="X306" s="45">
        <v>3353.7916666666665</v>
      </c>
      <c r="Y306" s="45">
        <v>8.8205128205128212</v>
      </c>
      <c r="Z306" s="45">
        <v>77.179487179487182</v>
      </c>
      <c r="AA306" s="45">
        <v>0</v>
      </c>
      <c r="AB306" s="508">
        <v>9</v>
      </c>
      <c r="AC306" s="508">
        <v>0</v>
      </c>
      <c r="AD306" s="631">
        <v>95</v>
      </c>
      <c r="AE306" s="632">
        <v>7.5897435897435903</v>
      </c>
      <c r="AF306" s="632">
        <v>66.410256410256409</v>
      </c>
      <c r="AG306" s="633">
        <v>74</v>
      </c>
      <c r="AH306" s="632">
        <v>0</v>
      </c>
      <c r="AI306" s="632">
        <v>8.0188538546188202</v>
      </c>
      <c r="AJ306" s="632">
        <v>70.164971227914677</v>
      </c>
      <c r="AK306" s="632">
        <v>78.183825082533502</v>
      </c>
      <c r="AL306" s="632">
        <v>0</v>
      </c>
      <c r="AM306" s="632">
        <v>6.9252927352518245</v>
      </c>
      <c r="AN306" s="632">
        <v>60.596311433453458</v>
      </c>
      <c r="AO306" s="632">
        <v>67.521604168705281</v>
      </c>
      <c r="AP306" s="632">
        <v>0</v>
      </c>
      <c r="AQ306" s="632">
        <v>8.3685721573245484</v>
      </c>
      <c r="AR306" s="632">
        <v>0</v>
      </c>
      <c r="AS306" s="632">
        <v>71.078029122513868</v>
      </c>
      <c r="AT306" s="632">
        <v>74.546309071112617</v>
      </c>
      <c r="AU306" s="632">
        <v>78.183825082533488</v>
      </c>
      <c r="AV306" s="632">
        <v>81.998835095980965</v>
      </c>
      <c r="AW306" s="632">
        <v>86</v>
      </c>
      <c r="AX306" s="632">
        <v>61.610365263720524</v>
      </c>
      <c r="AY306" s="632">
        <v>64.498299946791519</v>
      </c>
      <c r="AZ306" s="632">
        <v>67.521604168705281</v>
      </c>
      <c r="BA306" s="632">
        <v>70.686623264123966</v>
      </c>
      <c r="BB306" s="632">
        <v>74</v>
      </c>
      <c r="BC306" s="632">
        <v>7.7814444391497384</v>
      </c>
      <c r="BD306" s="632">
        <v>8.0696703326242787</v>
      </c>
      <c r="BE306" s="632">
        <v>8.3685721573245484</v>
      </c>
      <c r="BF306" s="632">
        <v>8.6785453513777835</v>
      </c>
      <c r="BG306" s="632">
        <v>9</v>
      </c>
      <c r="BH306" s="634">
        <v>87.71872186521766</v>
      </c>
      <c r="BI306" s="634">
        <v>89.471792624039722</v>
      </c>
      <c r="BJ306" s="634">
        <v>91.259898743843877</v>
      </c>
      <c r="BK306" s="635">
        <v>92.165504586589947</v>
      </c>
      <c r="BL306" s="635">
        <v>93.071110429336017</v>
      </c>
      <c r="BM306" s="635">
        <v>93.976716272082072</v>
      </c>
      <c r="BN306" s="635">
        <v>94.882322114828142</v>
      </c>
      <c r="BO306" s="635">
        <v>95.953141626855441</v>
      </c>
      <c r="BP306" s="635">
        <v>97.023961138882726</v>
      </c>
      <c r="BQ306" s="635">
        <v>99.992580229823233</v>
      </c>
      <c r="BR306" s="635">
        <v>103.52948668318257</v>
      </c>
      <c r="BS306" s="635">
        <v>105.08247267216537</v>
      </c>
      <c r="BT306" s="635">
        <v>105.93530437380072</v>
      </c>
      <c r="BU306" s="635">
        <v>106.81849206858965</v>
      </c>
      <c r="BV306" s="635">
        <v>107.72292895858612</v>
      </c>
      <c r="BW306" s="634">
        <v>75.478900209605897</v>
      </c>
      <c r="BX306" s="634">
        <v>76.987356443941152</v>
      </c>
      <c r="BY306" s="634">
        <v>78.525959384237751</v>
      </c>
      <c r="BZ306" s="635">
        <v>79.305201621019251</v>
      </c>
      <c r="CA306" s="635">
        <v>80.084443857800764</v>
      </c>
      <c r="CB306" s="635">
        <v>80.863686094582249</v>
      </c>
      <c r="CC306" s="635">
        <v>81.642928331363748</v>
      </c>
      <c r="CD306" s="635">
        <v>82.564331167294213</v>
      </c>
      <c r="CE306" s="635">
        <v>83.485734003224678</v>
      </c>
      <c r="CF306" s="635">
        <v>86.040127174499048</v>
      </c>
      <c r="CG306" s="635">
        <v>89.083511797157101</v>
      </c>
      <c r="CH306" s="635">
        <v>90.419802066746939</v>
      </c>
      <c r="CI306" s="635">
        <v>91.153633996061089</v>
      </c>
      <c r="CJ306" s="635">
        <v>91.913586198553872</v>
      </c>
      <c r="CK306" s="635">
        <v>92.691822592271777</v>
      </c>
      <c r="CL306" s="634">
        <v>9.1798662417088259</v>
      </c>
      <c r="CM306" s="634">
        <v>9.3633271350739236</v>
      </c>
      <c r="CN306" s="634">
        <v>9.5504545197045907</v>
      </c>
      <c r="CO306" s="635">
        <v>9.6452272241780168</v>
      </c>
      <c r="CP306" s="635">
        <v>9.7399999286514429</v>
      </c>
      <c r="CQ306" s="635">
        <v>9.8347726331248673</v>
      </c>
      <c r="CR306" s="635">
        <v>9.9295453375982934</v>
      </c>
      <c r="CS306" s="635">
        <v>10.041607844670917</v>
      </c>
      <c r="CT306" s="635">
        <v>10.153670351743541</v>
      </c>
      <c r="CU306" s="635">
        <v>10.464339791493128</v>
      </c>
      <c r="CV306" s="635">
        <v>10.834481164519106</v>
      </c>
      <c r="CW306" s="635">
        <v>10.997002954063817</v>
      </c>
      <c r="CX306" s="635">
        <v>11.086252783304726</v>
      </c>
      <c r="CY306" s="635">
        <v>11.178679402526821</v>
      </c>
      <c r="CZ306" s="635">
        <v>11.273329774735757</v>
      </c>
      <c r="DA306" s="636">
        <v>0</v>
      </c>
      <c r="DB306" s="636">
        <v>0</v>
      </c>
      <c r="DC306" s="636">
        <v>0</v>
      </c>
      <c r="DD306" s="637">
        <v>0</v>
      </c>
      <c r="DE306" s="637">
        <v>0</v>
      </c>
      <c r="DF306" s="637">
        <v>0</v>
      </c>
      <c r="DG306" s="637">
        <v>0</v>
      </c>
      <c r="DH306" s="637">
        <v>0</v>
      </c>
      <c r="DI306" s="637">
        <v>0</v>
      </c>
      <c r="DJ306" s="637">
        <v>0</v>
      </c>
      <c r="DK306" s="637">
        <v>0</v>
      </c>
      <c r="DL306" s="637">
        <v>0</v>
      </c>
      <c r="DM306" s="637">
        <v>0</v>
      </c>
      <c r="DN306" s="637">
        <v>0</v>
      </c>
      <c r="DO306" s="637">
        <v>0</v>
      </c>
      <c r="DP306" s="636">
        <v>0</v>
      </c>
      <c r="DQ306" s="636">
        <v>0</v>
      </c>
      <c r="DR306" s="636">
        <v>0</v>
      </c>
      <c r="DS306" s="637">
        <v>0</v>
      </c>
      <c r="DT306" s="637">
        <v>0</v>
      </c>
      <c r="DU306" s="637">
        <v>0</v>
      </c>
      <c r="DV306" s="637">
        <v>0</v>
      </c>
      <c r="DW306" s="637">
        <v>0</v>
      </c>
      <c r="DX306" s="637">
        <v>0</v>
      </c>
      <c r="DY306" s="637">
        <v>0</v>
      </c>
      <c r="DZ306" s="637">
        <v>0</v>
      </c>
      <c r="EA306" s="637">
        <v>0</v>
      </c>
      <c r="EB306" s="637">
        <v>0</v>
      </c>
      <c r="EC306" s="637">
        <v>0</v>
      </c>
      <c r="ED306" s="637">
        <v>0</v>
      </c>
    </row>
    <row r="307" spans="1:134" ht="15" x14ac:dyDescent="0.25">
      <c r="A307" s="555">
        <v>113</v>
      </c>
      <c r="B307" s="555">
        <v>98</v>
      </c>
      <c r="C307" s="555" t="s">
        <v>1290</v>
      </c>
      <c r="D307" s="812">
        <v>99712</v>
      </c>
      <c r="E307" s="812">
        <v>99712</v>
      </c>
      <c r="F307" s="630" t="s">
        <v>311</v>
      </c>
      <c r="G307" s="45">
        <v>351</v>
      </c>
      <c r="H307" s="45">
        <v>157</v>
      </c>
      <c r="I307" s="45">
        <v>145</v>
      </c>
      <c r="J307" s="45">
        <v>12</v>
      </c>
      <c r="K307" s="45">
        <v>0</v>
      </c>
      <c r="L307" s="45">
        <v>146</v>
      </c>
      <c r="M307" s="45">
        <v>146</v>
      </c>
      <c r="N307" s="45">
        <v>5</v>
      </c>
      <c r="O307" s="45">
        <v>0</v>
      </c>
      <c r="P307" s="45">
        <v>0</v>
      </c>
      <c r="Q307" s="45">
        <v>151</v>
      </c>
      <c r="R307" s="45">
        <v>0</v>
      </c>
      <c r="S307" s="45">
        <v>1851.4657534246576</v>
      </c>
      <c r="T307" s="45">
        <v>1851.4657534246576</v>
      </c>
      <c r="U307" s="45">
        <v>2919</v>
      </c>
      <c r="V307" s="45">
        <v>0</v>
      </c>
      <c r="W307" s="45">
        <v>0</v>
      </c>
      <c r="X307" s="45">
        <v>1886.8145695364237</v>
      </c>
      <c r="Y307" s="45">
        <v>0</v>
      </c>
      <c r="Z307" s="45">
        <v>157</v>
      </c>
      <c r="AA307" s="45">
        <v>0</v>
      </c>
      <c r="AB307" s="508">
        <v>5</v>
      </c>
      <c r="AC307" s="508">
        <v>0</v>
      </c>
      <c r="AD307" s="631">
        <v>162</v>
      </c>
      <c r="AE307" s="632">
        <v>0</v>
      </c>
      <c r="AF307" s="632">
        <v>145</v>
      </c>
      <c r="AG307" s="633">
        <v>145</v>
      </c>
      <c r="AH307" s="632">
        <v>0</v>
      </c>
      <c r="AI307" s="632">
        <v>0</v>
      </c>
      <c r="AJ307" s="632">
        <v>142.73093648788091</v>
      </c>
      <c r="AK307" s="632">
        <v>142.73093648788091</v>
      </c>
      <c r="AL307" s="632">
        <v>0</v>
      </c>
      <c r="AM307" s="632">
        <v>0</v>
      </c>
      <c r="AN307" s="632">
        <v>132.30584600624684</v>
      </c>
      <c r="AO307" s="632">
        <v>132.30584600624684</v>
      </c>
      <c r="AP307" s="632">
        <v>0</v>
      </c>
      <c r="AQ307" s="632">
        <v>4.6492067540691933</v>
      </c>
      <c r="AR307" s="632">
        <v>0</v>
      </c>
      <c r="AS307" s="632">
        <v>129.75872758412416</v>
      </c>
      <c r="AT307" s="632">
        <v>136.09035493214745</v>
      </c>
      <c r="AU307" s="632">
        <v>142.73093648788091</v>
      </c>
      <c r="AV307" s="632">
        <v>149.69554779150013</v>
      </c>
      <c r="AW307" s="632">
        <v>157</v>
      </c>
      <c r="AX307" s="632">
        <v>120.72301301674968</v>
      </c>
      <c r="AY307" s="632">
        <v>126.38180394979419</v>
      </c>
      <c r="AZ307" s="632">
        <v>132.30584600624684</v>
      </c>
      <c r="BA307" s="632">
        <v>138.50757261213479</v>
      </c>
      <c r="BB307" s="632">
        <v>145</v>
      </c>
      <c r="BC307" s="632">
        <v>4.3230246884165213</v>
      </c>
      <c r="BD307" s="632">
        <v>4.483150184791266</v>
      </c>
      <c r="BE307" s="632">
        <v>4.6492067540691933</v>
      </c>
      <c r="BF307" s="632">
        <v>4.8214140840987687</v>
      </c>
      <c r="BG307" s="632">
        <v>5</v>
      </c>
      <c r="BH307" s="634">
        <v>158.48667968242478</v>
      </c>
      <c r="BI307" s="634">
        <v>159.98743717681219</v>
      </c>
      <c r="BJ307" s="634">
        <v>161.50240579014965</v>
      </c>
      <c r="BK307" s="635">
        <v>161.90145765777453</v>
      </c>
      <c r="BL307" s="635">
        <v>162.30050952539938</v>
      </c>
      <c r="BM307" s="635">
        <v>162.69956139302423</v>
      </c>
      <c r="BN307" s="635">
        <v>163.0986132606491</v>
      </c>
      <c r="BO307" s="635">
        <v>163.57046592103814</v>
      </c>
      <c r="BP307" s="635">
        <v>164.04231858142725</v>
      </c>
      <c r="BQ307" s="635">
        <v>165.3504296122864</v>
      </c>
      <c r="BR307" s="635">
        <v>166.9089543690919</v>
      </c>
      <c r="BS307" s="635">
        <v>167.59327190553759</v>
      </c>
      <c r="BT307" s="635">
        <v>167.9690690429272</v>
      </c>
      <c r="BU307" s="635">
        <v>168.35824243650879</v>
      </c>
      <c r="BV307" s="635">
        <v>168.75677920942479</v>
      </c>
      <c r="BW307" s="634">
        <v>146.37304811434137</v>
      </c>
      <c r="BX307" s="634">
        <v>147.75909802953993</v>
      </c>
      <c r="BY307" s="634">
        <v>149.15827286351401</v>
      </c>
      <c r="BZ307" s="635">
        <v>149.52682395144782</v>
      </c>
      <c r="CA307" s="635">
        <v>149.89537503938161</v>
      </c>
      <c r="CB307" s="635">
        <v>150.26392612731536</v>
      </c>
      <c r="CC307" s="635">
        <v>150.63247721524917</v>
      </c>
      <c r="CD307" s="635">
        <v>151.06826470414353</v>
      </c>
      <c r="CE307" s="635">
        <v>151.50405219303789</v>
      </c>
      <c r="CF307" s="635">
        <v>152.71218021516896</v>
      </c>
      <c r="CG307" s="635">
        <v>154.15158206062628</v>
      </c>
      <c r="CH307" s="635">
        <v>154.78359507199332</v>
      </c>
      <c r="CI307" s="635">
        <v>155.13066886130221</v>
      </c>
      <c r="CJ307" s="635">
        <v>155.49009651779477</v>
      </c>
      <c r="CK307" s="635">
        <v>155.85817188131588</v>
      </c>
      <c r="CL307" s="634">
        <v>5.0473464867014259</v>
      </c>
      <c r="CM307" s="634">
        <v>5.0951413113634461</v>
      </c>
      <c r="CN307" s="634">
        <v>5.1433887194315178</v>
      </c>
      <c r="CO307" s="635">
        <v>5.1560973776361312</v>
      </c>
      <c r="CP307" s="635">
        <v>5.1688060358407446</v>
      </c>
      <c r="CQ307" s="635">
        <v>5.1815146940453571</v>
      </c>
      <c r="CR307" s="635">
        <v>5.1942233522499714</v>
      </c>
      <c r="CS307" s="635">
        <v>5.2092505070394317</v>
      </c>
      <c r="CT307" s="635">
        <v>5.2242776618288929</v>
      </c>
      <c r="CU307" s="635">
        <v>5.26593724879893</v>
      </c>
      <c r="CV307" s="635">
        <v>5.3155717951940096</v>
      </c>
      <c r="CW307" s="635">
        <v>5.3373653473101141</v>
      </c>
      <c r="CX307" s="635">
        <v>5.3493334090104208</v>
      </c>
      <c r="CY307" s="635">
        <v>5.361727466130854</v>
      </c>
      <c r="CZ307" s="635">
        <v>5.3744197200453758</v>
      </c>
      <c r="DA307" s="636">
        <v>0</v>
      </c>
      <c r="DB307" s="636">
        <v>0</v>
      </c>
      <c r="DC307" s="636">
        <v>0</v>
      </c>
      <c r="DD307" s="637">
        <v>0</v>
      </c>
      <c r="DE307" s="637">
        <v>0</v>
      </c>
      <c r="DF307" s="637">
        <v>0</v>
      </c>
      <c r="DG307" s="637">
        <v>0</v>
      </c>
      <c r="DH307" s="637">
        <v>0</v>
      </c>
      <c r="DI307" s="637">
        <v>0</v>
      </c>
      <c r="DJ307" s="637">
        <v>0</v>
      </c>
      <c r="DK307" s="637">
        <v>0</v>
      </c>
      <c r="DL307" s="637">
        <v>0</v>
      </c>
      <c r="DM307" s="637">
        <v>0</v>
      </c>
      <c r="DN307" s="637">
        <v>0</v>
      </c>
      <c r="DO307" s="637">
        <v>0</v>
      </c>
      <c r="DP307" s="636">
        <v>0</v>
      </c>
      <c r="DQ307" s="636">
        <v>0</v>
      </c>
      <c r="DR307" s="636">
        <v>0</v>
      </c>
      <c r="DS307" s="637">
        <v>0</v>
      </c>
      <c r="DT307" s="637">
        <v>0</v>
      </c>
      <c r="DU307" s="637">
        <v>0</v>
      </c>
      <c r="DV307" s="637">
        <v>0</v>
      </c>
      <c r="DW307" s="637">
        <v>0</v>
      </c>
      <c r="DX307" s="637">
        <v>0</v>
      </c>
      <c r="DY307" s="637">
        <v>0</v>
      </c>
      <c r="DZ307" s="637">
        <v>0</v>
      </c>
      <c r="EA307" s="637">
        <v>0</v>
      </c>
      <c r="EB307" s="637">
        <v>0</v>
      </c>
      <c r="EC307" s="637">
        <v>0</v>
      </c>
      <c r="ED307" s="637">
        <v>0</v>
      </c>
    </row>
    <row r="308" spans="1:134" ht="15" x14ac:dyDescent="0.25">
      <c r="A308" s="555">
        <v>114</v>
      </c>
      <c r="B308" s="555">
        <v>98</v>
      </c>
      <c r="C308" s="555" t="s">
        <v>1291</v>
      </c>
      <c r="D308" s="812">
        <v>99712</v>
      </c>
      <c r="E308" s="812">
        <v>99712</v>
      </c>
      <c r="F308" s="630" t="s">
        <v>311</v>
      </c>
      <c r="G308" s="45">
        <v>561</v>
      </c>
      <c r="H308" s="45">
        <v>193</v>
      </c>
      <c r="I308" s="45">
        <v>187</v>
      </c>
      <c r="J308" s="45">
        <v>6</v>
      </c>
      <c r="K308" s="45">
        <v>0</v>
      </c>
      <c r="L308" s="45">
        <v>91</v>
      </c>
      <c r="M308" s="45">
        <v>91</v>
      </c>
      <c r="N308" s="45">
        <v>0</v>
      </c>
      <c r="O308" s="45">
        <v>0</v>
      </c>
      <c r="P308" s="45">
        <v>0</v>
      </c>
      <c r="Q308" s="45">
        <v>91</v>
      </c>
      <c r="R308" s="45">
        <v>0</v>
      </c>
      <c r="S308" s="45">
        <v>2840.2527472527472</v>
      </c>
      <c r="T308" s="45">
        <v>2840.2527472527472</v>
      </c>
      <c r="U308" s="45">
        <v>0</v>
      </c>
      <c r="V308" s="45">
        <v>0</v>
      </c>
      <c r="W308" s="45">
        <v>0</v>
      </c>
      <c r="X308" s="45">
        <v>2840.2527472527472</v>
      </c>
      <c r="Y308" s="45">
        <v>0</v>
      </c>
      <c r="Z308" s="45">
        <v>193</v>
      </c>
      <c r="AA308" s="45">
        <v>0</v>
      </c>
      <c r="AB308" s="508">
        <v>0</v>
      </c>
      <c r="AC308" s="508">
        <v>0</v>
      </c>
      <c r="AD308" s="631">
        <v>193</v>
      </c>
      <c r="AE308" s="632">
        <v>0</v>
      </c>
      <c r="AF308" s="632">
        <v>187</v>
      </c>
      <c r="AG308" s="633">
        <v>187</v>
      </c>
      <c r="AH308" s="632">
        <v>0</v>
      </c>
      <c r="AI308" s="632">
        <v>0</v>
      </c>
      <c r="AJ308" s="632">
        <v>175.45904931312748</v>
      </c>
      <c r="AK308" s="632">
        <v>175.45904931312748</v>
      </c>
      <c r="AL308" s="632">
        <v>0</v>
      </c>
      <c r="AM308" s="632">
        <v>0</v>
      </c>
      <c r="AN308" s="632">
        <v>170.62891864253902</v>
      </c>
      <c r="AO308" s="632">
        <v>170.62891864253902</v>
      </c>
      <c r="AP308" s="632">
        <v>0</v>
      </c>
      <c r="AQ308" s="632">
        <v>0</v>
      </c>
      <c r="AR308" s="632">
        <v>0</v>
      </c>
      <c r="AS308" s="632">
        <v>159.51232117029275</v>
      </c>
      <c r="AT308" s="632">
        <v>167.29578663633413</v>
      </c>
      <c r="AU308" s="632">
        <v>175.45904931312748</v>
      </c>
      <c r="AV308" s="632">
        <v>184.02064155260845</v>
      </c>
      <c r="AW308" s="632">
        <v>193</v>
      </c>
      <c r="AX308" s="632">
        <v>155.69105816642889</v>
      </c>
      <c r="AY308" s="632">
        <v>162.98894716283803</v>
      </c>
      <c r="AZ308" s="632">
        <v>170.62891864253902</v>
      </c>
      <c r="BA308" s="632">
        <v>178.62700743771867</v>
      </c>
      <c r="BB308" s="632">
        <v>187</v>
      </c>
      <c r="BC308" s="632">
        <v>0</v>
      </c>
      <c r="BD308" s="632">
        <v>0</v>
      </c>
      <c r="BE308" s="632">
        <v>0</v>
      </c>
      <c r="BF308" s="632">
        <v>0</v>
      </c>
      <c r="BG308" s="632">
        <v>0</v>
      </c>
      <c r="BH308" s="634">
        <v>194.82757438667505</v>
      </c>
      <c r="BI308" s="634">
        <v>196.67245461862902</v>
      </c>
      <c r="BJ308" s="634">
        <v>198.53480457005656</v>
      </c>
      <c r="BK308" s="635">
        <v>200.14560525529433</v>
      </c>
      <c r="BL308" s="635">
        <v>201.75640594053206</v>
      </c>
      <c r="BM308" s="635">
        <v>203.3672066257698</v>
      </c>
      <c r="BN308" s="635">
        <v>204.97800731100756</v>
      </c>
      <c r="BO308" s="635">
        <v>206.8826734718499</v>
      </c>
      <c r="BP308" s="635">
        <v>208.78733963269218</v>
      </c>
      <c r="BQ308" s="635">
        <v>214.06762100918687</v>
      </c>
      <c r="BR308" s="635">
        <v>220.3587148491043</v>
      </c>
      <c r="BS308" s="635">
        <v>223.12101029502668</v>
      </c>
      <c r="BT308" s="635">
        <v>224.63794164036904</v>
      </c>
      <c r="BU308" s="635">
        <v>226.20886717641204</v>
      </c>
      <c r="BV308" s="635">
        <v>227.81758864594556</v>
      </c>
      <c r="BW308" s="634">
        <v>188.77075860263335</v>
      </c>
      <c r="BX308" s="634">
        <v>190.55828504499289</v>
      </c>
      <c r="BY308" s="634">
        <v>192.36273810673876</v>
      </c>
      <c r="BZ308" s="635">
        <v>193.92346208673598</v>
      </c>
      <c r="CA308" s="635">
        <v>195.48418606673317</v>
      </c>
      <c r="CB308" s="635">
        <v>197.04491004673034</v>
      </c>
      <c r="CC308" s="635">
        <v>198.60563402672756</v>
      </c>
      <c r="CD308" s="635">
        <v>200.45108776806183</v>
      </c>
      <c r="CE308" s="635">
        <v>202.29654150939606</v>
      </c>
      <c r="CF308" s="635">
        <v>207.41266906071476</v>
      </c>
      <c r="CG308" s="635">
        <v>213.50818485379537</v>
      </c>
      <c r="CH308" s="635">
        <v>216.18460582989633</v>
      </c>
      <c r="CI308" s="635">
        <v>217.65437868781871</v>
      </c>
      <c r="CJ308" s="635">
        <v>219.17646716056507</v>
      </c>
      <c r="CK308" s="635">
        <v>220.73517656368821</v>
      </c>
      <c r="CL308" s="634">
        <v>0</v>
      </c>
      <c r="CM308" s="634">
        <v>0</v>
      </c>
      <c r="CN308" s="634">
        <v>0</v>
      </c>
      <c r="CO308" s="635">
        <v>0</v>
      </c>
      <c r="CP308" s="635">
        <v>0</v>
      </c>
      <c r="CQ308" s="635">
        <v>0</v>
      </c>
      <c r="CR308" s="635">
        <v>0</v>
      </c>
      <c r="CS308" s="635">
        <v>0</v>
      </c>
      <c r="CT308" s="635">
        <v>0</v>
      </c>
      <c r="CU308" s="635">
        <v>0</v>
      </c>
      <c r="CV308" s="635">
        <v>0</v>
      </c>
      <c r="CW308" s="635">
        <v>0</v>
      </c>
      <c r="CX308" s="635">
        <v>0</v>
      </c>
      <c r="CY308" s="635">
        <v>0</v>
      </c>
      <c r="CZ308" s="635">
        <v>0</v>
      </c>
      <c r="DA308" s="636">
        <v>0</v>
      </c>
      <c r="DB308" s="636">
        <v>0</v>
      </c>
      <c r="DC308" s="636">
        <v>0</v>
      </c>
      <c r="DD308" s="637">
        <v>0</v>
      </c>
      <c r="DE308" s="637">
        <v>0</v>
      </c>
      <c r="DF308" s="637">
        <v>0</v>
      </c>
      <c r="DG308" s="637">
        <v>0</v>
      </c>
      <c r="DH308" s="637">
        <v>0</v>
      </c>
      <c r="DI308" s="637">
        <v>0</v>
      </c>
      <c r="DJ308" s="637">
        <v>0</v>
      </c>
      <c r="DK308" s="637">
        <v>0</v>
      </c>
      <c r="DL308" s="637">
        <v>0</v>
      </c>
      <c r="DM308" s="637">
        <v>0</v>
      </c>
      <c r="DN308" s="637">
        <v>0</v>
      </c>
      <c r="DO308" s="637">
        <v>0</v>
      </c>
      <c r="DP308" s="636">
        <v>0</v>
      </c>
      <c r="DQ308" s="636">
        <v>0</v>
      </c>
      <c r="DR308" s="636">
        <v>0</v>
      </c>
      <c r="DS308" s="637">
        <v>0</v>
      </c>
      <c r="DT308" s="637">
        <v>0</v>
      </c>
      <c r="DU308" s="637">
        <v>0</v>
      </c>
      <c r="DV308" s="637">
        <v>0</v>
      </c>
      <c r="DW308" s="637">
        <v>0</v>
      </c>
      <c r="DX308" s="637">
        <v>0</v>
      </c>
      <c r="DY308" s="637">
        <v>0</v>
      </c>
      <c r="DZ308" s="637">
        <v>0</v>
      </c>
      <c r="EA308" s="637">
        <v>0</v>
      </c>
      <c r="EB308" s="637">
        <v>0</v>
      </c>
      <c r="EC308" s="637">
        <v>0</v>
      </c>
      <c r="ED308" s="637">
        <v>0</v>
      </c>
    </row>
    <row r="309" spans="1:134" ht="15" x14ac:dyDescent="0.25">
      <c r="A309" s="555">
        <v>115</v>
      </c>
      <c r="B309" s="555">
        <v>98</v>
      </c>
      <c r="C309" s="555" t="s">
        <v>1292</v>
      </c>
      <c r="D309" s="812">
        <v>99712</v>
      </c>
      <c r="E309" s="812">
        <v>99712</v>
      </c>
      <c r="F309" s="630" t="s">
        <v>311</v>
      </c>
      <c r="G309" s="45">
        <v>5</v>
      </c>
      <c r="H309" s="45">
        <v>3</v>
      </c>
      <c r="I309" s="45">
        <v>2</v>
      </c>
      <c r="J309" s="45">
        <v>1</v>
      </c>
      <c r="K309" s="45">
        <v>0</v>
      </c>
      <c r="L309" s="45">
        <v>32</v>
      </c>
      <c r="M309" s="45">
        <v>32</v>
      </c>
      <c r="N309" s="45">
        <v>3</v>
      </c>
      <c r="O309" s="45">
        <v>0</v>
      </c>
      <c r="P309" s="45">
        <v>0</v>
      </c>
      <c r="Q309" s="45">
        <v>35</v>
      </c>
      <c r="R309" s="45">
        <v>0</v>
      </c>
      <c r="S309" s="45">
        <v>1974.96875</v>
      </c>
      <c r="T309" s="45">
        <v>1974.96875</v>
      </c>
      <c r="U309" s="45">
        <v>4730.666666666667</v>
      </c>
      <c r="V309" s="45">
        <v>0</v>
      </c>
      <c r="W309" s="45">
        <v>0</v>
      </c>
      <c r="X309" s="45">
        <v>2211.1714285714284</v>
      </c>
      <c r="Y309" s="45">
        <v>0</v>
      </c>
      <c r="Z309" s="45">
        <v>3</v>
      </c>
      <c r="AA309" s="45">
        <v>0</v>
      </c>
      <c r="AB309" s="508">
        <v>3</v>
      </c>
      <c r="AC309" s="508">
        <v>0</v>
      </c>
      <c r="AD309" s="631">
        <v>6</v>
      </c>
      <c r="AE309" s="632">
        <v>0</v>
      </c>
      <c r="AF309" s="632">
        <v>2</v>
      </c>
      <c r="AG309" s="633">
        <v>2</v>
      </c>
      <c r="AH309" s="632">
        <v>0</v>
      </c>
      <c r="AI309" s="632">
        <v>0</v>
      </c>
      <c r="AJ309" s="632">
        <v>2.7273427354372148</v>
      </c>
      <c r="AK309" s="632">
        <v>2.7273427354372148</v>
      </c>
      <c r="AL309" s="632">
        <v>0</v>
      </c>
      <c r="AM309" s="632">
        <v>0</v>
      </c>
      <c r="AN309" s="632">
        <v>1.8249082207758185</v>
      </c>
      <c r="AO309" s="632">
        <v>1.8249082207758185</v>
      </c>
      <c r="AP309" s="632">
        <v>0</v>
      </c>
      <c r="AQ309" s="632">
        <v>2.7895240524415161</v>
      </c>
      <c r="AR309" s="632">
        <v>0</v>
      </c>
      <c r="AS309" s="632">
        <v>2.4794661321807161</v>
      </c>
      <c r="AT309" s="632">
        <v>2.600452642015556</v>
      </c>
      <c r="AU309" s="632">
        <v>2.7273427354372148</v>
      </c>
      <c r="AV309" s="632">
        <v>2.8604244800923593</v>
      </c>
      <c r="AW309" s="632">
        <v>3</v>
      </c>
      <c r="AX309" s="632">
        <v>1.6651450071275817</v>
      </c>
      <c r="AY309" s="632">
        <v>1.7431972958592303</v>
      </c>
      <c r="AZ309" s="632">
        <v>1.8249082207758185</v>
      </c>
      <c r="BA309" s="632">
        <v>1.9104492774087558</v>
      </c>
      <c r="BB309" s="632">
        <v>2</v>
      </c>
      <c r="BC309" s="632">
        <v>2.5938148130499128</v>
      </c>
      <c r="BD309" s="632">
        <v>2.6898901108747597</v>
      </c>
      <c r="BE309" s="632">
        <v>2.7895240524415161</v>
      </c>
      <c r="BF309" s="632">
        <v>2.8928484504592613</v>
      </c>
      <c r="BG309" s="632">
        <v>3</v>
      </c>
      <c r="BH309" s="634">
        <v>3.0284078920208559</v>
      </c>
      <c r="BI309" s="634">
        <v>3.0570847868180673</v>
      </c>
      <c r="BJ309" s="634">
        <v>3.0860332316589103</v>
      </c>
      <c r="BK309" s="635">
        <v>3.1105067577401684</v>
      </c>
      <c r="BL309" s="635">
        <v>3.1349802838214269</v>
      </c>
      <c r="BM309" s="635">
        <v>3.1594538099026859</v>
      </c>
      <c r="BN309" s="635">
        <v>3.183927335983944</v>
      </c>
      <c r="BO309" s="635">
        <v>3.2128656754015132</v>
      </c>
      <c r="BP309" s="635">
        <v>3.2418040148190825</v>
      </c>
      <c r="BQ309" s="635">
        <v>3.3220293991067442</v>
      </c>
      <c r="BR309" s="635">
        <v>3.4176124532871177</v>
      </c>
      <c r="BS309" s="635">
        <v>3.4595810905365756</v>
      </c>
      <c r="BT309" s="635">
        <v>3.4826284229495461</v>
      </c>
      <c r="BU309" s="635">
        <v>3.5064961102620753</v>
      </c>
      <c r="BV309" s="635">
        <v>3.5309380460042976</v>
      </c>
      <c r="BW309" s="634">
        <v>2.0189385946805705</v>
      </c>
      <c r="BX309" s="634">
        <v>2.0380565245453783</v>
      </c>
      <c r="BY309" s="634">
        <v>2.057355487772607</v>
      </c>
      <c r="BZ309" s="635">
        <v>2.0736711718267791</v>
      </c>
      <c r="CA309" s="635">
        <v>2.0899868558809516</v>
      </c>
      <c r="CB309" s="635">
        <v>2.1063025399351241</v>
      </c>
      <c r="CC309" s="635">
        <v>2.1226182239892961</v>
      </c>
      <c r="CD309" s="635">
        <v>2.1419104502676758</v>
      </c>
      <c r="CE309" s="635">
        <v>2.1612026765460555</v>
      </c>
      <c r="CF309" s="635">
        <v>2.2146862660711628</v>
      </c>
      <c r="CG309" s="635">
        <v>2.2784083021914121</v>
      </c>
      <c r="CH309" s="635">
        <v>2.3063873936910504</v>
      </c>
      <c r="CI309" s="635">
        <v>2.3217522819663641</v>
      </c>
      <c r="CJ309" s="635">
        <v>2.3376640735080505</v>
      </c>
      <c r="CK309" s="635">
        <v>2.3539586973361986</v>
      </c>
      <c r="CL309" s="634">
        <v>3.0284078920208559</v>
      </c>
      <c r="CM309" s="634">
        <v>3.0570847868180673</v>
      </c>
      <c r="CN309" s="634">
        <v>3.0860332316589103</v>
      </c>
      <c r="CO309" s="635">
        <v>3.1105067577401684</v>
      </c>
      <c r="CP309" s="635">
        <v>3.1349802838214269</v>
      </c>
      <c r="CQ309" s="635">
        <v>3.1594538099026859</v>
      </c>
      <c r="CR309" s="635">
        <v>3.183927335983944</v>
      </c>
      <c r="CS309" s="635">
        <v>3.2128656754015132</v>
      </c>
      <c r="CT309" s="635">
        <v>3.2418040148190825</v>
      </c>
      <c r="CU309" s="635">
        <v>3.3220293991067442</v>
      </c>
      <c r="CV309" s="635">
        <v>3.4176124532871177</v>
      </c>
      <c r="CW309" s="635">
        <v>3.4595810905365756</v>
      </c>
      <c r="CX309" s="635">
        <v>3.4826284229495461</v>
      </c>
      <c r="CY309" s="635">
        <v>3.5064961102620753</v>
      </c>
      <c r="CZ309" s="635">
        <v>3.5309380460042976</v>
      </c>
      <c r="DA309" s="636">
        <v>0</v>
      </c>
      <c r="DB309" s="636">
        <v>0</v>
      </c>
      <c r="DC309" s="636">
        <v>0</v>
      </c>
      <c r="DD309" s="637">
        <v>0</v>
      </c>
      <c r="DE309" s="637">
        <v>0</v>
      </c>
      <c r="DF309" s="637">
        <v>0</v>
      </c>
      <c r="DG309" s="637">
        <v>0</v>
      </c>
      <c r="DH309" s="637">
        <v>0</v>
      </c>
      <c r="DI309" s="637">
        <v>0</v>
      </c>
      <c r="DJ309" s="637">
        <v>0</v>
      </c>
      <c r="DK309" s="637">
        <v>0</v>
      </c>
      <c r="DL309" s="637">
        <v>0</v>
      </c>
      <c r="DM309" s="637">
        <v>0</v>
      </c>
      <c r="DN309" s="637">
        <v>0</v>
      </c>
      <c r="DO309" s="637">
        <v>0</v>
      </c>
      <c r="DP309" s="636">
        <v>0</v>
      </c>
      <c r="DQ309" s="636">
        <v>0</v>
      </c>
      <c r="DR309" s="636">
        <v>0</v>
      </c>
      <c r="DS309" s="637">
        <v>0</v>
      </c>
      <c r="DT309" s="637">
        <v>0</v>
      </c>
      <c r="DU309" s="637">
        <v>0</v>
      </c>
      <c r="DV309" s="637">
        <v>0</v>
      </c>
      <c r="DW309" s="637">
        <v>0</v>
      </c>
      <c r="DX309" s="637">
        <v>0</v>
      </c>
      <c r="DY309" s="637">
        <v>0</v>
      </c>
      <c r="DZ309" s="637">
        <v>0</v>
      </c>
      <c r="EA309" s="637">
        <v>0</v>
      </c>
      <c r="EB309" s="637">
        <v>0</v>
      </c>
      <c r="EC309" s="637">
        <v>0</v>
      </c>
      <c r="ED309" s="637">
        <v>0</v>
      </c>
    </row>
    <row r="310" spans="1:134" ht="15" x14ac:dyDescent="0.25">
      <c r="A310" s="555">
        <v>117</v>
      </c>
      <c r="B310" s="555">
        <v>98</v>
      </c>
      <c r="C310" s="555" t="s">
        <v>1293</v>
      </c>
      <c r="D310" s="812">
        <v>99712</v>
      </c>
      <c r="E310" s="812">
        <v>99712</v>
      </c>
      <c r="F310" s="630" t="s">
        <v>311</v>
      </c>
      <c r="G310" s="45">
        <v>134</v>
      </c>
      <c r="H310" s="45">
        <v>65</v>
      </c>
      <c r="I310" s="45">
        <v>59</v>
      </c>
      <c r="J310" s="45">
        <v>6</v>
      </c>
      <c r="K310" s="45">
        <v>1</v>
      </c>
      <c r="L310" s="45">
        <v>70</v>
      </c>
      <c r="M310" s="45">
        <v>71</v>
      </c>
      <c r="N310" s="45">
        <v>1</v>
      </c>
      <c r="O310" s="45">
        <v>0</v>
      </c>
      <c r="P310" s="45">
        <v>0</v>
      </c>
      <c r="Q310" s="45">
        <v>72</v>
      </c>
      <c r="R310" s="45">
        <v>4411</v>
      </c>
      <c r="S310" s="45">
        <v>1989.3571428571429</v>
      </c>
      <c r="T310" s="45">
        <v>2023.4647887323943</v>
      </c>
      <c r="U310" s="45">
        <v>8254</v>
      </c>
      <c r="V310" s="45">
        <v>0</v>
      </c>
      <c r="W310" s="45">
        <v>0</v>
      </c>
      <c r="X310" s="45">
        <v>2110</v>
      </c>
      <c r="Y310" s="45">
        <v>0.91549295774647887</v>
      </c>
      <c r="Z310" s="45">
        <v>64.08450704225352</v>
      </c>
      <c r="AA310" s="45">
        <v>0</v>
      </c>
      <c r="AB310" s="508">
        <v>1</v>
      </c>
      <c r="AC310" s="508">
        <v>0</v>
      </c>
      <c r="AD310" s="631">
        <v>66</v>
      </c>
      <c r="AE310" s="632">
        <v>0.83098591549295775</v>
      </c>
      <c r="AF310" s="632">
        <v>58.16901408450704</v>
      </c>
      <c r="AG310" s="633">
        <v>59</v>
      </c>
      <c r="AH310" s="632">
        <v>0</v>
      </c>
      <c r="AI310" s="632">
        <v>0.83228768921792939</v>
      </c>
      <c r="AJ310" s="632">
        <v>58.260138245255057</v>
      </c>
      <c r="AK310" s="632">
        <v>59.092425934472985</v>
      </c>
      <c r="AL310" s="632">
        <v>0</v>
      </c>
      <c r="AM310" s="632">
        <v>0.75823651426600913</v>
      </c>
      <c r="AN310" s="632">
        <v>53.076555998620634</v>
      </c>
      <c r="AO310" s="632">
        <v>53.834792512886644</v>
      </c>
      <c r="AP310" s="632">
        <v>0</v>
      </c>
      <c r="AQ310" s="632">
        <v>0.92984135081383867</v>
      </c>
      <c r="AR310" s="632">
        <v>0</v>
      </c>
      <c r="AS310" s="632">
        <v>53.721766197248854</v>
      </c>
      <c r="AT310" s="632">
        <v>56.343140577003716</v>
      </c>
      <c r="AU310" s="632">
        <v>59.092425934472985</v>
      </c>
      <c r="AV310" s="632">
        <v>61.975863735334457</v>
      </c>
      <c r="AW310" s="632">
        <v>65</v>
      </c>
      <c r="AX310" s="632">
        <v>49.121777710263657</v>
      </c>
      <c r="AY310" s="632">
        <v>51.424320227847289</v>
      </c>
      <c r="AZ310" s="632">
        <v>53.834792512886644</v>
      </c>
      <c r="BA310" s="632">
        <v>56.358253683558296</v>
      </c>
      <c r="BB310" s="632">
        <v>59</v>
      </c>
      <c r="BC310" s="632">
        <v>0.86460493768330426</v>
      </c>
      <c r="BD310" s="632">
        <v>0.89663003695825327</v>
      </c>
      <c r="BE310" s="632">
        <v>0.92984135081383867</v>
      </c>
      <c r="BF310" s="632">
        <v>0.96428281681975381</v>
      </c>
      <c r="BG310" s="632">
        <v>1</v>
      </c>
      <c r="BH310" s="634">
        <v>65.601828434027837</v>
      </c>
      <c r="BI310" s="634">
        <v>66.209229136732688</v>
      </c>
      <c r="BJ310" s="634">
        <v>66.822253701187307</v>
      </c>
      <c r="BK310" s="635">
        <v>67.827493568113638</v>
      </c>
      <c r="BL310" s="635">
        <v>68.83273343503997</v>
      </c>
      <c r="BM310" s="635">
        <v>69.837973301966301</v>
      </c>
      <c r="BN310" s="635">
        <v>70.843213168892632</v>
      </c>
      <c r="BO310" s="635">
        <v>72.031843379700859</v>
      </c>
      <c r="BP310" s="635">
        <v>73.220473590509101</v>
      </c>
      <c r="BQ310" s="635">
        <v>76.515697758766592</v>
      </c>
      <c r="BR310" s="635">
        <v>80.441731806564533</v>
      </c>
      <c r="BS310" s="635">
        <v>82.165576061113256</v>
      </c>
      <c r="BT310" s="635">
        <v>83.112235618501799</v>
      </c>
      <c r="BU310" s="635">
        <v>84.092590910919597</v>
      </c>
      <c r="BV310" s="635">
        <v>85.09653321785791</v>
      </c>
      <c r="BW310" s="634">
        <v>59.546275040117578</v>
      </c>
      <c r="BX310" s="634">
        <v>60.097607985649667</v>
      </c>
      <c r="BY310" s="634">
        <v>60.654045667231557</v>
      </c>
      <c r="BZ310" s="635">
        <v>61.566494161826228</v>
      </c>
      <c r="CA310" s="635">
        <v>62.478942656420891</v>
      </c>
      <c r="CB310" s="635">
        <v>63.391391151015569</v>
      </c>
      <c r="CC310" s="635">
        <v>64.303839645610239</v>
      </c>
      <c r="CD310" s="635">
        <v>65.382750144651553</v>
      </c>
      <c r="CE310" s="635">
        <v>66.461660643692881</v>
      </c>
      <c r="CF310" s="635">
        <v>69.452710273341978</v>
      </c>
      <c r="CG310" s="635">
        <v>73.016341178266273</v>
      </c>
      <c r="CH310" s="635">
        <v>74.581061347779723</v>
      </c>
      <c r="CI310" s="635">
        <v>75.440336946024701</v>
      </c>
      <c r="CJ310" s="635">
        <v>76.330197903757792</v>
      </c>
      <c r="CK310" s="635">
        <v>77.241468613132568</v>
      </c>
      <c r="CL310" s="634">
        <v>1.0092588989850437</v>
      </c>
      <c r="CM310" s="634">
        <v>1.0186035251805028</v>
      </c>
      <c r="CN310" s="634">
        <v>1.0280346723259586</v>
      </c>
      <c r="CO310" s="635">
        <v>1.043499901047902</v>
      </c>
      <c r="CP310" s="635">
        <v>1.0589651297698457</v>
      </c>
      <c r="CQ310" s="635">
        <v>1.0744303584917894</v>
      </c>
      <c r="CR310" s="635">
        <v>1.0898955872137328</v>
      </c>
      <c r="CS310" s="635">
        <v>1.1081822058415518</v>
      </c>
      <c r="CT310" s="635">
        <v>1.1264688244693708</v>
      </c>
      <c r="CU310" s="635">
        <v>1.1771645809041014</v>
      </c>
      <c r="CV310" s="635">
        <v>1.2375651047163776</v>
      </c>
      <c r="CW310" s="635">
        <v>1.2640857855555885</v>
      </c>
      <c r="CX310" s="635">
        <v>1.2786497787461815</v>
      </c>
      <c r="CY310" s="635">
        <v>1.2937321678603015</v>
      </c>
      <c r="CZ310" s="635">
        <v>1.309177434120891</v>
      </c>
      <c r="DA310" s="636">
        <v>0</v>
      </c>
      <c r="DB310" s="636">
        <v>0</v>
      </c>
      <c r="DC310" s="636">
        <v>0</v>
      </c>
      <c r="DD310" s="637">
        <v>0</v>
      </c>
      <c r="DE310" s="637">
        <v>0</v>
      </c>
      <c r="DF310" s="637">
        <v>0</v>
      </c>
      <c r="DG310" s="637">
        <v>0</v>
      </c>
      <c r="DH310" s="637">
        <v>0</v>
      </c>
      <c r="DI310" s="637">
        <v>0</v>
      </c>
      <c r="DJ310" s="637">
        <v>0</v>
      </c>
      <c r="DK310" s="637">
        <v>0</v>
      </c>
      <c r="DL310" s="637">
        <v>0</v>
      </c>
      <c r="DM310" s="637">
        <v>0</v>
      </c>
      <c r="DN310" s="637">
        <v>0</v>
      </c>
      <c r="DO310" s="637">
        <v>0</v>
      </c>
      <c r="DP310" s="636">
        <v>0</v>
      </c>
      <c r="DQ310" s="636">
        <v>0</v>
      </c>
      <c r="DR310" s="636">
        <v>0</v>
      </c>
      <c r="DS310" s="637">
        <v>0</v>
      </c>
      <c r="DT310" s="637">
        <v>0</v>
      </c>
      <c r="DU310" s="637">
        <v>0</v>
      </c>
      <c r="DV310" s="637">
        <v>0</v>
      </c>
      <c r="DW310" s="637">
        <v>0</v>
      </c>
      <c r="DX310" s="637">
        <v>0</v>
      </c>
      <c r="DY310" s="637">
        <v>0</v>
      </c>
      <c r="DZ310" s="637">
        <v>0</v>
      </c>
      <c r="EA310" s="637">
        <v>0</v>
      </c>
      <c r="EB310" s="637">
        <v>0</v>
      </c>
      <c r="EC310" s="637">
        <v>0</v>
      </c>
      <c r="ED310" s="637">
        <v>0</v>
      </c>
    </row>
    <row r="311" spans="1:134" ht="15" x14ac:dyDescent="0.25">
      <c r="A311" s="555">
        <v>118</v>
      </c>
      <c r="B311" s="555">
        <v>98</v>
      </c>
      <c r="C311" s="555" t="s">
        <v>1294</v>
      </c>
      <c r="D311" s="812">
        <v>99712</v>
      </c>
      <c r="E311" s="812">
        <v>99712</v>
      </c>
      <c r="F311" s="630" t="s">
        <v>311</v>
      </c>
      <c r="G311" s="45">
        <v>148</v>
      </c>
      <c r="H311" s="45">
        <v>64</v>
      </c>
      <c r="I311" s="45">
        <v>59</v>
      </c>
      <c r="J311" s="45">
        <v>5</v>
      </c>
      <c r="K311" s="45">
        <v>0</v>
      </c>
      <c r="L311" s="45">
        <v>36</v>
      </c>
      <c r="M311" s="45">
        <v>36</v>
      </c>
      <c r="N311" s="45">
        <v>0</v>
      </c>
      <c r="O311" s="45">
        <v>0</v>
      </c>
      <c r="P311" s="45">
        <v>0</v>
      </c>
      <c r="Q311" s="45">
        <v>36</v>
      </c>
      <c r="R311" s="45">
        <v>0</v>
      </c>
      <c r="S311" s="45">
        <v>2430.3055555555557</v>
      </c>
      <c r="T311" s="45">
        <v>2430.3055555555557</v>
      </c>
      <c r="U311" s="45">
        <v>0</v>
      </c>
      <c r="V311" s="45">
        <v>0</v>
      </c>
      <c r="W311" s="45">
        <v>0</v>
      </c>
      <c r="X311" s="45">
        <v>2430.3055555555557</v>
      </c>
      <c r="Y311" s="45">
        <v>0</v>
      </c>
      <c r="Z311" s="45">
        <v>64</v>
      </c>
      <c r="AA311" s="45">
        <v>0</v>
      </c>
      <c r="AB311" s="508">
        <v>0</v>
      </c>
      <c r="AC311" s="508">
        <v>0</v>
      </c>
      <c r="AD311" s="631">
        <v>64</v>
      </c>
      <c r="AE311" s="632">
        <v>0</v>
      </c>
      <c r="AF311" s="632">
        <v>59</v>
      </c>
      <c r="AG311" s="633">
        <v>59</v>
      </c>
      <c r="AH311" s="632">
        <v>0</v>
      </c>
      <c r="AI311" s="632">
        <v>0</v>
      </c>
      <c r="AJ311" s="632">
        <v>58.183311689327248</v>
      </c>
      <c r="AK311" s="632">
        <v>58.183311689327248</v>
      </c>
      <c r="AL311" s="632">
        <v>0</v>
      </c>
      <c r="AM311" s="632">
        <v>0</v>
      </c>
      <c r="AN311" s="632">
        <v>53.834792512886644</v>
      </c>
      <c r="AO311" s="632">
        <v>53.834792512886644</v>
      </c>
      <c r="AP311" s="632">
        <v>0</v>
      </c>
      <c r="AQ311" s="632">
        <v>0</v>
      </c>
      <c r="AR311" s="632">
        <v>0</v>
      </c>
      <c r="AS311" s="632">
        <v>52.895277486521948</v>
      </c>
      <c r="AT311" s="632">
        <v>55.476323029665203</v>
      </c>
      <c r="AU311" s="632">
        <v>58.183311689327248</v>
      </c>
      <c r="AV311" s="632">
        <v>61.022388908636998</v>
      </c>
      <c r="AW311" s="632">
        <v>64</v>
      </c>
      <c r="AX311" s="632">
        <v>49.121777710263657</v>
      </c>
      <c r="AY311" s="632">
        <v>51.424320227847289</v>
      </c>
      <c r="AZ311" s="632">
        <v>53.834792512886644</v>
      </c>
      <c r="BA311" s="632">
        <v>56.358253683558296</v>
      </c>
      <c r="BB311" s="632">
        <v>59</v>
      </c>
      <c r="BC311" s="632">
        <v>0</v>
      </c>
      <c r="BD311" s="632">
        <v>0</v>
      </c>
      <c r="BE311" s="632">
        <v>0</v>
      </c>
      <c r="BF311" s="632">
        <v>0</v>
      </c>
      <c r="BG311" s="632">
        <v>0</v>
      </c>
      <c r="BH311" s="634">
        <v>64.592569535042799</v>
      </c>
      <c r="BI311" s="634">
        <v>65.190625611552178</v>
      </c>
      <c r="BJ311" s="634">
        <v>65.794219028861349</v>
      </c>
      <c r="BK311" s="635">
        <v>66.783993667065729</v>
      </c>
      <c r="BL311" s="635">
        <v>67.773768305270124</v>
      </c>
      <c r="BM311" s="635">
        <v>68.763542943474519</v>
      </c>
      <c r="BN311" s="635">
        <v>69.7533175816789</v>
      </c>
      <c r="BO311" s="635">
        <v>70.923661173859315</v>
      </c>
      <c r="BP311" s="635">
        <v>72.094004766039731</v>
      </c>
      <c r="BQ311" s="635">
        <v>75.338533177862487</v>
      </c>
      <c r="BR311" s="635">
        <v>79.204166701848166</v>
      </c>
      <c r="BS311" s="635">
        <v>80.901490275557663</v>
      </c>
      <c r="BT311" s="635">
        <v>81.833585839755614</v>
      </c>
      <c r="BU311" s="635">
        <v>82.798858743059299</v>
      </c>
      <c r="BV311" s="635">
        <v>83.787355783737027</v>
      </c>
      <c r="BW311" s="634">
        <v>59.546275040117578</v>
      </c>
      <c r="BX311" s="634">
        <v>60.097607985649667</v>
      </c>
      <c r="BY311" s="634">
        <v>60.654045667231557</v>
      </c>
      <c r="BZ311" s="635">
        <v>61.566494161826228</v>
      </c>
      <c r="CA311" s="635">
        <v>62.478942656420891</v>
      </c>
      <c r="CB311" s="635">
        <v>63.391391151015569</v>
      </c>
      <c r="CC311" s="635">
        <v>64.303839645610239</v>
      </c>
      <c r="CD311" s="635">
        <v>65.382750144651553</v>
      </c>
      <c r="CE311" s="635">
        <v>66.461660643692881</v>
      </c>
      <c r="CF311" s="635">
        <v>69.452710273341978</v>
      </c>
      <c r="CG311" s="635">
        <v>73.016341178266273</v>
      </c>
      <c r="CH311" s="635">
        <v>74.581061347779723</v>
      </c>
      <c r="CI311" s="635">
        <v>75.440336946024701</v>
      </c>
      <c r="CJ311" s="635">
        <v>76.330197903757792</v>
      </c>
      <c r="CK311" s="635">
        <v>77.241468613132568</v>
      </c>
      <c r="CL311" s="634">
        <v>0</v>
      </c>
      <c r="CM311" s="634">
        <v>0</v>
      </c>
      <c r="CN311" s="634">
        <v>0</v>
      </c>
      <c r="CO311" s="635">
        <v>0</v>
      </c>
      <c r="CP311" s="635">
        <v>0</v>
      </c>
      <c r="CQ311" s="635">
        <v>0</v>
      </c>
      <c r="CR311" s="635">
        <v>0</v>
      </c>
      <c r="CS311" s="635">
        <v>0</v>
      </c>
      <c r="CT311" s="635">
        <v>0</v>
      </c>
      <c r="CU311" s="635">
        <v>0</v>
      </c>
      <c r="CV311" s="635">
        <v>0</v>
      </c>
      <c r="CW311" s="635">
        <v>0</v>
      </c>
      <c r="CX311" s="635">
        <v>0</v>
      </c>
      <c r="CY311" s="635">
        <v>0</v>
      </c>
      <c r="CZ311" s="635">
        <v>0</v>
      </c>
      <c r="DA311" s="636">
        <v>0</v>
      </c>
      <c r="DB311" s="636">
        <v>0</v>
      </c>
      <c r="DC311" s="636">
        <v>0</v>
      </c>
      <c r="DD311" s="637">
        <v>0</v>
      </c>
      <c r="DE311" s="637">
        <v>0</v>
      </c>
      <c r="DF311" s="637">
        <v>0</v>
      </c>
      <c r="DG311" s="637">
        <v>0</v>
      </c>
      <c r="DH311" s="637">
        <v>0</v>
      </c>
      <c r="DI311" s="637">
        <v>0</v>
      </c>
      <c r="DJ311" s="637">
        <v>0</v>
      </c>
      <c r="DK311" s="637">
        <v>0</v>
      </c>
      <c r="DL311" s="637">
        <v>0</v>
      </c>
      <c r="DM311" s="637">
        <v>0</v>
      </c>
      <c r="DN311" s="637">
        <v>0</v>
      </c>
      <c r="DO311" s="637">
        <v>0</v>
      </c>
      <c r="DP311" s="636">
        <v>0</v>
      </c>
      <c r="DQ311" s="636">
        <v>0</v>
      </c>
      <c r="DR311" s="636">
        <v>0</v>
      </c>
      <c r="DS311" s="637">
        <v>0</v>
      </c>
      <c r="DT311" s="637">
        <v>0</v>
      </c>
      <c r="DU311" s="637">
        <v>0</v>
      </c>
      <c r="DV311" s="637">
        <v>0</v>
      </c>
      <c r="DW311" s="637">
        <v>0</v>
      </c>
      <c r="DX311" s="637">
        <v>0</v>
      </c>
      <c r="DY311" s="637">
        <v>0</v>
      </c>
      <c r="DZ311" s="637">
        <v>0</v>
      </c>
      <c r="EA311" s="637">
        <v>0</v>
      </c>
      <c r="EB311" s="637">
        <v>0</v>
      </c>
      <c r="EC311" s="637">
        <v>0</v>
      </c>
      <c r="ED311" s="637">
        <v>0</v>
      </c>
    </row>
    <row r="312" spans="1:134" ht="15" x14ac:dyDescent="0.25">
      <c r="A312" s="555">
        <v>119</v>
      </c>
      <c r="B312" s="555">
        <v>98</v>
      </c>
      <c r="C312" s="555" t="s">
        <v>1295</v>
      </c>
      <c r="D312" s="812">
        <v>99712</v>
      </c>
      <c r="E312" s="812">
        <v>99712</v>
      </c>
      <c r="F312" s="630" t="s">
        <v>989</v>
      </c>
      <c r="G312" s="45">
        <v>35</v>
      </c>
      <c r="H312" s="45">
        <v>13</v>
      </c>
      <c r="I312" s="45">
        <v>13</v>
      </c>
      <c r="J312" s="45">
        <v>0</v>
      </c>
      <c r="K312" s="45">
        <v>0</v>
      </c>
      <c r="L312" s="45">
        <v>68</v>
      </c>
      <c r="M312" s="45">
        <v>68</v>
      </c>
      <c r="N312" s="45">
        <v>2</v>
      </c>
      <c r="O312" s="45">
        <v>0</v>
      </c>
      <c r="P312" s="45">
        <v>0</v>
      </c>
      <c r="Q312" s="45">
        <v>70</v>
      </c>
      <c r="R312" s="45">
        <v>0</v>
      </c>
      <c r="S312" s="45">
        <v>2283.3529411764707</v>
      </c>
      <c r="T312" s="45">
        <v>2283.3529411764707</v>
      </c>
      <c r="U312" s="45">
        <v>1766</v>
      </c>
      <c r="V312" s="45">
        <v>0</v>
      </c>
      <c r="W312" s="45">
        <v>0</v>
      </c>
      <c r="X312" s="45">
        <v>2268.5714285714284</v>
      </c>
      <c r="Y312" s="45">
        <v>0</v>
      </c>
      <c r="Z312" s="45">
        <v>13</v>
      </c>
      <c r="AA312" s="45">
        <v>0</v>
      </c>
      <c r="AB312" s="508">
        <v>2</v>
      </c>
      <c r="AC312" s="508">
        <v>0</v>
      </c>
      <c r="AD312" s="631">
        <v>15</v>
      </c>
      <c r="AE312" s="632">
        <v>0</v>
      </c>
      <c r="AF312" s="632">
        <v>13</v>
      </c>
      <c r="AG312" s="633">
        <v>13</v>
      </c>
      <c r="AH312" s="632">
        <v>0</v>
      </c>
      <c r="AI312" s="632">
        <v>0</v>
      </c>
      <c r="AJ312" s="632">
        <v>11.818485186894597</v>
      </c>
      <c r="AK312" s="632">
        <v>11.818485186894597</v>
      </c>
      <c r="AL312" s="632">
        <v>0</v>
      </c>
      <c r="AM312" s="632">
        <v>0</v>
      </c>
      <c r="AN312" s="632">
        <v>11.861903435042819</v>
      </c>
      <c r="AO312" s="632">
        <v>11.861903435042819</v>
      </c>
      <c r="AP312" s="632">
        <v>0</v>
      </c>
      <c r="AQ312" s="632">
        <v>1.8596827016276773</v>
      </c>
      <c r="AR312" s="632">
        <v>0</v>
      </c>
      <c r="AS312" s="632">
        <v>10.74435323944977</v>
      </c>
      <c r="AT312" s="632">
        <v>11.268628115400743</v>
      </c>
      <c r="AU312" s="632">
        <v>11.818485186894597</v>
      </c>
      <c r="AV312" s="632">
        <v>12.395172747066891</v>
      </c>
      <c r="AW312" s="632">
        <v>13</v>
      </c>
      <c r="AX312" s="632">
        <v>10.82344254632928</v>
      </c>
      <c r="AY312" s="632">
        <v>11.330782423084997</v>
      </c>
      <c r="AZ312" s="632">
        <v>11.861903435042819</v>
      </c>
      <c r="BA312" s="632">
        <v>12.417920303156913</v>
      </c>
      <c r="BB312" s="632">
        <v>13</v>
      </c>
      <c r="BC312" s="632">
        <v>1.7292098753666085</v>
      </c>
      <c r="BD312" s="632">
        <v>1.7932600739165065</v>
      </c>
      <c r="BE312" s="632">
        <v>1.8596827016276773</v>
      </c>
      <c r="BF312" s="632">
        <v>1.9285656336395076</v>
      </c>
      <c r="BG312" s="632">
        <v>2</v>
      </c>
      <c r="BH312" s="634">
        <v>13.120365686805568</v>
      </c>
      <c r="BI312" s="634">
        <v>13.241845827346536</v>
      </c>
      <c r="BJ312" s="634">
        <v>13.364450740237462</v>
      </c>
      <c r="BK312" s="635">
        <v>13.442272192895544</v>
      </c>
      <c r="BL312" s="635">
        <v>13.520093645553626</v>
      </c>
      <c r="BM312" s="635">
        <v>13.597915098211711</v>
      </c>
      <c r="BN312" s="635">
        <v>13.675736550869793</v>
      </c>
      <c r="BO312" s="635">
        <v>13.767755314472174</v>
      </c>
      <c r="BP312" s="635">
        <v>13.859774078074549</v>
      </c>
      <c r="BQ312" s="635">
        <v>14.114876506902721</v>
      </c>
      <c r="BR312" s="635">
        <v>14.418813589818992</v>
      </c>
      <c r="BS312" s="635">
        <v>14.552266379007966</v>
      </c>
      <c r="BT312" s="635">
        <v>14.625552789896036</v>
      </c>
      <c r="BU312" s="635">
        <v>14.701447783207701</v>
      </c>
      <c r="BV312" s="635">
        <v>14.779168784215887</v>
      </c>
      <c r="BW312" s="634">
        <v>13.120365686805568</v>
      </c>
      <c r="BX312" s="634">
        <v>13.241845827346536</v>
      </c>
      <c r="BY312" s="634">
        <v>13.364450740237462</v>
      </c>
      <c r="BZ312" s="635">
        <v>13.442272192895544</v>
      </c>
      <c r="CA312" s="635">
        <v>13.520093645553626</v>
      </c>
      <c r="CB312" s="635">
        <v>13.597915098211711</v>
      </c>
      <c r="CC312" s="635">
        <v>13.675736550869793</v>
      </c>
      <c r="CD312" s="635">
        <v>13.767755314472174</v>
      </c>
      <c r="CE312" s="635">
        <v>13.859774078074549</v>
      </c>
      <c r="CF312" s="635">
        <v>14.114876506902721</v>
      </c>
      <c r="CG312" s="635">
        <v>14.418813589818992</v>
      </c>
      <c r="CH312" s="635">
        <v>14.552266379007966</v>
      </c>
      <c r="CI312" s="635">
        <v>14.625552789896036</v>
      </c>
      <c r="CJ312" s="635">
        <v>14.701447783207701</v>
      </c>
      <c r="CK312" s="635">
        <v>14.779168784215887</v>
      </c>
      <c r="CL312" s="634">
        <v>2.0185177979700875</v>
      </c>
      <c r="CM312" s="634">
        <v>2.0372070503610056</v>
      </c>
      <c r="CN312" s="634">
        <v>2.0560693446519172</v>
      </c>
      <c r="CO312" s="635">
        <v>2.0680418758300836</v>
      </c>
      <c r="CP312" s="635">
        <v>2.08001440700825</v>
      </c>
      <c r="CQ312" s="635">
        <v>2.0919869381864169</v>
      </c>
      <c r="CR312" s="635">
        <v>2.1039594693645833</v>
      </c>
      <c r="CS312" s="635">
        <v>2.1181162022264881</v>
      </c>
      <c r="CT312" s="635">
        <v>2.1322729350883924</v>
      </c>
      <c r="CU312" s="635">
        <v>2.1715194626004184</v>
      </c>
      <c r="CV312" s="635">
        <v>2.2182790138183064</v>
      </c>
      <c r="CW312" s="635">
        <v>2.2388102121550717</v>
      </c>
      <c r="CX312" s="635">
        <v>2.2500850445993898</v>
      </c>
      <c r="CY312" s="635">
        <v>2.2617611974165692</v>
      </c>
      <c r="CZ312" s="635">
        <v>2.2737182744947515</v>
      </c>
      <c r="DA312" s="636">
        <v>0</v>
      </c>
      <c r="DB312" s="636">
        <v>0</v>
      </c>
      <c r="DC312" s="636">
        <v>0</v>
      </c>
      <c r="DD312" s="637">
        <v>0</v>
      </c>
      <c r="DE312" s="637">
        <v>0</v>
      </c>
      <c r="DF312" s="637">
        <v>0</v>
      </c>
      <c r="DG312" s="637">
        <v>0</v>
      </c>
      <c r="DH312" s="637">
        <v>0</v>
      </c>
      <c r="DI312" s="637">
        <v>0</v>
      </c>
      <c r="DJ312" s="637">
        <v>0</v>
      </c>
      <c r="DK312" s="637">
        <v>0</v>
      </c>
      <c r="DL312" s="637">
        <v>0</v>
      </c>
      <c r="DM312" s="637">
        <v>0</v>
      </c>
      <c r="DN312" s="637">
        <v>0</v>
      </c>
      <c r="DO312" s="637">
        <v>0</v>
      </c>
      <c r="DP312" s="636">
        <v>0</v>
      </c>
      <c r="DQ312" s="636">
        <v>0</v>
      </c>
      <c r="DR312" s="636">
        <v>0</v>
      </c>
      <c r="DS312" s="637">
        <v>0</v>
      </c>
      <c r="DT312" s="637">
        <v>0</v>
      </c>
      <c r="DU312" s="637">
        <v>0</v>
      </c>
      <c r="DV312" s="637">
        <v>0</v>
      </c>
      <c r="DW312" s="637">
        <v>0</v>
      </c>
      <c r="DX312" s="637">
        <v>0</v>
      </c>
      <c r="DY312" s="637">
        <v>0</v>
      </c>
      <c r="DZ312" s="637">
        <v>0</v>
      </c>
      <c r="EA312" s="637">
        <v>0</v>
      </c>
      <c r="EB312" s="637">
        <v>0</v>
      </c>
      <c r="EC312" s="637">
        <v>0</v>
      </c>
      <c r="ED312" s="637">
        <v>0</v>
      </c>
    </row>
    <row r="313" spans="1:134" ht="15" x14ac:dyDescent="0.25">
      <c r="A313" s="555">
        <v>120</v>
      </c>
      <c r="B313" s="555">
        <v>98</v>
      </c>
      <c r="C313" s="555" t="s">
        <v>1296</v>
      </c>
      <c r="D313" s="812">
        <v>99712</v>
      </c>
      <c r="E313" s="812">
        <v>99712</v>
      </c>
      <c r="F313" s="630" t="s">
        <v>989</v>
      </c>
      <c r="G313" s="45">
        <v>29</v>
      </c>
      <c r="H313" s="45">
        <v>15</v>
      </c>
      <c r="I313" s="45">
        <v>13</v>
      </c>
      <c r="J313" s="45">
        <v>2</v>
      </c>
      <c r="K313" s="45">
        <v>0</v>
      </c>
      <c r="L313" s="45">
        <v>34</v>
      </c>
      <c r="M313" s="45">
        <v>34</v>
      </c>
      <c r="N313" s="45">
        <v>0</v>
      </c>
      <c r="O313" s="45">
        <v>0</v>
      </c>
      <c r="P313" s="45">
        <v>0</v>
      </c>
      <c r="Q313" s="45">
        <v>34</v>
      </c>
      <c r="R313" s="45">
        <v>0</v>
      </c>
      <c r="S313" s="45">
        <v>1493.8823529411766</v>
      </c>
      <c r="T313" s="45">
        <v>1493.8823529411766</v>
      </c>
      <c r="U313" s="45">
        <v>0</v>
      </c>
      <c r="V313" s="45">
        <v>0</v>
      </c>
      <c r="W313" s="45">
        <v>0</v>
      </c>
      <c r="X313" s="45">
        <v>1493.8823529411766</v>
      </c>
      <c r="Y313" s="45">
        <v>0</v>
      </c>
      <c r="Z313" s="45">
        <v>15</v>
      </c>
      <c r="AA313" s="45">
        <v>0</v>
      </c>
      <c r="AB313" s="508">
        <v>0</v>
      </c>
      <c r="AC313" s="508">
        <v>0</v>
      </c>
      <c r="AD313" s="631">
        <v>15</v>
      </c>
      <c r="AE313" s="632">
        <v>0</v>
      </c>
      <c r="AF313" s="632">
        <v>13</v>
      </c>
      <c r="AG313" s="633">
        <v>13</v>
      </c>
      <c r="AH313" s="632">
        <v>0</v>
      </c>
      <c r="AI313" s="632">
        <v>0</v>
      </c>
      <c r="AJ313" s="632">
        <v>13.636713677186073</v>
      </c>
      <c r="AK313" s="632">
        <v>13.636713677186073</v>
      </c>
      <c r="AL313" s="632">
        <v>0</v>
      </c>
      <c r="AM313" s="632">
        <v>0</v>
      </c>
      <c r="AN313" s="632">
        <v>11.861903435042819</v>
      </c>
      <c r="AO313" s="632">
        <v>11.861903435042819</v>
      </c>
      <c r="AP313" s="632">
        <v>0</v>
      </c>
      <c r="AQ313" s="632">
        <v>0</v>
      </c>
      <c r="AR313" s="632">
        <v>0</v>
      </c>
      <c r="AS313" s="632">
        <v>12.397330660903581</v>
      </c>
      <c r="AT313" s="632">
        <v>13.002263210077782</v>
      </c>
      <c r="AU313" s="632">
        <v>13.636713677186073</v>
      </c>
      <c r="AV313" s="632">
        <v>14.302122400461798</v>
      </c>
      <c r="AW313" s="632">
        <v>15</v>
      </c>
      <c r="AX313" s="632">
        <v>10.82344254632928</v>
      </c>
      <c r="AY313" s="632">
        <v>11.330782423084997</v>
      </c>
      <c r="AZ313" s="632">
        <v>11.861903435042819</v>
      </c>
      <c r="BA313" s="632">
        <v>12.417920303156913</v>
      </c>
      <c r="BB313" s="632">
        <v>13</v>
      </c>
      <c r="BC313" s="632">
        <v>0</v>
      </c>
      <c r="BD313" s="632">
        <v>0</v>
      </c>
      <c r="BE313" s="632">
        <v>0</v>
      </c>
      <c r="BF313" s="632">
        <v>0</v>
      </c>
      <c r="BG313" s="632">
        <v>0</v>
      </c>
      <c r="BH313" s="634">
        <v>15.138883484775656</v>
      </c>
      <c r="BI313" s="634">
        <v>15.279052877707542</v>
      </c>
      <c r="BJ313" s="634">
        <v>15.420520084889379</v>
      </c>
      <c r="BK313" s="635">
        <v>15.541455614714744</v>
      </c>
      <c r="BL313" s="635">
        <v>15.662391144540106</v>
      </c>
      <c r="BM313" s="635">
        <v>15.783326674365467</v>
      </c>
      <c r="BN313" s="635">
        <v>15.904262204190834</v>
      </c>
      <c r="BO313" s="635">
        <v>16.047260536270574</v>
      </c>
      <c r="BP313" s="635">
        <v>16.19025886835032</v>
      </c>
      <c r="BQ313" s="635">
        <v>16.586691295866412</v>
      </c>
      <c r="BR313" s="635">
        <v>17.059013398584668</v>
      </c>
      <c r="BS313" s="635">
        <v>17.266400734800946</v>
      </c>
      <c r="BT313" s="635">
        <v>17.380288751883953</v>
      </c>
      <c r="BU313" s="635">
        <v>17.498230539318389</v>
      </c>
      <c r="BV313" s="635">
        <v>17.619009965998831</v>
      </c>
      <c r="BW313" s="634">
        <v>13.120365686805568</v>
      </c>
      <c r="BX313" s="634">
        <v>13.241845827346536</v>
      </c>
      <c r="BY313" s="634">
        <v>13.364450740237462</v>
      </c>
      <c r="BZ313" s="635">
        <v>13.469261532752778</v>
      </c>
      <c r="CA313" s="635">
        <v>13.574072325268093</v>
      </c>
      <c r="CB313" s="635">
        <v>13.678883117783407</v>
      </c>
      <c r="CC313" s="635">
        <v>13.783693910298723</v>
      </c>
      <c r="CD313" s="635">
        <v>13.907625798101167</v>
      </c>
      <c r="CE313" s="635">
        <v>14.031557685903609</v>
      </c>
      <c r="CF313" s="635">
        <v>14.375132456417559</v>
      </c>
      <c r="CG313" s="635">
        <v>14.78447827877338</v>
      </c>
      <c r="CH313" s="635">
        <v>14.964213970160822</v>
      </c>
      <c r="CI313" s="635">
        <v>15.062916918299425</v>
      </c>
      <c r="CJ313" s="635">
        <v>15.165133134075939</v>
      </c>
      <c r="CK313" s="635">
        <v>15.269808637198988</v>
      </c>
      <c r="CL313" s="634">
        <v>0</v>
      </c>
      <c r="CM313" s="634">
        <v>0</v>
      </c>
      <c r="CN313" s="634">
        <v>0</v>
      </c>
      <c r="CO313" s="635">
        <v>0</v>
      </c>
      <c r="CP313" s="635">
        <v>0</v>
      </c>
      <c r="CQ313" s="635">
        <v>0</v>
      </c>
      <c r="CR313" s="635">
        <v>0</v>
      </c>
      <c r="CS313" s="635">
        <v>0</v>
      </c>
      <c r="CT313" s="635">
        <v>0</v>
      </c>
      <c r="CU313" s="635">
        <v>0</v>
      </c>
      <c r="CV313" s="635">
        <v>0</v>
      </c>
      <c r="CW313" s="635">
        <v>0</v>
      </c>
      <c r="CX313" s="635">
        <v>0</v>
      </c>
      <c r="CY313" s="635">
        <v>0</v>
      </c>
      <c r="CZ313" s="635">
        <v>0</v>
      </c>
      <c r="DA313" s="636">
        <v>0</v>
      </c>
      <c r="DB313" s="636">
        <v>0</v>
      </c>
      <c r="DC313" s="636">
        <v>0</v>
      </c>
      <c r="DD313" s="637">
        <v>0</v>
      </c>
      <c r="DE313" s="637">
        <v>0</v>
      </c>
      <c r="DF313" s="637">
        <v>0</v>
      </c>
      <c r="DG313" s="637">
        <v>0</v>
      </c>
      <c r="DH313" s="637">
        <v>0</v>
      </c>
      <c r="DI313" s="637">
        <v>0</v>
      </c>
      <c r="DJ313" s="637">
        <v>0</v>
      </c>
      <c r="DK313" s="637">
        <v>0</v>
      </c>
      <c r="DL313" s="637">
        <v>0</v>
      </c>
      <c r="DM313" s="637">
        <v>0</v>
      </c>
      <c r="DN313" s="637">
        <v>0</v>
      </c>
      <c r="DO313" s="637">
        <v>0</v>
      </c>
      <c r="DP313" s="636">
        <v>0</v>
      </c>
      <c r="DQ313" s="636">
        <v>0</v>
      </c>
      <c r="DR313" s="636">
        <v>0</v>
      </c>
      <c r="DS313" s="637">
        <v>0</v>
      </c>
      <c r="DT313" s="637">
        <v>0</v>
      </c>
      <c r="DU313" s="637">
        <v>0</v>
      </c>
      <c r="DV313" s="637">
        <v>0</v>
      </c>
      <c r="DW313" s="637">
        <v>0</v>
      </c>
      <c r="DX313" s="637">
        <v>0</v>
      </c>
      <c r="DY313" s="637">
        <v>0</v>
      </c>
      <c r="DZ313" s="637">
        <v>0</v>
      </c>
      <c r="EA313" s="637">
        <v>0</v>
      </c>
      <c r="EB313" s="637">
        <v>0</v>
      </c>
      <c r="EC313" s="637">
        <v>0</v>
      </c>
      <c r="ED313" s="637">
        <v>0</v>
      </c>
    </row>
    <row r="314" spans="1:134" ht="15" x14ac:dyDescent="0.25">
      <c r="A314" s="555">
        <v>122</v>
      </c>
      <c r="B314" s="555">
        <v>98</v>
      </c>
      <c r="C314" s="555" t="s">
        <v>1297</v>
      </c>
      <c r="D314" s="812">
        <v>99712</v>
      </c>
      <c r="E314" s="812">
        <v>99712</v>
      </c>
      <c r="F314" s="630" t="s">
        <v>989</v>
      </c>
      <c r="G314" s="45">
        <v>4</v>
      </c>
      <c r="H314" s="45">
        <v>4</v>
      </c>
      <c r="I314" s="45">
        <v>3</v>
      </c>
      <c r="J314" s="45">
        <v>1</v>
      </c>
      <c r="K314" s="45">
        <v>0</v>
      </c>
      <c r="L314" s="45">
        <v>28</v>
      </c>
      <c r="M314" s="45">
        <v>28</v>
      </c>
      <c r="N314" s="45">
        <v>0</v>
      </c>
      <c r="O314" s="45">
        <v>0</v>
      </c>
      <c r="P314" s="45">
        <v>0</v>
      </c>
      <c r="Q314" s="45">
        <v>28</v>
      </c>
      <c r="R314" s="45">
        <v>0</v>
      </c>
      <c r="S314" s="45">
        <v>2195.3571428571427</v>
      </c>
      <c r="T314" s="45">
        <v>2195.3571428571427</v>
      </c>
      <c r="U314" s="45">
        <v>0</v>
      </c>
      <c r="V314" s="45">
        <v>0</v>
      </c>
      <c r="W314" s="45">
        <v>0</v>
      </c>
      <c r="X314" s="45">
        <v>2195.3571428571427</v>
      </c>
      <c r="Y314" s="45">
        <v>0</v>
      </c>
      <c r="Z314" s="45">
        <v>4</v>
      </c>
      <c r="AA314" s="45">
        <v>0</v>
      </c>
      <c r="AB314" s="508">
        <v>0</v>
      </c>
      <c r="AC314" s="508">
        <v>0</v>
      </c>
      <c r="AD314" s="631">
        <v>4</v>
      </c>
      <c r="AE314" s="632">
        <v>0</v>
      </c>
      <c r="AF314" s="632">
        <v>3</v>
      </c>
      <c r="AG314" s="633">
        <v>3</v>
      </c>
      <c r="AH314" s="632">
        <v>0</v>
      </c>
      <c r="AI314" s="632">
        <v>0</v>
      </c>
      <c r="AJ314" s="632">
        <v>3.636456980582953</v>
      </c>
      <c r="AK314" s="632">
        <v>3.636456980582953</v>
      </c>
      <c r="AL314" s="632">
        <v>0</v>
      </c>
      <c r="AM314" s="632">
        <v>0</v>
      </c>
      <c r="AN314" s="632">
        <v>2.7373623311637276</v>
      </c>
      <c r="AO314" s="632">
        <v>2.7373623311637276</v>
      </c>
      <c r="AP314" s="632">
        <v>0</v>
      </c>
      <c r="AQ314" s="632">
        <v>0</v>
      </c>
      <c r="AR314" s="632">
        <v>0</v>
      </c>
      <c r="AS314" s="632">
        <v>3.3059548429076218</v>
      </c>
      <c r="AT314" s="632">
        <v>3.4672701893540752</v>
      </c>
      <c r="AU314" s="632">
        <v>3.636456980582953</v>
      </c>
      <c r="AV314" s="632">
        <v>3.8138993067898124</v>
      </c>
      <c r="AW314" s="632">
        <v>4</v>
      </c>
      <c r="AX314" s="632">
        <v>2.4977175106913725</v>
      </c>
      <c r="AY314" s="632">
        <v>2.6147959437888453</v>
      </c>
      <c r="AZ314" s="632">
        <v>2.7373623311637276</v>
      </c>
      <c r="BA314" s="632">
        <v>2.8656739161131335</v>
      </c>
      <c r="BB314" s="632">
        <v>3</v>
      </c>
      <c r="BC314" s="632">
        <v>0</v>
      </c>
      <c r="BD314" s="632">
        <v>0</v>
      </c>
      <c r="BE314" s="632">
        <v>0</v>
      </c>
      <c r="BF314" s="632">
        <v>0</v>
      </c>
      <c r="BG314" s="632">
        <v>0</v>
      </c>
      <c r="BH314" s="634">
        <v>4.0370355959401749</v>
      </c>
      <c r="BI314" s="634">
        <v>4.0744141007220112</v>
      </c>
      <c r="BJ314" s="634">
        <v>4.1121386893038343</v>
      </c>
      <c r="BK314" s="635">
        <v>4.2154246768949895</v>
      </c>
      <c r="BL314" s="635">
        <v>4.3187106644861446</v>
      </c>
      <c r="BM314" s="635">
        <v>4.4219966520772989</v>
      </c>
      <c r="BN314" s="635">
        <v>4.525282639668454</v>
      </c>
      <c r="BO314" s="635">
        <v>4.6474115456572243</v>
      </c>
      <c r="BP314" s="635">
        <v>4.7695404516459963</v>
      </c>
      <c r="BQ314" s="635">
        <v>5.1081168389846558</v>
      </c>
      <c r="BR314" s="635">
        <v>5.5115074299121716</v>
      </c>
      <c r="BS314" s="635">
        <v>5.6886282964261623</v>
      </c>
      <c r="BT314" s="635">
        <v>5.7858952975812654</v>
      </c>
      <c r="BU314" s="635">
        <v>5.8866244547695858</v>
      </c>
      <c r="BV314" s="635">
        <v>5.9897771211811603</v>
      </c>
      <c r="BW314" s="634">
        <v>3.0277766969551312</v>
      </c>
      <c r="BX314" s="634">
        <v>3.0558105755415084</v>
      </c>
      <c r="BY314" s="634">
        <v>3.084104016977876</v>
      </c>
      <c r="BZ314" s="635">
        <v>3.1615685076712423</v>
      </c>
      <c r="CA314" s="635">
        <v>3.2390329983646087</v>
      </c>
      <c r="CB314" s="635">
        <v>3.3164974890579741</v>
      </c>
      <c r="CC314" s="635">
        <v>3.3939619797513405</v>
      </c>
      <c r="CD314" s="635">
        <v>3.4855586592429186</v>
      </c>
      <c r="CE314" s="635">
        <v>3.5771553387344972</v>
      </c>
      <c r="CF314" s="635">
        <v>3.8310876292384921</v>
      </c>
      <c r="CG314" s="635">
        <v>4.1336305724341287</v>
      </c>
      <c r="CH314" s="635">
        <v>4.2664712223196224</v>
      </c>
      <c r="CI314" s="635">
        <v>4.3394214731859488</v>
      </c>
      <c r="CJ314" s="635">
        <v>4.4149683410771896</v>
      </c>
      <c r="CK314" s="635">
        <v>4.4923328408858705</v>
      </c>
      <c r="CL314" s="634">
        <v>0</v>
      </c>
      <c r="CM314" s="634">
        <v>0</v>
      </c>
      <c r="CN314" s="634">
        <v>0</v>
      </c>
      <c r="CO314" s="635">
        <v>0</v>
      </c>
      <c r="CP314" s="635">
        <v>0</v>
      </c>
      <c r="CQ314" s="635">
        <v>0</v>
      </c>
      <c r="CR314" s="635">
        <v>0</v>
      </c>
      <c r="CS314" s="635">
        <v>0</v>
      </c>
      <c r="CT314" s="635">
        <v>0</v>
      </c>
      <c r="CU314" s="635">
        <v>0</v>
      </c>
      <c r="CV314" s="635">
        <v>0</v>
      </c>
      <c r="CW314" s="635">
        <v>0</v>
      </c>
      <c r="CX314" s="635">
        <v>0</v>
      </c>
      <c r="CY314" s="635">
        <v>0</v>
      </c>
      <c r="CZ314" s="635">
        <v>0</v>
      </c>
      <c r="DA314" s="636">
        <v>0</v>
      </c>
      <c r="DB314" s="636">
        <v>0</v>
      </c>
      <c r="DC314" s="636">
        <v>0</v>
      </c>
      <c r="DD314" s="637">
        <v>0</v>
      </c>
      <c r="DE314" s="637">
        <v>0</v>
      </c>
      <c r="DF314" s="637">
        <v>0</v>
      </c>
      <c r="DG314" s="637">
        <v>0</v>
      </c>
      <c r="DH314" s="637">
        <v>0</v>
      </c>
      <c r="DI314" s="637">
        <v>0</v>
      </c>
      <c r="DJ314" s="637">
        <v>0</v>
      </c>
      <c r="DK314" s="637">
        <v>0</v>
      </c>
      <c r="DL314" s="637">
        <v>0</v>
      </c>
      <c r="DM314" s="637">
        <v>0</v>
      </c>
      <c r="DN314" s="637">
        <v>0</v>
      </c>
      <c r="DO314" s="637">
        <v>0</v>
      </c>
      <c r="DP314" s="636">
        <v>0</v>
      </c>
      <c r="DQ314" s="636">
        <v>0</v>
      </c>
      <c r="DR314" s="636">
        <v>0</v>
      </c>
      <c r="DS314" s="637">
        <v>0</v>
      </c>
      <c r="DT314" s="637">
        <v>0</v>
      </c>
      <c r="DU314" s="637">
        <v>0</v>
      </c>
      <c r="DV314" s="637">
        <v>0</v>
      </c>
      <c r="DW314" s="637">
        <v>0</v>
      </c>
      <c r="DX314" s="637">
        <v>0</v>
      </c>
      <c r="DY314" s="637">
        <v>0</v>
      </c>
      <c r="DZ314" s="637">
        <v>0</v>
      </c>
      <c r="EA314" s="637">
        <v>0</v>
      </c>
      <c r="EB314" s="637">
        <v>0</v>
      </c>
      <c r="EC314" s="637">
        <v>0</v>
      </c>
      <c r="ED314" s="637">
        <v>0</v>
      </c>
    </row>
    <row r="315" spans="1:134" ht="15" x14ac:dyDescent="0.25">
      <c r="A315" s="555">
        <v>124</v>
      </c>
      <c r="B315" s="555">
        <v>98</v>
      </c>
      <c r="C315" s="555" t="s">
        <v>1298</v>
      </c>
      <c r="D315" s="812">
        <v>99712</v>
      </c>
      <c r="E315" s="812">
        <v>99712</v>
      </c>
      <c r="F315" s="630" t="s">
        <v>989</v>
      </c>
      <c r="G315" s="45">
        <v>62</v>
      </c>
      <c r="H315" s="45">
        <v>24</v>
      </c>
      <c r="I315" s="45">
        <v>22</v>
      </c>
      <c r="J315" s="45">
        <v>2</v>
      </c>
      <c r="K315" s="45">
        <v>0</v>
      </c>
      <c r="L315" s="45">
        <v>30</v>
      </c>
      <c r="M315" s="45">
        <v>30</v>
      </c>
      <c r="N315" s="45">
        <v>2</v>
      </c>
      <c r="O315" s="45">
        <v>0</v>
      </c>
      <c r="P315" s="45">
        <v>0</v>
      </c>
      <c r="Q315" s="45">
        <v>32</v>
      </c>
      <c r="R315" s="45">
        <v>0</v>
      </c>
      <c r="S315" s="45">
        <v>2037.8</v>
      </c>
      <c r="T315" s="45">
        <v>2037.8</v>
      </c>
      <c r="U315" s="45">
        <v>3155</v>
      </c>
      <c r="V315" s="45">
        <v>0</v>
      </c>
      <c r="W315" s="45">
        <v>0</v>
      </c>
      <c r="X315" s="45">
        <v>2107.625</v>
      </c>
      <c r="Y315" s="45">
        <v>0</v>
      </c>
      <c r="Z315" s="45">
        <v>24</v>
      </c>
      <c r="AA315" s="45">
        <v>0</v>
      </c>
      <c r="AB315" s="508">
        <v>2</v>
      </c>
      <c r="AC315" s="508">
        <v>0</v>
      </c>
      <c r="AD315" s="631">
        <v>26</v>
      </c>
      <c r="AE315" s="632">
        <v>0</v>
      </c>
      <c r="AF315" s="632">
        <v>22</v>
      </c>
      <c r="AG315" s="633">
        <v>22</v>
      </c>
      <c r="AH315" s="632">
        <v>0</v>
      </c>
      <c r="AI315" s="632">
        <v>0</v>
      </c>
      <c r="AJ315" s="632">
        <v>21.818741883497719</v>
      </c>
      <c r="AK315" s="632">
        <v>21.818741883497719</v>
      </c>
      <c r="AL315" s="632">
        <v>0</v>
      </c>
      <c r="AM315" s="632">
        <v>0</v>
      </c>
      <c r="AN315" s="632">
        <v>20.073990428534003</v>
      </c>
      <c r="AO315" s="632">
        <v>20.073990428534003</v>
      </c>
      <c r="AP315" s="632">
        <v>0</v>
      </c>
      <c r="AQ315" s="632">
        <v>1.8596827016276773</v>
      </c>
      <c r="AR315" s="632">
        <v>0</v>
      </c>
      <c r="AS315" s="632">
        <v>19.835729057445729</v>
      </c>
      <c r="AT315" s="632">
        <v>20.803621136124448</v>
      </c>
      <c r="AU315" s="632">
        <v>21.818741883497719</v>
      </c>
      <c r="AV315" s="632">
        <v>22.883395840738874</v>
      </c>
      <c r="AW315" s="632">
        <v>24</v>
      </c>
      <c r="AX315" s="632">
        <v>18.316595078403399</v>
      </c>
      <c r="AY315" s="632">
        <v>19.175170254451533</v>
      </c>
      <c r="AZ315" s="632">
        <v>20.073990428534003</v>
      </c>
      <c r="BA315" s="632">
        <v>21.014942051496313</v>
      </c>
      <c r="BB315" s="632">
        <v>22</v>
      </c>
      <c r="BC315" s="632">
        <v>1.7292098753666085</v>
      </c>
      <c r="BD315" s="632">
        <v>1.7932600739165065</v>
      </c>
      <c r="BE315" s="632">
        <v>1.8596827016276773</v>
      </c>
      <c r="BF315" s="632">
        <v>1.9285656336395076</v>
      </c>
      <c r="BG315" s="632">
        <v>2</v>
      </c>
      <c r="BH315" s="634">
        <v>24.222213575641049</v>
      </c>
      <c r="BI315" s="634">
        <v>24.446484604332067</v>
      </c>
      <c r="BJ315" s="634">
        <v>24.672832135823008</v>
      </c>
      <c r="BK315" s="635">
        <v>25.05976265575028</v>
      </c>
      <c r="BL315" s="635">
        <v>25.446693175677559</v>
      </c>
      <c r="BM315" s="635">
        <v>25.833623695604835</v>
      </c>
      <c r="BN315" s="635">
        <v>26.220554215532108</v>
      </c>
      <c r="BO315" s="635">
        <v>26.67807417728568</v>
      </c>
      <c r="BP315" s="635">
        <v>27.135594139039242</v>
      </c>
      <c r="BQ315" s="635">
        <v>28.403970814746849</v>
      </c>
      <c r="BR315" s="635">
        <v>29.915154807092406</v>
      </c>
      <c r="BS315" s="635">
        <v>30.57868594590969</v>
      </c>
      <c r="BT315" s="635">
        <v>30.943068106611761</v>
      </c>
      <c r="BU315" s="635">
        <v>31.320420214789213</v>
      </c>
      <c r="BV315" s="635">
        <v>31.706851286199456</v>
      </c>
      <c r="BW315" s="634">
        <v>22.203695777670962</v>
      </c>
      <c r="BX315" s="634">
        <v>22.409277553971062</v>
      </c>
      <c r="BY315" s="634">
        <v>22.616762791171087</v>
      </c>
      <c r="BZ315" s="635">
        <v>22.971449101104419</v>
      </c>
      <c r="CA315" s="635">
        <v>23.326135411037757</v>
      </c>
      <c r="CB315" s="635">
        <v>23.680821720971096</v>
      </c>
      <c r="CC315" s="635">
        <v>24.035508030904431</v>
      </c>
      <c r="CD315" s="635">
        <v>24.454901329178536</v>
      </c>
      <c r="CE315" s="635">
        <v>24.874294627452638</v>
      </c>
      <c r="CF315" s="635">
        <v>26.036973246851272</v>
      </c>
      <c r="CG315" s="635">
        <v>27.422225239834702</v>
      </c>
      <c r="CH315" s="635">
        <v>28.030462117083879</v>
      </c>
      <c r="CI315" s="635">
        <v>28.364479097727443</v>
      </c>
      <c r="CJ315" s="635">
        <v>28.710385196890108</v>
      </c>
      <c r="CK315" s="635">
        <v>29.064613679016166</v>
      </c>
      <c r="CL315" s="634">
        <v>2.0185177979700875</v>
      </c>
      <c r="CM315" s="634">
        <v>2.0372070503610056</v>
      </c>
      <c r="CN315" s="634">
        <v>2.0560693446519172</v>
      </c>
      <c r="CO315" s="635">
        <v>2.0883135546458567</v>
      </c>
      <c r="CP315" s="635">
        <v>2.1205577646397962</v>
      </c>
      <c r="CQ315" s="635">
        <v>2.1528019746337361</v>
      </c>
      <c r="CR315" s="635">
        <v>2.1850461846276756</v>
      </c>
      <c r="CS315" s="635">
        <v>2.2231728481071396</v>
      </c>
      <c r="CT315" s="635">
        <v>2.2612995115866035</v>
      </c>
      <c r="CU315" s="635">
        <v>2.3669975678955706</v>
      </c>
      <c r="CV315" s="635">
        <v>2.4929295672577005</v>
      </c>
      <c r="CW315" s="635">
        <v>2.5482238288258072</v>
      </c>
      <c r="CX315" s="635">
        <v>2.5785890088843133</v>
      </c>
      <c r="CY315" s="635">
        <v>2.6100350178991008</v>
      </c>
      <c r="CZ315" s="635">
        <v>2.6422376071832878</v>
      </c>
      <c r="DA315" s="636">
        <v>0</v>
      </c>
      <c r="DB315" s="636">
        <v>0</v>
      </c>
      <c r="DC315" s="636">
        <v>0</v>
      </c>
      <c r="DD315" s="637">
        <v>0</v>
      </c>
      <c r="DE315" s="637">
        <v>0</v>
      </c>
      <c r="DF315" s="637">
        <v>0</v>
      </c>
      <c r="DG315" s="637">
        <v>0</v>
      </c>
      <c r="DH315" s="637">
        <v>0</v>
      </c>
      <c r="DI315" s="637">
        <v>0</v>
      </c>
      <c r="DJ315" s="637">
        <v>0</v>
      </c>
      <c r="DK315" s="637">
        <v>0</v>
      </c>
      <c r="DL315" s="637">
        <v>0</v>
      </c>
      <c r="DM315" s="637">
        <v>0</v>
      </c>
      <c r="DN315" s="637">
        <v>0</v>
      </c>
      <c r="DO315" s="637">
        <v>0</v>
      </c>
      <c r="DP315" s="636">
        <v>0</v>
      </c>
      <c r="DQ315" s="636">
        <v>0</v>
      </c>
      <c r="DR315" s="636">
        <v>0</v>
      </c>
      <c r="DS315" s="637">
        <v>0</v>
      </c>
      <c r="DT315" s="637">
        <v>0</v>
      </c>
      <c r="DU315" s="637">
        <v>0</v>
      </c>
      <c r="DV315" s="637">
        <v>0</v>
      </c>
      <c r="DW315" s="637">
        <v>0</v>
      </c>
      <c r="DX315" s="637">
        <v>0</v>
      </c>
      <c r="DY315" s="637">
        <v>0</v>
      </c>
      <c r="DZ315" s="637">
        <v>0</v>
      </c>
      <c r="EA315" s="637">
        <v>0</v>
      </c>
      <c r="EB315" s="637">
        <v>0</v>
      </c>
      <c r="EC315" s="637">
        <v>0</v>
      </c>
      <c r="ED315" s="637">
        <v>0</v>
      </c>
    </row>
    <row r="316" spans="1:134" ht="15" x14ac:dyDescent="0.25">
      <c r="A316" s="555">
        <v>125</v>
      </c>
      <c r="B316" s="555">
        <v>98</v>
      </c>
      <c r="C316" s="555" t="s">
        <v>1299</v>
      </c>
      <c r="D316" s="812">
        <v>99712</v>
      </c>
      <c r="E316" s="812">
        <v>99712</v>
      </c>
      <c r="F316" s="630" t="s">
        <v>989</v>
      </c>
      <c r="G316" s="45">
        <v>35</v>
      </c>
      <c r="H316" s="45">
        <v>13</v>
      </c>
      <c r="I316" s="45">
        <v>12</v>
      </c>
      <c r="J316" s="45">
        <v>1</v>
      </c>
      <c r="K316" s="45">
        <v>0</v>
      </c>
      <c r="L316" s="45">
        <v>35</v>
      </c>
      <c r="M316" s="45">
        <v>35</v>
      </c>
      <c r="N316" s="45">
        <v>1</v>
      </c>
      <c r="O316" s="45">
        <v>0</v>
      </c>
      <c r="P316" s="45">
        <v>0</v>
      </c>
      <c r="Q316" s="45">
        <v>36</v>
      </c>
      <c r="R316" s="45">
        <v>0</v>
      </c>
      <c r="S316" s="45">
        <v>2181.2571428571428</v>
      </c>
      <c r="T316" s="45">
        <v>2181.2571428571428</v>
      </c>
      <c r="U316" s="45">
        <v>6870</v>
      </c>
      <c r="V316" s="45">
        <v>0</v>
      </c>
      <c r="W316" s="45">
        <v>0</v>
      </c>
      <c r="X316" s="45">
        <v>2311.5</v>
      </c>
      <c r="Y316" s="45">
        <v>0</v>
      </c>
      <c r="Z316" s="45">
        <v>13</v>
      </c>
      <c r="AA316" s="45">
        <v>0</v>
      </c>
      <c r="AB316" s="508">
        <v>1</v>
      </c>
      <c r="AC316" s="508">
        <v>0</v>
      </c>
      <c r="AD316" s="631">
        <v>14</v>
      </c>
      <c r="AE316" s="632">
        <v>0</v>
      </c>
      <c r="AF316" s="632">
        <v>12</v>
      </c>
      <c r="AG316" s="633">
        <v>12</v>
      </c>
      <c r="AH316" s="632">
        <v>0</v>
      </c>
      <c r="AI316" s="632">
        <v>0</v>
      </c>
      <c r="AJ316" s="632">
        <v>11.818485186894597</v>
      </c>
      <c r="AK316" s="632">
        <v>11.818485186894597</v>
      </c>
      <c r="AL316" s="632">
        <v>0</v>
      </c>
      <c r="AM316" s="632">
        <v>0</v>
      </c>
      <c r="AN316" s="632">
        <v>10.94944932465491</v>
      </c>
      <c r="AO316" s="632">
        <v>10.94944932465491</v>
      </c>
      <c r="AP316" s="632">
        <v>0</v>
      </c>
      <c r="AQ316" s="632">
        <v>0.92984135081383867</v>
      </c>
      <c r="AR316" s="632">
        <v>0</v>
      </c>
      <c r="AS316" s="632">
        <v>10.74435323944977</v>
      </c>
      <c r="AT316" s="632">
        <v>11.268628115400743</v>
      </c>
      <c r="AU316" s="632">
        <v>11.818485186894597</v>
      </c>
      <c r="AV316" s="632">
        <v>12.395172747066891</v>
      </c>
      <c r="AW316" s="632">
        <v>13</v>
      </c>
      <c r="AX316" s="632">
        <v>9.99087004276549</v>
      </c>
      <c r="AY316" s="632">
        <v>10.459183775155381</v>
      </c>
      <c r="AZ316" s="632">
        <v>10.94944932465491</v>
      </c>
      <c r="BA316" s="632">
        <v>11.462695664452534</v>
      </c>
      <c r="BB316" s="632">
        <v>12</v>
      </c>
      <c r="BC316" s="632">
        <v>0.86460493768330426</v>
      </c>
      <c r="BD316" s="632">
        <v>0.89663003695825327</v>
      </c>
      <c r="BE316" s="632">
        <v>0.92984135081383867</v>
      </c>
      <c r="BF316" s="632">
        <v>0.96428281681975381</v>
      </c>
      <c r="BG316" s="632">
        <v>1</v>
      </c>
      <c r="BH316" s="634">
        <v>13.120365686805568</v>
      </c>
      <c r="BI316" s="634">
        <v>13.241845827346536</v>
      </c>
      <c r="BJ316" s="634">
        <v>13.364450740237462</v>
      </c>
      <c r="BK316" s="635">
        <v>13.893664084450618</v>
      </c>
      <c r="BL316" s="635">
        <v>14.422877428663774</v>
      </c>
      <c r="BM316" s="635">
        <v>14.952090772876934</v>
      </c>
      <c r="BN316" s="635">
        <v>15.481304117090088</v>
      </c>
      <c r="BO316" s="635">
        <v>16.107064186493218</v>
      </c>
      <c r="BP316" s="635">
        <v>16.73282425589635</v>
      </c>
      <c r="BQ316" s="635">
        <v>18.467610807237278</v>
      </c>
      <c r="BR316" s="635">
        <v>20.534490241976346</v>
      </c>
      <c r="BS316" s="635">
        <v>21.442016309005286</v>
      </c>
      <c r="BT316" s="635">
        <v>21.940389768594358</v>
      </c>
      <c r="BU316" s="635">
        <v>22.456502509331404</v>
      </c>
      <c r="BV316" s="635">
        <v>22.985032746872054</v>
      </c>
      <c r="BW316" s="634">
        <v>12.111106787820525</v>
      </c>
      <c r="BX316" s="634">
        <v>12.223242302166033</v>
      </c>
      <c r="BY316" s="634">
        <v>12.336416067911504</v>
      </c>
      <c r="BZ316" s="635">
        <v>12.824920693339033</v>
      </c>
      <c r="CA316" s="635">
        <v>13.31342531876656</v>
      </c>
      <c r="CB316" s="635">
        <v>13.801929944194093</v>
      </c>
      <c r="CC316" s="635">
        <v>14.29043456962162</v>
      </c>
      <c r="CD316" s="635">
        <v>14.868059249070663</v>
      </c>
      <c r="CE316" s="635">
        <v>15.44568392851971</v>
      </c>
      <c r="CF316" s="635">
        <v>17.047025360526721</v>
      </c>
      <c r="CG316" s="635">
        <v>18.954914069516626</v>
      </c>
      <c r="CH316" s="635">
        <v>19.792630439081801</v>
      </c>
      <c r="CI316" s="635">
        <v>20.252667478702485</v>
      </c>
      <c r="CJ316" s="635">
        <v>20.729079239382834</v>
      </c>
      <c r="CK316" s="635">
        <v>21.216953304804971</v>
      </c>
      <c r="CL316" s="634">
        <v>1.0092588989850437</v>
      </c>
      <c r="CM316" s="634">
        <v>1.0186035251805028</v>
      </c>
      <c r="CN316" s="634">
        <v>1.0280346723259586</v>
      </c>
      <c r="CO316" s="635">
        <v>1.068743391111586</v>
      </c>
      <c r="CP316" s="635">
        <v>1.1094521098972134</v>
      </c>
      <c r="CQ316" s="635">
        <v>1.1501608286828409</v>
      </c>
      <c r="CR316" s="635">
        <v>1.1908695474684683</v>
      </c>
      <c r="CS316" s="635">
        <v>1.2390049374225551</v>
      </c>
      <c r="CT316" s="635">
        <v>1.2871403273766424</v>
      </c>
      <c r="CU316" s="635">
        <v>1.4205854467105599</v>
      </c>
      <c r="CV316" s="635">
        <v>1.5795761724597188</v>
      </c>
      <c r="CW316" s="635">
        <v>1.6493858699234833</v>
      </c>
      <c r="CX316" s="635">
        <v>1.6877222898918738</v>
      </c>
      <c r="CY316" s="635">
        <v>1.7274232699485694</v>
      </c>
      <c r="CZ316" s="635">
        <v>1.7680794420670809</v>
      </c>
      <c r="DA316" s="636">
        <v>0</v>
      </c>
      <c r="DB316" s="636">
        <v>0</v>
      </c>
      <c r="DC316" s="636">
        <v>0</v>
      </c>
      <c r="DD316" s="637">
        <v>0</v>
      </c>
      <c r="DE316" s="637">
        <v>0</v>
      </c>
      <c r="DF316" s="637">
        <v>0</v>
      </c>
      <c r="DG316" s="637">
        <v>0</v>
      </c>
      <c r="DH316" s="637">
        <v>0</v>
      </c>
      <c r="DI316" s="637">
        <v>0</v>
      </c>
      <c r="DJ316" s="637">
        <v>0</v>
      </c>
      <c r="DK316" s="637">
        <v>0</v>
      </c>
      <c r="DL316" s="637">
        <v>0</v>
      </c>
      <c r="DM316" s="637">
        <v>0</v>
      </c>
      <c r="DN316" s="637">
        <v>0</v>
      </c>
      <c r="DO316" s="637">
        <v>0</v>
      </c>
      <c r="DP316" s="636">
        <v>0</v>
      </c>
      <c r="DQ316" s="636">
        <v>0</v>
      </c>
      <c r="DR316" s="636">
        <v>0</v>
      </c>
      <c r="DS316" s="637">
        <v>0</v>
      </c>
      <c r="DT316" s="637">
        <v>0</v>
      </c>
      <c r="DU316" s="637">
        <v>0</v>
      </c>
      <c r="DV316" s="637">
        <v>0</v>
      </c>
      <c r="DW316" s="637">
        <v>0</v>
      </c>
      <c r="DX316" s="637">
        <v>0</v>
      </c>
      <c r="DY316" s="637">
        <v>0</v>
      </c>
      <c r="DZ316" s="637">
        <v>0</v>
      </c>
      <c r="EA316" s="637">
        <v>0</v>
      </c>
      <c r="EB316" s="637">
        <v>0</v>
      </c>
      <c r="EC316" s="637">
        <v>0</v>
      </c>
      <c r="ED316" s="637">
        <v>0</v>
      </c>
    </row>
    <row r="317" spans="1:134" ht="15" x14ac:dyDescent="0.25">
      <c r="A317" s="555">
        <v>128</v>
      </c>
      <c r="B317" s="555">
        <v>98</v>
      </c>
      <c r="C317" s="555" t="s">
        <v>1300</v>
      </c>
      <c r="D317" s="812">
        <v>99712</v>
      </c>
      <c r="E317" s="812">
        <v>99712</v>
      </c>
      <c r="F317" s="630" t="s">
        <v>989</v>
      </c>
      <c r="G317" s="45">
        <v>24</v>
      </c>
      <c r="H317" s="45">
        <v>12</v>
      </c>
      <c r="I317" s="45">
        <v>10</v>
      </c>
      <c r="J317" s="45">
        <v>2</v>
      </c>
      <c r="K317" s="45">
        <v>0</v>
      </c>
      <c r="L317" s="45">
        <v>0</v>
      </c>
      <c r="M317" s="45">
        <v>0</v>
      </c>
      <c r="N317" s="45">
        <v>0</v>
      </c>
      <c r="O317" s="45">
        <v>0</v>
      </c>
      <c r="P317" s="45">
        <v>0</v>
      </c>
      <c r="Q317" s="45">
        <v>0</v>
      </c>
      <c r="R317" s="45">
        <v>0</v>
      </c>
      <c r="S317" s="45">
        <v>834.49503068156923</v>
      </c>
      <c r="T317" s="45">
        <v>834.49503068156923</v>
      </c>
      <c r="U317" s="45">
        <v>1408.3846153846155</v>
      </c>
      <c r="V317" s="45">
        <v>0</v>
      </c>
      <c r="W317" s="45">
        <v>0</v>
      </c>
      <c r="X317" s="45">
        <v>1365.173957061457</v>
      </c>
      <c r="Y317" s="45">
        <v>0.27494802494802495</v>
      </c>
      <c r="Z317" s="45">
        <v>11.70945945945946</v>
      </c>
      <c r="AA317" s="45">
        <v>1.5592515592515593E-2</v>
      </c>
      <c r="AB317" s="508">
        <v>0</v>
      </c>
      <c r="AC317" s="508">
        <v>0</v>
      </c>
      <c r="AD317" s="631">
        <v>12</v>
      </c>
      <c r="AE317" s="632">
        <v>0.22912335412335413</v>
      </c>
      <c r="AF317" s="632">
        <v>9.7578828828828836</v>
      </c>
      <c r="AG317" s="633">
        <v>9.9870062370062378</v>
      </c>
      <c r="AH317" s="632">
        <v>1.2993762993762994E-2</v>
      </c>
      <c r="AI317" s="632">
        <v>0.2499591661549353</v>
      </c>
      <c r="AJ317" s="632">
        <v>10.645236397551111</v>
      </c>
      <c r="AK317" s="632">
        <v>10.895195563706046</v>
      </c>
      <c r="AL317" s="632">
        <v>1.4175378042812967E-2</v>
      </c>
      <c r="AM317" s="632">
        <v>0.20906454625571899</v>
      </c>
      <c r="AN317" s="632">
        <v>8.9036203451703084</v>
      </c>
      <c r="AO317" s="632">
        <v>9.1126848914260279</v>
      </c>
      <c r="AP317" s="632">
        <v>1.1856212453065349E-2</v>
      </c>
      <c r="AQ317" s="632">
        <v>0</v>
      </c>
      <c r="AR317" s="632">
        <v>0</v>
      </c>
      <c r="AS317" s="632">
        <v>9.9049774906138168</v>
      </c>
      <c r="AT317" s="632">
        <v>10.388294701939483</v>
      </c>
      <c r="AU317" s="632">
        <v>10.895195563706045</v>
      </c>
      <c r="AV317" s="632">
        <v>11.426830849267086</v>
      </c>
      <c r="AW317" s="632">
        <v>11.984407484407484</v>
      </c>
      <c r="AX317" s="632">
        <v>8.3149067858514769</v>
      </c>
      <c r="AY317" s="632">
        <v>8.70466113303927</v>
      </c>
      <c r="AZ317" s="632">
        <v>9.1126848914260279</v>
      </c>
      <c r="BA317" s="632">
        <v>9.5398344244826525</v>
      </c>
      <c r="BB317" s="632">
        <v>9.9870062370062378</v>
      </c>
      <c r="BC317" s="632">
        <v>0</v>
      </c>
      <c r="BD317" s="632">
        <v>0</v>
      </c>
      <c r="BE317" s="632">
        <v>0</v>
      </c>
      <c r="BF317" s="632">
        <v>0</v>
      </c>
      <c r="BG317" s="632">
        <v>0</v>
      </c>
      <c r="BH317" s="634">
        <v>12.13610340927106</v>
      </c>
      <c r="BI317" s="634">
        <v>12.289719466911343</v>
      </c>
      <c r="BJ317" s="634">
        <v>12.445279961935615</v>
      </c>
      <c r="BK317" s="635">
        <v>12.3634577064925</v>
      </c>
      <c r="BL317" s="635">
        <v>12.282173396479802</v>
      </c>
      <c r="BM317" s="635">
        <v>12.370345467307303</v>
      </c>
      <c r="BN317" s="635">
        <v>12.459150513571888</v>
      </c>
      <c r="BO317" s="635">
        <v>12.548593079319089</v>
      </c>
      <c r="BP317" s="635">
        <v>12.638677741215519</v>
      </c>
      <c r="BQ317" s="635">
        <v>12.729409108783068</v>
      </c>
      <c r="BR317" s="635">
        <v>12.800867238265999</v>
      </c>
      <c r="BS317" s="635">
        <v>12.872726506892592</v>
      </c>
      <c r="BT317" s="635">
        <v>12.944989166507581</v>
      </c>
      <c r="BU317" s="635">
        <v>13.017657481596711</v>
      </c>
      <c r="BV317" s="635">
        <v>13.090733729357696</v>
      </c>
      <c r="BW317" s="634">
        <v>10.113419507725885</v>
      </c>
      <c r="BX317" s="634">
        <v>10.241432889092787</v>
      </c>
      <c r="BY317" s="634">
        <v>10.371066634946347</v>
      </c>
      <c r="BZ317" s="635">
        <v>10.302881422077085</v>
      </c>
      <c r="CA317" s="635">
        <v>10.235144497066504</v>
      </c>
      <c r="CB317" s="635">
        <v>10.308621222756088</v>
      </c>
      <c r="CC317" s="635">
        <v>10.382625427976576</v>
      </c>
      <c r="CD317" s="635">
        <v>10.457160899432575</v>
      </c>
      <c r="CE317" s="635">
        <v>10.532231451012933</v>
      </c>
      <c r="CF317" s="635">
        <v>10.607840923985892</v>
      </c>
      <c r="CG317" s="635">
        <v>10.667389365221668</v>
      </c>
      <c r="CH317" s="635">
        <v>10.727272089077161</v>
      </c>
      <c r="CI317" s="635">
        <v>10.787490972089651</v>
      </c>
      <c r="CJ317" s="635">
        <v>10.848047901330593</v>
      </c>
      <c r="CK317" s="635">
        <v>10.908944774464748</v>
      </c>
      <c r="CL317" s="634">
        <v>0</v>
      </c>
      <c r="CM317" s="634">
        <v>0</v>
      </c>
      <c r="CN317" s="634">
        <v>0</v>
      </c>
      <c r="CO317" s="635">
        <v>0</v>
      </c>
      <c r="CP317" s="635">
        <v>0</v>
      </c>
      <c r="CQ317" s="635">
        <v>0</v>
      </c>
      <c r="CR317" s="635">
        <v>0</v>
      </c>
      <c r="CS317" s="635">
        <v>0</v>
      </c>
      <c r="CT317" s="635">
        <v>0</v>
      </c>
      <c r="CU317" s="635">
        <v>0</v>
      </c>
      <c r="CV317" s="635">
        <v>0</v>
      </c>
      <c r="CW317" s="635">
        <v>0</v>
      </c>
      <c r="CX317" s="635">
        <v>0</v>
      </c>
      <c r="CY317" s="635">
        <v>0</v>
      </c>
      <c r="CZ317" s="635">
        <v>0</v>
      </c>
      <c r="DA317" s="636">
        <v>1.5789882135403412E-2</v>
      </c>
      <c r="DB317" s="636">
        <v>1.5989746899442291E-2</v>
      </c>
      <c r="DC317" s="636">
        <v>1.6192141506551672E-2</v>
      </c>
      <c r="DD317" s="637">
        <v>1.6085685280370153E-2</v>
      </c>
      <c r="DE317" s="637">
        <v>1.5979928957168623E-2</v>
      </c>
      <c r="DF317" s="637">
        <v>1.6094646717808098E-2</v>
      </c>
      <c r="DG317" s="637">
        <v>1.6210188021821351E-2</v>
      </c>
      <c r="DH317" s="637">
        <v>1.6326558781315496E-2</v>
      </c>
      <c r="DI317" s="637">
        <v>1.6443764950839861E-2</v>
      </c>
      <c r="DJ317" s="637">
        <v>1.6561812527690695E-2</v>
      </c>
      <c r="DK317" s="637">
        <v>1.6654784332898777E-2</v>
      </c>
      <c r="DL317" s="637">
        <v>1.6748278046958876E-2</v>
      </c>
      <c r="DM317" s="637">
        <v>1.6842296599671586E-2</v>
      </c>
      <c r="DN317" s="637">
        <v>1.6936842937284296E-2</v>
      </c>
      <c r="DO317" s="637">
        <v>1.7031920022583524E-2</v>
      </c>
      <c r="DP317" s="636">
        <v>0</v>
      </c>
      <c r="DQ317" s="636">
        <v>0</v>
      </c>
      <c r="DR317" s="636">
        <v>0</v>
      </c>
      <c r="DS317" s="637">
        <v>0</v>
      </c>
      <c r="DT317" s="637">
        <v>0</v>
      </c>
      <c r="DU317" s="637">
        <v>0</v>
      </c>
      <c r="DV317" s="637">
        <v>0</v>
      </c>
      <c r="DW317" s="637">
        <v>0</v>
      </c>
      <c r="DX317" s="637">
        <v>0</v>
      </c>
      <c r="DY317" s="637">
        <v>0</v>
      </c>
      <c r="DZ317" s="637">
        <v>0</v>
      </c>
      <c r="EA317" s="637">
        <v>0</v>
      </c>
      <c r="EB317" s="637">
        <v>0</v>
      </c>
      <c r="EC317" s="637">
        <v>0</v>
      </c>
      <c r="ED317" s="637">
        <v>0</v>
      </c>
    </row>
    <row r="318" spans="1:134" ht="15" x14ac:dyDescent="0.25">
      <c r="A318" s="555">
        <v>131</v>
      </c>
      <c r="B318" s="555">
        <v>98</v>
      </c>
      <c r="C318" s="555" t="s">
        <v>1301</v>
      </c>
      <c r="D318" s="812">
        <v>99712</v>
      </c>
      <c r="E318" s="812">
        <v>99712</v>
      </c>
      <c r="F318" s="630" t="s">
        <v>989</v>
      </c>
      <c r="G318" s="45">
        <v>289</v>
      </c>
      <c r="H318" s="45">
        <v>138</v>
      </c>
      <c r="I318" s="45">
        <v>122</v>
      </c>
      <c r="J318" s="45">
        <v>16</v>
      </c>
      <c r="K318" s="45">
        <v>0</v>
      </c>
      <c r="L318" s="45">
        <v>5</v>
      </c>
      <c r="M318" s="45">
        <v>5</v>
      </c>
      <c r="N318" s="45">
        <v>0</v>
      </c>
      <c r="O318" s="45">
        <v>0</v>
      </c>
      <c r="P318" s="45">
        <v>0</v>
      </c>
      <c r="Q318" s="45">
        <v>5</v>
      </c>
      <c r="R318" s="45">
        <v>0</v>
      </c>
      <c r="S318" s="45">
        <v>2245.6</v>
      </c>
      <c r="T318" s="45">
        <v>2245.6</v>
      </c>
      <c r="U318" s="45">
        <v>0</v>
      </c>
      <c r="V318" s="45">
        <v>0</v>
      </c>
      <c r="W318" s="45">
        <v>0</v>
      </c>
      <c r="X318" s="45">
        <v>2245.6</v>
      </c>
      <c r="Y318" s="45">
        <v>0</v>
      </c>
      <c r="Z318" s="45">
        <v>138</v>
      </c>
      <c r="AA318" s="45">
        <v>0</v>
      </c>
      <c r="AB318" s="508">
        <v>0</v>
      </c>
      <c r="AC318" s="508">
        <v>0</v>
      </c>
      <c r="AD318" s="631">
        <v>138</v>
      </c>
      <c r="AE318" s="632">
        <v>0</v>
      </c>
      <c r="AF318" s="632">
        <v>122</v>
      </c>
      <c r="AG318" s="633">
        <v>122</v>
      </c>
      <c r="AH318" s="632">
        <v>0</v>
      </c>
      <c r="AI318" s="632">
        <v>0</v>
      </c>
      <c r="AJ318" s="632">
        <v>125.45776583011187</v>
      </c>
      <c r="AK318" s="632">
        <v>125.45776583011187</v>
      </c>
      <c r="AL318" s="632">
        <v>0</v>
      </c>
      <c r="AM318" s="632">
        <v>0</v>
      </c>
      <c r="AN318" s="632">
        <v>111.31940146732492</v>
      </c>
      <c r="AO318" s="632">
        <v>111.31940146732492</v>
      </c>
      <c r="AP318" s="632">
        <v>0</v>
      </c>
      <c r="AQ318" s="632">
        <v>0</v>
      </c>
      <c r="AR318" s="632">
        <v>0</v>
      </c>
      <c r="AS318" s="632">
        <v>114.05544208031294</v>
      </c>
      <c r="AT318" s="632">
        <v>119.62082153271558</v>
      </c>
      <c r="AU318" s="632">
        <v>125.45776583011187</v>
      </c>
      <c r="AV318" s="632">
        <v>131.57952608424853</v>
      </c>
      <c r="AW318" s="632">
        <v>138</v>
      </c>
      <c r="AX318" s="632">
        <v>101.57384543478248</v>
      </c>
      <c r="AY318" s="632">
        <v>106.33503504741304</v>
      </c>
      <c r="AZ318" s="632">
        <v>111.31940146732492</v>
      </c>
      <c r="BA318" s="632">
        <v>116.53740592193411</v>
      </c>
      <c r="BB318" s="632">
        <v>122</v>
      </c>
      <c r="BC318" s="632">
        <v>0</v>
      </c>
      <c r="BD318" s="632">
        <v>0</v>
      </c>
      <c r="BE318" s="632">
        <v>0</v>
      </c>
      <c r="BF318" s="632">
        <v>0</v>
      </c>
      <c r="BG318" s="632">
        <v>0</v>
      </c>
      <c r="BH318" s="634">
        <v>139.74677285117434</v>
      </c>
      <c r="BI318" s="634">
        <v>141.51565595882403</v>
      </c>
      <c r="BJ318" s="634">
        <v>143.30692918958493</v>
      </c>
      <c r="BK318" s="635">
        <v>142.36474900538803</v>
      </c>
      <c r="BL318" s="635">
        <v>141.42876324252518</v>
      </c>
      <c r="BM318" s="635">
        <v>142.44406131128881</v>
      </c>
      <c r="BN318" s="635">
        <v>143.46664806832769</v>
      </c>
      <c r="BO318" s="635">
        <v>144.49657583815468</v>
      </c>
      <c r="BP318" s="635">
        <v>145.53389732091313</v>
      </c>
      <c r="BQ318" s="635">
        <v>146.57866559507374</v>
      </c>
      <c r="BR318" s="635">
        <v>147.40150325988733</v>
      </c>
      <c r="BS318" s="635">
        <v>148.22896002680486</v>
      </c>
      <c r="BT318" s="635">
        <v>149.06106182573342</v>
      </c>
      <c r="BU318" s="635">
        <v>149.89783473214095</v>
      </c>
      <c r="BV318" s="635">
        <v>150.73930496787324</v>
      </c>
      <c r="BW318" s="634">
        <v>123.5442484626324</v>
      </c>
      <c r="BX318" s="634">
        <v>125.10804367374298</v>
      </c>
      <c r="BY318" s="634">
        <v>126.69163305166204</v>
      </c>
      <c r="BZ318" s="635">
        <v>125.85869114969086</v>
      </c>
      <c r="CA318" s="635">
        <v>125.03122547527589</v>
      </c>
      <c r="CB318" s="635">
        <v>125.92880782592198</v>
      </c>
      <c r="CC318" s="635">
        <v>126.83283379953606</v>
      </c>
      <c r="CD318" s="635">
        <v>127.74334965402079</v>
      </c>
      <c r="CE318" s="635">
        <v>128.66040197935797</v>
      </c>
      <c r="CF318" s="635">
        <v>129.58403769999273</v>
      </c>
      <c r="CG318" s="635">
        <v>130.31147389642214</v>
      </c>
      <c r="CH318" s="635">
        <v>131.04299364688544</v>
      </c>
      <c r="CI318" s="635">
        <v>131.77861987492375</v>
      </c>
      <c r="CJ318" s="635">
        <v>132.51837563276229</v>
      </c>
      <c r="CK318" s="635">
        <v>133.26228410203285</v>
      </c>
      <c r="CL318" s="634">
        <v>0</v>
      </c>
      <c r="CM318" s="634">
        <v>0</v>
      </c>
      <c r="CN318" s="634">
        <v>0</v>
      </c>
      <c r="CO318" s="635">
        <v>0</v>
      </c>
      <c r="CP318" s="635">
        <v>0</v>
      </c>
      <c r="CQ318" s="635">
        <v>0</v>
      </c>
      <c r="CR318" s="635">
        <v>0</v>
      </c>
      <c r="CS318" s="635">
        <v>0</v>
      </c>
      <c r="CT318" s="635">
        <v>0</v>
      </c>
      <c r="CU318" s="635">
        <v>0</v>
      </c>
      <c r="CV318" s="635">
        <v>0</v>
      </c>
      <c r="CW318" s="635">
        <v>0</v>
      </c>
      <c r="CX318" s="635">
        <v>0</v>
      </c>
      <c r="CY318" s="635">
        <v>0</v>
      </c>
      <c r="CZ318" s="635">
        <v>0</v>
      </c>
      <c r="DA318" s="636">
        <v>0</v>
      </c>
      <c r="DB318" s="636">
        <v>0</v>
      </c>
      <c r="DC318" s="636">
        <v>0</v>
      </c>
      <c r="DD318" s="637">
        <v>0</v>
      </c>
      <c r="DE318" s="637">
        <v>0</v>
      </c>
      <c r="DF318" s="637">
        <v>0</v>
      </c>
      <c r="DG318" s="637">
        <v>0</v>
      </c>
      <c r="DH318" s="637">
        <v>0</v>
      </c>
      <c r="DI318" s="637">
        <v>0</v>
      </c>
      <c r="DJ318" s="637">
        <v>0</v>
      </c>
      <c r="DK318" s="637">
        <v>0</v>
      </c>
      <c r="DL318" s="637">
        <v>0</v>
      </c>
      <c r="DM318" s="637">
        <v>0</v>
      </c>
      <c r="DN318" s="637">
        <v>0</v>
      </c>
      <c r="DO318" s="637">
        <v>0</v>
      </c>
      <c r="DP318" s="636">
        <v>0</v>
      </c>
      <c r="DQ318" s="636">
        <v>0</v>
      </c>
      <c r="DR318" s="636">
        <v>0</v>
      </c>
      <c r="DS318" s="637">
        <v>0</v>
      </c>
      <c r="DT318" s="637">
        <v>0</v>
      </c>
      <c r="DU318" s="637">
        <v>0</v>
      </c>
      <c r="DV318" s="637">
        <v>0</v>
      </c>
      <c r="DW318" s="637">
        <v>0</v>
      </c>
      <c r="DX318" s="637">
        <v>0</v>
      </c>
      <c r="DY318" s="637">
        <v>0</v>
      </c>
      <c r="DZ318" s="637">
        <v>0</v>
      </c>
      <c r="EA318" s="637">
        <v>0</v>
      </c>
      <c r="EB318" s="637">
        <v>0</v>
      </c>
      <c r="EC318" s="637">
        <v>0</v>
      </c>
      <c r="ED318" s="637">
        <v>0</v>
      </c>
    </row>
    <row r="319" spans="1:134" ht="15" x14ac:dyDescent="0.25">
      <c r="A319" s="555">
        <v>141</v>
      </c>
      <c r="B319" s="555">
        <v>98</v>
      </c>
      <c r="C319" s="555" t="s">
        <v>1302</v>
      </c>
      <c r="D319" s="812">
        <v>99712</v>
      </c>
      <c r="E319" s="812">
        <v>99712</v>
      </c>
      <c r="F319" s="630" t="s">
        <v>989</v>
      </c>
      <c r="G319" s="45">
        <v>10</v>
      </c>
      <c r="H319" s="45">
        <v>6</v>
      </c>
      <c r="I319" s="45">
        <v>4</v>
      </c>
      <c r="J319" s="45">
        <v>2</v>
      </c>
      <c r="K319" s="45">
        <v>0</v>
      </c>
      <c r="L319" s="45">
        <v>3</v>
      </c>
      <c r="M319" s="45">
        <v>3</v>
      </c>
      <c r="N319" s="45">
        <v>0</v>
      </c>
      <c r="O319" s="45">
        <v>0</v>
      </c>
      <c r="P319" s="45">
        <v>0</v>
      </c>
      <c r="Q319" s="45">
        <v>3</v>
      </c>
      <c r="R319" s="45">
        <v>0</v>
      </c>
      <c r="S319" s="45">
        <v>1969.3333333333333</v>
      </c>
      <c r="T319" s="45">
        <v>1969.3333333333333</v>
      </c>
      <c r="U319" s="45">
        <v>0</v>
      </c>
      <c r="V319" s="45">
        <v>0</v>
      </c>
      <c r="W319" s="45">
        <v>0</v>
      </c>
      <c r="X319" s="45">
        <v>1969.3333333333333</v>
      </c>
      <c r="Y319" s="45">
        <v>0</v>
      </c>
      <c r="Z319" s="45">
        <v>6</v>
      </c>
      <c r="AA319" s="45">
        <v>0</v>
      </c>
      <c r="AB319" s="508">
        <v>0</v>
      </c>
      <c r="AC319" s="508">
        <v>0</v>
      </c>
      <c r="AD319" s="631">
        <v>6</v>
      </c>
      <c r="AE319" s="632">
        <v>0</v>
      </c>
      <c r="AF319" s="632">
        <v>4</v>
      </c>
      <c r="AG319" s="633">
        <v>4</v>
      </c>
      <c r="AH319" s="632">
        <v>0</v>
      </c>
      <c r="AI319" s="632">
        <v>0</v>
      </c>
      <c r="AJ319" s="632">
        <v>5.4546854708744297</v>
      </c>
      <c r="AK319" s="632">
        <v>5.4546854708744297</v>
      </c>
      <c r="AL319" s="632">
        <v>0</v>
      </c>
      <c r="AM319" s="632">
        <v>0</v>
      </c>
      <c r="AN319" s="632">
        <v>3.649816441551637</v>
      </c>
      <c r="AO319" s="632">
        <v>3.649816441551637</v>
      </c>
      <c r="AP319" s="632">
        <v>0</v>
      </c>
      <c r="AQ319" s="632">
        <v>0</v>
      </c>
      <c r="AR319" s="632">
        <v>0</v>
      </c>
      <c r="AS319" s="632">
        <v>4.9589322643614322</v>
      </c>
      <c r="AT319" s="632">
        <v>5.2009052840311121</v>
      </c>
      <c r="AU319" s="632">
        <v>5.4546854708744297</v>
      </c>
      <c r="AV319" s="632">
        <v>5.7208489601847186</v>
      </c>
      <c r="AW319" s="632">
        <v>6</v>
      </c>
      <c r="AX319" s="632">
        <v>3.3302900142551635</v>
      </c>
      <c r="AY319" s="632">
        <v>3.4863945917184607</v>
      </c>
      <c r="AZ319" s="632">
        <v>3.649816441551637</v>
      </c>
      <c r="BA319" s="632">
        <v>3.8208985548175116</v>
      </c>
      <c r="BB319" s="632">
        <v>4</v>
      </c>
      <c r="BC319" s="632">
        <v>0</v>
      </c>
      <c r="BD319" s="632">
        <v>0</v>
      </c>
      <c r="BE319" s="632">
        <v>0</v>
      </c>
      <c r="BF319" s="632">
        <v>0</v>
      </c>
      <c r="BG319" s="632">
        <v>0</v>
      </c>
      <c r="BH319" s="634">
        <v>6.0759466457032323</v>
      </c>
      <c r="BI319" s="634">
        <v>6.1528546069053931</v>
      </c>
      <c r="BJ319" s="634">
        <v>6.2307360517210837</v>
      </c>
      <c r="BK319" s="635">
        <v>6.1897716958864359</v>
      </c>
      <c r="BL319" s="635">
        <v>6.1490766627184863</v>
      </c>
      <c r="BM319" s="635">
        <v>6.1932200570125557</v>
      </c>
      <c r="BN319" s="635">
        <v>6.2376803507968557</v>
      </c>
      <c r="BO319" s="635">
        <v>6.282459819050203</v>
      </c>
      <c r="BP319" s="635">
        <v>6.3275607530831799</v>
      </c>
      <c r="BQ319" s="635">
        <v>6.3729854606553795</v>
      </c>
      <c r="BR319" s="635">
        <v>6.4087610112994495</v>
      </c>
      <c r="BS319" s="635">
        <v>6.4447373924697757</v>
      </c>
      <c r="BT319" s="635">
        <v>6.4809157315536261</v>
      </c>
      <c r="BU319" s="635">
        <v>6.5172971622669973</v>
      </c>
      <c r="BV319" s="635">
        <v>6.5538828246901399</v>
      </c>
      <c r="BW319" s="634">
        <v>4.0506310971354882</v>
      </c>
      <c r="BX319" s="634">
        <v>4.1019030712702618</v>
      </c>
      <c r="BY319" s="634">
        <v>4.1538240344807225</v>
      </c>
      <c r="BZ319" s="635">
        <v>4.1265144639242903</v>
      </c>
      <c r="CA319" s="635">
        <v>4.0993844418123242</v>
      </c>
      <c r="CB319" s="635">
        <v>4.1288133713417041</v>
      </c>
      <c r="CC319" s="635">
        <v>4.1584535671979035</v>
      </c>
      <c r="CD319" s="635">
        <v>4.1883065460334681</v>
      </c>
      <c r="CE319" s="635">
        <v>4.2183738353887863</v>
      </c>
      <c r="CF319" s="635">
        <v>4.2486569737702533</v>
      </c>
      <c r="CG319" s="635">
        <v>4.2725073408662997</v>
      </c>
      <c r="CH319" s="635">
        <v>4.2964915949798508</v>
      </c>
      <c r="CI319" s="635">
        <v>4.3206104877024174</v>
      </c>
      <c r="CJ319" s="635">
        <v>4.3448647748446652</v>
      </c>
      <c r="CK319" s="635">
        <v>4.3692552164600933</v>
      </c>
      <c r="CL319" s="634">
        <v>0</v>
      </c>
      <c r="CM319" s="634">
        <v>0</v>
      </c>
      <c r="CN319" s="634">
        <v>0</v>
      </c>
      <c r="CO319" s="635">
        <v>0</v>
      </c>
      <c r="CP319" s="635">
        <v>0</v>
      </c>
      <c r="CQ319" s="635">
        <v>0</v>
      </c>
      <c r="CR319" s="635">
        <v>0</v>
      </c>
      <c r="CS319" s="635">
        <v>0</v>
      </c>
      <c r="CT319" s="635">
        <v>0</v>
      </c>
      <c r="CU319" s="635">
        <v>0</v>
      </c>
      <c r="CV319" s="635">
        <v>0</v>
      </c>
      <c r="CW319" s="635">
        <v>0</v>
      </c>
      <c r="CX319" s="635">
        <v>0</v>
      </c>
      <c r="CY319" s="635">
        <v>0</v>
      </c>
      <c r="CZ319" s="635">
        <v>0</v>
      </c>
      <c r="DA319" s="636">
        <v>0</v>
      </c>
      <c r="DB319" s="636">
        <v>0</v>
      </c>
      <c r="DC319" s="636">
        <v>0</v>
      </c>
      <c r="DD319" s="637">
        <v>0</v>
      </c>
      <c r="DE319" s="637">
        <v>0</v>
      </c>
      <c r="DF319" s="637">
        <v>0</v>
      </c>
      <c r="DG319" s="637">
        <v>0</v>
      </c>
      <c r="DH319" s="637">
        <v>0</v>
      </c>
      <c r="DI319" s="637">
        <v>0</v>
      </c>
      <c r="DJ319" s="637">
        <v>0</v>
      </c>
      <c r="DK319" s="637">
        <v>0</v>
      </c>
      <c r="DL319" s="637">
        <v>0</v>
      </c>
      <c r="DM319" s="637">
        <v>0</v>
      </c>
      <c r="DN319" s="637">
        <v>0</v>
      </c>
      <c r="DO319" s="637">
        <v>0</v>
      </c>
      <c r="DP319" s="636">
        <v>0</v>
      </c>
      <c r="DQ319" s="636">
        <v>0</v>
      </c>
      <c r="DR319" s="636">
        <v>0</v>
      </c>
      <c r="DS319" s="637">
        <v>0</v>
      </c>
      <c r="DT319" s="637">
        <v>0</v>
      </c>
      <c r="DU319" s="637">
        <v>0</v>
      </c>
      <c r="DV319" s="637">
        <v>0</v>
      </c>
      <c r="DW319" s="637">
        <v>0</v>
      </c>
      <c r="DX319" s="637">
        <v>0</v>
      </c>
      <c r="DY319" s="637">
        <v>0</v>
      </c>
      <c r="DZ319" s="637">
        <v>0</v>
      </c>
      <c r="EA319" s="637">
        <v>0</v>
      </c>
      <c r="EB319" s="637">
        <v>0</v>
      </c>
      <c r="EC319" s="637">
        <v>0</v>
      </c>
      <c r="ED319" s="637">
        <v>0</v>
      </c>
    </row>
    <row r="320" spans="1:134" ht="15" x14ac:dyDescent="0.25">
      <c r="A320" s="555">
        <v>90</v>
      </c>
      <c r="B320" s="555">
        <v>99</v>
      </c>
      <c r="C320" s="555" t="s">
        <v>1303</v>
      </c>
      <c r="D320" s="812">
        <v>99709</v>
      </c>
      <c r="E320" s="812">
        <v>99709</v>
      </c>
      <c r="F320" s="630" t="s">
        <v>989</v>
      </c>
      <c r="G320" s="45">
        <v>8</v>
      </c>
      <c r="H320" s="45">
        <v>5</v>
      </c>
      <c r="I320" s="45">
        <v>3</v>
      </c>
      <c r="J320" s="45">
        <v>2</v>
      </c>
      <c r="K320" s="45">
        <v>0</v>
      </c>
      <c r="L320" s="45">
        <v>8</v>
      </c>
      <c r="M320" s="45">
        <v>8</v>
      </c>
      <c r="N320" s="45">
        <v>0</v>
      </c>
      <c r="O320" s="45">
        <v>0</v>
      </c>
      <c r="P320" s="45">
        <v>0</v>
      </c>
      <c r="Q320" s="45">
        <v>8</v>
      </c>
      <c r="R320" s="45">
        <v>0</v>
      </c>
      <c r="S320" s="45">
        <v>1087.375</v>
      </c>
      <c r="T320" s="45">
        <v>1087.375</v>
      </c>
      <c r="U320" s="45">
        <v>0</v>
      </c>
      <c r="V320" s="45">
        <v>0</v>
      </c>
      <c r="W320" s="45">
        <v>0</v>
      </c>
      <c r="X320" s="45">
        <v>1087.375</v>
      </c>
      <c r="Y320" s="45">
        <v>0</v>
      </c>
      <c r="Z320" s="45">
        <v>5</v>
      </c>
      <c r="AA320" s="45">
        <v>0</v>
      </c>
      <c r="AB320" s="508">
        <v>0</v>
      </c>
      <c r="AC320" s="508">
        <v>0</v>
      </c>
      <c r="AD320" s="631">
        <v>5</v>
      </c>
      <c r="AE320" s="632">
        <v>0</v>
      </c>
      <c r="AF320" s="632">
        <v>3</v>
      </c>
      <c r="AG320" s="633">
        <v>3</v>
      </c>
      <c r="AH320" s="632">
        <v>0</v>
      </c>
      <c r="AI320" s="632">
        <v>0</v>
      </c>
      <c r="AJ320" s="632">
        <v>4.7607919750386971</v>
      </c>
      <c r="AK320" s="632">
        <v>4.7607919750386971</v>
      </c>
      <c r="AL320" s="632">
        <v>0</v>
      </c>
      <c r="AM320" s="632">
        <v>0</v>
      </c>
      <c r="AN320" s="632">
        <v>2.861863886693929</v>
      </c>
      <c r="AO320" s="632">
        <v>2.861863886693929</v>
      </c>
      <c r="AP320" s="632">
        <v>0</v>
      </c>
      <c r="AQ320" s="632">
        <v>0</v>
      </c>
      <c r="AR320" s="632">
        <v>0</v>
      </c>
      <c r="AS320" s="632">
        <v>4.533028045918571</v>
      </c>
      <c r="AT320" s="632">
        <v>4.6455143465104571</v>
      </c>
      <c r="AU320" s="632">
        <v>4.7607919750386971</v>
      </c>
      <c r="AV320" s="632">
        <v>4.8789301978193418</v>
      </c>
      <c r="AW320" s="632">
        <v>5</v>
      </c>
      <c r="AX320" s="632">
        <v>2.7300883019876268</v>
      </c>
      <c r="AY320" s="632">
        <v>2.7951996563651655</v>
      </c>
      <c r="AZ320" s="632">
        <v>2.861863886693929</v>
      </c>
      <c r="BA320" s="632">
        <v>2.9301180283534292</v>
      </c>
      <c r="BB320" s="632">
        <v>3</v>
      </c>
      <c r="BC320" s="632">
        <v>0</v>
      </c>
      <c r="BD320" s="632">
        <v>0</v>
      </c>
      <c r="BE320" s="632">
        <v>0</v>
      </c>
      <c r="BF320" s="632">
        <v>0</v>
      </c>
      <c r="BG320" s="632">
        <v>0</v>
      </c>
      <c r="BH320" s="634">
        <v>5.025613145055865</v>
      </c>
      <c r="BI320" s="634">
        <v>5.0513574967516606</v>
      </c>
      <c r="BJ320" s="634">
        <v>5.0772337272103263</v>
      </c>
      <c r="BK320" s="635">
        <v>5.1416708306679455</v>
      </c>
      <c r="BL320" s="635">
        <v>5.2061079341255638</v>
      </c>
      <c r="BM320" s="635">
        <v>5.2705450375831813</v>
      </c>
      <c r="BN320" s="635">
        <v>5.3349821410408005</v>
      </c>
      <c r="BO320" s="635">
        <v>5.4111747895684523</v>
      </c>
      <c r="BP320" s="635">
        <v>5.4873674380961033</v>
      </c>
      <c r="BQ320" s="635">
        <v>5.6985953326833885</v>
      </c>
      <c r="BR320" s="635">
        <v>5.9502589111381718</v>
      </c>
      <c r="BS320" s="635">
        <v>6.0607594336799373</v>
      </c>
      <c r="BT320" s="635">
        <v>6.1214414677352567</v>
      </c>
      <c r="BU320" s="635">
        <v>6.1842834395682154</v>
      </c>
      <c r="BV320" s="635">
        <v>6.2486373678455189</v>
      </c>
      <c r="BW320" s="634">
        <v>3.015367887033519</v>
      </c>
      <c r="BX320" s="634">
        <v>3.0308144980509963</v>
      </c>
      <c r="BY320" s="634">
        <v>3.0463402363261958</v>
      </c>
      <c r="BZ320" s="635">
        <v>3.0850024984007671</v>
      </c>
      <c r="CA320" s="635">
        <v>3.1236647604753385</v>
      </c>
      <c r="CB320" s="635">
        <v>3.1623270225499089</v>
      </c>
      <c r="CC320" s="635">
        <v>3.2009892846244803</v>
      </c>
      <c r="CD320" s="635">
        <v>3.2467048737410713</v>
      </c>
      <c r="CE320" s="635">
        <v>3.2924204628576619</v>
      </c>
      <c r="CF320" s="635">
        <v>3.4191571996100332</v>
      </c>
      <c r="CG320" s="635">
        <v>3.570155346682903</v>
      </c>
      <c r="CH320" s="635">
        <v>3.6364556602079623</v>
      </c>
      <c r="CI320" s="635">
        <v>3.6728648806411539</v>
      </c>
      <c r="CJ320" s="635">
        <v>3.7105700637409291</v>
      </c>
      <c r="CK320" s="635">
        <v>3.7491824207073114</v>
      </c>
      <c r="CL320" s="634">
        <v>0</v>
      </c>
      <c r="CM320" s="634">
        <v>0</v>
      </c>
      <c r="CN320" s="634">
        <v>0</v>
      </c>
      <c r="CO320" s="635">
        <v>0</v>
      </c>
      <c r="CP320" s="635">
        <v>0</v>
      </c>
      <c r="CQ320" s="635">
        <v>0</v>
      </c>
      <c r="CR320" s="635">
        <v>0</v>
      </c>
      <c r="CS320" s="635">
        <v>0</v>
      </c>
      <c r="CT320" s="635">
        <v>0</v>
      </c>
      <c r="CU320" s="635">
        <v>0</v>
      </c>
      <c r="CV320" s="635">
        <v>0</v>
      </c>
      <c r="CW320" s="635">
        <v>0</v>
      </c>
      <c r="CX320" s="635">
        <v>0</v>
      </c>
      <c r="CY320" s="635">
        <v>0</v>
      </c>
      <c r="CZ320" s="635">
        <v>0</v>
      </c>
      <c r="DA320" s="636">
        <v>0</v>
      </c>
      <c r="DB320" s="636">
        <v>0</v>
      </c>
      <c r="DC320" s="636">
        <v>0</v>
      </c>
      <c r="DD320" s="637">
        <v>0</v>
      </c>
      <c r="DE320" s="637">
        <v>0</v>
      </c>
      <c r="DF320" s="637">
        <v>0</v>
      </c>
      <c r="DG320" s="637">
        <v>0</v>
      </c>
      <c r="DH320" s="637">
        <v>0</v>
      </c>
      <c r="DI320" s="637">
        <v>0</v>
      </c>
      <c r="DJ320" s="637">
        <v>0</v>
      </c>
      <c r="DK320" s="637">
        <v>0</v>
      </c>
      <c r="DL320" s="637">
        <v>0</v>
      </c>
      <c r="DM320" s="637">
        <v>0</v>
      </c>
      <c r="DN320" s="637">
        <v>0</v>
      </c>
      <c r="DO320" s="637">
        <v>0</v>
      </c>
      <c r="DP320" s="636">
        <v>0</v>
      </c>
      <c r="DQ320" s="636">
        <v>0</v>
      </c>
      <c r="DR320" s="636">
        <v>0</v>
      </c>
      <c r="DS320" s="637">
        <v>0</v>
      </c>
      <c r="DT320" s="637">
        <v>0</v>
      </c>
      <c r="DU320" s="637">
        <v>0</v>
      </c>
      <c r="DV320" s="637">
        <v>0</v>
      </c>
      <c r="DW320" s="637">
        <v>0</v>
      </c>
      <c r="DX320" s="637">
        <v>0</v>
      </c>
      <c r="DY320" s="637">
        <v>0</v>
      </c>
      <c r="DZ320" s="637">
        <v>0</v>
      </c>
      <c r="EA320" s="637">
        <v>0</v>
      </c>
      <c r="EB320" s="637">
        <v>0</v>
      </c>
      <c r="EC320" s="637">
        <v>0</v>
      </c>
      <c r="ED320" s="637">
        <v>0</v>
      </c>
    </row>
    <row r="321" spans="1:134" ht="15" x14ac:dyDescent="0.25">
      <c r="A321" s="555">
        <v>92</v>
      </c>
      <c r="B321" s="555">
        <v>99</v>
      </c>
      <c r="C321" s="555" t="s">
        <v>1304</v>
      </c>
      <c r="D321" s="812">
        <v>99709</v>
      </c>
      <c r="E321" s="812">
        <v>99709</v>
      </c>
      <c r="F321" s="630" t="s">
        <v>989</v>
      </c>
      <c r="G321" s="45">
        <v>5</v>
      </c>
      <c r="H321" s="45">
        <v>3</v>
      </c>
      <c r="I321" s="45">
        <v>3</v>
      </c>
      <c r="J321" s="45">
        <v>0</v>
      </c>
      <c r="K321" s="45">
        <v>0</v>
      </c>
      <c r="L321" s="45">
        <v>2</v>
      </c>
      <c r="M321" s="45">
        <v>2</v>
      </c>
      <c r="N321" s="45">
        <v>0</v>
      </c>
      <c r="O321" s="45">
        <v>0</v>
      </c>
      <c r="P321" s="45">
        <v>0</v>
      </c>
      <c r="Q321" s="45">
        <v>2</v>
      </c>
      <c r="R321" s="45">
        <v>0</v>
      </c>
      <c r="S321" s="45">
        <v>400</v>
      </c>
      <c r="T321" s="45">
        <v>400</v>
      </c>
      <c r="U321" s="45">
        <v>0</v>
      </c>
      <c r="V321" s="45">
        <v>0</v>
      </c>
      <c r="W321" s="45">
        <v>0</v>
      </c>
      <c r="X321" s="45">
        <v>400</v>
      </c>
      <c r="Y321" s="45">
        <v>0</v>
      </c>
      <c r="Z321" s="45">
        <v>3</v>
      </c>
      <c r="AA321" s="45">
        <v>0</v>
      </c>
      <c r="AB321" s="508">
        <v>0</v>
      </c>
      <c r="AC321" s="508">
        <v>0</v>
      </c>
      <c r="AD321" s="631">
        <v>3</v>
      </c>
      <c r="AE321" s="632">
        <v>0</v>
      </c>
      <c r="AF321" s="632">
        <v>3</v>
      </c>
      <c r="AG321" s="633">
        <v>3</v>
      </c>
      <c r="AH321" s="632">
        <v>0</v>
      </c>
      <c r="AI321" s="632">
        <v>0</v>
      </c>
      <c r="AJ321" s="632">
        <v>2.8564751850232182</v>
      </c>
      <c r="AK321" s="632">
        <v>2.8564751850232182</v>
      </c>
      <c r="AL321" s="632">
        <v>0</v>
      </c>
      <c r="AM321" s="632">
        <v>0</v>
      </c>
      <c r="AN321" s="632">
        <v>2.861863886693929</v>
      </c>
      <c r="AO321" s="632">
        <v>2.861863886693929</v>
      </c>
      <c r="AP321" s="632">
        <v>0</v>
      </c>
      <c r="AQ321" s="632">
        <v>0</v>
      </c>
      <c r="AR321" s="632">
        <v>0</v>
      </c>
      <c r="AS321" s="632">
        <v>2.7198168275511425</v>
      </c>
      <c r="AT321" s="632">
        <v>2.7873086079062741</v>
      </c>
      <c r="AU321" s="632">
        <v>2.8564751850232182</v>
      </c>
      <c r="AV321" s="632">
        <v>2.9273581186916053</v>
      </c>
      <c r="AW321" s="632">
        <v>3</v>
      </c>
      <c r="AX321" s="632">
        <v>2.7300883019876268</v>
      </c>
      <c r="AY321" s="632">
        <v>2.7951996563651655</v>
      </c>
      <c r="AZ321" s="632">
        <v>2.861863886693929</v>
      </c>
      <c r="BA321" s="632">
        <v>2.9301180283534292</v>
      </c>
      <c r="BB321" s="632">
        <v>3</v>
      </c>
      <c r="BC321" s="632">
        <v>0</v>
      </c>
      <c r="BD321" s="632">
        <v>0</v>
      </c>
      <c r="BE321" s="632">
        <v>0</v>
      </c>
      <c r="BF321" s="632">
        <v>0</v>
      </c>
      <c r="BG321" s="632">
        <v>0</v>
      </c>
      <c r="BH321" s="634">
        <v>3.015367887033519</v>
      </c>
      <c r="BI321" s="634">
        <v>3.0308144980509963</v>
      </c>
      <c r="BJ321" s="634">
        <v>3.0463402363261958</v>
      </c>
      <c r="BK321" s="635">
        <v>3.0850024984007671</v>
      </c>
      <c r="BL321" s="635">
        <v>3.1236647604753385</v>
      </c>
      <c r="BM321" s="635">
        <v>3.1623270225499089</v>
      </c>
      <c r="BN321" s="635">
        <v>3.2009892846244803</v>
      </c>
      <c r="BO321" s="635">
        <v>3.2467048737410713</v>
      </c>
      <c r="BP321" s="635">
        <v>3.2924204628576619</v>
      </c>
      <c r="BQ321" s="635">
        <v>3.4191571996100332</v>
      </c>
      <c r="BR321" s="635">
        <v>3.570155346682903</v>
      </c>
      <c r="BS321" s="635">
        <v>3.6364556602079623</v>
      </c>
      <c r="BT321" s="635">
        <v>3.6728648806411539</v>
      </c>
      <c r="BU321" s="635">
        <v>3.7105700637409291</v>
      </c>
      <c r="BV321" s="635">
        <v>3.7491824207073114</v>
      </c>
      <c r="BW321" s="634">
        <v>3.015367887033519</v>
      </c>
      <c r="BX321" s="634">
        <v>3.0308144980509963</v>
      </c>
      <c r="BY321" s="634">
        <v>3.0463402363261958</v>
      </c>
      <c r="BZ321" s="635">
        <v>3.0850024984007671</v>
      </c>
      <c r="CA321" s="635">
        <v>3.1236647604753385</v>
      </c>
      <c r="CB321" s="635">
        <v>3.1623270225499089</v>
      </c>
      <c r="CC321" s="635">
        <v>3.2009892846244803</v>
      </c>
      <c r="CD321" s="635">
        <v>3.2467048737410713</v>
      </c>
      <c r="CE321" s="635">
        <v>3.2924204628576619</v>
      </c>
      <c r="CF321" s="635">
        <v>3.4191571996100332</v>
      </c>
      <c r="CG321" s="635">
        <v>3.570155346682903</v>
      </c>
      <c r="CH321" s="635">
        <v>3.6364556602079623</v>
      </c>
      <c r="CI321" s="635">
        <v>3.6728648806411539</v>
      </c>
      <c r="CJ321" s="635">
        <v>3.7105700637409291</v>
      </c>
      <c r="CK321" s="635">
        <v>3.7491824207073114</v>
      </c>
      <c r="CL321" s="634">
        <v>0</v>
      </c>
      <c r="CM321" s="634">
        <v>0</v>
      </c>
      <c r="CN321" s="634">
        <v>0</v>
      </c>
      <c r="CO321" s="635">
        <v>0</v>
      </c>
      <c r="CP321" s="635">
        <v>0</v>
      </c>
      <c r="CQ321" s="635">
        <v>0</v>
      </c>
      <c r="CR321" s="635">
        <v>0</v>
      </c>
      <c r="CS321" s="635">
        <v>0</v>
      </c>
      <c r="CT321" s="635">
        <v>0</v>
      </c>
      <c r="CU321" s="635">
        <v>0</v>
      </c>
      <c r="CV321" s="635">
        <v>0</v>
      </c>
      <c r="CW321" s="635">
        <v>0</v>
      </c>
      <c r="CX321" s="635">
        <v>0</v>
      </c>
      <c r="CY321" s="635">
        <v>0</v>
      </c>
      <c r="CZ321" s="635">
        <v>0</v>
      </c>
      <c r="DA321" s="636">
        <v>0</v>
      </c>
      <c r="DB321" s="636">
        <v>0</v>
      </c>
      <c r="DC321" s="636">
        <v>0</v>
      </c>
      <c r="DD321" s="637">
        <v>0</v>
      </c>
      <c r="DE321" s="637">
        <v>0</v>
      </c>
      <c r="DF321" s="637">
        <v>0</v>
      </c>
      <c r="DG321" s="637">
        <v>0</v>
      </c>
      <c r="DH321" s="637">
        <v>0</v>
      </c>
      <c r="DI321" s="637">
        <v>0</v>
      </c>
      <c r="DJ321" s="637">
        <v>0</v>
      </c>
      <c r="DK321" s="637">
        <v>0</v>
      </c>
      <c r="DL321" s="637">
        <v>0</v>
      </c>
      <c r="DM321" s="637">
        <v>0</v>
      </c>
      <c r="DN321" s="637">
        <v>0</v>
      </c>
      <c r="DO321" s="637">
        <v>0</v>
      </c>
      <c r="DP321" s="636">
        <v>0</v>
      </c>
      <c r="DQ321" s="636">
        <v>0</v>
      </c>
      <c r="DR321" s="636">
        <v>0</v>
      </c>
      <c r="DS321" s="637">
        <v>0</v>
      </c>
      <c r="DT321" s="637">
        <v>0</v>
      </c>
      <c r="DU321" s="637">
        <v>0</v>
      </c>
      <c r="DV321" s="637">
        <v>0</v>
      </c>
      <c r="DW321" s="637">
        <v>0</v>
      </c>
      <c r="DX321" s="637">
        <v>0</v>
      </c>
      <c r="DY321" s="637">
        <v>0</v>
      </c>
      <c r="DZ321" s="637">
        <v>0</v>
      </c>
      <c r="EA321" s="637">
        <v>0</v>
      </c>
      <c r="EB321" s="637">
        <v>0</v>
      </c>
      <c r="EC321" s="637">
        <v>0</v>
      </c>
      <c r="ED321" s="637">
        <v>0</v>
      </c>
    </row>
    <row r="322" spans="1:134" ht="15" x14ac:dyDescent="0.25">
      <c r="A322" s="555">
        <v>101</v>
      </c>
      <c r="B322" s="555">
        <v>99</v>
      </c>
      <c r="C322" s="555" t="s">
        <v>1305</v>
      </c>
      <c r="D322" s="812">
        <v>99709</v>
      </c>
      <c r="E322" s="812">
        <v>99709</v>
      </c>
      <c r="F322" s="630" t="s">
        <v>311</v>
      </c>
      <c r="G322" s="45">
        <v>123</v>
      </c>
      <c r="H322" s="45">
        <v>64</v>
      </c>
      <c r="I322" s="45">
        <v>52</v>
      </c>
      <c r="J322" s="45">
        <v>12</v>
      </c>
      <c r="K322" s="45">
        <v>1</v>
      </c>
      <c r="L322" s="45">
        <v>41</v>
      </c>
      <c r="M322" s="45">
        <v>42</v>
      </c>
      <c r="N322" s="45">
        <v>1</v>
      </c>
      <c r="O322" s="45">
        <v>0</v>
      </c>
      <c r="P322" s="45">
        <v>0</v>
      </c>
      <c r="Q322" s="45">
        <v>43</v>
      </c>
      <c r="R322" s="45">
        <v>3096</v>
      </c>
      <c r="S322" s="45">
        <v>1164.2439024390244</v>
      </c>
      <c r="T322" s="45">
        <v>1210.2380952380952</v>
      </c>
      <c r="U322" s="45">
        <v>960</v>
      </c>
      <c r="V322" s="45">
        <v>0</v>
      </c>
      <c r="W322" s="45">
        <v>0</v>
      </c>
      <c r="X322" s="45">
        <v>1204.4186046511627</v>
      </c>
      <c r="Y322" s="45">
        <v>1.5238095238095237</v>
      </c>
      <c r="Z322" s="45">
        <v>62.476190476190474</v>
      </c>
      <c r="AA322" s="45">
        <v>0</v>
      </c>
      <c r="AB322" s="508">
        <v>1</v>
      </c>
      <c r="AC322" s="508">
        <v>0</v>
      </c>
      <c r="AD322" s="631">
        <v>65</v>
      </c>
      <c r="AE322" s="632">
        <v>1.2380952380952381</v>
      </c>
      <c r="AF322" s="632">
        <v>50.761904761904759</v>
      </c>
      <c r="AG322" s="633">
        <v>52</v>
      </c>
      <c r="AH322" s="632">
        <v>0</v>
      </c>
      <c r="AI322" s="632">
        <v>1.4509080304879838</v>
      </c>
      <c r="AJ322" s="632">
        <v>59.487229250007331</v>
      </c>
      <c r="AK322" s="632">
        <v>60.938137280495312</v>
      </c>
      <c r="AL322" s="632">
        <v>0</v>
      </c>
      <c r="AM322" s="632">
        <v>1.1810866833974945</v>
      </c>
      <c r="AN322" s="632">
        <v>48.424554019297268</v>
      </c>
      <c r="AO322" s="632">
        <v>49.605640702694764</v>
      </c>
      <c r="AP322" s="632">
        <v>0</v>
      </c>
      <c r="AQ322" s="632">
        <v>0.95966573850124082</v>
      </c>
      <c r="AR322" s="632">
        <v>0</v>
      </c>
      <c r="AS322" s="632">
        <v>58.022758987757712</v>
      </c>
      <c r="AT322" s="632">
        <v>59.46258363533385</v>
      </c>
      <c r="AU322" s="632">
        <v>60.938137280495319</v>
      </c>
      <c r="AV322" s="632">
        <v>62.450306532087573</v>
      </c>
      <c r="AW322" s="632">
        <v>64</v>
      </c>
      <c r="AX322" s="632">
        <v>47.321530567785537</v>
      </c>
      <c r="AY322" s="632">
        <v>48.450127376996207</v>
      </c>
      <c r="AZ322" s="632">
        <v>49.605640702694771</v>
      </c>
      <c r="BA322" s="632">
        <v>50.788712491459435</v>
      </c>
      <c r="BB322" s="632">
        <v>52</v>
      </c>
      <c r="BC322" s="632">
        <v>0.92095832965313207</v>
      </c>
      <c r="BD322" s="632">
        <v>0.94011284192667122</v>
      </c>
      <c r="BE322" s="632">
        <v>0.95966573850124082</v>
      </c>
      <c r="BF322" s="632">
        <v>0.97962530515561963</v>
      </c>
      <c r="BG322" s="632">
        <v>1</v>
      </c>
      <c r="BH322" s="634">
        <v>64.327848256715072</v>
      </c>
      <c r="BI322" s="634">
        <v>64.657375958421255</v>
      </c>
      <c r="BJ322" s="634">
        <v>64.988591708292176</v>
      </c>
      <c r="BK322" s="635">
        <v>65.20498697997256</v>
      </c>
      <c r="BL322" s="635">
        <v>65.421382251652929</v>
      </c>
      <c r="BM322" s="635">
        <v>65.637777523333327</v>
      </c>
      <c r="BN322" s="635">
        <v>65.85417279501371</v>
      </c>
      <c r="BO322" s="635">
        <v>66.11004601080829</v>
      </c>
      <c r="BP322" s="635">
        <v>66.36591922660287</v>
      </c>
      <c r="BQ322" s="635">
        <v>67.075273235132357</v>
      </c>
      <c r="BR322" s="635">
        <v>67.920419983039793</v>
      </c>
      <c r="BS322" s="635">
        <v>68.291507280779314</v>
      </c>
      <c r="BT322" s="635">
        <v>68.49529212741129</v>
      </c>
      <c r="BU322" s="635">
        <v>68.706330563933619</v>
      </c>
      <c r="BV322" s="635">
        <v>68.922446513379214</v>
      </c>
      <c r="BW322" s="634">
        <v>52.266376708580992</v>
      </c>
      <c r="BX322" s="634">
        <v>52.534117966217266</v>
      </c>
      <c r="BY322" s="634">
        <v>52.803230762987397</v>
      </c>
      <c r="BZ322" s="635">
        <v>52.979051921227708</v>
      </c>
      <c r="CA322" s="635">
        <v>53.154873079468011</v>
      </c>
      <c r="CB322" s="635">
        <v>53.330694237708336</v>
      </c>
      <c r="CC322" s="635">
        <v>53.506515395948639</v>
      </c>
      <c r="CD322" s="635">
        <v>53.714412383781735</v>
      </c>
      <c r="CE322" s="635">
        <v>53.922309371614837</v>
      </c>
      <c r="CF322" s="635">
        <v>54.498659503545049</v>
      </c>
      <c r="CG322" s="635">
        <v>55.185341236219834</v>
      </c>
      <c r="CH322" s="635">
        <v>55.486849665633194</v>
      </c>
      <c r="CI322" s="635">
        <v>55.65242485352168</v>
      </c>
      <c r="CJ322" s="635">
        <v>55.823893583196067</v>
      </c>
      <c r="CK322" s="635">
        <v>55.999487792120618</v>
      </c>
      <c r="CL322" s="634">
        <v>1.005122629011173</v>
      </c>
      <c r="CM322" s="634">
        <v>1.0102714993503321</v>
      </c>
      <c r="CN322" s="634">
        <v>1.0154467454420653</v>
      </c>
      <c r="CO322" s="635">
        <v>1.0188279215620712</v>
      </c>
      <c r="CP322" s="635">
        <v>1.022209097682077</v>
      </c>
      <c r="CQ322" s="635">
        <v>1.0255902738020832</v>
      </c>
      <c r="CR322" s="635">
        <v>1.0289714499220892</v>
      </c>
      <c r="CS322" s="635">
        <v>1.0329694689188795</v>
      </c>
      <c r="CT322" s="635">
        <v>1.0369674879156698</v>
      </c>
      <c r="CU322" s="635">
        <v>1.0480511442989431</v>
      </c>
      <c r="CV322" s="635">
        <v>1.0612565622349968</v>
      </c>
      <c r="CW322" s="635">
        <v>1.0670548012621768</v>
      </c>
      <c r="CX322" s="635">
        <v>1.0702389394908014</v>
      </c>
      <c r="CY322" s="635">
        <v>1.0735364150614628</v>
      </c>
      <c r="CZ322" s="635">
        <v>1.0769132267715502</v>
      </c>
      <c r="DA322" s="636">
        <v>0</v>
      </c>
      <c r="DB322" s="636">
        <v>0</v>
      </c>
      <c r="DC322" s="636">
        <v>0</v>
      </c>
      <c r="DD322" s="637">
        <v>0</v>
      </c>
      <c r="DE322" s="637">
        <v>0</v>
      </c>
      <c r="DF322" s="637">
        <v>0</v>
      </c>
      <c r="DG322" s="637">
        <v>0</v>
      </c>
      <c r="DH322" s="637">
        <v>0</v>
      </c>
      <c r="DI322" s="637">
        <v>0</v>
      </c>
      <c r="DJ322" s="637">
        <v>0</v>
      </c>
      <c r="DK322" s="637">
        <v>0</v>
      </c>
      <c r="DL322" s="637">
        <v>0</v>
      </c>
      <c r="DM322" s="637">
        <v>0</v>
      </c>
      <c r="DN322" s="637">
        <v>0</v>
      </c>
      <c r="DO322" s="637">
        <v>0</v>
      </c>
      <c r="DP322" s="636">
        <v>0</v>
      </c>
      <c r="DQ322" s="636">
        <v>0</v>
      </c>
      <c r="DR322" s="636">
        <v>0</v>
      </c>
      <c r="DS322" s="637">
        <v>0</v>
      </c>
      <c r="DT322" s="637">
        <v>0</v>
      </c>
      <c r="DU322" s="637">
        <v>0</v>
      </c>
      <c r="DV322" s="637">
        <v>0</v>
      </c>
      <c r="DW322" s="637">
        <v>0</v>
      </c>
      <c r="DX322" s="637">
        <v>0</v>
      </c>
      <c r="DY322" s="637">
        <v>0</v>
      </c>
      <c r="DZ322" s="637">
        <v>0</v>
      </c>
      <c r="EA322" s="637">
        <v>0</v>
      </c>
      <c r="EB322" s="637">
        <v>0</v>
      </c>
      <c r="EC322" s="637">
        <v>0</v>
      </c>
      <c r="ED322" s="637">
        <v>0</v>
      </c>
    </row>
    <row r="323" spans="1:134" ht="15" x14ac:dyDescent="0.25">
      <c r="A323" s="555">
        <v>102</v>
      </c>
      <c r="B323" s="555">
        <v>99</v>
      </c>
      <c r="C323" s="555" t="s">
        <v>1306</v>
      </c>
      <c r="D323" s="812">
        <v>99709</v>
      </c>
      <c r="E323" s="812">
        <v>99709</v>
      </c>
      <c r="F323" s="630" t="s">
        <v>311</v>
      </c>
      <c r="G323" s="45">
        <v>87</v>
      </c>
      <c r="H323" s="45">
        <v>59</v>
      </c>
      <c r="I323" s="45">
        <v>46</v>
      </c>
      <c r="J323" s="45">
        <v>13</v>
      </c>
      <c r="K323" s="45">
        <v>1</v>
      </c>
      <c r="L323" s="45">
        <v>6</v>
      </c>
      <c r="M323" s="45">
        <v>7</v>
      </c>
      <c r="N323" s="45">
        <v>0</v>
      </c>
      <c r="O323" s="45">
        <v>0</v>
      </c>
      <c r="P323" s="45">
        <v>0</v>
      </c>
      <c r="Q323" s="45">
        <v>7</v>
      </c>
      <c r="R323" s="45">
        <v>5438</v>
      </c>
      <c r="S323" s="45">
        <v>914.16666666666663</v>
      </c>
      <c r="T323" s="45">
        <v>1560.4285714285713</v>
      </c>
      <c r="U323" s="45">
        <v>0</v>
      </c>
      <c r="V323" s="45">
        <v>0</v>
      </c>
      <c r="W323" s="45">
        <v>0</v>
      </c>
      <c r="X323" s="45">
        <v>1560.4285714285713</v>
      </c>
      <c r="Y323" s="45">
        <v>8.4285714285714288</v>
      </c>
      <c r="Z323" s="45">
        <v>50.571428571428569</v>
      </c>
      <c r="AA323" s="45">
        <v>0</v>
      </c>
      <c r="AB323" s="508">
        <v>0</v>
      </c>
      <c r="AC323" s="508">
        <v>0</v>
      </c>
      <c r="AD323" s="631">
        <v>59</v>
      </c>
      <c r="AE323" s="632">
        <v>6.5714285714285712</v>
      </c>
      <c r="AF323" s="632">
        <v>39.428571428571431</v>
      </c>
      <c r="AG323" s="633">
        <v>46</v>
      </c>
      <c r="AH323" s="632">
        <v>0</v>
      </c>
      <c r="AI323" s="632">
        <v>8.0253350436366606</v>
      </c>
      <c r="AJ323" s="632">
        <v>48.15201026181996</v>
      </c>
      <c r="AK323" s="632">
        <v>56.177345305456619</v>
      </c>
      <c r="AL323" s="632">
        <v>0</v>
      </c>
      <c r="AM323" s="632">
        <v>6.2688447041867015</v>
      </c>
      <c r="AN323" s="632">
        <v>37.613068225120209</v>
      </c>
      <c r="AO323" s="632">
        <v>43.881912929306907</v>
      </c>
      <c r="AP323" s="632">
        <v>0</v>
      </c>
      <c r="AQ323" s="632">
        <v>0</v>
      </c>
      <c r="AR323" s="632">
        <v>0</v>
      </c>
      <c r="AS323" s="632">
        <v>53.489730941839134</v>
      </c>
      <c r="AT323" s="632">
        <v>54.81706928882339</v>
      </c>
      <c r="AU323" s="632">
        <v>56.177345305456619</v>
      </c>
      <c r="AV323" s="632">
        <v>57.571376334268237</v>
      </c>
      <c r="AW323" s="632">
        <v>59</v>
      </c>
      <c r="AX323" s="632">
        <v>41.861353963810281</v>
      </c>
      <c r="AY323" s="632">
        <v>42.859728064265873</v>
      </c>
      <c r="AZ323" s="632">
        <v>43.881912929306914</v>
      </c>
      <c r="BA323" s="632">
        <v>44.928476434752575</v>
      </c>
      <c r="BB323" s="632">
        <v>46</v>
      </c>
      <c r="BC323" s="632">
        <v>0</v>
      </c>
      <c r="BD323" s="632">
        <v>0</v>
      </c>
      <c r="BE323" s="632">
        <v>0</v>
      </c>
      <c r="BF323" s="632">
        <v>0</v>
      </c>
      <c r="BG323" s="632">
        <v>0</v>
      </c>
      <c r="BH323" s="634">
        <v>59.302235111659208</v>
      </c>
      <c r="BI323" s="634">
        <v>59.606018461669592</v>
      </c>
      <c r="BJ323" s="634">
        <v>59.911357981081849</v>
      </c>
      <c r="BK323" s="635">
        <v>60.751977510461543</v>
      </c>
      <c r="BL323" s="635">
        <v>61.59259703984123</v>
      </c>
      <c r="BM323" s="635">
        <v>62.433216569220924</v>
      </c>
      <c r="BN323" s="635">
        <v>63.273836098600619</v>
      </c>
      <c r="BO323" s="635">
        <v>64.267813557404807</v>
      </c>
      <c r="BP323" s="635">
        <v>65.261791016209003</v>
      </c>
      <c r="BQ323" s="635">
        <v>68.017381876319774</v>
      </c>
      <c r="BR323" s="635">
        <v>71.300479773819319</v>
      </c>
      <c r="BS323" s="635">
        <v>72.742023422912169</v>
      </c>
      <c r="BT323" s="635">
        <v>73.53365588576699</v>
      </c>
      <c r="BU323" s="635">
        <v>74.353465994429882</v>
      </c>
      <c r="BV323" s="635">
        <v>75.19300045515844</v>
      </c>
      <c r="BW323" s="634">
        <v>46.23564093451396</v>
      </c>
      <c r="BX323" s="634">
        <v>46.472488970115279</v>
      </c>
      <c r="BY323" s="634">
        <v>46.710550290335</v>
      </c>
      <c r="BZ323" s="635">
        <v>47.36594856747849</v>
      </c>
      <c r="CA323" s="635">
        <v>48.021346844621981</v>
      </c>
      <c r="CB323" s="635">
        <v>48.676745121765464</v>
      </c>
      <c r="CC323" s="635">
        <v>49.332143398908954</v>
      </c>
      <c r="CD323" s="635">
        <v>50.107108875264757</v>
      </c>
      <c r="CE323" s="635">
        <v>50.882074351620574</v>
      </c>
      <c r="CF323" s="635">
        <v>53.030501123910327</v>
      </c>
      <c r="CG323" s="635">
        <v>55.590204569418447</v>
      </c>
      <c r="CH323" s="635">
        <v>56.714119956846773</v>
      </c>
      <c r="CI323" s="635">
        <v>57.331324927886122</v>
      </c>
      <c r="CJ323" s="635">
        <v>57.970498910911431</v>
      </c>
      <c r="CK323" s="635">
        <v>58.625051202326922</v>
      </c>
      <c r="CL323" s="634">
        <v>0</v>
      </c>
      <c r="CM323" s="634">
        <v>0</v>
      </c>
      <c r="CN323" s="634">
        <v>0</v>
      </c>
      <c r="CO323" s="635">
        <v>0</v>
      </c>
      <c r="CP323" s="635">
        <v>0</v>
      </c>
      <c r="CQ323" s="635">
        <v>0</v>
      </c>
      <c r="CR323" s="635">
        <v>0</v>
      </c>
      <c r="CS323" s="635">
        <v>0</v>
      </c>
      <c r="CT323" s="635">
        <v>0</v>
      </c>
      <c r="CU323" s="635">
        <v>0</v>
      </c>
      <c r="CV323" s="635">
        <v>0</v>
      </c>
      <c r="CW323" s="635">
        <v>0</v>
      </c>
      <c r="CX323" s="635">
        <v>0</v>
      </c>
      <c r="CY323" s="635">
        <v>0</v>
      </c>
      <c r="CZ323" s="635">
        <v>0</v>
      </c>
      <c r="DA323" s="636">
        <v>0</v>
      </c>
      <c r="DB323" s="636">
        <v>0</v>
      </c>
      <c r="DC323" s="636">
        <v>0</v>
      </c>
      <c r="DD323" s="637">
        <v>0</v>
      </c>
      <c r="DE323" s="637">
        <v>0</v>
      </c>
      <c r="DF323" s="637">
        <v>0</v>
      </c>
      <c r="DG323" s="637">
        <v>0</v>
      </c>
      <c r="DH323" s="637">
        <v>0</v>
      </c>
      <c r="DI323" s="637">
        <v>0</v>
      </c>
      <c r="DJ323" s="637">
        <v>0</v>
      </c>
      <c r="DK323" s="637">
        <v>0</v>
      </c>
      <c r="DL323" s="637">
        <v>0</v>
      </c>
      <c r="DM323" s="637">
        <v>0</v>
      </c>
      <c r="DN323" s="637">
        <v>0</v>
      </c>
      <c r="DO323" s="637">
        <v>0</v>
      </c>
      <c r="DP323" s="636">
        <v>0</v>
      </c>
      <c r="DQ323" s="636">
        <v>0</v>
      </c>
      <c r="DR323" s="636">
        <v>0</v>
      </c>
      <c r="DS323" s="637">
        <v>0</v>
      </c>
      <c r="DT323" s="637">
        <v>0</v>
      </c>
      <c r="DU323" s="637">
        <v>0</v>
      </c>
      <c r="DV323" s="637">
        <v>0</v>
      </c>
      <c r="DW323" s="637">
        <v>0</v>
      </c>
      <c r="DX323" s="637">
        <v>0</v>
      </c>
      <c r="DY323" s="637">
        <v>0</v>
      </c>
      <c r="DZ323" s="637">
        <v>0</v>
      </c>
      <c r="EA323" s="637">
        <v>0</v>
      </c>
      <c r="EB323" s="637">
        <v>0</v>
      </c>
      <c r="EC323" s="637">
        <v>0</v>
      </c>
      <c r="ED323" s="637">
        <v>0</v>
      </c>
    </row>
    <row r="324" spans="1:134" ht="15" x14ac:dyDescent="0.25">
      <c r="A324" s="555">
        <v>103</v>
      </c>
      <c r="B324" s="555">
        <v>99</v>
      </c>
      <c r="C324" s="555" t="s">
        <v>1307</v>
      </c>
      <c r="D324" s="812">
        <v>99709</v>
      </c>
      <c r="E324" s="812">
        <v>99709</v>
      </c>
      <c r="F324" s="630" t="s">
        <v>311</v>
      </c>
      <c r="G324" s="45">
        <v>66</v>
      </c>
      <c r="H324" s="45">
        <v>36</v>
      </c>
      <c r="I324" s="45">
        <v>25</v>
      </c>
      <c r="J324" s="45">
        <v>11</v>
      </c>
      <c r="K324" s="45">
        <v>0</v>
      </c>
      <c r="L324" s="45">
        <v>38</v>
      </c>
      <c r="M324" s="45">
        <v>38</v>
      </c>
      <c r="N324" s="45">
        <v>1</v>
      </c>
      <c r="O324" s="45">
        <v>0</v>
      </c>
      <c r="P324" s="45">
        <v>0</v>
      </c>
      <c r="Q324" s="45">
        <v>39</v>
      </c>
      <c r="R324" s="45">
        <v>0</v>
      </c>
      <c r="S324" s="45">
        <v>1025.4736842105262</v>
      </c>
      <c r="T324" s="45">
        <v>1025.4736842105262</v>
      </c>
      <c r="U324" s="45">
        <v>640</v>
      </c>
      <c r="V324" s="45">
        <v>0</v>
      </c>
      <c r="W324" s="45">
        <v>0</v>
      </c>
      <c r="X324" s="45">
        <v>1015.5897435897435</v>
      </c>
      <c r="Y324" s="45">
        <v>0</v>
      </c>
      <c r="Z324" s="45">
        <v>36</v>
      </c>
      <c r="AA324" s="45">
        <v>0</v>
      </c>
      <c r="AB324" s="508">
        <v>1</v>
      </c>
      <c r="AC324" s="508">
        <v>0</v>
      </c>
      <c r="AD324" s="631">
        <v>37</v>
      </c>
      <c r="AE324" s="632">
        <v>0</v>
      </c>
      <c r="AF324" s="632">
        <v>25</v>
      </c>
      <c r="AG324" s="633">
        <v>25</v>
      </c>
      <c r="AH324" s="632">
        <v>0</v>
      </c>
      <c r="AI324" s="632">
        <v>0</v>
      </c>
      <c r="AJ324" s="632">
        <v>34.27770222027862</v>
      </c>
      <c r="AK324" s="632">
        <v>34.27770222027862</v>
      </c>
      <c r="AL324" s="632">
        <v>0</v>
      </c>
      <c r="AM324" s="632">
        <v>0</v>
      </c>
      <c r="AN324" s="632">
        <v>23.848865722449407</v>
      </c>
      <c r="AO324" s="632">
        <v>23.848865722449407</v>
      </c>
      <c r="AP324" s="632">
        <v>0</v>
      </c>
      <c r="AQ324" s="632">
        <v>0.95966573850124082</v>
      </c>
      <c r="AR324" s="632">
        <v>0</v>
      </c>
      <c r="AS324" s="632">
        <v>32.637801930613712</v>
      </c>
      <c r="AT324" s="632">
        <v>33.447703294875289</v>
      </c>
      <c r="AU324" s="632">
        <v>34.27770222027862</v>
      </c>
      <c r="AV324" s="632">
        <v>35.128297424299262</v>
      </c>
      <c r="AW324" s="632">
        <v>36</v>
      </c>
      <c r="AX324" s="632">
        <v>22.750735849896891</v>
      </c>
      <c r="AY324" s="632">
        <v>23.293330469709716</v>
      </c>
      <c r="AZ324" s="632">
        <v>23.848865722449407</v>
      </c>
      <c r="BA324" s="632">
        <v>24.417650236278575</v>
      </c>
      <c r="BB324" s="632">
        <v>25</v>
      </c>
      <c r="BC324" s="632">
        <v>0.92095832965313207</v>
      </c>
      <c r="BD324" s="632">
        <v>0.94011284192667122</v>
      </c>
      <c r="BE324" s="632">
        <v>0.95966573850124082</v>
      </c>
      <c r="BF324" s="632">
        <v>0.97962530515561963</v>
      </c>
      <c r="BG324" s="632">
        <v>1</v>
      </c>
      <c r="BH324" s="634">
        <v>36.184414644402224</v>
      </c>
      <c r="BI324" s="634">
        <v>36.369773976611953</v>
      </c>
      <c r="BJ324" s="634">
        <v>36.556082835914353</v>
      </c>
      <c r="BK324" s="635">
        <v>37.069003226722302</v>
      </c>
      <c r="BL324" s="635">
        <v>37.581923617530251</v>
      </c>
      <c r="BM324" s="635">
        <v>38.0948440083382</v>
      </c>
      <c r="BN324" s="635">
        <v>38.607764399146141</v>
      </c>
      <c r="BO324" s="635">
        <v>39.214259119772429</v>
      </c>
      <c r="BP324" s="635">
        <v>39.820753840398716</v>
      </c>
      <c r="BQ324" s="635">
        <v>41.502131314364611</v>
      </c>
      <c r="BR324" s="635">
        <v>43.505377489110096</v>
      </c>
      <c r="BS324" s="635">
        <v>44.384963444488783</v>
      </c>
      <c r="BT324" s="635">
        <v>44.867993421823932</v>
      </c>
      <c r="BU324" s="635">
        <v>45.368216538974167</v>
      </c>
      <c r="BV324" s="635">
        <v>45.88047485399499</v>
      </c>
      <c r="BW324" s="634">
        <v>25.128065725279324</v>
      </c>
      <c r="BX324" s="634">
        <v>25.256787483758302</v>
      </c>
      <c r="BY324" s="634">
        <v>25.386168636051632</v>
      </c>
      <c r="BZ324" s="635">
        <v>25.742363351890486</v>
      </c>
      <c r="CA324" s="635">
        <v>26.098558067729339</v>
      </c>
      <c r="CB324" s="635">
        <v>26.454752783568189</v>
      </c>
      <c r="CC324" s="635">
        <v>26.810947499407042</v>
      </c>
      <c r="CD324" s="635">
        <v>27.232124388730849</v>
      </c>
      <c r="CE324" s="635">
        <v>27.653301278054663</v>
      </c>
      <c r="CF324" s="635">
        <v>28.82092452386431</v>
      </c>
      <c r="CG324" s="635">
        <v>30.212067700770898</v>
      </c>
      <c r="CH324" s="635">
        <v>30.822891280894986</v>
      </c>
      <c r="CI324" s="635">
        <v>31.158328765155506</v>
      </c>
      <c r="CJ324" s="635">
        <v>31.50570592984317</v>
      </c>
      <c r="CK324" s="635">
        <v>31.861440870829849</v>
      </c>
      <c r="CL324" s="634">
        <v>1.005122629011173</v>
      </c>
      <c r="CM324" s="634">
        <v>1.0102714993503321</v>
      </c>
      <c r="CN324" s="634">
        <v>1.0154467454420653</v>
      </c>
      <c r="CO324" s="635">
        <v>1.0296945340756194</v>
      </c>
      <c r="CP324" s="635">
        <v>1.0439423227091735</v>
      </c>
      <c r="CQ324" s="635">
        <v>1.0581901113427277</v>
      </c>
      <c r="CR324" s="635">
        <v>1.0724378999762816</v>
      </c>
      <c r="CS324" s="635">
        <v>1.089284975549234</v>
      </c>
      <c r="CT324" s="635">
        <v>1.1061320511221864</v>
      </c>
      <c r="CU324" s="635">
        <v>1.1528369809545724</v>
      </c>
      <c r="CV324" s="635">
        <v>1.2084827080308358</v>
      </c>
      <c r="CW324" s="635">
        <v>1.2329156512357995</v>
      </c>
      <c r="CX324" s="635">
        <v>1.2463331506062201</v>
      </c>
      <c r="CY324" s="635">
        <v>1.2602282371937268</v>
      </c>
      <c r="CZ324" s="635">
        <v>1.274457634833194</v>
      </c>
      <c r="DA324" s="636">
        <v>0</v>
      </c>
      <c r="DB324" s="636">
        <v>0</v>
      </c>
      <c r="DC324" s="636">
        <v>0</v>
      </c>
      <c r="DD324" s="637">
        <v>0</v>
      </c>
      <c r="DE324" s="637">
        <v>0</v>
      </c>
      <c r="DF324" s="637">
        <v>0</v>
      </c>
      <c r="DG324" s="637">
        <v>0</v>
      </c>
      <c r="DH324" s="637">
        <v>0</v>
      </c>
      <c r="DI324" s="637">
        <v>0</v>
      </c>
      <c r="DJ324" s="637">
        <v>0</v>
      </c>
      <c r="DK324" s="637">
        <v>0</v>
      </c>
      <c r="DL324" s="637">
        <v>0</v>
      </c>
      <c r="DM324" s="637">
        <v>0</v>
      </c>
      <c r="DN324" s="637">
        <v>0</v>
      </c>
      <c r="DO324" s="637">
        <v>0</v>
      </c>
      <c r="DP324" s="636">
        <v>0</v>
      </c>
      <c r="DQ324" s="636">
        <v>0</v>
      </c>
      <c r="DR324" s="636">
        <v>0</v>
      </c>
      <c r="DS324" s="637">
        <v>0</v>
      </c>
      <c r="DT324" s="637">
        <v>0</v>
      </c>
      <c r="DU324" s="637">
        <v>0</v>
      </c>
      <c r="DV324" s="637">
        <v>0</v>
      </c>
      <c r="DW324" s="637">
        <v>0</v>
      </c>
      <c r="DX324" s="637">
        <v>0</v>
      </c>
      <c r="DY324" s="637">
        <v>0</v>
      </c>
      <c r="DZ324" s="637">
        <v>0</v>
      </c>
      <c r="EA324" s="637">
        <v>0</v>
      </c>
      <c r="EB324" s="637">
        <v>0</v>
      </c>
      <c r="EC324" s="637">
        <v>0</v>
      </c>
      <c r="ED324" s="637">
        <v>0</v>
      </c>
    </row>
    <row r="325" spans="1:134" ht="15" x14ac:dyDescent="0.25">
      <c r="A325" s="555">
        <v>104</v>
      </c>
      <c r="B325" s="555">
        <v>99</v>
      </c>
      <c r="C325" s="555" t="s">
        <v>1308</v>
      </c>
      <c r="D325" s="812">
        <v>99709</v>
      </c>
      <c r="E325" s="812">
        <v>99709</v>
      </c>
      <c r="F325" s="630" t="s">
        <v>311</v>
      </c>
      <c r="G325" s="45">
        <v>191</v>
      </c>
      <c r="H325" s="45">
        <v>109</v>
      </c>
      <c r="I325" s="45">
        <v>103</v>
      </c>
      <c r="J325" s="45">
        <v>6</v>
      </c>
      <c r="K325" s="45">
        <v>0</v>
      </c>
      <c r="L325" s="45">
        <v>30</v>
      </c>
      <c r="M325" s="45">
        <v>30</v>
      </c>
      <c r="N325" s="45">
        <v>0</v>
      </c>
      <c r="O325" s="45">
        <v>0</v>
      </c>
      <c r="P325" s="45">
        <v>0</v>
      </c>
      <c r="Q325" s="45">
        <v>30</v>
      </c>
      <c r="R325" s="45">
        <v>0</v>
      </c>
      <c r="S325" s="45">
        <v>1000.6</v>
      </c>
      <c r="T325" s="45">
        <v>1000.6</v>
      </c>
      <c r="U325" s="45">
        <v>0</v>
      </c>
      <c r="V325" s="45">
        <v>0</v>
      </c>
      <c r="W325" s="45">
        <v>0</v>
      </c>
      <c r="X325" s="45">
        <v>1000.6</v>
      </c>
      <c r="Y325" s="45">
        <v>0</v>
      </c>
      <c r="Z325" s="45">
        <v>109</v>
      </c>
      <c r="AA325" s="45">
        <v>0</v>
      </c>
      <c r="AB325" s="508">
        <v>0</v>
      </c>
      <c r="AC325" s="508">
        <v>0</v>
      </c>
      <c r="AD325" s="631">
        <v>109</v>
      </c>
      <c r="AE325" s="632">
        <v>0</v>
      </c>
      <c r="AF325" s="632">
        <v>103</v>
      </c>
      <c r="AG325" s="633">
        <v>103</v>
      </c>
      <c r="AH325" s="632">
        <v>0</v>
      </c>
      <c r="AI325" s="632">
        <v>0</v>
      </c>
      <c r="AJ325" s="632">
        <v>103.7852650558436</v>
      </c>
      <c r="AK325" s="632">
        <v>103.7852650558436</v>
      </c>
      <c r="AL325" s="632">
        <v>0</v>
      </c>
      <c r="AM325" s="632">
        <v>0</v>
      </c>
      <c r="AN325" s="632">
        <v>98.257326776491567</v>
      </c>
      <c r="AO325" s="632">
        <v>98.257326776491567</v>
      </c>
      <c r="AP325" s="632">
        <v>0</v>
      </c>
      <c r="AQ325" s="632">
        <v>0</v>
      </c>
      <c r="AR325" s="632">
        <v>0</v>
      </c>
      <c r="AS325" s="632">
        <v>98.820011401024843</v>
      </c>
      <c r="AT325" s="632">
        <v>101.27221275392796</v>
      </c>
      <c r="AU325" s="632">
        <v>103.7852650558436</v>
      </c>
      <c r="AV325" s="632">
        <v>106.36067831246166</v>
      </c>
      <c r="AW325" s="632">
        <v>109</v>
      </c>
      <c r="AX325" s="632">
        <v>93.733031701575186</v>
      </c>
      <c r="AY325" s="632">
        <v>95.968521535204019</v>
      </c>
      <c r="AZ325" s="632">
        <v>98.257326776491567</v>
      </c>
      <c r="BA325" s="632">
        <v>100.60071897346774</v>
      </c>
      <c r="BB325" s="632">
        <v>103</v>
      </c>
      <c r="BC325" s="632">
        <v>0</v>
      </c>
      <c r="BD325" s="632">
        <v>0</v>
      </c>
      <c r="BE325" s="632">
        <v>0</v>
      </c>
      <c r="BF325" s="632">
        <v>0</v>
      </c>
      <c r="BG325" s="632">
        <v>0</v>
      </c>
      <c r="BH325" s="634">
        <v>109.55836656221786</v>
      </c>
      <c r="BI325" s="634">
        <v>110.1195934291862</v>
      </c>
      <c r="BJ325" s="634">
        <v>110.68369525318511</v>
      </c>
      <c r="BK325" s="635">
        <v>112.23670421424251</v>
      </c>
      <c r="BL325" s="635">
        <v>113.78971317529989</v>
      </c>
      <c r="BM325" s="635">
        <v>115.3427221363573</v>
      </c>
      <c r="BN325" s="635">
        <v>116.8957310974147</v>
      </c>
      <c r="BO325" s="635">
        <v>118.7320623348665</v>
      </c>
      <c r="BP325" s="635">
        <v>120.56839357231831</v>
      </c>
      <c r="BQ325" s="635">
        <v>125.65923092404837</v>
      </c>
      <c r="BR325" s="635">
        <v>131.72461517536109</v>
      </c>
      <c r="BS325" s="635">
        <v>134.38780598470214</v>
      </c>
      <c r="BT325" s="635">
        <v>135.850313416078</v>
      </c>
      <c r="BU325" s="635">
        <v>137.3648778541162</v>
      </c>
      <c r="BV325" s="635">
        <v>138.91588219681813</v>
      </c>
      <c r="BW325" s="634">
        <v>103.52763078815082</v>
      </c>
      <c r="BX325" s="634">
        <v>104.05796443308421</v>
      </c>
      <c r="BY325" s="634">
        <v>104.59101478053272</v>
      </c>
      <c r="BZ325" s="635">
        <v>106.05853700978879</v>
      </c>
      <c r="CA325" s="635">
        <v>107.52605923904487</v>
      </c>
      <c r="CB325" s="635">
        <v>108.99358146830093</v>
      </c>
      <c r="CC325" s="635">
        <v>110.46110369755701</v>
      </c>
      <c r="CD325" s="635">
        <v>112.1963524815711</v>
      </c>
      <c r="CE325" s="635">
        <v>113.9316012655852</v>
      </c>
      <c r="CF325" s="635">
        <v>118.74220903832095</v>
      </c>
      <c r="CG325" s="635">
        <v>124.47371892717609</v>
      </c>
      <c r="CH325" s="635">
        <v>126.99031207728734</v>
      </c>
      <c r="CI325" s="635">
        <v>128.37231451244068</v>
      </c>
      <c r="CJ325" s="635">
        <v>129.80350843095385</v>
      </c>
      <c r="CK325" s="635">
        <v>131.26913638781897</v>
      </c>
      <c r="CL325" s="634">
        <v>0</v>
      </c>
      <c r="CM325" s="634">
        <v>0</v>
      </c>
      <c r="CN325" s="634">
        <v>0</v>
      </c>
      <c r="CO325" s="635">
        <v>0</v>
      </c>
      <c r="CP325" s="635">
        <v>0</v>
      </c>
      <c r="CQ325" s="635">
        <v>0</v>
      </c>
      <c r="CR325" s="635">
        <v>0</v>
      </c>
      <c r="CS325" s="635">
        <v>0</v>
      </c>
      <c r="CT325" s="635">
        <v>0</v>
      </c>
      <c r="CU325" s="635">
        <v>0</v>
      </c>
      <c r="CV325" s="635">
        <v>0</v>
      </c>
      <c r="CW325" s="635">
        <v>0</v>
      </c>
      <c r="CX325" s="635">
        <v>0</v>
      </c>
      <c r="CY325" s="635">
        <v>0</v>
      </c>
      <c r="CZ325" s="635">
        <v>0</v>
      </c>
      <c r="DA325" s="636">
        <v>0</v>
      </c>
      <c r="DB325" s="636">
        <v>0</v>
      </c>
      <c r="DC325" s="636">
        <v>0</v>
      </c>
      <c r="DD325" s="637">
        <v>0</v>
      </c>
      <c r="DE325" s="637">
        <v>0</v>
      </c>
      <c r="DF325" s="637">
        <v>0</v>
      </c>
      <c r="DG325" s="637">
        <v>0</v>
      </c>
      <c r="DH325" s="637">
        <v>0</v>
      </c>
      <c r="DI325" s="637">
        <v>0</v>
      </c>
      <c r="DJ325" s="637">
        <v>0</v>
      </c>
      <c r="DK325" s="637">
        <v>0</v>
      </c>
      <c r="DL325" s="637">
        <v>0</v>
      </c>
      <c r="DM325" s="637">
        <v>0</v>
      </c>
      <c r="DN325" s="637">
        <v>0</v>
      </c>
      <c r="DO325" s="637">
        <v>0</v>
      </c>
      <c r="DP325" s="636">
        <v>0</v>
      </c>
      <c r="DQ325" s="636">
        <v>0</v>
      </c>
      <c r="DR325" s="636">
        <v>0</v>
      </c>
      <c r="DS325" s="637">
        <v>0</v>
      </c>
      <c r="DT325" s="637">
        <v>0</v>
      </c>
      <c r="DU325" s="637">
        <v>0</v>
      </c>
      <c r="DV325" s="637">
        <v>0</v>
      </c>
      <c r="DW325" s="637">
        <v>0</v>
      </c>
      <c r="DX325" s="637">
        <v>0</v>
      </c>
      <c r="DY325" s="637">
        <v>0</v>
      </c>
      <c r="DZ325" s="637">
        <v>0</v>
      </c>
      <c r="EA325" s="637">
        <v>0</v>
      </c>
      <c r="EB325" s="637">
        <v>0</v>
      </c>
      <c r="EC325" s="637">
        <v>0</v>
      </c>
      <c r="ED325" s="637">
        <v>0</v>
      </c>
    </row>
    <row r="326" spans="1:134" ht="15" x14ac:dyDescent="0.25">
      <c r="A326" s="555">
        <v>105</v>
      </c>
      <c r="B326" s="555">
        <v>99</v>
      </c>
      <c r="C326" s="555" t="s">
        <v>1309</v>
      </c>
      <c r="D326" s="812">
        <v>99709</v>
      </c>
      <c r="E326" s="812">
        <v>99709</v>
      </c>
      <c r="F326" s="630" t="s">
        <v>311</v>
      </c>
      <c r="G326" s="45">
        <v>6</v>
      </c>
      <c r="H326" s="45">
        <v>4</v>
      </c>
      <c r="I326" s="45">
        <v>4</v>
      </c>
      <c r="J326" s="45">
        <v>0</v>
      </c>
      <c r="K326" s="45">
        <v>0</v>
      </c>
      <c r="L326" s="45">
        <v>32</v>
      </c>
      <c r="M326" s="45">
        <v>32</v>
      </c>
      <c r="N326" s="45">
        <v>0</v>
      </c>
      <c r="O326" s="45">
        <v>0</v>
      </c>
      <c r="P326" s="45">
        <v>0</v>
      </c>
      <c r="Q326" s="45">
        <v>32</v>
      </c>
      <c r="R326" s="45">
        <v>0</v>
      </c>
      <c r="S326" s="45">
        <v>2286.09375</v>
      </c>
      <c r="T326" s="45">
        <v>2286.09375</v>
      </c>
      <c r="U326" s="45">
        <v>0</v>
      </c>
      <c r="V326" s="45">
        <v>0</v>
      </c>
      <c r="W326" s="45">
        <v>0</v>
      </c>
      <c r="X326" s="45">
        <v>2286.09375</v>
      </c>
      <c r="Y326" s="45">
        <v>0</v>
      </c>
      <c r="Z326" s="45">
        <v>4</v>
      </c>
      <c r="AA326" s="45">
        <v>0</v>
      </c>
      <c r="AB326" s="508">
        <v>0</v>
      </c>
      <c r="AC326" s="508">
        <v>0</v>
      </c>
      <c r="AD326" s="631">
        <v>4</v>
      </c>
      <c r="AE326" s="632">
        <v>0</v>
      </c>
      <c r="AF326" s="632">
        <v>4</v>
      </c>
      <c r="AG326" s="633">
        <v>4</v>
      </c>
      <c r="AH326" s="632">
        <v>0</v>
      </c>
      <c r="AI326" s="632">
        <v>0</v>
      </c>
      <c r="AJ326" s="632">
        <v>3.8086335800309574</v>
      </c>
      <c r="AK326" s="632">
        <v>3.8086335800309574</v>
      </c>
      <c r="AL326" s="632">
        <v>0</v>
      </c>
      <c r="AM326" s="632">
        <v>0</v>
      </c>
      <c r="AN326" s="632">
        <v>3.8158185155919053</v>
      </c>
      <c r="AO326" s="632">
        <v>3.8158185155919053</v>
      </c>
      <c r="AP326" s="632">
        <v>0</v>
      </c>
      <c r="AQ326" s="632">
        <v>0</v>
      </c>
      <c r="AR326" s="632">
        <v>0</v>
      </c>
      <c r="AS326" s="632">
        <v>3.626422436734857</v>
      </c>
      <c r="AT326" s="632">
        <v>3.7164114772083656</v>
      </c>
      <c r="AU326" s="632">
        <v>3.8086335800309574</v>
      </c>
      <c r="AV326" s="632">
        <v>3.9031441582554733</v>
      </c>
      <c r="AW326" s="632">
        <v>4</v>
      </c>
      <c r="AX326" s="632">
        <v>3.6401177359835026</v>
      </c>
      <c r="AY326" s="632">
        <v>3.7269328751535542</v>
      </c>
      <c r="AZ326" s="632">
        <v>3.8158185155919053</v>
      </c>
      <c r="BA326" s="632">
        <v>3.9068240378045722</v>
      </c>
      <c r="BB326" s="632">
        <v>4</v>
      </c>
      <c r="BC326" s="632">
        <v>0</v>
      </c>
      <c r="BD326" s="632">
        <v>0</v>
      </c>
      <c r="BE326" s="632">
        <v>0</v>
      </c>
      <c r="BF326" s="632">
        <v>0</v>
      </c>
      <c r="BG326" s="632">
        <v>0</v>
      </c>
      <c r="BH326" s="634">
        <v>4.0869392935883955</v>
      </c>
      <c r="BI326" s="634">
        <v>4.1757681973692033</v>
      </c>
      <c r="BJ326" s="634">
        <v>4.2665277816862446</v>
      </c>
      <c r="BK326" s="635">
        <v>4.2961864392014961</v>
      </c>
      <c r="BL326" s="635">
        <v>4.3258450967167459</v>
      </c>
      <c r="BM326" s="635">
        <v>4.3555037542319965</v>
      </c>
      <c r="BN326" s="635">
        <v>4.3851624117472481</v>
      </c>
      <c r="BO326" s="635">
        <v>4.4202318290022884</v>
      </c>
      <c r="BP326" s="635">
        <v>4.4553012462573296</v>
      </c>
      <c r="BQ326" s="635">
        <v>4.5525237383786914</v>
      </c>
      <c r="BR326" s="635">
        <v>4.6683576831394475</v>
      </c>
      <c r="BS326" s="635">
        <v>4.7192180877427985</v>
      </c>
      <c r="BT326" s="635">
        <v>4.7471483882808911</v>
      </c>
      <c r="BU326" s="635">
        <v>4.7760728498126337</v>
      </c>
      <c r="BV326" s="635">
        <v>4.8056932240399295</v>
      </c>
      <c r="BW326" s="634">
        <v>4.0869392935883955</v>
      </c>
      <c r="BX326" s="634">
        <v>4.1757681973692033</v>
      </c>
      <c r="BY326" s="634">
        <v>4.2665277816862446</v>
      </c>
      <c r="BZ326" s="635">
        <v>4.2961864392014961</v>
      </c>
      <c r="CA326" s="635">
        <v>4.3258450967167459</v>
      </c>
      <c r="CB326" s="635">
        <v>4.3555037542319965</v>
      </c>
      <c r="CC326" s="635">
        <v>4.3851624117472481</v>
      </c>
      <c r="CD326" s="635">
        <v>4.4202318290022884</v>
      </c>
      <c r="CE326" s="635">
        <v>4.4553012462573296</v>
      </c>
      <c r="CF326" s="635">
        <v>4.5525237383786914</v>
      </c>
      <c r="CG326" s="635">
        <v>4.6683576831394475</v>
      </c>
      <c r="CH326" s="635">
        <v>4.7192180877427985</v>
      </c>
      <c r="CI326" s="635">
        <v>4.7471483882808911</v>
      </c>
      <c r="CJ326" s="635">
        <v>4.7760728498126337</v>
      </c>
      <c r="CK326" s="635">
        <v>4.8056932240399295</v>
      </c>
      <c r="CL326" s="634">
        <v>0</v>
      </c>
      <c r="CM326" s="634">
        <v>0</v>
      </c>
      <c r="CN326" s="634">
        <v>0</v>
      </c>
      <c r="CO326" s="635">
        <v>0</v>
      </c>
      <c r="CP326" s="635">
        <v>0</v>
      </c>
      <c r="CQ326" s="635">
        <v>0</v>
      </c>
      <c r="CR326" s="635">
        <v>0</v>
      </c>
      <c r="CS326" s="635">
        <v>0</v>
      </c>
      <c r="CT326" s="635">
        <v>0</v>
      </c>
      <c r="CU326" s="635">
        <v>0</v>
      </c>
      <c r="CV326" s="635">
        <v>0</v>
      </c>
      <c r="CW326" s="635">
        <v>0</v>
      </c>
      <c r="CX326" s="635">
        <v>0</v>
      </c>
      <c r="CY326" s="635">
        <v>0</v>
      </c>
      <c r="CZ326" s="635">
        <v>0</v>
      </c>
      <c r="DA326" s="636">
        <v>0</v>
      </c>
      <c r="DB326" s="636">
        <v>0</v>
      </c>
      <c r="DC326" s="636">
        <v>0</v>
      </c>
      <c r="DD326" s="637">
        <v>0</v>
      </c>
      <c r="DE326" s="637">
        <v>0</v>
      </c>
      <c r="DF326" s="637">
        <v>0</v>
      </c>
      <c r="DG326" s="637">
        <v>0</v>
      </c>
      <c r="DH326" s="637">
        <v>0</v>
      </c>
      <c r="DI326" s="637">
        <v>0</v>
      </c>
      <c r="DJ326" s="637">
        <v>0</v>
      </c>
      <c r="DK326" s="637">
        <v>0</v>
      </c>
      <c r="DL326" s="637">
        <v>0</v>
      </c>
      <c r="DM326" s="637">
        <v>0</v>
      </c>
      <c r="DN326" s="637">
        <v>0</v>
      </c>
      <c r="DO326" s="637">
        <v>0</v>
      </c>
      <c r="DP326" s="636">
        <v>0</v>
      </c>
      <c r="DQ326" s="636">
        <v>0</v>
      </c>
      <c r="DR326" s="636">
        <v>0</v>
      </c>
      <c r="DS326" s="637">
        <v>0</v>
      </c>
      <c r="DT326" s="637">
        <v>0</v>
      </c>
      <c r="DU326" s="637">
        <v>0</v>
      </c>
      <c r="DV326" s="637">
        <v>0</v>
      </c>
      <c r="DW326" s="637">
        <v>0</v>
      </c>
      <c r="DX326" s="637">
        <v>0</v>
      </c>
      <c r="DY326" s="637">
        <v>0</v>
      </c>
      <c r="DZ326" s="637">
        <v>0</v>
      </c>
      <c r="EA326" s="637">
        <v>0</v>
      </c>
      <c r="EB326" s="637">
        <v>0</v>
      </c>
      <c r="EC326" s="637">
        <v>0</v>
      </c>
      <c r="ED326" s="637">
        <v>0</v>
      </c>
    </row>
    <row r="327" spans="1:134" ht="15" x14ac:dyDescent="0.25">
      <c r="A327" s="555">
        <v>106</v>
      </c>
      <c r="B327" s="555">
        <v>99</v>
      </c>
      <c r="C327" s="555" t="s">
        <v>1310</v>
      </c>
      <c r="D327" s="812">
        <v>99709</v>
      </c>
      <c r="E327" s="812">
        <v>99709</v>
      </c>
      <c r="F327" s="630" t="s">
        <v>311</v>
      </c>
      <c r="G327" s="45">
        <v>31</v>
      </c>
      <c r="H327" s="45">
        <v>15</v>
      </c>
      <c r="I327" s="45">
        <v>15</v>
      </c>
      <c r="J327" s="45">
        <v>0</v>
      </c>
      <c r="K327" s="45">
        <v>1</v>
      </c>
      <c r="L327" s="45">
        <v>74</v>
      </c>
      <c r="M327" s="45">
        <v>75</v>
      </c>
      <c r="N327" s="45">
        <v>0</v>
      </c>
      <c r="O327" s="45">
        <v>0</v>
      </c>
      <c r="P327" s="45">
        <v>0</v>
      </c>
      <c r="Q327" s="45">
        <v>75</v>
      </c>
      <c r="R327" s="45">
        <v>3378</v>
      </c>
      <c r="S327" s="45">
        <v>2221.8783783783783</v>
      </c>
      <c r="T327" s="45">
        <v>2237.2933333333335</v>
      </c>
      <c r="U327" s="45">
        <v>0</v>
      </c>
      <c r="V327" s="45">
        <v>0</v>
      </c>
      <c r="W327" s="45">
        <v>0</v>
      </c>
      <c r="X327" s="45">
        <v>2237.2933333333335</v>
      </c>
      <c r="Y327" s="45">
        <v>0.2</v>
      </c>
      <c r="Z327" s="45">
        <v>14.8</v>
      </c>
      <c r="AA327" s="45">
        <v>0</v>
      </c>
      <c r="AB327" s="508">
        <v>0</v>
      </c>
      <c r="AC327" s="508">
        <v>0</v>
      </c>
      <c r="AD327" s="631">
        <v>15</v>
      </c>
      <c r="AE327" s="632">
        <v>0.2</v>
      </c>
      <c r="AF327" s="632">
        <v>14.8</v>
      </c>
      <c r="AG327" s="633">
        <v>15</v>
      </c>
      <c r="AH327" s="632">
        <v>0</v>
      </c>
      <c r="AI327" s="632">
        <v>0.19043167900154789</v>
      </c>
      <c r="AJ327" s="632">
        <v>14.091944246114544</v>
      </c>
      <c r="AK327" s="632">
        <v>14.282375925116092</v>
      </c>
      <c r="AL327" s="632">
        <v>0</v>
      </c>
      <c r="AM327" s="632">
        <v>0.19079092577959528</v>
      </c>
      <c r="AN327" s="632">
        <v>14.11852850769005</v>
      </c>
      <c r="AO327" s="632">
        <v>14.309319433469645</v>
      </c>
      <c r="AP327" s="632">
        <v>0</v>
      </c>
      <c r="AQ327" s="632">
        <v>0</v>
      </c>
      <c r="AR327" s="632">
        <v>0</v>
      </c>
      <c r="AS327" s="632">
        <v>13.599084137755712</v>
      </c>
      <c r="AT327" s="632">
        <v>13.936543039531371</v>
      </c>
      <c r="AU327" s="632">
        <v>14.28237592511609</v>
      </c>
      <c r="AV327" s="632">
        <v>14.636790593458025</v>
      </c>
      <c r="AW327" s="632">
        <v>15</v>
      </c>
      <c r="AX327" s="632">
        <v>13.650441509938135</v>
      </c>
      <c r="AY327" s="632">
        <v>13.975998281825829</v>
      </c>
      <c r="AZ327" s="632">
        <v>14.309319433469645</v>
      </c>
      <c r="BA327" s="632">
        <v>14.650590141767145</v>
      </c>
      <c r="BB327" s="632">
        <v>15</v>
      </c>
      <c r="BC327" s="632">
        <v>0</v>
      </c>
      <c r="BD327" s="632">
        <v>0</v>
      </c>
      <c r="BE327" s="632">
        <v>0</v>
      </c>
      <c r="BF327" s="632">
        <v>0</v>
      </c>
      <c r="BG327" s="632">
        <v>0</v>
      </c>
      <c r="BH327" s="634">
        <v>15.158475978811119</v>
      </c>
      <c r="BI327" s="634">
        <v>15.318626266679576</v>
      </c>
      <c r="BJ327" s="634">
        <v>15.480468552789828</v>
      </c>
      <c r="BK327" s="635">
        <v>15.584110516551572</v>
      </c>
      <c r="BL327" s="635">
        <v>15.687752480313316</v>
      </c>
      <c r="BM327" s="635">
        <v>15.791394444075063</v>
      </c>
      <c r="BN327" s="635">
        <v>15.895036407836807</v>
      </c>
      <c r="BO327" s="635">
        <v>16.017586232299479</v>
      </c>
      <c r="BP327" s="635">
        <v>16.140136056762152</v>
      </c>
      <c r="BQ327" s="635">
        <v>16.479879350944888</v>
      </c>
      <c r="BR327" s="635">
        <v>16.884660231505677</v>
      </c>
      <c r="BS327" s="635">
        <v>17.062391546825584</v>
      </c>
      <c r="BT327" s="635">
        <v>17.159993779655416</v>
      </c>
      <c r="BU327" s="635">
        <v>17.261070100873237</v>
      </c>
      <c r="BV327" s="635">
        <v>17.364578283962643</v>
      </c>
      <c r="BW327" s="634">
        <v>15.158475978811119</v>
      </c>
      <c r="BX327" s="634">
        <v>15.318626266679576</v>
      </c>
      <c r="BY327" s="634">
        <v>15.480468552789828</v>
      </c>
      <c r="BZ327" s="635">
        <v>15.584110516551572</v>
      </c>
      <c r="CA327" s="635">
        <v>15.687752480313316</v>
      </c>
      <c r="CB327" s="635">
        <v>15.791394444075063</v>
      </c>
      <c r="CC327" s="635">
        <v>15.895036407836807</v>
      </c>
      <c r="CD327" s="635">
        <v>16.017586232299479</v>
      </c>
      <c r="CE327" s="635">
        <v>16.140136056762152</v>
      </c>
      <c r="CF327" s="635">
        <v>16.479879350944888</v>
      </c>
      <c r="CG327" s="635">
        <v>16.884660231505677</v>
      </c>
      <c r="CH327" s="635">
        <v>17.062391546825584</v>
      </c>
      <c r="CI327" s="635">
        <v>17.159993779655416</v>
      </c>
      <c r="CJ327" s="635">
        <v>17.261070100873237</v>
      </c>
      <c r="CK327" s="635">
        <v>17.364578283962643</v>
      </c>
      <c r="CL327" s="634">
        <v>0</v>
      </c>
      <c r="CM327" s="634">
        <v>0</v>
      </c>
      <c r="CN327" s="634">
        <v>0</v>
      </c>
      <c r="CO327" s="635">
        <v>0</v>
      </c>
      <c r="CP327" s="635">
        <v>0</v>
      </c>
      <c r="CQ327" s="635">
        <v>0</v>
      </c>
      <c r="CR327" s="635">
        <v>0</v>
      </c>
      <c r="CS327" s="635">
        <v>0</v>
      </c>
      <c r="CT327" s="635">
        <v>0</v>
      </c>
      <c r="CU327" s="635">
        <v>0</v>
      </c>
      <c r="CV327" s="635">
        <v>0</v>
      </c>
      <c r="CW327" s="635">
        <v>0</v>
      </c>
      <c r="CX327" s="635">
        <v>0</v>
      </c>
      <c r="CY327" s="635">
        <v>0</v>
      </c>
      <c r="CZ327" s="635">
        <v>0</v>
      </c>
      <c r="DA327" s="636">
        <v>0</v>
      </c>
      <c r="DB327" s="636">
        <v>0</v>
      </c>
      <c r="DC327" s="636">
        <v>0</v>
      </c>
      <c r="DD327" s="637">
        <v>0</v>
      </c>
      <c r="DE327" s="637">
        <v>0</v>
      </c>
      <c r="DF327" s="637">
        <v>0</v>
      </c>
      <c r="DG327" s="637">
        <v>0</v>
      </c>
      <c r="DH327" s="637">
        <v>0</v>
      </c>
      <c r="DI327" s="637">
        <v>0</v>
      </c>
      <c r="DJ327" s="637">
        <v>0</v>
      </c>
      <c r="DK327" s="637">
        <v>0</v>
      </c>
      <c r="DL327" s="637">
        <v>0</v>
      </c>
      <c r="DM327" s="637">
        <v>0</v>
      </c>
      <c r="DN327" s="637">
        <v>0</v>
      </c>
      <c r="DO327" s="637">
        <v>0</v>
      </c>
      <c r="DP327" s="636">
        <v>0</v>
      </c>
      <c r="DQ327" s="636">
        <v>0</v>
      </c>
      <c r="DR327" s="636">
        <v>0</v>
      </c>
      <c r="DS327" s="637">
        <v>0</v>
      </c>
      <c r="DT327" s="637">
        <v>0</v>
      </c>
      <c r="DU327" s="637">
        <v>0</v>
      </c>
      <c r="DV327" s="637">
        <v>0</v>
      </c>
      <c r="DW327" s="637">
        <v>0</v>
      </c>
      <c r="DX327" s="637">
        <v>0</v>
      </c>
      <c r="DY327" s="637">
        <v>0</v>
      </c>
      <c r="DZ327" s="637">
        <v>0</v>
      </c>
      <c r="EA327" s="637">
        <v>0</v>
      </c>
      <c r="EB327" s="637">
        <v>0</v>
      </c>
      <c r="EC327" s="637">
        <v>0</v>
      </c>
      <c r="ED327" s="637">
        <v>0</v>
      </c>
    </row>
    <row r="328" spans="1:134" ht="15" x14ac:dyDescent="0.25">
      <c r="A328" s="555">
        <v>107</v>
      </c>
      <c r="B328" s="555">
        <v>99</v>
      </c>
      <c r="C328" s="555" t="s">
        <v>1311</v>
      </c>
      <c r="D328" s="812">
        <v>99709</v>
      </c>
      <c r="E328" s="812">
        <v>99709</v>
      </c>
      <c r="F328" s="630" t="s">
        <v>311</v>
      </c>
      <c r="G328" s="45">
        <v>1144</v>
      </c>
      <c r="H328" s="45">
        <v>473</v>
      </c>
      <c r="I328" s="45">
        <v>445</v>
      </c>
      <c r="J328" s="45">
        <v>28</v>
      </c>
      <c r="K328" s="45">
        <v>0</v>
      </c>
      <c r="L328" s="45">
        <v>57</v>
      </c>
      <c r="M328" s="45">
        <v>57</v>
      </c>
      <c r="N328" s="45">
        <v>0</v>
      </c>
      <c r="O328" s="45">
        <v>0</v>
      </c>
      <c r="P328" s="45">
        <v>0</v>
      </c>
      <c r="Q328" s="45">
        <v>57</v>
      </c>
      <c r="R328" s="45">
        <v>0</v>
      </c>
      <c r="S328" s="45">
        <v>2519.5438596491226</v>
      </c>
      <c r="T328" s="45">
        <v>2519.5438596491226</v>
      </c>
      <c r="U328" s="45">
        <v>0</v>
      </c>
      <c r="V328" s="45">
        <v>0</v>
      </c>
      <c r="W328" s="45">
        <v>0</v>
      </c>
      <c r="X328" s="45">
        <v>2519.5438596491226</v>
      </c>
      <c r="Y328" s="45">
        <v>0</v>
      </c>
      <c r="Z328" s="45">
        <v>473</v>
      </c>
      <c r="AA328" s="45">
        <v>0</v>
      </c>
      <c r="AB328" s="508">
        <v>0</v>
      </c>
      <c r="AC328" s="508">
        <v>0</v>
      </c>
      <c r="AD328" s="631">
        <v>473</v>
      </c>
      <c r="AE328" s="632">
        <v>0</v>
      </c>
      <c r="AF328" s="632">
        <v>445</v>
      </c>
      <c r="AG328" s="633">
        <v>445</v>
      </c>
      <c r="AH328" s="632">
        <v>0</v>
      </c>
      <c r="AI328" s="632">
        <v>0</v>
      </c>
      <c r="AJ328" s="632">
        <v>450.37092083866071</v>
      </c>
      <c r="AK328" s="632">
        <v>450.37092083866071</v>
      </c>
      <c r="AL328" s="632">
        <v>0</v>
      </c>
      <c r="AM328" s="632">
        <v>0</v>
      </c>
      <c r="AN328" s="632">
        <v>424.50980985959944</v>
      </c>
      <c r="AO328" s="632">
        <v>424.50980985959944</v>
      </c>
      <c r="AP328" s="632">
        <v>0</v>
      </c>
      <c r="AQ328" s="632">
        <v>0</v>
      </c>
      <c r="AR328" s="632">
        <v>0</v>
      </c>
      <c r="AS328" s="632">
        <v>428.82445314389679</v>
      </c>
      <c r="AT328" s="632">
        <v>439.46565717988921</v>
      </c>
      <c r="AU328" s="632">
        <v>450.37092083866071</v>
      </c>
      <c r="AV328" s="632">
        <v>461.54679671370974</v>
      </c>
      <c r="AW328" s="632">
        <v>473</v>
      </c>
      <c r="AX328" s="632">
        <v>404.96309812816469</v>
      </c>
      <c r="AY328" s="632">
        <v>414.62128236083288</v>
      </c>
      <c r="AZ328" s="632">
        <v>424.50980985959944</v>
      </c>
      <c r="BA328" s="632">
        <v>434.63417420575865</v>
      </c>
      <c r="BB328" s="632">
        <v>445</v>
      </c>
      <c r="BC328" s="632">
        <v>0</v>
      </c>
      <c r="BD328" s="632">
        <v>0</v>
      </c>
      <c r="BE328" s="632">
        <v>0</v>
      </c>
      <c r="BF328" s="632">
        <v>0</v>
      </c>
      <c r="BG328" s="632">
        <v>0</v>
      </c>
      <c r="BH328" s="634">
        <v>477.99727586517724</v>
      </c>
      <c r="BI328" s="634">
        <v>483.04734827596263</v>
      </c>
      <c r="BJ328" s="634">
        <v>488.1507750313059</v>
      </c>
      <c r="BK328" s="635">
        <v>491.41895162192623</v>
      </c>
      <c r="BL328" s="635">
        <v>494.68712821254655</v>
      </c>
      <c r="BM328" s="635">
        <v>497.955304803167</v>
      </c>
      <c r="BN328" s="635">
        <v>501.22348139378727</v>
      </c>
      <c r="BO328" s="635">
        <v>505.08788585851022</v>
      </c>
      <c r="BP328" s="635">
        <v>508.95229032323317</v>
      </c>
      <c r="BQ328" s="635">
        <v>519.66552886646207</v>
      </c>
      <c r="BR328" s="635">
        <v>532.42961930014565</v>
      </c>
      <c r="BS328" s="635">
        <v>538.03408010990006</v>
      </c>
      <c r="BT328" s="635">
        <v>541.1118038518008</v>
      </c>
      <c r="BU328" s="635">
        <v>544.2990771808694</v>
      </c>
      <c r="BV328" s="635">
        <v>547.56303522095527</v>
      </c>
      <c r="BW328" s="634">
        <v>449.70145403806316</v>
      </c>
      <c r="BX328" s="634">
        <v>454.45257924482746</v>
      </c>
      <c r="BY328" s="634">
        <v>459.25390039943159</v>
      </c>
      <c r="BZ328" s="635">
        <v>462.32861199102996</v>
      </c>
      <c r="CA328" s="635">
        <v>465.40332358262839</v>
      </c>
      <c r="CB328" s="635">
        <v>468.47803517422687</v>
      </c>
      <c r="CC328" s="635">
        <v>471.5527467658253</v>
      </c>
      <c r="CD328" s="635">
        <v>475.18839155821792</v>
      </c>
      <c r="CE328" s="635">
        <v>478.82403635061053</v>
      </c>
      <c r="CF328" s="635">
        <v>488.90308741136505</v>
      </c>
      <c r="CG328" s="635">
        <v>500.91158686800173</v>
      </c>
      <c r="CH328" s="635">
        <v>506.18428255582569</v>
      </c>
      <c r="CI328" s="635">
        <v>509.07981546311072</v>
      </c>
      <c r="CJ328" s="635">
        <v>512.07841299257268</v>
      </c>
      <c r="CK328" s="635">
        <v>515.14915575755845</v>
      </c>
      <c r="CL328" s="634">
        <v>0</v>
      </c>
      <c r="CM328" s="634">
        <v>0</v>
      </c>
      <c r="CN328" s="634">
        <v>0</v>
      </c>
      <c r="CO328" s="635">
        <v>0</v>
      </c>
      <c r="CP328" s="635">
        <v>0</v>
      </c>
      <c r="CQ328" s="635">
        <v>0</v>
      </c>
      <c r="CR328" s="635">
        <v>0</v>
      </c>
      <c r="CS328" s="635">
        <v>0</v>
      </c>
      <c r="CT328" s="635">
        <v>0</v>
      </c>
      <c r="CU328" s="635">
        <v>0</v>
      </c>
      <c r="CV328" s="635">
        <v>0</v>
      </c>
      <c r="CW328" s="635">
        <v>0</v>
      </c>
      <c r="CX328" s="635">
        <v>0</v>
      </c>
      <c r="CY328" s="635">
        <v>0</v>
      </c>
      <c r="CZ328" s="635">
        <v>0</v>
      </c>
      <c r="DA328" s="636">
        <v>0</v>
      </c>
      <c r="DB328" s="636">
        <v>0</v>
      </c>
      <c r="DC328" s="636">
        <v>0</v>
      </c>
      <c r="DD328" s="637">
        <v>0</v>
      </c>
      <c r="DE328" s="637">
        <v>0</v>
      </c>
      <c r="DF328" s="637">
        <v>0</v>
      </c>
      <c r="DG328" s="637">
        <v>0</v>
      </c>
      <c r="DH328" s="637">
        <v>0</v>
      </c>
      <c r="DI328" s="637">
        <v>0</v>
      </c>
      <c r="DJ328" s="637">
        <v>0</v>
      </c>
      <c r="DK328" s="637">
        <v>0</v>
      </c>
      <c r="DL328" s="637">
        <v>0</v>
      </c>
      <c r="DM328" s="637">
        <v>0</v>
      </c>
      <c r="DN328" s="637">
        <v>0</v>
      </c>
      <c r="DO328" s="637">
        <v>0</v>
      </c>
      <c r="DP328" s="636">
        <v>0</v>
      </c>
      <c r="DQ328" s="636">
        <v>0</v>
      </c>
      <c r="DR328" s="636">
        <v>0</v>
      </c>
      <c r="DS328" s="637">
        <v>0</v>
      </c>
      <c r="DT328" s="637">
        <v>0</v>
      </c>
      <c r="DU328" s="637">
        <v>0</v>
      </c>
      <c r="DV328" s="637">
        <v>0</v>
      </c>
      <c r="DW328" s="637">
        <v>0</v>
      </c>
      <c r="DX328" s="637">
        <v>0</v>
      </c>
      <c r="DY328" s="637">
        <v>0</v>
      </c>
      <c r="DZ328" s="637">
        <v>0</v>
      </c>
      <c r="EA328" s="637">
        <v>0</v>
      </c>
      <c r="EB328" s="637">
        <v>0</v>
      </c>
      <c r="EC328" s="637">
        <v>0</v>
      </c>
      <c r="ED328" s="637">
        <v>0</v>
      </c>
    </row>
    <row r="329" spans="1:134" ht="15" x14ac:dyDescent="0.25">
      <c r="A329" s="555">
        <v>108</v>
      </c>
      <c r="B329" s="555">
        <v>99</v>
      </c>
      <c r="C329" s="555" t="s">
        <v>1312</v>
      </c>
      <c r="D329" s="812">
        <v>99709</v>
      </c>
      <c r="E329" s="812">
        <v>99709</v>
      </c>
      <c r="F329" s="630" t="s">
        <v>311</v>
      </c>
      <c r="G329" s="45">
        <v>262</v>
      </c>
      <c r="H329" s="45">
        <v>130</v>
      </c>
      <c r="I329" s="45">
        <v>121</v>
      </c>
      <c r="J329" s="45">
        <v>9</v>
      </c>
      <c r="K329" s="45">
        <v>0</v>
      </c>
      <c r="L329" s="45">
        <v>121</v>
      </c>
      <c r="M329" s="45">
        <v>121</v>
      </c>
      <c r="N329" s="45">
        <v>0</v>
      </c>
      <c r="O329" s="45">
        <v>0</v>
      </c>
      <c r="P329" s="45">
        <v>0</v>
      </c>
      <c r="Q329" s="45">
        <v>121</v>
      </c>
      <c r="R329" s="45">
        <v>0</v>
      </c>
      <c r="S329" s="45">
        <v>1808.7603305785124</v>
      </c>
      <c r="T329" s="45">
        <v>1808.7603305785124</v>
      </c>
      <c r="U329" s="45">
        <v>0</v>
      </c>
      <c r="V329" s="45">
        <v>0</v>
      </c>
      <c r="W329" s="45">
        <v>0</v>
      </c>
      <c r="X329" s="45">
        <v>1808.7603305785124</v>
      </c>
      <c r="Y329" s="45">
        <v>0</v>
      </c>
      <c r="Z329" s="45">
        <v>130</v>
      </c>
      <c r="AA329" s="45">
        <v>0</v>
      </c>
      <c r="AB329" s="508">
        <v>0</v>
      </c>
      <c r="AC329" s="508">
        <v>0</v>
      </c>
      <c r="AD329" s="631">
        <v>130</v>
      </c>
      <c r="AE329" s="632">
        <v>0</v>
      </c>
      <c r="AF329" s="632">
        <v>121</v>
      </c>
      <c r="AG329" s="633">
        <v>121</v>
      </c>
      <c r="AH329" s="632">
        <v>0</v>
      </c>
      <c r="AI329" s="632">
        <v>0</v>
      </c>
      <c r="AJ329" s="632">
        <v>123.78059135100611</v>
      </c>
      <c r="AK329" s="632">
        <v>123.78059135100611</v>
      </c>
      <c r="AL329" s="632">
        <v>0</v>
      </c>
      <c r="AM329" s="632">
        <v>0</v>
      </c>
      <c r="AN329" s="632">
        <v>115.42851009665513</v>
      </c>
      <c r="AO329" s="632">
        <v>115.42851009665513</v>
      </c>
      <c r="AP329" s="632">
        <v>0</v>
      </c>
      <c r="AQ329" s="632">
        <v>0</v>
      </c>
      <c r="AR329" s="632">
        <v>0</v>
      </c>
      <c r="AS329" s="632">
        <v>117.85872919388285</v>
      </c>
      <c r="AT329" s="632">
        <v>120.78337300927187</v>
      </c>
      <c r="AU329" s="632">
        <v>123.78059135100611</v>
      </c>
      <c r="AV329" s="632">
        <v>126.85218514330289</v>
      </c>
      <c r="AW329" s="632">
        <v>130</v>
      </c>
      <c r="AX329" s="632">
        <v>110.11356151350095</v>
      </c>
      <c r="AY329" s="632">
        <v>112.73971947339501</v>
      </c>
      <c r="AZ329" s="632">
        <v>115.42851009665513</v>
      </c>
      <c r="BA329" s="632">
        <v>118.18142714358831</v>
      </c>
      <c r="BB329" s="632">
        <v>121</v>
      </c>
      <c r="BC329" s="632">
        <v>0</v>
      </c>
      <c r="BD329" s="632">
        <v>0</v>
      </c>
      <c r="BE329" s="632">
        <v>0</v>
      </c>
      <c r="BF329" s="632">
        <v>0</v>
      </c>
      <c r="BG329" s="632">
        <v>0</v>
      </c>
      <c r="BH329" s="634">
        <v>131.37345848302968</v>
      </c>
      <c r="BI329" s="634">
        <v>132.76142764455633</v>
      </c>
      <c r="BJ329" s="634">
        <v>134.16406079084518</v>
      </c>
      <c r="BK329" s="635">
        <v>135.70910540451001</v>
      </c>
      <c r="BL329" s="635">
        <v>137.25415001817487</v>
      </c>
      <c r="BM329" s="635">
        <v>138.7991946318397</v>
      </c>
      <c r="BN329" s="635">
        <v>140.34423924550455</v>
      </c>
      <c r="BO329" s="635">
        <v>142.17115316453155</v>
      </c>
      <c r="BP329" s="635">
        <v>143.99806708355854</v>
      </c>
      <c r="BQ329" s="635">
        <v>149.06279692515511</v>
      </c>
      <c r="BR329" s="635">
        <v>155.09707586512832</v>
      </c>
      <c r="BS329" s="635">
        <v>157.74660894466217</v>
      </c>
      <c r="BT329" s="635">
        <v>159.20161615064347</v>
      </c>
      <c r="BU329" s="635">
        <v>160.70841339761233</v>
      </c>
      <c r="BV329" s="635">
        <v>162.25146367327255</v>
      </c>
      <c r="BW329" s="634">
        <v>122.27837289574302</v>
      </c>
      <c r="BX329" s="634">
        <v>123.57025188454858</v>
      </c>
      <c r="BY329" s="634">
        <v>124.87577965917127</v>
      </c>
      <c r="BZ329" s="635">
        <v>126.31385964573624</v>
      </c>
      <c r="CA329" s="635">
        <v>127.7519396323012</v>
      </c>
      <c r="CB329" s="635">
        <v>129.19001961886616</v>
      </c>
      <c r="CC329" s="635">
        <v>130.62809960543115</v>
      </c>
      <c r="CD329" s="635">
        <v>132.32853486852551</v>
      </c>
      <c r="CE329" s="635">
        <v>134.02897013161984</v>
      </c>
      <c r="CF329" s="635">
        <v>138.74306483033666</v>
      </c>
      <c r="CG329" s="635">
        <v>144.3595859975425</v>
      </c>
      <c r="CH329" s="635">
        <v>146.82568986387784</v>
      </c>
      <c r="CI329" s="635">
        <v>148.17996580175276</v>
      </c>
      <c r="CJ329" s="635">
        <v>149.58244631623916</v>
      </c>
      <c r="CK329" s="635">
        <v>151.01867003435368</v>
      </c>
      <c r="CL329" s="634">
        <v>0</v>
      </c>
      <c r="CM329" s="634">
        <v>0</v>
      </c>
      <c r="CN329" s="634">
        <v>0</v>
      </c>
      <c r="CO329" s="635">
        <v>0</v>
      </c>
      <c r="CP329" s="635">
        <v>0</v>
      </c>
      <c r="CQ329" s="635">
        <v>0</v>
      </c>
      <c r="CR329" s="635">
        <v>0</v>
      </c>
      <c r="CS329" s="635">
        <v>0</v>
      </c>
      <c r="CT329" s="635">
        <v>0</v>
      </c>
      <c r="CU329" s="635">
        <v>0</v>
      </c>
      <c r="CV329" s="635">
        <v>0</v>
      </c>
      <c r="CW329" s="635">
        <v>0</v>
      </c>
      <c r="CX329" s="635">
        <v>0</v>
      </c>
      <c r="CY329" s="635">
        <v>0</v>
      </c>
      <c r="CZ329" s="635">
        <v>0</v>
      </c>
      <c r="DA329" s="636">
        <v>0</v>
      </c>
      <c r="DB329" s="636">
        <v>0</v>
      </c>
      <c r="DC329" s="636">
        <v>0</v>
      </c>
      <c r="DD329" s="637">
        <v>0</v>
      </c>
      <c r="DE329" s="637">
        <v>0</v>
      </c>
      <c r="DF329" s="637">
        <v>0</v>
      </c>
      <c r="DG329" s="637">
        <v>0</v>
      </c>
      <c r="DH329" s="637">
        <v>0</v>
      </c>
      <c r="DI329" s="637">
        <v>0</v>
      </c>
      <c r="DJ329" s="637">
        <v>0</v>
      </c>
      <c r="DK329" s="637">
        <v>0</v>
      </c>
      <c r="DL329" s="637">
        <v>0</v>
      </c>
      <c r="DM329" s="637">
        <v>0</v>
      </c>
      <c r="DN329" s="637">
        <v>0</v>
      </c>
      <c r="DO329" s="637">
        <v>0</v>
      </c>
      <c r="DP329" s="636">
        <v>0</v>
      </c>
      <c r="DQ329" s="636">
        <v>0</v>
      </c>
      <c r="DR329" s="636">
        <v>0</v>
      </c>
      <c r="DS329" s="637">
        <v>0</v>
      </c>
      <c r="DT329" s="637">
        <v>0</v>
      </c>
      <c r="DU329" s="637">
        <v>0</v>
      </c>
      <c r="DV329" s="637">
        <v>0</v>
      </c>
      <c r="DW329" s="637">
        <v>0</v>
      </c>
      <c r="DX329" s="637">
        <v>0</v>
      </c>
      <c r="DY329" s="637">
        <v>0</v>
      </c>
      <c r="DZ329" s="637">
        <v>0</v>
      </c>
      <c r="EA329" s="637">
        <v>0</v>
      </c>
      <c r="EB329" s="637">
        <v>0</v>
      </c>
      <c r="EC329" s="637">
        <v>0</v>
      </c>
      <c r="ED329" s="637">
        <v>0</v>
      </c>
    </row>
    <row r="330" spans="1:134" ht="15" x14ac:dyDescent="0.25">
      <c r="A330" s="555">
        <v>109</v>
      </c>
      <c r="B330" s="555">
        <v>99</v>
      </c>
      <c r="C330" s="555" t="s">
        <v>1313</v>
      </c>
      <c r="D330" s="812">
        <v>99712</v>
      </c>
      <c r="E330" s="812">
        <v>99712</v>
      </c>
      <c r="F330" s="630" t="s">
        <v>311</v>
      </c>
      <c r="G330" s="45">
        <v>178</v>
      </c>
      <c r="H330" s="45">
        <v>89</v>
      </c>
      <c r="I330" s="45">
        <v>77</v>
      </c>
      <c r="J330" s="45">
        <v>12</v>
      </c>
      <c r="K330" s="45">
        <v>0</v>
      </c>
      <c r="L330" s="45">
        <v>134</v>
      </c>
      <c r="M330" s="45">
        <v>134</v>
      </c>
      <c r="N330" s="45">
        <v>3</v>
      </c>
      <c r="O330" s="45">
        <v>0</v>
      </c>
      <c r="P330" s="45">
        <v>0</v>
      </c>
      <c r="Q330" s="45">
        <v>137</v>
      </c>
      <c r="R330" s="45">
        <v>0</v>
      </c>
      <c r="S330" s="45">
        <v>2028.2388059701493</v>
      </c>
      <c r="T330" s="45">
        <v>2028.2388059701493</v>
      </c>
      <c r="U330" s="45">
        <v>4921.666666666667</v>
      </c>
      <c r="V330" s="45">
        <v>0</v>
      </c>
      <c r="W330" s="45">
        <v>0</v>
      </c>
      <c r="X330" s="45">
        <v>2091.5985401459852</v>
      </c>
      <c r="Y330" s="45">
        <v>0</v>
      </c>
      <c r="Z330" s="45">
        <v>89</v>
      </c>
      <c r="AA330" s="45">
        <v>0</v>
      </c>
      <c r="AB330" s="508">
        <v>3</v>
      </c>
      <c r="AC330" s="508">
        <v>0</v>
      </c>
      <c r="AD330" s="631">
        <v>92</v>
      </c>
      <c r="AE330" s="632">
        <v>0</v>
      </c>
      <c r="AF330" s="632">
        <v>77</v>
      </c>
      <c r="AG330" s="633">
        <v>77</v>
      </c>
      <c r="AH330" s="632">
        <v>0</v>
      </c>
      <c r="AI330" s="632">
        <v>0</v>
      </c>
      <c r="AJ330" s="632">
        <v>80.911167817970707</v>
      </c>
      <c r="AK330" s="632">
        <v>80.911167817970707</v>
      </c>
      <c r="AL330" s="632">
        <v>0</v>
      </c>
      <c r="AM330" s="632">
        <v>0</v>
      </c>
      <c r="AN330" s="632">
        <v>70.258966499869018</v>
      </c>
      <c r="AO330" s="632">
        <v>70.258966499869018</v>
      </c>
      <c r="AP330" s="632">
        <v>0</v>
      </c>
      <c r="AQ330" s="632">
        <v>2.7895240524415161</v>
      </c>
      <c r="AR330" s="632">
        <v>0</v>
      </c>
      <c r="AS330" s="632">
        <v>73.557495254694587</v>
      </c>
      <c r="AT330" s="632">
        <v>77.146761713128171</v>
      </c>
      <c r="AU330" s="632">
        <v>80.911167817970707</v>
      </c>
      <c r="AV330" s="632">
        <v>84.859259576073327</v>
      </c>
      <c r="AW330" s="632">
        <v>89</v>
      </c>
      <c r="AX330" s="632">
        <v>64.108082774411898</v>
      </c>
      <c r="AY330" s="632">
        <v>67.113095890580368</v>
      </c>
      <c r="AZ330" s="632">
        <v>70.258966499869018</v>
      </c>
      <c r="BA330" s="632">
        <v>73.552297180237105</v>
      </c>
      <c r="BB330" s="632">
        <v>77</v>
      </c>
      <c r="BC330" s="632">
        <v>2.5938148130499128</v>
      </c>
      <c r="BD330" s="632">
        <v>2.6898901108747597</v>
      </c>
      <c r="BE330" s="632">
        <v>2.7895240524415161</v>
      </c>
      <c r="BF330" s="632">
        <v>2.8928484504592613</v>
      </c>
      <c r="BG330" s="632">
        <v>3</v>
      </c>
      <c r="BH330" s="634">
        <v>91.182071322655347</v>
      </c>
      <c r="BI330" s="634">
        <v>93.417641917863008</v>
      </c>
      <c r="BJ330" s="634">
        <v>95.708023462346759</v>
      </c>
      <c r="BK330" s="635">
        <v>97.094102164325164</v>
      </c>
      <c r="BL330" s="635">
        <v>98.48018086630357</v>
      </c>
      <c r="BM330" s="635">
        <v>99.866259568282004</v>
      </c>
      <c r="BN330" s="635">
        <v>101.25233827026041</v>
      </c>
      <c r="BO330" s="635">
        <v>102.89128542499969</v>
      </c>
      <c r="BP330" s="635">
        <v>104.53023257973895</v>
      </c>
      <c r="BQ330" s="635">
        <v>109.07386459050649</v>
      </c>
      <c r="BR330" s="635">
        <v>114.48729113270475</v>
      </c>
      <c r="BS330" s="635">
        <v>116.86422014773046</v>
      </c>
      <c r="BT330" s="635">
        <v>118.16952517361712</v>
      </c>
      <c r="BU330" s="635">
        <v>119.52129168815759</v>
      </c>
      <c r="BV330" s="635">
        <v>120.90558124475581</v>
      </c>
      <c r="BW330" s="634">
        <v>78.887859458926542</v>
      </c>
      <c r="BX330" s="634">
        <v>80.822004805342146</v>
      </c>
      <c r="BY330" s="634">
        <v>82.803570860682029</v>
      </c>
      <c r="BZ330" s="635">
        <v>84.002762546663348</v>
      </c>
      <c r="CA330" s="635">
        <v>85.201954232644667</v>
      </c>
      <c r="CB330" s="635">
        <v>86.401145918626</v>
      </c>
      <c r="CC330" s="635">
        <v>87.600337604607319</v>
      </c>
      <c r="CD330" s="635">
        <v>89.018303120505351</v>
      </c>
      <c r="CE330" s="635">
        <v>90.436268636403369</v>
      </c>
      <c r="CF330" s="635">
        <v>94.367276106393263</v>
      </c>
      <c r="CG330" s="635">
        <v>99.050802440654678</v>
      </c>
      <c r="CH330" s="635">
        <v>101.10724664466569</v>
      </c>
      <c r="CI330" s="635">
        <v>102.23655548728672</v>
      </c>
      <c r="CJ330" s="635">
        <v>103.4060613481813</v>
      </c>
      <c r="CK330" s="635">
        <v>104.60370512186738</v>
      </c>
      <c r="CL330" s="634">
        <v>3.073552965932203</v>
      </c>
      <c r="CM330" s="634">
        <v>3.1489092781302137</v>
      </c>
      <c r="CN330" s="634">
        <v>3.2261131504161833</v>
      </c>
      <c r="CO330" s="635">
        <v>3.2728349044154554</v>
      </c>
      <c r="CP330" s="635">
        <v>3.3195566584147276</v>
      </c>
      <c r="CQ330" s="635">
        <v>3.3662784124140006</v>
      </c>
      <c r="CR330" s="635">
        <v>3.4130001664132728</v>
      </c>
      <c r="CS330" s="635">
        <v>3.4682455761235857</v>
      </c>
      <c r="CT330" s="635">
        <v>3.5234909858338979</v>
      </c>
      <c r="CU330" s="635">
        <v>3.6766471210283092</v>
      </c>
      <c r="CV330" s="635">
        <v>3.8591221730125205</v>
      </c>
      <c r="CW330" s="635">
        <v>3.9392433757661962</v>
      </c>
      <c r="CX330" s="635">
        <v>3.9832424215826001</v>
      </c>
      <c r="CY330" s="635">
        <v>4.0288075849940768</v>
      </c>
      <c r="CZ330" s="635">
        <v>4.0754690307221058</v>
      </c>
      <c r="DA330" s="636">
        <v>0</v>
      </c>
      <c r="DB330" s="636">
        <v>0</v>
      </c>
      <c r="DC330" s="636">
        <v>0</v>
      </c>
      <c r="DD330" s="637">
        <v>0</v>
      </c>
      <c r="DE330" s="637">
        <v>0</v>
      </c>
      <c r="DF330" s="637">
        <v>0</v>
      </c>
      <c r="DG330" s="637">
        <v>0</v>
      </c>
      <c r="DH330" s="637">
        <v>0</v>
      </c>
      <c r="DI330" s="637">
        <v>0</v>
      </c>
      <c r="DJ330" s="637">
        <v>0</v>
      </c>
      <c r="DK330" s="637">
        <v>0</v>
      </c>
      <c r="DL330" s="637">
        <v>0</v>
      </c>
      <c r="DM330" s="637">
        <v>0</v>
      </c>
      <c r="DN330" s="637">
        <v>0</v>
      </c>
      <c r="DO330" s="637">
        <v>0</v>
      </c>
      <c r="DP330" s="636">
        <v>0</v>
      </c>
      <c r="DQ330" s="636">
        <v>0</v>
      </c>
      <c r="DR330" s="636">
        <v>0</v>
      </c>
      <c r="DS330" s="637">
        <v>0</v>
      </c>
      <c r="DT330" s="637">
        <v>0</v>
      </c>
      <c r="DU330" s="637">
        <v>0</v>
      </c>
      <c r="DV330" s="637">
        <v>0</v>
      </c>
      <c r="DW330" s="637">
        <v>0</v>
      </c>
      <c r="DX330" s="637">
        <v>0</v>
      </c>
      <c r="DY330" s="637">
        <v>0</v>
      </c>
      <c r="DZ330" s="637">
        <v>0</v>
      </c>
      <c r="EA330" s="637">
        <v>0</v>
      </c>
      <c r="EB330" s="637">
        <v>0</v>
      </c>
      <c r="EC330" s="637">
        <v>0</v>
      </c>
      <c r="ED330" s="637">
        <v>0</v>
      </c>
    </row>
    <row r="331" spans="1:134" ht="15" x14ac:dyDescent="0.25">
      <c r="A331" s="555">
        <v>110</v>
      </c>
      <c r="B331" s="555">
        <v>99</v>
      </c>
      <c r="C331" s="555" t="s">
        <v>1314</v>
      </c>
      <c r="D331" s="812">
        <v>99712</v>
      </c>
      <c r="E331" s="812">
        <v>99712</v>
      </c>
      <c r="F331" s="630" t="s">
        <v>311</v>
      </c>
      <c r="G331" s="45">
        <v>394</v>
      </c>
      <c r="H331" s="45">
        <v>168</v>
      </c>
      <c r="I331" s="45">
        <v>160</v>
      </c>
      <c r="J331" s="45">
        <v>8</v>
      </c>
      <c r="K331" s="45">
        <v>0</v>
      </c>
      <c r="L331" s="45">
        <v>62</v>
      </c>
      <c r="M331" s="45">
        <v>62</v>
      </c>
      <c r="N331" s="45">
        <v>0</v>
      </c>
      <c r="O331" s="45">
        <v>0</v>
      </c>
      <c r="P331" s="45">
        <v>0</v>
      </c>
      <c r="Q331" s="45">
        <v>62</v>
      </c>
      <c r="R331" s="45">
        <v>0</v>
      </c>
      <c r="S331" s="45">
        <v>2454.983870967742</v>
      </c>
      <c r="T331" s="45">
        <v>2454.983870967742</v>
      </c>
      <c r="U331" s="45">
        <v>0</v>
      </c>
      <c r="V331" s="45">
        <v>0</v>
      </c>
      <c r="W331" s="45">
        <v>0</v>
      </c>
      <c r="X331" s="45">
        <v>2454.983870967742</v>
      </c>
      <c r="Y331" s="45">
        <v>0</v>
      </c>
      <c r="Z331" s="45">
        <v>168</v>
      </c>
      <c r="AA331" s="45">
        <v>0</v>
      </c>
      <c r="AB331" s="508">
        <v>0</v>
      </c>
      <c r="AC331" s="508">
        <v>0</v>
      </c>
      <c r="AD331" s="631">
        <v>168</v>
      </c>
      <c r="AE331" s="632">
        <v>0</v>
      </c>
      <c r="AF331" s="632">
        <v>160</v>
      </c>
      <c r="AG331" s="633">
        <v>160</v>
      </c>
      <c r="AH331" s="632">
        <v>0</v>
      </c>
      <c r="AI331" s="632">
        <v>0</v>
      </c>
      <c r="AJ331" s="632">
        <v>152.73119318448403</v>
      </c>
      <c r="AK331" s="632">
        <v>152.73119318448403</v>
      </c>
      <c r="AL331" s="632">
        <v>0</v>
      </c>
      <c r="AM331" s="632">
        <v>0</v>
      </c>
      <c r="AN331" s="632">
        <v>145.99265766206548</v>
      </c>
      <c r="AO331" s="632">
        <v>145.99265766206548</v>
      </c>
      <c r="AP331" s="632">
        <v>0</v>
      </c>
      <c r="AQ331" s="632">
        <v>0</v>
      </c>
      <c r="AR331" s="632">
        <v>0</v>
      </c>
      <c r="AS331" s="632">
        <v>138.85010340212011</v>
      </c>
      <c r="AT331" s="632">
        <v>145.62534795287115</v>
      </c>
      <c r="AU331" s="632">
        <v>152.73119318448403</v>
      </c>
      <c r="AV331" s="632">
        <v>160.18377088517212</v>
      </c>
      <c r="AW331" s="632">
        <v>168</v>
      </c>
      <c r="AX331" s="632">
        <v>133.21160057020654</v>
      </c>
      <c r="AY331" s="632">
        <v>139.45578366873843</v>
      </c>
      <c r="AZ331" s="632">
        <v>145.99265766206548</v>
      </c>
      <c r="BA331" s="632">
        <v>152.83594219270046</v>
      </c>
      <c r="BB331" s="632">
        <v>160</v>
      </c>
      <c r="BC331" s="632">
        <v>0</v>
      </c>
      <c r="BD331" s="632">
        <v>0</v>
      </c>
      <c r="BE331" s="632">
        <v>0</v>
      </c>
      <c r="BF331" s="632">
        <v>0</v>
      </c>
      <c r="BG331" s="632">
        <v>0</v>
      </c>
      <c r="BH331" s="634">
        <v>172.11896609220335</v>
      </c>
      <c r="BI331" s="634">
        <v>176.33891957529198</v>
      </c>
      <c r="BJ331" s="634">
        <v>180.66233642330624</v>
      </c>
      <c r="BK331" s="635">
        <v>183.27875464726549</v>
      </c>
      <c r="BL331" s="635">
        <v>185.89517287122473</v>
      </c>
      <c r="BM331" s="635">
        <v>188.511591095184</v>
      </c>
      <c r="BN331" s="635">
        <v>191.12800931914325</v>
      </c>
      <c r="BO331" s="635">
        <v>194.22175226292077</v>
      </c>
      <c r="BP331" s="635">
        <v>197.31549520669824</v>
      </c>
      <c r="BQ331" s="635">
        <v>205.89223877758531</v>
      </c>
      <c r="BR331" s="635">
        <v>216.1108416887011</v>
      </c>
      <c r="BS331" s="635">
        <v>220.59762904290696</v>
      </c>
      <c r="BT331" s="635">
        <v>223.06157560862559</v>
      </c>
      <c r="BU331" s="635">
        <v>225.61322475966827</v>
      </c>
      <c r="BV331" s="635">
        <v>228.22626572043791</v>
      </c>
      <c r="BW331" s="634">
        <v>163.92282484971747</v>
      </c>
      <c r="BX331" s="634">
        <v>167.94182816694473</v>
      </c>
      <c r="BY331" s="634">
        <v>172.05936802219642</v>
      </c>
      <c r="BZ331" s="635">
        <v>174.55119490215762</v>
      </c>
      <c r="CA331" s="635">
        <v>177.04302178211879</v>
      </c>
      <c r="CB331" s="635">
        <v>179.53484866208001</v>
      </c>
      <c r="CC331" s="635">
        <v>182.0266755420412</v>
      </c>
      <c r="CD331" s="635">
        <v>184.97309739325789</v>
      </c>
      <c r="CE331" s="635">
        <v>187.91951924447451</v>
      </c>
      <c r="CF331" s="635">
        <v>196.08784645484315</v>
      </c>
      <c r="CG331" s="635">
        <v>205.8198492273344</v>
      </c>
      <c r="CH331" s="635">
        <v>210.09298004086378</v>
      </c>
      <c r="CI331" s="635">
        <v>212.43959581773865</v>
      </c>
      <c r="CJ331" s="635">
        <v>214.86973786635073</v>
      </c>
      <c r="CK331" s="635">
        <v>217.35834830517896</v>
      </c>
      <c r="CL331" s="634">
        <v>0</v>
      </c>
      <c r="CM331" s="634">
        <v>0</v>
      </c>
      <c r="CN331" s="634">
        <v>0</v>
      </c>
      <c r="CO331" s="635">
        <v>0</v>
      </c>
      <c r="CP331" s="635">
        <v>0</v>
      </c>
      <c r="CQ331" s="635">
        <v>0</v>
      </c>
      <c r="CR331" s="635">
        <v>0</v>
      </c>
      <c r="CS331" s="635">
        <v>0</v>
      </c>
      <c r="CT331" s="635">
        <v>0</v>
      </c>
      <c r="CU331" s="635">
        <v>0</v>
      </c>
      <c r="CV331" s="635">
        <v>0</v>
      </c>
      <c r="CW331" s="635">
        <v>0</v>
      </c>
      <c r="CX331" s="635">
        <v>0</v>
      </c>
      <c r="CY331" s="635">
        <v>0</v>
      </c>
      <c r="CZ331" s="635">
        <v>0</v>
      </c>
      <c r="DA331" s="636">
        <v>0</v>
      </c>
      <c r="DB331" s="636">
        <v>0</v>
      </c>
      <c r="DC331" s="636">
        <v>0</v>
      </c>
      <c r="DD331" s="637">
        <v>0</v>
      </c>
      <c r="DE331" s="637">
        <v>0</v>
      </c>
      <c r="DF331" s="637">
        <v>0</v>
      </c>
      <c r="DG331" s="637">
        <v>0</v>
      </c>
      <c r="DH331" s="637">
        <v>0</v>
      </c>
      <c r="DI331" s="637">
        <v>0</v>
      </c>
      <c r="DJ331" s="637">
        <v>0</v>
      </c>
      <c r="DK331" s="637">
        <v>0</v>
      </c>
      <c r="DL331" s="637">
        <v>0</v>
      </c>
      <c r="DM331" s="637">
        <v>0</v>
      </c>
      <c r="DN331" s="637">
        <v>0</v>
      </c>
      <c r="DO331" s="637">
        <v>0</v>
      </c>
      <c r="DP331" s="636">
        <v>0</v>
      </c>
      <c r="DQ331" s="636">
        <v>0</v>
      </c>
      <c r="DR331" s="636">
        <v>0</v>
      </c>
      <c r="DS331" s="637">
        <v>0</v>
      </c>
      <c r="DT331" s="637">
        <v>0</v>
      </c>
      <c r="DU331" s="637">
        <v>0</v>
      </c>
      <c r="DV331" s="637">
        <v>0</v>
      </c>
      <c r="DW331" s="637">
        <v>0</v>
      </c>
      <c r="DX331" s="637">
        <v>0</v>
      </c>
      <c r="DY331" s="637">
        <v>0</v>
      </c>
      <c r="DZ331" s="637">
        <v>0</v>
      </c>
      <c r="EA331" s="637">
        <v>0</v>
      </c>
      <c r="EB331" s="637">
        <v>0</v>
      </c>
      <c r="EC331" s="637">
        <v>0</v>
      </c>
      <c r="ED331" s="637">
        <v>0</v>
      </c>
    </row>
    <row r="332" spans="1:134" ht="15" x14ac:dyDescent="0.25">
      <c r="A332" s="555">
        <v>111</v>
      </c>
      <c r="B332" s="555">
        <v>99</v>
      </c>
      <c r="C332" s="555" t="s">
        <v>1315</v>
      </c>
      <c r="D332" s="812">
        <v>99712</v>
      </c>
      <c r="E332" s="812">
        <v>99712</v>
      </c>
      <c r="F332" s="630" t="s">
        <v>311</v>
      </c>
      <c r="G332" s="45">
        <v>757</v>
      </c>
      <c r="H332" s="45">
        <v>291</v>
      </c>
      <c r="I332" s="45">
        <v>270</v>
      </c>
      <c r="J332" s="45">
        <v>21</v>
      </c>
      <c r="K332" s="45">
        <v>0</v>
      </c>
      <c r="L332" s="45">
        <v>264</v>
      </c>
      <c r="M332" s="45">
        <v>264</v>
      </c>
      <c r="N332" s="45">
        <v>0</v>
      </c>
      <c r="O332" s="45">
        <v>0</v>
      </c>
      <c r="P332" s="45">
        <v>0</v>
      </c>
      <c r="Q332" s="45">
        <v>264</v>
      </c>
      <c r="R332" s="45">
        <v>0</v>
      </c>
      <c r="S332" s="45">
        <v>2424.9507575757575</v>
      </c>
      <c r="T332" s="45">
        <v>2424.9507575757575</v>
      </c>
      <c r="U332" s="45">
        <v>0</v>
      </c>
      <c r="V332" s="45">
        <v>0</v>
      </c>
      <c r="W332" s="45">
        <v>0</v>
      </c>
      <c r="X332" s="45">
        <v>2424.9507575757575</v>
      </c>
      <c r="Y332" s="45">
        <v>0</v>
      </c>
      <c r="Z332" s="45">
        <v>291</v>
      </c>
      <c r="AA332" s="45">
        <v>0</v>
      </c>
      <c r="AB332" s="508">
        <v>0</v>
      </c>
      <c r="AC332" s="508">
        <v>0</v>
      </c>
      <c r="AD332" s="631">
        <v>291</v>
      </c>
      <c r="AE332" s="632">
        <v>0</v>
      </c>
      <c r="AF332" s="632">
        <v>270</v>
      </c>
      <c r="AG332" s="633">
        <v>270</v>
      </c>
      <c r="AH332" s="632">
        <v>0</v>
      </c>
      <c r="AI332" s="632">
        <v>0</v>
      </c>
      <c r="AJ332" s="632">
        <v>264.55224533740983</v>
      </c>
      <c r="AK332" s="632">
        <v>264.55224533740983</v>
      </c>
      <c r="AL332" s="632">
        <v>0</v>
      </c>
      <c r="AM332" s="632">
        <v>0</v>
      </c>
      <c r="AN332" s="632">
        <v>246.36260980473548</v>
      </c>
      <c r="AO332" s="632">
        <v>246.36260980473548</v>
      </c>
      <c r="AP332" s="632">
        <v>0</v>
      </c>
      <c r="AQ332" s="632">
        <v>0</v>
      </c>
      <c r="AR332" s="632">
        <v>0</v>
      </c>
      <c r="AS332" s="632">
        <v>240.50821482152949</v>
      </c>
      <c r="AT332" s="632">
        <v>252.24390627550895</v>
      </c>
      <c r="AU332" s="632">
        <v>264.55224533740983</v>
      </c>
      <c r="AV332" s="632">
        <v>277.46117456895888</v>
      </c>
      <c r="AW332" s="632">
        <v>291</v>
      </c>
      <c r="AX332" s="632">
        <v>224.79457596222352</v>
      </c>
      <c r="AY332" s="632">
        <v>235.33163494099608</v>
      </c>
      <c r="AZ332" s="632">
        <v>246.36260980473548</v>
      </c>
      <c r="BA332" s="632">
        <v>257.91065245018206</v>
      </c>
      <c r="BB332" s="632">
        <v>270</v>
      </c>
      <c r="BC332" s="632">
        <v>0</v>
      </c>
      <c r="BD332" s="632">
        <v>0</v>
      </c>
      <c r="BE332" s="632">
        <v>0</v>
      </c>
      <c r="BF332" s="632">
        <v>0</v>
      </c>
      <c r="BG332" s="632">
        <v>0</v>
      </c>
      <c r="BH332" s="634">
        <v>294.97744456158489</v>
      </c>
      <c r="BI332" s="634">
        <v>299.00925360853222</v>
      </c>
      <c r="BJ332" s="634">
        <v>303.09617020519477</v>
      </c>
      <c r="BK332" s="635">
        <v>304.07777604103256</v>
      </c>
      <c r="BL332" s="635">
        <v>305.05938187687036</v>
      </c>
      <c r="BM332" s="635">
        <v>306.0409877127081</v>
      </c>
      <c r="BN332" s="635">
        <v>307.0225935485459</v>
      </c>
      <c r="BO332" s="635">
        <v>308.18327806770452</v>
      </c>
      <c r="BP332" s="635">
        <v>309.34396258686314</v>
      </c>
      <c r="BQ332" s="635">
        <v>312.56171327540829</v>
      </c>
      <c r="BR332" s="635">
        <v>316.39544297496741</v>
      </c>
      <c r="BS332" s="635">
        <v>318.07875820749433</v>
      </c>
      <c r="BT332" s="635">
        <v>319.0031610059284</v>
      </c>
      <c r="BU332" s="635">
        <v>319.96046732444347</v>
      </c>
      <c r="BV332" s="635">
        <v>320.94080610701513</v>
      </c>
      <c r="BW332" s="634">
        <v>273.69041247982102</v>
      </c>
      <c r="BX332" s="634">
        <v>277.43126623472057</v>
      </c>
      <c r="BY332" s="634">
        <v>281.22325070585083</v>
      </c>
      <c r="BZ332" s="635">
        <v>282.13401900714365</v>
      </c>
      <c r="CA332" s="635">
        <v>283.04478730843641</v>
      </c>
      <c r="CB332" s="635">
        <v>283.95555560972917</v>
      </c>
      <c r="CC332" s="635">
        <v>284.86632391102199</v>
      </c>
      <c r="CD332" s="635">
        <v>285.94324769168463</v>
      </c>
      <c r="CE332" s="635">
        <v>287.02017147234722</v>
      </c>
      <c r="CF332" s="635">
        <v>290.00571334831699</v>
      </c>
      <c r="CG332" s="635">
        <v>293.56278214172238</v>
      </c>
      <c r="CH332" s="635">
        <v>295.12462101726283</v>
      </c>
      <c r="CI332" s="635">
        <v>295.98231433539752</v>
      </c>
      <c r="CJ332" s="635">
        <v>296.87053669278259</v>
      </c>
      <c r="CK332" s="635">
        <v>297.78012937764294</v>
      </c>
      <c r="CL332" s="634">
        <v>0</v>
      </c>
      <c r="CM332" s="634">
        <v>0</v>
      </c>
      <c r="CN332" s="634">
        <v>0</v>
      </c>
      <c r="CO332" s="635">
        <v>0</v>
      </c>
      <c r="CP332" s="635">
        <v>0</v>
      </c>
      <c r="CQ332" s="635">
        <v>0</v>
      </c>
      <c r="CR332" s="635">
        <v>0</v>
      </c>
      <c r="CS332" s="635">
        <v>0</v>
      </c>
      <c r="CT332" s="635">
        <v>0</v>
      </c>
      <c r="CU332" s="635">
        <v>0</v>
      </c>
      <c r="CV332" s="635">
        <v>0</v>
      </c>
      <c r="CW332" s="635">
        <v>0</v>
      </c>
      <c r="CX332" s="635">
        <v>0</v>
      </c>
      <c r="CY332" s="635">
        <v>0</v>
      </c>
      <c r="CZ332" s="635">
        <v>0</v>
      </c>
      <c r="DA332" s="636">
        <v>0</v>
      </c>
      <c r="DB332" s="636">
        <v>0</v>
      </c>
      <c r="DC332" s="636">
        <v>0</v>
      </c>
      <c r="DD332" s="637">
        <v>0</v>
      </c>
      <c r="DE332" s="637">
        <v>0</v>
      </c>
      <c r="DF332" s="637">
        <v>0</v>
      </c>
      <c r="DG332" s="637">
        <v>0</v>
      </c>
      <c r="DH332" s="637">
        <v>0</v>
      </c>
      <c r="DI332" s="637">
        <v>0</v>
      </c>
      <c r="DJ332" s="637">
        <v>0</v>
      </c>
      <c r="DK332" s="637">
        <v>0</v>
      </c>
      <c r="DL332" s="637">
        <v>0</v>
      </c>
      <c r="DM332" s="637">
        <v>0</v>
      </c>
      <c r="DN332" s="637">
        <v>0</v>
      </c>
      <c r="DO332" s="637">
        <v>0</v>
      </c>
      <c r="DP332" s="636">
        <v>0</v>
      </c>
      <c r="DQ332" s="636">
        <v>0</v>
      </c>
      <c r="DR332" s="636">
        <v>0</v>
      </c>
      <c r="DS332" s="637">
        <v>0</v>
      </c>
      <c r="DT332" s="637">
        <v>0</v>
      </c>
      <c r="DU332" s="637">
        <v>0</v>
      </c>
      <c r="DV332" s="637">
        <v>0</v>
      </c>
      <c r="DW332" s="637">
        <v>0</v>
      </c>
      <c r="DX332" s="637">
        <v>0</v>
      </c>
      <c r="DY332" s="637">
        <v>0</v>
      </c>
      <c r="DZ332" s="637">
        <v>0</v>
      </c>
      <c r="EA332" s="637">
        <v>0</v>
      </c>
      <c r="EB332" s="637">
        <v>0</v>
      </c>
      <c r="EC332" s="637">
        <v>0</v>
      </c>
      <c r="ED332" s="637">
        <v>0</v>
      </c>
    </row>
    <row r="333" spans="1:134" ht="15" x14ac:dyDescent="0.25">
      <c r="A333" s="555">
        <v>112</v>
      </c>
      <c r="B333" s="555">
        <v>99</v>
      </c>
      <c r="C333" s="555" t="s">
        <v>1316</v>
      </c>
      <c r="D333" s="812">
        <v>99712</v>
      </c>
      <c r="E333" s="812">
        <v>99712</v>
      </c>
      <c r="F333" s="630" t="s">
        <v>311</v>
      </c>
      <c r="G333" s="45">
        <v>265</v>
      </c>
      <c r="H333" s="45">
        <v>97</v>
      </c>
      <c r="I333" s="45">
        <v>91</v>
      </c>
      <c r="J333" s="45">
        <v>6</v>
      </c>
      <c r="K333" s="45">
        <v>0</v>
      </c>
      <c r="L333" s="45">
        <v>69</v>
      </c>
      <c r="M333" s="45">
        <v>69</v>
      </c>
      <c r="N333" s="45">
        <v>1</v>
      </c>
      <c r="O333" s="45">
        <v>0</v>
      </c>
      <c r="P333" s="45">
        <v>0</v>
      </c>
      <c r="Q333" s="45">
        <v>70</v>
      </c>
      <c r="R333" s="45">
        <v>0</v>
      </c>
      <c r="S333" s="45">
        <v>2654.942028985507</v>
      </c>
      <c r="T333" s="45">
        <v>2654.942028985507</v>
      </c>
      <c r="U333" s="45">
        <v>3150</v>
      </c>
      <c r="V333" s="45">
        <v>0</v>
      </c>
      <c r="W333" s="45">
        <v>0</v>
      </c>
      <c r="X333" s="45">
        <v>2662.0142857142855</v>
      </c>
      <c r="Y333" s="45">
        <v>0</v>
      </c>
      <c r="Z333" s="45">
        <v>97</v>
      </c>
      <c r="AA333" s="45">
        <v>0</v>
      </c>
      <c r="AB333" s="508">
        <v>1</v>
      </c>
      <c r="AC333" s="508">
        <v>0</v>
      </c>
      <c r="AD333" s="631">
        <v>98</v>
      </c>
      <c r="AE333" s="632">
        <v>0</v>
      </c>
      <c r="AF333" s="632">
        <v>91</v>
      </c>
      <c r="AG333" s="633">
        <v>91</v>
      </c>
      <c r="AH333" s="632">
        <v>0</v>
      </c>
      <c r="AI333" s="632">
        <v>0</v>
      </c>
      <c r="AJ333" s="632">
        <v>88.184081779136605</v>
      </c>
      <c r="AK333" s="632">
        <v>88.184081779136605</v>
      </c>
      <c r="AL333" s="632">
        <v>0</v>
      </c>
      <c r="AM333" s="632">
        <v>0</v>
      </c>
      <c r="AN333" s="632">
        <v>83.033324045299736</v>
      </c>
      <c r="AO333" s="632">
        <v>83.033324045299736</v>
      </c>
      <c r="AP333" s="632">
        <v>0</v>
      </c>
      <c r="AQ333" s="632">
        <v>0.92984135081383867</v>
      </c>
      <c r="AR333" s="632">
        <v>0</v>
      </c>
      <c r="AS333" s="632">
        <v>80.169404940509821</v>
      </c>
      <c r="AT333" s="632">
        <v>84.081302091836321</v>
      </c>
      <c r="AU333" s="632">
        <v>88.184081779136605</v>
      </c>
      <c r="AV333" s="632">
        <v>92.487058189652956</v>
      </c>
      <c r="AW333" s="632">
        <v>97</v>
      </c>
      <c r="AX333" s="632">
        <v>75.764097824304969</v>
      </c>
      <c r="AY333" s="632">
        <v>79.315476961594982</v>
      </c>
      <c r="AZ333" s="632">
        <v>83.033324045299736</v>
      </c>
      <c r="BA333" s="632">
        <v>86.925442122098389</v>
      </c>
      <c r="BB333" s="632">
        <v>91</v>
      </c>
      <c r="BC333" s="632">
        <v>0.86460493768330426</v>
      </c>
      <c r="BD333" s="632">
        <v>0.89663003695825327</v>
      </c>
      <c r="BE333" s="632">
        <v>0.92984135081383867</v>
      </c>
      <c r="BF333" s="632">
        <v>0.96428281681975381</v>
      </c>
      <c r="BG333" s="632">
        <v>1</v>
      </c>
      <c r="BH333" s="634">
        <v>98.938558382861785</v>
      </c>
      <c r="BI333" s="634">
        <v>100.9158591224634</v>
      </c>
      <c r="BJ333" s="634">
        <v>102.93267649014949</v>
      </c>
      <c r="BK333" s="635">
        <v>104.00375608447722</v>
      </c>
      <c r="BL333" s="635">
        <v>105.07483567880496</v>
      </c>
      <c r="BM333" s="635">
        <v>106.14591527313266</v>
      </c>
      <c r="BN333" s="635">
        <v>107.2169948674604</v>
      </c>
      <c r="BO333" s="635">
        <v>108.48347623761427</v>
      </c>
      <c r="BP333" s="635">
        <v>109.74995760776814</v>
      </c>
      <c r="BQ333" s="635">
        <v>113.26100753871442</v>
      </c>
      <c r="BR333" s="635">
        <v>117.44418321009918</v>
      </c>
      <c r="BS333" s="635">
        <v>119.28093328895524</v>
      </c>
      <c r="BT333" s="635">
        <v>120.28959576649356</v>
      </c>
      <c r="BU333" s="635">
        <v>121.33416093292547</v>
      </c>
      <c r="BV333" s="635">
        <v>122.40385798158297</v>
      </c>
      <c r="BW333" s="634">
        <v>92.818647555055904</v>
      </c>
      <c r="BX333" s="634">
        <v>94.673641032414125</v>
      </c>
      <c r="BY333" s="634">
        <v>96.565706810346427</v>
      </c>
      <c r="BZ333" s="635">
        <v>97.570534058633271</v>
      </c>
      <c r="CA333" s="635">
        <v>98.575361306920115</v>
      </c>
      <c r="CB333" s="635">
        <v>99.580188555206931</v>
      </c>
      <c r="CC333" s="635">
        <v>100.58501580349377</v>
      </c>
      <c r="CD333" s="635">
        <v>101.77315811982369</v>
      </c>
      <c r="CE333" s="635">
        <v>102.96130043615362</v>
      </c>
      <c r="CF333" s="635">
        <v>106.2551720208558</v>
      </c>
      <c r="CG333" s="635">
        <v>110.1795945579281</v>
      </c>
      <c r="CH333" s="635">
        <v>111.9027312298446</v>
      </c>
      <c r="CI333" s="635">
        <v>112.84900221392695</v>
      </c>
      <c r="CJ333" s="635">
        <v>113.82895510202286</v>
      </c>
      <c r="CK333" s="635">
        <v>114.83248532292835</v>
      </c>
      <c r="CL333" s="634">
        <v>1.0199851379676472</v>
      </c>
      <c r="CM333" s="634">
        <v>1.0403696816748804</v>
      </c>
      <c r="CN333" s="634">
        <v>1.0611616133005102</v>
      </c>
      <c r="CO333" s="635">
        <v>1.0722036709739919</v>
      </c>
      <c r="CP333" s="635">
        <v>1.0832457286474737</v>
      </c>
      <c r="CQ333" s="635">
        <v>1.0942877863209552</v>
      </c>
      <c r="CR333" s="635">
        <v>1.105329843994437</v>
      </c>
      <c r="CS333" s="635">
        <v>1.1183863529650955</v>
      </c>
      <c r="CT333" s="635">
        <v>1.1314428619357539</v>
      </c>
      <c r="CU333" s="635">
        <v>1.1676392529764374</v>
      </c>
      <c r="CV333" s="635">
        <v>1.2107647753618471</v>
      </c>
      <c r="CW333" s="635">
        <v>1.2297003431851055</v>
      </c>
      <c r="CX333" s="635">
        <v>1.2400989254277686</v>
      </c>
      <c r="CY333" s="635">
        <v>1.2508676384837676</v>
      </c>
      <c r="CZ333" s="635">
        <v>1.2618954431091027</v>
      </c>
      <c r="DA333" s="636">
        <v>0</v>
      </c>
      <c r="DB333" s="636">
        <v>0</v>
      </c>
      <c r="DC333" s="636">
        <v>0</v>
      </c>
      <c r="DD333" s="637">
        <v>0</v>
      </c>
      <c r="DE333" s="637">
        <v>0</v>
      </c>
      <c r="DF333" s="637">
        <v>0</v>
      </c>
      <c r="DG333" s="637">
        <v>0</v>
      </c>
      <c r="DH333" s="637">
        <v>0</v>
      </c>
      <c r="DI333" s="637">
        <v>0</v>
      </c>
      <c r="DJ333" s="637">
        <v>0</v>
      </c>
      <c r="DK333" s="637">
        <v>0</v>
      </c>
      <c r="DL333" s="637">
        <v>0</v>
      </c>
      <c r="DM333" s="637">
        <v>0</v>
      </c>
      <c r="DN333" s="637">
        <v>0</v>
      </c>
      <c r="DO333" s="637">
        <v>0</v>
      </c>
      <c r="DP333" s="636">
        <v>0</v>
      </c>
      <c r="DQ333" s="636">
        <v>0</v>
      </c>
      <c r="DR333" s="636">
        <v>0</v>
      </c>
      <c r="DS333" s="637">
        <v>0</v>
      </c>
      <c r="DT333" s="637">
        <v>0</v>
      </c>
      <c r="DU333" s="637">
        <v>0</v>
      </c>
      <c r="DV333" s="637">
        <v>0</v>
      </c>
      <c r="DW333" s="637">
        <v>0</v>
      </c>
      <c r="DX333" s="637">
        <v>0</v>
      </c>
      <c r="DY333" s="637">
        <v>0</v>
      </c>
      <c r="DZ333" s="637">
        <v>0</v>
      </c>
      <c r="EA333" s="637">
        <v>0</v>
      </c>
      <c r="EB333" s="637">
        <v>0</v>
      </c>
      <c r="EC333" s="637">
        <v>0</v>
      </c>
      <c r="ED333" s="637">
        <v>0</v>
      </c>
    </row>
    <row r="334" spans="1:134" ht="15" x14ac:dyDescent="0.25">
      <c r="A334" s="555">
        <v>113</v>
      </c>
      <c r="B334" s="555">
        <v>99</v>
      </c>
      <c r="C334" s="555" t="s">
        <v>1317</v>
      </c>
      <c r="D334" s="812">
        <v>99712</v>
      </c>
      <c r="E334" s="812">
        <v>99712</v>
      </c>
      <c r="F334" s="630" t="s">
        <v>311</v>
      </c>
      <c r="G334" s="45">
        <v>465</v>
      </c>
      <c r="H334" s="45">
        <v>166</v>
      </c>
      <c r="I334" s="45">
        <v>158</v>
      </c>
      <c r="J334" s="45">
        <v>8</v>
      </c>
      <c r="K334" s="45">
        <v>0</v>
      </c>
      <c r="L334" s="45">
        <v>154</v>
      </c>
      <c r="M334" s="45">
        <v>154</v>
      </c>
      <c r="N334" s="45">
        <v>1</v>
      </c>
      <c r="O334" s="45">
        <v>0</v>
      </c>
      <c r="P334" s="45">
        <v>0</v>
      </c>
      <c r="Q334" s="45">
        <v>155</v>
      </c>
      <c r="R334" s="45">
        <v>0</v>
      </c>
      <c r="S334" s="45">
        <v>2728.1623376623379</v>
      </c>
      <c r="T334" s="45">
        <v>2728.1623376623379</v>
      </c>
      <c r="U334" s="45">
        <v>1416</v>
      </c>
      <c r="V334" s="45">
        <v>0</v>
      </c>
      <c r="W334" s="45">
        <v>0</v>
      </c>
      <c r="X334" s="45">
        <v>2719.6967741935482</v>
      </c>
      <c r="Y334" s="45">
        <v>0</v>
      </c>
      <c r="Z334" s="45">
        <v>166</v>
      </c>
      <c r="AA334" s="45">
        <v>0</v>
      </c>
      <c r="AB334" s="508">
        <v>1</v>
      </c>
      <c r="AC334" s="508">
        <v>0</v>
      </c>
      <c r="AD334" s="631">
        <v>167</v>
      </c>
      <c r="AE334" s="632">
        <v>0</v>
      </c>
      <c r="AF334" s="632">
        <v>158</v>
      </c>
      <c r="AG334" s="633">
        <v>158</v>
      </c>
      <c r="AH334" s="632">
        <v>0</v>
      </c>
      <c r="AI334" s="632">
        <v>0</v>
      </c>
      <c r="AJ334" s="632">
        <v>150.91296469419254</v>
      </c>
      <c r="AK334" s="632">
        <v>150.91296469419254</v>
      </c>
      <c r="AL334" s="632">
        <v>0</v>
      </c>
      <c r="AM334" s="632">
        <v>0</v>
      </c>
      <c r="AN334" s="632">
        <v>144.16774944128966</v>
      </c>
      <c r="AO334" s="632">
        <v>144.16774944128966</v>
      </c>
      <c r="AP334" s="632">
        <v>0</v>
      </c>
      <c r="AQ334" s="632">
        <v>0.92984135081383867</v>
      </c>
      <c r="AR334" s="632">
        <v>0</v>
      </c>
      <c r="AS334" s="632">
        <v>137.1971259806663</v>
      </c>
      <c r="AT334" s="632">
        <v>143.89171285819413</v>
      </c>
      <c r="AU334" s="632">
        <v>150.91296469419254</v>
      </c>
      <c r="AV334" s="632">
        <v>158.27682123177721</v>
      </c>
      <c r="AW334" s="632">
        <v>166</v>
      </c>
      <c r="AX334" s="632">
        <v>131.54645556307895</v>
      </c>
      <c r="AY334" s="632">
        <v>137.7125863728792</v>
      </c>
      <c r="AZ334" s="632">
        <v>144.16774944128966</v>
      </c>
      <c r="BA334" s="632">
        <v>150.9254929152917</v>
      </c>
      <c r="BB334" s="632">
        <v>158</v>
      </c>
      <c r="BC334" s="632">
        <v>0.86460493768330426</v>
      </c>
      <c r="BD334" s="632">
        <v>0.89663003695825327</v>
      </c>
      <c r="BE334" s="632">
        <v>0.92984135081383867</v>
      </c>
      <c r="BF334" s="632">
        <v>0.96428281681975381</v>
      </c>
      <c r="BG334" s="632">
        <v>1</v>
      </c>
      <c r="BH334" s="634">
        <v>169.31753290262944</v>
      </c>
      <c r="BI334" s="634">
        <v>172.70136715803014</v>
      </c>
      <c r="BJ334" s="634">
        <v>176.15282780788468</v>
      </c>
      <c r="BK334" s="635">
        <v>177.31811435985077</v>
      </c>
      <c r="BL334" s="635">
        <v>178.48340091181689</v>
      </c>
      <c r="BM334" s="635">
        <v>179.64868746378295</v>
      </c>
      <c r="BN334" s="635">
        <v>180.81397401574907</v>
      </c>
      <c r="BO334" s="635">
        <v>182.19184893444941</v>
      </c>
      <c r="BP334" s="635">
        <v>183.56972385314972</v>
      </c>
      <c r="BQ334" s="635">
        <v>187.38958867877099</v>
      </c>
      <c r="BR334" s="635">
        <v>191.94069615966362</v>
      </c>
      <c r="BS334" s="635">
        <v>193.9389978522255</v>
      </c>
      <c r="BT334" s="635">
        <v>195.03637738104186</v>
      </c>
      <c r="BU334" s="635">
        <v>196.17281742484585</v>
      </c>
      <c r="BV334" s="635">
        <v>197.33659982914116</v>
      </c>
      <c r="BW334" s="634">
        <v>161.15765179888825</v>
      </c>
      <c r="BX334" s="634">
        <v>164.37840970463111</v>
      </c>
      <c r="BY334" s="634">
        <v>167.6635349014806</v>
      </c>
      <c r="BZ334" s="635">
        <v>168.77266306540014</v>
      </c>
      <c r="CA334" s="635">
        <v>169.8817912293197</v>
      </c>
      <c r="CB334" s="635">
        <v>170.99091939323921</v>
      </c>
      <c r="CC334" s="635">
        <v>172.10004755715875</v>
      </c>
      <c r="CD334" s="635">
        <v>173.41151886531932</v>
      </c>
      <c r="CE334" s="635">
        <v>174.72299017347987</v>
      </c>
      <c r="CF334" s="635">
        <v>178.35876512798686</v>
      </c>
      <c r="CG334" s="635">
        <v>182.69054212787259</v>
      </c>
      <c r="CH334" s="635">
        <v>184.59254012440741</v>
      </c>
      <c r="CI334" s="635">
        <v>185.63703389279888</v>
      </c>
      <c r="CJ334" s="635">
        <v>186.71870574172075</v>
      </c>
      <c r="CK334" s="635">
        <v>187.82640224701387</v>
      </c>
      <c r="CL334" s="634">
        <v>1.0199851379676472</v>
      </c>
      <c r="CM334" s="634">
        <v>1.0403696816748804</v>
      </c>
      <c r="CN334" s="634">
        <v>1.0611616133005102</v>
      </c>
      <c r="CO334" s="635">
        <v>1.06818141180633</v>
      </c>
      <c r="CP334" s="635">
        <v>1.07520121031215</v>
      </c>
      <c r="CQ334" s="635">
        <v>1.0822210088179696</v>
      </c>
      <c r="CR334" s="635">
        <v>1.0892408073237896</v>
      </c>
      <c r="CS334" s="635">
        <v>1.0975412586412614</v>
      </c>
      <c r="CT334" s="635">
        <v>1.1058417099587334</v>
      </c>
      <c r="CU334" s="635">
        <v>1.1288529438480179</v>
      </c>
      <c r="CV334" s="635">
        <v>1.1562692539738773</v>
      </c>
      <c r="CW334" s="635">
        <v>1.1683072159772621</v>
      </c>
      <c r="CX334" s="635">
        <v>1.1749179360303728</v>
      </c>
      <c r="CY334" s="635">
        <v>1.1817639603906378</v>
      </c>
      <c r="CZ334" s="635">
        <v>1.1887746977659106</v>
      </c>
      <c r="DA334" s="636">
        <v>0</v>
      </c>
      <c r="DB334" s="636">
        <v>0</v>
      </c>
      <c r="DC334" s="636">
        <v>0</v>
      </c>
      <c r="DD334" s="637">
        <v>0</v>
      </c>
      <c r="DE334" s="637">
        <v>0</v>
      </c>
      <c r="DF334" s="637">
        <v>0</v>
      </c>
      <c r="DG334" s="637">
        <v>0</v>
      </c>
      <c r="DH334" s="637">
        <v>0</v>
      </c>
      <c r="DI334" s="637">
        <v>0</v>
      </c>
      <c r="DJ334" s="637">
        <v>0</v>
      </c>
      <c r="DK334" s="637">
        <v>0</v>
      </c>
      <c r="DL334" s="637">
        <v>0</v>
      </c>
      <c r="DM334" s="637">
        <v>0</v>
      </c>
      <c r="DN334" s="637">
        <v>0</v>
      </c>
      <c r="DO334" s="637">
        <v>0</v>
      </c>
      <c r="DP334" s="636">
        <v>0</v>
      </c>
      <c r="DQ334" s="636">
        <v>0</v>
      </c>
      <c r="DR334" s="636">
        <v>0</v>
      </c>
      <c r="DS334" s="637">
        <v>0</v>
      </c>
      <c r="DT334" s="637">
        <v>0</v>
      </c>
      <c r="DU334" s="637">
        <v>0</v>
      </c>
      <c r="DV334" s="637">
        <v>0</v>
      </c>
      <c r="DW334" s="637">
        <v>0</v>
      </c>
      <c r="DX334" s="637">
        <v>0</v>
      </c>
      <c r="DY334" s="637">
        <v>0</v>
      </c>
      <c r="DZ334" s="637">
        <v>0</v>
      </c>
      <c r="EA334" s="637">
        <v>0</v>
      </c>
      <c r="EB334" s="637">
        <v>0</v>
      </c>
      <c r="EC334" s="637">
        <v>0</v>
      </c>
      <c r="ED334" s="637">
        <v>0</v>
      </c>
    </row>
    <row r="335" spans="1:134" ht="15" x14ac:dyDescent="0.25">
      <c r="A335" s="555">
        <v>114</v>
      </c>
      <c r="B335" s="555">
        <v>99</v>
      </c>
      <c r="C335" s="555" t="s">
        <v>1318</v>
      </c>
      <c r="D335" s="812">
        <v>99712</v>
      </c>
      <c r="E335" s="812">
        <v>99712</v>
      </c>
      <c r="F335" s="630" t="s">
        <v>311</v>
      </c>
      <c r="G335" s="45">
        <v>46</v>
      </c>
      <c r="H335" s="45">
        <v>19</v>
      </c>
      <c r="I335" s="45">
        <v>17</v>
      </c>
      <c r="J335" s="45">
        <v>2</v>
      </c>
      <c r="K335" s="45">
        <v>0</v>
      </c>
      <c r="L335" s="45">
        <v>112</v>
      </c>
      <c r="M335" s="45">
        <v>112</v>
      </c>
      <c r="N335" s="45">
        <v>0</v>
      </c>
      <c r="O335" s="45">
        <v>0</v>
      </c>
      <c r="P335" s="45">
        <v>0</v>
      </c>
      <c r="Q335" s="45">
        <v>112</v>
      </c>
      <c r="R335" s="45">
        <v>0</v>
      </c>
      <c r="S335" s="45">
        <v>2620.9553571428573</v>
      </c>
      <c r="T335" s="45">
        <v>2620.9553571428573</v>
      </c>
      <c r="U335" s="45">
        <v>0</v>
      </c>
      <c r="V335" s="45">
        <v>0</v>
      </c>
      <c r="W335" s="45">
        <v>0</v>
      </c>
      <c r="X335" s="45">
        <v>2620.9553571428573</v>
      </c>
      <c r="Y335" s="45">
        <v>0</v>
      </c>
      <c r="Z335" s="45">
        <v>19</v>
      </c>
      <c r="AA335" s="45">
        <v>0</v>
      </c>
      <c r="AB335" s="508">
        <v>0</v>
      </c>
      <c r="AC335" s="508">
        <v>0</v>
      </c>
      <c r="AD335" s="631">
        <v>19</v>
      </c>
      <c r="AE335" s="632">
        <v>0</v>
      </c>
      <c r="AF335" s="632">
        <v>17</v>
      </c>
      <c r="AG335" s="633">
        <v>17</v>
      </c>
      <c r="AH335" s="632">
        <v>0</v>
      </c>
      <c r="AI335" s="632">
        <v>0</v>
      </c>
      <c r="AJ335" s="632">
        <v>17.273170657769025</v>
      </c>
      <c r="AK335" s="632">
        <v>17.273170657769025</v>
      </c>
      <c r="AL335" s="632">
        <v>0</v>
      </c>
      <c r="AM335" s="632">
        <v>0</v>
      </c>
      <c r="AN335" s="632">
        <v>15.511719876594457</v>
      </c>
      <c r="AO335" s="632">
        <v>15.511719876594457</v>
      </c>
      <c r="AP335" s="632">
        <v>0</v>
      </c>
      <c r="AQ335" s="632">
        <v>0</v>
      </c>
      <c r="AR335" s="632">
        <v>0</v>
      </c>
      <c r="AS335" s="632">
        <v>15.703285503811204</v>
      </c>
      <c r="AT335" s="632">
        <v>16.469533399431857</v>
      </c>
      <c r="AU335" s="632">
        <v>17.273170657769025</v>
      </c>
      <c r="AV335" s="632">
        <v>18.116021707251608</v>
      </c>
      <c r="AW335" s="632">
        <v>19</v>
      </c>
      <c r="AX335" s="632">
        <v>14.153732560584444</v>
      </c>
      <c r="AY335" s="632">
        <v>14.817177014803457</v>
      </c>
      <c r="AZ335" s="632">
        <v>15.511719876594457</v>
      </c>
      <c r="BA335" s="632">
        <v>16.238818857974426</v>
      </c>
      <c r="BB335" s="632">
        <v>17</v>
      </c>
      <c r="BC335" s="632">
        <v>0</v>
      </c>
      <c r="BD335" s="632">
        <v>0</v>
      </c>
      <c r="BE335" s="632">
        <v>0</v>
      </c>
      <c r="BF335" s="632">
        <v>0</v>
      </c>
      <c r="BG335" s="632">
        <v>0</v>
      </c>
      <c r="BH335" s="634">
        <v>19.179916649465419</v>
      </c>
      <c r="BI335" s="634">
        <v>19.361536983181093</v>
      </c>
      <c r="BJ335" s="634">
        <v>19.544877133839766</v>
      </c>
      <c r="BK335" s="635">
        <v>19.631723350736479</v>
      </c>
      <c r="BL335" s="635">
        <v>19.718569567633192</v>
      </c>
      <c r="BM335" s="635">
        <v>19.805415784529899</v>
      </c>
      <c r="BN335" s="635">
        <v>19.892262001426612</v>
      </c>
      <c r="BO335" s="635">
        <v>19.994951956823499</v>
      </c>
      <c r="BP335" s="635">
        <v>20.097641912220382</v>
      </c>
      <c r="BQ335" s="635">
        <v>20.382327948116274</v>
      </c>
      <c r="BR335" s="635">
        <v>20.721511873940344</v>
      </c>
      <c r="BS335" s="635">
        <v>20.870440857909557</v>
      </c>
      <c r="BT335" s="635">
        <v>20.952226115292643</v>
      </c>
      <c r="BU335" s="635">
        <v>21.0369224660467</v>
      </c>
      <c r="BV335" s="635">
        <v>21.123656582160443</v>
      </c>
      <c r="BW335" s="634">
        <v>17.160978054784849</v>
      </c>
      <c r="BX335" s="634">
        <v>17.323480458635714</v>
      </c>
      <c r="BY335" s="634">
        <v>17.487521646067158</v>
      </c>
      <c r="BZ335" s="635">
        <v>17.565226155922112</v>
      </c>
      <c r="CA335" s="635">
        <v>17.642930665777065</v>
      </c>
      <c r="CB335" s="635">
        <v>17.720635175632015</v>
      </c>
      <c r="CC335" s="635">
        <v>17.798339685486969</v>
      </c>
      <c r="CD335" s="635">
        <v>17.890220171894711</v>
      </c>
      <c r="CE335" s="635">
        <v>17.982100658302446</v>
      </c>
      <c r="CF335" s="635">
        <v>18.236819743051402</v>
      </c>
      <c r="CG335" s="635">
        <v>18.540300097736097</v>
      </c>
      <c r="CH335" s="635">
        <v>18.673552346550654</v>
      </c>
      <c r="CI335" s="635">
        <v>18.746728629472365</v>
      </c>
      <c r="CJ335" s="635">
        <v>18.822509574883892</v>
      </c>
      <c r="CK335" s="635">
        <v>18.90011378403829</v>
      </c>
      <c r="CL335" s="634">
        <v>0</v>
      </c>
      <c r="CM335" s="634">
        <v>0</v>
      </c>
      <c r="CN335" s="634">
        <v>0</v>
      </c>
      <c r="CO335" s="635">
        <v>0</v>
      </c>
      <c r="CP335" s="635">
        <v>0</v>
      </c>
      <c r="CQ335" s="635">
        <v>0</v>
      </c>
      <c r="CR335" s="635">
        <v>0</v>
      </c>
      <c r="CS335" s="635">
        <v>0</v>
      </c>
      <c r="CT335" s="635">
        <v>0</v>
      </c>
      <c r="CU335" s="635">
        <v>0</v>
      </c>
      <c r="CV335" s="635">
        <v>0</v>
      </c>
      <c r="CW335" s="635">
        <v>0</v>
      </c>
      <c r="CX335" s="635">
        <v>0</v>
      </c>
      <c r="CY335" s="635">
        <v>0</v>
      </c>
      <c r="CZ335" s="635">
        <v>0</v>
      </c>
      <c r="DA335" s="636">
        <v>0</v>
      </c>
      <c r="DB335" s="636">
        <v>0</v>
      </c>
      <c r="DC335" s="636">
        <v>0</v>
      </c>
      <c r="DD335" s="637">
        <v>0</v>
      </c>
      <c r="DE335" s="637">
        <v>0</v>
      </c>
      <c r="DF335" s="637">
        <v>0</v>
      </c>
      <c r="DG335" s="637">
        <v>0</v>
      </c>
      <c r="DH335" s="637">
        <v>0</v>
      </c>
      <c r="DI335" s="637">
        <v>0</v>
      </c>
      <c r="DJ335" s="637">
        <v>0</v>
      </c>
      <c r="DK335" s="637">
        <v>0</v>
      </c>
      <c r="DL335" s="637">
        <v>0</v>
      </c>
      <c r="DM335" s="637">
        <v>0</v>
      </c>
      <c r="DN335" s="637">
        <v>0</v>
      </c>
      <c r="DO335" s="637">
        <v>0</v>
      </c>
      <c r="DP335" s="636">
        <v>0</v>
      </c>
      <c r="DQ335" s="636">
        <v>0</v>
      </c>
      <c r="DR335" s="636">
        <v>0</v>
      </c>
      <c r="DS335" s="637">
        <v>0</v>
      </c>
      <c r="DT335" s="637">
        <v>0</v>
      </c>
      <c r="DU335" s="637">
        <v>0</v>
      </c>
      <c r="DV335" s="637">
        <v>0</v>
      </c>
      <c r="DW335" s="637">
        <v>0</v>
      </c>
      <c r="DX335" s="637">
        <v>0</v>
      </c>
      <c r="DY335" s="637">
        <v>0</v>
      </c>
      <c r="DZ335" s="637">
        <v>0</v>
      </c>
      <c r="EA335" s="637">
        <v>0</v>
      </c>
      <c r="EB335" s="637">
        <v>0</v>
      </c>
      <c r="EC335" s="637">
        <v>0</v>
      </c>
      <c r="ED335" s="637">
        <v>0</v>
      </c>
    </row>
    <row r="336" spans="1:134" ht="15" x14ac:dyDescent="0.25">
      <c r="A336" s="555">
        <v>115</v>
      </c>
      <c r="B336" s="555">
        <v>99</v>
      </c>
      <c r="C336" s="555" t="s">
        <v>1319</v>
      </c>
      <c r="D336" s="812">
        <v>99712</v>
      </c>
      <c r="E336" s="812">
        <v>99712</v>
      </c>
      <c r="F336" s="630" t="s">
        <v>311</v>
      </c>
      <c r="G336" s="45">
        <v>246</v>
      </c>
      <c r="H336" s="45">
        <v>91</v>
      </c>
      <c r="I336" s="45">
        <v>86</v>
      </c>
      <c r="J336" s="45">
        <v>5</v>
      </c>
      <c r="K336" s="45">
        <v>0</v>
      </c>
      <c r="L336" s="45">
        <v>62</v>
      </c>
      <c r="M336" s="45">
        <v>62</v>
      </c>
      <c r="N336" s="45">
        <v>0</v>
      </c>
      <c r="O336" s="45">
        <v>0</v>
      </c>
      <c r="P336" s="45">
        <v>0</v>
      </c>
      <c r="Q336" s="45">
        <v>62</v>
      </c>
      <c r="R336" s="45">
        <v>0</v>
      </c>
      <c r="S336" s="45">
        <v>2216.8225806451615</v>
      </c>
      <c r="T336" s="45">
        <v>2216.8225806451615</v>
      </c>
      <c r="U336" s="45">
        <v>0</v>
      </c>
      <c r="V336" s="45">
        <v>0</v>
      </c>
      <c r="W336" s="45">
        <v>0</v>
      </c>
      <c r="X336" s="45">
        <v>2216.8225806451615</v>
      </c>
      <c r="Y336" s="45">
        <v>0</v>
      </c>
      <c r="Z336" s="45">
        <v>91</v>
      </c>
      <c r="AA336" s="45">
        <v>0</v>
      </c>
      <c r="AB336" s="508">
        <v>0</v>
      </c>
      <c r="AC336" s="508">
        <v>0</v>
      </c>
      <c r="AD336" s="631">
        <v>91</v>
      </c>
      <c r="AE336" s="632">
        <v>0</v>
      </c>
      <c r="AF336" s="632">
        <v>86</v>
      </c>
      <c r="AG336" s="633">
        <v>86</v>
      </c>
      <c r="AH336" s="632">
        <v>0</v>
      </c>
      <c r="AI336" s="632">
        <v>0</v>
      </c>
      <c r="AJ336" s="632">
        <v>82.729396308262181</v>
      </c>
      <c r="AK336" s="632">
        <v>82.729396308262181</v>
      </c>
      <c r="AL336" s="632">
        <v>0</v>
      </c>
      <c r="AM336" s="632">
        <v>0</v>
      </c>
      <c r="AN336" s="632">
        <v>78.471053493360202</v>
      </c>
      <c r="AO336" s="632">
        <v>78.471053493360202</v>
      </c>
      <c r="AP336" s="632">
        <v>0</v>
      </c>
      <c r="AQ336" s="632">
        <v>0</v>
      </c>
      <c r="AR336" s="632">
        <v>0</v>
      </c>
      <c r="AS336" s="632">
        <v>75.210472676148399</v>
      </c>
      <c r="AT336" s="632">
        <v>78.880396807805212</v>
      </c>
      <c r="AU336" s="632">
        <v>82.729396308262181</v>
      </c>
      <c r="AV336" s="632">
        <v>86.766209229468231</v>
      </c>
      <c r="AW336" s="632">
        <v>91</v>
      </c>
      <c r="AX336" s="632">
        <v>71.601235306486018</v>
      </c>
      <c r="AY336" s="632">
        <v>74.9574837219469</v>
      </c>
      <c r="AZ336" s="632">
        <v>78.471053493360202</v>
      </c>
      <c r="BA336" s="632">
        <v>82.149318928576506</v>
      </c>
      <c r="BB336" s="632">
        <v>86</v>
      </c>
      <c r="BC336" s="632">
        <v>0</v>
      </c>
      <c r="BD336" s="632">
        <v>0</v>
      </c>
      <c r="BE336" s="632">
        <v>0</v>
      </c>
      <c r="BF336" s="632">
        <v>0</v>
      </c>
      <c r="BG336" s="632">
        <v>0</v>
      </c>
      <c r="BH336" s="634">
        <v>91.861706057965961</v>
      </c>
      <c r="BI336" s="634">
        <v>92.731571866814718</v>
      </c>
      <c r="BJ336" s="634">
        <v>93.609674693653616</v>
      </c>
      <c r="BK336" s="635">
        <v>94.167613979598926</v>
      </c>
      <c r="BL336" s="635">
        <v>94.725553265544249</v>
      </c>
      <c r="BM336" s="635">
        <v>95.283492551489573</v>
      </c>
      <c r="BN336" s="635">
        <v>95.841431837434882</v>
      </c>
      <c r="BO336" s="635">
        <v>96.501158448854667</v>
      </c>
      <c r="BP336" s="635">
        <v>97.160885060274452</v>
      </c>
      <c r="BQ336" s="635">
        <v>98.989836616969981</v>
      </c>
      <c r="BR336" s="635">
        <v>101.16890721026343</v>
      </c>
      <c r="BS336" s="635">
        <v>102.12569420619175</v>
      </c>
      <c r="BT336" s="635">
        <v>102.65111960450754</v>
      </c>
      <c r="BU336" s="635">
        <v>103.19524718024405</v>
      </c>
      <c r="BV336" s="635">
        <v>103.75246628017504</v>
      </c>
      <c r="BW336" s="634">
        <v>86.814359571264532</v>
      </c>
      <c r="BX336" s="634">
        <v>87.63643055545127</v>
      </c>
      <c r="BY336" s="634">
        <v>88.466285974222103</v>
      </c>
      <c r="BZ336" s="635">
        <v>88.993569255445138</v>
      </c>
      <c r="CA336" s="635">
        <v>89.520852536668187</v>
      </c>
      <c r="CB336" s="635">
        <v>90.04813581789125</v>
      </c>
      <c r="CC336" s="635">
        <v>90.575419099114285</v>
      </c>
      <c r="CD336" s="635">
        <v>91.198896995620899</v>
      </c>
      <c r="CE336" s="635">
        <v>91.822374892127499</v>
      </c>
      <c r="CF336" s="635">
        <v>93.550834605048564</v>
      </c>
      <c r="CG336" s="635">
        <v>95.610176044864346</v>
      </c>
      <c r="CH336" s="635">
        <v>96.514392326730672</v>
      </c>
      <c r="CI336" s="635">
        <v>97.010948197666465</v>
      </c>
      <c r="CJ336" s="635">
        <v>97.525178653857026</v>
      </c>
      <c r="CK336" s="635">
        <v>98.051781319725876</v>
      </c>
      <c r="CL336" s="634">
        <v>0</v>
      </c>
      <c r="CM336" s="634">
        <v>0</v>
      </c>
      <c r="CN336" s="634">
        <v>0</v>
      </c>
      <c r="CO336" s="635">
        <v>0</v>
      </c>
      <c r="CP336" s="635">
        <v>0</v>
      </c>
      <c r="CQ336" s="635">
        <v>0</v>
      </c>
      <c r="CR336" s="635">
        <v>0</v>
      </c>
      <c r="CS336" s="635">
        <v>0</v>
      </c>
      <c r="CT336" s="635">
        <v>0</v>
      </c>
      <c r="CU336" s="635">
        <v>0</v>
      </c>
      <c r="CV336" s="635">
        <v>0</v>
      </c>
      <c r="CW336" s="635">
        <v>0</v>
      </c>
      <c r="CX336" s="635">
        <v>0</v>
      </c>
      <c r="CY336" s="635">
        <v>0</v>
      </c>
      <c r="CZ336" s="635">
        <v>0</v>
      </c>
      <c r="DA336" s="636">
        <v>0</v>
      </c>
      <c r="DB336" s="636">
        <v>0</v>
      </c>
      <c r="DC336" s="636">
        <v>0</v>
      </c>
      <c r="DD336" s="637">
        <v>0</v>
      </c>
      <c r="DE336" s="637">
        <v>0</v>
      </c>
      <c r="DF336" s="637">
        <v>0</v>
      </c>
      <c r="DG336" s="637">
        <v>0</v>
      </c>
      <c r="DH336" s="637">
        <v>0</v>
      </c>
      <c r="DI336" s="637">
        <v>0</v>
      </c>
      <c r="DJ336" s="637">
        <v>0</v>
      </c>
      <c r="DK336" s="637">
        <v>0</v>
      </c>
      <c r="DL336" s="637">
        <v>0</v>
      </c>
      <c r="DM336" s="637">
        <v>0</v>
      </c>
      <c r="DN336" s="637">
        <v>0</v>
      </c>
      <c r="DO336" s="637">
        <v>0</v>
      </c>
      <c r="DP336" s="636">
        <v>0</v>
      </c>
      <c r="DQ336" s="636">
        <v>0</v>
      </c>
      <c r="DR336" s="636">
        <v>0</v>
      </c>
      <c r="DS336" s="637">
        <v>0</v>
      </c>
      <c r="DT336" s="637">
        <v>0</v>
      </c>
      <c r="DU336" s="637">
        <v>0</v>
      </c>
      <c r="DV336" s="637">
        <v>0</v>
      </c>
      <c r="DW336" s="637">
        <v>0</v>
      </c>
      <c r="DX336" s="637">
        <v>0</v>
      </c>
      <c r="DY336" s="637">
        <v>0</v>
      </c>
      <c r="DZ336" s="637">
        <v>0</v>
      </c>
      <c r="EA336" s="637">
        <v>0</v>
      </c>
      <c r="EB336" s="637">
        <v>0</v>
      </c>
      <c r="EC336" s="637">
        <v>0</v>
      </c>
      <c r="ED336" s="637">
        <v>0</v>
      </c>
    </row>
    <row r="337" spans="1:134" ht="15" x14ac:dyDescent="0.25">
      <c r="A337" s="555">
        <v>116</v>
      </c>
      <c r="B337" s="555">
        <v>99</v>
      </c>
      <c r="C337" s="555" t="s">
        <v>1320</v>
      </c>
      <c r="D337" s="812">
        <v>99712</v>
      </c>
      <c r="E337" s="812">
        <v>99712</v>
      </c>
      <c r="F337" s="630" t="s">
        <v>311</v>
      </c>
      <c r="G337" s="45">
        <v>359</v>
      </c>
      <c r="H337" s="45">
        <v>151</v>
      </c>
      <c r="I337" s="45">
        <v>140</v>
      </c>
      <c r="J337" s="45">
        <v>11</v>
      </c>
      <c r="K337" s="45">
        <v>0</v>
      </c>
      <c r="L337" s="45">
        <v>103</v>
      </c>
      <c r="M337" s="45">
        <v>103</v>
      </c>
      <c r="N337" s="45">
        <v>0</v>
      </c>
      <c r="O337" s="45">
        <v>0</v>
      </c>
      <c r="P337" s="45">
        <v>0</v>
      </c>
      <c r="Q337" s="45">
        <v>103</v>
      </c>
      <c r="R337" s="45">
        <v>0</v>
      </c>
      <c r="S337" s="45">
        <v>2502.2524271844659</v>
      </c>
      <c r="T337" s="45">
        <v>2502.2524271844659</v>
      </c>
      <c r="U337" s="45">
        <v>0</v>
      </c>
      <c r="V337" s="45">
        <v>0</v>
      </c>
      <c r="W337" s="45">
        <v>0</v>
      </c>
      <c r="X337" s="45">
        <v>2502.2524271844659</v>
      </c>
      <c r="Y337" s="45">
        <v>0</v>
      </c>
      <c r="Z337" s="45">
        <v>151</v>
      </c>
      <c r="AA337" s="45">
        <v>0</v>
      </c>
      <c r="AB337" s="508">
        <v>0</v>
      </c>
      <c r="AC337" s="508">
        <v>0</v>
      </c>
      <c r="AD337" s="631">
        <v>151</v>
      </c>
      <c r="AE337" s="632">
        <v>0</v>
      </c>
      <c r="AF337" s="632">
        <v>140</v>
      </c>
      <c r="AG337" s="633">
        <v>140</v>
      </c>
      <c r="AH337" s="632">
        <v>0</v>
      </c>
      <c r="AI337" s="632">
        <v>0</v>
      </c>
      <c r="AJ337" s="632">
        <v>137.27625101700647</v>
      </c>
      <c r="AK337" s="632">
        <v>137.27625101700647</v>
      </c>
      <c r="AL337" s="632">
        <v>0</v>
      </c>
      <c r="AM337" s="632">
        <v>0</v>
      </c>
      <c r="AN337" s="632">
        <v>127.74357545430729</v>
      </c>
      <c r="AO337" s="632">
        <v>127.74357545430729</v>
      </c>
      <c r="AP337" s="632">
        <v>0</v>
      </c>
      <c r="AQ337" s="632">
        <v>0</v>
      </c>
      <c r="AR337" s="632">
        <v>0</v>
      </c>
      <c r="AS337" s="632">
        <v>124.79979531976272</v>
      </c>
      <c r="AT337" s="632">
        <v>130.88944964811634</v>
      </c>
      <c r="AU337" s="632">
        <v>137.27625101700647</v>
      </c>
      <c r="AV337" s="632">
        <v>143.97469883131544</v>
      </c>
      <c r="AW337" s="632">
        <v>151</v>
      </c>
      <c r="AX337" s="632">
        <v>116.56015049893072</v>
      </c>
      <c r="AY337" s="632">
        <v>122.02381071014612</v>
      </c>
      <c r="AZ337" s="632">
        <v>127.74357545430729</v>
      </c>
      <c r="BA337" s="632">
        <v>133.7314494186129</v>
      </c>
      <c r="BB337" s="632">
        <v>140</v>
      </c>
      <c r="BC337" s="632">
        <v>0</v>
      </c>
      <c r="BD337" s="632">
        <v>0</v>
      </c>
      <c r="BE337" s="632">
        <v>0</v>
      </c>
      <c r="BF337" s="632">
        <v>0</v>
      </c>
      <c r="BG337" s="632">
        <v>0</v>
      </c>
      <c r="BH337" s="634">
        <v>152.42986389838308</v>
      </c>
      <c r="BI337" s="634">
        <v>153.87326760317606</v>
      </c>
      <c r="BJ337" s="634">
        <v>155.33033932683182</v>
      </c>
      <c r="BK337" s="635">
        <v>156.24636819426101</v>
      </c>
      <c r="BL337" s="635">
        <v>157.16239706169026</v>
      </c>
      <c r="BM337" s="635">
        <v>158.0784259291195</v>
      </c>
      <c r="BN337" s="635">
        <v>158.99445479654869</v>
      </c>
      <c r="BO337" s="635">
        <v>160.07759885163679</v>
      </c>
      <c r="BP337" s="635">
        <v>161.16074290672489</v>
      </c>
      <c r="BQ337" s="635">
        <v>164.16352916907627</v>
      </c>
      <c r="BR337" s="635">
        <v>167.7411434685263</v>
      </c>
      <c r="BS337" s="635">
        <v>169.31200347127063</v>
      </c>
      <c r="BT337" s="635">
        <v>170.17465079627888</v>
      </c>
      <c r="BU337" s="635">
        <v>171.06800349520992</v>
      </c>
      <c r="BV337" s="635">
        <v>171.98284995588693</v>
      </c>
      <c r="BW337" s="634">
        <v>141.32570162763994</v>
      </c>
      <c r="BX337" s="634">
        <v>142.66395671817648</v>
      </c>
      <c r="BY337" s="634">
        <v>144.01488414408249</v>
      </c>
      <c r="BZ337" s="635">
        <v>144.86418243176519</v>
      </c>
      <c r="CA337" s="635">
        <v>145.71348071944792</v>
      </c>
      <c r="CB337" s="635">
        <v>146.56277900713067</v>
      </c>
      <c r="CC337" s="635">
        <v>147.41207729481337</v>
      </c>
      <c r="CD337" s="635">
        <v>148.41631681608712</v>
      </c>
      <c r="CE337" s="635">
        <v>149.42055633736084</v>
      </c>
      <c r="CF337" s="635">
        <v>152.20459658060051</v>
      </c>
      <c r="CG337" s="635">
        <v>155.52158997081909</v>
      </c>
      <c r="CH337" s="635">
        <v>156.97801646342973</v>
      </c>
      <c r="CI337" s="635">
        <v>157.77782193032479</v>
      </c>
      <c r="CJ337" s="635">
        <v>158.60609595582378</v>
      </c>
      <c r="CK337" s="635">
        <v>159.45429797234553</v>
      </c>
      <c r="CL337" s="634">
        <v>0</v>
      </c>
      <c r="CM337" s="634">
        <v>0</v>
      </c>
      <c r="CN337" s="634">
        <v>0</v>
      </c>
      <c r="CO337" s="635">
        <v>0</v>
      </c>
      <c r="CP337" s="635">
        <v>0</v>
      </c>
      <c r="CQ337" s="635">
        <v>0</v>
      </c>
      <c r="CR337" s="635">
        <v>0</v>
      </c>
      <c r="CS337" s="635">
        <v>0</v>
      </c>
      <c r="CT337" s="635">
        <v>0</v>
      </c>
      <c r="CU337" s="635">
        <v>0</v>
      </c>
      <c r="CV337" s="635">
        <v>0</v>
      </c>
      <c r="CW337" s="635">
        <v>0</v>
      </c>
      <c r="CX337" s="635">
        <v>0</v>
      </c>
      <c r="CY337" s="635">
        <v>0</v>
      </c>
      <c r="CZ337" s="635">
        <v>0</v>
      </c>
      <c r="DA337" s="636">
        <v>0</v>
      </c>
      <c r="DB337" s="636">
        <v>0</v>
      </c>
      <c r="DC337" s="636">
        <v>0</v>
      </c>
      <c r="DD337" s="637">
        <v>0</v>
      </c>
      <c r="DE337" s="637">
        <v>0</v>
      </c>
      <c r="DF337" s="637">
        <v>0</v>
      </c>
      <c r="DG337" s="637">
        <v>0</v>
      </c>
      <c r="DH337" s="637">
        <v>0</v>
      </c>
      <c r="DI337" s="637">
        <v>0</v>
      </c>
      <c r="DJ337" s="637">
        <v>0</v>
      </c>
      <c r="DK337" s="637">
        <v>0</v>
      </c>
      <c r="DL337" s="637">
        <v>0</v>
      </c>
      <c r="DM337" s="637">
        <v>0</v>
      </c>
      <c r="DN337" s="637">
        <v>0</v>
      </c>
      <c r="DO337" s="637">
        <v>0</v>
      </c>
      <c r="DP337" s="636">
        <v>0</v>
      </c>
      <c r="DQ337" s="636">
        <v>0</v>
      </c>
      <c r="DR337" s="636">
        <v>0</v>
      </c>
      <c r="DS337" s="637">
        <v>0</v>
      </c>
      <c r="DT337" s="637">
        <v>0</v>
      </c>
      <c r="DU337" s="637">
        <v>0</v>
      </c>
      <c r="DV337" s="637">
        <v>0</v>
      </c>
      <c r="DW337" s="637">
        <v>0</v>
      </c>
      <c r="DX337" s="637">
        <v>0</v>
      </c>
      <c r="DY337" s="637">
        <v>0</v>
      </c>
      <c r="DZ337" s="637">
        <v>0</v>
      </c>
      <c r="EA337" s="637">
        <v>0</v>
      </c>
      <c r="EB337" s="637">
        <v>0</v>
      </c>
      <c r="EC337" s="637">
        <v>0</v>
      </c>
      <c r="ED337" s="637">
        <v>0</v>
      </c>
    </row>
    <row r="338" spans="1:134" ht="15" x14ac:dyDescent="0.25">
      <c r="A338" s="555">
        <v>117</v>
      </c>
      <c r="B338" s="555">
        <v>99</v>
      </c>
      <c r="C338" s="555" t="s">
        <v>1321</v>
      </c>
      <c r="D338" s="812">
        <v>99712</v>
      </c>
      <c r="E338" s="812">
        <v>99712</v>
      </c>
      <c r="F338" s="630" t="s">
        <v>311</v>
      </c>
      <c r="G338" s="45">
        <v>125</v>
      </c>
      <c r="H338" s="45">
        <v>51</v>
      </c>
      <c r="I338" s="45">
        <v>48</v>
      </c>
      <c r="J338" s="45">
        <v>3</v>
      </c>
      <c r="K338" s="45">
        <v>0</v>
      </c>
      <c r="L338" s="45">
        <v>42</v>
      </c>
      <c r="M338" s="45">
        <v>42</v>
      </c>
      <c r="N338" s="45">
        <v>0</v>
      </c>
      <c r="O338" s="45">
        <v>0</v>
      </c>
      <c r="P338" s="45">
        <v>0</v>
      </c>
      <c r="Q338" s="45">
        <v>42</v>
      </c>
      <c r="R338" s="45">
        <v>0</v>
      </c>
      <c r="S338" s="45">
        <v>2520.2380952380954</v>
      </c>
      <c r="T338" s="45">
        <v>2520.2380952380954</v>
      </c>
      <c r="U338" s="45">
        <v>0</v>
      </c>
      <c r="V338" s="45">
        <v>0</v>
      </c>
      <c r="W338" s="45">
        <v>0</v>
      </c>
      <c r="X338" s="45">
        <v>2520.2380952380954</v>
      </c>
      <c r="Y338" s="45">
        <v>0</v>
      </c>
      <c r="Z338" s="45">
        <v>51</v>
      </c>
      <c r="AA338" s="45">
        <v>0</v>
      </c>
      <c r="AB338" s="508">
        <v>0</v>
      </c>
      <c r="AC338" s="508">
        <v>0</v>
      </c>
      <c r="AD338" s="631">
        <v>51</v>
      </c>
      <c r="AE338" s="632">
        <v>0</v>
      </c>
      <c r="AF338" s="632">
        <v>48</v>
      </c>
      <c r="AG338" s="633">
        <v>48</v>
      </c>
      <c r="AH338" s="632">
        <v>0</v>
      </c>
      <c r="AI338" s="632">
        <v>0</v>
      </c>
      <c r="AJ338" s="632">
        <v>46.364826502432649</v>
      </c>
      <c r="AK338" s="632">
        <v>46.364826502432649</v>
      </c>
      <c r="AL338" s="632">
        <v>0</v>
      </c>
      <c r="AM338" s="632">
        <v>0</v>
      </c>
      <c r="AN338" s="632">
        <v>43.797797298619642</v>
      </c>
      <c r="AO338" s="632">
        <v>43.797797298619642</v>
      </c>
      <c r="AP338" s="632">
        <v>0</v>
      </c>
      <c r="AQ338" s="632">
        <v>0</v>
      </c>
      <c r="AR338" s="632">
        <v>0</v>
      </c>
      <c r="AS338" s="632">
        <v>42.150924247072176</v>
      </c>
      <c r="AT338" s="632">
        <v>44.207694914264458</v>
      </c>
      <c r="AU338" s="632">
        <v>46.364826502432649</v>
      </c>
      <c r="AV338" s="632">
        <v>48.627216161570111</v>
      </c>
      <c r="AW338" s="632">
        <v>51</v>
      </c>
      <c r="AX338" s="632">
        <v>39.96348017106196</v>
      </c>
      <c r="AY338" s="632">
        <v>41.836735100621524</v>
      </c>
      <c r="AZ338" s="632">
        <v>43.797797298619642</v>
      </c>
      <c r="BA338" s="632">
        <v>45.850782657810136</v>
      </c>
      <c r="BB338" s="632">
        <v>48</v>
      </c>
      <c r="BC338" s="632">
        <v>0</v>
      </c>
      <c r="BD338" s="632">
        <v>0</v>
      </c>
      <c r="BE338" s="632">
        <v>0</v>
      </c>
      <c r="BF338" s="632">
        <v>0</v>
      </c>
      <c r="BG338" s="632">
        <v>0</v>
      </c>
      <c r="BH338" s="634">
        <v>51.472203848237228</v>
      </c>
      <c r="BI338" s="634">
        <v>51.948779784205641</v>
      </c>
      <c r="BJ338" s="634">
        <v>52.42976828862389</v>
      </c>
      <c r="BK338" s="635">
        <v>53.855967299935095</v>
      </c>
      <c r="BL338" s="635">
        <v>55.2821663112463</v>
      </c>
      <c r="BM338" s="635">
        <v>56.708365322557498</v>
      </c>
      <c r="BN338" s="635">
        <v>58.134564333868703</v>
      </c>
      <c r="BO338" s="635">
        <v>59.820951122976794</v>
      </c>
      <c r="BP338" s="635">
        <v>61.507337912084878</v>
      </c>
      <c r="BQ338" s="635">
        <v>66.182486207971124</v>
      </c>
      <c r="BR338" s="635">
        <v>71.752605401974307</v>
      </c>
      <c r="BS338" s="635">
        <v>74.198335075439417</v>
      </c>
      <c r="BT338" s="635">
        <v>75.541422401376892</v>
      </c>
      <c r="BU338" s="635">
        <v>76.932316052516228</v>
      </c>
      <c r="BV338" s="635">
        <v>78.356674131296884</v>
      </c>
      <c r="BW338" s="634">
        <v>48.444427151282099</v>
      </c>
      <c r="BX338" s="634">
        <v>48.892969208664134</v>
      </c>
      <c r="BY338" s="634">
        <v>49.345664271646015</v>
      </c>
      <c r="BZ338" s="635">
        <v>50.687969223468329</v>
      </c>
      <c r="CA338" s="635">
        <v>52.030274175290636</v>
      </c>
      <c r="CB338" s="635">
        <v>53.372579127112935</v>
      </c>
      <c r="CC338" s="635">
        <v>54.714884078935249</v>
      </c>
      <c r="CD338" s="635">
        <v>56.302071645154633</v>
      </c>
      <c r="CE338" s="635">
        <v>57.889259211374004</v>
      </c>
      <c r="CF338" s="635">
        <v>62.289398783972821</v>
      </c>
      <c r="CG338" s="635">
        <v>67.531863907740529</v>
      </c>
      <c r="CH338" s="635">
        <v>69.833727129825334</v>
      </c>
      <c r="CI338" s="635">
        <v>71.09780931894295</v>
      </c>
      <c r="CJ338" s="635">
        <v>72.406885696485858</v>
      </c>
      <c r="CK338" s="635">
        <v>73.747458005926489</v>
      </c>
      <c r="CL338" s="634">
        <v>0</v>
      </c>
      <c r="CM338" s="634">
        <v>0</v>
      </c>
      <c r="CN338" s="634">
        <v>0</v>
      </c>
      <c r="CO338" s="635">
        <v>0</v>
      </c>
      <c r="CP338" s="635">
        <v>0</v>
      </c>
      <c r="CQ338" s="635">
        <v>0</v>
      </c>
      <c r="CR338" s="635">
        <v>0</v>
      </c>
      <c r="CS338" s="635">
        <v>0</v>
      </c>
      <c r="CT338" s="635">
        <v>0</v>
      </c>
      <c r="CU338" s="635">
        <v>0</v>
      </c>
      <c r="CV338" s="635">
        <v>0</v>
      </c>
      <c r="CW338" s="635">
        <v>0</v>
      </c>
      <c r="CX338" s="635">
        <v>0</v>
      </c>
      <c r="CY338" s="635">
        <v>0</v>
      </c>
      <c r="CZ338" s="635">
        <v>0</v>
      </c>
      <c r="DA338" s="636">
        <v>0</v>
      </c>
      <c r="DB338" s="636">
        <v>0</v>
      </c>
      <c r="DC338" s="636">
        <v>0</v>
      </c>
      <c r="DD338" s="637">
        <v>0</v>
      </c>
      <c r="DE338" s="637">
        <v>0</v>
      </c>
      <c r="DF338" s="637">
        <v>0</v>
      </c>
      <c r="DG338" s="637">
        <v>0</v>
      </c>
      <c r="DH338" s="637">
        <v>0</v>
      </c>
      <c r="DI338" s="637">
        <v>0</v>
      </c>
      <c r="DJ338" s="637">
        <v>0</v>
      </c>
      <c r="DK338" s="637">
        <v>0</v>
      </c>
      <c r="DL338" s="637">
        <v>0</v>
      </c>
      <c r="DM338" s="637">
        <v>0</v>
      </c>
      <c r="DN338" s="637">
        <v>0</v>
      </c>
      <c r="DO338" s="637">
        <v>0</v>
      </c>
      <c r="DP338" s="636">
        <v>0</v>
      </c>
      <c r="DQ338" s="636">
        <v>0</v>
      </c>
      <c r="DR338" s="636">
        <v>0</v>
      </c>
      <c r="DS338" s="637">
        <v>0</v>
      </c>
      <c r="DT338" s="637">
        <v>0</v>
      </c>
      <c r="DU338" s="637">
        <v>0</v>
      </c>
      <c r="DV338" s="637">
        <v>0</v>
      </c>
      <c r="DW338" s="637">
        <v>0</v>
      </c>
      <c r="DX338" s="637">
        <v>0</v>
      </c>
      <c r="DY338" s="637">
        <v>0</v>
      </c>
      <c r="DZ338" s="637">
        <v>0</v>
      </c>
      <c r="EA338" s="637">
        <v>0</v>
      </c>
      <c r="EB338" s="637">
        <v>0</v>
      </c>
      <c r="EC338" s="637">
        <v>0</v>
      </c>
      <c r="ED338" s="637">
        <v>0</v>
      </c>
    </row>
    <row r="339" spans="1:134" ht="15" x14ac:dyDescent="0.25">
      <c r="A339" s="555">
        <v>121</v>
      </c>
      <c r="B339" s="555">
        <v>99</v>
      </c>
      <c r="C339" s="555" t="s">
        <v>1322</v>
      </c>
      <c r="D339" s="812">
        <v>99712</v>
      </c>
      <c r="E339" s="812">
        <v>99712</v>
      </c>
      <c r="F339" s="630" t="s">
        <v>989</v>
      </c>
      <c r="G339" s="45">
        <v>74</v>
      </c>
      <c r="H339" s="45">
        <v>34</v>
      </c>
      <c r="I339" s="45">
        <v>28</v>
      </c>
      <c r="J339" s="45">
        <v>6</v>
      </c>
      <c r="K339" s="45">
        <v>0</v>
      </c>
      <c r="L339" s="45">
        <v>35</v>
      </c>
      <c r="M339" s="45">
        <v>35</v>
      </c>
      <c r="N339" s="45">
        <v>0</v>
      </c>
      <c r="O339" s="45">
        <v>0</v>
      </c>
      <c r="P339" s="45">
        <v>0</v>
      </c>
      <c r="Q339" s="45">
        <v>35</v>
      </c>
      <c r="R339" s="45">
        <v>0</v>
      </c>
      <c r="S339" s="45">
        <v>2755.7142857142858</v>
      </c>
      <c r="T339" s="45">
        <v>2755.7142857142858</v>
      </c>
      <c r="U339" s="45">
        <v>0</v>
      </c>
      <c r="V339" s="45">
        <v>0</v>
      </c>
      <c r="W339" s="45">
        <v>0</v>
      </c>
      <c r="X339" s="45">
        <v>2755.7142857142858</v>
      </c>
      <c r="Y339" s="45">
        <v>0</v>
      </c>
      <c r="Z339" s="45">
        <v>34</v>
      </c>
      <c r="AA339" s="45">
        <v>0</v>
      </c>
      <c r="AB339" s="508">
        <v>0</v>
      </c>
      <c r="AC339" s="508">
        <v>0</v>
      </c>
      <c r="AD339" s="631">
        <v>34</v>
      </c>
      <c r="AE339" s="632">
        <v>0</v>
      </c>
      <c r="AF339" s="632">
        <v>28</v>
      </c>
      <c r="AG339" s="633">
        <v>28</v>
      </c>
      <c r="AH339" s="632">
        <v>0</v>
      </c>
      <c r="AI339" s="632">
        <v>0</v>
      </c>
      <c r="AJ339" s="632">
        <v>30.909884334955098</v>
      </c>
      <c r="AK339" s="632">
        <v>30.909884334955098</v>
      </c>
      <c r="AL339" s="632">
        <v>0</v>
      </c>
      <c r="AM339" s="632">
        <v>0</v>
      </c>
      <c r="AN339" s="632">
        <v>25.54871509086146</v>
      </c>
      <c r="AO339" s="632">
        <v>25.54871509086146</v>
      </c>
      <c r="AP339" s="632">
        <v>0</v>
      </c>
      <c r="AQ339" s="632">
        <v>0</v>
      </c>
      <c r="AR339" s="632">
        <v>0</v>
      </c>
      <c r="AS339" s="632">
        <v>28.100616164714783</v>
      </c>
      <c r="AT339" s="632">
        <v>29.471796609509639</v>
      </c>
      <c r="AU339" s="632">
        <v>30.909884334955098</v>
      </c>
      <c r="AV339" s="632">
        <v>32.41814410771341</v>
      </c>
      <c r="AW339" s="632">
        <v>34</v>
      </c>
      <c r="AX339" s="632">
        <v>23.312030099786146</v>
      </c>
      <c r="AY339" s="632">
        <v>24.404762142029224</v>
      </c>
      <c r="AZ339" s="632">
        <v>25.54871509086146</v>
      </c>
      <c r="BA339" s="632">
        <v>26.746289883722582</v>
      </c>
      <c r="BB339" s="632">
        <v>28</v>
      </c>
      <c r="BC339" s="632">
        <v>0</v>
      </c>
      <c r="BD339" s="632">
        <v>0</v>
      </c>
      <c r="BE339" s="632">
        <v>0</v>
      </c>
      <c r="BF339" s="632">
        <v>0</v>
      </c>
      <c r="BG339" s="632">
        <v>0</v>
      </c>
      <c r="BH339" s="634">
        <v>34.31480256549149</v>
      </c>
      <c r="BI339" s="634">
        <v>34.632519856137094</v>
      </c>
      <c r="BJ339" s="634">
        <v>34.953178859082591</v>
      </c>
      <c r="BK339" s="635">
        <v>35.831109753607407</v>
      </c>
      <c r="BL339" s="635">
        <v>36.70904064813223</v>
      </c>
      <c r="BM339" s="635">
        <v>37.586971542657039</v>
      </c>
      <c r="BN339" s="635">
        <v>38.464902437181856</v>
      </c>
      <c r="BO339" s="635">
        <v>39.502998138086404</v>
      </c>
      <c r="BP339" s="635">
        <v>40.541093838990967</v>
      </c>
      <c r="BQ339" s="635">
        <v>43.418993131369568</v>
      </c>
      <c r="BR339" s="635">
        <v>46.847813154253458</v>
      </c>
      <c r="BS339" s="635">
        <v>48.353340519622378</v>
      </c>
      <c r="BT339" s="635">
        <v>49.180110029440755</v>
      </c>
      <c r="BU339" s="635">
        <v>50.036307865541481</v>
      </c>
      <c r="BV339" s="635">
        <v>50.913105530039857</v>
      </c>
      <c r="BW339" s="634">
        <v>28.259249171581224</v>
      </c>
      <c r="BX339" s="634">
        <v>28.52089870505408</v>
      </c>
      <c r="BY339" s="634">
        <v>28.784970825126841</v>
      </c>
      <c r="BZ339" s="635">
        <v>29.507972738264925</v>
      </c>
      <c r="CA339" s="635">
        <v>30.230974651403013</v>
      </c>
      <c r="CB339" s="635">
        <v>30.95397656454109</v>
      </c>
      <c r="CC339" s="635">
        <v>31.676978477679178</v>
      </c>
      <c r="CD339" s="635">
        <v>32.531880819600573</v>
      </c>
      <c r="CE339" s="635">
        <v>33.386783161521976</v>
      </c>
      <c r="CF339" s="635">
        <v>35.75681787289259</v>
      </c>
      <c r="CG339" s="635">
        <v>38.580552009385201</v>
      </c>
      <c r="CH339" s="635">
        <v>39.820398074983139</v>
      </c>
      <c r="CI339" s="635">
        <v>40.501267083068861</v>
      </c>
      <c r="CJ339" s="635">
        <v>41.206371183387105</v>
      </c>
      <c r="CK339" s="635">
        <v>41.92843984826812</v>
      </c>
      <c r="CL339" s="634">
        <v>0</v>
      </c>
      <c r="CM339" s="634">
        <v>0</v>
      </c>
      <c r="CN339" s="634">
        <v>0</v>
      </c>
      <c r="CO339" s="635">
        <v>0</v>
      </c>
      <c r="CP339" s="635">
        <v>0</v>
      </c>
      <c r="CQ339" s="635">
        <v>0</v>
      </c>
      <c r="CR339" s="635">
        <v>0</v>
      </c>
      <c r="CS339" s="635">
        <v>0</v>
      </c>
      <c r="CT339" s="635">
        <v>0</v>
      </c>
      <c r="CU339" s="635">
        <v>0</v>
      </c>
      <c r="CV339" s="635">
        <v>0</v>
      </c>
      <c r="CW339" s="635">
        <v>0</v>
      </c>
      <c r="CX339" s="635">
        <v>0</v>
      </c>
      <c r="CY339" s="635">
        <v>0</v>
      </c>
      <c r="CZ339" s="635">
        <v>0</v>
      </c>
      <c r="DA339" s="636">
        <v>0</v>
      </c>
      <c r="DB339" s="636">
        <v>0</v>
      </c>
      <c r="DC339" s="636">
        <v>0</v>
      </c>
      <c r="DD339" s="637">
        <v>0</v>
      </c>
      <c r="DE339" s="637">
        <v>0</v>
      </c>
      <c r="DF339" s="637">
        <v>0</v>
      </c>
      <c r="DG339" s="637">
        <v>0</v>
      </c>
      <c r="DH339" s="637">
        <v>0</v>
      </c>
      <c r="DI339" s="637">
        <v>0</v>
      </c>
      <c r="DJ339" s="637">
        <v>0</v>
      </c>
      <c r="DK339" s="637">
        <v>0</v>
      </c>
      <c r="DL339" s="637">
        <v>0</v>
      </c>
      <c r="DM339" s="637">
        <v>0</v>
      </c>
      <c r="DN339" s="637">
        <v>0</v>
      </c>
      <c r="DO339" s="637">
        <v>0</v>
      </c>
      <c r="DP339" s="636">
        <v>0</v>
      </c>
      <c r="DQ339" s="636">
        <v>0</v>
      </c>
      <c r="DR339" s="636">
        <v>0</v>
      </c>
      <c r="DS339" s="637">
        <v>0</v>
      </c>
      <c r="DT339" s="637">
        <v>0</v>
      </c>
      <c r="DU339" s="637">
        <v>0</v>
      </c>
      <c r="DV339" s="637">
        <v>0</v>
      </c>
      <c r="DW339" s="637">
        <v>0</v>
      </c>
      <c r="DX339" s="637">
        <v>0</v>
      </c>
      <c r="DY339" s="637">
        <v>0</v>
      </c>
      <c r="DZ339" s="637">
        <v>0</v>
      </c>
      <c r="EA339" s="637">
        <v>0</v>
      </c>
      <c r="EB339" s="637">
        <v>0</v>
      </c>
      <c r="EC339" s="637">
        <v>0</v>
      </c>
      <c r="ED339" s="637">
        <v>0</v>
      </c>
    </row>
    <row r="340" spans="1:134" ht="15" x14ac:dyDescent="0.25">
      <c r="A340" s="555">
        <v>134</v>
      </c>
      <c r="B340" s="555">
        <v>99</v>
      </c>
      <c r="C340" s="555" t="s">
        <v>1323</v>
      </c>
      <c r="D340" s="812">
        <v>99712</v>
      </c>
      <c r="E340" s="812">
        <v>99712</v>
      </c>
      <c r="F340" s="630" t="s">
        <v>989</v>
      </c>
      <c r="G340" s="45">
        <v>60</v>
      </c>
      <c r="H340" s="45">
        <v>31</v>
      </c>
      <c r="I340" s="45">
        <v>26</v>
      </c>
      <c r="J340" s="45">
        <v>5</v>
      </c>
      <c r="K340" s="45">
        <v>0</v>
      </c>
      <c r="L340" s="45">
        <v>0</v>
      </c>
      <c r="M340" s="45">
        <v>0</v>
      </c>
      <c r="N340" s="45">
        <v>0</v>
      </c>
      <c r="O340" s="45">
        <v>0</v>
      </c>
      <c r="P340" s="45">
        <v>0</v>
      </c>
      <c r="Q340" s="45">
        <v>0</v>
      </c>
      <c r="R340" s="45">
        <v>0</v>
      </c>
      <c r="S340" s="45">
        <v>834.49503068156923</v>
      </c>
      <c r="T340" s="45">
        <v>834.49503068156923</v>
      </c>
      <c r="U340" s="45">
        <v>1408.3846153846155</v>
      </c>
      <c r="V340" s="45">
        <v>0</v>
      </c>
      <c r="W340" s="45">
        <v>0</v>
      </c>
      <c r="X340" s="45">
        <v>1365.173957061457</v>
      </c>
      <c r="Y340" s="45">
        <v>0.71028239778239777</v>
      </c>
      <c r="Z340" s="45">
        <v>30.249436936936938</v>
      </c>
      <c r="AA340" s="45">
        <v>4.0280665280665283E-2</v>
      </c>
      <c r="AB340" s="508">
        <v>0</v>
      </c>
      <c r="AC340" s="508">
        <v>0</v>
      </c>
      <c r="AD340" s="631">
        <v>31</v>
      </c>
      <c r="AE340" s="632">
        <v>0.59572072072072069</v>
      </c>
      <c r="AF340" s="632">
        <v>25.370495495495494</v>
      </c>
      <c r="AG340" s="633">
        <v>25.966216216216214</v>
      </c>
      <c r="AH340" s="632">
        <v>3.3783783783783786E-2</v>
      </c>
      <c r="AI340" s="632">
        <v>0.64572784590024956</v>
      </c>
      <c r="AJ340" s="632">
        <v>27.500194027007037</v>
      </c>
      <c r="AK340" s="632">
        <v>28.145921872907287</v>
      </c>
      <c r="AL340" s="632">
        <v>3.6619726610600166E-2</v>
      </c>
      <c r="AM340" s="632">
        <v>0.54356782026486938</v>
      </c>
      <c r="AN340" s="632">
        <v>23.149412897442801</v>
      </c>
      <c r="AO340" s="632">
        <v>23.69298071770767</v>
      </c>
      <c r="AP340" s="632">
        <v>3.0826152377969908E-2</v>
      </c>
      <c r="AQ340" s="632">
        <v>0</v>
      </c>
      <c r="AR340" s="632">
        <v>0</v>
      </c>
      <c r="AS340" s="632">
        <v>25.587858517419029</v>
      </c>
      <c r="AT340" s="632">
        <v>26.836427980010331</v>
      </c>
      <c r="AU340" s="632">
        <v>28.145921872907284</v>
      </c>
      <c r="AV340" s="632">
        <v>29.519313027273306</v>
      </c>
      <c r="AW340" s="632">
        <v>30.959719334719335</v>
      </c>
      <c r="AX340" s="632">
        <v>21.618757643213836</v>
      </c>
      <c r="AY340" s="632">
        <v>22.6321189459021</v>
      </c>
      <c r="AZ340" s="632">
        <v>23.69298071770767</v>
      </c>
      <c r="BA340" s="632">
        <v>24.803569503654892</v>
      </c>
      <c r="BB340" s="632">
        <v>25.966216216216214</v>
      </c>
      <c r="BC340" s="632">
        <v>0</v>
      </c>
      <c r="BD340" s="632">
        <v>0</v>
      </c>
      <c r="BE340" s="632">
        <v>0</v>
      </c>
      <c r="BF340" s="632">
        <v>0</v>
      </c>
      <c r="BG340" s="632">
        <v>0</v>
      </c>
      <c r="BH340" s="634">
        <v>31.351600473950242</v>
      </c>
      <c r="BI340" s="634">
        <v>31.748441956187637</v>
      </c>
      <c r="BJ340" s="634">
        <v>32.150306568333676</v>
      </c>
      <c r="BK340" s="635">
        <v>31.938932408438962</v>
      </c>
      <c r="BL340" s="635">
        <v>31.72894794090616</v>
      </c>
      <c r="BM340" s="635">
        <v>31.956725790543871</v>
      </c>
      <c r="BN340" s="635">
        <v>32.186138826727387</v>
      </c>
      <c r="BO340" s="635">
        <v>32.417198788240981</v>
      </c>
      <c r="BP340" s="635">
        <v>32.649917498140091</v>
      </c>
      <c r="BQ340" s="635">
        <v>32.884306864356262</v>
      </c>
      <c r="BR340" s="635">
        <v>33.06890703218717</v>
      </c>
      <c r="BS340" s="635">
        <v>33.254543476139197</v>
      </c>
      <c r="BT340" s="635">
        <v>33.441222013477919</v>
      </c>
      <c r="BU340" s="635">
        <v>33.628948494124835</v>
      </c>
      <c r="BV340" s="635">
        <v>33.817728800840719</v>
      </c>
      <c r="BW340" s="634">
        <v>26.294890720087295</v>
      </c>
      <c r="BX340" s="634">
        <v>26.627725511641241</v>
      </c>
      <c r="BY340" s="634">
        <v>26.9647732508605</v>
      </c>
      <c r="BZ340" s="635">
        <v>26.787491697400416</v>
      </c>
      <c r="CA340" s="635">
        <v>26.611375692372906</v>
      </c>
      <c r="CB340" s="635">
        <v>26.802415179165823</v>
      </c>
      <c r="CC340" s="635">
        <v>26.994826112739094</v>
      </c>
      <c r="CD340" s="635">
        <v>27.188618338524694</v>
      </c>
      <c r="CE340" s="635">
        <v>27.383801772633625</v>
      </c>
      <c r="CF340" s="635">
        <v>27.580386402363317</v>
      </c>
      <c r="CG340" s="635">
        <v>27.735212349576333</v>
      </c>
      <c r="CH340" s="635">
        <v>27.890907431600617</v>
      </c>
      <c r="CI340" s="635">
        <v>28.047476527433091</v>
      </c>
      <c r="CJ340" s="635">
        <v>28.204924543459541</v>
      </c>
      <c r="CK340" s="635">
        <v>28.36325641360834</v>
      </c>
      <c r="CL340" s="634">
        <v>0</v>
      </c>
      <c r="CM340" s="634">
        <v>0</v>
      </c>
      <c r="CN340" s="634">
        <v>0</v>
      </c>
      <c r="CO340" s="635">
        <v>0</v>
      </c>
      <c r="CP340" s="635">
        <v>0</v>
      </c>
      <c r="CQ340" s="635">
        <v>0</v>
      </c>
      <c r="CR340" s="635">
        <v>0</v>
      </c>
      <c r="CS340" s="635">
        <v>0</v>
      </c>
      <c r="CT340" s="635">
        <v>0</v>
      </c>
      <c r="CU340" s="635">
        <v>0</v>
      </c>
      <c r="CV340" s="635">
        <v>0</v>
      </c>
      <c r="CW340" s="635">
        <v>0</v>
      </c>
      <c r="CX340" s="635">
        <v>0</v>
      </c>
      <c r="CY340" s="635">
        <v>0</v>
      </c>
      <c r="CZ340" s="635">
        <v>0</v>
      </c>
      <c r="DA340" s="636">
        <v>4.0790528849792146E-2</v>
      </c>
      <c r="DB340" s="636">
        <v>4.1306846156892583E-2</v>
      </c>
      <c r="DC340" s="636">
        <v>4.1829698891925157E-2</v>
      </c>
      <c r="DD340" s="637">
        <v>4.1554686974289566E-2</v>
      </c>
      <c r="DE340" s="637">
        <v>4.128148313935228E-2</v>
      </c>
      <c r="DF340" s="637">
        <v>4.1577837354337586E-2</v>
      </c>
      <c r="DG340" s="637">
        <v>4.1876319056371826E-2</v>
      </c>
      <c r="DH340" s="637">
        <v>4.2176943518398367E-2</v>
      </c>
      <c r="DI340" s="637">
        <v>4.2479726123002985E-2</v>
      </c>
      <c r="DJ340" s="637">
        <v>4.2784682363200967E-2</v>
      </c>
      <c r="DK340" s="637">
        <v>4.3024859526655176E-2</v>
      </c>
      <c r="DL340" s="637">
        <v>4.3266384954643765E-2</v>
      </c>
      <c r="DM340" s="637">
        <v>4.3509266215818264E-2</v>
      </c>
      <c r="DN340" s="637">
        <v>4.3753510921317768E-2</v>
      </c>
      <c r="DO340" s="637">
        <v>4.3999126725007442E-2</v>
      </c>
      <c r="DP340" s="636">
        <v>0</v>
      </c>
      <c r="DQ340" s="636">
        <v>0</v>
      </c>
      <c r="DR340" s="636">
        <v>0</v>
      </c>
      <c r="DS340" s="637">
        <v>0</v>
      </c>
      <c r="DT340" s="637">
        <v>0</v>
      </c>
      <c r="DU340" s="637">
        <v>0</v>
      </c>
      <c r="DV340" s="637">
        <v>0</v>
      </c>
      <c r="DW340" s="637">
        <v>0</v>
      </c>
      <c r="DX340" s="637">
        <v>0</v>
      </c>
      <c r="DY340" s="637">
        <v>0</v>
      </c>
      <c r="DZ340" s="637">
        <v>0</v>
      </c>
      <c r="EA340" s="637">
        <v>0</v>
      </c>
      <c r="EB340" s="637">
        <v>0</v>
      </c>
      <c r="EC340" s="637">
        <v>0</v>
      </c>
      <c r="ED340" s="637">
        <v>0</v>
      </c>
    </row>
    <row r="341" spans="1:134" ht="15" x14ac:dyDescent="0.25">
      <c r="A341" s="555">
        <v>138</v>
      </c>
      <c r="B341" s="555">
        <v>99</v>
      </c>
      <c r="C341" s="555" t="s">
        <v>1324</v>
      </c>
      <c r="D341" s="812">
        <v>99712</v>
      </c>
      <c r="E341" s="812">
        <v>99712</v>
      </c>
      <c r="F341" s="630" t="s">
        <v>989</v>
      </c>
      <c r="G341" s="45">
        <v>115</v>
      </c>
      <c r="H341" s="45">
        <v>58</v>
      </c>
      <c r="I341" s="45">
        <v>52</v>
      </c>
      <c r="J341" s="45">
        <v>6</v>
      </c>
      <c r="K341" s="45">
        <v>0</v>
      </c>
      <c r="L341" s="45">
        <v>0</v>
      </c>
      <c r="M341" s="45">
        <v>0</v>
      </c>
      <c r="N341" s="45">
        <v>0</v>
      </c>
      <c r="O341" s="45">
        <v>0</v>
      </c>
      <c r="P341" s="45">
        <v>0</v>
      </c>
      <c r="Q341" s="45">
        <v>0</v>
      </c>
      <c r="R341" s="45">
        <v>0</v>
      </c>
      <c r="S341" s="45">
        <v>834.49503068156923</v>
      </c>
      <c r="T341" s="45">
        <v>834.49503068156923</v>
      </c>
      <c r="U341" s="45">
        <v>1408.3846153846155</v>
      </c>
      <c r="V341" s="45">
        <v>0</v>
      </c>
      <c r="W341" s="45">
        <v>0</v>
      </c>
      <c r="X341" s="45">
        <v>1365.173957061457</v>
      </c>
      <c r="Y341" s="45">
        <v>1.328915453915454</v>
      </c>
      <c r="Z341" s="45">
        <v>56.59572072072072</v>
      </c>
      <c r="AA341" s="45">
        <v>7.5363825363825368E-2</v>
      </c>
      <c r="AB341" s="508">
        <v>0</v>
      </c>
      <c r="AC341" s="508">
        <v>0</v>
      </c>
      <c r="AD341" s="631">
        <v>58</v>
      </c>
      <c r="AE341" s="632">
        <v>1.1914414414414414</v>
      </c>
      <c r="AF341" s="632">
        <v>50.740990990990987</v>
      </c>
      <c r="AG341" s="633">
        <v>51.932432432432428</v>
      </c>
      <c r="AH341" s="632">
        <v>6.7567567567567571E-2</v>
      </c>
      <c r="AI341" s="632">
        <v>1.2081359697488541</v>
      </c>
      <c r="AJ341" s="632">
        <v>51.451975921497031</v>
      </c>
      <c r="AK341" s="632">
        <v>52.660111891245883</v>
      </c>
      <c r="AL341" s="632">
        <v>6.8514327206929335E-2</v>
      </c>
      <c r="AM341" s="632">
        <v>1.0871356405297388</v>
      </c>
      <c r="AN341" s="632">
        <v>46.298825794885602</v>
      </c>
      <c r="AO341" s="632">
        <v>47.385961435415339</v>
      </c>
      <c r="AP341" s="632">
        <v>6.1652304755939816E-2</v>
      </c>
      <c r="AQ341" s="632">
        <v>0</v>
      </c>
      <c r="AR341" s="632">
        <v>0</v>
      </c>
      <c r="AS341" s="632">
        <v>47.874057871300124</v>
      </c>
      <c r="AT341" s="632">
        <v>50.210091059374172</v>
      </c>
      <c r="AU341" s="632">
        <v>52.66011189124589</v>
      </c>
      <c r="AV341" s="632">
        <v>55.22968243812425</v>
      </c>
      <c r="AW341" s="632">
        <v>57.924636174636177</v>
      </c>
      <c r="AX341" s="632">
        <v>43.237515286427673</v>
      </c>
      <c r="AY341" s="632">
        <v>45.2642378918042</v>
      </c>
      <c r="AZ341" s="632">
        <v>47.385961435415339</v>
      </c>
      <c r="BA341" s="632">
        <v>49.607139007309783</v>
      </c>
      <c r="BB341" s="632">
        <v>51.932432432432428</v>
      </c>
      <c r="BC341" s="632">
        <v>0</v>
      </c>
      <c r="BD341" s="632">
        <v>0</v>
      </c>
      <c r="BE341" s="632">
        <v>0</v>
      </c>
      <c r="BF341" s="632">
        <v>0</v>
      </c>
      <c r="BG341" s="632">
        <v>0</v>
      </c>
      <c r="BH341" s="634">
        <v>58.657833144810134</v>
      </c>
      <c r="BI341" s="634">
        <v>59.400310756738158</v>
      </c>
      <c r="BJ341" s="634">
        <v>60.152186482688812</v>
      </c>
      <c r="BK341" s="635">
        <v>59.756712248047087</v>
      </c>
      <c r="BL341" s="635">
        <v>59.363838082985723</v>
      </c>
      <c r="BM341" s="635">
        <v>59.790003091985305</v>
      </c>
      <c r="BN341" s="635">
        <v>60.219227482264138</v>
      </c>
      <c r="BO341" s="635">
        <v>60.651533216708941</v>
      </c>
      <c r="BP341" s="635">
        <v>61.086942415875015</v>
      </c>
      <c r="BQ341" s="635">
        <v>61.52547735911817</v>
      </c>
      <c r="BR341" s="635">
        <v>61.87085831828567</v>
      </c>
      <c r="BS341" s="635">
        <v>62.218178116647536</v>
      </c>
      <c r="BT341" s="635">
        <v>62.56744763811998</v>
      </c>
      <c r="BU341" s="635">
        <v>62.918677827717438</v>
      </c>
      <c r="BV341" s="635">
        <v>63.271879691895535</v>
      </c>
      <c r="BW341" s="634">
        <v>52.58978144017459</v>
      </c>
      <c r="BX341" s="634">
        <v>53.255451023282482</v>
      </c>
      <c r="BY341" s="634">
        <v>53.929546501720999</v>
      </c>
      <c r="BZ341" s="635">
        <v>53.574983394800832</v>
      </c>
      <c r="CA341" s="635">
        <v>53.222751384745813</v>
      </c>
      <c r="CB341" s="635">
        <v>53.604830358331647</v>
      </c>
      <c r="CC341" s="635">
        <v>53.989652225478189</v>
      </c>
      <c r="CD341" s="635">
        <v>54.377236677049389</v>
      </c>
      <c r="CE341" s="635">
        <v>54.767603545267249</v>
      </c>
      <c r="CF341" s="635">
        <v>55.160772804726633</v>
      </c>
      <c r="CG341" s="635">
        <v>55.470424699152666</v>
      </c>
      <c r="CH341" s="635">
        <v>55.781814863201234</v>
      </c>
      <c r="CI341" s="635">
        <v>56.094953054866181</v>
      </c>
      <c r="CJ341" s="635">
        <v>56.409849086919081</v>
      </c>
      <c r="CK341" s="635">
        <v>56.726512827216681</v>
      </c>
      <c r="CL341" s="634">
        <v>0</v>
      </c>
      <c r="CM341" s="634">
        <v>0</v>
      </c>
      <c r="CN341" s="634">
        <v>0</v>
      </c>
      <c r="CO341" s="635">
        <v>0</v>
      </c>
      <c r="CP341" s="635">
        <v>0</v>
      </c>
      <c r="CQ341" s="635">
        <v>0</v>
      </c>
      <c r="CR341" s="635">
        <v>0</v>
      </c>
      <c r="CS341" s="635">
        <v>0</v>
      </c>
      <c r="CT341" s="635">
        <v>0</v>
      </c>
      <c r="CU341" s="635">
        <v>0</v>
      </c>
      <c r="CV341" s="635">
        <v>0</v>
      </c>
      <c r="CW341" s="635">
        <v>0</v>
      </c>
      <c r="CX341" s="635">
        <v>0</v>
      </c>
      <c r="CY341" s="635">
        <v>0</v>
      </c>
      <c r="CZ341" s="635">
        <v>0</v>
      </c>
      <c r="DA341" s="636">
        <v>7.6317763654449824E-2</v>
      </c>
      <c r="DB341" s="636">
        <v>7.7283776680637739E-2</v>
      </c>
      <c r="DC341" s="636">
        <v>7.8262017281666429E-2</v>
      </c>
      <c r="DD341" s="637">
        <v>7.7747478855122426E-2</v>
      </c>
      <c r="DE341" s="637">
        <v>7.723632329298169E-2</v>
      </c>
      <c r="DF341" s="637">
        <v>7.7790792469405817E-2</v>
      </c>
      <c r="DG341" s="637">
        <v>7.8349242105469868E-2</v>
      </c>
      <c r="DH341" s="637">
        <v>7.8911700776358243E-2</v>
      </c>
      <c r="DI341" s="637">
        <v>7.9478197262392691E-2</v>
      </c>
      <c r="DJ341" s="637">
        <v>8.0048760550505041E-2</v>
      </c>
      <c r="DK341" s="637">
        <v>8.049812427567743E-2</v>
      </c>
      <c r="DL341" s="637">
        <v>8.0950010560301253E-2</v>
      </c>
      <c r="DM341" s="637">
        <v>8.1404433565079343E-2</v>
      </c>
      <c r="DN341" s="637">
        <v>8.1861407530207445E-2</v>
      </c>
      <c r="DO341" s="637">
        <v>8.2320946775820372E-2</v>
      </c>
      <c r="DP341" s="636">
        <v>0</v>
      </c>
      <c r="DQ341" s="636">
        <v>0</v>
      </c>
      <c r="DR341" s="636">
        <v>0</v>
      </c>
      <c r="DS341" s="637">
        <v>0</v>
      </c>
      <c r="DT341" s="637">
        <v>0</v>
      </c>
      <c r="DU341" s="637">
        <v>0</v>
      </c>
      <c r="DV341" s="637">
        <v>0</v>
      </c>
      <c r="DW341" s="637">
        <v>0</v>
      </c>
      <c r="DX341" s="637">
        <v>0</v>
      </c>
      <c r="DY341" s="637">
        <v>0</v>
      </c>
      <c r="DZ341" s="637">
        <v>0</v>
      </c>
      <c r="EA341" s="637">
        <v>0</v>
      </c>
      <c r="EB341" s="637">
        <v>0</v>
      </c>
      <c r="EC341" s="637">
        <v>0</v>
      </c>
      <c r="ED341" s="637">
        <v>0</v>
      </c>
    </row>
    <row r="342" spans="1:134" ht="15" x14ac:dyDescent="0.25">
      <c r="A342" s="555">
        <v>194</v>
      </c>
      <c r="B342" s="555">
        <v>99</v>
      </c>
      <c r="C342" s="555" t="s">
        <v>1325</v>
      </c>
      <c r="D342" s="812">
        <v>99712</v>
      </c>
      <c r="E342" s="812">
        <v>99712</v>
      </c>
      <c r="F342" s="630" t="s">
        <v>989</v>
      </c>
      <c r="G342" s="45">
        <v>19</v>
      </c>
      <c r="H342" s="45">
        <v>30</v>
      </c>
      <c r="I342" s="45">
        <v>9</v>
      </c>
      <c r="J342" s="45">
        <v>21</v>
      </c>
      <c r="K342" s="45">
        <v>0</v>
      </c>
      <c r="L342" s="45">
        <v>0</v>
      </c>
      <c r="M342" s="45">
        <v>0</v>
      </c>
      <c r="N342" s="45">
        <v>0</v>
      </c>
      <c r="O342" s="45">
        <v>0</v>
      </c>
      <c r="P342" s="45">
        <v>0</v>
      </c>
      <c r="Q342" s="45">
        <v>0</v>
      </c>
      <c r="R342" s="45">
        <v>0</v>
      </c>
      <c r="S342" s="45">
        <v>834.49503068156923</v>
      </c>
      <c r="T342" s="45">
        <v>834.49503068156923</v>
      </c>
      <c r="U342" s="45">
        <v>1408.3846153846155</v>
      </c>
      <c r="V342" s="45">
        <v>0</v>
      </c>
      <c r="W342" s="45">
        <v>0</v>
      </c>
      <c r="X342" s="45">
        <v>1365.173957061457</v>
      </c>
      <c r="Y342" s="45">
        <v>0.68737006237006237</v>
      </c>
      <c r="Z342" s="45">
        <v>29.273648648648649</v>
      </c>
      <c r="AA342" s="45">
        <v>3.8981288981288983E-2</v>
      </c>
      <c r="AB342" s="508">
        <v>0</v>
      </c>
      <c r="AC342" s="508">
        <v>0</v>
      </c>
      <c r="AD342" s="631">
        <v>30</v>
      </c>
      <c r="AE342" s="632">
        <v>0.20621101871101871</v>
      </c>
      <c r="AF342" s="632">
        <v>8.7820945945945947</v>
      </c>
      <c r="AG342" s="633">
        <v>8.988305613305613</v>
      </c>
      <c r="AH342" s="632">
        <v>1.1694386694386695E-2</v>
      </c>
      <c r="AI342" s="632">
        <v>0.6248979153873383</v>
      </c>
      <c r="AJ342" s="632">
        <v>26.613090993877776</v>
      </c>
      <c r="AK342" s="632">
        <v>27.237988909265116</v>
      </c>
      <c r="AL342" s="632">
        <v>3.5438445107032417E-2</v>
      </c>
      <c r="AM342" s="632">
        <v>0.1881580916301471</v>
      </c>
      <c r="AN342" s="632">
        <v>8.0132583106532778</v>
      </c>
      <c r="AO342" s="632">
        <v>8.2014164022834244</v>
      </c>
      <c r="AP342" s="632">
        <v>1.0670591207758814E-2</v>
      </c>
      <c r="AQ342" s="632">
        <v>0</v>
      </c>
      <c r="AR342" s="632">
        <v>0</v>
      </c>
      <c r="AS342" s="632">
        <v>24.762443726534542</v>
      </c>
      <c r="AT342" s="632">
        <v>25.970736754848705</v>
      </c>
      <c r="AU342" s="632">
        <v>27.237988909265113</v>
      </c>
      <c r="AV342" s="632">
        <v>28.567077123167714</v>
      </c>
      <c r="AW342" s="632">
        <v>29.96101871101871</v>
      </c>
      <c r="AX342" s="632">
        <v>7.4834161072663283</v>
      </c>
      <c r="AY342" s="632">
        <v>7.8341950197353425</v>
      </c>
      <c r="AZ342" s="632">
        <v>8.2014164022834244</v>
      </c>
      <c r="BA342" s="632">
        <v>8.5858509820343851</v>
      </c>
      <c r="BB342" s="632">
        <v>8.988305613305613</v>
      </c>
      <c r="BC342" s="632">
        <v>0</v>
      </c>
      <c r="BD342" s="632">
        <v>0</v>
      </c>
      <c r="BE342" s="632">
        <v>0</v>
      </c>
      <c r="BF342" s="632">
        <v>0</v>
      </c>
      <c r="BG342" s="632">
        <v>0</v>
      </c>
      <c r="BH342" s="634">
        <v>30.340258523177653</v>
      </c>
      <c r="BI342" s="634">
        <v>30.724298667278358</v>
      </c>
      <c r="BJ342" s="634">
        <v>31.113199904839039</v>
      </c>
      <c r="BK342" s="635">
        <v>30.908644266231253</v>
      </c>
      <c r="BL342" s="635">
        <v>30.705433491199507</v>
      </c>
      <c r="BM342" s="635">
        <v>30.92586366826826</v>
      </c>
      <c r="BN342" s="635">
        <v>31.147876283929726</v>
      </c>
      <c r="BO342" s="635">
        <v>31.371482698297726</v>
      </c>
      <c r="BP342" s="635">
        <v>31.596694353038796</v>
      </c>
      <c r="BQ342" s="635">
        <v>31.823522771957673</v>
      </c>
      <c r="BR342" s="635">
        <v>32.002168095664999</v>
      </c>
      <c r="BS342" s="635">
        <v>32.181816267231483</v>
      </c>
      <c r="BT342" s="635">
        <v>32.362472916268949</v>
      </c>
      <c r="BU342" s="635">
        <v>32.544143703991779</v>
      </c>
      <c r="BV342" s="635">
        <v>32.726834323394243</v>
      </c>
      <c r="BW342" s="634">
        <v>9.1020775569532955</v>
      </c>
      <c r="BX342" s="634">
        <v>9.2172896001835074</v>
      </c>
      <c r="BY342" s="634">
        <v>9.3339599714517121</v>
      </c>
      <c r="BZ342" s="635">
        <v>9.2725932798693762</v>
      </c>
      <c r="CA342" s="635">
        <v>9.2116300473598525</v>
      </c>
      <c r="CB342" s="635">
        <v>9.2777591004804787</v>
      </c>
      <c r="CC342" s="635">
        <v>9.3443628851789171</v>
      </c>
      <c r="CD342" s="635">
        <v>9.4114448094893177</v>
      </c>
      <c r="CE342" s="635">
        <v>9.4790083059116395</v>
      </c>
      <c r="CF342" s="635">
        <v>9.5470568315873017</v>
      </c>
      <c r="CG342" s="635">
        <v>9.6006504286995007</v>
      </c>
      <c r="CH342" s="635">
        <v>9.6545448801694445</v>
      </c>
      <c r="CI342" s="635">
        <v>9.7087418748806869</v>
      </c>
      <c r="CJ342" s="635">
        <v>9.763243111197534</v>
      </c>
      <c r="CK342" s="635">
        <v>9.8180502970182726</v>
      </c>
      <c r="CL342" s="634">
        <v>0</v>
      </c>
      <c r="CM342" s="634">
        <v>0</v>
      </c>
      <c r="CN342" s="634">
        <v>0</v>
      </c>
      <c r="CO342" s="635">
        <v>0</v>
      </c>
      <c r="CP342" s="635">
        <v>0</v>
      </c>
      <c r="CQ342" s="635">
        <v>0</v>
      </c>
      <c r="CR342" s="635">
        <v>0</v>
      </c>
      <c r="CS342" s="635">
        <v>0</v>
      </c>
      <c r="CT342" s="635">
        <v>0</v>
      </c>
      <c r="CU342" s="635">
        <v>0</v>
      </c>
      <c r="CV342" s="635">
        <v>0</v>
      </c>
      <c r="CW342" s="635">
        <v>0</v>
      </c>
      <c r="CX342" s="635">
        <v>0</v>
      </c>
      <c r="CY342" s="635">
        <v>0</v>
      </c>
      <c r="CZ342" s="635">
        <v>0</v>
      </c>
      <c r="DA342" s="636">
        <v>3.9474705338508526E-2</v>
      </c>
      <c r="DB342" s="636">
        <v>3.9974367248605723E-2</v>
      </c>
      <c r="DC342" s="636">
        <v>4.0480353766379186E-2</v>
      </c>
      <c r="DD342" s="637">
        <v>4.0214213200925393E-2</v>
      </c>
      <c r="DE342" s="637">
        <v>3.9949822392921559E-2</v>
      </c>
      <c r="DF342" s="637">
        <v>4.0236616794520251E-2</v>
      </c>
      <c r="DG342" s="637">
        <v>4.0525470054553384E-2</v>
      </c>
      <c r="DH342" s="637">
        <v>4.0816396953288744E-2</v>
      </c>
      <c r="DI342" s="637">
        <v>4.1109412377099662E-2</v>
      </c>
      <c r="DJ342" s="637">
        <v>4.1404531319226744E-2</v>
      </c>
      <c r="DK342" s="637">
        <v>4.1636960832246946E-2</v>
      </c>
      <c r="DL342" s="637">
        <v>4.1870695117397196E-2</v>
      </c>
      <c r="DM342" s="637">
        <v>4.2105741499178971E-2</v>
      </c>
      <c r="DN342" s="637">
        <v>4.2342107343210748E-2</v>
      </c>
      <c r="DO342" s="637">
        <v>4.2579800056458818E-2</v>
      </c>
      <c r="DP342" s="636">
        <v>0</v>
      </c>
      <c r="DQ342" s="636">
        <v>0</v>
      </c>
      <c r="DR342" s="636">
        <v>0</v>
      </c>
      <c r="DS342" s="637">
        <v>0</v>
      </c>
      <c r="DT342" s="637">
        <v>0</v>
      </c>
      <c r="DU342" s="637">
        <v>0</v>
      </c>
      <c r="DV342" s="637">
        <v>0</v>
      </c>
      <c r="DW342" s="637">
        <v>0</v>
      </c>
      <c r="DX342" s="637">
        <v>0</v>
      </c>
      <c r="DY342" s="637">
        <v>0</v>
      </c>
      <c r="DZ342" s="637">
        <v>0</v>
      </c>
      <c r="EA342" s="637">
        <v>0</v>
      </c>
      <c r="EB342" s="637">
        <v>0</v>
      </c>
      <c r="EC342" s="637">
        <v>0</v>
      </c>
      <c r="ED342" s="637">
        <v>0</v>
      </c>
    </row>
    <row r="343" spans="1:134" ht="15" x14ac:dyDescent="0.25">
      <c r="A343" s="555">
        <v>90</v>
      </c>
      <c r="B343" s="555">
        <v>100</v>
      </c>
      <c r="C343" s="555" t="s">
        <v>1326</v>
      </c>
      <c r="D343" s="812">
        <v>99709</v>
      </c>
      <c r="E343" s="812">
        <v>99709</v>
      </c>
      <c r="F343" s="630" t="s">
        <v>989</v>
      </c>
      <c r="G343" s="45">
        <v>2</v>
      </c>
      <c r="H343" s="45">
        <v>1</v>
      </c>
      <c r="I343" s="45">
        <v>1</v>
      </c>
      <c r="J343" s="45">
        <v>0</v>
      </c>
      <c r="K343" s="45">
        <v>0</v>
      </c>
      <c r="L343" s="45">
        <v>18</v>
      </c>
      <c r="M343" s="45">
        <v>18</v>
      </c>
      <c r="N343" s="45">
        <v>0</v>
      </c>
      <c r="O343" s="45">
        <v>0</v>
      </c>
      <c r="P343" s="45">
        <v>0</v>
      </c>
      <c r="Q343" s="45">
        <v>18</v>
      </c>
      <c r="R343" s="45">
        <v>0</v>
      </c>
      <c r="S343" s="45">
        <v>1213.7222222222222</v>
      </c>
      <c r="T343" s="45">
        <v>1213.7222222222222</v>
      </c>
      <c r="U343" s="45">
        <v>0</v>
      </c>
      <c r="V343" s="45">
        <v>0</v>
      </c>
      <c r="W343" s="45">
        <v>0</v>
      </c>
      <c r="X343" s="45">
        <v>1213.7222222222222</v>
      </c>
      <c r="Y343" s="45">
        <v>0</v>
      </c>
      <c r="Z343" s="45">
        <v>1</v>
      </c>
      <c r="AA343" s="45">
        <v>0</v>
      </c>
      <c r="AB343" s="508">
        <v>0</v>
      </c>
      <c r="AC343" s="508">
        <v>0</v>
      </c>
      <c r="AD343" s="631">
        <v>1</v>
      </c>
      <c r="AE343" s="632">
        <v>0</v>
      </c>
      <c r="AF343" s="632">
        <v>1</v>
      </c>
      <c r="AG343" s="633">
        <v>1</v>
      </c>
      <c r="AH343" s="632">
        <v>0</v>
      </c>
      <c r="AI343" s="632">
        <v>0</v>
      </c>
      <c r="AJ343" s="632">
        <v>0.95215839500773936</v>
      </c>
      <c r="AK343" s="632">
        <v>0.95215839500773936</v>
      </c>
      <c r="AL343" s="632">
        <v>0</v>
      </c>
      <c r="AM343" s="632">
        <v>0</v>
      </c>
      <c r="AN343" s="632">
        <v>0.95395462889797633</v>
      </c>
      <c r="AO343" s="632">
        <v>0.95395462889797633</v>
      </c>
      <c r="AP343" s="632">
        <v>0</v>
      </c>
      <c r="AQ343" s="632">
        <v>0</v>
      </c>
      <c r="AR343" s="632">
        <v>0</v>
      </c>
      <c r="AS343" s="632">
        <v>0.90660560918371424</v>
      </c>
      <c r="AT343" s="632">
        <v>0.92910286930209141</v>
      </c>
      <c r="AU343" s="632">
        <v>0.95215839500773936</v>
      </c>
      <c r="AV343" s="632">
        <v>0.97578603956386833</v>
      </c>
      <c r="AW343" s="632">
        <v>1</v>
      </c>
      <c r="AX343" s="632">
        <v>0.91002943399587566</v>
      </c>
      <c r="AY343" s="632">
        <v>0.93173321878838855</v>
      </c>
      <c r="AZ343" s="632">
        <v>0.95395462889797633</v>
      </c>
      <c r="BA343" s="632">
        <v>0.97670600945114305</v>
      </c>
      <c r="BB343" s="632">
        <v>1</v>
      </c>
      <c r="BC343" s="632">
        <v>0</v>
      </c>
      <c r="BD343" s="632">
        <v>0</v>
      </c>
      <c r="BE343" s="632">
        <v>0</v>
      </c>
      <c r="BF343" s="632">
        <v>0</v>
      </c>
      <c r="BG343" s="632">
        <v>0</v>
      </c>
      <c r="BH343" s="634">
        <v>1.005122629011173</v>
      </c>
      <c r="BI343" s="634">
        <v>1.0102714993503321</v>
      </c>
      <c r="BJ343" s="634">
        <v>1.0154467454420653</v>
      </c>
      <c r="BK343" s="635">
        <v>1.0087706286131499</v>
      </c>
      <c r="BL343" s="635">
        <v>1.0021384043232706</v>
      </c>
      <c r="BM343" s="635">
        <v>1.0093326211375582</v>
      </c>
      <c r="BN343" s="635">
        <v>1.0165784842667136</v>
      </c>
      <c r="BO343" s="635">
        <v>1.0238763644726849</v>
      </c>
      <c r="BP343" s="635">
        <v>1.0312266351790702</v>
      </c>
      <c r="BQ343" s="635">
        <v>1.0386296724902249</v>
      </c>
      <c r="BR343" s="635">
        <v>1.0444601500078665</v>
      </c>
      <c r="BS343" s="635">
        <v>1.0503233576399889</v>
      </c>
      <c r="BT343" s="635">
        <v>1.0562194791211816</v>
      </c>
      <c r="BU343" s="635">
        <v>1.0621486992174518</v>
      </c>
      <c r="BV343" s="635">
        <v>1.0681112037320122</v>
      </c>
      <c r="BW343" s="634">
        <v>1.005122629011173</v>
      </c>
      <c r="BX343" s="634">
        <v>1.0102714993503321</v>
      </c>
      <c r="BY343" s="634">
        <v>1.0154467454420653</v>
      </c>
      <c r="BZ343" s="635">
        <v>1.0087706286131499</v>
      </c>
      <c r="CA343" s="635">
        <v>1.0021384043232706</v>
      </c>
      <c r="CB343" s="635">
        <v>1.0093326211375582</v>
      </c>
      <c r="CC343" s="635">
        <v>1.0165784842667136</v>
      </c>
      <c r="CD343" s="635">
        <v>1.0238763644726849</v>
      </c>
      <c r="CE343" s="635">
        <v>1.0312266351790702</v>
      </c>
      <c r="CF343" s="635">
        <v>1.0386296724902249</v>
      </c>
      <c r="CG343" s="635">
        <v>1.0444601500078665</v>
      </c>
      <c r="CH343" s="635">
        <v>1.0503233576399889</v>
      </c>
      <c r="CI343" s="635">
        <v>1.0562194791211816</v>
      </c>
      <c r="CJ343" s="635">
        <v>1.0621486992174518</v>
      </c>
      <c r="CK343" s="635">
        <v>1.0681112037320122</v>
      </c>
      <c r="CL343" s="634">
        <v>0</v>
      </c>
      <c r="CM343" s="634">
        <v>0</v>
      </c>
      <c r="CN343" s="634">
        <v>0</v>
      </c>
      <c r="CO343" s="635">
        <v>0</v>
      </c>
      <c r="CP343" s="635">
        <v>0</v>
      </c>
      <c r="CQ343" s="635">
        <v>0</v>
      </c>
      <c r="CR343" s="635">
        <v>0</v>
      </c>
      <c r="CS343" s="635">
        <v>0</v>
      </c>
      <c r="CT343" s="635">
        <v>0</v>
      </c>
      <c r="CU343" s="635">
        <v>0</v>
      </c>
      <c r="CV343" s="635">
        <v>0</v>
      </c>
      <c r="CW343" s="635">
        <v>0</v>
      </c>
      <c r="CX343" s="635">
        <v>0</v>
      </c>
      <c r="CY343" s="635">
        <v>0</v>
      </c>
      <c r="CZ343" s="635">
        <v>0</v>
      </c>
      <c r="DA343" s="636">
        <v>0</v>
      </c>
      <c r="DB343" s="636">
        <v>0</v>
      </c>
      <c r="DC343" s="636">
        <v>0</v>
      </c>
      <c r="DD343" s="637">
        <v>0</v>
      </c>
      <c r="DE343" s="637">
        <v>0</v>
      </c>
      <c r="DF343" s="637">
        <v>0</v>
      </c>
      <c r="DG343" s="637">
        <v>0</v>
      </c>
      <c r="DH343" s="637">
        <v>0</v>
      </c>
      <c r="DI343" s="637">
        <v>0</v>
      </c>
      <c r="DJ343" s="637">
        <v>0</v>
      </c>
      <c r="DK343" s="637">
        <v>0</v>
      </c>
      <c r="DL343" s="637">
        <v>0</v>
      </c>
      <c r="DM343" s="637">
        <v>0</v>
      </c>
      <c r="DN343" s="637">
        <v>0</v>
      </c>
      <c r="DO343" s="637">
        <v>0</v>
      </c>
      <c r="DP343" s="636">
        <v>0</v>
      </c>
      <c r="DQ343" s="636">
        <v>0</v>
      </c>
      <c r="DR343" s="636">
        <v>0</v>
      </c>
      <c r="DS343" s="637">
        <v>0</v>
      </c>
      <c r="DT343" s="637">
        <v>0</v>
      </c>
      <c r="DU343" s="637">
        <v>0</v>
      </c>
      <c r="DV343" s="637">
        <v>0</v>
      </c>
      <c r="DW343" s="637">
        <v>0</v>
      </c>
      <c r="DX343" s="637">
        <v>0</v>
      </c>
      <c r="DY343" s="637">
        <v>0</v>
      </c>
      <c r="DZ343" s="637">
        <v>0</v>
      </c>
      <c r="EA343" s="637">
        <v>0</v>
      </c>
      <c r="EB343" s="637">
        <v>0</v>
      </c>
      <c r="EC343" s="637">
        <v>0</v>
      </c>
      <c r="ED343" s="637">
        <v>0</v>
      </c>
    </row>
    <row r="344" spans="1:134" ht="15" x14ac:dyDescent="0.25">
      <c r="A344" s="555">
        <v>91</v>
      </c>
      <c r="B344" s="555">
        <v>100</v>
      </c>
      <c r="C344" s="555" t="s">
        <v>1327</v>
      </c>
      <c r="D344" s="812">
        <v>99709</v>
      </c>
      <c r="E344" s="812">
        <v>99709</v>
      </c>
      <c r="F344" s="630" t="s">
        <v>989</v>
      </c>
      <c r="G344" s="45">
        <v>43</v>
      </c>
      <c r="H344" s="45">
        <v>35</v>
      </c>
      <c r="I344" s="45">
        <v>21</v>
      </c>
      <c r="J344" s="45">
        <v>14</v>
      </c>
      <c r="K344" s="45">
        <v>0</v>
      </c>
      <c r="L344" s="45">
        <v>4</v>
      </c>
      <c r="M344" s="45">
        <v>4</v>
      </c>
      <c r="N344" s="45">
        <v>0</v>
      </c>
      <c r="O344" s="45">
        <v>0</v>
      </c>
      <c r="P344" s="45">
        <v>0</v>
      </c>
      <c r="Q344" s="45">
        <v>4</v>
      </c>
      <c r="R344" s="45">
        <v>0</v>
      </c>
      <c r="S344" s="45">
        <v>629.25</v>
      </c>
      <c r="T344" s="45">
        <v>629.25</v>
      </c>
      <c r="U344" s="45">
        <v>0</v>
      </c>
      <c r="V344" s="45">
        <v>0</v>
      </c>
      <c r="W344" s="45">
        <v>0</v>
      </c>
      <c r="X344" s="45">
        <v>629.25</v>
      </c>
      <c r="Y344" s="45">
        <v>0</v>
      </c>
      <c r="Z344" s="45">
        <v>35</v>
      </c>
      <c r="AA344" s="45">
        <v>0</v>
      </c>
      <c r="AB344" s="508">
        <v>0</v>
      </c>
      <c r="AC344" s="508">
        <v>0</v>
      </c>
      <c r="AD344" s="631">
        <v>35</v>
      </c>
      <c r="AE344" s="632">
        <v>0</v>
      </c>
      <c r="AF344" s="632">
        <v>21</v>
      </c>
      <c r="AG344" s="633">
        <v>21</v>
      </c>
      <c r="AH344" s="632">
        <v>0</v>
      </c>
      <c r="AI344" s="632">
        <v>0</v>
      </c>
      <c r="AJ344" s="632">
        <v>33.325543825270877</v>
      </c>
      <c r="AK344" s="632">
        <v>33.325543825270877</v>
      </c>
      <c r="AL344" s="632">
        <v>0</v>
      </c>
      <c r="AM344" s="632">
        <v>0</v>
      </c>
      <c r="AN344" s="632">
        <v>20.033047206857503</v>
      </c>
      <c r="AO344" s="632">
        <v>20.033047206857503</v>
      </c>
      <c r="AP344" s="632">
        <v>0</v>
      </c>
      <c r="AQ344" s="632">
        <v>0</v>
      </c>
      <c r="AR344" s="632">
        <v>0</v>
      </c>
      <c r="AS344" s="632">
        <v>31.731196321429998</v>
      </c>
      <c r="AT344" s="632">
        <v>32.518600425573197</v>
      </c>
      <c r="AU344" s="632">
        <v>33.325543825270877</v>
      </c>
      <c r="AV344" s="632">
        <v>34.152511384735391</v>
      </c>
      <c r="AW344" s="632">
        <v>35</v>
      </c>
      <c r="AX344" s="632">
        <v>19.110618113913389</v>
      </c>
      <c r="AY344" s="632">
        <v>19.566397594556161</v>
      </c>
      <c r="AZ344" s="632">
        <v>20.033047206857503</v>
      </c>
      <c r="BA344" s="632">
        <v>20.510826198474003</v>
      </c>
      <c r="BB344" s="632">
        <v>21</v>
      </c>
      <c r="BC344" s="632">
        <v>0</v>
      </c>
      <c r="BD344" s="632">
        <v>0</v>
      </c>
      <c r="BE344" s="632">
        <v>0</v>
      </c>
      <c r="BF344" s="632">
        <v>0</v>
      </c>
      <c r="BG344" s="632">
        <v>0</v>
      </c>
      <c r="BH344" s="634">
        <v>35.179292015391056</v>
      </c>
      <c r="BI344" s="634">
        <v>35.359502477261621</v>
      </c>
      <c r="BJ344" s="634">
        <v>35.540636090472283</v>
      </c>
      <c r="BK344" s="635">
        <v>35.306972001460252</v>
      </c>
      <c r="BL344" s="635">
        <v>35.074844151314473</v>
      </c>
      <c r="BM344" s="635">
        <v>35.326641739814534</v>
      </c>
      <c r="BN344" s="635">
        <v>35.580246949334978</v>
      </c>
      <c r="BO344" s="635">
        <v>35.835672756543971</v>
      </c>
      <c r="BP344" s="635">
        <v>36.092932231267454</v>
      </c>
      <c r="BQ344" s="635">
        <v>36.352038537157874</v>
      </c>
      <c r="BR344" s="635">
        <v>36.556105250275323</v>
      </c>
      <c r="BS344" s="635">
        <v>36.761317517399611</v>
      </c>
      <c r="BT344" s="635">
        <v>36.967681769241359</v>
      </c>
      <c r="BU344" s="635">
        <v>37.175204472610808</v>
      </c>
      <c r="BV344" s="635">
        <v>37.383892130620431</v>
      </c>
      <c r="BW344" s="634">
        <v>21.107575209234632</v>
      </c>
      <c r="BX344" s="634">
        <v>21.215701486356974</v>
      </c>
      <c r="BY344" s="634">
        <v>21.324381654283371</v>
      </c>
      <c r="BZ344" s="635">
        <v>21.184183200876152</v>
      </c>
      <c r="CA344" s="635">
        <v>21.044906490788687</v>
      </c>
      <c r="CB344" s="635">
        <v>21.195985043888722</v>
      </c>
      <c r="CC344" s="635">
        <v>21.348148169600986</v>
      </c>
      <c r="CD344" s="635">
        <v>21.501403653926385</v>
      </c>
      <c r="CE344" s="635">
        <v>21.655759338760475</v>
      </c>
      <c r="CF344" s="635">
        <v>21.811223122294724</v>
      </c>
      <c r="CG344" s="635">
        <v>21.933663150165199</v>
      </c>
      <c r="CH344" s="635">
        <v>22.056790510439768</v>
      </c>
      <c r="CI344" s="635">
        <v>22.180609061544818</v>
      </c>
      <c r="CJ344" s="635">
        <v>22.305122683566488</v>
      </c>
      <c r="CK344" s="635">
        <v>22.430335278372258</v>
      </c>
      <c r="CL344" s="634">
        <v>0</v>
      </c>
      <c r="CM344" s="634">
        <v>0</v>
      </c>
      <c r="CN344" s="634">
        <v>0</v>
      </c>
      <c r="CO344" s="635">
        <v>0</v>
      </c>
      <c r="CP344" s="635">
        <v>0</v>
      </c>
      <c r="CQ344" s="635">
        <v>0</v>
      </c>
      <c r="CR344" s="635">
        <v>0</v>
      </c>
      <c r="CS344" s="635">
        <v>0</v>
      </c>
      <c r="CT344" s="635">
        <v>0</v>
      </c>
      <c r="CU344" s="635">
        <v>0</v>
      </c>
      <c r="CV344" s="635">
        <v>0</v>
      </c>
      <c r="CW344" s="635">
        <v>0</v>
      </c>
      <c r="CX344" s="635">
        <v>0</v>
      </c>
      <c r="CY344" s="635">
        <v>0</v>
      </c>
      <c r="CZ344" s="635">
        <v>0</v>
      </c>
      <c r="DA344" s="636">
        <v>0</v>
      </c>
      <c r="DB344" s="636">
        <v>0</v>
      </c>
      <c r="DC344" s="636">
        <v>0</v>
      </c>
      <c r="DD344" s="637">
        <v>0</v>
      </c>
      <c r="DE344" s="637">
        <v>0</v>
      </c>
      <c r="DF344" s="637">
        <v>0</v>
      </c>
      <c r="DG344" s="637">
        <v>0</v>
      </c>
      <c r="DH344" s="637">
        <v>0</v>
      </c>
      <c r="DI344" s="637">
        <v>0</v>
      </c>
      <c r="DJ344" s="637">
        <v>0</v>
      </c>
      <c r="DK344" s="637">
        <v>0</v>
      </c>
      <c r="DL344" s="637">
        <v>0</v>
      </c>
      <c r="DM344" s="637">
        <v>0</v>
      </c>
      <c r="DN344" s="637">
        <v>0</v>
      </c>
      <c r="DO344" s="637">
        <v>0</v>
      </c>
      <c r="DP344" s="636">
        <v>0</v>
      </c>
      <c r="DQ344" s="636">
        <v>0</v>
      </c>
      <c r="DR344" s="636">
        <v>0</v>
      </c>
      <c r="DS344" s="637">
        <v>0</v>
      </c>
      <c r="DT344" s="637">
        <v>0</v>
      </c>
      <c r="DU344" s="637">
        <v>0</v>
      </c>
      <c r="DV344" s="637">
        <v>0</v>
      </c>
      <c r="DW344" s="637">
        <v>0</v>
      </c>
      <c r="DX344" s="637">
        <v>0</v>
      </c>
      <c r="DY344" s="637">
        <v>0</v>
      </c>
      <c r="DZ344" s="637">
        <v>0</v>
      </c>
      <c r="EA344" s="637">
        <v>0</v>
      </c>
      <c r="EB344" s="637">
        <v>0</v>
      </c>
      <c r="EC344" s="637">
        <v>0</v>
      </c>
      <c r="ED344" s="637">
        <v>0</v>
      </c>
    </row>
    <row r="345" spans="1:134" ht="15" x14ac:dyDescent="0.25">
      <c r="A345" s="555">
        <v>93</v>
      </c>
      <c r="B345" s="555">
        <v>100</v>
      </c>
      <c r="C345" s="555" t="s">
        <v>1328</v>
      </c>
      <c r="D345" s="812">
        <v>99709</v>
      </c>
      <c r="E345" s="812">
        <v>99709</v>
      </c>
      <c r="F345" s="630" t="s">
        <v>989</v>
      </c>
      <c r="G345" s="45">
        <v>5</v>
      </c>
      <c r="H345" s="45">
        <v>7</v>
      </c>
      <c r="I345" s="45">
        <v>4</v>
      </c>
      <c r="J345" s="45">
        <v>3</v>
      </c>
      <c r="K345" s="45">
        <v>0</v>
      </c>
      <c r="L345" s="45">
        <v>11</v>
      </c>
      <c r="M345" s="45">
        <v>11</v>
      </c>
      <c r="N345" s="45">
        <v>0</v>
      </c>
      <c r="O345" s="45">
        <v>0</v>
      </c>
      <c r="P345" s="45">
        <v>0</v>
      </c>
      <c r="Q345" s="45">
        <v>11</v>
      </c>
      <c r="R345" s="45">
        <v>0</v>
      </c>
      <c r="S345" s="45">
        <v>2034.1818181818182</v>
      </c>
      <c r="T345" s="45">
        <v>2034.1818181818182</v>
      </c>
      <c r="U345" s="45">
        <v>0</v>
      </c>
      <c r="V345" s="45">
        <v>0</v>
      </c>
      <c r="W345" s="45">
        <v>0</v>
      </c>
      <c r="X345" s="45">
        <v>2034.1818181818182</v>
      </c>
      <c r="Y345" s="45">
        <v>0</v>
      </c>
      <c r="Z345" s="45">
        <v>7</v>
      </c>
      <c r="AA345" s="45">
        <v>0</v>
      </c>
      <c r="AB345" s="508">
        <v>0</v>
      </c>
      <c r="AC345" s="508">
        <v>0</v>
      </c>
      <c r="AD345" s="631">
        <v>7</v>
      </c>
      <c r="AE345" s="632">
        <v>0</v>
      </c>
      <c r="AF345" s="632">
        <v>4</v>
      </c>
      <c r="AG345" s="633">
        <v>4</v>
      </c>
      <c r="AH345" s="632">
        <v>0</v>
      </c>
      <c r="AI345" s="632">
        <v>0</v>
      </c>
      <c r="AJ345" s="632">
        <v>6.6651087650541756</v>
      </c>
      <c r="AK345" s="632">
        <v>6.6651087650541756</v>
      </c>
      <c r="AL345" s="632">
        <v>0</v>
      </c>
      <c r="AM345" s="632">
        <v>0</v>
      </c>
      <c r="AN345" s="632">
        <v>3.8158185155919053</v>
      </c>
      <c r="AO345" s="632">
        <v>3.8158185155919053</v>
      </c>
      <c r="AP345" s="632">
        <v>0</v>
      </c>
      <c r="AQ345" s="632">
        <v>0</v>
      </c>
      <c r="AR345" s="632">
        <v>0</v>
      </c>
      <c r="AS345" s="632">
        <v>6.346239264285999</v>
      </c>
      <c r="AT345" s="632">
        <v>6.5037200851146393</v>
      </c>
      <c r="AU345" s="632">
        <v>6.6651087650541756</v>
      </c>
      <c r="AV345" s="632">
        <v>6.8305022769470787</v>
      </c>
      <c r="AW345" s="632">
        <v>7</v>
      </c>
      <c r="AX345" s="632">
        <v>3.6401177359835026</v>
      </c>
      <c r="AY345" s="632">
        <v>3.7269328751535542</v>
      </c>
      <c r="AZ345" s="632">
        <v>3.8158185155919053</v>
      </c>
      <c r="BA345" s="632">
        <v>3.9068240378045722</v>
      </c>
      <c r="BB345" s="632">
        <v>4</v>
      </c>
      <c r="BC345" s="632">
        <v>0</v>
      </c>
      <c r="BD345" s="632">
        <v>0</v>
      </c>
      <c r="BE345" s="632">
        <v>0</v>
      </c>
      <c r="BF345" s="632">
        <v>0</v>
      </c>
      <c r="BG345" s="632">
        <v>0</v>
      </c>
      <c r="BH345" s="634">
        <v>7.035858403078211</v>
      </c>
      <c r="BI345" s="634">
        <v>7.0719004954523248</v>
      </c>
      <c r="BJ345" s="634">
        <v>7.1081272180944568</v>
      </c>
      <c r="BK345" s="635">
        <v>7.0613944002920501</v>
      </c>
      <c r="BL345" s="635">
        <v>7.0149688302628945</v>
      </c>
      <c r="BM345" s="635">
        <v>7.0653283479629074</v>
      </c>
      <c r="BN345" s="635">
        <v>7.116049389866995</v>
      </c>
      <c r="BO345" s="635">
        <v>7.167134551308795</v>
      </c>
      <c r="BP345" s="635">
        <v>7.2185864462534912</v>
      </c>
      <c r="BQ345" s="635">
        <v>7.2704077074315743</v>
      </c>
      <c r="BR345" s="635">
        <v>7.3112210500550656</v>
      </c>
      <c r="BS345" s="635">
        <v>7.3522635034799215</v>
      </c>
      <c r="BT345" s="635">
        <v>7.3935363538482717</v>
      </c>
      <c r="BU345" s="635">
        <v>7.435040894522162</v>
      </c>
      <c r="BV345" s="635">
        <v>7.4767784261240857</v>
      </c>
      <c r="BW345" s="634">
        <v>4.020490516044692</v>
      </c>
      <c r="BX345" s="634">
        <v>4.0410859974013285</v>
      </c>
      <c r="BY345" s="634">
        <v>4.061786981768261</v>
      </c>
      <c r="BZ345" s="635">
        <v>4.0350825144525997</v>
      </c>
      <c r="CA345" s="635">
        <v>4.0085536172930825</v>
      </c>
      <c r="CB345" s="635">
        <v>4.0373304845502327</v>
      </c>
      <c r="CC345" s="635">
        <v>4.0663139370668544</v>
      </c>
      <c r="CD345" s="635">
        <v>4.0955054578907397</v>
      </c>
      <c r="CE345" s="635">
        <v>4.1249065407162808</v>
      </c>
      <c r="CF345" s="635">
        <v>4.1545186899608995</v>
      </c>
      <c r="CG345" s="635">
        <v>4.1778406000314661</v>
      </c>
      <c r="CH345" s="635">
        <v>4.2012934305599554</v>
      </c>
      <c r="CI345" s="635">
        <v>4.2248779164847265</v>
      </c>
      <c r="CJ345" s="635">
        <v>4.2485947968698072</v>
      </c>
      <c r="CK345" s="635">
        <v>4.2724448149280487</v>
      </c>
      <c r="CL345" s="634">
        <v>0</v>
      </c>
      <c r="CM345" s="634">
        <v>0</v>
      </c>
      <c r="CN345" s="634">
        <v>0</v>
      </c>
      <c r="CO345" s="635">
        <v>0</v>
      </c>
      <c r="CP345" s="635">
        <v>0</v>
      </c>
      <c r="CQ345" s="635">
        <v>0</v>
      </c>
      <c r="CR345" s="635">
        <v>0</v>
      </c>
      <c r="CS345" s="635">
        <v>0</v>
      </c>
      <c r="CT345" s="635">
        <v>0</v>
      </c>
      <c r="CU345" s="635">
        <v>0</v>
      </c>
      <c r="CV345" s="635">
        <v>0</v>
      </c>
      <c r="CW345" s="635">
        <v>0</v>
      </c>
      <c r="CX345" s="635">
        <v>0</v>
      </c>
      <c r="CY345" s="635">
        <v>0</v>
      </c>
      <c r="CZ345" s="635">
        <v>0</v>
      </c>
      <c r="DA345" s="636">
        <v>0</v>
      </c>
      <c r="DB345" s="636">
        <v>0</v>
      </c>
      <c r="DC345" s="636">
        <v>0</v>
      </c>
      <c r="DD345" s="637">
        <v>0</v>
      </c>
      <c r="DE345" s="637">
        <v>0</v>
      </c>
      <c r="DF345" s="637">
        <v>0</v>
      </c>
      <c r="DG345" s="637">
        <v>0</v>
      </c>
      <c r="DH345" s="637">
        <v>0</v>
      </c>
      <c r="DI345" s="637">
        <v>0</v>
      </c>
      <c r="DJ345" s="637">
        <v>0</v>
      </c>
      <c r="DK345" s="637">
        <v>0</v>
      </c>
      <c r="DL345" s="637">
        <v>0</v>
      </c>
      <c r="DM345" s="637">
        <v>0</v>
      </c>
      <c r="DN345" s="637">
        <v>0</v>
      </c>
      <c r="DO345" s="637">
        <v>0</v>
      </c>
      <c r="DP345" s="636">
        <v>0</v>
      </c>
      <c r="DQ345" s="636">
        <v>0</v>
      </c>
      <c r="DR345" s="636">
        <v>0</v>
      </c>
      <c r="DS345" s="637">
        <v>0</v>
      </c>
      <c r="DT345" s="637">
        <v>0</v>
      </c>
      <c r="DU345" s="637">
        <v>0</v>
      </c>
      <c r="DV345" s="637">
        <v>0</v>
      </c>
      <c r="DW345" s="637">
        <v>0</v>
      </c>
      <c r="DX345" s="637">
        <v>0</v>
      </c>
      <c r="DY345" s="637">
        <v>0</v>
      </c>
      <c r="DZ345" s="637">
        <v>0</v>
      </c>
      <c r="EA345" s="637">
        <v>0</v>
      </c>
      <c r="EB345" s="637">
        <v>0</v>
      </c>
      <c r="EC345" s="637">
        <v>0</v>
      </c>
      <c r="ED345" s="637">
        <v>0</v>
      </c>
    </row>
    <row r="346" spans="1:134" ht="15" x14ac:dyDescent="0.25">
      <c r="A346" s="555">
        <v>94</v>
      </c>
      <c r="B346" s="555">
        <v>100</v>
      </c>
      <c r="C346" s="555" t="s">
        <v>1329</v>
      </c>
      <c r="D346" s="812">
        <v>99709</v>
      </c>
      <c r="E346" s="812">
        <v>99709</v>
      </c>
      <c r="F346" s="630" t="s">
        <v>989</v>
      </c>
      <c r="G346" s="45">
        <v>61</v>
      </c>
      <c r="H346" s="45">
        <v>28</v>
      </c>
      <c r="I346" s="45">
        <v>25</v>
      </c>
      <c r="J346" s="45">
        <v>3</v>
      </c>
      <c r="K346" s="45">
        <v>0</v>
      </c>
      <c r="L346" s="45">
        <v>28</v>
      </c>
      <c r="M346" s="45">
        <v>28</v>
      </c>
      <c r="N346" s="45">
        <v>0</v>
      </c>
      <c r="O346" s="45">
        <v>0</v>
      </c>
      <c r="P346" s="45">
        <v>0</v>
      </c>
      <c r="Q346" s="45">
        <v>28</v>
      </c>
      <c r="R346" s="45">
        <v>0</v>
      </c>
      <c r="S346" s="45">
        <v>1820.8928571428571</v>
      </c>
      <c r="T346" s="45">
        <v>1820.8928571428571</v>
      </c>
      <c r="U346" s="45">
        <v>0</v>
      </c>
      <c r="V346" s="45">
        <v>0</v>
      </c>
      <c r="W346" s="45">
        <v>0</v>
      </c>
      <c r="X346" s="45">
        <v>1820.8928571428571</v>
      </c>
      <c r="Y346" s="45">
        <v>0</v>
      </c>
      <c r="Z346" s="45">
        <v>28</v>
      </c>
      <c r="AA346" s="45">
        <v>0</v>
      </c>
      <c r="AB346" s="508">
        <v>0</v>
      </c>
      <c r="AC346" s="508">
        <v>0</v>
      </c>
      <c r="AD346" s="631">
        <v>28</v>
      </c>
      <c r="AE346" s="632">
        <v>0</v>
      </c>
      <c r="AF346" s="632">
        <v>25</v>
      </c>
      <c r="AG346" s="633">
        <v>25</v>
      </c>
      <c r="AH346" s="632">
        <v>0</v>
      </c>
      <c r="AI346" s="632">
        <v>0</v>
      </c>
      <c r="AJ346" s="632">
        <v>26.660435060216702</v>
      </c>
      <c r="AK346" s="632">
        <v>26.660435060216702</v>
      </c>
      <c r="AL346" s="632">
        <v>0</v>
      </c>
      <c r="AM346" s="632">
        <v>0</v>
      </c>
      <c r="AN346" s="632">
        <v>23.848865722449407</v>
      </c>
      <c r="AO346" s="632">
        <v>23.848865722449407</v>
      </c>
      <c r="AP346" s="632">
        <v>0</v>
      </c>
      <c r="AQ346" s="632">
        <v>0</v>
      </c>
      <c r="AR346" s="632">
        <v>0</v>
      </c>
      <c r="AS346" s="632">
        <v>25.384957057143996</v>
      </c>
      <c r="AT346" s="632">
        <v>26.014880340458557</v>
      </c>
      <c r="AU346" s="632">
        <v>26.660435060216702</v>
      </c>
      <c r="AV346" s="632">
        <v>27.322009107788315</v>
      </c>
      <c r="AW346" s="632">
        <v>28</v>
      </c>
      <c r="AX346" s="632">
        <v>22.750735849896891</v>
      </c>
      <c r="AY346" s="632">
        <v>23.293330469709716</v>
      </c>
      <c r="AZ346" s="632">
        <v>23.848865722449407</v>
      </c>
      <c r="BA346" s="632">
        <v>24.417650236278575</v>
      </c>
      <c r="BB346" s="632">
        <v>25</v>
      </c>
      <c r="BC346" s="632">
        <v>0</v>
      </c>
      <c r="BD346" s="632">
        <v>0</v>
      </c>
      <c r="BE346" s="632">
        <v>0</v>
      </c>
      <c r="BF346" s="632">
        <v>0</v>
      </c>
      <c r="BG346" s="632">
        <v>0</v>
      </c>
      <c r="BH346" s="634">
        <v>28.143433612312844</v>
      </c>
      <c r="BI346" s="634">
        <v>28.287601981809299</v>
      </c>
      <c r="BJ346" s="634">
        <v>28.432508872377827</v>
      </c>
      <c r="BK346" s="635">
        <v>28.2455776011682</v>
      </c>
      <c r="BL346" s="635">
        <v>28.059875321051578</v>
      </c>
      <c r="BM346" s="635">
        <v>28.26131339185163</v>
      </c>
      <c r="BN346" s="635">
        <v>28.46419755946798</v>
      </c>
      <c r="BO346" s="635">
        <v>28.66853820523518</v>
      </c>
      <c r="BP346" s="635">
        <v>28.874345785013965</v>
      </c>
      <c r="BQ346" s="635">
        <v>29.081630829726297</v>
      </c>
      <c r="BR346" s="635">
        <v>29.244884200220262</v>
      </c>
      <c r="BS346" s="635">
        <v>29.409054013919686</v>
      </c>
      <c r="BT346" s="635">
        <v>29.574145415393087</v>
      </c>
      <c r="BU346" s="635">
        <v>29.740163578088648</v>
      </c>
      <c r="BV346" s="635">
        <v>29.907113704496343</v>
      </c>
      <c r="BW346" s="634">
        <v>25.128065725279324</v>
      </c>
      <c r="BX346" s="634">
        <v>25.256787483758302</v>
      </c>
      <c r="BY346" s="634">
        <v>25.386168636051632</v>
      </c>
      <c r="BZ346" s="635">
        <v>25.219265715328749</v>
      </c>
      <c r="CA346" s="635">
        <v>25.053460108081769</v>
      </c>
      <c r="CB346" s="635">
        <v>25.233315528438954</v>
      </c>
      <c r="CC346" s="635">
        <v>25.414462106667841</v>
      </c>
      <c r="CD346" s="635">
        <v>25.596909111817126</v>
      </c>
      <c r="CE346" s="635">
        <v>25.780665879476754</v>
      </c>
      <c r="CF346" s="635">
        <v>25.965741812255626</v>
      </c>
      <c r="CG346" s="635">
        <v>26.111503750196665</v>
      </c>
      <c r="CH346" s="635">
        <v>26.258083940999722</v>
      </c>
      <c r="CI346" s="635">
        <v>26.405486978029543</v>
      </c>
      <c r="CJ346" s="635">
        <v>26.553717480436294</v>
      </c>
      <c r="CK346" s="635">
        <v>26.702780093300309</v>
      </c>
      <c r="CL346" s="634">
        <v>0</v>
      </c>
      <c r="CM346" s="634">
        <v>0</v>
      </c>
      <c r="CN346" s="634">
        <v>0</v>
      </c>
      <c r="CO346" s="635">
        <v>0</v>
      </c>
      <c r="CP346" s="635">
        <v>0</v>
      </c>
      <c r="CQ346" s="635">
        <v>0</v>
      </c>
      <c r="CR346" s="635">
        <v>0</v>
      </c>
      <c r="CS346" s="635">
        <v>0</v>
      </c>
      <c r="CT346" s="635">
        <v>0</v>
      </c>
      <c r="CU346" s="635">
        <v>0</v>
      </c>
      <c r="CV346" s="635">
        <v>0</v>
      </c>
      <c r="CW346" s="635">
        <v>0</v>
      </c>
      <c r="CX346" s="635">
        <v>0</v>
      </c>
      <c r="CY346" s="635">
        <v>0</v>
      </c>
      <c r="CZ346" s="635">
        <v>0</v>
      </c>
      <c r="DA346" s="636">
        <v>0</v>
      </c>
      <c r="DB346" s="636">
        <v>0</v>
      </c>
      <c r="DC346" s="636">
        <v>0</v>
      </c>
      <c r="DD346" s="637">
        <v>0</v>
      </c>
      <c r="DE346" s="637">
        <v>0</v>
      </c>
      <c r="DF346" s="637">
        <v>0</v>
      </c>
      <c r="DG346" s="637">
        <v>0</v>
      </c>
      <c r="DH346" s="637">
        <v>0</v>
      </c>
      <c r="DI346" s="637">
        <v>0</v>
      </c>
      <c r="DJ346" s="637">
        <v>0</v>
      </c>
      <c r="DK346" s="637">
        <v>0</v>
      </c>
      <c r="DL346" s="637">
        <v>0</v>
      </c>
      <c r="DM346" s="637">
        <v>0</v>
      </c>
      <c r="DN346" s="637">
        <v>0</v>
      </c>
      <c r="DO346" s="637">
        <v>0</v>
      </c>
      <c r="DP346" s="636">
        <v>0</v>
      </c>
      <c r="DQ346" s="636">
        <v>0</v>
      </c>
      <c r="DR346" s="636">
        <v>0</v>
      </c>
      <c r="DS346" s="637">
        <v>0</v>
      </c>
      <c r="DT346" s="637">
        <v>0</v>
      </c>
      <c r="DU346" s="637">
        <v>0</v>
      </c>
      <c r="DV346" s="637">
        <v>0</v>
      </c>
      <c r="DW346" s="637">
        <v>0</v>
      </c>
      <c r="DX346" s="637">
        <v>0</v>
      </c>
      <c r="DY346" s="637">
        <v>0</v>
      </c>
      <c r="DZ346" s="637">
        <v>0</v>
      </c>
      <c r="EA346" s="637">
        <v>0</v>
      </c>
      <c r="EB346" s="637">
        <v>0</v>
      </c>
      <c r="EC346" s="637">
        <v>0</v>
      </c>
      <c r="ED346" s="637">
        <v>0</v>
      </c>
    </row>
    <row r="347" spans="1:134" ht="15" x14ac:dyDescent="0.25">
      <c r="A347" s="555">
        <v>101</v>
      </c>
      <c r="B347" s="555">
        <v>100</v>
      </c>
      <c r="C347" s="555" t="s">
        <v>1330</v>
      </c>
      <c r="D347" s="812">
        <v>99709</v>
      </c>
      <c r="E347" s="812">
        <v>99709</v>
      </c>
      <c r="F347" s="630" t="s">
        <v>311</v>
      </c>
      <c r="G347" s="45">
        <v>7</v>
      </c>
      <c r="H347" s="45">
        <v>8</v>
      </c>
      <c r="I347" s="45">
        <v>6</v>
      </c>
      <c r="J347" s="45">
        <v>2</v>
      </c>
      <c r="K347" s="45">
        <v>0</v>
      </c>
      <c r="L347" s="45">
        <v>14</v>
      </c>
      <c r="M347" s="45">
        <v>14</v>
      </c>
      <c r="N347" s="45">
        <v>0</v>
      </c>
      <c r="O347" s="45">
        <v>0</v>
      </c>
      <c r="P347" s="45">
        <v>0</v>
      </c>
      <c r="Q347" s="45">
        <v>14</v>
      </c>
      <c r="R347" s="45">
        <v>0</v>
      </c>
      <c r="S347" s="45">
        <v>1230.2857142857142</v>
      </c>
      <c r="T347" s="45">
        <v>1230.2857142857142</v>
      </c>
      <c r="U347" s="45">
        <v>0</v>
      </c>
      <c r="V347" s="45">
        <v>0</v>
      </c>
      <c r="W347" s="45">
        <v>0</v>
      </c>
      <c r="X347" s="45">
        <v>1230.2857142857142</v>
      </c>
      <c r="Y347" s="45">
        <v>0</v>
      </c>
      <c r="Z347" s="45">
        <v>8</v>
      </c>
      <c r="AA347" s="45">
        <v>0</v>
      </c>
      <c r="AB347" s="508">
        <v>0</v>
      </c>
      <c r="AC347" s="508">
        <v>0</v>
      </c>
      <c r="AD347" s="631">
        <v>8</v>
      </c>
      <c r="AE347" s="632">
        <v>0</v>
      </c>
      <c r="AF347" s="632">
        <v>6</v>
      </c>
      <c r="AG347" s="633">
        <v>6</v>
      </c>
      <c r="AH347" s="632">
        <v>0</v>
      </c>
      <c r="AI347" s="632">
        <v>0</v>
      </c>
      <c r="AJ347" s="632">
        <v>7.6172671600619148</v>
      </c>
      <c r="AK347" s="632">
        <v>7.6172671600619148</v>
      </c>
      <c r="AL347" s="632">
        <v>0</v>
      </c>
      <c r="AM347" s="632">
        <v>0</v>
      </c>
      <c r="AN347" s="632">
        <v>5.723727773387858</v>
      </c>
      <c r="AO347" s="632">
        <v>5.723727773387858</v>
      </c>
      <c r="AP347" s="632">
        <v>0</v>
      </c>
      <c r="AQ347" s="632">
        <v>0</v>
      </c>
      <c r="AR347" s="632">
        <v>0</v>
      </c>
      <c r="AS347" s="632">
        <v>7.252844873469714</v>
      </c>
      <c r="AT347" s="632">
        <v>7.4328229544167312</v>
      </c>
      <c r="AU347" s="632">
        <v>7.6172671600619148</v>
      </c>
      <c r="AV347" s="632">
        <v>7.8062883165109467</v>
      </c>
      <c r="AW347" s="632">
        <v>8</v>
      </c>
      <c r="AX347" s="632">
        <v>5.4601766039752535</v>
      </c>
      <c r="AY347" s="632">
        <v>5.5903993127303311</v>
      </c>
      <c r="AZ347" s="632">
        <v>5.723727773387858</v>
      </c>
      <c r="BA347" s="632">
        <v>5.8602360567068583</v>
      </c>
      <c r="BB347" s="632">
        <v>6</v>
      </c>
      <c r="BC347" s="632">
        <v>0</v>
      </c>
      <c r="BD347" s="632">
        <v>0</v>
      </c>
      <c r="BE347" s="632">
        <v>0</v>
      </c>
      <c r="BF347" s="632">
        <v>0</v>
      </c>
      <c r="BG347" s="632">
        <v>0</v>
      </c>
      <c r="BH347" s="634">
        <v>8.040981032089384</v>
      </c>
      <c r="BI347" s="634">
        <v>8.0821719948026569</v>
      </c>
      <c r="BJ347" s="634">
        <v>8.1235739635365221</v>
      </c>
      <c r="BK347" s="635">
        <v>8.0701650289051994</v>
      </c>
      <c r="BL347" s="635">
        <v>8.0171072345861649</v>
      </c>
      <c r="BM347" s="635">
        <v>8.0746609691004654</v>
      </c>
      <c r="BN347" s="635">
        <v>8.1326278741337088</v>
      </c>
      <c r="BO347" s="635">
        <v>8.1910109157814794</v>
      </c>
      <c r="BP347" s="635">
        <v>8.2498130814325616</v>
      </c>
      <c r="BQ347" s="635">
        <v>8.3090373799217989</v>
      </c>
      <c r="BR347" s="635">
        <v>8.3556812000629321</v>
      </c>
      <c r="BS347" s="635">
        <v>8.4025868611199108</v>
      </c>
      <c r="BT347" s="635">
        <v>8.4497558329694531</v>
      </c>
      <c r="BU347" s="635">
        <v>8.4971895937396145</v>
      </c>
      <c r="BV347" s="635">
        <v>8.5448896298560975</v>
      </c>
      <c r="BW347" s="634">
        <v>6.030735774067038</v>
      </c>
      <c r="BX347" s="634">
        <v>6.0616289961019927</v>
      </c>
      <c r="BY347" s="634">
        <v>6.0926804726523915</v>
      </c>
      <c r="BZ347" s="635">
        <v>6.0526237716789</v>
      </c>
      <c r="CA347" s="635">
        <v>6.0128304259396241</v>
      </c>
      <c r="CB347" s="635">
        <v>6.0559957268253495</v>
      </c>
      <c r="CC347" s="635">
        <v>6.099470905600282</v>
      </c>
      <c r="CD347" s="635">
        <v>6.1432581868361096</v>
      </c>
      <c r="CE347" s="635">
        <v>6.1873598110744208</v>
      </c>
      <c r="CF347" s="635">
        <v>6.2317780349413496</v>
      </c>
      <c r="CG347" s="635">
        <v>6.2667609000471991</v>
      </c>
      <c r="CH347" s="635">
        <v>6.3019401458399331</v>
      </c>
      <c r="CI347" s="635">
        <v>6.3373168747270903</v>
      </c>
      <c r="CJ347" s="635">
        <v>6.3728921953047104</v>
      </c>
      <c r="CK347" s="635">
        <v>6.408667222392074</v>
      </c>
      <c r="CL347" s="634">
        <v>0</v>
      </c>
      <c r="CM347" s="634">
        <v>0</v>
      </c>
      <c r="CN347" s="634">
        <v>0</v>
      </c>
      <c r="CO347" s="635">
        <v>0</v>
      </c>
      <c r="CP347" s="635">
        <v>0</v>
      </c>
      <c r="CQ347" s="635">
        <v>0</v>
      </c>
      <c r="CR347" s="635">
        <v>0</v>
      </c>
      <c r="CS347" s="635">
        <v>0</v>
      </c>
      <c r="CT347" s="635">
        <v>0</v>
      </c>
      <c r="CU347" s="635">
        <v>0</v>
      </c>
      <c r="CV347" s="635">
        <v>0</v>
      </c>
      <c r="CW347" s="635">
        <v>0</v>
      </c>
      <c r="CX347" s="635">
        <v>0</v>
      </c>
      <c r="CY347" s="635">
        <v>0</v>
      </c>
      <c r="CZ347" s="635">
        <v>0</v>
      </c>
      <c r="DA347" s="636">
        <v>0</v>
      </c>
      <c r="DB347" s="636">
        <v>0</v>
      </c>
      <c r="DC347" s="636">
        <v>0</v>
      </c>
      <c r="DD347" s="637">
        <v>0</v>
      </c>
      <c r="DE347" s="637">
        <v>0</v>
      </c>
      <c r="DF347" s="637">
        <v>0</v>
      </c>
      <c r="DG347" s="637">
        <v>0</v>
      </c>
      <c r="DH347" s="637">
        <v>0</v>
      </c>
      <c r="DI347" s="637">
        <v>0</v>
      </c>
      <c r="DJ347" s="637">
        <v>0</v>
      </c>
      <c r="DK347" s="637">
        <v>0</v>
      </c>
      <c r="DL347" s="637">
        <v>0</v>
      </c>
      <c r="DM347" s="637">
        <v>0</v>
      </c>
      <c r="DN347" s="637">
        <v>0</v>
      </c>
      <c r="DO347" s="637">
        <v>0</v>
      </c>
      <c r="DP347" s="636">
        <v>0</v>
      </c>
      <c r="DQ347" s="636">
        <v>0</v>
      </c>
      <c r="DR347" s="636">
        <v>0</v>
      </c>
      <c r="DS347" s="637">
        <v>0</v>
      </c>
      <c r="DT347" s="637">
        <v>0</v>
      </c>
      <c r="DU347" s="637">
        <v>0</v>
      </c>
      <c r="DV347" s="637">
        <v>0</v>
      </c>
      <c r="DW347" s="637">
        <v>0</v>
      </c>
      <c r="DX347" s="637">
        <v>0</v>
      </c>
      <c r="DY347" s="637">
        <v>0</v>
      </c>
      <c r="DZ347" s="637">
        <v>0</v>
      </c>
      <c r="EA347" s="637">
        <v>0</v>
      </c>
      <c r="EB347" s="637">
        <v>0</v>
      </c>
      <c r="EC347" s="637">
        <v>0</v>
      </c>
      <c r="ED347" s="637">
        <v>0</v>
      </c>
    </row>
    <row r="348" spans="1:134" ht="15" x14ac:dyDescent="0.25">
      <c r="A348" s="555">
        <v>102</v>
      </c>
      <c r="B348" s="555">
        <v>100</v>
      </c>
      <c r="C348" s="555" t="s">
        <v>1331</v>
      </c>
      <c r="D348" s="812">
        <v>99709</v>
      </c>
      <c r="E348" s="812">
        <v>99709</v>
      </c>
      <c r="F348" s="630" t="s">
        <v>311</v>
      </c>
      <c r="G348" s="45">
        <v>277</v>
      </c>
      <c r="H348" s="45">
        <v>123</v>
      </c>
      <c r="I348" s="45">
        <v>112</v>
      </c>
      <c r="J348" s="45">
        <v>11</v>
      </c>
      <c r="K348" s="45">
        <v>0</v>
      </c>
      <c r="L348" s="45">
        <v>87</v>
      </c>
      <c r="M348" s="45">
        <v>87</v>
      </c>
      <c r="N348" s="45">
        <v>0</v>
      </c>
      <c r="O348" s="45">
        <v>0</v>
      </c>
      <c r="P348" s="45">
        <v>0</v>
      </c>
      <c r="Q348" s="45">
        <v>87</v>
      </c>
      <c r="R348" s="45">
        <v>0</v>
      </c>
      <c r="S348" s="45">
        <v>1911.6206896551723</v>
      </c>
      <c r="T348" s="45">
        <v>1911.6206896551723</v>
      </c>
      <c r="U348" s="45">
        <v>0</v>
      </c>
      <c r="V348" s="45">
        <v>0</v>
      </c>
      <c r="W348" s="45">
        <v>0</v>
      </c>
      <c r="X348" s="45">
        <v>1911.6206896551723</v>
      </c>
      <c r="Y348" s="45">
        <v>0</v>
      </c>
      <c r="Z348" s="45">
        <v>123</v>
      </c>
      <c r="AA348" s="45">
        <v>0</v>
      </c>
      <c r="AB348" s="508">
        <v>0</v>
      </c>
      <c r="AC348" s="508">
        <v>0</v>
      </c>
      <c r="AD348" s="631">
        <v>123</v>
      </c>
      <c r="AE348" s="632">
        <v>0</v>
      </c>
      <c r="AF348" s="632">
        <v>112</v>
      </c>
      <c r="AG348" s="633">
        <v>112</v>
      </c>
      <c r="AH348" s="632">
        <v>0</v>
      </c>
      <c r="AI348" s="632">
        <v>0</v>
      </c>
      <c r="AJ348" s="632">
        <v>117.11548258595194</v>
      </c>
      <c r="AK348" s="632">
        <v>117.11548258595194</v>
      </c>
      <c r="AL348" s="632">
        <v>0</v>
      </c>
      <c r="AM348" s="632">
        <v>0</v>
      </c>
      <c r="AN348" s="632">
        <v>106.84291843657334</v>
      </c>
      <c r="AO348" s="632">
        <v>106.84291843657334</v>
      </c>
      <c r="AP348" s="632">
        <v>0</v>
      </c>
      <c r="AQ348" s="632">
        <v>0</v>
      </c>
      <c r="AR348" s="632">
        <v>0</v>
      </c>
      <c r="AS348" s="632">
        <v>111.51248992959684</v>
      </c>
      <c r="AT348" s="632">
        <v>114.27965292415723</v>
      </c>
      <c r="AU348" s="632">
        <v>117.11548258595194</v>
      </c>
      <c r="AV348" s="632">
        <v>120.02168286635582</v>
      </c>
      <c r="AW348" s="632">
        <v>123</v>
      </c>
      <c r="AX348" s="632">
        <v>101.92329660753808</v>
      </c>
      <c r="AY348" s="632">
        <v>104.35412050429952</v>
      </c>
      <c r="AZ348" s="632">
        <v>106.84291843657334</v>
      </c>
      <c r="BA348" s="632">
        <v>109.39107305852802</v>
      </c>
      <c r="BB348" s="632">
        <v>112</v>
      </c>
      <c r="BC348" s="632">
        <v>0</v>
      </c>
      <c r="BD348" s="632">
        <v>0</v>
      </c>
      <c r="BE348" s="632">
        <v>0</v>
      </c>
      <c r="BF348" s="632">
        <v>0</v>
      </c>
      <c r="BG348" s="632">
        <v>0</v>
      </c>
      <c r="BH348" s="634">
        <v>123.63008336837427</v>
      </c>
      <c r="BI348" s="634">
        <v>124.26339442009085</v>
      </c>
      <c r="BJ348" s="634">
        <v>124.89994968937403</v>
      </c>
      <c r="BK348" s="635">
        <v>124.07878731941744</v>
      </c>
      <c r="BL348" s="635">
        <v>123.26302373176229</v>
      </c>
      <c r="BM348" s="635">
        <v>124.14791239991966</v>
      </c>
      <c r="BN348" s="635">
        <v>125.03915356480577</v>
      </c>
      <c r="BO348" s="635">
        <v>125.93679283014025</v>
      </c>
      <c r="BP348" s="635">
        <v>126.84087612702562</v>
      </c>
      <c r="BQ348" s="635">
        <v>127.75144971629767</v>
      </c>
      <c r="BR348" s="635">
        <v>128.46859845096759</v>
      </c>
      <c r="BS348" s="635">
        <v>129.18977298971862</v>
      </c>
      <c r="BT348" s="635">
        <v>129.91499593190534</v>
      </c>
      <c r="BU348" s="635">
        <v>130.64429000374656</v>
      </c>
      <c r="BV348" s="635">
        <v>131.37767805903752</v>
      </c>
      <c r="BW348" s="634">
        <v>112.57373444925138</v>
      </c>
      <c r="BX348" s="634">
        <v>113.1504079272372</v>
      </c>
      <c r="BY348" s="634">
        <v>113.73003548951131</v>
      </c>
      <c r="BZ348" s="635">
        <v>112.9823104046728</v>
      </c>
      <c r="CA348" s="635">
        <v>112.23950128420631</v>
      </c>
      <c r="CB348" s="635">
        <v>113.04525356740652</v>
      </c>
      <c r="CC348" s="635">
        <v>113.85679023787192</v>
      </c>
      <c r="CD348" s="635">
        <v>114.67415282094072</v>
      </c>
      <c r="CE348" s="635">
        <v>115.49738314005586</v>
      </c>
      <c r="CF348" s="635">
        <v>116.32652331890519</v>
      </c>
      <c r="CG348" s="635">
        <v>116.97953680088105</v>
      </c>
      <c r="CH348" s="635">
        <v>117.63621605567874</v>
      </c>
      <c r="CI348" s="635">
        <v>118.29658166157235</v>
      </c>
      <c r="CJ348" s="635">
        <v>118.96065431235459</v>
      </c>
      <c r="CK348" s="635">
        <v>119.62845481798537</v>
      </c>
      <c r="CL348" s="634">
        <v>0</v>
      </c>
      <c r="CM348" s="634">
        <v>0</v>
      </c>
      <c r="CN348" s="634">
        <v>0</v>
      </c>
      <c r="CO348" s="635">
        <v>0</v>
      </c>
      <c r="CP348" s="635">
        <v>0</v>
      </c>
      <c r="CQ348" s="635">
        <v>0</v>
      </c>
      <c r="CR348" s="635">
        <v>0</v>
      </c>
      <c r="CS348" s="635">
        <v>0</v>
      </c>
      <c r="CT348" s="635">
        <v>0</v>
      </c>
      <c r="CU348" s="635">
        <v>0</v>
      </c>
      <c r="CV348" s="635">
        <v>0</v>
      </c>
      <c r="CW348" s="635">
        <v>0</v>
      </c>
      <c r="CX348" s="635">
        <v>0</v>
      </c>
      <c r="CY348" s="635">
        <v>0</v>
      </c>
      <c r="CZ348" s="635">
        <v>0</v>
      </c>
      <c r="DA348" s="636">
        <v>0</v>
      </c>
      <c r="DB348" s="636">
        <v>0</v>
      </c>
      <c r="DC348" s="636">
        <v>0</v>
      </c>
      <c r="DD348" s="637">
        <v>0</v>
      </c>
      <c r="DE348" s="637">
        <v>0</v>
      </c>
      <c r="DF348" s="637">
        <v>0</v>
      </c>
      <c r="DG348" s="637">
        <v>0</v>
      </c>
      <c r="DH348" s="637">
        <v>0</v>
      </c>
      <c r="DI348" s="637">
        <v>0</v>
      </c>
      <c r="DJ348" s="637">
        <v>0</v>
      </c>
      <c r="DK348" s="637">
        <v>0</v>
      </c>
      <c r="DL348" s="637">
        <v>0</v>
      </c>
      <c r="DM348" s="637">
        <v>0</v>
      </c>
      <c r="DN348" s="637">
        <v>0</v>
      </c>
      <c r="DO348" s="637">
        <v>0</v>
      </c>
      <c r="DP348" s="636">
        <v>0</v>
      </c>
      <c r="DQ348" s="636">
        <v>0</v>
      </c>
      <c r="DR348" s="636">
        <v>0</v>
      </c>
      <c r="DS348" s="637">
        <v>0</v>
      </c>
      <c r="DT348" s="637">
        <v>0</v>
      </c>
      <c r="DU348" s="637">
        <v>0</v>
      </c>
      <c r="DV348" s="637">
        <v>0</v>
      </c>
      <c r="DW348" s="637">
        <v>0</v>
      </c>
      <c r="DX348" s="637">
        <v>0</v>
      </c>
      <c r="DY348" s="637">
        <v>0</v>
      </c>
      <c r="DZ348" s="637">
        <v>0</v>
      </c>
      <c r="EA348" s="637">
        <v>0</v>
      </c>
      <c r="EB348" s="637">
        <v>0</v>
      </c>
      <c r="EC348" s="637">
        <v>0</v>
      </c>
      <c r="ED348" s="637">
        <v>0</v>
      </c>
    </row>
    <row r="349" spans="1:134" ht="15" x14ac:dyDescent="0.25">
      <c r="A349" s="555">
        <v>103</v>
      </c>
      <c r="B349" s="555">
        <v>100</v>
      </c>
      <c r="C349" s="555" t="s">
        <v>1332</v>
      </c>
      <c r="D349" s="812">
        <v>99709</v>
      </c>
      <c r="E349" s="812">
        <v>99709</v>
      </c>
      <c r="F349" s="630" t="s">
        <v>311</v>
      </c>
      <c r="G349" s="45">
        <v>64</v>
      </c>
      <c r="H349" s="45">
        <v>53</v>
      </c>
      <c r="I349" s="45">
        <v>40</v>
      </c>
      <c r="J349" s="45">
        <v>13</v>
      </c>
      <c r="K349" s="45">
        <v>1</v>
      </c>
      <c r="L349" s="45">
        <v>45</v>
      </c>
      <c r="M349" s="45">
        <v>46</v>
      </c>
      <c r="N349" s="45">
        <v>4</v>
      </c>
      <c r="O349" s="45">
        <v>0</v>
      </c>
      <c r="P349" s="45">
        <v>0</v>
      </c>
      <c r="Q349" s="45">
        <v>50</v>
      </c>
      <c r="R349" s="45">
        <v>6656</v>
      </c>
      <c r="S349" s="45">
        <v>1555.2222222222222</v>
      </c>
      <c r="T349" s="45">
        <v>1666.108695652174</v>
      </c>
      <c r="U349" s="45">
        <v>3280</v>
      </c>
      <c r="V349" s="45">
        <v>0</v>
      </c>
      <c r="W349" s="45">
        <v>0</v>
      </c>
      <c r="X349" s="45">
        <v>1795.22</v>
      </c>
      <c r="Y349" s="45">
        <v>1.1521739130434783</v>
      </c>
      <c r="Z349" s="45">
        <v>51.847826086956523</v>
      </c>
      <c r="AA349" s="45">
        <v>0</v>
      </c>
      <c r="AB349" s="508">
        <v>4</v>
      </c>
      <c r="AC349" s="508">
        <v>0</v>
      </c>
      <c r="AD349" s="631">
        <v>57</v>
      </c>
      <c r="AE349" s="632">
        <v>0.86956521739130443</v>
      </c>
      <c r="AF349" s="632">
        <v>39.130434782608695</v>
      </c>
      <c r="AG349" s="633">
        <v>40</v>
      </c>
      <c r="AH349" s="632">
        <v>0</v>
      </c>
      <c r="AI349" s="632">
        <v>1.0970520638132648</v>
      </c>
      <c r="AJ349" s="632">
        <v>49.367342871596925</v>
      </c>
      <c r="AK349" s="632">
        <v>50.464394935410191</v>
      </c>
      <c r="AL349" s="632">
        <v>0</v>
      </c>
      <c r="AM349" s="632">
        <v>0.82952576425910995</v>
      </c>
      <c r="AN349" s="632">
        <v>37.32865939165994</v>
      </c>
      <c r="AO349" s="632">
        <v>38.15818515591905</v>
      </c>
      <c r="AP349" s="632">
        <v>0</v>
      </c>
      <c r="AQ349" s="632">
        <v>3.8386629540049633</v>
      </c>
      <c r="AR349" s="632">
        <v>0</v>
      </c>
      <c r="AS349" s="632">
        <v>48.05009728673685</v>
      </c>
      <c r="AT349" s="632">
        <v>49.242452073010838</v>
      </c>
      <c r="AU349" s="632">
        <v>50.464394935410184</v>
      </c>
      <c r="AV349" s="632">
        <v>51.716660096885022</v>
      </c>
      <c r="AW349" s="632">
        <v>53</v>
      </c>
      <c r="AX349" s="632">
        <v>36.401177359835025</v>
      </c>
      <c r="AY349" s="632">
        <v>37.269328751535539</v>
      </c>
      <c r="AZ349" s="632">
        <v>38.15818515591905</v>
      </c>
      <c r="BA349" s="632">
        <v>39.068240378045722</v>
      </c>
      <c r="BB349" s="632">
        <v>40</v>
      </c>
      <c r="BC349" s="632">
        <v>3.6838333186125283</v>
      </c>
      <c r="BD349" s="632">
        <v>3.7604513677066849</v>
      </c>
      <c r="BE349" s="632">
        <v>3.8386629540049633</v>
      </c>
      <c r="BF349" s="632">
        <v>3.9185012206224785</v>
      </c>
      <c r="BG349" s="632">
        <v>4</v>
      </c>
      <c r="BH349" s="634">
        <v>53.271499337592168</v>
      </c>
      <c r="BI349" s="634">
        <v>53.544389465567605</v>
      </c>
      <c r="BJ349" s="634">
        <v>53.81867750842946</v>
      </c>
      <c r="BK349" s="635">
        <v>53.464843316496953</v>
      </c>
      <c r="BL349" s="635">
        <v>53.11333542913335</v>
      </c>
      <c r="BM349" s="635">
        <v>53.494628920290587</v>
      </c>
      <c r="BN349" s="635">
        <v>53.878659666135825</v>
      </c>
      <c r="BO349" s="635">
        <v>54.265447317052306</v>
      </c>
      <c r="BP349" s="635">
        <v>54.655011664490722</v>
      </c>
      <c r="BQ349" s="635">
        <v>55.047372641981923</v>
      </c>
      <c r="BR349" s="635">
        <v>55.356387950416924</v>
      </c>
      <c r="BS349" s="635">
        <v>55.667137954919411</v>
      </c>
      <c r="BT349" s="635">
        <v>55.979632393422634</v>
      </c>
      <c r="BU349" s="635">
        <v>56.293881058524946</v>
      </c>
      <c r="BV349" s="635">
        <v>56.609893797796651</v>
      </c>
      <c r="BW349" s="634">
        <v>40.20490516044692</v>
      </c>
      <c r="BX349" s="634">
        <v>40.410859974013285</v>
      </c>
      <c r="BY349" s="634">
        <v>40.61786981768261</v>
      </c>
      <c r="BZ349" s="635">
        <v>40.350825144525999</v>
      </c>
      <c r="CA349" s="635">
        <v>40.08553617293083</v>
      </c>
      <c r="CB349" s="635">
        <v>40.373304845502325</v>
      </c>
      <c r="CC349" s="635">
        <v>40.663139370668546</v>
      </c>
      <c r="CD349" s="635">
        <v>40.955054578907401</v>
      </c>
      <c r="CE349" s="635">
        <v>41.24906540716281</v>
      </c>
      <c r="CF349" s="635">
        <v>41.545186899609</v>
      </c>
      <c r="CG349" s="635">
        <v>41.778406000314661</v>
      </c>
      <c r="CH349" s="635">
        <v>42.012934305599551</v>
      </c>
      <c r="CI349" s="635">
        <v>42.248779164847271</v>
      </c>
      <c r="CJ349" s="635">
        <v>42.485947968698071</v>
      </c>
      <c r="CK349" s="635">
        <v>42.724448149280491</v>
      </c>
      <c r="CL349" s="634">
        <v>4.020490516044692</v>
      </c>
      <c r="CM349" s="634">
        <v>4.0410859974013285</v>
      </c>
      <c r="CN349" s="634">
        <v>4.061786981768261</v>
      </c>
      <c r="CO349" s="635">
        <v>4.0350825144525997</v>
      </c>
      <c r="CP349" s="635">
        <v>4.0085536172930825</v>
      </c>
      <c r="CQ349" s="635">
        <v>4.0373304845502327</v>
      </c>
      <c r="CR349" s="635">
        <v>4.0663139370668544</v>
      </c>
      <c r="CS349" s="635">
        <v>4.0955054578907397</v>
      </c>
      <c r="CT349" s="635">
        <v>4.1249065407162808</v>
      </c>
      <c r="CU349" s="635">
        <v>4.1545186899608995</v>
      </c>
      <c r="CV349" s="635">
        <v>4.1778406000314661</v>
      </c>
      <c r="CW349" s="635">
        <v>4.2012934305599554</v>
      </c>
      <c r="CX349" s="635">
        <v>4.2248779164847265</v>
      </c>
      <c r="CY349" s="635">
        <v>4.2485947968698072</v>
      </c>
      <c r="CZ349" s="635">
        <v>4.2724448149280487</v>
      </c>
      <c r="DA349" s="636">
        <v>0</v>
      </c>
      <c r="DB349" s="636">
        <v>0</v>
      </c>
      <c r="DC349" s="636">
        <v>0</v>
      </c>
      <c r="DD349" s="637">
        <v>0</v>
      </c>
      <c r="DE349" s="637">
        <v>0</v>
      </c>
      <c r="DF349" s="637">
        <v>0</v>
      </c>
      <c r="DG349" s="637">
        <v>0</v>
      </c>
      <c r="DH349" s="637">
        <v>0</v>
      </c>
      <c r="DI349" s="637">
        <v>0</v>
      </c>
      <c r="DJ349" s="637">
        <v>0</v>
      </c>
      <c r="DK349" s="637">
        <v>0</v>
      </c>
      <c r="DL349" s="637">
        <v>0</v>
      </c>
      <c r="DM349" s="637">
        <v>0</v>
      </c>
      <c r="DN349" s="637">
        <v>0</v>
      </c>
      <c r="DO349" s="637">
        <v>0</v>
      </c>
      <c r="DP349" s="636">
        <v>0</v>
      </c>
      <c r="DQ349" s="636">
        <v>0</v>
      </c>
      <c r="DR349" s="636">
        <v>0</v>
      </c>
      <c r="DS349" s="637">
        <v>0</v>
      </c>
      <c r="DT349" s="637">
        <v>0</v>
      </c>
      <c r="DU349" s="637">
        <v>0</v>
      </c>
      <c r="DV349" s="637">
        <v>0</v>
      </c>
      <c r="DW349" s="637">
        <v>0</v>
      </c>
      <c r="DX349" s="637">
        <v>0</v>
      </c>
      <c r="DY349" s="637">
        <v>0</v>
      </c>
      <c r="DZ349" s="637">
        <v>0</v>
      </c>
      <c r="EA349" s="637">
        <v>0</v>
      </c>
      <c r="EB349" s="637">
        <v>0</v>
      </c>
      <c r="EC349" s="637">
        <v>0</v>
      </c>
      <c r="ED349" s="637">
        <v>0</v>
      </c>
    </row>
    <row r="350" spans="1:134" ht="15" x14ac:dyDescent="0.25">
      <c r="A350" s="555">
        <v>104</v>
      </c>
      <c r="B350" s="555">
        <v>100</v>
      </c>
      <c r="C350" s="555" t="s">
        <v>1333</v>
      </c>
      <c r="D350" s="812">
        <v>99709</v>
      </c>
      <c r="E350" s="812">
        <v>99709</v>
      </c>
      <c r="F350" s="630" t="s">
        <v>311</v>
      </c>
      <c r="G350" s="45">
        <v>171</v>
      </c>
      <c r="H350" s="45">
        <v>105</v>
      </c>
      <c r="I350" s="45">
        <v>90</v>
      </c>
      <c r="J350" s="45">
        <v>15</v>
      </c>
      <c r="K350" s="45">
        <v>0</v>
      </c>
      <c r="L350" s="45">
        <v>115</v>
      </c>
      <c r="M350" s="45">
        <v>115</v>
      </c>
      <c r="N350" s="45">
        <v>0</v>
      </c>
      <c r="O350" s="45">
        <v>0</v>
      </c>
      <c r="P350" s="45">
        <v>0</v>
      </c>
      <c r="Q350" s="45">
        <v>115</v>
      </c>
      <c r="R350" s="45">
        <v>0</v>
      </c>
      <c r="S350" s="45">
        <v>1133.0260869565216</v>
      </c>
      <c r="T350" s="45">
        <v>1133.0260869565216</v>
      </c>
      <c r="U350" s="45">
        <v>0</v>
      </c>
      <c r="V350" s="45">
        <v>0</v>
      </c>
      <c r="W350" s="45">
        <v>0</v>
      </c>
      <c r="X350" s="45">
        <v>1133.0260869565218</v>
      </c>
      <c r="Y350" s="45">
        <v>0</v>
      </c>
      <c r="Z350" s="45">
        <v>105</v>
      </c>
      <c r="AA350" s="45">
        <v>0</v>
      </c>
      <c r="AB350" s="508">
        <v>0</v>
      </c>
      <c r="AC350" s="508">
        <v>0</v>
      </c>
      <c r="AD350" s="631">
        <v>105</v>
      </c>
      <c r="AE350" s="632">
        <v>0</v>
      </c>
      <c r="AF350" s="632">
        <v>90</v>
      </c>
      <c r="AG350" s="633">
        <v>90</v>
      </c>
      <c r="AH350" s="632">
        <v>0</v>
      </c>
      <c r="AI350" s="632">
        <v>0</v>
      </c>
      <c r="AJ350" s="632">
        <v>99.976631475812638</v>
      </c>
      <c r="AK350" s="632">
        <v>99.976631475812638</v>
      </c>
      <c r="AL350" s="632">
        <v>0</v>
      </c>
      <c r="AM350" s="632">
        <v>0</v>
      </c>
      <c r="AN350" s="632">
        <v>85.855916600817864</v>
      </c>
      <c r="AO350" s="632">
        <v>85.855916600817864</v>
      </c>
      <c r="AP350" s="632">
        <v>0</v>
      </c>
      <c r="AQ350" s="632">
        <v>0</v>
      </c>
      <c r="AR350" s="632">
        <v>0</v>
      </c>
      <c r="AS350" s="632">
        <v>95.193588964289987</v>
      </c>
      <c r="AT350" s="632">
        <v>97.555801276719592</v>
      </c>
      <c r="AU350" s="632">
        <v>99.976631475812638</v>
      </c>
      <c r="AV350" s="632">
        <v>102.45753415420619</v>
      </c>
      <c r="AW350" s="632">
        <v>105</v>
      </c>
      <c r="AX350" s="632">
        <v>81.902649059628814</v>
      </c>
      <c r="AY350" s="632">
        <v>83.855989690954971</v>
      </c>
      <c r="AZ350" s="632">
        <v>85.855916600817864</v>
      </c>
      <c r="BA350" s="632">
        <v>87.903540850602866</v>
      </c>
      <c r="BB350" s="632">
        <v>90</v>
      </c>
      <c r="BC350" s="632">
        <v>0</v>
      </c>
      <c r="BD350" s="632">
        <v>0</v>
      </c>
      <c r="BE350" s="632">
        <v>0</v>
      </c>
      <c r="BF350" s="632">
        <v>0</v>
      </c>
      <c r="BG350" s="632">
        <v>0</v>
      </c>
      <c r="BH350" s="634">
        <v>105.53787604617317</v>
      </c>
      <c r="BI350" s="634">
        <v>106.07850743178487</v>
      </c>
      <c r="BJ350" s="634">
        <v>106.62190827141686</v>
      </c>
      <c r="BK350" s="635">
        <v>105.92091600438076</v>
      </c>
      <c r="BL350" s="635">
        <v>105.22453245394343</v>
      </c>
      <c r="BM350" s="635">
        <v>105.97992521944361</v>
      </c>
      <c r="BN350" s="635">
        <v>106.74074084800493</v>
      </c>
      <c r="BO350" s="635">
        <v>107.50701826963193</v>
      </c>
      <c r="BP350" s="635">
        <v>108.27879669380238</v>
      </c>
      <c r="BQ350" s="635">
        <v>109.05611561147363</v>
      </c>
      <c r="BR350" s="635">
        <v>109.66831575082598</v>
      </c>
      <c r="BS350" s="635">
        <v>110.28395255219883</v>
      </c>
      <c r="BT350" s="635">
        <v>110.90304530772408</v>
      </c>
      <c r="BU350" s="635">
        <v>111.52561341783243</v>
      </c>
      <c r="BV350" s="635">
        <v>112.1516763918613</v>
      </c>
      <c r="BW350" s="634">
        <v>90.461036611005568</v>
      </c>
      <c r="BX350" s="634">
        <v>90.924434941529896</v>
      </c>
      <c r="BY350" s="634">
        <v>91.390207089785875</v>
      </c>
      <c r="BZ350" s="635">
        <v>90.789356575183504</v>
      </c>
      <c r="CA350" s="635">
        <v>90.19245638909436</v>
      </c>
      <c r="CB350" s="635">
        <v>90.839935902380233</v>
      </c>
      <c r="CC350" s="635">
        <v>91.492063584004228</v>
      </c>
      <c r="CD350" s="635">
        <v>92.148872802541646</v>
      </c>
      <c r="CE350" s="635">
        <v>92.810397166116317</v>
      </c>
      <c r="CF350" s="635">
        <v>93.476670524120252</v>
      </c>
      <c r="CG350" s="635">
        <v>94.001413500707983</v>
      </c>
      <c r="CH350" s="635">
        <v>94.529102187598994</v>
      </c>
      <c r="CI350" s="635">
        <v>95.05975312090635</v>
      </c>
      <c r="CJ350" s="635">
        <v>95.593382929570652</v>
      </c>
      <c r="CK350" s="635">
        <v>96.130008335881101</v>
      </c>
      <c r="CL350" s="634">
        <v>0</v>
      </c>
      <c r="CM350" s="634">
        <v>0</v>
      </c>
      <c r="CN350" s="634">
        <v>0</v>
      </c>
      <c r="CO350" s="635">
        <v>0</v>
      </c>
      <c r="CP350" s="635">
        <v>0</v>
      </c>
      <c r="CQ350" s="635">
        <v>0</v>
      </c>
      <c r="CR350" s="635">
        <v>0</v>
      </c>
      <c r="CS350" s="635">
        <v>0</v>
      </c>
      <c r="CT350" s="635">
        <v>0</v>
      </c>
      <c r="CU350" s="635">
        <v>0</v>
      </c>
      <c r="CV350" s="635">
        <v>0</v>
      </c>
      <c r="CW350" s="635">
        <v>0</v>
      </c>
      <c r="CX350" s="635">
        <v>0</v>
      </c>
      <c r="CY350" s="635">
        <v>0</v>
      </c>
      <c r="CZ350" s="635">
        <v>0</v>
      </c>
      <c r="DA350" s="636">
        <v>0</v>
      </c>
      <c r="DB350" s="636">
        <v>0</v>
      </c>
      <c r="DC350" s="636">
        <v>0</v>
      </c>
      <c r="DD350" s="637">
        <v>0</v>
      </c>
      <c r="DE350" s="637">
        <v>0</v>
      </c>
      <c r="DF350" s="637">
        <v>0</v>
      </c>
      <c r="DG350" s="637">
        <v>0</v>
      </c>
      <c r="DH350" s="637">
        <v>0</v>
      </c>
      <c r="DI350" s="637">
        <v>0</v>
      </c>
      <c r="DJ350" s="637">
        <v>0</v>
      </c>
      <c r="DK350" s="637">
        <v>0</v>
      </c>
      <c r="DL350" s="637">
        <v>0</v>
      </c>
      <c r="DM350" s="637">
        <v>0</v>
      </c>
      <c r="DN350" s="637">
        <v>0</v>
      </c>
      <c r="DO350" s="637">
        <v>0</v>
      </c>
      <c r="DP350" s="636">
        <v>0</v>
      </c>
      <c r="DQ350" s="636">
        <v>0</v>
      </c>
      <c r="DR350" s="636">
        <v>0</v>
      </c>
      <c r="DS350" s="637">
        <v>0</v>
      </c>
      <c r="DT350" s="637">
        <v>0</v>
      </c>
      <c r="DU350" s="637">
        <v>0</v>
      </c>
      <c r="DV350" s="637">
        <v>0</v>
      </c>
      <c r="DW350" s="637">
        <v>0</v>
      </c>
      <c r="DX350" s="637">
        <v>0</v>
      </c>
      <c r="DY350" s="637">
        <v>0</v>
      </c>
      <c r="DZ350" s="637">
        <v>0</v>
      </c>
      <c r="EA350" s="637">
        <v>0</v>
      </c>
      <c r="EB350" s="637">
        <v>0</v>
      </c>
      <c r="EC350" s="637">
        <v>0</v>
      </c>
      <c r="ED350" s="637">
        <v>0</v>
      </c>
    </row>
    <row r="351" spans="1:134" ht="15" x14ac:dyDescent="0.25">
      <c r="A351" s="555">
        <v>109</v>
      </c>
      <c r="B351" s="555">
        <v>100</v>
      </c>
      <c r="C351" s="555" t="s">
        <v>1334</v>
      </c>
      <c r="D351" s="812">
        <v>99712</v>
      </c>
      <c r="E351" s="812">
        <v>99712</v>
      </c>
      <c r="F351" s="630" t="s">
        <v>311</v>
      </c>
      <c r="G351" s="45">
        <v>38</v>
      </c>
      <c r="H351" s="45">
        <v>14</v>
      </c>
      <c r="I351" s="45">
        <v>14</v>
      </c>
      <c r="J351" s="45">
        <v>0</v>
      </c>
      <c r="K351" s="45">
        <v>0</v>
      </c>
      <c r="L351" s="45">
        <v>74</v>
      </c>
      <c r="M351" s="45">
        <v>74</v>
      </c>
      <c r="N351" s="45">
        <v>0</v>
      </c>
      <c r="O351" s="45">
        <v>0</v>
      </c>
      <c r="P351" s="45">
        <v>0</v>
      </c>
      <c r="Q351" s="45">
        <v>74</v>
      </c>
      <c r="R351" s="45">
        <v>0</v>
      </c>
      <c r="S351" s="45">
        <v>3187.2702702702704</v>
      </c>
      <c r="T351" s="45">
        <v>3187.2702702702704</v>
      </c>
      <c r="U351" s="45">
        <v>0</v>
      </c>
      <c r="V351" s="45">
        <v>0</v>
      </c>
      <c r="W351" s="45">
        <v>0</v>
      </c>
      <c r="X351" s="45">
        <v>3187.2702702702704</v>
      </c>
      <c r="Y351" s="45">
        <v>0</v>
      </c>
      <c r="Z351" s="45">
        <v>14</v>
      </c>
      <c r="AA351" s="45">
        <v>0</v>
      </c>
      <c r="AB351" s="508">
        <v>0</v>
      </c>
      <c r="AC351" s="508">
        <v>0</v>
      </c>
      <c r="AD351" s="631">
        <v>14</v>
      </c>
      <c r="AE351" s="632">
        <v>0</v>
      </c>
      <c r="AF351" s="632">
        <v>14</v>
      </c>
      <c r="AG351" s="633">
        <v>14</v>
      </c>
      <c r="AH351" s="632">
        <v>0</v>
      </c>
      <c r="AI351" s="632">
        <v>0</v>
      </c>
      <c r="AJ351" s="632">
        <v>12.727599432040336</v>
      </c>
      <c r="AK351" s="632">
        <v>12.727599432040336</v>
      </c>
      <c r="AL351" s="632">
        <v>0</v>
      </c>
      <c r="AM351" s="632">
        <v>0</v>
      </c>
      <c r="AN351" s="632">
        <v>12.77435754543073</v>
      </c>
      <c r="AO351" s="632">
        <v>12.77435754543073</v>
      </c>
      <c r="AP351" s="632">
        <v>0</v>
      </c>
      <c r="AQ351" s="632">
        <v>0</v>
      </c>
      <c r="AR351" s="632">
        <v>0</v>
      </c>
      <c r="AS351" s="632">
        <v>11.570841950176677</v>
      </c>
      <c r="AT351" s="632">
        <v>12.135445662739263</v>
      </c>
      <c r="AU351" s="632">
        <v>12.727599432040336</v>
      </c>
      <c r="AV351" s="632">
        <v>13.348647573764344</v>
      </c>
      <c r="AW351" s="632">
        <v>14</v>
      </c>
      <c r="AX351" s="632">
        <v>11.656015049893073</v>
      </c>
      <c r="AY351" s="632">
        <v>12.202381071014612</v>
      </c>
      <c r="AZ351" s="632">
        <v>12.77435754543073</v>
      </c>
      <c r="BA351" s="632">
        <v>13.373144941861291</v>
      </c>
      <c r="BB351" s="632">
        <v>14</v>
      </c>
      <c r="BC351" s="632">
        <v>0</v>
      </c>
      <c r="BD351" s="632">
        <v>0</v>
      </c>
      <c r="BE351" s="632">
        <v>0</v>
      </c>
      <c r="BF351" s="632">
        <v>0</v>
      </c>
      <c r="BG351" s="632">
        <v>0</v>
      </c>
      <c r="BH351" s="634">
        <v>14.34324717435028</v>
      </c>
      <c r="BI351" s="634">
        <v>14.694909964607664</v>
      </c>
      <c r="BJ351" s="634">
        <v>15.055194701942188</v>
      </c>
      <c r="BK351" s="635">
        <v>14.956213402171045</v>
      </c>
      <c r="BL351" s="635">
        <v>14.857882861018329</v>
      </c>
      <c r="BM351" s="635">
        <v>14.964545603651802</v>
      </c>
      <c r="BN351" s="635">
        <v>15.071974063768209</v>
      </c>
      <c r="BO351" s="635">
        <v>15.180173738350375</v>
      </c>
      <c r="BP351" s="635">
        <v>15.28915016384321</v>
      </c>
      <c r="BQ351" s="635">
        <v>15.398908916437033</v>
      </c>
      <c r="BR351" s="635">
        <v>15.4853526168353</v>
      </c>
      <c r="BS351" s="635">
        <v>15.572281579753083</v>
      </c>
      <c r="BT351" s="635">
        <v>15.659698529272202</v>
      </c>
      <c r="BU351" s="635">
        <v>15.747606204766452</v>
      </c>
      <c r="BV351" s="635">
        <v>15.836007360987439</v>
      </c>
      <c r="BW351" s="634">
        <v>14.34324717435028</v>
      </c>
      <c r="BX351" s="634">
        <v>14.694909964607664</v>
      </c>
      <c r="BY351" s="634">
        <v>15.055194701942188</v>
      </c>
      <c r="BZ351" s="635">
        <v>14.956213402171045</v>
      </c>
      <c r="CA351" s="635">
        <v>14.857882861018329</v>
      </c>
      <c r="CB351" s="635">
        <v>14.964545603651802</v>
      </c>
      <c r="CC351" s="635">
        <v>15.071974063768209</v>
      </c>
      <c r="CD351" s="635">
        <v>15.180173738350375</v>
      </c>
      <c r="CE351" s="635">
        <v>15.28915016384321</v>
      </c>
      <c r="CF351" s="635">
        <v>15.398908916437033</v>
      </c>
      <c r="CG351" s="635">
        <v>15.4853526168353</v>
      </c>
      <c r="CH351" s="635">
        <v>15.572281579753083</v>
      </c>
      <c r="CI351" s="635">
        <v>15.659698529272202</v>
      </c>
      <c r="CJ351" s="635">
        <v>15.747606204766452</v>
      </c>
      <c r="CK351" s="635">
        <v>15.836007360987439</v>
      </c>
      <c r="CL351" s="634">
        <v>0</v>
      </c>
      <c r="CM351" s="634">
        <v>0</v>
      </c>
      <c r="CN351" s="634">
        <v>0</v>
      </c>
      <c r="CO351" s="635">
        <v>0</v>
      </c>
      <c r="CP351" s="635">
        <v>0</v>
      </c>
      <c r="CQ351" s="635">
        <v>0</v>
      </c>
      <c r="CR351" s="635">
        <v>0</v>
      </c>
      <c r="CS351" s="635">
        <v>0</v>
      </c>
      <c r="CT351" s="635">
        <v>0</v>
      </c>
      <c r="CU351" s="635">
        <v>0</v>
      </c>
      <c r="CV351" s="635">
        <v>0</v>
      </c>
      <c r="CW351" s="635">
        <v>0</v>
      </c>
      <c r="CX351" s="635">
        <v>0</v>
      </c>
      <c r="CY351" s="635">
        <v>0</v>
      </c>
      <c r="CZ351" s="635">
        <v>0</v>
      </c>
      <c r="DA351" s="636">
        <v>0</v>
      </c>
      <c r="DB351" s="636">
        <v>0</v>
      </c>
      <c r="DC351" s="636">
        <v>0</v>
      </c>
      <c r="DD351" s="637">
        <v>0</v>
      </c>
      <c r="DE351" s="637">
        <v>0</v>
      </c>
      <c r="DF351" s="637">
        <v>0</v>
      </c>
      <c r="DG351" s="637">
        <v>0</v>
      </c>
      <c r="DH351" s="637">
        <v>0</v>
      </c>
      <c r="DI351" s="637">
        <v>0</v>
      </c>
      <c r="DJ351" s="637">
        <v>0</v>
      </c>
      <c r="DK351" s="637">
        <v>0</v>
      </c>
      <c r="DL351" s="637">
        <v>0</v>
      </c>
      <c r="DM351" s="637">
        <v>0</v>
      </c>
      <c r="DN351" s="637">
        <v>0</v>
      </c>
      <c r="DO351" s="637">
        <v>0</v>
      </c>
      <c r="DP351" s="636">
        <v>0</v>
      </c>
      <c r="DQ351" s="636">
        <v>0</v>
      </c>
      <c r="DR351" s="636">
        <v>0</v>
      </c>
      <c r="DS351" s="637">
        <v>0</v>
      </c>
      <c r="DT351" s="637">
        <v>0</v>
      </c>
      <c r="DU351" s="637">
        <v>0</v>
      </c>
      <c r="DV351" s="637">
        <v>0</v>
      </c>
      <c r="DW351" s="637">
        <v>0</v>
      </c>
      <c r="DX351" s="637">
        <v>0</v>
      </c>
      <c r="DY351" s="637">
        <v>0</v>
      </c>
      <c r="DZ351" s="637">
        <v>0</v>
      </c>
      <c r="EA351" s="637">
        <v>0</v>
      </c>
      <c r="EB351" s="637">
        <v>0</v>
      </c>
      <c r="EC351" s="637">
        <v>0</v>
      </c>
      <c r="ED351" s="637">
        <v>0</v>
      </c>
    </row>
    <row r="352" spans="1:134" ht="15" x14ac:dyDescent="0.25">
      <c r="A352" s="555">
        <v>110</v>
      </c>
      <c r="B352" s="555">
        <v>100</v>
      </c>
      <c r="C352" s="555" t="s">
        <v>1335</v>
      </c>
      <c r="D352" s="812">
        <v>99712</v>
      </c>
      <c r="E352" s="812">
        <v>99712</v>
      </c>
      <c r="F352" s="630" t="s">
        <v>311</v>
      </c>
      <c r="G352" s="45">
        <v>67</v>
      </c>
      <c r="H352" s="45">
        <v>27</v>
      </c>
      <c r="I352" s="45">
        <v>27</v>
      </c>
      <c r="J352" s="45">
        <v>0</v>
      </c>
      <c r="K352" s="45">
        <v>0</v>
      </c>
      <c r="L352" s="45">
        <v>87</v>
      </c>
      <c r="M352" s="45">
        <v>87</v>
      </c>
      <c r="N352" s="45">
        <v>0</v>
      </c>
      <c r="O352" s="45">
        <v>0</v>
      </c>
      <c r="P352" s="45">
        <v>0</v>
      </c>
      <c r="Q352" s="45">
        <v>87</v>
      </c>
      <c r="R352" s="45">
        <v>0</v>
      </c>
      <c r="S352" s="45">
        <v>2990.6091954022991</v>
      </c>
      <c r="T352" s="45">
        <v>2990.6091954022991</v>
      </c>
      <c r="U352" s="45">
        <v>0</v>
      </c>
      <c r="V352" s="45">
        <v>0</v>
      </c>
      <c r="W352" s="45">
        <v>0</v>
      </c>
      <c r="X352" s="45">
        <v>2990.6091954022991</v>
      </c>
      <c r="Y352" s="45">
        <v>0</v>
      </c>
      <c r="Z352" s="45">
        <v>27</v>
      </c>
      <c r="AA352" s="45">
        <v>0</v>
      </c>
      <c r="AB352" s="508">
        <v>0</v>
      </c>
      <c r="AC352" s="508">
        <v>0</v>
      </c>
      <c r="AD352" s="631">
        <v>27</v>
      </c>
      <c r="AE352" s="632">
        <v>0</v>
      </c>
      <c r="AF352" s="632">
        <v>27</v>
      </c>
      <c r="AG352" s="633">
        <v>27</v>
      </c>
      <c r="AH352" s="632">
        <v>0</v>
      </c>
      <c r="AI352" s="632">
        <v>0</v>
      </c>
      <c r="AJ352" s="632">
        <v>24.54608461893493</v>
      </c>
      <c r="AK352" s="632">
        <v>24.54608461893493</v>
      </c>
      <c r="AL352" s="632">
        <v>0</v>
      </c>
      <c r="AM352" s="632">
        <v>0</v>
      </c>
      <c r="AN352" s="632">
        <v>24.636260980473551</v>
      </c>
      <c r="AO352" s="632">
        <v>24.636260980473551</v>
      </c>
      <c r="AP352" s="632">
        <v>0</v>
      </c>
      <c r="AQ352" s="632">
        <v>0</v>
      </c>
      <c r="AR352" s="632">
        <v>0</v>
      </c>
      <c r="AS352" s="632">
        <v>22.315195189626447</v>
      </c>
      <c r="AT352" s="632">
        <v>23.404073778140006</v>
      </c>
      <c r="AU352" s="632">
        <v>24.54608461893493</v>
      </c>
      <c r="AV352" s="632">
        <v>25.743820320831233</v>
      </c>
      <c r="AW352" s="632">
        <v>27</v>
      </c>
      <c r="AX352" s="632">
        <v>22.479457596222353</v>
      </c>
      <c r="AY352" s="632">
        <v>23.533163494099608</v>
      </c>
      <c r="AZ352" s="632">
        <v>24.636260980473551</v>
      </c>
      <c r="BA352" s="632">
        <v>25.791065245018203</v>
      </c>
      <c r="BB352" s="632">
        <v>27</v>
      </c>
      <c r="BC352" s="632">
        <v>0</v>
      </c>
      <c r="BD352" s="632">
        <v>0</v>
      </c>
      <c r="BE352" s="632">
        <v>0</v>
      </c>
      <c r="BF352" s="632">
        <v>0</v>
      </c>
      <c r="BG352" s="632">
        <v>0</v>
      </c>
      <c r="BH352" s="634">
        <v>27.661976693389825</v>
      </c>
      <c r="BI352" s="634">
        <v>28.340183503171922</v>
      </c>
      <c r="BJ352" s="634">
        <v>29.035018353745649</v>
      </c>
      <c r="BK352" s="635">
        <v>28.844125847044161</v>
      </c>
      <c r="BL352" s="635">
        <v>28.654488374821064</v>
      </c>
      <c r="BM352" s="635">
        <v>28.860195092757046</v>
      </c>
      <c r="BN352" s="635">
        <v>29.067378551552977</v>
      </c>
      <c r="BO352" s="635">
        <v>29.276049352532862</v>
      </c>
      <c r="BP352" s="635">
        <v>29.486218173126193</v>
      </c>
      <c r="BQ352" s="635">
        <v>29.697895767414277</v>
      </c>
      <c r="BR352" s="635">
        <v>29.864608618182366</v>
      </c>
      <c r="BS352" s="635">
        <v>30.032257332380944</v>
      </c>
      <c r="BT352" s="635">
        <v>30.200847163596389</v>
      </c>
      <c r="BU352" s="635">
        <v>30.370383394906728</v>
      </c>
      <c r="BV352" s="635">
        <v>30.540871339047207</v>
      </c>
      <c r="BW352" s="634">
        <v>27.661976693389825</v>
      </c>
      <c r="BX352" s="634">
        <v>28.340183503171922</v>
      </c>
      <c r="BY352" s="634">
        <v>29.035018353745649</v>
      </c>
      <c r="BZ352" s="635">
        <v>28.844125847044161</v>
      </c>
      <c r="CA352" s="635">
        <v>28.654488374821064</v>
      </c>
      <c r="CB352" s="635">
        <v>28.860195092757046</v>
      </c>
      <c r="CC352" s="635">
        <v>29.067378551552977</v>
      </c>
      <c r="CD352" s="635">
        <v>29.276049352532862</v>
      </c>
      <c r="CE352" s="635">
        <v>29.486218173126193</v>
      </c>
      <c r="CF352" s="635">
        <v>29.697895767414277</v>
      </c>
      <c r="CG352" s="635">
        <v>29.864608618182366</v>
      </c>
      <c r="CH352" s="635">
        <v>30.032257332380944</v>
      </c>
      <c r="CI352" s="635">
        <v>30.200847163596389</v>
      </c>
      <c r="CJ352" s="635">
        <v>30.370383394906728</v>
      </c>
      <c r="CK352" s="635">
        <v>30.540871339047207</v>
      </c>
      <c r="CL352" s="634">
        <v>0</v>
      </c>
      <c r="CM352" s="634">
        <v>0</v>
      </c>
      <c r="CN352" s="634">
        <v>0</v>
      </c>
      <c r="CO352" s="635">
        <v>0</v>
      </c>
      <c r="CP352" s="635">
        <v>0</v>
      </c>
      <c r="CQ352" s="635">
        <v>0</v>
      </c>
      <c r="CR352" s="635">
        <v>0</v>
      </c>
      <c r="CS352" s="635">
        <v>0</v>
      </c>
      <c r="CT352" s="635">
        <v>0</v>
      </c>
      <c r="CU352" s="635">
        <v>0</v>
      </c>
      <c r="CV352" s="635">
        <v>0</v>
      </c>
      <c r="CW352" s="635">
        <v>0</v>
      </c>
      <c r="CX352" s="635">
        <v>0</v>
      </c>
      <c r="CY352" s="635">
        <v>0</v>
      </c>
      <c r="CZ352" s="635">
        <v>0</v>
      </c>
      <c r="DA352" s="636">
        <v>0</v>
      </c>
      <c r="DB352" s="636">
        <v>0</v>
      </c>
      <c r="DC352" s="636">
        <v>0</v>
      </c>
      <c r="DD352" s="637">
        <v>0</v>
      </c>
      <c r="DE352" s="637">
        <v>0</v>
      </c>
      <c r="DF352" s="637">
        <v>0</v>
      </c>
      <c r="DG352" s="637">
        <v>0</v>
      </c>
      <c r="DH352" s="637">
        <v>0</v>
      </c>
      <c r="DI352" s="637">
        <v>0</v>
      </c>
      <c r="DJ352" s="637">
        <v>0</v>
      </c>
      <c r="DK352" s="637">
        <v>0</v>
      </c>
      <c r="DL352" s="637">
        <v>0</v>
      </c>
      <c r="DM352" s="637">
        <v>0</v>
      </c>
      <c r="DN352" s="637">
        <v>0</v>
      </c>
      <c r="DO352" s="637">
        <v>0</v>
      </c>
      <c r="DP352" s="636">
        <v>0</v>
      </c>
      <c r="DQ352" s="636">
        <v>0</v>
      </c>
      <c r="DR352" s="636">
        <v>0</v>
      </c>
      <c r="DS352" s="637">
        <v>0</v>
      </c>
      <c r="DT352" s="637">
        <v>0</v>
      </c>
      <c r="DU352" s="637">
        <v>0</v>
      </c>
      <c r="DV352" s="637">
        <v>0</v>
      </c>
      <c r="DW352" s="637">
        <v>0</v>
      </c>
      <c r="DX352" s="637">
        <v>0</v>
      </c>
      <c r="DY352" s="637">
        <v>0</v>
      </c>
      <c r="DZ352" s="637">
        <v>0</v>
      </c>
      <c r="EA352" s="637">
        <v>0</v>
      </c>
      <c r="EB352" s="637">
        <v>0</v>
      </c>
      <c r="EC352" s="637">
        <v>0</v>
      </c>
      <c r="ED352" s="637">
        <v>0</v>
      </c>
    </row>
    <row r="353" spans="1:134" ht="15" x14ac:dyDescent="0.25">
      <c r="A353" s="555">
        <v>111</v>
      </c>
      <c r="B353" s="555">
        <v>100</v>
      </c>
      <c r="C353" s="555" t="s">
        <v>1336</v>
      </c>
      <c r="D353" s="812">
        <v>99712</v>
      </c>
      <c r="E353" s="812">
        <v>99712</v>
      </c>
      <c r="F353" s="630" t="s">
        <v>311</v>
      </c>
      <c r="G353" s="45">
        <v>284</v>
      </c>
      <c r="H353" s="45">
        <v>118</v>
      </c>
      <c r="I353" s="45">
        <v>111</v>
      </c>
      <c r="J353" s="45">
        <v>7</v>
      </c>
      <c r="K353" s="45">
        <v>0</v>
      </c>
      <c r="L353" s="45">
        <v>124</v>
      </c>
      <c r="M353" s="45">
        <v>124</v>
      </c>
      <c r="N353" s="45">
        <v>0</v>
      </c>
      <c r="O353" s="45">
        <v>0</v>
      </c>
      <c r="P353" s="45">
        <v>0</v>
      </c>
      <c r="Q353" s="45">
        <v>124</v>
      </c>
      <c r="R353" s="45">
        <v>0</v>
      </c>
      <c r="S353" s="45">
        <v>2465.733870967742</v>
      </c>
      <c r="T353" s="45">
        <v>2465.733870967742</v>
      </c>
      <c r="U353" s="45">
        <v>0</v>
      </c>
      <c r="V353" s="45">
        <v>0</v>
      </c>
      <c r="W353" s="45">
        <v>0</v>
      </c>
      <c r="X353" s="45">
        <v>2465.733870967742</v>
      </c>
      <c r="Y353" s="45">
        <v>0</v>
      </c>
      <c r="Z353" s="45">
        <v>118</v>
      </c>
      <c r="AA353" s="45">
        <v>0</v>
      </c>
      <c r="AB353" s="508">
        <v>0</v>
      </c>
      <c r="AC353" s="508">
        <v>0</v>
      </c>
      <c r="AD353" s="631">
        <v>118</v>
      </c>
      <c r="AE353" s="632">
        <v>0</v>
      </c>
      <c r="AF353" s="632">
        <v>111</v>
      </c>
      <c r="AG353" s="633">
        <v>111</v>
      </c>
      <c r="AH353" s="632">
        <v>0</v>
      </c>
      <c r="AI353" s="632">
        <v>0</v>
      </c>
      <c r="AJ353" s="632">
        <v>107.27548092719711</v>
      </c>
      <c r="AK353" s="632">
        <v>107.27548092719711</v>
      </c>
      <c r="AL353" s="632">
        <v>0</v>
      </c>
      <c r="AM353" s="632">
        <v>0</v>
      </c>
      <c r="AN353" s="632">
        <v>101.28240625305793</v>
      </c>
      <c r="AO353" s="632">
        <v>101.28240625305793</v>
      </c>
      <c r="AP353" s="632">
        <v>0</v>
      </c>
      <c r="AQ353" s="632">
        <v>0</v>
      </c>
      <c r="AR353" s="632">
        <v>0</v>
      </c>
      <c r="AS353" s="632">
        <v>97.525667865774835</v>
      </c>
      <c r="AT353" s="632">
        <v>102.28447058594521</v>
      </c>
      <c r="AU353" s="632">
        <v>107.27548092719711</v>
      </c>
      <c r="AV353" s="632">
        <v>112.51002955029946</v>
      </c>
      <c r="AW353" s="632">
        <v>118</v>
      </c>
      <c r="AX353" s="632">
        <v>92.415547895580787</v>
      </c>
      <c r="AY353" s="632">
        <v>96.747449920187279</v>
      </c>
      <c r="AZ353" s="632">
        <v>101.28240625305793</v>
      </c>
      <c r="BA353" s="632">
        <v>106.02993489618595</v>
      </c>
      <c r="BB353" s="632">
        <v>111</v>
      </c>
      <c r="BC353" s="632">
        <v>0</v>
      </c>
      <c r="BD353" s="632">
        <v>0</v>
      </c>
      <c r="BE353" s="632">
        <v>0</v>
      </c>
      <c r="BF353" s="632">
        <v>0</v>
      </c>
      <c r="BG353" s="632">
        <v>0</v>
      </c>
      <c r="BH353" s="634">
        <v>119.61284693562548</v>
      </c>
      <c r="BI353" s="634">
        <v>121.24773857665566</v>
      </c>
      <c r="BJ353" s="634">
        <v>122.90497623440886</v>
      </c>
      <c r="BK353" s="635">
        <v>122.0969299396337</v>
      </c>
      <c r="BL353" s="635">
        <v>121.29419619472024</v>
      </c>
      <c r="BM353" s="635">
        <v>122.16495091480185</v>
      </c>
      <c r="BN353" s="635">
        <v>123.04195666590005</v>
      </c>
      <c r="BO353" s="635">
        <v>123.92525832332571</v>
      </c>
      <c r="BP353" s="635">
        <v>124.81490108454354</v>
      </c>
      <c r="BQ353" s="635">
        <v>125.71093047148477</v>
      </c>
      <c r="BR353" s="635">
        <v>126.41662449626499</v>
      </c>
      <c r="BS353" s="635">
        <v>127.12628002268031</v>
      </c>
      <c r="BT353" s="635">
        <v>127.83991928911541</v>
      </c>
      <c r="BU353" s="635">
        <v>128.55756465879298</v>
      </c>
      <c r="BV353" s="635">
        <v>129.27923862047433</v>
      </c>
      <c r="BW353" s="634">
        <v>112.51716957503753</v>
      </c>
      <c r="BX353" s="634">
        <v>114.05507611871846</v>
      </c>
      <c r="BY353" s="634">
        <v>115.61400306796088</v>
      </c>
      <c r="BZ353" s="635">
        <v>114.85389172287576</v>
      </c>
      <c r="CA353" s="635">
        <v>114.09877777638938</v>
      </c>
      <c r="CB353" s="635">
        <v>114.91787755544919</v>
      </c>
      <c r="CC353" s="635">
        <v>115.74285754165173</v>
      </c>
      <c r="CD353" s="635">
        <v>116.57375994821317</v>
      </c>
      <c r="CE353" s="635">
        <v>117.41062729139266</v>
      </c>
      <c r="CF353" s="635">
        <v>118.25350239266788</v>
      </c>
      <c r="CG353" s="635">
        <v>118.91733321258825</v>
      </c>
      <c r="CH353" s="635">
        <v>119.58489052980943</v>
      </c>
      <c r="CI353" s="635">
        <v>120.25619526348991</v>
      </c>
      <c r="CJ353" s="635">
        <v>120.93126845022051</v>
      </c>
      <c r="CK353" s="635">
        <v>121.61013124468349</v>
      </c>
      <c r="CL353" s="634">
        <v>0</v>
      </c>
      <c r="CM353" s="634">
        <v>0</v>
      </c>
      <c r="CN353" s="634">
        <v>0</v>
      </c>
      <c r="CO353" s="635">
        <v>0</v>
      </c>
      <c r="CP353" s="635">
        <v>0</v>
      </c>
      <c r="CQ353" s="635">
        <v>0</v>
      </c>
      <c r="CR353" s="635">
        <v>0</v>
      </c>
      <c r="CS353" s="635">
        <v>0</v>
      </c>
      <c r="CT353" s="635">
        <v>0</v>
      </c>
      <c r="CU353" s="635">
        <v>0</v>
      </c>
      <c r="CV353" s="635">
        <v>0</v>
      </c>
      <c r="CW353" s="635">
        <v>0</v>
      </c>
      <c r="CX353" s="635">
        <v>0</v>
      </c>
      <c r="CY353" s="635">
        <v>0</v>
      </c>
      <c r="CZ353" s="635">
        <v>0</v>
      </c>
      <c r="DA353" s="636">
        <v>0</v>
      </c>
      <c r="DB353" s="636">
        <v>0</v>
      </c>
      <c r="DC353" s="636">
        <v>0</v>
      </c>
      <c r="DD353" s="637">
        <v>0</v>
      </c>
      <c r="DE353" s="637">
        <v>0</v>
      </c>
      <c r="DF353" s="637">
        <v>0</v>
      </c>
      <c r="DG353" s="637">
        <v>0</v>
      </c>
      <c r="DH353" s="637">
        <v>0</v>
      </c>
      <c r="DI353" s="637">
        <v>0</v>
      </c>
      <c r="DJ353" s="637">
        <v>0</v>
      </c>
      <c r="DK353" s="637">
        <v>0</v>
      </c>
      <c r="DL353" s="637">
        <v>0</v>
      </c>
      <c r="DM353" s="637">
        <v>0</v>
      </c>
      <c r="DN353" s="637">
        <v>0</v>
      </c>
      <c r="DO353" s="637">
        <v>0</v>
      </c>
      <c r="DP353" s="636">
        <v>0</v>
      </c>
      <c r="DQ353" s="636">
        <v>0</v>
      </c>
      <c r="DR353" s="636">
        <v>0</v>
      </c>
      <c r="DS353" s="637">
        <v>0</v>
      </c>
      <c r="DT353" s="637">
        <v>0</v>
      </c>
      <c r="DU353" s="637">
        <v>0</v>
      </c>
      <c r="DV353" s="637">
        <v>0</v>
      </c>
      <c r="DW353" s="637">
        <v>0</v>
      </c>
      <c r="DX353" s="637">
        <v>0</v>
      </c>
      <c r="DY353" s="637">
        <v>0</v>
      </c>
      <c r="DZ353" s="637">
        <v>0</v>
      </c>
      <c r="EA353" s="637">
        <v>0</v>
      </c>
      <c r="EB353" s="637">
        <v>0</v>
      </c>
      <c r="EC353" s="637">
        <v>0</v>
      </c>
      <c r="ED353" s="637">
        <v>0</v>
      </c>
    </row>
    <row r="354" spans="1:134" ht="15" x14ac:dyDescent="0.25">
      <c r="A354" s="555">
        <v>112</v>
      </c>
      <c r="B354" s="555">
        <v>100</v>
      </c>
      <c r="C354" s="555" t="s">
        <v>1337</v>
      </c>
      <c r="D354" s="812">
        <v>99712</v>
      </c>
      <c r="E354" s="812">
        <v>99712</v>
      </c>
      <c r="F354" s="630" t="s">
        <v>311</v>
      </c>
      <c r="G354" s="45">
        <v>550</v>
      </c>
      <c r="H354" s="45">
        <v>224</v>
      </c>
      <c r="I354" s="45">
        <v>206</v>
      </c>
      <c r="J354" s="45">
        <v>18</v>
      </c>
      <c r="K354" s="45">
        <v>0</v>
      </c>
      <c r="L354" s="45">
        <v>133</v>
      </c>
      <c r="M354" s="45">
        <v>133</v>
      </c>
      <c r="N354" s="45">
        <v>1</v>
      </c>
      <c r="O354" s="45">
        <v>0</v>
      </c>
      <c r="P354" s="45">
        <v>0</v>
      </c>
      <c r="Q354" s="45">
        <v>134</v>
      </c>
      <c r="R354" s="45">
        <v>0</v>
      </c>
      <c r="S354" s="45">
        <v>2457.1729323308273</v>
      </c>
      <c r="T354" s="45">
        <v>2457.1729323308273</v>
      </c>
      <c r="U354" s="45">
        <v>1297</v>
      </c>
      <c r="V354" s="45">
        <v>0</v>
      </c>
      <c r="W354" s="45">
        <v>0</v>
      </c>
      <c r="X354" s="45">
        <v>2448.5149253731342</v>
      </c>
      <c r="Y354" s="45">
        <v>0</v>
      </c>
      <c r="Z354" s="45">
        <v>224</v>
      </c>
      <c r="AA354" s="45">
        <v>0</v>
      </c>
      <c r="AB354" s="508">
        <v>1</v>
      </c>
      <c r="AC354" s="508">
        <v>0</v>
      </c>
      <c r="AD354" s="631">
        <v>225</v>
      </c>
      <c r="AE354" s="632">
        <v>0</v>
      </c>
      <c r="AF354" s="632">
        <v>206</v>
      </c>
      <c r="AG354" s="633">
        <v>206</v>
      </c>
      <c r="AH354" s="632">
        <v>0</v>
      </c>
      <c r="AI354" s="632">
        <v>0</v>
      </c>
      <c r="AJ354" s="632">
        <v>203.64159091264537</v>
      </c>
      <c r="AK354" s="632">
        <v>203.64159091264537</v>
      </c>
      <c r="AL354" s="632">
        <v>0</v>
      </c>
      <c r="AM354" s="632">
        <v>0</v>
      </c>
      <c r="AN354" s="632">
        <v>187.96554673990931</v>
      </c>
      <c r="AO354" s="632">
        <v>187.96554673990931</v>
      </c>
      <c r="AP354" s="632">
        <v>0</v>
      </c>
      <c r="AQ354" s="632">
        <v>0.92984135081383867</v>
      </c>
      <c r="AR354" s="632">
        <v>0</v>
      </c>
      <c r="AS354" s="632">
        <v>185.13347120282683</v>
      </c>
      <c r="AT354" s="632">
        <v>194.16713060382821</v>
      </c>
      <c r="AU354" s="632">
        <v>203.64159091264537</v>
      </c>
      <c r="AV354" s="632">
        <v>213.57836118022951</v>
      </c>
      <c r="AW354" s="632">
        <v>224</v>
      </c>
      <c r="AX354" s="632">
        <v>171.50993573414092</v>
      </c>
      <c r="AY354" s="632">
        <v>179.54932147350073</v>
      </c>
      <c r="AZ354" s="632">
        <v>187.96554673990931</v>
      </c>
      <c r="BA354" s="632">
        <v>196.77627557310186</v>
      </c>
      <c r="BB354" s="632">
        <v>206</v>
      </c>
      <c r="BC354" s="632">
        <v>0.86460493768330426</v>
      </c>
      <c r="BD354" s="632">
        <v>0.89663003695825327</v>
      </c>
      <c r="BE354" s="632">
        <v>0.92984135081383867</v>
      </c>
      <c r="BF354" s="632">
        <v>0.96428281681975381</v>
      </c>
      <c r="BG354" s="632">
        <v>1</v>
      </c>
      <c r="BH354" s="634">
        <v>227.06167553881448</v>
      </c>
      <c r="BI354" s="634">
        <v>230.16519865399042</v>
      </c>
      <c r="BJ354" s="634">
        <v>233.31114132633547</v>
      </c>
      <c r="BK354" s="635">
        <v>231.77722293625379</v>
      </c>
      <c r="BL354" s="635">
        <v>230.25338938658757</v>
      </c>
      <c r="BM354" s="635">
        <v>231.90634749928489</v>
      </c>
      <c r="BN354" s="635">
        <v>233.57117197594584</v>
      </c>
      <c r="BO354" s="635">
        <v>235.24794800360135</v>
      </c>
      <c r="BP354" s="635">
        <v>236.93676138082841</v>
      </c>
      <c r="BQ354" s="635">
        <v>238.6376985221406</v>
      </c>
      <c r="BR354" s="635">
        <v>239.97732107765557</v>
      </c>
      <c r="BS354" s="635">
        <v>241.3244637718677</v>
      </c>
      <c r="BT354" s="635">
        <v>242.67916882001569</v>
      </c>
      <c r="BU354" s="635">
        <v>244.04147867431888</v>
      </c>
      <c r="BV354" s="635">
        <v>245.41143602530721</v>
      </c>
      <c r="BW354" s="634">
        <v>208.81564804015974</v>
      </c>
      <c r="BX354" s="634">
        <v>211.66978090500905</v>
      </c>
      <c r="BY354" s="634">
        <v>214.56292461261211</v>
      </c>
      <c r="BZ354" s="635">
        <v>213.15226752173342</v>
      </c>
      <c r="CA354" s="635">
        <v>211.75088488230824</v>
      </c>
      <c r="CB354" s="635">
        <v>213.27101600380664</v>
      </c>
      <c r="CC354" s="635">
        <v>214.8020599421645</v>
      </c>
      <c r="CD354" s="635">
        <v>216.34409503902626</v>
      </c>
      <c r="CE354" s="635">
        <v>217.89720019844043</v>
      </c>
      <c r="CF354" s="635">
        <v>219.46145489089716</v>
      </c>
      <c r="CG354" s="635">
        <v>220.69342920534399</v>
      </c>
      <c r="CH354" s="635">
        <v>221.93231936162834</v>
      </c>
      <c r="CI354" s="635">
        <v>223.17816418269302</v>
      </c>
      <c r="CJ354" s="635">
        <v>224.43100270941827</v>
      </c>
      <c r="CK354" s="635">
        <v>225.69087420184505</v>
      </c>
      <c r="CL354" s="634">
        <v>1.0136681943697075</v>
      </c>
      <c r="CM354" s="634">
        <v>1.0275232082767429</v>
      </c>
      <c r="CN354" s="634">
        <v>1.0415675952068548</v>
      </c>
      <c r="CO354" s="635">
        <v>1.034719745251133</v>
      </c>
      <c r="CP354" s="635">
        <v>1.0279169169044089</v>
      </c>
      <c r="CQ354" s="635">
        <v>1.0352961941932362</v>
      </c>
      <c r="CR354" s="635">
        <v>1.0427284463211868</v>
      </c>
      <c r="CS354" s="635">
        <v>1.050214053587506</v>
      </c>
      <c r="CT354" s="635">
        <v>1.0577533990215555</v>
      </c>
      <c r="CU354" s="635">
        <v>1.0653468684024134</v>
      </c>
      <c r="CV354" s="635">
        <v>1.071327326239534</v>
      </c>
      <c r="CW354" s="635">
        <v>1.0773413561244094</v>
      </c>
      <c r="CX354" s="635">
        <v>1.0833891465179273</v>
      </c>
      <c r="CY354" s="635">
        <v>1.0894708869389236</v>
      </c>
      <c r="CZ354" s="635">
        <v>1.0955867679701214</v>
      </c>
      <c r="DA354" s="636">
        <v>0</v>
      </c>
      <c r="DB354" s="636">
        <v>0</v>
      </c>
      <c r="DC354" s="636">
        <v>0</v>
      </c>
      <c r="DD354" s="637">
        <v>0</v>
      </c>
      <c r="DE354" s="637">
        <v>0</v>
      </c>
      <c r="DF354" s="637">
        <v>0</v>
      </c>
      <c r="DG354" s="637">
        <v>0</v>
      </c>
      <c r="DH354" s="637">
        <v>0</v>
      </c>
      <c r="DI354" s="637">
        <v>0</v>
      </c>
      <c r="DJ354" s="637">
        <v>0</v>
      </c>
      <c r="DK354" s="637">
        <v>0</v>
      </c>
      <c r="DL354" s="637">
        <v>0</v>
      </c>
      <c r="DM354" s="637">
        <v>0</v>
      </c>
      <c r="DN354" s="637">
        <v>0</v>
      </c>
      <c r="DO354" s="637">
        <v>0</v>
      </c>
      <c r="DP354" s="636">
        <v>0</v>
      </c>
      <c r="DQ354" s="636">
        <v>0</v>
      </c>
      <c r="DR354" s="636">
        <v>0</v>
      </c>
      <c r="DS354" s="637">
        <v>0</v>
      </c>
      <c r="DT354" s="637">
        <v>0</v>
      </c>
      <c r="DU354" s="637">
        <v>0</v>
      </c>
      <c r="DV354" s="637">
        <v>0</v>
      </c>
      <c r="DW354" s="637">
        <v>0</v>
      </c>
      <c r="DX354" s="637">
        <v>0</v>
      </c>
      <c r="DY354" s="637">
        <v>0</v>
      </c>
      <c r="DZ354" s="637">
        <v>0</v>
      </c>
      <c r="EA354" s="637">
        <v>0</v>
      </c>
      <c r="EB354" s="637">
        <v>0</v>
      </c>
      <c r="EC354" s="637">
        <v>0</v>
      </c>
      <c r="ED354" s="637">
        <v>0</v>
      </c>
    </row>
    <row r="355" spans="1:134" ht="15" x14ac:dyDescent="0.25">
      <c r="A355" s="555">
        <v>113</v>
      </c>
      <c r="B355" s="555">
        <v>100</v>
      </c>
      <c r="C355" s="555" t="s">
        <v>1338</v>
      </c>
      <c r="D355" s="812">
        <v>99712</v>
      </c>
      <c r="E355" s="812">
        <v>99712</v>
      </c>
      <c r="F355" s="630" t="s">
        <v>311</v>
      </c>
      <c r="G355" s="45">
        <v>168</v>
      </c>
      <c r="H355" s="45">
        <v>76</v>
      </c>
      <c r="I355" s="45">
        <v>70</v>
      </c>
      <c r="J355" s="45">
        <v>6</v>
      </c>
      <c r="K355" s="45">
        <v>0</v>
      </c>
      <c r="L355" s="45">
        <v>81</v>
      </c>
      <c r="M355" s="45">
        <v>81</v>
      </c>
      <c r="N355" s="45">
        <v>0</v>
      </c>
      <c r="O355" s="45">
        <v>0</v>
      </c>
      <c r="P355" s="45">
        <v>0</v>
      </c>
      <c r="Q355" s="45">
        <v>81</v>
      </c>
      <c r="R355" s="45">
        <v>0</v>
      </c>
      <c r="S355" s="45">
        <v>1491.679012345679</v>
      </c>
      <c r="T355" s="45">
        <v>1491.679012345679</v>
      </c>
      <c r="U355" s="45">
        <v>0</v>
      </c>
      <c r="V355" s="45">
        <v>0</v>
      </c>
      <c r="W355" s="45">
        <v>0</v>
      </c>
      <c r="X355" s="45">
        <v>1491.679012345679</v>
      </c>
      <c r="Y355" s="45">
        <v>0</v>
      </c>
      <c r="Z355" s="45">
        <v>76</v>
      </c>
      <c r="AA355" s="45">
        <v>0</v>
      </c>
      <c r="AB355" s="508">
        <v>0</v>
      </c>
      <c r="AC355" s="508">
        <v>0</v>
      </c>
      <c r="AD355" s="631">
        <v>76</v>
      </c>
      <c r="AE355" s="632">
        <v>0</v>
      </c>
      <c r="AF355" s="632">
        <v>70</v>
      </c>
      <c r="AG355" s="633">
        <v>70</v>
      </c>
      <c r="AH355" s="632">
        <v>0</v>
      </c>
      <c r="AI355" s="632">
        <v>0</v>
      </c>
      <c r="AJ355" s="632">
        <v>69.092682631076102</v>
      </c>
      <c r="AK355" s="632">
        <v>69.092682631076102</v>
      </c>
      <c r="AL355" s="632">
        <v>0</v>
      </c>
      <c r="AM355" s="632">
        <v>0</v>
      </c>
      <c r="AN355" s="632">
        <v>63.871787727153645</v>
      </c>
      <c r="AO355" s="632">
        <v>63.871787727153645</v>
      </c>
      <c r="AP355" s="632">
        <v>0</v>
      </c>
      <c r="AQ355" s="632">
        <v>0</v>
      </c>
      <c r="AR355" s="632">
        <v>0</v>
      </c>
      <c r="AS355" s="632">
        <v>62.813142015244814</v>
      </c>
      <c r="AT355" s="632">
        <v>65.878133597727427</v>
      </c>
      <c r="AU355" s="632">
        <v>69.092682631076102</v>
      </c>
      <c r="AV355" s="632">
        <v>72.464086829006433</v>
      </c>
      <c r="AW355" s="632">
        <v>76</v>
      </c>
      <c r="AX355" s="632">
        <v>58.280075249465362</v>
      </c>
      <c r="AY355" s="632">
        <v>61.011905355073061</v>
      </c>
      <c r="AZ355" s="632">
        <v>63.871787727153645</v>
      </c>
      <c r="BA355" s="632">
        <v>66.865724709306448</v>
      </c>
      <c r="BB355" s="632">
        <v>70</v>
      </c>
      <c r="BC355" s="632">
        <v>0</v>
      </c>
      <c r="BD355" s="632">
        <v>0</v>
      </c>
      <c r="BE355" s="632">
        <v>0</v>
      </c>
      <c r="BF355" s="632">
        <v>0</v>
      </c>
      <c r="BG355" s="632">
        <v>0</v>
      </c>
      <c r="BH355" s="634">
        <v>76.719666597861675</v>
      </c>
      <c r="BI355" s="634">
        <v>77.446147932724372</v>
      </c>
      <c r="BJ355" s="634">
        <v>78.179508535359062</v>
      </c>
      <c r="BK355" s="635">
        <v>77.665512567621718</v>
      </c>
      <c r="BL355" s="635">
        <v>77.154895897858978</v>
      </c>
      <c r="BM355" s="635">
        <v>77.708780517965735</v>
      </c>
      <c r="BN355" s="635">
        <v>78.266641401261225</v>
      </c>
      <c r="BO355" s="635">
        <v>78.828507092804102</v>
      </c>
      <c r="BP355" s="635">
        <v>79.394406342574086</v>
      </c>
      <c r="BQ355" s="635">
        <v>79.964368106943169</v>
      </c>
      <c r="BR355" s="635">
        <v>80.413258084582765</v>
      </c>
      <c r="BS355" s="635">
        <v>80.864667962232758</v>
      </c>
      <c r="BT355" s="635">
        <v>81.318611885666925</v>
      </c>
      <c r="BU355" s="635">
        <v>81.77510408006809</v>
      </c>
      <c r="BV355" s="635">
        <v>82.234158850473875</v>
      </c>
      <c r="BW355" s="634">
        <v>70.662850813819972</v>
      </c>
      <c r="BX355" s="634">
        <v>71.331978359088239</v>
      </c>
      <c r="BY355" s="634">
        <v>72.007442072041243</v>
      </c>
      <c r="BZ355" s="635">
        <v>71.534024733335798</v>
      </c>
      <c r="CA355" s="635">
        <v>71.063719905922753</v>
      </c>
      <c r="CB355" s="635">
        <v>71.573876792863175</v>
      </c>
      <c r="CC355" s="635">
        <v>72.087696027477449</v>
      </c>
      <c r="CD355" s="635">
        <v>72.605203901266933</v>
      </c>
      <c r="CE355" s="635">
        <v>73.12642689447614</v>
      </c>
      <c r="CF355" s="635">
        <v>73.651391677447663</v>
      </c>
      <c r="CG355" s="635">
        <v>74.064842972642012</v>
      </c>
      <c r="CH355" s="635">
        <v>74.480615228372272</v>
      </c>
      <c r="CI355" s="635">
        <v>74.898721473640592</v>
      </c>
      <c r="CJ355" s="635">
        <v>75.319174810589033</v>
      </c>
      <c r="CK355" s="635">
        <v>75.741988414910139</v>
      </c>
      <c r="CL355" s="634">
        <v>0</v>
      </c>
      <c r="CM355" s="634">
        <v>0</v>
      </c>
      <c r="CN355" s="634">
        <v>0</v>
      </c>
      <c r="CO355" s="635">
        <v>0</v>
      </c>
      <c r="CP355" s="635">
        <v>0</v>
      </c>
      <c r="CQ355" s="635">
        <v>0</v>
      </c>
      <c r="CR355" s="635">
        <v>0</v>
      </c>
      <c r="CS355" s="635">
        <v>0</v>
      </c>
      <c r="CT355" s="635">
        <v>0</v>
      </c>
      <c r="CU355" s="635">
        <v>0</v>
      </c>
      <c r="CV355" s="635">
        <v>0</v>
      </c>
      <c r="CW355" s="635">
        <v>0</v>
      </c>
      <c r="CX355" s="635">
        <v>0</v>
      </c>
      <c r="CY355" s="635">
        <v>0</v>
      </c>
      <c r="CZ355" s="635">
        <v>0</v>
      </c>
      <c r="DA355" s="636">
        <v>0</v>
      </c>
      <c r="DB355" s="636">
        <v>0</v>
      </c>
      <c r="DC355" s="636">
        <v>0</v>
      </c>
      <c r="DD355" s="637">
        <v>0</v>
      </c>
      <c r="DE355" s="637">
        <v>0</v>
      </c>
      <c r="DF355" s="637">
        <v>0</v>
      </c>
      <c r="DG355" s="637">
        <v>0</v>
      </c>
      <c r="DH355" s="637">
        <v>0</v>
      </c>
      <c r="DI355" s="637">
        <v>0</v>
      </c>
      <c r="DJ355" s="637">
        <v>0</v>
      </c>
      <c r="DK355" s="637">
        <v>0</v>
      </c>
      <c r="DL355" s="637">
        <v>0</v>
      </c>
      <c r="DM355" s="637">
        <v>0</v>
      </c>
      <c r="DN355" s="637">
        <v>0</v>
      </c>
      <c r="DO355" s="637">
        <v>0</v>
      </c>
      <c r="DP355" s="636">
        <v>0</v>
      </c>
      <c r="DQ355" s="636">
        <v>0</v>
      </c>
      <c r="DR355" s="636">
        <v>0</v>
      </c>
      <c r="DS355" s="637">
        <v>0</v>
      </c>
      <c r="DT355" s="637">
        <v>0</v>
      </c>
      <c r="DU355" s="637">
        <v>0</v>
      </c>
      <c r="DV355" s="637">
        <v>0</v>
      </c>
      <c r="DW355" s="637">
        <v>0</v>
      </c>
      <c r="DX355" s="637">
        <v>0</v>
      </c>
      <c r="DY355" s="637">
        <v>0</v>
      </c>
      <c r="DZ355" s="637">
        <v>0</v>
      </c>
      <c r="EA355" s="637">
        <v>0</v>
      </c>
      <c r="EB355" s="637">
        <v>0</v>
      </c>
      <c r="EC355" s="637">
        <v>0</v>
      </c>
      <c r="ED355" s="637">
        <v>0</v>
      </c>
    </row>
    <row r="356" spans="1:134" ht="15" x14ac:dyDescent="0.25">
      <c r="A356" s="555">
        <v>114</v>
      </c>
      <c r="B356" s="555">
        <v>100</v>
      </c>
      <c r="C356" s="555" t="s">
        <v>1339</v>
      </c>
      <c r="D356" s="812">
        <v>99712</v>
      </c>
      <c r="E356" s="812">
        <v>99712</v>
      </c>
      <c r="F356" s="630" t="s">
        <v>311</v>
      </c>
      <c r="G356" s="45">
        <v>92</v>
      </c>
      <c r="H356" s="45">
        <v>54</v>
      </c>
      <c r="I356" s="45">
        <v>45</v>
      </c>
      <c r="J356" s="45">
        <v>9</v>
      </c>
      <c r="K356" s="45">
        <v>0</v>
      </c>
      <c r="L356" s="45">
        <v>53</v>
      </c>
      <c r="M356" s="45">
        <v>53</v>
      </c>
      <c r="N356" s="45">
        <v>0</v>
      </c>
      <c r="O356" s="45">
        <v>0</v>
      </c>
      <c r="P356" s="45">
        <v>0</v>
      </c>
      <c r="Q356" s="45">
        <v>53</v>
      </c>
      <c r="R356" s="45">
        <v>0</v>
      </c>
      <c r="S356" s="45">
        <v>2582.5094339622642</v>
      </c>
      <c r="T356" s="45">
        <v>2582.5094339622642</v>
      </c>
      <c r="U356" s="45">
        <v>0</v>
      </c>
      <c r="V356" s="45">
        <v>0</v>
      </c>
      <c r="W356" s="45">
        <v>0</v>
      </c>
      <c r="X356" s="45">
        <v>2582.5094339622642</v>
      </c>
      <c r="Y356" s="45">
        <v>0</v>
      </c>
      <c r="Z356" s="45">
        <v>54</v>
      </c>
      <c r="AA356" s="45">
        <v>0</v>
      </c>
      <c r="AB356" s="508">
        <v>0</v>
      </c>
      <c r="AC356" s="508">
        <v>0</v>
      </c>
      <c r="AD356" s="631">
        <v>54</v>
      </c>
      <c r="AE356" s="632">
        <v>0</v>
      </c>
      <c r="AF356" s="632">
        <v>45</v>
      </c>
      <c r="AG356" s="633">
        <v>45</v>
      </c>
      <c r="AH356" s="632">
        <v>0</v>
      </c>
      <c r="AI356" s="632">
        <v>0</v>
      </c>
      <c r="AJ356" s="632">
        <v>49.092169237869861</v>
      </c>
      <c r="AK356" s="632">
        <v>49.092169237869861</v>
      </c>
      <c r="AL356" s="632">
        <v>0</v>
      </c>
      <c r="AM356" s="632">
        <v>0</v>
      </c>
      <c r="AN356" s="632">
        <v>41.060434967455919</v>
      </c>
      <c r="AO356" s="632">
        <v>41.060434967455919</v>
      </c>
      <c r="AP356" s="632">
        <v>0</v>
      </c>
      <c r="AQ356" s="632">
        <v>0</v>
      </c>
      <c r="AR356" s="632">
        <v>0</v>
      </c>
      <c r="AS356" s="632">
        <v>44.630390379252894</v>
      </c>
      <c r="AT356" s="632">
        <v>46.808147556280012</v>
      </c>
      <c r="AU356" s="632">
        <v>49.092169237869861</v>
      </c>
      <c r="AV356" s="632">
        <v>51.487640641662466</v>
      </c>
      <c r="AW356" s="632">
        <v>54</v>
      </c>
      <c r="AX356" s="632">
        <v>37.465762660370586</v>
      </c>
      <c r="AY356" s="632">
        <v>39.221939156832683</v>
      </c>
      <c r="AZ356" s="632">
        <v>41.060434967455919</v>
      </c>
      <c r="BA356" s="632">
        <v>42.985108741697005</v>
      </c>
      <c r="BB356" s="632">
        <v>45</v>
      </c>
      <c r="BC356" s="632">
        <v>0</v>
      </c>
      <c r="BD356" s="632">
        <v>0</v>
      </c>
      <c r="BE356" s="632">
        <v>0</v>
      </c>
      <c r="BF356" s="632">
        <v>0</v>
      </c>
      <c r="BG356" s="632">
        <v>0</v>
      </c>
      <c r="BH356" s="634">
        <v>54.511342056375405</v>
      </c>
      <c r="BI356" s="634">
        <v>55.027526162725216</v>
      </c>
      <c r="BJ356" s="634">
        <v>55.548598169860391</v>
      </c>
      <c r="BK356" s="635">
        <v>55.183390508573325</v>
      </c>
      <c r="BL356" s="635">
        <v>54.820583927426121</v>
      </c>
      <c r="BM356" s="635">
        <v>55.214133525923025</v>
      </c>
      <c r="BN356" s="635">
        <v>55.610508364054034</v>
      </c>
      <c r="BO356" s="635">
        <v>56.009728723834499</v>
      </c>
      <c r="BP356" s="635">
        <v>56.411815032881591</v>
      </c>
      <c r="BQ356" s="635">
        <v>56.816787865459631</v>
      </c>
      <c r="BR356" s="635">
        <v>57.135736007466704</v>
      </c>
      <c r="BS356" s="635">
        <v>57.456474604744329</v>
      </c>
      <c r="BT356" s="635">
        <v>57.779013708237031</v>
      </c>
      <c r="BU356" s="635">
        <v>58.103363425311542</v>
      </c>
      <c r="BV356" s="635">
        <v>58.429533920073546</v>
      </c>
      <c r="BW356" s="634">
        <v>45.426118380312836</v>
      </c>
      <c r="BX356" s="634">
        <v>45.85627180227101</v>
      </c>
      <c r="BY356" s="634">
        <v>46.290498474883655</v>
      </c>
      <c r="BZ356" s="635">
        <v>45.986158757144437</v>
      </c>
      <c r="CA356" s="635">
        <v>45.683819939521761</v>
      </c>
      <c r="CB356" s="635">
        <v>46.011777938269184</v>
      </c>
      <c r="CC356" s="635">
        <v>46.342090303378356</v>
      </c>
      <c r="CD356" s="635">
        <v>46.674773936528744</v>
      </c>
      <c r="CE356" s="635">
        <v>47.009845860734657</v>
      </c>
      <c r="CF356" s="635">
        <v>47.347323221216357</v>
      </c>
      <c r="CG356" s="635">
        <v>47.613113339555582</v>
      </c>
      <c r="CH356" s="635">
        <v>47.880395503953608</v>
      </c>
      <c r="CI356" s="635">
        <v>48.149178090197523</v>
      </c>
      <c r="CJ356" s="635">
        <v>48.41946952109295</v>
      </c>
      <c r="CK356" s="635">
        <v>48.691278266727949</v>
      </c>
      <c r="CL356" s="634">
        <v>0</v>
      </c>
      <c r="CM356" s="634">
        <v>0</v>
      </c>
      <c r="CN356" s="634">
        <v>0</v>
      </c>
      <c r="CO356" s="635">
        <v>0</v>
      </c>
      <c r="CP356" s="635">
        <v>0</v>
      </c>
      <c r="CQ356" s="635">
        <v>0</v>
      </c>
      <c r="CR356" s="635">
        <v>0</v>
      </c>
      <c r="CS356" s="635">
        <v>0</v>
      </c>
      <c r="CT356" s="635">
        <v>0</v>
      </c>
      <c r="CU356" s="635">
        <v>0</v>
      </c>
      <c r="CV356" s="635">
        <v>0</v>
      </c>
      <c r="CW356" s="635">
        <v>0</v>
      </c>
      <c r="CX356" s="635">
        <v>0</v>
      </c>
      <c r="CY356" s="635">
        <v>0</v>
      </c>
      <c r="CZ356" s="635">
        <v>0</v>
      </c>
      <c r="DA356" s="636">
        <v>0</v>
      </c>
      <c r="DB356" s="636">
        <v>0</v>
      </c>
      <c r="DC356" s="636">
        <v>0</v>
      </c>
      <c r="DD356" s="637">
        <v>0</v>
      </c>
      <c r="DE356" s="637">
        <v>0</v>
      </c>
      <c r="DF356" s="637">
        <v>0</v>
      </c>
      <c r="DG356" s="637">
        <v>0</v>
      </c>
      <c r="DH356" s="637">
        <v>0</v>
      </c>
      <c r="DI356" s="637">
        <v>0</v>
      </c>
      <c r="DJ356" s="637">
        <v>0</v>
      </c>
      <c r="DK356" s="637">
        <v>0</v>
      </c>
      <c r="DL356" s="637">
        <v>0</v>
      </c>
      <c r="DM356" s="637">
        <v>0</v>
      </c>
      <c r="DN356" s="637">
        <v>0</v>
      </c>
      <c r="DO356" s="637">
        <v>0</v>
      </c>
      <c r="DP356" s="636">
        <v>0</v>
      </c>
      <c r="DQ356" s="636">
        <v>0</v>
      </c>
      <c r="DR356" s="636">
        <v>0</v>
      </c>
      <c r="DS356" s="637">
        <v>0</v>
      </c>
      <c r="DT356" s="637">
        <v>0</v>
      </c>
      <c r="DU356" s="637">
        <v>0</v>
      </c>
      <c r="DV356" s="637">
        <v>0</v>
      </c>
      <c r="DW356" s="637">
        <v>0</v>
      </c>
      <c r="DX356" s="637">
        <v>0</v>
      </c>
      <c r="DY356" s="637">
        <v>0</v>
      </c>
      <c r="DZ356" s="637">
        <v>0</v>
      </c>
      <c r="EA356" s="637">
        <v>0</v>
      </c>
      <c r="EB356" s="637">
        <v>0</v>
      </c>
      <c r="EC356" s="637">
        <v>0</v>
      </c>
      <c r="ED356" s="637">
        <v>0</v>
      </c>
    </row>
    <row r="357" spans="1:134" ht="15" x14ac:dyDescent="0.25">
      <c r="A357" s="555">
        <v>115</v>
      </c>
      <c r="B357" s="555">
        <v>100</v>
      </c>
      <c r="C357" s="555" t="s">
        <v>1340</v>
      </c>
      <c r="D357" s="812">
        <v>99712</v>
      </c>
      <c r="E357" s="812">
        <v>99712</v>
      </c>
      <c r="F357" s="630" t="s">
        <v>311</v>
      </c>
      <c r="G357" s="45">
        <v>639</v>
      </c>
      <c r="H357" s="45">
        <v>257</v>
      </c>
      <c r="I357" s="45">
        <v>242</v>
      </c>
      <c r="J357" s="45">
        <v>15</v>
      </c>
      <c r="K357" s="45">
        <v>0</v>
      </c>
      <c r="L357" s="45">
        <v>90</v>
      </c>
      <c r="M357" s="45">
        <v>90</v>
      </c>
      <c r="N357" s="45">
        <v>0</v>
      </c>
      <c r="O357" s="45">
        <v>0</v>
      </c>
      <c r="P357" s="45">
        <v>0</v>
      </c>
      <c r="Q357" s="45">
        <v>90</v>
      </c>
      <c r="R357" s="45">
        <v>0</v>
      </c>
      <c r="S357" s="45">
        <v>2400.2666666666669</v>
      </c>
      <c r="T357" s="45">
        <v>2400.2666666666669</v>
      </c>
      <c r="U357" s="45">
        <v>0</v>
      </c>
      <c r="V357" s="45">
        <v>0</v>
      </c>
      <c r="W357" s="45">
        <v>0</v>
      </c>
      <c r="X357" s="45">
        <v>2400.2666666666669</v>
      </c>
      <c r="Y357" s="45">
        <v>0</v>
      </c>
      <c r="Z357" s="45">
        <v>257</v>
      </c>
      <c r="AA357" s="45">
        <v>0</v>
      </c>
      <c r="AB357" s="508">
        <v>0</v>
      </c>
      <c r="AC357" s="508">
        <v>0</v>
      </c>
      <c r="AD357" s="631">
        <v>257</v>
      </c>
      <c r="AE357" s="632">
        <v>0</v>
      </c>
      <c r="AF357" s="632">
        <v>242</v>
      </c>
      <c r="AG357" s="633">
        <v>242</v>
      </c>
      <c r="AH357" s="632">
        <v>0</v>
      </c>
      <c r="AI357" s="632">
        <v>0</v>
      </c>
      <c r="AJ357" s="632">
        <v>233.64236100245472</v>
      </c>
      <c r="AK357" s="632">
        <v>233.64236100245472</v>
      </c>
      <c r="AL357" s="632">
        <v>0</v>
      </c>
      <c r="AM357" s="632">
        <v>0</v>
      </c>
      <c r="AN357" s="632">
        <v>220.81389471387405</v>
      </c>
      <c r="AO357" s="632">
        <v>220.81389471387405</v>
      </c>
      <c r="AP357" s="632">
        <v>0</v>
      </c>
      <c r="AQ357" s="632">
        <v>0</v>
      </c>
      <c r="AR357" s="632">
        <v>0</v>
      </c>
      <c r="AS357" s="632">
        <v>212.40759865681468</v>
      </c>
      <c r="AT357" s="632">
        <v>222.77210966599932</v>
      </c>
      <c r="AU357" s="632">
        <v>233.64236100245472</v>
      </c>
      <c r="AV357" s="632">
        <v>245.04303046124545</v>
      </c>
      <c r="AW357" s="632">
        <v>257</v>
      </c>
      <c r="AX357" s="632">
        <v>201.48254586243738</v>
      </c>
      <c r="AY357" s="632">
        <v>210.92687279896685</v>
      </c>
      <c r="AZ357" s="632">
        <v>220.81389471387405</v>
      </c>
      <c r="BA357" s="632">
        <v>231.16436256645946</v>
      </c>
      <c r="BB357" s="632">
        <v>242</v>
      </c>
      <c r="BC357" s="632">
        <v>0</v>
      </c>
      <c r="BD357" s="632">
        <v>0</v>
      </c>
      <c r="BE357" s="632">
        <v>0</v>
      </c>
      <c r="BF357" s="632">
        <v>0</v>
      </c>
      <c r="BG357" s="632">
        <v>0</v>
      </c>
      <c r="BH357" s="634">
        <v>259.43360941645329</v>
      </c>
      <c r="BI357" s="634">
        <v>261.89026340408111</v>
      </c>
      <c r="BJ357" s="634">
        <v>264.37018017878</v>
      </c>
      <c r="BK357" s="635">
        <v>262.63206223524713</v>
      </c>
      <c r="BL357" s="635">
        <v>260.90537165460211</v>
      </c>
      <c r="BM357" s="635">
        <v>262.77837622522622</v>
      </c>
      <c r="BN357" s="635">
        <v>264.66482684373864</v>
      </c>
      <c r="BO357" s="635">
        <v>266.56482003750864</v>
      </c>
      <c r="BP357" s="635">
        <v>268.47845302686238</v>
      </c>
      <c r="BQ357" s="635">
        <v>270.40582373005788</v>
      </c>
      <c r="BR357" s="635">
        <v>271.92378062812855</v>
      </c>
      <c r="BS357" s="635">
        <v>273.45025876702397</v>
      </c>
      <c r="BT357" s="635">
        <v>274.98530598179474</v>
      </c>
      <c r="BU357" s="635">
        <v>276.52897037601974</v>
      </c>
      <c r="BV357" s="635">
        <v>278.08130032331297</v>
      </c>
      <c r="BW357" s="634">
        <v>244.29156995634904</v>
      </c>
      <c r="BX357" s="634">
        <v>246.60483946999076</v>
      </c>
      <c r="BY357" s="634">
        <v>248.94001402048545</v>
      </c>
      <c r="BZ357" s="635">
        <v>247.30334264953231</v>
      </c>
      <c r="CA357" s="635">
        <v>245.67743167476149</v>
      </c>
      <c r="CB357" s="635">
        <v>247.44111691246982</v>
      </c>
      <c r="CC357" s="635">
        <v>249.21746340927919</v>
      </c>
      <c r="CD357" s="635">
        <v>251.00656205866571</v>
      </c>
      <c r="CE357" s="635">
        <v>252.80850440661752</v>
      </c>
      <c r="CF357" s="635">
        <v>254.62338265631908</v>
      </c>
      <c r="CG357" s="635">
        <v>256.05274284827669</v>
      </c>
      <c r="CH357" s="635">
        <v>257.49012693237273</v>
      </c>
      <c r="CI357" s="635">
        <v>258.93557995172893</v>
      </c>
      <c r="CJ357" s="635">
        <v>260.38914720232208</v>
      </c>
      <c r="CK357" s="635">
        <v>261.85087423440365</v>
      </c>
      <c r="CL357" s="634">
        <v>0</v>
      </c>
      <c r="CM357" s="634">
        <v>0</v>
      </c>
      <c r="CN357" s="634">
        <v>0</v>
      </c>
      <c r="CO357" s="635">
        <v>0</v>
      </c>
      <c r="CP357" s="635">
        <v>0</v>
      </c>
      <c r="CQ357" s="635">
        <v>0</v>
      </c>
      <c r="CR357" s="635">
        <v>0</v>
      </c>
      <c r="CS357" s="635">
        <v>0</v>
      </c>
      <c r="CT357" s="635">
        <v>0</v>
      </c>
      <c r="CU357" s="635">
        <v>0</v>
      </c>
      <c r="CV357" s="635">
        <v>0</v>
      </c>
      <c r="CW357" s="635">
        <v>0</v>
      </c>
      <c r="CX357" s="635">
        <v>0</v>
      </c>
      <c r="CY357" s="635">
        <v>0</v>
      </c>
      <c r="CZ357" s="635">
        <v>0</v>
      </c>
      <c r="DA357" s="636">
        <v>0</v>
      </c>
      <c r="DB357" s="636">
        <v>0</v>
      </c>
      <c r="DC357" s="636">
        <v>0</v>
      </c>
      <c r="DD357" s="637">
        <v>0</v>
      </c>
      <c r="DE357" s="637">
        <v>0</v>
      </c>
      <c r="DF357" s="637">
        <v>0</v>
      </c>
      <c r="DG357" s="637">
        <v>0</v>
      </c>
      <c r="DH357" s="637">
        <v>0</v>
      </c>
      <c r="DI357" s="637">
        <v>0</v>
      </c>
      <c r="DJ357" s="637">
        <v>0</v>
      </c>
      <c r="DK357" s="637">
        <v>0</v>
      </c>
      <c r="DL357" s="637">
        <v>0</v>
      </c>
      <c r="DM357" s="637">
        <v>0</v>
      </c>
      <c r="DN357" s="637">
        <v>0</v>
      </c>
      <c r="DO357" s="637">
        <v>0</v>
      </c>
      <c r="DP357" s="636">
        <v>0</v>
      </c>
      <c r="DQ357" s="636">
        <v>0</v>
      </c>
      <c r="DR357" s="636">
        <v>0</v>
      </c>
      <c r="DS357" s="637">
        <v>0</v>
      </c>
      <c r="DT357" s="637">
        <v>0</v>
      </c>
      <c r="DU357" s="637">
        <v>0</v>
      </c>
      <c r="DV357" s="637">
        <v>0</v>
      </c>
      <c r="DW357" s="637">
        <v>0</v>
      </c>
      <c r="DX357" s="637">
        <v>0</v>
      </c>
      <c r="DY357" s="637">
        <v>0</v>
      </c>
      <c r="DZ357" s="637">
        <v>0</v>
      </c>
      <c r="EA357" s="637">
        <v>0</v>
      </c>
      <c r="EB357" s="637">
        <v>0</v>
      </c>
      <c r="EC357" s="637">
        <v>0</v>
      </c>
      <c r="ED357" s="637">
        <v>0</v>
      </c>
    </row>
    <row r="358" spans="1:134" ht="15" x14ac:dyDescent="0.25">
      <c r="A358" s="555">
        <v>116</v>
      </c>
      <c r="B358" s="555">
        <v>100</v>
      </c>
      <c r="C358" s="555" t="s">
        <v>1341</v>
      </c>
      <c r="D358" s="812">
        <v>99712</v>
      </c>
      <c r="E358" s="812">
        <v>99712</v>
      </c>
      <c r="F358" s="630" t="s">
        <v>311</v>
      </c>
      <c r="G358" s="45">
        <v>5</v>
      </c>
      <c r="H358" s="45">
        <v>1</v>
      </c>
      <c r="I358" s="45">
        <v>1</v>
      </c>
      <c r="J358" s="45">
        <v>0</v>
      </c>
      <c r="K358" s="45">
        <v>0</v>
      </c>
      <c r="L358" s="45">
        <v>57</v>
      </c>
      <c r="M358" s="45">
        <v>57</v>
      </c>
      <c r="N358" s="45">
        <v>0</v>
      </c>
      <c r="O358" s="45">
        <v>0</v>
      </c>
      <c r="P358" s="45">
        <v>0</v>
      </c>
      <c r="Q358" s="45">
        <v>57</v>
      </c>
      <c r="R358" s="45">
        <v>0</v>
      </c>
      <c r="S358" s="45">
        <v>2782.9122807017543</v>
      </c>
      <c r="T358" s="45">
        <v>2782.9122807017543</v>
      </c>
      <c r="U358" s="45">
        <v>0</v>
      </c>
      <c r="V358" s="45">
        <v>0</v>
      </c>
      <c r="W358" s="45">
        <v>0</v>
      </c>
      <c r="X358" s="45">
        <v>2782.9122807017543</v>
      </c>
      <c r="Y358" s="45">
        <v>0</v>
      </c>
      <c r="Z358" s="45">
        <v>1</v>
      </c>
      <c r="AA358" s="45">
        <v>0</v>
      </c>
      <c r="AB358" s="508">
        <v>0</v>
      </c>
      <c r="AC358" s="508">
        <v>0</v>
      </c>
      <c r="AD358" s="631">
        <v>1</v>
      </c>
      <c r="AE358" s="632">
        <v>0</v>
      </c>
      <c r="AF358" s="632">
        <v>1</v>
      </c>
      <c r="AG358" s="633">
        <v>1</v>
      </c>
      <c r="AH358" s="632">
        <v>0</v>
      </c>
      <c r="AI358" s="632">
        <v>0</v>
      </c>
      <c r="AJ358" s="632">
        <v>0.90911424514573824</v>
      </c>
      <c r="AK358" s="632">
        <v>0.90911424514573824</v>
      </c>
      <c r="AL358" s="632">
        <v>0</v>
      </c>
      <c r="AM358" s="632">
        <v>0</v>
      </c>
      <c r="AN358" s="632">
        <v>0.91245411038790925</v>
      </c>
      <c r="AO358" s="632">
        <v>0.91245411038790925</v>
      </c>
      <c r="AP358" s="632">
        <v>0</v>
      </c>
      <c r="AQ358" s="632">
        <v>0</v>
      </c>
      <c r="AR358" s="632">
        <v>0</v>
      </c>
      <c r="AS358" s="632">
        <v>0.82648871072690544</v>
      </c>
      <c r="AT358" s="632">
        <v>0.86681754733851879</v>
      </c>
      <c r="AU358" s="632">
        <v>0.90911424514573824</v>
      </c>
      <c r="AV358" s="632">
        <v>0.95347482669745309</v>
      </c>
      <c r="AW358" s="632">
        <v>1</v>
      </c>
      <c r="AX358" s="632">
        <v>0.83257250356379087</v>
      </c>
      <c r="AY358" s="632">
        <v>0.87159864792961517</v>
      </c>
      <c r="AZ358" s="632">
        <v>0.91245411038790925</v>
      </c>
      <c r="BA358" s="632">
        <v>0.9552246387043779</v>
      </c>
      <c r="BB358" s="632">
        <v>1</v>
      </c>
      <c r="BC358" s="632">
        <v>0</v>
      </c>
      <c r="BD358" s="632">
        <v>0</v>
      </c>
      <c r="BE358" s="632">
        <v>0</v>
      </c>
      <c r="BF358" s="632">
        <v>0</v>
      </c>
      <c r="BG358" s="632">
        <v>0</v>
      </c>
      <c r="BH358" s="634">
        <v>1.0094692973402852</v>
      </c>
      <c r="BI358" s="634">
        <v>1.0190282622726892</v>
      </c>
      <c r="BJ358" s="634">
        <v>1.0286777438863035</v>
      </c>
      <c r="BK358" s="635">
        <v>1.0219146390476541</v>
      </c>
      <c r="BL358" s="635">
        <v>1.0151959986560393</v>
      </c>
      <c r="BM358" s="635">
        <v>1.0224839541837596</v>
      </c>
      <c r="BN358" s="635">
        <v>1.0298242289639636</v>
      </c>
      <c r="BO358" s="635">
        <v>1.0372171985895278</v>
      </c>
      <c r="BP358" s="635">
        <v>1.044663241349659</v>
      </c>
      <c r="BQ358" s="635">
        <v>1.0521627382492524</v>
      </c>
      <c r="BR358" s="635">
        <v>1.0580691853234574</v>
      </c>
      <c r="BS358" s="635">
        <v>1.0640087889767469</v>
      </c>
      <c r="BT358" s="635">
        <v>1.0699817353377228</v>
      </c>
      <c r="BU358" s="635">
        <v>1.0759882115798434</v>
      </c>
      <c r="BV358" s="635">
        <v>1.0820284059272878</v>
      </c>
      <c r="BW358" s="634">
        <v>1.0094692973402852</v>
      </c>
      <c r="BX358" s="634">
        <v>1.0190282622726892</v>
      </c>
      <c r="BY358" s="634">
        <v>1.0286777438863035</v>
      </c>
      <c r="BZ358" s="635">
        <v>1.0219146390476541</v>
      </c>
      <c r="CA358" s="635">
        <v>1.0151959986560393</v>
      </c>
      <c r="CB358" s="635">
        <v>1.0224839541837596</v>
      </c>
      <c r="CC358" s="635">
        <v>1.0298242289639636</v>
      </c>
      <c r="CD358" s="635">
        <v>1.0372171985895278</v>
      </c>
      <c r="CE358" s="635">
        <v>1.044663241349659</v>
      </c>
      <c r="CF358" s="635">
        <v>1.0521627382492524</v>
      </c>
      <c r="CG358" s="635">
        <v>1.0580691853234574</v>
      </c>
      <c r="CH358" s="635">
        <v>1.0640087889767469</v>
      </c>
      <c r="CI358" s="635">
        <v>1.0699817353377228</v>
      </c>
      <c r="CJ358" s="635">
        <v>1.0759882115798434</v>
      </c>
      <c r="CK358" s="635">
        <v>1.0820284059272878</v>
      </c>
      <c r="CL358" s="634">
        <v>0</v>
      </c>
      <c r="CM358" s="634">
        <v>0</v>
      </c>
      <c r="CN358" s="634">
        <v>0</v>
      </c>
      <c r="CO358" s="635">
        <v>0</v>
      </c>
      <c r="CP358" s="635">
        <v>0</v>
      </c>
      <c r="CQ358" s="635">
        <v>0</v>
      </c>
      <c r="CR358" s="635">
        <v>0</v>
      </c>
      <c r="CS358" s="635">
        <v>0</v>
      </c>
      <c r="CT358" s="635">
        <v>0</v>
      </c>
      <c r="CU358" s="635">
        <v>0</v>
      </c>
      <c r="CV358" s="635">
        <v>0</v>
      </c>
      <c r="CW358" s="635">
        <v>0</v>
      </c>
      <c r="CX358" s="635">
        <v>0</v>
      </c>
      <c r="CY358" s="635">
        <v>0</v>
      </c>
      <c r="CZ358" s="635">
        <v>0</v>
      </c>
      <c r="DA358" s="636">
        <v>0</v>
      </c>
      <c r="DB358" s="636">
        <v>0</v>
      </c>
      <c r="DC358" s="636">
        <v>0</v>
      </c>
      <c r="DD358" s="637">
        <v>0</v>
      </c>
      <c r="DE358" s="637">
        <v>0</v>
      </c>
      <c r="DF358" s="637">
        <v>0</v>
      </c>
      <c r="DG358" s="637">
        <v>0</v>
      </c>
      <c r="DH358" s="637">
        <v>0</v>
      </c>
      <c r="DI358" s="637">
        <v>0</v>
      </c>
      <c r="DJ358" s="637">
        <v>0</v>
      </c>
      <c r="DK358" s="637">
        <v>0</v>
      </c>
      <c r="DL358" s="637">
        <v>0</v>
      </c>
      <c r="DM358" s="637">
        <v>0</v>
      </c>
      <c r="DN358" s="637">
        <v>0</v>
      </c>
      <c r="DO358" s="637">
        <v>0</v>
      </c>
      <c r="DP358" s="636">
        <v>0</v>
      </c>
      <c r="DQ358" s="636">
        <v>0</v>
      </c>
      <c r="DR358" s="636">
        <v>0</v>
      </c>
      <c r="DS358" s="637">
        <v>0</v>
      </c>
      <c r="DT358" s="637">
        <v>0</v>
      </c>
      <c r="DU358" s="637">
        <v>0</v>
      </c>
      <c r="DV358" s="637">
        <v>0</v>
      </c>
      <c r="DW358" s="637">
        <v>0</v>
      </c>
      <c r="DX358" s="637">
        <v>0</v>
      </c>
      <c r="DY358" s="637">
        <v>0</v>
      </c>
      <c r="DZ358" s="637">
        <v>0</v>
      </c>
      <c r="EA358" s="637">
        <v>0</v>
      </c>
      <c r="EB358" s="637">
        <v>0</v>
      </c>
      <c r="EC358" s="637">
        <v>0</v>
      </c>
      <c r="ED358" s="637">
        <v>0</v>
      </c>
    </row>
    <row r="359" spans="1:134" ht="15" x14ac:dyDescent="0.25">
      <c r="A359" s="555">
        <v>122</v>
      </c>
      <c r="B359" s="555">
        <v>100</v>
      </c>
      <c r="C359" s="555" t="s">
        <v>1342</v>
      </c>
      <c r="D359" s="812">
        <v>99712</v>
      </c>
      <c r="E359" s="812">
        <v>99712</v>
      </c>
      <c r="F359" s="630" t="s">
        <v>989</v>
      </c>
      <c r="G359" s="45">
        <v>510</v>
      </c>
      <c r="H359" s="45">
        <v>233</v>
      </c>
      <c r="I359" s="45">
        <v>205</v>
      </c>
      <c r="J359" s="45">
        <v>28</v>
      </c>
      <c r="K359" s="45">
        <v>0</v>
      </c>
      <c r="L359" s="45">
        <v>0</v>
      </c>
      <c r="M359" s="45">
        <v>0</v>
      </c>
      <c r="N359" s="45">
        <v>0</v>
      </c>
      <c r="O359" s="45">
        <v>0</v>
      </c>
      <c r="P359" s="45">
        <v>0</v>
      </c>
      <c r="Q359" s="45">
        <v>0</v>
      </c>
      <c r="R359" s="45">
        <v>0</v>
      </c>
      <c r="S359" s="45">
        <v>834.49503068156923</v>
      </c>
      <c r="T359" s="45">
        <v>834.49503068156923</v>
      </c>
      <c r="U359" s="45">
        <v>1408.3846153846155</v>
      </c>
      <c r="V359" s="45">
        <v>0</v>
      </c>
      <c r="W359" s="45">
        <v>0</v>
      </c>
      <c r="X359" s="45">
        <v>1365.173957061457</v>
      </c>
      <c r="Y359" s="45">
        <v>5.3385741510741509</v>
      </c>
      <c r="Z359" s="45">
        <v>227.35867117117118</v>
      </c>
      <c r="AA359" s="45">
        <v>0.30275467775467774</v>
      </c>
      <c r="AB359" s="508">
        <v>0</v>
      </c>
      <c r="AC359" s="508">
        <v>0</v>
      </c>
      <c r="AD359" s="631">
        <v>233</v>
      </c>
      <c r="AE359" s="632">
        <v>4.6970287595287594</v>
      </c>
      <c r="AF359" s="632">
        <v>200.03659909909911</v>
      </c>
      <c r="AG359" s="633">
        <v>204.73362785862787</v>
      </c>
      <c r="AH359" s="632">
        <v>0.26637214137214138</v>
      </c>
      <c r="AI359" s="632">
        <v>4.8533738095083265</v>
      </c>
      <c r="AJ359" s="632">
        <v>206.6950067191174</v>
      </c>
      <c r="AK359" s="632">
        <v>211.54838052862573</v>
      </c>
      <c r="AL359" s="632">
        <v>0.27523859033128506</v>
      </c>
      <c r="AM359" s="632">
        <v>4.2858231982422392</v>
      </c>
      <c r="AN359" s="632">
        <v>182.52421707599132</v>
      </c>
      <c r="AO359" s="632">
        <v>186.81004027423356</v>
      </c>
      <c r="AP359" s="632">
        <v>0.24305235528783967</v>
      </c>
      <c r="AQ359" s="632">
        <v>0</v>
      </c>
      <c r="AR359" s="632">
        <v>0</v>
      </c>
      <c r="AS359" s="632">
        <v>192.32164627608495</v>
      </c>
      <c r="AT359" s="632">
        <v>201.7060554626583</v>
      </c>
      <c r="AU359" s="632">
        <v>211.54838052862573</v>
      </c>
      <c r="AV359" s="632">
        <v>221.87096565660261</v>
      </c>
      <c r="AW359" s="632">
        <v>232.69724532224532</v>
      </c>
      <c r="AX359" s="632">
        <v>170.45558910995527</v>
      </c>
      <c r="AY359" s="632">
        <v>178.44555322730503</v>
      </c>
      <c r="AZ359" s="632">
        <v>186.81004027423356</v>
      </c>
      <c r="BA359" s="632">
        <v>195.56660570189436</v>
      </c>
      <c r="BB359" s="632">
        <v>204.73362785862787</v>
      </c>
      <c r="BC359" s="632">
        <v>0</v>
      </c>
      <c r="BD359" s="632">
        <v>0</v>
      </c>
      <c r="BE359" s="632">
        <v>0</v>
      </c>
      <c r="BF359" s="632">
        <v>0</v>
      </c>
      <c r="BG359" s="632">
        <v>0</v>
      </c>
      <c r="BH359" s="634">
        <v>234.85176561078194</v>
      </c>
      <c r="BI359" s="634">
        <v>237.02623438503136</v>
      </c>
      <c r="BJ359" s="634">
        <v>239.22083634600767</v>
      </c>
      <c r="BK359" s="635">
        <v>237.64806430402186</v>
      </c>
      <c r="BL359" s="635">
        <v>236.08563254816593</v>
      </c>
      <c r="BM359" s="635">
        <v>237.78045955006758</v>
      </c>
      <c r="BN359" s="635">
        <v>239.48745348705702</v>
      </c>
      <c r="BO359" s="635">
        <v>241.20670170392478</v>
      </c>
      <c r="BP359" s="635">
        <v>242.93829217249785</v>
      </c>
      <c r="BQ359" s="635">
        <v>244.68231349614115</v>
      </c>
      <c r="BR359" s="635">
        <v>246.05586825351998</v>
      </c>
      <c r="BS359" s="635">
        <v>247.43713363225336</v>
      </c>
      <c r="BT359" s="635">
        <v>248.82615291687824</v>
      </c>
      <c r="BU359" s="635">
        <v>250.22296963491479</v>
      </c>
      <c r="BV359" s="635">
        <v>251.62762755823019</v>
      </c>
      <c r="BW359" s="634">
        <v>206.62923583781244</v>
      </c>
      <c r="BX359" s="634">
        <v>208.54239505979155</v>
      </c>
      <c r="BY359" s="634">
        <v>210.47326802974925</v>
      </c>
      <c r="BZ359" s="635">
        <v>209.08949863658577</v>
      </c>
      <c r="CA359" s="635">
        <v>207.71482692006018</v>
      </c>
      <c r="CB359" s="635">
        <v>209.2059837243084</v>
      </c>
      <c r="CC359" s="635">
        <v>210.70784534268967</v>
      </c>
      <c r="CD359" s="635">
        <v>212.22048862362482</v>
      </c>
      <c r="CE359" s="635">
        <v>213.74399096721916</v>
      </c>
      <c r="CF359" s="635">
        <v>215.27843032922291</v>
      </c>
      <c r="CG359" s="635">
        <v>216.48692271232446</v>
      </c>
      <c r="CH359" s="635">
        <v>217.70219911850617</v>
      </c>
      <c r="CI359" s="635">
        <v>218.9242976307298</v>
      </c>
      <c r="CJ359" s="635">
        <v>220.1532565457405</v>
      </c>
      <c r="CK359" s="635">
        <v>221.3891143752669</v>
      </c>
      <c r="CL359" s="634">
        <v>0</v>
      </c>
      <c r="CM359" s="634">
        <v>0</v>
      </c>
      <c r="CN359" s="634">
        <v>0</v>
      </c>
      <c r="CO359" s="635">
        <v>0</v>
      </c>
      <c r="CP359" s="635">
        <v>0</v>
      </c>
      <c r="CQ359" s="635">
        <v>0</v>
      </c>
      <c r="CR359" s="635">
        <v>0</v>
      </c>
      <c r="CS359" s="635">
        <v>0</v>
      </c>
      <c r="CT359" s="635">
        <v>0</v>
      </c>
      <c r="CU359" s="635">
        <v>0</v>
      </c>
      <c r="CV359" s="635">
        <v>0</v>
      </c>
      <c r="CW359" s="635">
        <v>0</v>
      </c>
      <c r="CX359" s="635">
        <v>0</v>
      </c>
      <c r="CY359" s="635">
        <v>0</v>
      </c>
      <c r="CZ359" s="635">
        <v>0</v>
      </c>
      <c r="DA359" s="636">
        <v>0.30555785273325775</v>
      </c>
      <c r="DB359" s="636">
        <v>0.30838698202580189</v>
      </c>
      <c r="DC359" s="636">
        <v>0.31124230594068131</v>
      </c>
      <c r="DD359" s="637">
        <v>0.30919602433518323</v>
      </c>
      <c r="DE359" s="637">
        <v>0.30716319613344512</v>
      </c>
      <c r="DF359" s="637">
        <v>0.30936827940419925</v>
      </c>
      <c r="DG359" s="637">
        <v>0.31158919267116447</v>
      </c>
      <c r="DH359" s="637">
        <v>0.31382604957575433</v>
      </c>
      <c r="DI359" s="637">
        <v>0.31607896457519885</v>
      </c>
      <c r="DJ359" s="637">
        <v>0.31834805294840118</v>
      </c>
      <c r="DK359" s="637">
        <v>0.32013513954400202</v>
      </c>
      <c r="DL359" s="637">
        <v>0.32193225817363169</v>
      </c>
      <c r="DM359" s="637">
        <v>0.32373946515336749</v>
      </c>
      <c r="DN359" s="637">
        <v>0.32555681711542384</v>
      </c>
      <c r="DO359" s="637">
        <v>0.32738437100992734</v>
      </c>
      <c r="DP359" s="636">
        <v>0</v>
      </c>
      <c r="DQ359" s="636">
        <v>0</v>
      </c>
      <c r="DR359" s="636">
        <v>0</v>
      </c>
      <c r="DS359" s="637">
        <v>0</v>
      </c>
      <c r="DT359" s="637">
        <v>0</v>
      </c>
      <c r="DU359" s="637">
        <v>0</v>
      </c>
      <c r="DV359" s="637">
        <v>0</v>
      </c>
      <c r="DW359" s="637">
        <v>0</v>
      </c>
      <c r="DX359" s="637">
        <v>0</v>
      </c>
      <c r="DY359" s="637">
        <v>0</v>
      </c>
      <c r="DZ359" s="637">
        <v>0</v>
      </c>
      <c r="EA359" s="637">
        <v>0</v>
      </c>
      <c r="EB359" s="637">
        <v>0</v>
      </c>
      <c r="EC359" s="637">
        <v>0</v>
      </c>
      <c r="ED359" s="637">
        <v>0</v>
      </c>
    </row>
    <row r="360" spans="1:134" ht="15" x14ac:dyDescent="0.25">
      <c r="A360" s="555">
        <v>153</v>
      </c>
      <c r="B360" s="555">
        <v>100</v>
      </c>
      <c r="C360" s="555" t="s">
        <v>1343</v>
      </c>
      <c r="D360" s="812">
        <v>99712</v>
      </c>
      <c r="E360" s="812">
        <v>99712</v>
      </c>
      <c r="F360" s="630" t="s">
        <v>989</v>
      </c>
      <c r="G360" s="45">
        <v>0</v>
      </c>
      <c r="H360" s="45">
        <v>1</v>
      </c>
      <c r="I360" s="45">
        <v>0</v>
      </c>
      <c r="J360" s="45">
        <v>1</v>
      </c>
      <c r="K360" s="45">
        <v>0</v>
      </c>
      <c r="L360" s="45">
        <v>0</v>
      </c>
      <c r="M360" s="45">
        <v>0</v>
      </c>
      <c r="N360" s="45">
        <v>0</v>
      </c>
      <c r="O360" s="45">
        <v>0</v>
      </c>
      <c r="P360" s="45">
        <v>0</v>
      </c>
      <c r="Q360" s="45">
        <v>0</v>
      </c>
      <c r="R360" s="45">
        <v>0</v>
      </c>
      <c r="S360" s="45">
        <v>834.49503068156923</v>
      </c>
      <c r="T360" s="45">
        <v>834.49503068156923</v>
      </c>
      <c r="U360" s="45">
        <v>1408.3846153846155</v>
      </c>
      <c r="V360" s="45">
        <v>0</v>
      </c>
      <c r="W360" s="45">
        <v>0</v>
      </c>
      <c r="X360" s="45">
        <v>1365.173957061457</v>
      </c>
      <c r="Y360" s="45">
        <v>2.2912335412335411E-2</v>
      </c>
      <c r="Z360" s="45">
        <v>0.97578828828828834</v>
      </c>
      <c r="AA360" s="45">
        <v>1.2993762993762994E-3</v>
      </c>
      <c r="AB360" s="508">
        <v>0</v>
      </c>
      <c r="AC360" s="508">
        <v>0</v>
      </c>
      <c r="AD360" s="631">
        <v>1</v>
      </c>
      <c r="AE360" s="632">
        <v>0</v>
      </c>
      <c r="AF360" s="632">
        <v>0</v>
      </c>
      <c r="AG360" s="633">
        <v>0</v>
      </c>
      <c r="AH360" s="632">
        <v>0</v>
      </c>
      <c r="AI360" s="632">
        <v>2.0829930512911272E-2</v>
      </c>
      <c r="AJ360" s="632">
        <v>0.8871030331292592</v>
      </c>
      <c r="AK360" s="632">
        <v>0.90793296364217047</v>
      </c>
      <c r="AL360" s="632">
        <v>1.1812815035677471E-3</v>
      </c>
      <c r="AM360" s="632">
        <v>0</v>
      </c>
      <c r="AN360" s="632">
        <v>0</v>
      </c>
      <c r="AO360" s="632">
        <v>0</v>
      </c>
      <c r="AP360" s="632">
        <v>0</v>
      </c>
      <c r="AQ360" s="632">
        <v>0</v>
      </c>
      <c r="AR360" s="632">
        <v>0</v>
      </c>
      <c r="AS360" s="632">
        <v>0.82541479088448488</v>
      </c>
      <c r="AT360" s="632">
        <v>0.86569122516162356</v>
      </c>
      <c r="AU360" s="632">
        <v>0.90793296364217047</v>
      </c>
      <c r="AV360" s="632">
        <v>0.95223590410559056</v>
      </c>
      <c r="AW360" s="632">
        <v>0.99870062370062374</v>
      </c>
      <c r="AX360" s="632">
        <v>0</v>
      </c>
      <c r="AY360" s="632">
        <v>0</v>
      </c>
      <c r="AZ360" s="632">
        <v>0</v>
      </c>
      <c r="BA360" s="632">
        <v>0</v>
      </c>
      <c r="BB360" s="632">
        <v>0</v>
      </c>
      <c r="BC360" s="632">
        <v>0</v>
      </c>
      <c r="BD360" s="632">
        <v>0</v>
      </c>
      <c r="BE360" s="632">
        <v>0</v>
      </c>
      <c r="BF360" s="632">
        <v>0</v>
      </c>
      <c r="BG360" s="632">
        <v>0</v>
      </c>
      <c r="BH360" s="634">
        <v>1.0113419507725885</v>
      </c>
      <c r="BI360" s="634">
        <v>1.0241432889092785</v>
      </c>
      <c r="BJ360" s="634">
        <v>1.0371066634946347</v>
      </c>
      <c r="BK360" s="635">
        <v>1.0302881422077084</v>
      </c>
      <c r="BL360" s="635">
        <v>1.0235144497066504</v>
      </c>
      <c r="BM360" s="635">
        <v>1.0308621222756087</v>
      </c>
      <c r="BN360" s="635">
        <v>1.0382625427976575</v>
      </c>
      <c r="BO360" s="635">
        <v>1.0457160899432576</v>
      </c>
      <c r="BP360" s="635">
        <v>1.0532231451012932</v>
      </c>
      <c r="BQ360" s="635">
        <v>1.0607840923985892</v>
      </c>
      <c r="BR360" s="635">
        <v>1.0667389365221667</v>
      </c>
      <c r="BS360" s="635">
        <v>1.072727208907716</v>
      </c>
      <c r="BT360" s="635">
        <v>1.0787490972089651</v>
      </c>
      <c r="BU360" s="635">
        <v>1.0848047901330593</v>
      </c>
      <c r="BV360" s="635">
        <v>1.0908944774464748</v>
      </c>
      <c r="BW360" s="634">
        <v>0</v>
      </c>
      <c r="BX360" s="634">
        <v>0</v>
      </c>
      <c r="BY360" s="634">
        <v>0</v>
      </c>
      <c r="BZ360" s="635">
        <v>0</v>
      </c>
      <c r="CA360" s="635">
        <v>0</v>
      </c>
      <c r="CB360" s="635">
        <v>0</v>
      </c>
      <c r="CC360" s="635">
        <v>0</v>
      </c>
      <c r="CD360" s="635">
        <v>0</v>
      </c>
      <c r="CE360" s="635">
        <v>0</v>
      </c>
      <c r="CF360" s="635">
        <v>0</v>
      </c>
      <c r="CG360" s="635">
        <v>0</v>
      </c>
      <c r="CH360" s="635">
        <v>0</v>
      </c>
      <c r="CI360" s="635">
        <v>0</v>
      </c>
      <c r="CJ360" s="635">
        <v>0</v>
      </c>
      <c r="CK360" s="635">
        <v>0</v>
      </c>
      <c r="CL360" s="634">
        <v>0</v>
      </c>
      <c r="CM360" s="634">
        <v>0</v>
      </c>
      <c r="CN360" s="634">
        <v>0</v>
      </c>
      <c r="CO360" s="635">
        <v>0</v>
      </c>
      <c r="CP360" s="635">
        <v>0</v>
      </c>
      <c r="CQ360" s="635">
        <v>0</v>
      </c>
      <c r="CR360" s="635">
        <v>0</v>
      </c>
      <c r="CS360" s="635">
        <v>0</v>
      </c>
      <c r="CT360" s="635">
        <v>0</v>
      </c>
      <c r="CU360" s="635">
        <v>0</v>
      </c>
      <c r="CV360" s="635">
        <v>0</v>
      </c>
      <c r="CW360" s="635">
        <v>0</v>
      </c>
      <c r="CX360" s="635">
        <v>0</v>
      </c>
      <c r="CY360" s="635">
        <v>0</v>
      </c>
      <c r="CZ360" s="635">
        <v>0</v>
      </c>
      <c r="DA360" s="636">
        <v>1.3158235112836177E-3</v>
      </c>
      <c r="DB360" s="636">
        <v>1.3324789082868574E-3</v>
      </c>
      <c r="DC360" s="636">
        <v>1.3493451255459728E-3</v>
      </c>
      <c r="DD360" s="637">
        <v>1.3404737733641796E-3</v>
      </c>
      <c r="DE360" s="637">
        <v>1.3316607464307186E-3</v>
      </c>
      <c r="DF360" s="637">
        <v>1.3412205598173415E-3</v>
      </c>
      <c r="DG360" s="637">
        <v>1.3508490018184459E-3</v>
      </c>
      <c r="DH360" s="637">
        <v>1.3605465651096247E-3</v>
      </c>
      <c r="DI360" s="637">
        <v>1.3703137459033219E-3</v>
      </c>
      <c r="DJ360" s="637">
        <v>1.3801510439742247E-3</v>
      </c>
      <c r="DK360" s="637">
        <v>1.3878986944082315E-3</v>
      </c>
      <c r="DL360" s="637">
        <v>1.3956898372465732E-3</v>
      </c>
      <c r="DM360" s="637">
        <v>1.4035247166392989E-3</v>
      </c>
      <c r="DN360" s="637">
        <v>1.4114035781070248E-3</v>
      </c>
      <c r="DO360" s="637">
        <v>1.4193266685486271E-3</v>
      </c>
      <c r="DP360" s="636">
        <v>0</v>
      </c>
      <c r="DQ360" s="636">
        <v>0</v>
      </c>
      <c r="DR360" s="636">
        <v>0</v>
      </c>
      <c r="DS360" s="637">
        <v>0</v>
      </c>
      <c r="DT360" s="637">
        <v>0</v>
      </c>
      <c r="DU360" s="637">
        <v>0</v>
      </c>
      <c r="DV360" s="637">
        <v>0</v>
      </c>
      <c r="DW360" s="637">
        <v>0</v>
      </c>
      <c r="DX360" s="637">
        <v>0</v>
      </c>
      <c r="DY360" s="637">
        <v>0</v>
      </c>
      <c r="DZ360" s="637">
        <v>0</v>
      </c>
      <c r="EA360" s="637">
        <v>0</v>
      </c>
      <c r="EB360" s="637">
        <v>0</v>
      </c>
      <c r="EC360" s="637">
        <v>0</v>
      </c>
      <c r="ED360" s="637">
        <v>0</v>
      </c>
    </row>
    <row r="361" spans="1:134" ht="15" x14ac:dyDescent="0.25">
      <c r="A361" s="555">
        <v>98</v>
      </c>
      <c r="B361" s="555">
        <v>101</v>
      </c>
      <c r="C361" s="555" t="s">
        <v>1344</v>
      </c>
      <c r="D361" s="812">
        <v>99709</v>
      </c>
      <c r="E361" s="812">
        <v>99709</v>
      </c>
      <c r="F361" s="630" t="s">
        <v>989</v>
      </c>
      <c r="G361" s="45">
        <v>45</v>
      </c>
      <c r="H361" s="45">
        <v>17</v>
      </c>
      <c r="I361" s="45">
        <v>16</v>
      </c>
      <c r="J361" s="45">
        <v>1</v>
      </c>
      <c r="K361" s="45">
        <v>0</v>
      </c>
      <c r="L361" s="45">
        <v>36</v>
      </c>
      <c r="M361" s="45">
        <v>36</v>
      </c>
      <c r="N361" s="45">
        <v>0</v>
      </c>
      <c r="O361" s="45">
        <v>0</v>
      </c>
      <c r="P361" s="45">
        <v>0</v>
      </c>
      <c r="Q361" s="45">
        <v>36</v>
      </c>
      <c r="R361" s="45">
        <v>0</v>
      </c>
      <c r="S361" s="45">
        <v>2361.4166666666665</v>
      </c>
      <c r="T361" s="45">
        <v>2361.4166666666665</v>
      </c>
      <c r="U361" s="45">
        <v>0</v>
      </c>
      <c r="V361" s="45">
        <v>0</v>
      </c>
      <c r="W361" s="45">
        <v>0</v>
      </c>
      <c r="X361" s="45">
        <v>2361.4166666666665</v>
      </c>
      <c r="Y361" s="45">
        <v>0</v>
      </c>
      <c r="Z361" s="45">
        <v>17</v>
      </c>
      <c r="AA361" s="45">
        <v>0</v>
      </c>
      <c r="AB361" s="508">
        <v>0</v>
      </c>
      <c r="AC361" s="508">
        <v>0</v>
      </c>
      <c r="AD361" s="631">
        <v>17</v>
      </c>
      <c r="AE361" s="632">
        <v>0</v>
      </c>
      <c r="AF361" s="632">
        <v>16</v>
      </c>
      <c r="AG361" s="633">
        <v>16</v>
      </c>
      <c r="AH361" s="632">
        <v>0</v>
      </c>
      <c r="AI361" s="632">
        <v>0</v>
      </c>
      <c r="AJ361" s="632">
        <v>16.186692715131567</v>
      </c>
      <c r="AK361" s="632">
        <v>16.186692715131567</v>
      </c>
      <c r="AL361" s="632">
        <v>0</v>
      </c>
      <c r="AM361" s="632">
        <v>0</v>
      </c>
      <c r="AN361" s="632">
        <v>15.263274062367621</v>
      </c>
      <c r="AO361" s="632">
        <v>15.263274062367621</v>
      </c>
      <c r="AP361" s="632">
        <v>0</v>
      </c>
      <c r="AQ361" s="632">
        <v>0</v>
      </c>
      <c r="AR361" s="632">
        <v>0</v>
      </c>
      <c r="AS361" s="632">
        <v>15.412295356123142</v>
      </c>
      <c r="AT361" s="632">
        <v>15.794748778135553</v>
      </c>
      <c r="AU361" s="632">
        <v>16.186692715131567</v>
      </c>
      <c r="AV361" s="632">
        <v>16.588362672585763</v>
      </c>
      <c r="AW361" s="632">
        <v>17</v>
      </c>
      <c r="AX361" s="632">
        <v>14.560470943934011</v>
      </c>
      <c r="AY361" s="632">
        <v>14.907731500614217</v>
      </c>
      <c r="AZ361" s="632">
        <v>15.263274062367621</v>
      </c>
      <c r="BA361" s="632">
        <v>15.627296151218289</v>
      </c>
      <c r="BB361" s="632">
        <v>16</v>
      </c>
      <c r="BC361" s="632">
        <v>0</v>
      </c>
      <c r="BD361" s="632">
        <v>0</v>
      </c>
      <c r="BE361" s="632">
        <v>0</v>
      </c>
      <c r="BF361" s="632">
        <v>0</v>
      </c>
      <c r="BG361" s="632">
        <v>0</v>
      </c>
      <c r="BH361" s="634">
        <v>17.08708469318994</v>
      </c>
      <c r="BI361" s="634">
        <v>17.174615488955645</v>
      </c>
      <c r="BJ361" s="634">
        <v>17.26259467251511</v>
      </c>
      <c r="BK361" s="635">
        <v>17.149100686423552</v>
      </c>
      <c r="BL361" s="635">
        <v>17.036352873495602</v>
      </c>
      <c r="BM361" s="635">
        <v>17.15865455933849</v>
      </c>
      <c r="BN361" s="635">
        <v>17.281834232534134</v>
      </c>
      <c r="BO361" s="635">
        <v>17.405898196035647</v>
      </c>
      <c r="BP361" s="635">
        <v>17.530852798044194</v>
      </c>
      <c r="BQ361" s="635">
        <v>17.656704432333825</v>
      </c>
      <c r="BR361" s="635">
        <v>17.755822550133733</v>
      </c>
      <c r="BS361" s="635">
        <v>17.855497079879811</v>
      </c>
      <c r="BT361" s="635">
        <v>17.955731145060088</v>
      </c>
      <c r="BU361" s="635">
        <v>18.056527886696681</v>
      </c>
      <c r="BV361" s="635">
        <v>18.157890463444211</v>
      </c>
      <c r="BW361" s="634">
        <v>16.081962064178768</v>
      </c>
      <c r="BX361" s="634">
        <v>16.164343989605314</v>
      </c>
      <c r="BY361" s="634">
        <v>16.247147927073044</v>
      </c>
      <c r="BZ361" s="635">
        <v>16.140330057810399</v>
      </c>
      <c r="CA361" s="635">
        <v>16.03421446917233</v>
      </c>
      <c r="CB361" s="635">
        <v>16.149321938200931</v>
      </c>
      <c r="CC361" s="635">
        <v>16.265255748267418</v>
      </c>
      <c r="CD361" s="635">
        <v>16.382021831562959</v>
      </c>
      <c r="CE361" s="635">
        <v>16.499626162865123</v>
      </c>
      <c r="CF361" s="635">
        <v>16.618074759843598</v>
      </c>
      <c r="CG361" s="635">
        <v>16.711362400125864</v>
      </c>
      <c r="CH361" s="635">
        <v>16.805173722239822</v>
      </c>
      <c r="CI361" s="635">
        <v>16.899511665938906</v>
      </c>
      <c r="CJ361" s="635">
        <v>16.994379187479229</v>
      </c>
      <c r="CK361" s="635">
        <v>17.089779259712195</v>
      </c>
      <c r="CL361" s="634">
        <v>0</v>
      </c>
      <c r="CM361" s="634">
        <v>0</v>
      </c>
      <c r="CN361" s="634">
        <v>0</v>
      </c>
      <c r="CO361" s="635">
        <v>0</v>
      </c>
      <c r="CP361" s="635">
        <v>0</v>
      </c>
      <c r="CQ361" s="635">
        <v>0</v>
      </c>
      <c r="CR361" s="635">
        <v>0</v>
      </c>
      <c r="CS361" s="635">
        <v>0</v>
      </c>
      <c r="CT361" s="635">
        <v>0</v>
      </c>
      <c r="CU361" s="635">
        <v>0</v>
      </c>
      <c r="CV361" s="635">
        <v>0</v>
      </c>
      <c r="CW361" s="635">
        <v>0</v>
      </c>
      <c r="CX361" s="635">
        <v>0</v>
      </c>
      <c r="CY361" s="635">
        <v>0</v>
      </c>
      <c r="CZ361" s="635">
        <v>0</v>
      </c>
      <c r="DA361" s="636">
        <v>0</v>
      </c>
      <c r="DB361" s="636">
        <v>0</v>
      </c>
      <c r="DC361" s="636">
        <v>0</v>
      </c>
      <c r="DD361" s="637">
        <v>0</v>
      </c>
      <c r="DE361" s="637">
        <v>0</v>
      </c>
      <c r="DF361" s="637">
        <v>0</v>
      </c>
      <c r="DG361" s="637">
        <v>0</v>
      </c>
      <c r="DH361" s="637">
        <v>0</v>
      </c>
      <c r="DI361" s="637">
        <v>0</v>
      </c>
      <c r="DJ361" s="637">
        <v>0</v>
      </c>
      <c r="DK361" s="637">
        <v>0</v>
      </c>
      <c r="DL361" s="637">
        <v>0</v>
      </c>
      <c r="DM361" s="637">
        <v>0</v>
      </c>
      <c r="DN361" s="637">
        <v>0</v>
      </c>
      <c r="DO361" s="637">
        <v>0</v>
      </c>
      <c r="DP361" s="636">
        <v>0</v>
      </c>
      <c r="DQ361" s="636">
        <v>0</v>
      </c>
      <c r="DR361" s="636">
        <v>0</v>
      </c>
      <c r="DS361" s="637">
        <v>0</v>
      </c>
      <c r="DT361" s="637">
        <v>0</v>
      </c>
      <c r="DU361" s="637">
        <v>0</v>
      </c>
      <c r="DV361" s="637">
        <v>0</v>
      </c>
      <c r="DW361" s="637">
        <v>0</v>
      </c>
      <c r="DX361" s="637">
        <v>0</v>
      </c>
      <c r="DY361" s="637">
        <v>0</v>
      </c>
      <c r="DZ361" s="637">
        <v>0</v>
      </c>
      <c r="EA361" s="637">
        <v>0</v>
      </c>
      <c r="EB361" s="637">
        <v>0</v>
      </c>
      <c r="EC361" s="637">
        <v>0</v>
      </c>
      <c r="ED361" s="637">
        <v>0</v>
      </c>
    </row>
    <row r="362" spans="1:134" ht="15" x14ac:dyDescent="0.25">
      <c r="A362" s="555">
        <v>100</v>
      </c>
      <c r="B362" s="555">
        <v>101</v>
      </c>
      <c r="C362" s="555" t="s">
        <v>1345</v>
      </c>
      <c r="D362" s="812">
        <v>99709</v>
      </c>
      <c r="E362" s="812">
        <v>99709</v>
      </c>
      <c r="F362" s="630" t="s">
        <v>311</v>
      </c>
      <c r="G362" s="45">
        <v>4</v>
      </c>
      <c r="H362" s="45">
        <v>1</v>
      </c>
      <c r="I362" s="45">
        <v>1</v>
      </c>
      <c r="J362" s="45">
        <v>0</v>
      </c>
      <c r="K362" s="45">
        <v>0</v>
      </c>
      <c r="L362" s="45">
        <v>37</v>
      </c>
      <c r="M362" s="45">
        <v>37</v>
      </c>
      <c r="N362" s="45">
        <v>0</v>
      </c>
      <c r="O362" s="45">
        <v>0</v>
      </c>
      <c r="P362" s="45">
        <v>0</v>
      </c>
      <c r="Q362" s="45">
        <v>37</v>
      </c>
      <c r="R362" s="45">
        <v>0</v>
      </c>
      <c r="S362" s="45">
        <v>2028</v>
      </c>
      <c r="T362" s="45">
        <v>2028</v>
      </c>
      <c r="U362" s="45">
        <v>0</v>
      </c>
      <c r="V362" s="45">
        <v>0</v>
      </c>
      <c r="W362" s="45">
        <v>0</v>
      </c>
      <c r="X362" s="45">
        <v>2028</v>
      </c>
      <c r="Y362" s="45">
        <v>0</v>
      </c>
      <c r="Z362" s="45">
        <v>1</v>
      </c>
      <c r="AA362" s="45">
        <v>0</v>
      </c>
      <c r="AB362" s="508">
        <v>0</v>
      </c>
      <c r="AC362" s="508">
        <v>0</v>
      </c>
      <c r="AD362" s="631">
        <v>1</v>
      </c>
      <c r="AE362" s="632">
        <v>0</v>
      </c>
      <c r="AF362" s="632">
        <v>1</v>
      </c>
      <c r="AG362" s="633">
        <v>1</v>
      </c>
      <c r="AH362" s="632">
        <v>0</v>
      </c>
      <c r="AI362" s="632">
        <v>0</v>
      </c>
      <c r="AJ362" s="632">
        <v>0.95215839500773936</v>
      </c>
      <c r="AK362" s="632">
        <v>0.95215839500773936</v>
      </c>
      <c r="AL362" s="632">
        <v>0</v>
      </c>
      <c r="AM362" s="632">
        <v>0</v>
      </c>
      <c r="AN362" s="632">
        <v>0.95395462889797633</v>
      </c>
      <c r="AO362" s="632">
        <v>0.95395462889797633</v>
      </c>
      <c r="AP362" s="632">
        <v>0</v>
      </c>
      <c r="AQ362" s="632">
        <v>0</v>
      </c>
      <c r="AR362" s="632">
        <v>0</v>
      </c>
      <c r="AS362" s="632">
        <v>0.90660560918371424</v>
      </c>
      <c r="AT362" s="632">
        <v>0.92910286930209141</v>
      </c>
      <c r="AU362" s="632">
        <v>0.95215839500773936</v>
      </c>
      <c r="AV362" s="632">
        <v>0.97578603956386833</v>
      </c>
      <c r="AW362" s="632">
        <v>1</v>
      </c>
      <c r="AX362" s="632">
        <v>0.91002943399587566</v>
      </c>
      <c r="AY362" s="632">
        <v>0.93173321878838855</v>
      </c>
      <c r="AZ362" s="632">
        <v>0.95395462889797633</v>
      </c>
      <c r="BA362" s="632">
        <v>0.97670600945114305</v>
      </c>
      <c r="BB362" s="632">
        <v>1</v>
      </c>
      <c r="BC362" s="632">
        <v>0</v>
      </c>
      <c r="BD362" s="632">
        <v>0</v>
      </c>
      <c r="BE362" s="632">
        <v>0</v>
      </c>
      <c r="BF362" s="632">
        <v>0</v>
      </c>
      <c r="BG362" s="632">
        <v>0</v>
      </c>
      <c r="BH362" s="634">
        <v>1.005122629011173</v>
      </c>
      <c r="BI362" s="634">
        <v>1.0102714993503321</v>
      </c>
      <c r="BJ362" s="634">
        <v>1.0154467454420653</v>
      </c>
      <c r="BK362" s="635">
        <v>1.0087706286131499</v>
      </c>
      <c r="BL362" s="635">
        <v>1.0021384043232706</v>
      </c>
      <c r="BM362" s="635">
        <v>1.0093326211375582</v>
      </c>
      <c r="BN362" s="635">
        <v>1.0165784842667136</v>
      </c>
      <c r="BO362" s="635">
        <v>1.0238763644726849</v>
      </c>
      <c r="BP362" s="635">
        <v>1.0312266351790702</v>
      </c>
      <c r="BQ362" s="635">
        <v>1.0386296724902249</v>
      </c>
      <c r="BR362" s="635">
        <v>1.0444601500078665</v>
      </c>
      <c r="BS362" s="635">
        <v>1.0503233576399889</v>
      </c>
      <c r="BT362" s="635">
        <v>1.0562194791211816</v>
      </c>
      <c r="BU362" s="635">
        <v>1.0621486992174518</v>
      </c>
      <c r="BV362" s="635">
        <v>1.0681112037320122</v>
      </c>
      <c r="BW362" s="634">
        <v>1.005122629011173</v>
      </c>
      <c r="BX362" s="634">
        <v>1.0102714993503321</v>
      </c>
      <c r="BY362" s="634">
        <v>1.0154467454420653</v>
      </c>
      <c r="BZ362" s="635">
        <v>1.0087706286131499</v>
      </c>
      <c r="CA362" s="635">
        <v>1.0021384043232706</v>
      </c>
      <c r="CB362" s="635">
        <v>1.0093326211375582</v>
      </c>
      <c r="CC362" s="635">
        <v>1.0165784842667136</v>
      </c>
      <c r="CD362" s="635">
        <v>1.0238763644726849</v>
      </c>
      <c r="CE362" s="635">
        <v>1.0312266351790702</v>
      </c>
      <c r="CF362" s="635">
        <v>1.0386296724902249</v>
      </c>
      <c r="CG362" s="635">
        <v>1.0444601500078665</v>
      </c>
      <c r="CH362" s="635">
        <v>1.0503233576399889</v>
      </c>
      <c r="CI362" s="635">
        <v>1.0562194791211816</v>
      </c>
      <c r="CJ362" s="635">
        <v>1.0621486992174518</v>
      </c>
      <c r="CK362" s="635">
        <v>1.0681112037320122</v>
      </c>
      <c r="CL362" s="634">
        <v>0</v>
      </c>
      <c r="CM362" s="634">
        <v>0</v>
      </c>
      <c r="CN362" s="634">
        <v>0</v>
      </c>
      <c r="CO362" s="635">
        <v>0</v>
      </c>
      <c r="CP362" s="635">
        <v>0</v>
      </c>
      <c r="CQ362" s="635">
        <v>0</v>
      </c>
      <c r="CR362" s="635">
        <v>0</v>
      </c>
      <c r="CS362" s="635">
        <v>0</v>
      </c>
      <c r="CT362" s="635">
        <v>0</v>
      </c>
      <c r="CU362" s="635">
        <v>0</v>
      </c>
      <c r="CV362" s="635">
        <v>0</v>
      </c>
      <c r="CW362" s="635">
        <v>0</v>
      </c>
      <c r="CX362" s="635">
        <v>0</v>
      </c>
      <c r="CY362" s="635">
        <v>0</v>
      </c>
      <c r="CZ362" s="635">
        <v>0</v>
      </c>
      <c r="DA362" s="636">
        <v>0</v>
      </c>
      <c r="DB362" s="636">
        <v>0</v>
      </c>
      <c r="DC362" s="636">
        <v>0</v>
      </c>
      <c r="DD362" s="637">
        <v>0</v>
      </c>
      <c r="DE362" s="637">
        <v>0</v>
      </c>
      <c r="DF362" s="637">
        <v>0</v>
      </c>
      <c r="DG362" s="637">
        <v>0</v>
      </c>
      <c r="DH362" s="637">
        <v>0</v>
      </c>
      <c r="DI362" s="637">
        <v>0</v>
      </c>
      <c r="DJ362" s="637">
        <v>0</v>
      </c>
      <c r="DK362" s="637">
        <v>0</v>
      </c>
      <c r="DL362" s="637">
        <v>0</v>
      </c>
      <c r="DM362" s="637">
        <v>0</v>
      </c>
      <c r="DN362" s="637">
        <v>0</v>
      </c>
      <c r="DO362" s="637">
        <v>0</v>
      </c>
      <c r="DP362" s="636">
        <v>0</v>
      </c>
      <c r="DQ362" s="636">
        <v>0</v>
      </c>
      <c r="DR362" s="636">
        <v>0</v>
      </c>
      <c r="DS362" s="637">
        <v>0</v>
      </c>
      <c r="DT362" s="637">
        <v>0</v>
      </c>
      <c r="DU362" s="637">
        <v>0</v>
      </c>
      <c r="DV362" s="637">
        <v>0</v>
      </c>
      <c r="DW362" s="637">
        <v>0</v>
      </c>
      <c r="DX362" s="637">
        <v>0</v>
      </c>
      <c r="DY362" s="637">
        <v>0</v>
      </c>
      <c r="DZ362" s="637">
        <v>0</v>
      </c>
      <c r="EA362" s="637">
        <v>0</v>
      </c>
      <c r="EB362" s="637">
        <v>0</v>
      </c>
      <c r="EC362" s="637">
        <v>0</v>
      </c>
      <c r="ED362" s="637">
        <v>0</v>
      </c>
    </row>
    <row r="363" spans="1:134" ht="15" x14ac:dyDescent="0.25">
      <c r="A363" s="555">
        <v>101</v>
      </c>
      <c r="B363" s="555">
        <v>101</v>
      </c>
      <c r="C363" s="555" t="s">
        <v>1346</v>
      </c>
      <c r="D363" s="812">
        <v>99709</v>
      </c>
      <c r="E363" s="812">
        <v>99709</v>
      </c>
      <c r="F363" s="630" t="s">
        <v>311</v>
      </c>
      <c r="G363" s="45">
        <v>43</v>
      </c>
      <c r="H363" s="45">
        <v>17</v>
      </c>
      <c r="I363" s="45">
        <v>15</v>
      </c>
      <c r="J363" s="45">
        <v>2</v>
      </c>
      <c r="K363" s="45">
        <v>0</v>
      </c>
      <c r="L363" s="45">
        <v>57</v>
      </c>
      <c r="M363" s="45">
        <v>57</v>
      </c>
      <c r="N363" s="45">
        <v>0</v>
      </c>
      <c r="O363" s="45">
        <v>0</v>
      </c>
      <c r="P363" s="45">
        <v>0</v>
      </c>
      <c r="Q363" s="45">
        <v>57</v>
      </c>
      <c r="R363" s="45">
        <v>0</v>
      </c>
      <c r="S363" s="45">
        <v>2176.7368421052633</v>
      </c>
      <c r="T363" s="45">
        <v>2176.7368421052633</v>
      </c>
      <c r="U363" s="45">
        <v>0</v>
      </c>
      <c r="V363" s="45">
        <v>0</v>
      </c>
      <c r="W363" s="45">
        <v>0</v>
      </c>
      <c r="X363" s="45">
        <v>2176.7368421052633</v>
      </c>
      <c r="Y363" s="45">
        <v>0</v>
      </c>
      <c r="Z363" s="45">
        <v>17</v>
      </c>
      <c r="AA363" s="45">
        <v>0</v>
      </c>
      <c r="AB363" s="508">
        <v>0</v>
      </c>
      <c r="AC363" s="508">
        <v>0</v>
      </c>
      <c r="AD363" s="631">
        <v>17</v>
      </c>
      <c r="AE363" s="632">
        <v>0</v>
      </c>
      <c r="AF363" s="632">
        <v>15</v>
      </c>
      <c r="AG363" s="633">
        <v>15</v>
      </c>
      <c r="AH363" s="632">
        <v>0</v>
      </c>
      <c r="AI363" s="632">
        <v>0</v>
      </c>
      <c r="AJ363" s="632">
        <v>16.186692715131567</v>
      </c>
      <c r="AK363" s="632">
        <v>16.186692715131567</v>
      </c>
      <c r="AL363" s="632">
        <v>0</v>
      </c>
      <c r="AM363" s="632">
        <v>0</v>
      </c>
      <c r="AN363" s="632">
        <v>14.309319433469645</v>
      </c>
      <c r="AO363" s="632">
        <v>14.309319433469645</v>
      </c>
      <c r="AP363" s="632">
        <v>0</v>
      </c>
      <c r="AQ363" s="632">
        <v>0</v>
      </c>
      <c r="AR363" s="632">
        <v>0</v>
      </c>
      <c r="AS363" s="632">
        <v>15.412295356123142</v>
      </c>
      <c r="AT363" s="632">
        <v>15.794748778135553</v>
      </c>
      <c r="AU363" s="632">
        <v>16.186692715131567</v>
      </c>
      <c r="AV363" s="632">
        <v>16.588362672585763</v>
      </c>
      <c r="AW363" s="632">
        <v>17</v>
      </c>
      <c r="AX363" s="632">
        <v>13.650441509938135</v>
      </c>
      <c r="AY363" s="632">
        <v>13.975998281825829</v>
      </c>
      <c r="AZ363" s="632">
        <v>14.309319433469645</v>
      </c>
      <c r="BA363" s="632">
        <v>14.650590141767145</v>
      </c>
      <c r="BB363" s="632">
        <v>15</v>
      </c>
      <c r="BC363" s="632">
        <v>0</v>
      </c>
      <c r="BD363" s="632">
        <v>0</v>
      </c>
      <c r="BE363" s="632">
        <v>0</v>
      </c>
      <c r="BF363" s="632">
        <v>0</v>
      </c>
      <c r="BG363" s="632">
        <v>0</v>
      </c>
      <c r="BH363" s="634">
        <v>17.08708469318994</v>
      </c>
      <c r="BI363" s="634">
        <v>17.174615488955645</v>
      </c>
      <c r="BJ363" s="634">
        <v>17.26259467251511</v>
      </c>
      <c r="BK363" s="635">
        <v>17.149100686423552</v>
      </c>
      <c r="BL363" s="635">
        <v>17.036352873495602</v>
      </c>
      <c r="BM363" s="635">
        <v>17.15865455933849</v>
      </c>
      <c r="BN363" s="635">
        <v>17.281834232534134</v>
      </c>
      <c r="BO363" s="635">
        <v>17.405898196035647</v>
      </c>
      <c r="BP363" s="635">
        <v>17.530852798044194</v>
      </c>
      <c r="BQ363" s="635">
        <v>17.656704432333825</v>
      </c>
      <c r="BR363" s="635">
        <v>17.755822550133733</v>
      </c>
      <c r="BS363" s="635">
        <v>17.855497079879811</v>
      </c>
      <c r="BT363" s="635">
        <v>17.955731145060088</v>
      </c>
      <c r="BU363" s="635">
        <v>18.056527886696681</v>
      </c>
      <c r="BV363" s="635">
        <v>18.157890463444211</v>
      </c>
      <c r="BW363" s="634">
        <v>15.076839435167596</v>
      </c>
      <c r="BX363" s="634">
        <v>15.154072490254983</v>
      </c>
      <c r="BY363" s="634">
        <v>15.231701181630978</v>
      </c>
      <c r="BZ363" s="635">
        <v>15.13155942919725</v>
      </c>
      <c r="CA363" s="635">
        <v>15.032076064849059</v>
      </c>
      <c r="CB363" s="635">
        <v>15.139989317063373</v>
      </c>
      <c r="CC363" s="635">
        <v>15.248677264000703</v>
      </c>
      <c r="CD363" s="635">
        <v>15.358145467090274</v>
      </c>
      <c r="CE363" s="635">
        <v>15.468399527686051</v>
      </c>
      <c r="CF363" s="635">
        <v>15.579445087353374</v>
      </c>
      <c r="CG363" s="635">
        <v>15.666902250117996</v>
      </c>
      <c r="CH363" s="635">
        <v>15.754850364599832</v>
      </c>
      <c r="CI363" s="635">
        <v>15.843292186817724</v>
      </c>
      <c r="CJ363" s="635">
        <v>15.932230488261775</v>
      </c>
      <c r="CK363" s="635">
        <v>16.021668055980182</v>
      </c>
      <c r="CL363" s="634">
        <v>0</v>
      </c>
      <c r="CM363" s="634">
        <v>0</v>
      </c>
      <c r="CN363" s="634">
        <v>0</v>
      </c>
      <c r="CO363" s="635">
        <v>0</v>
      </c>
      <c r="CP363" s="635">
        <v>0</v>
      </c>
      <c r="CQ363" s="635">
        <v>0</v>
      </c>
      <c r="CR363" s="635">
        <v>0</v>
      </c>
      <c r="CS363" s="635">
        <v>0</v>
      </c>
      <c r="CT363" s="635">
        <v>0</v>
      </c>
      <c r="CU363" s="635">
        <v>0</v>
      </c>
      <c r="CV363" s="635">
        <v>0</v>
      </c>
      <c r="CW363" s="635">
        <v>0</v>
      </c>
      <c r="CX363" s="635">
        <v>0</v>
      </c>
      <c r="CY363" s="635">
        <v>0</v>
      </c>
      <c r="CZ363" s="635">
        <v>0</v>
      </c>
      <c r="DA363" s="636">
        <v>0</v>
      </c>
      <c r="DB363" s="636">
        <v>0</v>
      </c>
      <c r="DC363" s="636">
        <v>0</v>
      </c>
      <c r="DD363" s="637">
        <v>0</v>
      </c>
      <c r="DE363" s="637">
        <v>0</v>
      </c>
      <c r="DF363" s="637">
        <v>0</v>
      </c>
      <c r="DG363" s="637">
        <v>0</v>
      </c>
      <c r="DH363" s="637">
        <v>0</v>
      </c>
      <c r="DI363" s="637">
        <v>0</v>
      </c>
      <c r="DJ363" s="637">
        <v>0</v>
      </c>
      <c r="DK363" s="637">
        <v>0</v>
      </c>
      <c r="DL363" s="637">
        <v>0</v>
      </c>
      <c r="DM363" s="637">
        <v>0</v>
      </c>
      <c r="DN363" s="637">
        <v>0</v>
      </c>
      <c r="DO363" s="637">
        <v>0</v>
      </c>
      <c r="DP363" s="636">
        <v>0</v>
      </c>
      <c r="DQ363" s="636">
        <v>0</v>
      </c>
      <c r="DR363" s="636">
        <v>0</v>
      </c>
      <c r="DS363" s="637">
        <v>0</v>
      </c>
      <c r="DT363" s="637">
        <v>0</v>
      </c>
      <c r="DU363" s="637">
        <v>0</v>
      </c>
      <c r="DV363" s="637">
        <v>0</v>
      </c>
      <c r="DW363" s="637">
        <v>0</v>
      </c>
      <c r="DX363" s="637">
        <v>0</v>
      </c>
      <c r="DY363" s="637">
        <v>0</v>
      </c>
      <c r="DZ363" s="637">
        <v>0</v>
      </c>
      <c r="EA363" s="637">
        <v>0</v>
      </c>
      <c r="EB363" s="637">
        <v>0</v>
      </c>
      <c r="EC363" s="637">
        <v>0</v>
      </c>
      <c r="ED363" s="637">
        <v>0</v>
      </c>
    </row>
    <row r="364" spans="1:134" ht="15" x14ac:dyDescent="0.25">
      <c r="A364" s="555">
        <v>104</v>
      </c>
      <c r="B364" s="555">
        <v>101</v>
      </c>
      <c r="C364" s="555" t="s">
        <v>1347</v>
      </c>
      <c r="D364" s="812">
        <v>99709</v>
      </c>
      <c r="E364" s="812">
        <v>99709</v>
      </c>
      <c r="F364" s="630" t="s">
        <v>311</v>
      </c>
      <c r="G364" s="45">
        <v>74</v>
      </c>
      <c r="H364" s="45">
        <v>33</v>
      </c>
      <c r="I364" s="45">
        <v>31</v>
      </c>
      <c r="J364" s="45">
        <v>2</v>
      </c>
      <c r="K364" s="45">
        <v>1</v>
      </c>
      <c r="L364" s="45">
        <v>110</v>
      </c>
      <c r="M364" s="45">
        <v>111</v>
      </c>
      <c r="N364" s="45">
        <v>3</v>
      </c>
      <c r="O364" s="45">
        <v>0</v>
      </c>
      <c r="P364" s="45">
        <v>0</v>
      </c>
      <c r="Q364" s="45">
        <v>114</v>
      </c>
      <c r="R364" s="45">
        <v>3452</v>
      </c>
      <c r="S364" s="45">
        <v>2332.909090909091</v>
      </c>
      <c r="T364" s="45">
        <v>2342.9909909909911</v>
      </c>
      <c r="U364" s="45">
        <v>5083.333333333333</v>
      </c>
      <c r="V364" s="45">
        <v>0</v>
      </c>
      <c r="W364" s="45">
        <v>0</v>
      </c>
      <c r="X364" s="45">
        <v>2415.1052631578946</v>
      </c>
      <c r="Y364" s="45">
        <v>0.29729729729729731</v>
      </c>
      <c r="Z364" s="45">
        <v>32.702702702702702</v>
      </c>
      <c r="AA364" s="45">
        <v>0</v>
      </c>
      <c r="AB364" s="508">
        <v>3</v>
      </c>
      <c r="AC364" s="508">
        <v>0</v>
      </c>
      <c r="AD364" s="631">
        <v>36</v>
      </c>
      <c r="AE364" s="632">
        <v>0.27927927927927931</v>
      </c>
      <c r="AF364" s="632">
        <v>30.72072072072072</v>
      </c>
      <c r="AG364" s="633">
        <v>31</v>
      </c>
      <c r="AH364" s="632">
        <v>0</v>
      </c>
      <c r="AI364" s="632">
        <v>0.28307411743473332</v>
      </c>
      <c r="AJ364" s="632">
        <v>31.138152917820666</v>
      </c>
      <c r="AK364" s="632">
        <v>31.421227035255399</v>
      </c>
      <c r="AL364" s="632">
        <v>0</v>
      </c>
      <c r="AM364" s="632">
        <v>0.26641976122375921</v>
      </c>
      <c r="AN364" s="632">
        <v>29.306173734613505</v>
      </c>
      <c r="AO364" s="632">
        <v>29.572593495837264</v>
      </c>
      <c r="AP364" s="632">
        <v>0</v>
      </c>
      <c r="AQ364" s="632">
        <v>2.8789972155037225</v>
      </c>
      <c r="AR364" s="632">
        <v>0</v>
      </c>
      <c r="AS364" s="632">
        <v>29.91798510306257</v>
      </c>
      <c r="AT364" s="632">
        <v>30.660394686969013</v>
      </c>
      <c r="AU364" s="632">
        <v>31.421227035255399</v>
      </c>
      <c r="AV364" s="632">
        <v>32.200939305607655</v>
      </c>
      <c r="AW364" s="632">
        <v>33</v>
      </c>
      <c r="AX364" s="632">
        <v>28.210912453872144</v>
      </c>
      <c r="AY364" s="632">
        <v>28.883729782440046</v>
      </c>
      <c r="AZ364" s="632">
        <v>29.572593495837264</v>
      </c>
      <c r="BA364" s="632">
        <v>30.277886292985432</v>
      </c>
      <c r="BB364" s="632">
        <v>31</v>
      </c>
      <c r="BC364" s="632">
        <v>2.7628749889593962</v>
      </c>
      <c r="BD364" s="632">
        <v>2.8203385257800138</v>
      </c>
      <c r="BE364" s="632">
        <v>2.8789972155037225</v>
      </c>
      <c r="BF364" s="632">
        <v>2.9388759154668591</v>
      </c>
      <c r="BG364" s="632">
        <v>3</v>
      </c>
      <c r="BH364" s="634">
        <v>33.169046757368712</v>
      </c>
      <c r="BI364" s="634">
        <v>33.338959478560959</v>
      </c>
      <c r="BJ364" s="634">
        <v>33.509742599588151</v>
      </c>
      <c r="BK364" s="635">
        <v>33.289430744233947</v>
      </c>
      <c r="BL364" s="635">
        <v>33.070567342667928</v>
      </c>
      <c r="BM364" s="635">
        <v>33.307976497539414</v>
      </c>
      <c r="BN364" s="635">
        <v>33.547089980801545</v>
      </c>
      <c r="BO364" s="635">
        <v>33.787920027598602</v>
      </c>
      <c r="BP364" s="635">
        <v>34.030478960909313</v>
      </c>
      <c r="BQ364" s="635">
        <v>34.274779192177419</v>
      </c>
      <c r="BR364" s="635">
        <v>34.467184950259593</v>
      </c>
      <c r="BS364" s="635">
        <v>34.660670802119625</v>
      </c>
      <c r="BT364" s="635">
        <v>34.855242810998995</v>
      </c>
      <c r="BU364" s="635">
        <v>35.050907074175903</v>
      </c>
      <c r="BV364" s="635">
        <v>35.247669723156406</v>
      </c>
      <c r="BW364" s="634">
        <v>31.158801499346364</v>
      </c>
      <c r="BX364" s="634">
        <v>31.318416479860296</v>
      </c>
      <c r="BY364" s="634">
        <v>31.478849108704022</v>
      </c>
      <c r="BZ364" s="635">
        <v>31.271889487007648</v>
      </c>
      <c r="CA364" s="635">
        <v>31.066290534021391</v>
      </c>
      <c r="CB364" s="635">
        <v>31.289311255264302</v>
      </c>
      <c r="CC364" s="635">
        <v>31.513933012268122</v>
      </c>
      <c r="CD364" s="635">
        <v>31.740167298653233</v>
      </c>
      <c r="CE364" s="635">
        <v>31.968025690551176</v>
      </c>
      <c r="CF364" s="635">
        <v>32.197519847196972</v>
      </c>
      <c r="CG364" s="635">
        <v>32.378264650243857</v>
      </c>
      <c r="CH364" s="635">
        <v>32.560024086839654</v>
      </c>
      <c r="CI364" s="635">
        <v>32.74280385275663</v>
      </c>
      <c r="CJ364" s="635">
        <v>32.926609675741005</v>
      </c>
      <c r="CK364" s="635">
        <v>33.111447315692381</v>
      </c>
      <c r="CL364" s="634">
        <v>3.015367887033519</v>
      </c>
      <c r="CM364" s="634">
        <v>3.0308144980509963</v>
      </c>
      <c r="CN364" s="634">
        <v>3.0463402363261958</v>
      </c>
      <c r="CO364" s="635">
        <v>3.02631188583945</v>
      </c>
      <c r="CP364" s="635">
        <v>3.0064152129698121</v>
      </c>
      <c r="CQ364" s="635">
        <v>3.0279978634126747</v>
      </c>
      <c r="CR364" s="635">
        <v>3.049735452800141</v>
      </c>
      <c r="CS364" s="635">
        <v>3.0716290934180548</v>
      </c>
      <c r="CT364" s="635">
        <v>3.0936799055372104</v>
      </c>
      <c r="CU364" s="635">
        <v>3.1158890174706748</v>
      </c>
      <c r="CV364" s="635">
        <v>3.1333804500235996</v>
      </c>
      <c r="CW364" s="635">
        <v>3.1509700729199666</v>
      </c>
      <c r="CX364" s="635">
        <v>3.1686584373635451</v>
      </c>
      <c r="CY364" s="635">
        <v>3.1864460976523552</v>
      </c>
      <c r="CZ364" s="635">
        <v>3.204333611196037</v>
      </c>
      <c r="DA364" s="636">
        <v>0</v>
      </c>
      <c r="DB364" s="636">
        <v>0</v>
      </c>
      <c r="DC364" s="636">
        <v>0</v>
      </c>
      <c r="DD364" s="637">
        <v>0</v>
      </c>
      <c r="DE364" s="637">
        <v>0</v>
      </c>
      <c r="DF364" s="637">
        <v>0</v>
      </c>
      <c r="DG364" s="637">
        <v>0</v>
      </c>
      <c r="DH364" s="637">
        <v>0</v>
      </c>
      <c r="DI364" s="637">
        <v>0</v>
      </c>
      <c r="DJ364" s="637">
        <v>0</v>
      </c>
      <c r="DK364" s="637">
        <v>0</v>
      </c>
      <c r="DL364" s="637">
        <v>0</v>
      </c>
      <c r="DM364" s="637">
        <v>0</v>
      </c>
      <c r="DN364" s="637">
        <v>0</v>
      </c>
      <c r="DO364" s="637">
        <v>0</v>
      </c>
      <c r="DP364" s="636">
        <v>0</v>
      </c>
      <c r="DQ364" s="636">
        <v>0</v>
      </c>
      <c r="DR364" s="636">
        <v>0</v>
      </c>
      <c r="DS364" s="637">
        <v>0</v>
      </c>
      <c r="DT364" s="637">
        <v>0</v>
      </c>
      <c r="DU364" s="637">
        <v>0</v>
      </c>
      <c r="DV364" s="637">
        <v>0</v>
      </c>
      <c r="DW364" s="637">
        <v>0</v>
      </c>
      <c r="DX364" s="637">
        <v>0</v>
      </c>
      <c r="DY364" s="637">
        <v>0</v>
      </c>
      <c r="DZ364" s="637">
        <v>0</v>
      </c>
      <c r="EA364" s="637">
        <v>0</v>
      </c>
      <c r="EB364" s="637">
        <v>0</v>
      </c>
      <c r="EC364" s="637">
        <v>0</v>
      </c>
      <c r="ED364" s="637">
        <v>0</v>
      </c>
    </row>
    <row r="365" spans="1:134" ht="15" x14ac:dyDescent="0.25">
      <c r="A365" s="555">
        <v>106</v>
      </c>
      <c r="B365" s="555">
        <v>101</v>
      </c>
      <c r="C365" s="555" t="s">
        <v>1348</v>
      </c>
      <c r="D365" s="812">
        <v>99709</v>
      </c>
      <c r="E365" s="812">
        <v>99709</v>
      </c>
      <c r="F365" s="630" t="s">
        <v>311</v>
      </c>
      <c r="G365" s="45">
        <v>274</v>
      </c>
      <c r="H365" s="45">
        <v>157</v>
      </c>
      <c r="I365" s="45">
        <v>134</v>
      </c>
      <c r="J365" s="45">
        <v>23</v>
      </c>
      <c r="K365" s="45">
        <v>0</v>
      </c>
      <c r="L365" s="45">
        <v>1</v>
      </c>
      <c r="M365" s="45">
        <v>1</v>
      </c>
      <c r="N365" s="45">
        <v>0</v>
      </c>
      <c r="O365" s="45">
        <v>0</v>
      </c>
      <c r="P365" s="45">
        <v>0</v>
      </c>
      <c r="Q365" s="45">
        <v>1</v>
      </c>
      <c r="R365" s="45">
        <v>0</v>
      </c>
      <c r="S365" s="45">
        <v>3292</v>
      </c>
      <c r="T365" s="45">
        <v>3292</v>
      </c>
      <c r="U365" s="45">
        <v>0</v>
      </c>
      <c r="V365" s="45">
        <v>0</v>
      </c>
      <c r="W365" s="45">
        <v>0</v>
      </c>
      <c r="X365" s="45">
        <v>3292</v>
      </c>
      <c r="Y365" s="45">
        <v>0</v>
      </c>
      <c r="Z365" s="45">
        <v>157</v>
      </c>
      <c r="AA365" s="45">
        <v>0</v>
      </c>
      <c r="AB365" s="508">
        <v>0</v>
      </c>
      <c r="AC365" s="508">
        <v>0</v>
      </c>
      <c r="AD365" s="631">
        <v>157</v>
      </c>
      <c r="AE365" s="632">
        <v>0</v>
      </c>
      <c r="AF365" s="632">
        <v>134</v>
      </c>
      <c r="AG365" s="633">
        <v>134</v>
      </c>
      <c r="AH365" s="632">
        <v>0</v>
      </c>
      <c r="AI365" s="632">
        <v>0</v>
      </c>
      <c r="AJ365" s="632">
        <v>149.48886801621506</v>
      </c>
      <c r="AK365" s="632">
        <v>149.48886801621506</v>
      </c>
      <c r="AL365" s="632">
        <v>0</v>
      </c>
      <c r="AM365" s="632">
        <v>0</v>
      </c>
      <c r="AN365" s="632">
        <v>127.82992027232882</v>
      </c>
      <c r="AO365" s="632">
        <v>127.82992027232882</v>
      </c>
      <c r="AP365" s="632">
        <v>0</v>
      </c>
      <c r="AQ365" s="632">
        <v>0</v>
      </c>
      <c r="AR365" s="632">
        <v>0</v>
      </c>
      <c r="AS365" s="632">
        <v>142.33708064184313</v>
      </c>
      <c r="AT365" s="632">
        <v>145.86915048042835</v>
      </c>
      <c r="AU365" s="632">
        <v>149.48886801621506</v>
      </c>
      <c r="AV365" s="632">
        <v>153.19840821152732</v>
      </c>
      <c r="AW365" s="632">
        <v>157</v>
      </c>
      <c r="AX365" s="632">
        <v>121.94394415544734</v>
      </c>
      <c r="AY365" s="632">
        <v>124.85225131764406</v>
      </c>
      <c r="AZ365" s="632">
        <v>127.82992027232882</v>
      </c>
      <c r="BA365" s="632">
        <v>130.87860526645315</v>
      </c>
      <c r="BB365" s="632">
        <v>134</v>
      </c>
      <c r="BC365" s="632">
        <v>0</v>
      </c>
      <c r="BD365" s="632">
        <v>0</v>
      </c>
      <c r="BE365" s="632">
        <v>0</v>
      </c>
      <c r="BF365" s="632">
        <v>0</v>
      </c>
      <c r="BG365" s="632">
        <v>0</v>
      </c>
      <c r="BH365" s="634">
        <v>157.80425275475417</v>
      </c>
      <c r="BI365" s="634">
        <v>158.61262539800214</v>
      </c>
      <c r="BJ365" s="634">
        <v>159.42513903440425</v>
      </c>
      <c r="BK365" s="635">
        <v>158.37698869226455</v>
      </c>
      <c r="BL365" s="635">
        <v>157.33572947875351</v>
      </c>
      <c r="BM365" s="635">
        <v>158.46522151859665</v>
      </c>
      <c r="BN365" s="635">
        <v>159.60282202987403</v>
      </c>
      <c r="BO365" s="635">
        <v>160.74858922221156</v>
      </c>
      <c r="BP365" s="635">
        <v>161.90258172311403</v>
      </c>
      <c r="BQ365" s="635">
        <v>163.06485858096534</v>
      </c>
      <c r="BR365" s="635">
        <v>163.98024355123505</v>
      </c>
      <c r="BS365" s="635">
        <v>164.90076714947824</v>
      </c>
      <c r="BT365" s="635">
        <v>165.82645822202554</v>
      </c>
      <c r="BU365" s="635">
        <v>166.75734577713993</v>
      </c>
      <c r="BV365" s="635">
        <v>167.69345898592593</v>
      </c>
      <c r="BW365" s="634">
        <v>134.68643228749718</v>
      </c>
      <c r="BX365" s="634">
        <v>135.37638091294451</v>
      </c>
      <c r="BY365" s="634">
        <v>136.06986388923676</v>
      </c>
      <c r="BZ365" s="635">
        <v>135.17526423416211</v>
      </c>
      <c r="CA365" s="635">
        <v>134.28654617931829</v>
      </c>
      <c r="CB365" s="635">
        <v>135.2505712324328</v>
      </c>
      <c r="CC365" s="635">
        <v>136.22151689173964</v>
      </c>
      <c r="CD365" s="635">
        <v>137.19943283933981</v>
      </c>
      <c r="CE365" s="635">
        <v>138.18436911399542</v>
      </c>
      <c r="CF365" s="635">
        <v>139.17637611369017</v>
      </c>
      <c r="CG365" s="635">
        <v>139.95766010105413</v>
      </c>
      <c r="CH365" s="635">
        <v>140.74332992375852</v>
      </c>
      <c r="CI365" s="635">
        <v>141.53341020223837</v>
      </c>
      <c r="CJ365" s="635">
        <v>142.32792569513853</v>
      </c>
      <c r="CK365" s="635">
        <v>143.12690130008966</v>
      </c>
      <c r="CL365" s="634">
        <v>0</v>
      </c>
      <c r="CM365" s="634">
        <v>0</v>
      </c>
      <c r="CN365" s="634">
        <v>0</v>
      </c>
      <c r="CO365" s="635">
        <v>0</v>
      </c>
      <c r="CP365" s="635">
        <v>0</v>
      </c>
      <c r="CQ365" s="635">
        <v>0</v>
      </c>
      <c r="CR365" s="635">
        <v>0</v>
      </c>
      <c r="CS365" s="635">
        <v>0</v>
      </c>
      <c r="CT365" s="635">
        <v>0</v>
      </c>
      <c r="CU365" s="635">
        <v>0</v>
      </c>
      <c r="CV365" s="635">
        <v>0</v>
      </c>
      <c r="CW365" s="635">
        <v>0</v>
      </c>
      <c r="CX365" s="635">
        <v>0</v>
      </c>
      <c r="CY365" s="635">
        <v>0</v>
      </c>
      <c r="CZ365" s="635">
        <v>0</v>
      </c>
      <c r="DA365" s="636">
        <v>0</v>
      </c>
      <c r="DB365" s="636">
        <v>0</v>
      </c>
      <c r="DC365" s="636">
        <v>0</v>
      </c>
      <c r="DD365" s="637">
        <v>0</v>
      </c>
      <c r="DE365" s="637">
        <v>0</v>
      </c>
      <c r="DF365" s="637">
        <v>0</v>
      </c>
      <c r="DG365" s="637">
        <v>0</v>
      </c>
      <c r="DH365" s="637">
        <v>0</v>
      </c>
      <c r="DI365" s="637">
        <v>0</v>
      </c>
      <c r="DJ365" s="637">
        <v>0</v>
      </c>
      <c r="DK365" s="637">
        <v>0</v>
      </c>
      <c r="DL365" s="637">
        <v>0</v>
      </c>
      <c r="DM365" s="637">
        <v>0</v>
      </c>
      <c r="DN365" s="637">
        <v>0</v>
      </c>
      <c r="DO365" s="637">
        <v>0</v>
      </c>
      <c r="DP365" s="636">
        <v>0</v>
      </c>
      <c r="DQ365" s="636">
        <v>0</v>
      </c>
      <c r="DR365" s="636">
        <v>0</v>
      </c>
      <c r="DS365" s="637">
        <v>0</v>
      </c>
      <c r="DT365" s="637">
        <v>0</v>
      </c>
      <c r="DU365" s="637">
        <v>0</v>
      </c>
      <c r="DV365" s="637">
        <v>0</v>
      </c>
      <c r="DW365" s="637">
        <v>0</v>
      </c>
      <c r="DX365" s="637">
        <v>0</v>
      </c>
      <c r="DY365" s="637">
        <v>0</v>
      </c>
      <c r="DZ365" s="637">
        <v>0</v>
      </c>
      <c r="EA365" s="637">
        <v>0</v>
      </c>
      <c r="EB365" s="637">
        <v>0</v>
      </c>
      <c r="EC365" s="637">
        <v>0</v>
      </c>
      <c r="ED365" s="637">
        <v>0</v>
      </c>
    </row>
    <row r="366" spans="1:134" ht="15" x14ac:dyDescent="0.25">
      <c r="A366" s="555">
        <v>109</v>
      </c>
      <c r="B366" s="555">
        <v>101</v>
      </c>
      <c r="C366" s="555" t="s">
        <v>1349</v>
      </c>
      <c r="D366" s="812">
        <v>99712</v>
      </c>
      <c r="E366" s="812">
        <v>99712</v>
      </c>
      <c r="F366" s="630" t="s">
        <v>311</v>
      </c>
      <c r="G366" s="45">
        <v>430</v>
      </c>
      <c r="H366" s="45">
        <v>186</v>
      </c>
      <c r="I366" s="45">
        <v>173</v>
      </c>
      <c r="J366" s="45">
        <v>13</v>
      </c>
      <c r="K366" s="45">
        <v>0</v>
      </c>
      <c r="L366" s="45">
        <v>30</v>
      </c>
      <c r="M366" s="45">
        <v>30</v>
      </c>
      <c r="N366" s="45">
        <v>2</v>
      </c>
      <c r="O366" s="45">
        <v>0</v>
      </c>
      <c r="P366" s="45">
        <v>0</v>
      </c>
      <c r="Q366" s="45">
        <v>32</v>
      </c>
      <c r="R366" s="45">
        <v>0</v>
      </c>
      <c r="S366" s="45">
        <v>1849.4</v>
      </c>
      <c r="T366" s="45">
        <v>1849.4</v>
      </c>
      <c r="U366" s="45">
        <v>424</v>
      </c>
      <c r="V366" s="45">
        <v>0</v>
      </c>
      <c r="W366" s="45">
        <v>0</v>
      </c>
      <c r="X366" s="45">
        <v>1760.3125</v>
      </c>
      <c r="Y366" s="45">
        <v>0</v>
      </c>
      <c r="Z366" s="45">
        <v>186</v>
      </c>
      <c r="AA366" s="45">
        <v>0</v>
      </c>
      <c r="AB366" s="508">
        <v>2</v>
      </c>
      <c r="AC366" s="508">
        <v>0</v>
      </c>
      <c r="AD366" s="631">
        <v>188</v>
      </c>
      <c r="AE366" s="632">
        <v>0</v>
      </c>
      <c r="AF366" s="632">
        <v>173</v>
      </c>
      <c r="AG366" s="633">
        <v>173</v>
      </c>
      <c r="AH366" s="632">
        <v>0</v>
      </c>
      <c r="AI366" s="632">
        <v>0</v>
      </c>
      <c r="AJ366" s="632">
        <v>169.09524959710731</v>
      </c>
      <c r="AK366" s="632">
        <v>169.09524959710731</v>
      </c>
      <c r="AL366" s="632">
        <v>0</v>
      </c>
      <c r="AM366" s="632">
        <v>0</v>
      </c>
      <c r="AN366" s="632">
        <v>157.8545610971083</v>
      </c>
      <c r="AO366" s="632">
        <v>157.8545610971083</v>
      </c>
      <c r="AP366" s="632">
        <v>0</v>
      </c>
      <c r="AQ366" s="632">
        <v>1.8596827016276773</v>
      </c>
      <c r="AR366" s="632">
        <v>0</v>
      </c>
      <c r="AS366" s="632">
        <v>153.72690019520442</v>
      </c>
      <c r="AT366" s="632">
        <v>161.22806380496448</v>
      </c>
      <c r="AU366" s="632">
        <v>169.09524959710731</v>
      </c>
      <c r="AV366" s="632">
        <v>177.34631776572627</v>
      </c>
      <c r="AW366" s="632">
        <v>186</v>
      </c>
      <c r="AX366" s="632">
        <v>144.03504311653583</v>
      </c>
      <c r="AY366" s="632">
        <v>150.78656609182343</v>
      </c>
      <c r="AZ366" s="632">
        <v>157.8545610971083</v>
      </c>
      <c r="BA366" s="632">
        <v>165.25386249585739</v>
      </c>
      <c r="BB366" s="632">
        <v>173</v>
      </c>
      <c r="BC366" s="632">
        <v>1.7292098753666085</v>
      </c>
      <c r="BD366" s="632">
        <v>1.7932600739165065</v>
      </c>
      <c r="BE366" s="632">
        <v>1.8596827016276773</v>
      </c>
      <c r="BF366" s="632">
        <v>1.9285656336395076</v>
      </c>
      <c r="BG366" s="632">
        <v>2</v>
      </c>
      <c r="BH366" s="634">
        <v>190.56028388779657</v>
      </c>
      <c r="BI366" s="634">
        <v>195.23237524407324</v>
      </c>
      <c r="BJ366" s="634">
        <v>200.01901532580334</v>
      </c>
      <c r="BK366" s="635">
        <v>198.7039780574153</v>
      </c>
      <c r="BL366" s="635">
        <v>197.39758658210064</v>
      </c>
      <c r="BM366" s="635">
        <v>198.81467730565964</v>
      </c>
      <c r="BN366" s="635">
        <v>200.24194113292049</v>
      </c>
      <c r="BO366" s="635">
        <v>201.67945109522637</v>
      </c>
      <c r="BP366" s="635">
        <v>203.12728074820262</v>
      </c>
      <c r="BQ366" s="635">
        <v>204.58550417552055</v>
      </c>
      <c r="BR366" s="635">
        <v>205.73397048081182</v>
      </c>
      <c r="BS366" s="635">
        <v>206.88888384529093</v>
      </c>
      <c r="BT366" s="635">
        <v>208.05028046033064</v>
      </c>
      <c r="BU366" s="635">
        <v>209.21819672046854</v>
      </c>
      <c r="BV366" s="635">
        <v>210.3926692245474</v>
      </c>
      <c r="BW366" s="634">
        <v>177.24155436875702</v>
      </c>
      <c r="BX366" s="634">
        <v>181.58710170550899</v>
      </c>
      <c r="BY366" s="634">
        <v>186.03919167399988</v>
      </c>
      <c r="BZ366" s="635">
        <v>184.81606561254219</v>
      </c>
      <c r="CA366" s="635">
        <v>183.6009810682979</v>
      </c>
      <c r="CB366" s="635">
        <v>184.9190278165544</v>
      </c>
      <c r="CC366" s="635">
        <v>186.24653664513571</v>
      </c>
      <c r="CD366" s="635">
        <v>187.58357548104388</v>
      </c>
      <c r="CE366" s="635">
        <v>188.93021273891966</v>
      </c>
      <c r="CF366" s="635">
        <v>190.28651732454333</v>
      </c>
      <c r="CG366" s="635">
        <v>191.35471447946477</v>
      </c>
      <c r="CH366" s="635">
        <v>192.42890809266308</v>
      </c>
      <c r="CI366" s="635">
        <v>193.50913182600647</v>
      </c>
      <c r="CJ366" s="635">
        <v>194.59541953032829</v>
      </c>
      <c r="CK366" s="635">
        <v>195.68780524648764</v>
      </c>
      <c r="CL366" s="634">
        <v>2.0490353106214685</v>
      </c>
      <c r="CM366" s="634">
        <v>2.0992728520868091</v>
      </c>
      <c r="CN366" s="634">
        <v>2.1507421002774554</v>
      </c>
      <c r="CO366" s="635">
        <v>2.1366019145958637</v>
      </c>
      <c r="CP366" s="635">
        <v>2.1225546944311899</v>
      </c>
      <c r="CQ366" s="635">
        <v>2.1377922290931144</v>
      </c>
      <c r="CR366" s="635">
        <v>2.153139151966887</v>
      </c>
      <c r="CS366" s="635">
        <v>2.1685962483357675</v>
      </c>
      <c r="CT366" s="635">
        <v>2.1841643091204586</v>
      </c>
      <c r="CU366" s="635">
        <v>2.1998441309195762</v>
      </c>
      <c r="CV366" s="635">
        <v>2.2121932309764714</v>
      </c>
      <c r="CW366" s="635">
        <v>2.2246116542504404</v>
      </c>
      <c r="CX366" s="635">
        <v>2.2370997898960288</v>
      </c>
      <c r="CY366" s="635">
        <v>2.24965802925235</v>
      </c>
      <c r="CZ366" s="635">
        <v>2.2622867658553485</v>
      </c>
      <c r="DA366" s="636">
        <v>0</v>
      </c>
      <c r="DB366" s="636">
        <v>0</v>
      </c>
      <c r="DC366" s="636">
        <v>0</v>
      </c>
      <c r="DD366" s="637">
        <v>0</v>
      </c>
      <c r="DE366" s="637">
        <v>0</v>
      </c>
      <c r="DF366" s="637">
        <v>0</v>
      </c>
      <c r="DG366" s="637">
        <v>0</v>
      </c>
      <c r="DH366" s="637">
        <v>0</v>
      </c>
      <c r="DI366" s="637">
        <v>0</v>
      </c>
      <c r="DJ366" s="637">
        <v>0</v>
      </c>
      <c r="DK366" s="637">
        <v>0</v>
      </c>
      <c r="DL366" s="637">
        <v>0</v>
      </c>
      <c r="DM366" s="637">
        <v>0</v>
      </c>
      <c r="DN366" s="637">
        <v>0</v>
      </c>
      <c r="DO366" s="637">
        <v>0</v>
      </c>
      <c r="DP366" s="636">
        <v>0</v>
      </c>
      <c r="DQ366" s="636">
        <v>0</v>
      </c>
      <c r="DR366" s="636">
        <v>0</v>
      </c>
      <c r="DS366" s="637">
        <v>0</v>
      </c>
      <c r="DT366" s="637">
        <v>0</v>
      </c>
      <c r="DU366" s="637">
        <v>0</v>
      </c>
      <c r="DV366" s="637">
        <v>0</v>
      </c>
      <c r="DW366" s="637">
        <v>0</v>
      </c>
      <c r="DX366" s="637">
        <v>0</v>
      </c>
      <c r="DY366" s="637">
        <v>0</v>
      </c>
      <c r="DZ366" s="637">
        <v>0</v>
      </c>
      <c r="EA366" s="637">
        <v>0</v>
      </c>
      <c r="EB366" s="637">
        <v>0</v>
      </c>
      <c r="EC366" s="637">
        <v>0</v>
      </c>
      <c r="ED366" s="637">
        <v>0</v>
      </c>
    </row>
    <row r="367" spans="1:134" ht="15" x14ac:dyDescent="0.25">
      <c r="A367" s="555">
        <v>112</v>
      </c>
      <c r="B367" s="555">
        <v>101</v>
      </c>
      <c r="C367" s="555" t="s">
        <v>1350</v>
      </c>
      <c r="D367" s="812">
        <v>99712</v>
      </c>
      <c r="E367" s="812">
        <v>99712</v>
      </c>
      <c r="F367" s="630" t="s">
        <v>311</v>
      </c>
      <c r="G367" s="45">
        <v>49</v>
      </c>
      <c r="H367" s="45">
        <v>20</v>
      </c>
      <c r="I367" s="45">
        <v>19</v>
      </c>
      <c r="J367" s="45">
        <v>1</v>
      </c>
      <c r="K367" s="45">
        <v>0</v>
      </c>
      <c r="L367" s="45">
        <v>26</v>
      </c>
      <c r="M367" s="45">
        <v>26</v>
      </c>
      <c r="N367" s="45">
        <v>1</v>
      </c>
      <c r="O367" s="45">
        <v>0</v>
      </c>
      <c r="P367" s="45">
        <v>0</v>
      </c>
      <c r="Q367" s="45">
        <v>27</v>
      </c>
      <c r="R367" s="45">
        <v>0</v>
      </c>
      <c r="S367" s="45">
        <v>1878.5</v>
      </c>
      <c r="T367" s="45">
        <v>1878.5</v>
      </c>
      <c r="U367" s="45">
        <v>8170</v>
      </c>
      <c r="V367" s="45">
        <v>0</v>
      </c>
      <c r="W367" s="45">
        <v>0</v>
      </c>
      <c r="X367" s="45">
        <v>2111.5185185185187</v>
      </c>
      <c r="Y367" s="45">
        <v>0</v>
      </c>
      <c r="Z367" s="45">
        <v>20</v>
      </c>
      <c r="AA367" s="45">
        <v>0</v>
      </c>
      <c r="AB367" s="508">
        <v>1</v>
      </c>
      <c r="AC367" s="508">
        <v>0</v>
      </c>
      <c r="AD367" s="631">
        <v>21</v>
      </c>
      <c r="AE367" s="632">
        <v>0</v>
      </c>
      <c r="AF367" s="632">
        <v>19</v>
      </c>
      <c r="AG367" s="633">
        <v>19</v>
      </c>
      <c r="AH367" s="632">
        <v>0</v>
      </c>
      <c r="AI367" s="632">
        <v>0</v>
      </c>
      <c r="AJ367" s="632">
        <v>18.182284902914763</v>
      </c>
      <c r="AK367" s="632">
        <v>18.182284902914763</v>
      </c>
      <c r="AL367" s="632">
        <v>0</v>
      </c>
      <c r="AM367" s="632">
        <v>0</v>
      </c>
      <c r="AN367" s="632">
        <v>17.336628097370276</v>
      </c>
      <c r="AO367" s="632">
        <v>17.336628097370276</v>
      </c>
      <c r="AP367" s="632">
        <v>0</v>
      </c>
      <c r="AQ367" s="632">
        <v>0.92984135081383867</v>
      </c>
      <c r="AR367" s="632">
        <v>0</v>
      </c>
      <c r="AS367" s="632">
        <v>16.529774214538108</v>
      </c>
      <c r="AT367" s="632">
        <v>17.336350946770374</v>
      </c>
      <c r="AU367" s="632">
        <v>18.182284902914763</v>
      </c>
      <c r="AV367" s="632">
        <v>19.069496533949064</v>
      </c>
      <c r="AW367" s="632">
        <v>20</v>
      </c>
      <c r="AX367" s="632">
        <v>15.818877567712025</v>
      </c>
      <c r="AY367" s="632">
        <v>16.560374310662688</v>
      </c>
      <c r="AZ367" s="632">
        <v>17.336628097370276</v>
      </c>
      <c r="BA367" s="632">
        <v>18.149268135383181</v>
      </c>
      <c r="BB367" s="632">
        <v>19</v>
      </c>
      <c r="BC367" s="632">
        <v>0.86460493768330426</v>
      </c>
      <c r="BD367" s="632">
        <v>0.89663003695825327</v>
      </c>
      <c r="BE367" s="632">
        <v>0.92984135081383867</v>
      </c>
      <c r="BF367" s="632">
        <v>0.96428281681975381</v>
      </c>
      <c r="BG367" s="632">
        <v>1</v>
      </c>
      <c r="BH367" s="634">
        <v>20.273363887394147</v>
      </c>
      <c r="BI367" s="634">
        <v>20.550464165534859</v>
      </c>
      <c r="BJ367" s="634">
        <v>20.831351904137097</v>
      </c>
      <c r="BK367" s="635">
        <v>20.694394905022662</v>
      </c>
      <c r="BL367" s="635">
        <v>20.558338338088177</v>
      </c>
      <c r="BM367" s="635">
        <v>20.705923883864724</v>
      </c>
      <c r="BN367" s="635">
        <v>20.854568926423738</v>
      </c>
      <c r="BO367" s="635">
        <v>21.004281071750121</v>
      </c>
      <c r="BP367" s="635">
        <v>21.155067980431109</v>
      </c>
      <c r="BQ367" s="635">
        <v>21.306937368048267</v>
      </c>
      <c r="BR367" s="635">
        <v>21.426546524790677</v>
      </c>
      <c r="BS367" s="635">
        <v>21.546827122488189</v>
      </c>
      <c r="BT367" s="635">
        <v>21.667782930358545</v>
      </c>
      <c r="BU367" s="635">
        <v>21.789417738778472</v>
      </c>
      <c r="BV367" s="635">
        <v>21.911735359402432</v>
      </c>
      <c r="BW367" s="634">
        <v>19.25969569302444</v>
      </c>
      <c r="BX367" s="634">
        <v>19.522940957258115</v>
      </c>
      <c r="BY367" s="634">
        <v>19.789784308930241</v>
      </c>
      <c r="BZ367" s="635">
        <v>19.659675159771528</v>
      </c>
      <c r="CA367" s="635">
        <v>19.530421421183767</v>
      </c>
      <c r="CB367" s="635">
        <v>19.670627689671484</v>
      </c>
      <c r="CC367" s="635">
        <v>19.81184048010255</v>
      </c>
      <c r="CD367" s="635">
        <v>19.954067018162615</v>
      </c>
      <c r="CE367" s="635">
        <v>20.097314581409552</v>
      </c>
      <c r="CF367" s="635">
        <v>20.241590499645852</v>
      </c>
      <c r="CG367" s="635">
        <v>20.355219198551143</v>
      </c>
      <c r="CH367" s="635">
        <v>20.469485766363778</v>
      </c>
      <c r="CI367" s="635">
        <v>20.584393783840618</v>
      </c>
      <c r="CJ367" s="635">
        <v>20.699946851839545</v>
      </c>
      <c r="CK367" s="635">
        <v>20.816148591432309</v>
      </c>
      <c r="CL367" s="634">
        <v>1.0136681943697075</v>
      </c>
      <c r="CM367" s="634">
        <v>1.0275232082767429</v>
      </c>
      <c r="CN367" s="634">
        <v>1.0415675952068548</v>
      </c>
      <c r="CO367" s="635">
        <v>1.034719745251133</v>
      </c>
      <c r="CP367" s="635">
        <v>1.0279169169044089</v>
      </c>
      <c r="CQ367" s="635">
        <v>1.0352961941932362</v>
      </c>
      <c r="CR367" s="635">
        <v>1.0427284463211868</v>
      </c>
      <c r="CS367" s="635">
        <v>1.050214053587506</v>
      </c>
      <c r="CT367" s="635">
        <v>1.0577533990215555</v>
      </c>
      <c r="CU367" s="635">
        <v>1.0653468684024134</v>
      </c>
      <c r="CV367" s="635">
        <v>1.071327326239534</v>
      </c>
      <c r="CW367" s="635">
        <v>1.0773413561244094</v>
      </c>
      <c r="CX367" s="635">
        <v>1.0833891465179273</v>
      </c>
      <c r="CY367" s="635">
        <v>1.0894708869389236</v>
      </c>
      <c r="CZ367" s="635">
        <v>1.0955867679701214</v>
      </c>
      <c r="DA367" s="636">
        <v>0</v>
      </c>
      <c r="DB367" s="636">
        <v>0</v>
      </c>
      <c r="DC367" s="636">
        <v>0</v>
      </c>
      <c r="DD367" s="637">
        <v>0</v>
      </c>
      <c r="DE367" s="637">
        <v>0</v>
      </c>
      <c r="DF367" s="637">
        <v>0</v>
      </c>
      <c r="DG367" s="637">
        <v>0</v>
      </c>
      <c r="DH367" s="637">
        <v>0</v>
      </c>
      <c r="DI367" s="637">
        <v>0</v>
      </c>
      <c r="DJ367" s="637">
        <v>0</v>
      </c>
      <c r="DK367" s="637">
        <v>0</v>
      </c>
      <c r="DL367" s="637">
        <v>0</v>
      </c>
      <c r="DM367" s="637">
        <v>0</v>
      </c>
      <c r="DN367" s="637">
        <v>0</v>
      </c>
      <c r="DO367" s="637">
        <v>0</v>
      </c>
      <c r="DP367" s="636">
        <v>0</v>
      </c>
      <c r="DQ367" s="636">
        <v>0</v>
      </c>
      <c r="DR367" s="636">
        <v>0</v>
      </c>
      <c r="DS367" s="637">
        <v>0</v>
      </c>
      <c r="DT367" s="637">
        <v>0</v>
      </c>
      <c r="DU367" s="637">
        <v>0</v>
      </c>
      <c r="DV367" s="637">
        <v>0</v>
      </c>
      <c r="DW367" s="637">
        <v>0</v>
      </c>
      <c r="DX367" s="637">
        <v>0</v>
      </c>
      <c r="DY367" s="637">
        <v>0</v>
      </c>
      <c r="DZ367" s="637">
        <v>0</v>
      </c>
      <c r="EA367" s="637">
        <v>0</v>
      </c>
      <c r="EB367" s="637">
        <v>0</v>
      </c>
      <c r="EC367" s="637">
        <v>0</v>
      </c>
      <c r="ED367" s="637">
        <v>0</v>
      </c>
    </row>
    <row r="368" spans="1:134" ht="15" x14ac:dyDescent="0.25">
      <c r="A368" s="555">
        <v>113</v>
      </c>
      <c r="B368" s="555">
        <v>101</v>
      </c>
      <c r="C368" s="555" t="s">
        <v>1351</v>
      </c>
      <c r="D368" s="812">
        <v>99712</v>
      </c>
      <c r="E368" s="812">
        <v>99712</v>
      </c>
      <c r="F368" s="630" t="s">
        <v>311</v>
      </c>
      <c r="G368" s="45">
        <v>161</v>
      </c>
      <c r="H368" s="45">
        <v>65</v>
      </c>
      <c r="I368" s="45">
        <v>60</v>
      </c>
      <c r="J368" s="45">
        <v>5</v>
      </c>
      <c r="K368" s="45">
        <v>0</v>
      </c>
      <c r="L368" s="45">
        <v>43</v>
      </c>
      <c r="M368" s="45">
        <v>43</v>
      </c>
      <c r="N368" s="45">
        <v>0</v>
      </c>
      <c r="O368" s="45">
        <v>0</v>
      </c>
      <c r="P368" s="45">
        <v>0</v>
      </c>
      <c r="Q368" s="45">
        <v>43</v>
      </c>
      <c r="R368" s="45">
        <v>0</v>
      </c>
      <c r="S368" s="45">
        <v>2739.2790697674418</v>
      </c>
      <c r="T368" s="45">
        <v>2739.2790697674418</v>
      </c>
      <c r="U368" s="45">
        <v>0</v>
      </c>
      <c r="V368" s="45">
        <v>0</v>
      </c>
      <c r="W368" s="45">
        <v>0</v>
      </c>
      <c r="X368" s="45">
        <v>2739.2790697674418</v>
      </c>
      <c r="Y368" s="45">
        <v>0</v>
      </c>
      <c r="Z368" s="45">
        <v>65</v>
      </c>
      <c r="AA368" s="45">
        <v>0</v>
      </c>
      <c r="AB368" s="508">
        <v>0</v>
      </c>
      <c r="AC368" s="508">
        <v>0</v>
      </c>
      <c r="AD368" s="631">
        <v>65</v>
      </c>
      <c r="AE368" s="632">
        <v>0</v>
      </c>
      <c r="AF368" s="632">
        <v>60</v>
      </c>
      <c r="AG368" s="633">
        <v>60</v>
      </c>
      <c r="AH368" s="632">
        <v>0</v>
      </c>
      <c r="AI368" s="632">
        <v>0</v>
      </c>
      <c r="AJ368" s="632">
        <v>59.092425934472985</v>
      </c>
      <c r="AK368" s="632">
        <v>59.092425934472985</v>
      </c>
      <c r="AL368" s="632">
        <v>0</v>
      </c>
      <c r="AM368" s="632">
        <v>0</v>
      </c>
      <c r="AN368" s="632">
        <v>54.747246623274556</v>
      </c>
      <c r="AO368" s="632">
        <v>54.747246623274556</v>
      </c>
      <c r="AP368" s="632">
        <v>0</v>
      </c>
      <c r="AQ368" s="632">
        <v>0</v>
      </c>
      <c r="AR368" s="632">
        <v>0</v>
      </c>
      <c r="AS368" s="632">
        <v>53.721766197248854</v>
      </c>
      <c r="AT368" s="632">
        <v>56.343140577003716</v>
      </c>
      <c r="AU368" s="632">
        <v>59.092425934472985</v>
      </c>
      <c r="AV368" s="632">
        <v>61.975863735334457</v>
      </c>
      <c r="AW368" s="632">
        <v>65</v>
      </c>
      <c r="AX368" s="632">
        <v>49.954350213827453</v>
      </c>
      <c r="AY368" s="632">
        <v>52.295918875776906</v>
      </c>
      <c r="AZ368" s="632">
        <v>54.747246623274556</v>
      </c>
      <c r="BA368" s="632">
        <v>57.313478322262675</v>
      </c>
      <c r="BB368" s="632">
        <v>60</v>
      </c>
      <c r="BC368" s="632">
        <v>0</v>
      </c>
      <c r="BD368" s="632">
        <v>0</v>
      </c>
      <c r="BE368" s="632">
        <v>0</v>
      </c>
      <c r="BF368" s="632">
        <v>0</v>
      </c>
      <c r="BG368" s="632">
        <v>0</v>
      </c>
      <c r="BH368" s="634">
        <v>65.601828434027837</v>
      </c>
      <c r="BI368" s="634">
        <v>66.209229136732688</v>
      </c>
      <c r="BJ368" s="634">
        <v>66.822253701187307</v>
      </c>
      <c r="BK368" s="635">
        <v>66.382926701043814</v>
      </c>
      <c r="BL368" s="635">
        <v>65.946488083173648</v>
      </c>
      <c r="BM368" s="635">
        <v>66.419909051140195</v>
      </c>
      <c r="BN368" s="635">
        <v>66.89672864455936</v>
      </c>
      <c r="BO368" s="635">
        <v>67.37697126170616</v>
      </c>
      <c r="BP368" s="635">
        <v>67.860661476007508</v>
      </c>
      <c r="BQ368" s="635">
        <v>68.347824037299659</v>
      </c>
      <c r="BR368" s="635">
        <v>68.731503092485653</v>
      </c>
      <c r="BS368" s="635">
        <v>69.117335978016115</v>
      </c>
      <c r="BT368" s="635">
        <v>69.505334784686937</v>
      </c>
      <c r="BU368" s="635">
        <v>69.895511671167228</v>
      </c>
      <c r="BV368" s="635">
        <v>70.287878864380289</v>
      </c>
      <c r="BW368" s="634">
        <v>60.555533939102624</v>
      </c>
      <c r="BX368" s="634">
        <v>61.116211510830169</v>
      </c>
      <c r="BY368" s="634">
        <v>61.682080339557515</v>
      </c>
      <c r="BZ368" s="635">
        <v>61.276547724040441</v>
      </c>
      <c r="CA368" s="635">
        <v>60.873681307544906</v>
      </c>
      <c r="CB368" s="635">
        <v>61.310685277975566</v>
      </c>
      <c r="CC368" s="635">
        <v>61.750826441131721</v>
      </c>
      <c r="CD368" s="635">
        <v>62.194127318497991</v>
      </c>
      <c r="CE368" s="635">
        <v>62.640610593237696</v>
      </c>
      <c r="CF368" s="635">
        <v>63.090299111353531</v>
      </c>
      <c r="CG368" s="635">
        <v>63.44446439306369</v>
      </c>
      <c r="CH368" s="635">
        <v>63.800617825861025</v>
      </c>
      <c r="CI368" s="635">
        <v>64.158770570480243</v>
      </c>
      <c r="CJ368" s="635">
        <v>64.518933850308215</v>
      </c>
      <c r="CK368" s="635">
        <v>64.881118951735644</v>
      </c>
      <c r="CL368" s="634">
        <v>0</v>
      </c>
      <c r="CM368" s="634">
        <v>0</v>
      </c>
      <c r="CN368" s="634">
        <v>0</v>
      </c>
      <c r="CO368" s="635">
        <v>0</v>
      </c>
      <c r="CP368" s="635">
        <v>0</v>
      </c>
      <c r="CQ368" s="635">
        <v>0</v>
      </c>
      <c r="CR368" s="635">
        <v>0</v>
      </c>
      <c r="CS368" s="635">
        <v>0</v>
      </c>
      <c r="CT368" s="635">
        <v>0</v>
      </c>
      <c r="CU368" s="635">
        <v>0</v>
      </c>
      <c r="CV368" s="635">
        <v>0</v>
      </c>
      <c r="CW368" s="635">
        <v>0</v>
      </c>
      <c r="CX368" s="635">
        <v>0</v>
      </c>
      <c r="CY368" s="635">
        <v>0</v>
      </c>
      <c r="CZ368" s="635">
        <v>0</v>
      </c>
      <c r="DA368" s="636">
        <v>0</v>
      </c>
      <c r="DB368" s="636">
        <v>0</v>
      </c>
      <c r="DC368" s="636">
        <v>0</v>
      </c>
      <c r="DD368" s="637">
        <v>0</v>
      </c>
      <c r="DE368" s="637">
        <v>0</v>
      </c>
      <c r="DF368" s="637">
        <v>0</v>
      </c>
      <c r="DG368" s="637">
        <v>0</v>
      </c>
      <c r="DH368" s="637">
        <v>0</v>
      </c>
      <c r="DI368" s="637">
        <v>0</v>
      </c>
      <c r="DJ368" s="637">
        <v>0</v>
      </c>
      <c r="DK368" s="637">
        <v>0</v>
      </c>
      <c r="DL368" s="637">
        <v>0</v>
      </c>
      <c r="DM368" s="637">
        <v>0</v>
      </c>
      <c r="DN368" s="637">
        <v>0</v>
      </c>
      <c r="DO368" s="637">
        <v>0</v>
      </c>
      <c r="DP368" s="636">
        <v>0</v>
      </c>
      <c r="DQ368" s="636">
        <v>0</v>
      </c>
      <c r="DR368" s="636">
        <v>0</v>
      </c>
      <c r="DS368" s="637">
        <v>0</v>
      </c>
      <c r="DT368" s="637">
        <v>0</v>
      </c>
      <c r="DU368" s="637">
        <v>0</v>
      </c>
      <c r="DV368" s="637">
        <v>0</v>
      </c>
      <c r="DW368" s="637">
        <v>0</v>
      </c>
      <c r="DX368" s="637">
        <v>0</v>
      </c>
      <c r="DY368" s="637">
        <v>0</v>
      </c>
      <c r="DZ368" s="637">
        <v>0</v>
      </c>
      <c r="EA368" s="637">
        <v>0</v>
      </c>
      <c r="EB368" s="637">
        <v>0</v>
      </c>
      <c r="EC368" s="637">
        <v>0</v>
      </c>
      <c r="ED368" s="637">
        <v>0</v>
      </c>
    </row>
    <row r="369" spans="1:134" ht="15" x14ac:dyDescent="0.25">
      <c r="A369" s="555">
        <v>114</v>
      </c>
      <c r="B369" s="555">
        <v>101</v>
      </c>
      <c r="C369" s="555" t="s">
        <v>1352</v>
      </c>
      <c r="D369" s="812">
        <v>99712</v>
      </c>
      <c r="E369" s="812">
        <v>99712</v>
      </c>
      <c r="F369" s="630" t="s">
        <v>311</v>
      </c>
      <c r="G369" s="45">
        <v>97</v>
      </c>
      <c r="H369" s="45">
        <v>47</v>
      </c>
      <c r="I369" s="45">
        <v>39</v>
      </c>
      <c r="J369" s="45">
        <v>8</v>
      </c>
      <c r="K369" s="45">
        <v>0</v>
      </c>
      <c r="L369" s="45">
        <v>62</v>
      </c>
      <c r="M369" s="45">
        <v>62</v>
      </c>
      <c r="N369" s="45">
        <v>0</v>
      </c>
      <c r="O369" s="45">
        <v>0</v>
      </c>
      <c r="P369" s="45">
        <v>0</v>
      </c>
      <c r="Q369" s="45">
        <v>62</v>
      </c>
      <c r="R369" s="45">
        <v>0</v>
      </c>
      <c r="S369" s="45">
        <v>1942.9516129032259</v>
      </c>
      <c r="T369" s="45">
        <v>1942.9516129032259</v>
      </c>
      <c r="U369" s="45">
        <v>0</v>
      </c>
      <c r="V369" s="45">
        <v>0</v>
      </c>
      <c r="W369" s="45">
        <v>0</v>
      </c>
      <c r="X369" s="45">
        <v>1942.9516129032259</v>
      </c>
      <c r="Y369" s="45">
        <v>0</v>
      </c>
      <c r="Z369" s="45">
        <v>47</v>
      </c>
      <c r="AA369" s="45">
        <v>0</v>
      </c>
      <c r="AB369" s="508">
        <v>0</v>
      </c>
      <c r="AC369" s="508">
        <v>0</v>
      </c>
      <c r="AD369" s="631">
        <v>47</v>
      </c>
      <c r="AE369" s="632">
        <v>0</v>
      </c>
      <c r="AF369" s="632">
        <v>39</v>
      </c>
      <c r="AG369" s="633">
        <v>39</v>
      </c>
      <c r="AH369" s="632">
        <v>0</v>
      </c>
      <c r="AI369" s="632">
        <v>0</v>
      </c>
      <c r="AJ369" s="632">
        <v>42.728369521849693</v>
      </c>
      <c r="AK369" s="632">
        <v>42.728369521849693</v>
      </c>
      <c r="AL369" s="632">
        <v>0</v>
      </c>
      <c r="AM369" s="632">
        <v>0</v>
      </c>
      <c r="AN369" s="632">
        <v>35.585710305128458</v>
      </c>
      <c r="AO369" s="632">
        <v>35.585710305128458</v>
      </c>
      <c r="AP369" s="632">
        <v>0</v>
      </c>
      <c r="AQ369" s="632">
        <v>0</v>
      </c>
      <c r="AR369" s="632">
        <v>0</v>
      </c>
      <c r="AS369" s="632">
        <v>38.844969404164551</v>
      </c>
      <c r="AT369" s="632">
        <v>40.740424724910383</v>
      </c>
      <c r="AU369" s="632">
        <v>42.728369521849693</v>
      </c>
      <c r="AV369" s="632">
        <v>44.813316854780297</v>
      </c>
      <c r="AW369" s="632">
        <v>47</v>
      </c>
      <c r="AX369" s="632">
        <v>32.470327638987847</v>
      </c>
      <c r="AY369" s="632">
        <v>33.992347269254992</v>
      </c>
      <c r="AZ369" s="632">
        <v>35.585710305128458</v>
      </c>
      <c r="BA369" s="632">
        <v>37.253760909470735</v>
      </c>
      <c r="BB369" s="632">
        <v>39</v>
      </c>
      <c r="BC369" s="632">
        <v>0</v>
      </c>
      <c r="BD369" s="632">
        <v>0</v>
      </c>
      <c r="BE369" s="632">
        <v>0</v>
      </c>
      <c r="BF369" s="632">
        <v>0</v>
      </c>
      <c r="BG369" s="632">
        <v>0</v>
      </c>
      <c r="BH369" s="634">
        <v>47.435168252297053</v>
      </c>
      <c r="BI369" s="634">
        <v>47.874365683483632</v>
      </c>
      <c r="BJ369" s="634">
        <v>48.31762959932005</v>
      </c>
      <c r="BK369" s="635">
        <v>47.999962383831672</v>
      </c>
      <c r="BL369" s="635">
        <v>47.684383690910174</v>
      </c>
      <c r="BM369" s="635">
        <v>48.026703467747524</v>
      </c>
      <c r="BN369" s="635">
        <v>48.371480712219842</v>
      </c>
      <c r="BO369" s="635">
        <v>48.718733066156759</v>
      </c>
      <c r="BP369" s="635">
        <v>49.06847829803619</v>
      </c>
      <c r="BQ369" s="635">
        <v>49.420734303893596</v>
      </c>
      <c r="BR369" s="635">
        <v>49.698163774566552</v>
      </c>
      <c r="BS369" s="635">
        <v>49.977150630257796</v>
      </c>
      <c r="BT369" s="635">
        <v>50.257703613542851</v>
      </c>
      <c r="BU369" s="635">
        <v>50.539831516074763</v>
      </c>
      <c r="BV369" s="635">
        <v>50.823543178859587</v>
      </c>
      <c r="BW369" s="634">
        <v>39.361097060416704</v>
      </c>
      <c r="BX369" s="634">
        <v>39.725537482039606</v>
      </c>
      <c r="BY369" s="634">
        <v>40.093352220712383</v>
      </c>
      <c r="BZ369" s="635">
        <v>39.829756020626284</v>
      </c>
      <c r="CA369" s="635">
        <v>39.567892849904183</v>
      </c>
      <c r="CB369" s="635">
        <v>39.851945430684118</v>
      </c>
      <c r="CC369" s="635">
        <v>40.138037186735616</v>
      </c>
      <c r="CD369" s="635">
        <v>40.426182757023696</v>
      </c>
      <c r="CE369" s="635">
        <v>40.716396885604503</v>
      </c>
      <c r="CF369" s="635">
        <v>41.008694422379797</v>
      </c>
      <c r="CG369" s="635">
        <v>41.238901855491392</v>
      </c>
      <c r="CH369" s="635">
        <v>41.470401586809665</v>
      </c>
      <c r="CI369" s="635">
        <v>41.703200870812154</v>
      </c>
      <c r="CJ369" s="635">
        <v>41.937307002700337</v>
      </c>
      <c r="CK369" s="635">
        <v>42.172727318628169</v>
      </c>
      <c r="CL369" s="634">
        <v>0</v>
      </c>
      <c r="CM369" s="634">
        <v>0</v>
      </c>
      <c r="CN369" s="634">
        <v>0</v>
      </c>
      <c r="CO369" s="635">
        <v>0</v>
      </c>
      <c r="CP369" s="635">
        <v>0</v>
      </c>
      <c r="CQ369" s="635">
        <v>0</v>
      </c>
      <c r="CR369" s="635">
        <v>0</v>
      </c>
      <c r="CS369" s="635">
        <v>0</v>
      </c>
      <c r="CT369" s="635">
        <v>0</v>
      </c>
      <c r="CU369" s="635">
        <v>0</v>
      </c>
      <c r="CV369" s="635">
        <v>0</v>
      </c>
      <c r="CW369" s="635">
        <v>0</v>
      </c>
      <c r="CX369" s="635">
        <v>0</v>
      </c>
      <c r="CY369" s="635">
        <v>0</v>
      </c>
      <c r="CZ369" s="635">
        <v>0</v>
      </c>
      <c r="DA369" s="636">
        <v>0</v>
      </c>
      <c r="DB369" s="636">
        <v>0</v>
      </c>
      <c r="DC369" s="636">
        <v>0</v>
      </c>
      <c r="DD369" s="637">
        <v>0</v>
      </c>
      <c r="DE369" s="637">
        <v>0</v>
      </c>
      <c r="DF369" s="637">
        <v>0</v>
      </c>
      <c r="DG369" s="637">
        <v>0</v>
      </c>
      <c r="DH369" s="637">
        <v>0</v>
      </c>
      <c r="DI369" s="637">
        <v>0</v>
      </c>
      <c r="DJ369" s="637">
        <v>0</v>
      </c>
      <c r="DK369" s="637">
        <v>0</v>
      </c>
      <c r="DL369" s="637">
        <v>0</v>
      </c>
      <c r="DM369" s="637">
        <v>0</v>
      </c>
      <c r="DN369" s="637">
        <v>0</v>
      </c>
      <c r="DO369" s="637">
        <v>0</v>
      </c>
      <c r="DP369" s="636">
        <v>0</v>
      </c>
      <c r="DQ369" s="636">
        <v>0</v>
      </c>
      <c r="DR369" s="636">
        <v>0</v>
      </c>
      <c r="DS369" s="637">
        <v>0</v>
      </c>
      <c r="DT369" s="637">
        <v>0</v>
      </c>
      <c r="DU369" s="637">
        <v>0</v>
      </c>
      <c r="DV369" s="637">
        <v>0</v>
      </c>
      <c r="DW369" s="637">
        <v>0</v>
      </c>
      <c r="DX369" s="637">
        <v>0</v>
      </c>
      <c r="DY369" s="637">
        <v>0</v>
      </c>
      <c r="DZ369" s="637">
        <v>0</v>
      </c>
      <c r="EA369" s="637">
        <v>0</v>
      </c>
      <c r="EB369" s="637">
        <v>0</v>
      </c>
      <c r="EC369" s="637">
        <v>0</v>
      </c>
      <c r="ED369" s="637">
        <v>0</v>
      </c>
    </row>
    <row r="370" spans="1:134" ht="15" x14ac:dyDescent="0.25">
      <c r="A370" s="555">
        <v>115</v>
      </c>
      <c r="B370" s="555">
        <v>101</v>
      </c>
      <c r="C370" s="555" t="s">
        <v>1353</v>
      </c>
      <c r="D370" s="812">
        <v>99712</v>
      </c>
      <c r="E370" s="812">
        <v>99712</v>
      </c>
      <c r="F370" s="630" t="s">
        <v>311</v>
      </c>
      <c r="G370" s="45">
        <v>242</v>
      </c>
      <c r="H370" s="45">
        <v>110</v>
      </c>
      <c r="I370" s="45">
        <v>97</v>
      </c>
      <c r="J370" s="45">
        <v>13</v>
      </c>
      <c r="K370" s="45">
        <v>0</v>
      </c>
      <c r="L370" s="45">
        <v>66</v>
      </c>
      <c r="M370" s="45">
        <v>66</v>
      </c>
      <c r="N370" s="45">
        <v>0</v>
      </c>
      <c r="O370" s="45">
        <v>0</v>
      </c>
      <c r="P370" s="45">
        <v>0</v>
      </c>
      <c r="Q370" s="45">
        <v>66</v>
      </c>
      <c r="R370" s="45">
        <v>0</v>
      </c>
      <c r="S370" s="45">
        <v>1918.590909090909</v>
      </c>
      <c r="T370" s="45">
        <v>1918.590909090909</v>
      </c>
      <c r="U370" s="45">
        <v>0</v>
      </c>
      <c r="V370" s="45">
        <v>0</v>
      </c>
      <c r="W370" s="45">
        <v>0</v>
      </c>
      <c r="X370" s="45">
        <v>1918.590909090909</v>
      </c>
      <c r="Y370" s="45">
        <v>0</v>
      </c>
      <c r="Z370" s="45">
        <v>110</v>
      </c>
      <c r="AA370" s="45">
        <v>0</v>
      </c>
      <c r="AB370" s="508">
        <v>0</v>
      </c>
      <c r="AC370" s="508">
        <v>0</v>
      </c>
      <c r="AD370" s="631">
        <v>110</v>
      </c>
      <c r="AE370" s="632">
        <v>0</v>
      </c>
      <c r="AF370" s="632">
        <v>97</v>
      </c>
      <c r="AG370" s="633">
        <v>97</v>
      </c>
      <c r="AH370" s="632">
        <v>0</v>
      </c>
      <c r="AI370" s="632">
        <v>0</v>
      </c>
      <c r="AJ370" s="632">
        <v>100.00256696603121</v>
      </c>
      <c r="AK370" s="632">
        <v>100.00256696603121</v>
      </c>
      <c r="AL370" s="632">
        <v>0</v>
      </c>
      <c r="AM370" s="632">
        <v>0</v>
      </c>
      <c r="AN370" s="632">
        <v>88.508048707627196</v>
      </c>
      <c r="AO370" s="632">
        <v>88.508048707627196</v>
      </c>
      <c r="AP370" s="632">
        <v>0</v>
      </c>
      <c r="AQ370" s="632">
        <v>0</v>
      </c>
      <c r="AR370" s="632">
        <v>0</v>
      </c>
      <c r="AS370" s="632">
        <v>90.913758179959601</v>
      </c>
      <c r="AT370" s="632">
        <v>95.349930207237065</v>
      </c>
      <c r="AU370" s="632">
        <v>100.00256696603121</v>
      </c>
      <c r="AV370" s="632">
        <v>104.88223093671985</v>
      </c>
      <c r="AW370" s="632">
        <v>110</v>
      </c>
      <c r="AX370" s="632">
        <v>80.759532845687716</v>
      </c>
      <c r="AY370" s="632">
        <v>84.545068849172665</v>
      </c>
      <c r="AZ370" s="632">
        <v>88.508048707627196</v>
      </c>
      <c r="BA370" s="632">
        <v>92.656789954324651</v>
      </c>
      <c r="BB370" s="632">
        <v>97</v>
      </c>
      <c r="BC370" s="632">
        <v>0</v>
      </c>
      <c r="BD370" s="632">
        <v>0</v>
      </c>
      <c r="BE370" s="632">
        <v>0</v>
      </c>
      <c r="BF370" s="632">
        <v>0</v>
      </c>
      <c r="BG370" s="632">
        <v>0</v>
      </c>
      <c r="BH370" s="634">
        <v>111.01847888835481</v>
      </c>
      <c r="BI370" s="634">
        <v>112.0463877698553</v>
      </c>
      <c r="BJ370" s="634">
        <v>113.08381395585545</v>
      </c>
      <c r="BK370" s="635">
        <v>112.34033749407413</v>
      </c>
      <c r="BL370" s="635">
        <v>111.60174906383233</v>
      </c>
      <c r="BM370" s="635">
        <v>112.40292300962187</v>
      </c>
      <c r="BN370" s="635">
        <v>113.20984847540815</v>
      </c>
      <c r="BO370" s="635">
        <v>114.02256675057966</v>
      </c>
      <c r="BP370" s="635">
        <v>114.84111942093578</v>
      </c>
      <c r="BQ370" s="635">
        <v>115.66554837081482</v>
      </c>
      <c r="BR370" s="635">
        <v>116.31485138728343</v>
      </c>
      <c r="BS370" s="635">
        <v>116.96779934741188</v>
      </c>
      <c r="BT370" s="635">
        <v>117.62441271254711</v>
      </c>
      <c r="BU370" s="635">
        <v>118.28471205889839</v>
      </c>
      <c r="BV370" s="635">
        <v>118.94871807818203</v>
      </c>
      <c r="BW370" s="634">
        <v>97.898113201549236</v>
      </c>
      <c r="BX370" s="634">
        <v>98.804541942508777</v>
      </c>
      <c r="BY370" s="634">
        <v>99.719363215617989</v>
      </c>
      <c r="BZ370" s="635">
        <v>99.06375215386538</v>
      </c>
      <c r="CA370" s="635">
        <v>98.412451447197597</v>
      </c>
      <c r="CB370" s="635">
        <v>99.118941199393831</v>
      </c>
      <c r="CC370" s="635">
        <v>99.830502746496293</v>
      </c>
      <c r="CD370" s="635">
        <v>100.54717249823842</v>
      </c>
      <c r="CE370" s="635">
        <v>101.26898712573428</v>
      </c>
      <c r="CF370" s="635">
        <v>101.99598356335488</v>
      </c>
      <c r="CG370" s="635">
        <v>102.5685507687863</v>
      </c>
      <c r="CH370" s="635">
        <v>103.14433215180867</v>
      </c>
      <c r="CI370" s="635">
        <v>103.72334575560974</v>
      </c>
      <c r="CJ370" s="635">
        <v>104.30560972466495</v>
      </c>
      <c r="CK370" s="635">
        <v>104.89114230530598</v>
      </c>
      <c r="CL370" s="634">
        <v>0</v>
      </c>
      <c r="CM370" s="634">
        <v>0</v>
      </c>
      <c r="CN370" s="634">
        <v>0</v>
      </c>
      <c r="CO370" s="635">
        <v>0</v>
      </c>
      <c r="CP370" s="635">
        <v>0</v>
      </c>
      <c r="CQ370" s="635">
        <v>0</v>
      </c>
      <c r="CR370" s="635">
        <v>0</v>
      </c>
      <c r="CS370" s="635">
        <v>0</v>
      </c>
      <c r="CT370" s="635">
        <v>0</v>
      </c>
      <c r="CU370" s="635">
        <v>0</v>
      </c>
      <c r="CV370" s="635">
        <v>0</v>
      </c>
      <c r="CW370" s="635">
        <v>0</v>
      </c>
      <c r="CX370" s="635">
        <v>0</v>
      </c>
      <c r="CY370" s="635">
        <v>0</v>
      </c>
      <c r="CZ370" s="635">
        <v>0</v>
      </c>
      <c r="DA370" s="636">
        <v>0</v>
      </c>
      <c r="DB370" s="636">
        <v>0</v>
      </c>
      <c r="DC370" s="636">
        <v>0</v>
      </c>
      <c r="DD370" s="637">
        <v>0</v>
      </c>
      <c r="DE370" s="637">
        <v>0</v>
      </c>
      <c r="DF370" s="637">
        <v>0</v>
      </c>
      <c r="DG370" s="637">
        <v>0</v>
      </c>
      <c r="DH370" s="637">
        <v>0</v>
      </c>
      <c r="DI370" s="637">
        <v>0</v>
      </c>
      <c r="DJ370" s="637">
        <v>0</v>
      </c>
      <c r="DK370" s="637">
        <v>0</v>
      </c>
      <c r="DL370" s="637">
        <v>0</v>
      </c>
      <c r="DM370" s="637">
        <v>0</v>
      </c>
      <c r="DN370" s="637">
        <v>0</v>
      </c>
      <c r="DO370" s="637">
        <v>0</v>
      </c>
      <c r="DP370" s="636">
        <v>0</v>
      </c>
      <c r="DQ370" s="636">
        <v>0</v>
      </c>
      <c r="DR370" s="636">
        <v>0</v>
      </c>
      <c r="DS370" s="637">
        <v>0</v>
      </c>
      <c r="DT370" s="637">
        <v>0</v>
      </c>
      <c r="DU370" s="637">
        <v>0</v>
      </c>
      <c r="DV370" s="637">
        <v>0</v>
      </c>
      <c r="DW370" s="637">
        <v>0</v>
      </c>
      <c r="DX370" s="637">
        <v>0</v>
      </c>
      <c r="DY370" s="637">
        <v>0</v>
      </c>
      <c r="DZ370" s="637">
        <v>0</v>
      </c>
      <c r="EA370" s="637">
        <v>0</v>
      </c>
      <c r="EB370" s="637">
        <v>0</v>
      </c>
      <c r="EC370" s="637">
        <v>0</v>
      </c>
      <c r="ED370" s="637">
        <v>0</v>
      </c>
    </row>
    <row r="371" spans="1:134" ht="15" x14ac:dyDescent="0.25">
      <c r="A371" s="555">
        <v>117</v>
      </c>
      <c r="B371" s="555">
        <v>101</v>
      </c>
      <c r="C371" s="555" t="s">
        <v>1354</v>
      </c>
      <c r="D371" s="812">
        <v>99712</v>
      </c>
      <c r="E371" s="812">
        <v>99712</v>
      </c>
      <c r="F371" s="630" t="s">
        <v>311</v>
      </c>
      <c r="G371" s="45">
        <v>75</v>
      </c>
      <c r="H371" s="45">
        <v>26</v>
      </c>
      <c r="I371" s="45">
        <v>26</v>
      </c>
      <c r="J371" s="45">
        <v>0</v>
      </c>
      <c r="K371" s="45">
        <v>0</v>
      </c>
      <c r="L371" s="45">
        <v>14</v>
      </c>
      <c r="M371" s="45">
        <v>14</v>
      </c>
      <c r="N371" s="45">
        <v>1</v>
      </c>
      <c r="O371" s="45">
        <v>0</v>
      </c>
      <c r="P371" s="45">
        <v>0</v>
      </c>
      <c r="Q371" s="45">
        <v>15</v>
      </c>
      <c r="R371" s="45">
        <v>0</v>
      </c>
      <c r="S371" s="45">
        <v>2256.2142857142858</v>
      </c>
      <c r="T371" s="45">
        <v>2256.2142857142858</v>
      </c>
      <c r="U371" s="45">
        <v>1104</v>
      </c>
      <c r="V371" s="45">
        <v>0</v>
      </c>
      <c r="W371" s="45">
        <v>0</v>
      </c>
      <c r="X371" s="45">
        <v>2179.4</v>
      </c>
      <c r="Y371" s="45">
        <v>0</v>
      </c>
      <c r="Z371" s="45">
        <v>26</v>
      </c>
      <c r="AA371" s="45">
        <v>0</v>
      </c>
      <c r="AB371" s="508">
        <v>1</v>
      </c>
      <c r="AC371" s="508">
        <v>0</v>
      </c>
      <c r="AD371" s="631">
        <v>27</v>
      </c>
      <c r="AE371" s="632">
        <v>0</v>
      </c>
      <c r="AF371" s="632">
        <v>26</v>
      </c>
      <c r="AG371" s="633">
        <v>26</v>
      </c>
      <c r="AH371" s="632">
        <v>0</v>
      </c>
      <c r="AI371" s="632">
        <v>0</v>
      </c>
      <c r="AJ371" s="632">
        <v>23.636970373789193</v>
      </c>
      <c r="AK371" s="632">
        <v>23.636970373789193</v>
      </c>
      <c r="AL371" s="632">
        <v>0</v>
      </c>
      <c r="AM371" s="632">
        <v>0</v>
      </c>
      <c r="AN371" s="632">
        <v>23.723806870085639</v>
      </c>
      <c r="AO371" s="632">
        <v>23.723806870085639</v>
      </c>
      <c r="AP371" s="632">
        <v>0</v>
      </c>
      <c r="AQ371" s="632">
        <v>0.92984135081383867</v>
      </c>
      <c r="AR371" s="632">
        <v>0</v>
      </c>
      <c r="AS371" s="632">
        <v>21.488706478899541</v>
      </c>
      <c r="AT371" s="632">
        <v>22.537256230801486</v>
      </c>
      <c r="AU371" s="632">
        <v>23.636970373789193</v>
      </c>
      <c r="AV371" s="632">
        <v>24.790345494133781</v>
      </c>
      <c r="AW371" s="632">
        <v>26</v>
      </c>
      <c r="AX371" s="632">
        <v>21.646885092658561</v>
      </c>
      <c r="AY371" s="632">
        <v>22.661564846169995</v>
      </c>
      <c r="AZ371" s="632">
        <v>23.723806870085639</v>
      </c>
      <c r="BA371" s="632">
        <v>24.835840606313827</v>
      </c>
      <c r="BB371" s="632">
        <v>26</v>
      </c>
      <c r="BC371" s="632">
        <v>0.86460493768330426</v>
      </c>
      <c r="BD371" s="632">
        <v>0.89663003695825327</v>
      </c>
      <c r="BE371" s="632">
        <v>0.92984135081383867</v>
      </c>
      <c r="BF371" s="632">
        <v>0.96428281681975381</v>
      </c>
      <c r="BG371" s="632">
        <v>1</v>
      </c>
      <c r="BH371" s="634">
        <v>26.240731373611137</v>
      </c>
      <c r="BI371" s="634">
        <v>26.483691654693072</v>
      </c>
      <c r="BJ371" s="634">
        <v>26.728901480474924</v>
      </c>
      <c r="BK371" s="635">
        <v>26.553170680417523</v>
      </c>
      <c r="BL371" s="635">
        <v>26.378595233269458</v>
      </c>
      <c r="BM371" s="635">
        <v>26.56796362045608</v>
      </c>
      <c r="BN371" s="635">
        <v>26.758691457823748</v>
      </c>
      <c r="BO371" s="635">
        <v>26.950788504682464</v>
      </c>
      <c r="BP371" s="635">
        <v>27.144264590403001</v>
      </c>
      <c r="BQ371" s="635">
        <v>27.339129614919866</v>
      </c>
      <c r="BR371" s="635">
        <v>27.492601236994265</v>
      </c>
      <c r="BS371" s="635">
        <v>27.646934391206447</v>
      </c>
      <c r="BT371" s="635">
        <v>27.802133913874773</v>
      </c>
      <c r="BU371" s="635">
        <v>27.958204668466891</v>
      </c>
      <c r="BV371" s="635">
        <v>28.115151545752116</v>
      </c>
      <c r="BW371" s="634">
        <v>26.240731373611137</v>
      </c>
      <c r="BX371" s="634">
        <v>26.483691654693072</v>
      </c>
      <c r="BY371" s="634">
        <v>26.728901480474924</v>
      </c>
      <c r="BZ371" s="635">
        <v>26.553170680417523</v>
      </c>
      <c r="CA371" s="635">
        <v>26.378595233269458</v>
      </c>
      <c r="CB371" s="635">
        <v>26.56796362045608</v>
      </c>
      <c r="CC371" s="635">
        <v>26.758691457823748</v>
      </c>
      <c r="CD371" s="635">
        <v>26.950788504682464</v>
      </c>
      <c r="CE371" s="635">
        <v>27.144264590403001</v>
      </c>
      <c r="CF371" s="635">
        <v>27.339129614919866</v>
      </c>
      <c r="CG371" s="635">
        <v>27.492601236994265</v>
      </c>
      <c r="CH371" s="635">
        <v>27.646934391206447</v>
      </c>
      <c r="CI371" s="635">
        <v>27.802133913874773</v>
      </c>
      <c r="CJ371" s="635">
        <v>27.958204668466891</v>
      </c>
      <c r="CK371" s="635">
        <v>28.115151545752116</v>
      </c>
      <c r="CL371" s="634">
        <v>1.0092588989850437</v>
      </c>
      <c r="CM371" s="634">
        <v>1.0186035251805028</v>
      </c>
      <c r="CN371" s="634">
        <v>1.0280346723259586</v>
      </c>
      <c r="CO371" s="635">
        <v>1.0212757954006739</v>
      </c>
      <c r="CP371" s="635">
        <v>1.0145613551257484</v>
      </c>
      <c r="CQ371" s="635">
        <v>1.0218447546329261</v>
      </c>
      <c r="CR371" s="635">
        <v>1.0291804406855287</v>
      </c>
      <c r="CS371" s="635">
        <v>1.0365687886416333</v>
      </c>
      <c r="CT371" s="635">
        <v>1.0440101765539616</v>
      </c>
      <c r="CU371" s="635">
        <v>1.0515049851892255</v>
      </c>
      <c r="CV371" s="635">
        <v>1.0574077398843948</v>
      </c>
      <c r="CW371" s="635">
        <v>1.0633436304310171</v>
      </c>
      <c r="CX371" s="635">
        <v>1.0693128428413374</v>
      </c>
      <c r="CY371" s="635">
        <v>1.0753155641718035</v>
      </c>
      <c r="CZ371" s="635">
        <v>1.0813519825289275</v>
      </c>
      <c r="DA371" s="636">
        <v>0</v>
      </c>
      <c r="DB371" s="636">
        <v>0</v>
      </c>
      <c r="DC371" s="636">
        <v>0</v>
      </c>
      <c r="DD371" s="637">
        <v>0</v>
      </c>
      <c r="DE371" s="637">
        <v>0</v>
      </c>
      <c r="DF371" s="637">
        <v>0</v>
      </c>
      <c r="DG371" s="637">
        <v>0</v>
      </c>
      <c r="DH371" s="637">
        <v>0</v>
      </c>
      <c r="DI371" s="637">
        <v>0</v>
      </c>
      <c r="DJ371" s="637">
        <v>0</v>
      </c>
      <c r="DK371" s="637">
        <v>0</v>
      </c>
      <c r="DL371" s="637">
        <v>0</v>
      </c>
      <c r="DM371" s="637">
        <v>0</v>
      </c>
      <c r="DN371" s="637">
        <v>0</v>
      </c>
      <c r="DO371" s="637">
        <v>0</v>
      </c>
      <c r="DP371" s="636">
        <v>0</v>
      </c>
      <c r="DQ371" s="636">
        <v>0</v>
      </c>
      <c r="DR371" s="636">
        <v>0</v>
      </c>
      <c r="DS371" s="637">
        <v>0</v>
      </c>
      <c r="DT371" s="637">
        <v>0</v>
      </c>
      <c r="DU371" s="637">
        <v>0</v>
      </c>
      <c r="DV371" s="637">
        <v>0</v>
      </c>
      <c r="DW371" s="637">
        <v>0</v>
      </c>
      <c r="DX371" s="637">
        <v>0</v>
      </c>
      <c r="DY371" s="637">
        <v>0</v>
      </c>
      <c r="DZ371" s="637">
        <v>0</v>
      </c>
      <c r="EA371" s="637">
        <v>0</v>
      </c>
      <c r="EB371" s="637">
        <v>0</v>
      </c>
      <c r="EC371" s="637">
        <v>0</v>
      </c>
      <c r="ED371" s="637">
        <v>0</v>
      </c>
    </row>
    <row r="372" spans="1:134" ht="15" x14ac:dyDescent="0.25">
      <c r="A372" s="555">
        <v>119</v>
      </c>
      <c r="B372" s="555">
        <v>101</v>
      </c>
      <c r="C372" s="555" t="s">
        <v>1355</v>
      </c>
      <c r="D372" s="812">
        <v>99712</v>
      </c>
      <c r="E372" s="812">
        <v>99712</v>
      </c>
      <c r="F372" s="630" t="s">
        <v>989</v>
      </c>
      <c r="G372" s="45">
        <v>352</v>
      </c>
      <c r="H372" s="45">
        <v>157</v>
      </c>
      <c r="I372" s="45">
        <v>139</v>
      </c>
      <c r="J372" s="45">
        <v>18</v>
      </c>
      <c r="K372" s="45">
        <v>0</v>
      </c>
      <c r="L372" s="45">
        <v>0</v>
      </c>
      <c r="M372" s="45">
        <v>0</v>
      </c>
      <c r="N372" s="45">
        <v>0</v>
      </c>
      <c r="O372" s="45">
        <v>0</v>
      </c>
      <c r="P372" s="45">
        <v>0</v>
      </c>
      <c r="Q372" s="45">
        <v>0</v>
      </c>
      <c r="R372" s="45">
        <v>0</v>
      </c>
      <c r="S372" s="45">
        <v>834.49503068156923</v>
      </c>
      <c r="T372" s="45">
        <v>834.49503068156923</v>
      </c>
      <c r="U372" s="45">
        <v>1408.3846153846155</v>
      </c>
      <c r="V372" s="45">
        <v>0</v>
      </c>
      <c r="W372" s="45">
        <v>0</v>
      </c>
      <c r="X372" s="45">
        <v>1365.173957061457</v>
      </c>
      <c r="Y372" s="45">
        <v>3.5972366597366596</v>
      </c>
      <c r="Z372" s="45">
        <v>153.19876126126127</v>
      </c>
      <c r="AA372" s="45">
        <v>0.20400207900207901</v>
      </c>
      <c r="AB372" s="508">
        <v>0</v>
      </c>
      <c r="AC372" s="508">
        <v>0</v>
      </c>
      <c r="AD372" s="631">
        <v>157</v>
      </c>
      <c r="AE372" s="632">
        <v>3.1848146223146223</v>
      </c>
      <c r="AF372" s="632">
        <v>135.6345720720721</v>
      </c>
      <c r="AG372" s="633">
        <v>138.81938669438674</v>
      </c>
      <c r="AH372" s="632">
        <v>0.18061330561330563</v>
      </c>
      <c r="AI372" s="632">
        <v>3.2702990905270699</v>
      </c>
      <c r="AJ372" s="632">
        <v>139.2751762012937</v>
      </c>
      <c r="AK372" s="632">
        <v>142.54547529182076</v>
      </c>
      <c r="AL372" s="632">
        <v>0.18546119606013631</v>
      </c>
      <c r="AM372" s="632">
        <v>2.9059971929544939</v>
      </c>
      <c r="AN372" s="632">
        <v>123.76032279786732</v>
      </c>
      <c r="AO372" s="632">
        <v>126.6663199908218</v>
      </c>
      <c r="AP372" s="632">
        <v>0.16480135309760838</v>
      </c>
      <c r="AQ372" s="632">
        <v>0</v>
      </c>
      <c r="AR372" s="632">
        <v>0</v>
      </c>
      <c r="AS372" s="632">
        <v>129.59012216886413</v>
      </c>
      <c r="AT372" s="632">
        <v>135.9135223503749</v>
      </c>
      <c r="AU372" s="632">
        <v>142.54547529182076</v>
      </c>
      <c r="AV372" s="632">
        <v>149.50103694457772</v>
      </c>
      <c r="AW372" s="632">
        <v>156.79599792099793</v>
      </c>
      <c r="AX372" s="632">
        <v>115.57720432333556</v>
      </c>
      <c r="AY372" s="632">
        <v>120.99478974924588</v>
      </c>
      <c r="AZ372" s="632">
        <v>126.66631999082182</v>
      </c>
      <c r="BA372" s="632">
        <v>132.60369850030889</v>
      </c>
      <c r="BB372" s="632">
        <v>138.81938669438674</v>
      </c>
      <c r="BC372" s="632">
        <v>0</v>
      </c>
      <c r="BD372" s="632">
        <v>0</v>
      </c>
      <c r="BE372" s="632">
        <v>0</v>
      </c>
      <c r="BF372" s="632">
        <v>0</v>
      </c>
      <c r="BG372" s="632">
        <v>0</v>
      </c>
      <c r="BH372" s="634">
        <v>158.24775622700759</v>
      </c>
      <c r="BI372" s="634">
        <v>159.71295621652328</v>
      </c>
      <c r="BJ372" s="634">
        <v>161.19172234473479</v>
      </c>
      <c r="BK372" s="635">
        <v>160.13195749240958</v>
      </c>
      <c r="BL372" s="635">
        <v>159.07916012902169</v>
      </c>
      <c r="BM372" s="635">
        <v>160.22116802300692</v>
      </c>
      <c r="BN372" s="635">
        <v>161.37137423805987</v>
      </c>
      <c r="BO372" s="635">
        <v>162.52983762882485</v>
      </c>
      <c r="BP372" s="635">
        <v>163.69661747245564</v>
      </c>
      <c r="BQ372" s="635">
        <v>164.87177347164877</v>
      </c>
      <c r="BR372" s="635">
        <v>165.79730178456069</v>
      </c>
      <c r="BS372" s="635">
        <v>166.72802566636815</v>
      </c>
      <c r="BT372" s="635">
        <v>167.66397428304671</v>
      </c>
      <c r="BU372" s="635">
        <v>168.60517696429881</v>
      </c>
      <c r="BV372" s="635">
        <v>169.5516632044727</v>
      </c>
      <c r="BW372" s="634">
        <v>140.10470137295579</v>
      </c>
      <c r="BX372" s="634">
        <v>141.40191665029772</v>
      </c>
      <c r="BY372" s="634">
        <v>142.71114271285441</v>
      </c>
      <c r="BZ372" s="635">
        <v>141.77287956334357</v>
      </c>
      <c r="CA372" s="635">
        <v>140.8407850823823</v>
      </c>
      <c r="CB372" s="635">
        <v>141.85186213501891</v>
      </c>
      <c r="CC372" s="635">
        <v>142.87019757382376</v>
      </c>
      <c r="CD372" s="635">
        <v>143.89584350577493</v>
      </c>
      <c r="CE372" s="635">
        <v>144.92885241191937</v>
      </c>
      <c r="CF372" s="635">
        <v>145.9692771500585</v>
      </c>
      <c r="CG372" s="635">
        <v>146.78869393664931</v>
      </c>
      <c r="CH372" s="635">
        <v>147.61271062181643</v>
      </c>
      <c r="CI372" s="635">
        <v>148.44135302766563</v>
      </c>
      <c r="CJ372" s="635">
        <v>149.27464712125823</v>
      </c>
      <c r="CK372" s="635">
        <v>150.11261901542491</v>
      </c>
      <c r="CL372" s="634">
        <v>0</v>
      </c>
      <c r="CM372" s="634">
        <v>0</v>
      </c>
      <c r="CN372" s="634">
        <v>0</v>
      </c>
      <c r="CO372" s="635">
        <v>0</v>
      </c>
      <c r="CP372" s="635">
        <v>0</v>
      </c>
      <c r="CQ372" s="635">
        <v>0</v>
      </c>
      <c r="CR372" s="635">
        <v>0</v>
      </c>
      <c r="CS372" s="635">
        <v>0</v>
      </c>
      <c r="CT372" s="635">
        <v>0</v>
      </c>
      <c r="CU372" s="635">
        <v>0</v>
      </c>
      <c r="CV372" s="635">
        <v>0</v>
      </c>
      <c r="CW372" s="635">
        <v>0</v>
      </c>
      <c r="CX372" s="635">
        <v>0</v>
      </c>
      <c r="CY372" s="635">
        <v>0</v>
      </c>
      <c r="CZ372" s="635">
        <v>0</v>
      </c>
      <c r="DA372" s="636">
        <v>0.20589091364429818</v>
      </c>
      <c r="DB372" s="636">
        <v>0.20779723681566911</v>
      </c>
      <c r="DC372" s="636">
        <v>0.20972121044071659</v>
      </c>
      <c r="DD372" s="637">
        <v>0.20834238549623935</v>
      </c>
      <c r="DE372" s="637">
        <v>0.20697262572081923</v>
      </c>
      <c r="DF372" s="637">
        <v>0.20845845436248622</v>
      </c>
      <c r="DG372" s="637">
        <v>0.20995494956812369</v>
      </c>
      <c r="DH372" s="637">
        <v>0.21146218791155977</v>
      </c>
      <c r="DI372" s="637">
        <v>0.21298024651633571</v>
      </c>
      <c r="DJ372" s="637">
        <v>0.21450920305965229</v>
      </c>
      <c r="DK372" s="637">
        <v>0.21571337728930609</v>
      </c>
      <c r="DL372" s="637">
        <v>0.21692431130154582</v>
      </c>
      <c r="DM372" s="637">
        <v>0.21814204304325618</v>
      </c>
      <c r="DN372" s="637">
        <v>0.21936661067434141</v>
      </c>
      <c r="DO372" s="637">
        <v>0.22059805256892101</v>
      </c>
      <c r="DP372" s="636">
        <v>0</v>
      </c>
      <c r="DQ372" s="636">
        <v>0</v>
      </c>
      <c r="DR372" s="636">
        <v>0</v>
      </c>
      <c r="DS372" s="637">
        <v>0</v>
      </c>
      <c r="DT372" s="637">
        <v>0</v>
      </c>
      <c r="DU372" s="637">
        <v>0</v>
      </c>
      <c r="DV372" s="637">
        <v>0</v>
      </c>
      <c r="DW372" s="637">
        <v>0</v>
      </c>
      <c r="DX372" s="637">
        <v>0</v>
      </c>
      <c r="DY372" s="637">
        <v>0</v>
      </c>
      <c r="DZ372" s="637">
        <v>0</v>
      </c>
      <c r="EA372" s="637">
        <v>0</v>
      </c>
      <c r="EB372" s="637">
        <v>0</v>
      </c>
      <c r="EC372" s="637">
        <v>0</v>
      </c>
      <c r="ED372" s="637">
        <v>0</v>
      </c>
    </row>
    <row r="373" spans="1:134" ht="15" x14ac:dyDescent="0.25">
      <c r="A373" s="555">
        <v>135</v>
      </c>
      <c r="B373" s="555">
        <v>101</v>
      </c>
      <c r="C373" s="555" t="s">
        <v>1356</v>
      </c>
      <c r="D373" s="812">
        <v>99712</v>
      </c>
      <c r="E373" s="812">
        <v>99712</v>
      </c>
      <c r="F373" s="630" t="s">
        <v>989</v>
      </c>
      <c r="G373" s="45">
        <v>27</v>
      </c>
      <c r="H373" s="45">
        <v>10</v>
      </c>
      <c r="I373" s="45">
        <v>9</v>
      </c>
      <c r="J373" s="45">
        <v>1</v>
      </c>
      <c r="K373" s="45">
        <v>0</v>
      </c>
      <c r="L373" s="45">
        <v>0</v>
      </c>
      <c r="M373" s="45">
        <v>0</v>
      </c>
      <c r="N373" s="45">
        <v>0</v>
      </c>
      <c r="O373" s="45">
        <v>0</v>
      </c>
      <c r="P373" s="45">
        <v>0</v>
      </c>
      <c r="Q373" s="45">
        <v>0</v>
      </c>
      <c r="R373" s="45">
        <v>0</v>
      </c>
      <c r="S373" s="45">
        <v>834.49503068156923</v>
      </c>
      <c r="T373" s="45">
        <v>834.49503068156923</v>
      </c>
      <c r="U373" s="45">
        <v>1408.3846153846155</v>
      </c>
      <c r="V373" s="45">
        <v>0</v>
      </c>
      <c r="W373" s="45">
        <v>0</v>
      </c>
      <c r="X373" s="45">
        <v>1365.173957061457</v>
      </c>
      <c r="Y373" s="45">
        <v>0.22912335412335413</v>
      </c>
      <c r="Z373" s="45">
        <v>9.7578828828828836</v>
      </c>
      <c r="AA373" s="45">
        <v>1.2993762993762994E-2</v>
      </c>
      <c r="AB373" s="508">
        <v>0</v>
      </c>
      <c r="AC373" s="508">
        <v>0</v>
      </c>
      <c r="AD373" s="631">
        <v>10</v>
      </c>
      <c r="AE373" s="632">
        <v>0.20621101871101871</v>
      </c>
      <c r="AF373" s="632">
        <v>8.7820945945945947</v>
      </c>
      <c r="AG373" s="633">
        <v>8.988305613305613</v>
      </c>
      <c r="AH373" s="632">
        <v>1.1694386694386695E-2</v>
      </c>
      <c r="AI373" s="632">
        <v>0.20829930512911277</v>
      </c>
      <c r="AJ373" s="632">
        <v>8.8710303312925927</v>
      </c>
      <c r="AK373" s="632">
        <v>9.079329636421706</v>
      </c>
      <c r="AL373" s="632">
        <v>1.1812815035677472E-2</v>
      </c>
      <c r="AM373" s="632">
        <v>0.1881580916301471</v>
      </c>
      <c r="AN373" s="632">
        <v>8.0132583106532778</v>
      </c>
      <c r="AO373" s="632">
        <v>8.2014164022834244</v>
      </c>
      <c r="AP373" s="632">
        <v>1.0670591207758814E-2</v>
      </c>
      <c r="AQ373" s="632">
        <v>0</v>
      </c>
      <c r="AR373" s="632">
        <v>0</v>
      </c>
      <c r="AS373" s="632">
        <v>8.2541479088448479</v>
      </c>
      <c r="AT373" s="632">
        <v>8.6569122516162373</v>
      </c>
      <c r="AU373" s="632">
        <v>9.079329636421706</v>
      </c>
      <c r="AV373" s="632">
        <v>9.5223590410559069</v>
      </c>
      <c r="AW373" s="632">
        <v>9.9870062370062378</v>
      </c>
      <c r="AX373" s="632">
        <v>7.4834161072663283</v>
      </c>
      <c r="AY373" s="632">
        <v>7.8341950197353425</v>
      </c>
      <c r="AZ373" s="632">
        <v>8.2014164022834244</v>
      </c>
      <c r="BA373" s="632">
        <v>8.5858509820343851</v>
      </c>
      <c r="BB373" s="632">
        <v>8.988305613305613</v>
      </c>
      <c r="BC373" s="632">
        <v>0</v>
      </c>
      <c r="BD373" s="632">
        <v>0</v>
      </c>
      <c r="BE373" s="632">
        <v>0</v>
      </c>
      <c r="BF373" s="632">
        <v>0</v>
      </c>
      <c r="BG373" s="632">
        <v>0</v>
      </c>
      <c r="BH373" s="634">
        <v>10.113419507725885</v>
      </c>
      <c r="BI373" s="634">
        <v>10.241432889092787</v>
      </c>
      <c r="BJ373" s="634">
        <v>10.371066634946347</v>
      </c>
      <c r="BK373" s="635">
        <v>10.302881422077085</v>
      </c>
      <c r="BL373" s="635">
        <v>10.235144497066504</v>
      </c>
      <c r="BM373" s="635">
        <v>10.308621222756088</v>
      </c>
      <c r="BN373" s="635">
        <v>10.382625427976576</v>
      </c>
      <c r="BO373" s="635">
        <v>10.457160899432575</v>
      </c>
      <c r="BP373" s="635">
        <v>10.532231451012933</v>
      </c>
      <c r="BQ373" s="635">
        <v>10.607840923985892</v>
      </c>
      <c r="BR373" s="635">
        <v>10.667389365221668</v>
      </c>
      <c r="BS373" s="635">
        <v>10.727272089077161</v>
      </c>
      <c r="BT373" s="635">
        <v>10.787490972089651</v>
      </c>
      <c r="BU373" s="635">
        <v>10.848047901330593</v>
      </c>
      <c r="BV373" s="635">
        <v>10.908944774464748</v>
      </c>
      <c r="BW373" s="634">
        <v>9.1020775569532955</v>
      </c>
      <c r="BX373" s="634">
        <v>9.2172896001835074</v>
      </c>
      <c r="BY373" s="634">
        <v>9.3339599714517121</v>
      </c>
      <c r="BZ373" s="635">
        <v>9.2725932798693762</v>
      </c>
      <c r="CA373" s="635">
        <v>9.2116300473598525</v>
      </c>
      <c r="CB373" s="635">
        <v>9.2777591004804787</v>
      </c>
      <c r="CC373" s="635">
        <v>9.3443628851789171</v>
      </c>
      <c r="CD373" s="635">
        <v>9.4114448094893177</v>
      </c>
      <c r="CE373" s="635">
        <v>9.4790083059116395</v>
      </c>
      <c r="CF373" s="635">
        <v>9.5470568315873017</v>
      </c>
      <c r="CG373" s="635">
        <v>9.6006504286995007</v>
      </c>
      <c r="CH373" s="635">
        <v>9.6545448801694445</v>
      </c>
      <c r="CI373" s="635">
        <v>9.7087418748806869</v>
      </c>
      <c r="CJ373" s="635">
        <v>9.763243111197534</v>
      </c>
      <c r="CK373" s="635">
        <v>9.8180502970182726</v>
      </c>
      <c r="CL373" s="634">
        <v>0</v>
      </c>
      <c r="CM373" s="634">
        <v>0</v>
      </c>
      <c r="CN373" s="634">
        <v>0</v>
      </c>
      <c r="CO373" s="635">
        <v>0</v>
      </c>
      <c r="CP373" s="635">
        <v>0</v>
      </c>
      <c r="CQ373" s="635">
        <v>0</v>
      </c>
      <c r="CR373" s="635">
        <v>0</v>
      </c>
      <c r="CS373" s="635">
        <v>0</v>
      </c>
      <c r="CT373" s="635">
        <v>0</v>
      </c>
      <c r="CU373" s="635">
        <v>0</v>
      </c>
      <c r="CV373" s="635">
        <v>0</v>
      </c>
      <c r="CW373" s="635">
        <v>0</v>
      </c>
      <c r="CX373" s="635">
        <v>0</v>
      </c>
      <c r="CY373" s="635">
        <v>0</v>
      </c>
      <c r="CZ373" s="635">
        <v>0</v>
      </c>
      <c r="DA373" s="636">
        <v>1.3158235112836175E-2</v>
      </c>
      <c r="DB373" s="636">
        <v>1.3324789082868575E-2</v>
      </c>
      <c r="DC373" s="636">
        <v>1.3493451255459728E-2</v>
      </c>
      <c r="DD373" s="637">
        <v>1.3404737733641797E-2</v>
      </c>
      <c r="DE373" s="637">
        <v>1.3316607464307186E-2</v>
      </c>
      <c r="DF373" s="637">
        <v>1.3412205598173415E-2</v>
      </c>
      <c r="DG373" s="637">
        <v>1.3508490018184459E-2</v>
      </c>
      <c r="DH373" s="637">
        <v>1.3605465651096247E-2</v>
      </c>
      <c r="DI373" s="637">
        <v>1.370313745903322E-2</v>
      </c>
      <c r="DJ373" s="637">
        <v>1.3801510439742247E-2</v>
      </c>
      <c r="DK373" s="637">
        <v>1.3878986944082315E-2</v>
      </c>
      <c r="DL373" s="637">
        <v>1.3956898372465731E-2</v>
      </c>
      <c r="DM373" s="637">
        <v>1.4035247166392989E-2</v>
      </c>
      <c r="DN373" s="637">
        <v>1.4114035781070249E-2</v>
      </c>
      <c r="DO373" s="637">
        <v>1.4193266685486271E-2</v>
      </c>
      <c r="DP373" s="636">
        <v>0</v>
      </c>
      <c r="DQ373" s="636">
        <v>0</v>
      </c>
      <c r="DR373" s="636">
        <v>0</v>
      </c>
      <c r="DS373" s="637">
        <v>0</v>
      </c>
      <c r="DT373" s="637">
        <v>0</v>
      </c>
      <c r="DU373" s="637">
        <v>0</v>
      </c>
      <c r="DV373" s="637">
        <v>0</v>
      </c>
      <c r="DW373" s="637">
        <v>0</v>
      </c>
      <c r="DX373" s="637">
        <v>0</v>
      </c>
      <c r="DY373" s="637">
        <v>0</v>
      </c>
      <c r="DZ373" s="637">
        <v>0</v>
      </c>
      <c r="EA373" s="637">
        <v>0</v>
      </c>
      <c r="EB373" s="637">
        <v>0</v>
      </c>
      <c r="EC373" s="637">
        <v>0</v>
      </c>
      <c r="ED373" s="637">
        <v>0</v>
      </c>
    </row>
    <row r="374" spans="1:134" ht="15" x14ac:dyDescent="0.25">
      <c r="A374" s="555">
        <v>136</v>
      </c>
      <c r="B374" s="555">
        <v>101</v>
      </c>
      <c r="C374" s="555" t="s">
        <v>1357</v>
      </c>
      <c r="D374" s="812">
        <v>99712</v>
      </c>
      <c r="E374" s="812">
        <v>99712</v>
      </c>
      <c r="F374" s="630" t="s">
        <v>989</v>
      </c>
      <c r="G374" s="45">
        <v>4</v>
      </c>
      <c r="H374" s="45">
        <v>2</v>
      </c>
      <c r="I374" s="45">
        <v>2</v>
      </c>
      <c r="J374" s="45">
        <v>0</v>
      </c>
      <c r="K374" s="45">
        <v>0</v>
      </c>
      <c r="L374" s="45">
        <v>0</v>
      </c>
      <c r="M374" s="45">
        <v>0</v>
      </c>
      <c r="N374" s="45">
        <v>0</v>
      </c>
      <c r="O374" s="45">
        <v>0</v>
      </c>
      <c r="P374" s="45">
        <v>0</v>
      </c>
      <c r="Q374" s="45">
        <v>0</v>
      </c>
      <c r="R374" s="45">
        <v>0</v>
      </c>
      <c r="S374" s="45">
        <v>834.49503068156923</v>
      </c>
      <c r="T374" s="45">
        <v>834.49503068156923</v>
      </c>
      <c r="U374" s="45">
        <v>1408.3846153846155</v>
      </c>
      <c r="V374" s="45">
        <v>0</v>
      </c>
      <c r="W374" s="45">
        <v>0</v>
      </c>
      <c r="X374" s="45">
        <v>1365.173957061457</v>
      </c>
      <c r="Y374" s="45">
        <v>4.5824670824670823E-2</v>
      </c>
      <c r="Z374" s="45">
        <v>1.9515765765765767</v>
      </c>
      <c r="AA374" s="45">
        <v>2.5987525987525989E-3</v>
      </c>
      <c r="AB374" s="508">
        <v>0</v>
      </c>
      <c r="AC374" s="508">
        <v>0</v>
      </c>
      <c r="AD374" s="631">
        <v>2</v>
      </c>
      <c r="AE374" s="632">
        <v>4.5824670824670823E-2</v>
      </c>
      <c r="AF374" s="632">
        <v>1.9515765765765767</v>
      </c>
      <c r="AG374" s="633">
        <v>1.9974012474012475</v>
      </c>
      <c r="AH374" s="632">
        <v>2.5987525987525989E-3</v>
      </c>
      <c r="AI374" s="632">
        <v>4.1659861025822545E-2</v>
      </c>
      <c r="AJ374" s="632">
        <v>1.7742060662585184</v>
      </c>
      <c r="AK374" s="632">
        <v>1.8158659272843409</v>
      </c>
      <c r="AL374" s="632">
        <v>2.3625630071354943E-3</v>
      </c>
      <c r="AM374" s="632">
        <v>4.1812909251143796E-2</v>
      </c>
      <c r="AN374" s="632">
        <v>1.7807240690340618</v>
      </c>
      <c r="AO374" s="632">
        <v>1.8225369782852057</v>
      </c>
      <c r="AP374" s="632">
        <v>2.3712424906130701E-3</v>
      </c>
      <c r="AQ374" s="632">
        <v>0</v>
      </c>
      <c r="AR374" s="632">
        <v>0</v>
      </c>
      <c r="AS374" s="632">
        <v>1.6508295817689698</v>
      </c>
      <c r="AT374" s="632">
        <v>1.7313824503232471</v>
      </c>
      <c r="AU374" s="632">
        <v>1.8158659272843409</v>
      </c>
      <c r="AV374" s="632">
        <v>1.9044718082111811</v>
      </c>
      <c r="AW374" s="632">
        <v>1.9974012474012475</v>
      </c>
      <c r="AX374" s="632">
        <v>1.6629813571702954</v>
      </c>
      <c r="AY374" s="632">
        <v>1.740932226607854</v>
      </c>
      <c r="AZ374" s="632">
        <v>1.8225369782852054</v>
      </c>
      <c r="BA374" s="632">
        <v>1.9079668848965303</v>
      </c>
      <c r="BB374" s="632">
        <v>1.9974012474012475</v>
      </c>
      <c r="BC374" s="632">
        <v>0</v>
      </c>
      <c r="BD374" s="632">
        <v>0</v>
      </c>
      <c r="BE374" s="632">
        <v>0</v>
      </c>
      <c r="BF374" s="632">
        <v>0</v>
      </c>
      <c r="BG374" s="632">
        <v>0</v>
      </c>
      <c r="BH374" s="634">
        <v>2.022683901545177</v>
      </c>
      <c r="BI374" s="634">
        <v>2.0482865778185571</v>
      </c>
      <c r="BJ374" s="634">
        <v>2.0742133269892693</v>
      </c>
      <c r="BK374" s="635">
        <v>2.0605762844154167</v>
      </c>
      <c r="BL374" s="635">
        <v>2.0470288994133008</v>
      </c>
      <c r="BM374" s="635">
        <v>2.0617242445512174</v>
      </c>
      <c r="BN374" s="635">
        <v>2.076525085595315</v>
      </c>
      <c r="BO374" s="635">
        <v>2.0914321798865152</v>
      </c>
      <c r="BP374" s="635">
        <v>2.1064462902025864</v>
      </c>
      <c r="BQ374" s="635">
        <v>2.1215681847971783</v>
      </c>
      <c r="BR374" s="635">
        <v>2.1334778730443333</v>
      </c>
      <c r="BS374" s="635">
        <v>2.145454417815432</v>
      </c>
      <c r="BT374" s="635">
        <v>2.1574981944179301</v>
      </c>
      <c r="BU374" s="635">
        <v>2.1696095802661186</v>
      </c>
      <c r="BV374" s="635">
        <v>2.1817889548929497</v>
      </c>
      <c r="BW374" s="634">
        <v>2.022683901545177</v>
      </c>
      <c r="BX374" s="634">
        <v>2.0482865778185571</v>
      </c>
      <c r="BY374" s="634">
        <v>2.0742133269892693</v>
      </c>
      <c r="BZ374" s="635">
        <v>2.0605762844154167</v>
      </c>
      <c r="CA374" s="635">
        <v>2.0470288994133008</v>
      </c>
      <c r="CB374" s="635">
        <v>2.0617242445512174</v>
      </c>
      <c r="CC374" s="635">
        <v>2.076525085595315</v>
      </c>
      <c r="CD374" s="635">
        <v>2.0914321798865152</v>
      </c>
      <c r="CE374" s="635">
        <v>2.1064462902025864</v>
      </c>
      <c r="CF374" s="635">
        <v>2.1215681847971783</v>
      </c>
      <c r="CG374" s="635">
        <v>2.1334778730443333</v>
      </c>
      <c r="CH374" s="635">
        <v>2.145454417815432</v>
      </c>
      <c r="CI374" s="635">
        <v>2.1574981944179301</v>
      </c>
      <c r="CJ374" s="635">
        <v>2.1696095802661186</v>
      </c>
      <c r="CK374" s="635">
        <v>2.1817889548929497</v>
      </c>
      <c r="CL374" s="634">
        <v>0</v>
      </c>
      <c r="CM374" s="634">
        <v>0</v>
      </c>
      <c r="CN374" s="634">
        <v>0</v>
      </c>
      <c r="CO374" s="635">
        <v>0</v>
      </c>
      <c r="CP374" s="635">
        <v>0</v>
      </c>
      <c r="CQ374" s="635">
        <v>0</v>
      </c>
      <c r="CR374" s="635">
        <v>0</v>
      </c>
      <c r="CS374" s="635">
        <v>0</v>
      </c>
      <c r="CT374" s="635">
        <v>0</v>
      </c>
      <c r="CU374" s="635">
        <v>0</v>
      </c>
      <c r="CV374" s="635">
        <v>0</v>
      </c>
      <c r="CW374" s="635">
        <v>0</v>
      </c>
      <c r="CX374" s="635">
        <v>0</v>
      </c>
      <c r="CY374" s="635">
        <v>0</v>
      </c>
      <c r="CZ374" s="635">
        <v>0</v>
      </c>
      <c r="DA374" s="636">
        <v>2.6316470225672354E-3</v>
      </c>
      <c r="DB374" s="636">
        <v>2.6649578165737148E-3</v>
      </c>
      <c r="DC374" s="636">
        <v>2.6986902510919455E-3</v>
      </c>
      <c r="DD374" s="637">
        <v>2.6809475467283591E-3</v>
      </c>
      <c r="DE374" s="637">
        <v>2.6633214928614372E-3</v>
      </c>
      <c r="DF374" s="637">
        <v>2.6824411196346831E-3</v>
      </c>
      <c r="DG374" s="637">
        <v>2.7016980036368918E-3</v>
      </c>
      <c r="DH374" s="637">
        <v>2.7210931302192494E-3</v>
      </c>
      <c r="DI374" s="637">
        <v>2.7406274918066438E-3</v>
      </c>
      <c r="DJ374" s="637">
        <v>2.7603020879484494E-3</v>
      </c>
      <c r="DK374" s="637">
        <v>2.775797388816463E-3</v>
      </c>
      <c r="DL374" s="637">
        <v>2.7913796744931463E-3</v>
      </c>
      <c r="DM374" s="637">
        <v>2.8070494332785977E-3</v>
      </c>
      <c r="DN374" s="637">
        <v>2.8228071562140496E-3</v>
      </c>
      <c r="DO374" s="637">
        <v>2.8386533370972542E-3</v>
      </c>
      <c r="DP374" s="636">
        <v>0</v>
      </c>
      <c r="DQ374" s="636">
        <v>0</v>
      </c>
      <c r="DR374" s="636">
        <v>0</v>
      </c>
      <c r="DS374" s="637">
        <v>0</v>
      </c>
      <c r="DT374" s="637">
        <v>0</v>
      </c>
      <c r="DU374" s="637">
        <v>0</v>
      </c>
      <c r="DV374" s="637">
        <v>0</v>
      </c>
      <c r="DW374" s="637">
        <v>0</v>
      </c>
      <c r="DX374" s="637">
        <v>0</v>
      </c>
      <c r="DY374" s="637">
        <v>0</v>
      </c>
      <c r="DZ374" s="637">
        <v>0</v>
      </c>
      <c r="EA374" s="637">
        <v>0</v>
      </c>
      <c r="EB374" s="637">
        <v>0</v>
      </c>
      <c r="EC374" s="637">
        <v>0</v>
      </c>
      <c r="ED374" s="637">
        <v>0</v>
      </c>
    </row>
    <row r="375" spans="1:134" ht="15" x14ac:dyDescent="0.25">
      <c r="A375" s="555">
        <v>92</v>
      </c>
      <c r="B375" s="555">
        <v>102</v>
      </c>
      <c r="C375" s="555" t="s">
        <v>1358</v>
      </c>
      <c r="D375" s="812">
        <v>99709</v>
      </c>
      <c r="E375" s="812">
        <v>99709</v>
      </c>
      <c r="F375" s="630" t="s">
        <v>989</v>
      </c>
      <c r="G375" s="45">
        <v>14</v>
      </c>
      <c r="H375" s="45">
        <v>13</v>
      </c>
      <c r="I375" s="45">
        <v>6</v>
      </c>
      <c r="J375" s="45">
        <v>7</v>
      </c>
      <c r="K375" s="45">
        <v>0</v>
      </c>
      <c r="L375" s="45">
        <v>0</v>
      </c>
      <c r="M375" s="45">
        <v>0</v>
      </c>
      <c r="N375" s="45">
        <v>0</v>
      </c>
      <c r="O375" s="45">
        <v>0</v>
      </c>
      <c r="P375" s="45">
        <v>0</v>
      </c>
      <c r="Q375" s="45">
        <v>0</v>
      </c>
      <c r="R375" s="45">
        <v>0</v>
      </c>
      <c r="S375" s="45">
        <v>834.49503068156923</v>
      </c>
      <c r="T375" s="45">
        <v>834.49503068156923</v>
      </c>
      <c r="U375" s="45">
        <v>1408.3846153846155</v>
      </c>
      <c r="V375" s="45">
        <v>0</v>
      </c>
      <c r="W375" s="45">
        <v>0</v>
      </c>
      <c r="X375" s="45">
        <v>1365.173957061457</v>
      </c>
      <c r="Y375" s="45">
        <v>0.29786036036036034</v>
      </c>
      <c r="Z375" s="45">
        <v>12.685247747747749</v>
      </c>
      <c r="AA375" s="45">
        <v>1.6891891891891893E-2</v>
      </c>
      <c r="AB375" s="508">
        <v>0</v>
      </c>
      <c r="AC375" s="508">
        <v>0</v>
      </c>
      <c r="AD375" s="631">
        <v>13</v>
      </c>
      <c r="AE375" s="632">
        <v>0.13747401247401247</v>
      </c>
      <c r="AF375" s="632">
        <v>5.8547297297297298</v>
      </c>
      <c r="AG375" s="633">
        <v>5.992203742203742</v>
      </c>
      <c r="AH375" s="632">
        <v>7.7962577962577967E-3</v>
      </c>
      <c r="AI375" s="632">
        <v>0.28361024265714757</v>
      </c>
      <c r="AJ375" s="632">
        <v>12.078365135771037</v>
      </c>
      <c r="AK375" s="632">
        <v>12.361975378428184</v>
      </c>
      <c r="AL375" s="632">
        <v>1.6083756672428031E-2</v>
      </c>
      <c r="AM375" s="632">
        <v>0.13114397055276233</v>
      </c>
      <c r="AN375" s="632">
        <v>5.5851465266222737</v>
      </c>
      <c r="AO375" s="632">
        <v>5.7162904971750361</v>
      </c>
      <c r="AP375" s="632">
        <v>7.4372762128220608E-3</v>
      </c>
      <c r="AQ375" s="632">
        <v>0</v>
      </c>
      <c r="AR375" s="632">
        <v>0</v>
      </c>
      <c r="AS375" s="632">
        <v>11.770558635449371</v>
      </c>
      <c r="AT375" s="632">
        <v>12.062642995702491</v>
      </c>
      <c r="AU375" s="632">
        <v>12.361975378428184</v>
      </c>
      <c r="AV375" s="632">
        <v>12.668735642040359</v>
      </c>
      <c r="AW375" s="632">
        <v>12.983108108108109</v>
      </c>
      <c r="AX375" s="632">
        <v>5.4530817799056388</v>
      </c>
      <c r="AY375" s="632">
        <v>5.5831352803593202</v>
      </c>
      <c r="AZ375" s="632">
        <v>5.7162904971750352</v>
      </c>
      <c r="BA375" s="632">
        <v>5.8526214048660226</v>
      </c>
      <c r="BB375" s="632">
        <v>5.992203742203742</v>
      </c>
      <c r="BC375" s="632">
        <v>0</v>
      </c>
      <c r="BD375" s="632">
        <v>0</v>
      </c>
      <c r="BE375" s="632">
        <v>0</v>
      </c>
      <c r="BF375" s="632">
        <v>0</v>
      </c>
      <c r="BG375" s="632">
        <v>0</v>
      </c>
      <c r="BH375" s="634">
        <v>13.049615754357898</v>
      </c>
      <c r="BI375" s="634">
        <v>13.116464094605833</v>
      </c>
      <c r="BJ375" s="634">
        <v>13.183654874100869</v>
      </c>
      <c r="BK375" s="635">
        <v>13.096978127568702</v>
      </c>
      <c r="BL375" s="635">
        <v>13.010871242615979</v>
      </c>
      <c r="BM375" s="635">
        <v>13.104274537269042</v>
      </c>
      <c r="BN375" s="635">
        <v>13.198348361611421</v>
      </c>
      <c r="BO375" s="635">
        <v>13.29309752928557</v>
      </c>
      <c r="BP375" s="635">
        <v>13.388526888490428</v>
      </c>
      <c r="BQ375" s="635">
        <v>13.484641322229511</v>
      </c>
      <c r="BR375" s="635">
        <v>13.560339042162944</v>
      </c>
      <c r="BS375" s="635">
        <v>13.636461700711072</v>
      </c>
      <c r="BT375" s="635">
        <v>13.713011683319937</v>
      </c>
      <c r="BU375" s="635">
        <v>13.789991388826579</v>
      </c>
      <c r="BV375" s="635">
        <v>13.867403229534201</v>
      </c>
      <c r="BW375" s="634">
        <v>6.022899578934414</v>
      </c>
      <c r="BX375" s="634">
        <v>6.0537526590488451</v>
      </c>
      <c r="BY375" s="634">
        <v>6.0847637880465539</v>
      </c>
      <c r="BZ375" s="635">
        <v>6.0447591358009385</v>
      </c>
      <c r="CA375" s="635">
        <v>6.0050174965919894</v>
      </c>
      <c r="CB375" s="635">
        <v>6.0481267095087876</v>
      </c>
      <c r="CC375" s="635">
        <v>6.0915453976668088</v>
      </c>
      <c r="CD375" s="635">
        <v>6.1352757827471853</v>
      </c>
      <c r="CE375" s="635">
        <v>6.1793201023801974</v>
      </c>
      <c r="CF375" s="635">
        <v>6.2236806102597733</v>
      </c>
      <c r="CG375" s="635">
        <v>6.2586180194598189</v>
      </c>
      <c r="CH375" s="635">
        <v>6.2937515541743405</v>
      </c>
      <c r="CI375" s="635">
        <v>6.3290823153784324</v>
      </c>
      <c r="CJ375" s="635">
        <v>6.364611410227651</v>
      </c>
      <c r="CK375" s="635">
        <v>6.4003399520927076</v>
      </c>
      <c r="CL375" s="634">
        <v>0</v>
      </c>
      <c r="CM375" s="634">
        <v>0</v>
      </c>
      <c r="CN375" s="634">
        <v>0</v>
      </c>
      <c r="CO375" s="635">
        <v>0</v>
      </c>
      <c r="CP375" s="635">
        <v>0</v>
      </c>
      <c r="CQ375" s="635">
        <v>0</v>
      </c>
      <c r="CR375" s="635">
        <v>0</v>
      </c>
      <c r="CS375" s="635">
        <v>0</v>
      </c>
      <c r="CT375" s="635">
        <v>0</v>
      </c>
      <c r="CU375" s="635">
        <v>0</v>
      </c>
      <c r="CV375" s="635">
        <v>0</v>
      </c>
      <c r="CW375" s="635">
        <v>0</v>
      </c>
      <c r="CX375" s="635">
        <v>0</v>
      </c>
      <c r="CY375" s="635">
        <v>0</v>
      </c>
      <c r="CZ375" s="635">
        <v>0</v>
      </c>
      <c r="DA375" s="636">
        <v>1.6978422787350896E-2</v>
      </c>
      <c r="DB375" s="636">
        <v>1.7065396948485342E-2</v>
      </c>
      <c r="DC375" s="636">
        <v>1.7152816645980833E-2</v>
      </c>
      <c r="DD375" s="637">
        <v>1.7040044402249155E-2</v>
      </c>
      <c r="DE375" s="637">
        <v>1.6928013586541734E-2</v>
      </c>
      <c r="DF375" s="637">
        <v>1.7049537519215511E-2</v>
      </c>
      <c r="DG375" s="637">
        <v>1.717193385585665E-2</v>
      </c>
      <c r="DH375" s="637">
        <v>1.7295208859335897E-2</v>
      </c>
      <c r="DI375" s="637">
        <v>1.7419368837484295E-2</v>
      </c>
      <c r="DJ375" s="637">
        <v>1.7544420143415961E-2</v>
      </c>
      <c r="DK375" s="637">
        <v>1.7642907939322071E-2</v>
      </c>
      <c r="DL375" s="637">
        <v>1.7741948608783597E-2</v>
      </c>
      <c r="DM375" s="637">
        <v>1.7841545255425369E-2</v>
      </c>
      <c r="DN375" s="637">
        <v>1.7941701000294793E-2</v>
      </c>
      <c r="DO375" s="637">
        <v>1.8042418981959667E-2</v>
      </c>
      <c r="DP375" s="636">
        <v>0</v>
      </c>
      <c r="DQ375" s="636">
        <v>0</v>
      </c>
      <c r="DR375" s="636">
        <v>0</v>
      </c>
      <c r="DS375" s="637">
        <v>0</v>
      </c>
      <c r="DT375" s="637">
        <v>0</v>
      </c>
      <c r="DU375" s="637">
        <v>0</v>
      </c>
      <c r="DV375" s="637">
        <v>0</v>
      </c>
      <c r="DW375" s="637">
        <v>0</v>
      </c>
      <c r="DX375" s="637">
        <v>0</v>
      </c>
      <c r="DY375" s="637">
        <v>0</v>
      </c>
      <c r="DZ375" s="637">
        <v>0</v>
      </c>
      <c r="EA375" s="637">
        <v>0</v>
      </c>
      <c r="EB375" s="637">
        <v>0</v>
      </c>
      <c r="EC375" s="637">
        <v>0</v>
      </c>
      <c r="ED375" s="637">
        <v>0</v>
      </c>
    </row>
    <row r="376" spans="1:134" ht="15" x14ac:dyDescent="0.25">
      <c r="A376" s="555">
        <v>95</v>
      </c>
      <c r="B376" s="555">
        <v>102</v>
      </c>
      <c r="C376" s="555" t="s">
        <v>1359</v>
      </c>
      <c r="D376" s="812">
        <v>99709</v>
      </c>
      <c r="E376" s="812">
        <v>99709</v>
      </c>
      <c r="F376" s="630" t="s">
        <v>989</v>
      </c>
      <c r="G376" s="45">
        <v>295</v>
      </c>
      <c r="H376" s="45">
        <v>124</v>
      </c>
      <c r="I376" s="45">
        <v>117</v>
      </c>
      <c r="J376" s="45">
        <v>7</v>
      </c>
      <c r="K376" s="45">
        <v>0</v>
      </c>
      <c r="L376" s="45">
        <v>0</v>
      </c>
      <c r="M376" s="45">
        <v>0</v>
      </c>
      <c r="N376" s="45">
        <v>0</v>
      </c>
      <c r="O376" s="45">
        <v>0</v>
      </c>
      <c r="P376" s="45">
        <v>0</v>
      </c>
      <c r="Q376" s="45">
        <v>0</v>
      </c>
      <c r="R376" s="45">
        <v>0</v>
      </c>
      <c r="S376" s="45">
        <v>834.49503068156923</v>
      </c>
      <c r="T376" s="45">
        <v>834.49503068156923</v>
      </c>
      <c r="U376" s="45">
        <v>1408.3846153846155</v>
      </c>
      <c r="V376" s="45">
        <v>0</v>
      </c>
      <c r="W376" s="45">
        <v>0</v>
      </c>
      <c r="X376" s="45">
        <v>1365.173957061457</v>
      </c>
      <c r="Y376" s="45">
        <v>2.8411295911295911</v>
      </c>
      <c r="Z376" s="45">
        <v>120.99774774774775</v>
      </c>
      <c r="AA376" s="45">
        <v>0.16112266112266113</v>
      </c>
      <c r="AB376" s="508">
        <v>0</v>
      </c>
      <c r="AC376" s="508">
        <v>0</v>
      </c>
      <c r="AD376" s="631">
        <v>124</v>
      </c>
      <c r="AE376" s="632">
        <v>2.680743243243243</v>
      </c>
      <c r="AF376" s="632">
        <v>114.16722972972973</v>
      </c>
      <c r="AG376" s="633">
        <v>116.84797297297297</v>
      </c>
      <c r="AH376" s="632">
        <v>0.15202702702702703</v>
      </c>
      <c r="AI376" s="632">
        <v>2.705205391498946</v>
      </c>
      <c r="AJ376" s="632">
        <v>115.20902129504681</v>
      </c>
      <c r="AK376" s="632">
        <v>117.91422668654576</v>
      </c>
      <c r="AL376" s="632">
        <v>0.1534142944139289</v>
      </c>
      <c r="AM376" s="632">
        <v>2.5573074257788653</v>
      </c>
      <c r="AN376" s="632">
        <v>108.91035726913432</v>
      </c>
      <c r="AO376" s="632">
        <v>111.46766469491318</v>
      </c>
      <c r="AP376" s="632">
        <v>0.14502688615003018</v>
      </c>
      <c r="AQ376" s="632">
        <v>0</v>
      </c>
      <c r="AR376" s="632">
        <v>0</v>
      </c>
      <c r="AS376" s="632">
        <v>112.27302083044015</v>
      </c>
      <c r="AT376" s="632">
        <v>115.05905626670068</v>
      </c>
      <c r="AU376" s="632">
        <v>117.91422668654575</v>
      </c>
      <c r="AV376" s="632">
        <v>120.8402476625388</v>
      </c>
      <c r="AW376" s="632">
        <v>123.83887733887734</v>
      </c>
      <c r="AX376" s="632">
        <v>106.33509470815997</v>
      </c>
      <c r="AY376" s="632">
        <v>108.87113796700673</v>
      </c>
      <c r="AZ376" s="632">
        <v>111.4676646949132</v>
      </c>
      <c r="BA376" s="632">
        <v>114.12611739488744</v>
      </c>
      <c r="BB376" s="632">
        <v>116.84797297297297</v>
      </c>
      <c r="BC376" s="632">
        <v>0</v>
      </c>
      <c r="BD376" s="632">
        <v>0</v>
      </c>
      <c r="BE376" s="632">
        <v>0</v>
      </c>
      <c r="BF376" s="632">
        <v>0</v>
      </c>
      <c r="BG376" s="632">
        <v>0</v>
      </c>
      <c r="BH376" s="634">
        <v>124.47325796464456</v>
      </c>
      <c r="BI376" s="634">
        <v>125.11088828700947</v>
      </c>
      <c r="BJ376" s="634">
        <v>125.75178495296213</v>
      </c>
      <c r="BK376" s="635">
        <v>124.92502213988607</v>
      </c>
      <c r="BL376" s="635">
        <v>124.10369492956779</v>
      </c>
      <c r="BM376" s="635">
        <v>124.99461866318163</v>
      </c>
      <c r="BN376" s="635">
        <v>125.89193821844739</v>
      </c>
      <c r="BO376" s="635">
        <v>126.79569951010851</v>
      </c>
      <c r="BP376" s="635">
        <v>127.70594878252409</v>
      </c>
      <c r="BQ376" s="635">
        <v>128.62273261203532</v>
      </c>
      <c r="BR376" s="635">
        <v>129.34477240216961</v>
      </c>
      <c r="BS376" s="635">
        <v>130.07086545293637</v>
      </c>
      <c r="BT376" s="635">
        <v>130.80103451782094</v>
      </c>
      <c r="BU376" s="635">
        <v>131.53530247803812</v>
      </c>
      <c r="BV376" s="635">
        <v>132.27369234324931</v>
      </c>
      <c r="BW376" s="634">
        <v>117.44654178922107</v>
      </c>
      <c r="BX376" s="634">
        <v>118.04817685145248</v>
      </c>
      <c r="BY376" s="634">
        <v>118.6528938669078</v>
      </c>
      <c r="BZ376" s="635">
        <v>117.87280314811831</v>
      </c>
      <c r="CA376" s="635">
        <v>117.09784118354379</v>
      </c>
      <c r="CB376" s="635">
        <v>117.93847083542137</v>
      </c>
      <c r="CC376" s="635">
        <v>118.78513525450278</v>
      </c>
      <c r="CD376" s="635">
        <v>119.63787776357012</v>
      </c>
      <c r="CE376" s="635">
        <v>120.49674199641385</v>
      </c>
      <c r="CF376" s="635">
        <v>121.36177190006558</v>
      </c>
      <c r="CG376" s="635">
        <v>122.04305137946648</v>
      </c>
      <c r="CH376" s="635">
        <v>122.72815530639964</v>
      </c>
      <c r="CI376" s="635">
        <v>123.41710514987943</v>
      </c>
      <c r="CJ376" s="635">
        <v>124.10992249943919</v>
      </c>
      <c r="CK376" s="635">
        <v>124.8066290658078</v>
      </c>
      <c r="CL376" s="634">
        <v>0</v>
      </c>
      <c r="CM376" s="634">
        <v>0</v>
      </c>
      <c r="CN376" s="634">
        <v>0</v>
      </c>
      <c r="CO376" s="635">
        <v>0</v>
      </c>
      <c r="CP376" s="635">
        <v>0</v>
      </c>
      <c r="CQ376" s="635">
        <v>0</v>
      </c>
      <c r="CR376" s="635">
        <v>0</v>
      </c>
      <c r="CS376" s="635">
        <v>0</v>
      </c>
      <c r="CT376" s="635">
        <v>0</v>
      </c>
      <c r="CU376" s="635">
        <v>0</v>
      </c>
      <c r="CV376" s="635">
        <v>0</v>
      </c>
      <c r="CW376" s="635">
        <v>0</v>
      </c>
      <c r="CX376" s="635">
        <v>0</v>
      </c>
      <c r="CY376" s="635">
        <v>0</v>
      </c>
      <c r="CZ376" s="635">
        <v>0</v>
      </c>
      <c r="DA376" s="636">
        <v>0.16194803274088548</v>
      </c>
      <c r="DB376" s="636">
        <v>0.16277763243170632</v>
      </c>
      <c r="DC376" s="636">
        <v>0.16361148185397104</v>
      </c>
      <c r="DD376" s="637">
        <v>0.16253580814453042</v>
      </c>
      <c r="DE376" s="637">
        <v>0.16146720651778274</v>
      </c>
      <c r="DF376" s="637">
        <v>0.16262635787559412</v>
      </c>
      <c r="DG376" s="637">
        <v>0.1637938306250942</v>
      </c>
      <c r="DH376" s="637">
        <v>0.16496968450443472</v>
      </c>
      <c r="DI376" s="637">
        <v>0.16615397968061943</v>
      </c>
      <c r="DJ376" s="637">
        <v>0.16734677675258305</v>
      </c>
      <c r="DK376" s="637">
        <v>0.16828619880584131</v>
      </c>
      <c r="DL376" s="637">
        <v>0.16923089442224354</v>
      </c>
      <c r="DM376" s="637">
        <v>0.17018089320559582</v>
      </c>
      <c r="DN376" s="637">
        <v>0.17113622492588881</v>
      </c>
      <c r="DO376" s="637">
        <v>0.17209691952023071</v>
      </c>
      <c r="DP376" s="636">
        <v>0</v>
      </c>
      <c r="DQ376" s="636">
        <v>0</v>
      </c>
      <c r="DR376" s="636">
        <v>0</v>
      </c>
      <c r="DS376" s="637">
        <v>0</v>
      </c>
      <c r="DT376" s="637">
        <v>0</v>
      </c>
      <c r="DU376" s="637">
        <v>0</v>
      </c>
      <c r="DV376" s="637">
        <v>0</v>
      </c>
      <c r="DW376" s="637">
        <v>0</v>
      </c>
      <c r="DX376" s="637">
        <v>0</v>
      </c>
      <c r="DY376" s="637">
        <v>0</v>
      </c>
      <c r="DZ376" s="637">
        <v>0</v>
      </c>
      <c r="EA376" s="637">
        <v>0</v>
      </c>
      <c r="EB376" s="637">
        <v>0</v>
      </c>
      <c r="EC376" s="637">
        <v>0</v>
      </c>
      <c r="ED376" s="637">
        <v>0</v>
      </c>
    </row>
    <row r="377" spans="1:134" ht="15" x14ac:dyDescent="0.25">
      <c r="A377" s="555">
        <v>103</v>
      </c>
      <c r="B377" s="555">
        <v>102</v>
      </c>
      <c r="C377" s="555" t="s">
        <v>1360</v>
      </c>
      <c r="D377" s="812">
        <v>99709</v>
      </c>
      <c r="E377" s="812">
        <v>99709</v>
      </c>
      <c r="F377" s="630" t="s">
        <v>311</v>
      </c>
      <c r="G377" s="45">
        <v>4</v>
      </c>
      <c r="H377" s="45">
        <v>1</v>
      </c>
      <c r="I377" s="45">
        <v>1</v>
      </c>
      <c r="J377" s="45">
        <v>0</v>
      </c>
      <c r="K377" s="45">
        <v>0</v>
      </c>
      <c r="L377" s="45">
        <v>12</v>
      </c>
      <c r="M377" s="45">
        <v>12</v>
      </c>
      <c r="N377" s="45">
        <v>0</v>
      </c>
      <c r="O377" s="45">
        <v>0</v>
      </c>
      <c r="P377" s="45">
        <v>0</v>
      </c>
      <c r="Q377" s="45">
        <v>12</v>
      </c>
      <c r="R377" s="45">
        <v>0</v>
      </c>
      <c r="S377" s="45">
        <v>1443.5833333333333</v>
      </c>
      <c r="T377" s="45">
        <v>1443.5833333333333</v>
      </c>
      <c r="U377" s="45">
        <v>0</v>
      </c>
      <c r="V377" s="45">
        <v>0</v>
      </c>
      <c r="W377" s="45">
        <v>0</v>
      </c>
      <c r="X377" s="45">
        <v>1443.5833333333333</v>
      </c>
      <c r="Y377" s="45">
        <v>0</v>
      </c>
      <c r="Z377" s="45">
        <v>1</v>
      </c>
      <c r="AA377" s="45">
        <v>0</v>
      </c>
      <c r="AB377" s="508">
        <v>0</v>
      </c>
      <c r="AC377" s="508">
        <v>0</v>
      </c>
      <c r="AD377" s="631">
        <v>1</v>
      </c>
      <c r="AE377" s="632">
        <v>0</v>
      </c>
      <c r="AF377" s="632">
        <v>1</v>
      </c>
      <c r="AG377" s="633">
        <v>1</v>
      </c>
      <c r="AH377" s="632">
        <v>0</v>
      </c>
      <c r="AI377" s="632">
        <v>0</v>
      </c>
      <c r="AJ377" s="632">
        <v>0.95215839500773936</v>
      </c>
      <c r="AK377" s="632">
        <v>0.95215839500773936</v>
      </c>
      <c r="AL377" s="632">
        <v>0</v>
      </c>
      <c r="AM377" s="632">
        <v>0</v>
      </c>
      <c r="AN377" s="632">
        <v>0.95395462889797633</v>
      </c>
      <c r="AO377" s="632">
        <v>0.95395462889797633</v>
      </c>
      <c r="AP377" s="632">
        <v>0</v>
      </c>
      <c r="AQ377" s="632">
        <v>0</v>
      </c>
      <c r="AR377" s="632">
        <v>0</v>
      </c>
      <c r="AS377" s="632">
        <v>0.90660560918371424</v>
      </c>
      <c r="AT377" s="632">
        <v>0.92910286930209141</v>
      </c>
      <c r="AU377" s="632">
        <v>0.95215839500773936</v>
      </c>
      <c r="AV377" s="632">
        <v>0.97578603956386833</v>
      </c>
      <c r="AW377" s="632">
        <v>1</v>
      </c>
      <c r="AX377" s="632">
        <v>0.91002943399587566</v>
      </c>
      <c r="AY377" s="632">
        <v>0.93173321878838855</v>
      </c>
      <c r="AZ377" s="632">
        <v>0.95395462889797633</v>
      </c>
      <c r="BA377" s="632">
        <v>0.97670600945114305</v>
      </c>
      <c r="BB377" s="632">
        <v>1</v>
      </c>
      <c r="BC377" s="632">
        <v>0</v>
      </c>
      <c r="BD377" s="632">
        <v>0</v>
      </c>
      <c r="BE377" s="632">
        <v>0</v>
      </c>
      <c r="BF377" s="632">
        <v>0</v>
      </c>
      <c r="BG377" s="632">
        <v>0</v>
      </c>
      <c r="BH377" s="634">
        <v>1.005122629011173</v>
      </c>
      <c r="BI377" s="634">
        <v>1.0102714993503321</v>
      </c>
      <c r="BJ377" s="634">
        <v>1.0154467454420653</v>
      </c>
      <c r="BK377" s="635">
        <v>1.0087706286131499</v>
      </c>
      <c r="BL377" s="635">
        <v>1.0021384043232706</v>
      </c>
      <c r="BM377" s="635">
        <v>1.0093326211375582</v>
      </c>
      <c r="BN377" s="635">
        <v>1.0165784842667136</v>
      </c>
      <c r="BO377" s="635">
        <v>1.0238763644726849</v>
      </c>
      <c r="BP377" s="635">
        <v>1.0312266351790702</v>
      </c>
      <c r="BQ377" s="635">
        <v>1.0386296724902249</v>
      </c>
      <c r="BR377" s="635">
        <v>1.0444601500078665</v>
      </c>
      <c r="BS377" s="635">
        <v>1.0503233576399889</v>
      </c>
      <c r="BT377" s="635">
        <v>1.0562194791211816</v>
      </c>
      <c r="BU377" s="635">
        <v>1.0621486992174518</v>
      </c>
      <c r="BV377" s="635">
        <v>1.0681112037320122</v>
      </c>
      <c r="BW377" s="634">
        <v>1.005122629011173</v>
      </c>
      <c r="BX377" s="634">
        <v>1.0102714993503321</v>
      </c>
      <c r="BY377" s="634">
        <v>1.0154467454420653</v>
      </c>
      <c r="BZ377" s="635">
        <v>1.0087706286131499</v>
      </c>
      <c r="CA377" s="635">
        <v>1.0021384043232706</v>
      </c>
      <c r="CB377" s="635">
        <v>1.0093326211375582</v>
      </c>
      <c r="CC377" s="635">
        <v>1.0165784842667136</v>
      </c>
      <c r="CD377" s="635">
        <v>1.0238763644726849</v>
      </c>
      <c r="CE377" s="635">
        <v>1.0312266351790702</v>
      </c>
      <c r="CF377" s="635">
        <v>1.0386296724902249</v>
      </c>
      <c r="CG377" s="635">
        <v>1.0444601500078665</v>
      </c>
      <c r="CH377" s="635">
        <v>1.0503233576399889</v>
      </c>
      <c r="CI377" s="635">
        <v>1.0562194791211816</v>
      </c>
      <c r="CJ377" s="635">
        <v>1.0621486992174518</v>
      </c>
      <c r="CK377" s="635">
        <v>1.0681112037320122</v>
      </c>
      <c r="CL377" s="634">
        <v>0</v>
      </c>
      <c r="CM377" s="634">
        <v>0</v>
      </c>
      <c r="CN377" s="634">
        <v>0</v>
      </c>
      <c r="CO377" s="635">
        <v>0</v>
      </c>
      <c r="CP377" s="635">
        <v>0</v>
      </c>
      <c r="CQ377" s="635">
        <v>0</v>
      </c>
      <c r="CR377" s="635">
        <v>0</v>
      </c>
      <c r="CS377" s="635">
        <v>0</v>
      </c>
      <c r="CT377" s="635">
        <v>0</v>
      </c>
      <c r="CU377" s="635">
        <v>0</v>
      </c>
      <c r="CV377" s="635">
        <v>0</v>
      </c>
      <c r="CW377" s="635">
        <v>0</v>
      </c>
      <c r="CX377" s="635">
        <v>0</v>
      </c>
      <c r="CY377" s="635">
        <v>0</v>
      </c>
      <c r="CZ377" s="635">
        <v>0</v>
      </c>
      <c r="DA377" s="636">
        <v>0</v>
      </c>
      <c r="DB377" s="636">
        <v>0</v>
      </c>
      <c r="DC377" s="636">
        <v>0</v>
      </c>
      <c r="DD377" s="637">
        <v>0</v>
      </c>
      <c r="DE377" s="637">
        <v>0</v>
      </c>
      <c r="DF377" s="637">
        <v>0</v>
      </c>
      <c r="DG377" s="637">
        <v>0</v>
      </c>
      <c r="DH377" s="637">
        <v>0</v>
      </c>
      <c r="DI377" s="637">
        <v>0</v>
      </c>
      <c r="DJ377" s="637">
        <v>0</v>
      </c>
      <c r="DK377" s="637">
        <v>0</v>
      </c>
      <c r="DL377" s="637">
        <v>0</v>
      </c>
      <c r="DM377" s="637">
        <v>0</v>
      </c>
      <c r="DN377" s="637">
        <v>0</v>
      </c>
      <c r="DO377" s="637">
        <v>0</v>
      </c>
      <c r="DP377" s="636">
        <v>0</v>
      </c>
      <c r="DQ377" s="636">
        <v>0</v>
      </c>
      <c r="DR377" s="636">
        <v>0</v>
      </c>
      <c r="DS377" s="637">
        <v>0</v>
      </c>
      <c r="DT377" s="637">
        <v>0</v>
      </c>
      <c r="DU377" s="637">
        <v>0</v>
      </c>
      <c r="DV377" s="637">
        <v>0</v>
      </c>
      <c r="DW377" s="637">
        <v>0</v>
      </c>
      <c r="DX377" s="637">
        <v>0</v>
      </c>
      <c r="DY377" s="637">
        <v>0</v>
      </c>
      <c r="DZ377" s="637">
        <v>0</v>
      </c>
      <c r="EA377" s="637">
        <v>0</v>
      </c>
      <c r="EB377" s="637">
        <v>0</v>
      </c>
      <c r="EC377" s="637">
        <v>0</v>
      </c>
      <c r="ED377" s="637">
        <v>0</v>
      </c>
    </row>
    <row r="378" spans="1:134" ht="15" x14ac:dyDescent="0.25">
      <c r="A378" s="555">
        <v>107</v>
      </c>
      <c r="B378" s="555">
        <v>102</v>
      </c>
      <c r="C378" s="555" t="s">
        <v>1361</v>
      </c>
      <c r="D378" s="812">
        <v>99709</v>
      </c>
      <c r="E378" s="812">
        <v>99709</v>
      </c>
      <c r="F378" s="630" t="s">
        <v>311</v>
      </c>
      <c r="G378" s="45">
        <v>14</v>
      </c>
      <c r="H378" s="45">
        <v>10</v>
      </c>
      <c r="I378" s="45">
        <v>8</v>
      </c>
      <c r="J378" s="45">
        <v>2</v>
      </c>
      <c r="K378" s="45">
        <v>0</v>
      </c>
      <c r="L378" s="45">
        <v>14</v>
      </c>
      <c r="M378" s="45">
        <v>14</v>
      </c>
      <c r="N378" s="45">
        <v>0</v>
      </c>
      <c r="O378" s="45">
        <v>0</v>
      </c>
      <c r="P378" s="45">
        <v>0</v>
      </c>
      <c r="Q378" s="45">
        <v>14</v>
      </c>
      <c r="R378" s="45">
        <v>0</v>
      </c>
      <c r="S378" s="45">
        <v>1347.9285714285713</v>
      </c>
      <c r="T378" s="45">
        <v>1347.9285714285713</v>
      </c>
      <c r="U378" s="45">
        <v>0</v>
      </c>
      <c r="V378" s="45">
        <v>0</v>
      </c>
      <c r="W378" s="45">
        <v>0</v>
      </c>
      <c r="X378" s="45">
        <v>1347.9285714285713</v>
      </c>
      <c r="Y378" s="45">
        <v>0</v>
      </c>
      <c r="Z378" s="45">
        <v>10</v>
      </c>
      <c r="AA378" s="45">
        <v>0</v>
      </c>
      <c r="AB378" s="508">
        <v>0</v>
      </c>
      <c r="AC378" s="508">
        <v>0</v>
      </c>
      <c r="AD378" s="631">
        <v>10</v>
      </c>
      <c r="AE378" s="632">
        <v>0</v>
      </c>
      <c r="AF378" s="632">
        <v>8</v>
      </c>
      <c r="AG378" s="633">
        <v>8</v>
      </c>
      <c r="AH378" s="632">
        <v>0</v>
      </c>
      <c r="AI378" s="632">
        <v>0</v>
      </c>
      <c r="AJ378" s="632">
        <v>9.5215839500773942</v>
      </c>
      <c r="AK378" s="632">
        <v>9.5215839500773942</v>
      </c>
      <c r="AL378" s="632">
        <v>0</v>
      </c>
      <c r="AM378" s="632">
        <v>0</v>
      </c>
      <c r="AN378" s="632">
        <v>7.6316370311838106</v>
      </c>
      <c r="AO378" s="632">
        <v>7.6316370311838106</v>
      </c>
      <c r="AP378" s="632">
        <v>0</v>
      </c>
      <c r="AQ378" s="632">
        <v>0</v>
      </c>
      <c r="AR378" s="632">
        <v>0</v>
      </c>
      <c r="AS378" s="632">
        <v>9.066056091837142</v>
      </c>
      <c r="AT378" s="632">
        <v>9.2910286930209143</v>
      </c>
      <c r="AU378" s="632">
        <v>9.5215839500773942</v>
      </c>
      <c r="AV378" s="632">
        <v>9.7578603956386836</v>
      </c>
      <c r="AW378" s="632">
        <v>10</v>
      </c>
      <c r="AX378" s="632">
        <v>7.2802354719670053</v>
      </c>
      <c r="AY378" s="632">
        <v>7.4538657503071084</v>
      </c>
      <c r="AZ378" s="632">
        <v>7.6316370311838106</v>
      </c>
      <c r="BA378" s="632">
        <v>7.8136480756091444</v>
      </c>
      <c r="BB378" s="632">
        <v>8</v>
      </c>
      <c r="BC378" s="632">
        <v>0</v>
      </c>
      <c r="BD378" s="632">
        <v>0</v>
      </c>
      <c r="BE378" s="632">
        <v>0</v>
      </c>
      <c r="BF378" s="632">
        <v>0</v>
      </c>
      <c r="BG378" s="632">
        <v>0</v>
      </c>
      <c r="BH378" s="634">
        <v>10.05122629011173</v>
      </c>
      <c r="BI378" s="634">
        <v>10.102714993503321</v>
      </c>
      <c r="BJ378" s="634">
        <v>10.154467454420653</v>
      </c>
      <c r="BK378" s="635">
        <v>10.0877062861315</v>
      </c>
      <c r="BL378" s="635">
        <v>10.021384043232707</v>
      </c>
      <c r="BM378" s="635">
        <v>10.093326211375581</v>
      </c>
      <c r="BN378" s="635">
        <v>10.165784842667136</v>
      </c>
      <c r="BO378" s="635">
        <v>10.23876364472685</v>
      </c>
      <c r="BP378" s="635">
        <v>10.312266351790703</v>
      </c>
      <c r="BQ378" s="635">
        <v>10.38629672490225</v>
      </c>
      <c r="BR378" s="635">
        <v>10.444601500078665</v>
      </c>
      <c r="BS378" s="635">
        <v>10.503233576399888</v>
      </c>
      <c r="BT378" s="635">
        <v>10.562194791211818</v>
      </c>
      <c r="BU378" s="635">
        <v>10.621486992174518</v>
      </c>
      <c r="BV378" s="635">
        <v>10.681112037320123</v>
      </c>
      <c r="BW378" s="634">
        <v>8.040981032089384</v>
      </c>
      <c r="BX378" s="634">
        <v>8.0821719948026569</v>
      </c>
      <c r="BY378" s="634">
        <v>8.1235739635365221</v>
      </c>
      <c r="BZ378" s="635">
        <v>8.0701650289051994</v>
      </c>
      <c r="CA378" s="635">
        <v>8.0171072345861649</v>
      </c>
      <c r="CB378" s="635">
        <v>8.0746609691004654</v>
      </c>
      <c r="CC378" s="635">
        <v>8.1326278741337088</v>
      </c>
      <c r="CD378" s="635">
        <v>8.1910109157814794</v>
      </c>
      <c r="CE378" s="635">
        <v>8.2498130814325616</v>
      </c>
      <c r="CF378" s="635">
        <v>8.3090373799217989</v>
      </c>
      <c r="CG378" s="635">
        <v>8.3556812000629321</v>
      </c>
      <c r="CH378" s="635">
        <v>8.4025868611199108</v>
      </c>
      <c r="CI378" s="635">
        <v>8.4497558329694531</v>
      </c>
      <c r="CJ378" s="635">
        <v>8.4971895937396145</v>
      </c>
      <c r="CK378" s="635">
        <v>8.5448896298560975</v>
      </c>
      <c r="CL378" s="634">
        <v>0</v>
      </c>
      <c r="CM378" s="634">
        <v>0</v>
      </c>
      <c r="CN378" s="634">
        <v>0</v>
      </c>
      <c r="CO378" s="635">
        <v>0</v>
      </c>
      <c r="CP378" s="635">
        <v>0</v>
      </c>
      <c r="CQ378" s="635">
        <v>0</v>
      </c>
      <c r="CR378" s="635">
        <v>0</v>
      </c>
      <c r="CS378" s="635">
        <v>0</v>
      </c>
      <c r="CT378" s="635">
        <v>0</v>
      </c>
      <c r="CU378" s="635">
        <v>0</v>
      </c>
      <c r="CV378" s="635">
        <v>0</v>
      </c>
      <c r="CW378" s="635">
        <v>0</v>
      </c>
      <c r="CX378" s="635">
        <v>0</v>
      </c>
      <c r="CY378" s="635">
        <v>0</v>
      </c>
      <c r="CZ378" s="635">
        <v>0</v>
      </c>
      <c r="DA378" s="636">
        <v>0</v>
      </c>
      <c r="DB378" s="636">
        <v>0</v>
      </c>
      <c r="DC378" s="636">
        <v>0</v>
      </c>
      <c r="DD378" s="637">
        <v>0</v>
      </c>
      <c r="DE378" s="637">
        <v>0</v>
      </c>
      <c r="DF378" s="637">
        <v>0</v>
      </c>
      <c r="DG378" s="637">
        <v>0</v>
      </c>
      <c r="DH378" s="637">
        <v>0</v>
      </c>
      <c r="DI378" s="637">
        <v>0</v>
      </c>
      <c r="DJ378" s="637">
        <v>0</v>
      </c>
      <c r="DK378" s="637">
        <v>0</v>
      </c>
      <c r="DL378" s="637">
        <v>0</v>
      </c>
      <c r="DM378" s="637">
        <v>0</v>
      </c>
      <c r="DN378" s="637">
        <v>0</v>
      </c>
      <c r="DO378" s="637">
        <v>0</v>
      </c>
      <c r="DP378" s="636">
        <v>0</v>
      </c>
      <c r="DQ378" s="636">
        <v>0</v>
      </c>
      <c r="DR378" s="636">
        <v>0</v>
      </c>
      <c r="DS378" s="637">
        <v>0</v>
      </c>
      <c r="DT378" s="637">
        <v>0</v>
      </c>
      <c r="DU378" s="637">
        <v>0</v>
      </c>
      <c r="DV378" s="637">
        <v>0</v>
      </c>
      <c r="DW378" s="637">
        <v>0</v>
      </c>
      <c r="DX378" s="637">
        <v>0</v>
      </c>
      <c r="DY378" s="637">
        <v>0</v>
      </c>
      <c r="DZ378" s="637">
        <v>0</v>
      </c>
      <c r="EA378" s="637">
        <v>0</v>
      </c>
      <c r="EB378" s="637">
        <v>0</v>
      </c>
      <c r="EC378" s="637">
        <v>0</v>
      </c>
      <c r="ED378" s="637">
        <v>0</v>
      </c>
    </row>
    <row r="379" spans="1:134" ht="15" x14ac:dyDescent="0.25">
      <c r="A379" s="555">
        <v>111</v>
      </c>
      <c r="B379" s="555">
        <v>102</v>
      </c>
      <c r="C379" s="555" t="s">
        <v>1362</v>
      </c>
      <c r="D379" s="812">
        <v>99712</v>
      </c>
      <c r="E379" s="812">
        <v>99712</v>
      </c>
      <c r="F379" s="630" t="s">
        <v>311</v>
      </c>
      <c r="G379" s="45">
        <v>4</v>
      </c>
      <c r="H379" s="45">
        <v>2</v>
      </c>
      <c r="I379" s="45">
        <v>2</v>
      </c>
      <c r="J379" s="45">
        <v>0</v>
      </c>
      <c r="K379" s="45">
        <v>0</v>
      </c>
      <c r="L379" s="45">
        <v>2</v>
      </c>
      <c r="M379" s="45">
        <v>2</v>
      </c>
      <c r="N379" s="45">
        <v>3</v>
      </c>
      <c r="O379" s="45">
        <v>0</v>
      </c>
      <c r="P379" s="45">
        <v>0</v>
      </c>
      <c r="Q379" s="45">
        <v>5</v>
      </c>
      <c r="R379" s="45">
        <v>0</v>
      </c>
      <c r="S379" s="45">
        <v>3041</v>
      </c>
      <c r="T379" s="45">
        <v>3041</v>
      </c>
      <c r="U379" s="45">
        <v>3634.3333333333335</v>
      </c>
      <c r="V379" s="45">
        <v>0</v>
      </c>
      <c r="W379" s="45">
        <v>0</v>
      </c>
      <c r="X379" s="45">
        <v>3397</v>
      </c>
      <c r="Y379" s="45">
        <v>0</v>
      </c>
      <c r="Z379" s="45">
        <v>2</v>
      </c>
      <c r="AA379" s="45">
        <v>0</v>
      </c>
      <c r="AB379" s="508">
        <v>3</v>
      </c>
      <c r="AC379" s="508">
        <v>0</v>
      </c>
      <c r="AD379" s="631">
        <v>5</v>
      </c>
      <c r="AE379" s="632">
        <v>0</v>
      </c>
      <c r="AF379" s="632">
        <v>2</v>
      </c>
      <c r="AG379" s="633">
        <v>2</v>
      </c>
      <c r="AH379" s="632">
        <v>0</v>
      </c>
      <c r="AI379" s="632">
        <v>0</v>
      </c>
      <c r="AJ379" s="632">
        <v>1.8182284902914765</v>
      </c>
      <c r="AK379" s="632">
        <v>1.8182284902914765</v>
      </c>
      <c r="AL379" s="632">
        <v>0</v>
      </c>
      <c r="AM379" s="632">
        <v>0</v>
      </c>
      <c r="AN379" s="632">
        <v>1.8249082207758185</v>
      </c>
      <c r="AO379" s="632">
        <v>1.8249082207758185</v>
      </c>
      <c r="AP379" s="632">
        <v>0</v>
      </c>
      <c r="AQ379" s="632">
        <v>2.7895240524415161</v>
      </c>
      <c r="AR379" s="632">
        <v>0</v>
      </c>
      <c r="AS379" s="632">
        <v>1.6529774214538109</v>
      </c>
      <c r="AT379" s="632">
        <v>1.7336350946770376</v>
      </c>
      <c r="AU379" s="632">
        <v>1.8182284902914765</v>
      </c>
      <c r="AV379" s="632">
        <v>1.9069496533949062</v>
      </c>
      <c r="AW379" s="632">
        <v>2</v>
      </c>
      <c r="AX379" s="632">
        <v>1.6651450071275817</v>
      </c>
      <c r="AY379" s="632">
        <v>1.7431972958592303</v>
      </c>
      <c r="AZ379" s="632">
        <v>1.8249082207758185</v>
      </c>
      <c r="BA379" s="632">
        <v>1.9104492774087558</v>
      </c>
      <c r="BB379" s="632">
        <v>2</v>
      </c>
      <c r="BC379" s="632">
        <v>2.5938148130499128</v>
      </c>
      <c r="BD379" s="632">
        <v>2.6898901108747597</v>
      </c>
      <c r="BE379" s="632">
        <v>2.7895240524415161</v>
      </c>
      <c r="BF379" s="632">
        <v>2.8928484504592613</v>
      </c>
      <c r="BG379" s="632">
        <v>3</v>
      </c>
      <c r="BH379" s="634">
        <v>2.0490353106214685</v>
      </c>
      <c r="BI379" s="634">
        <v>2.0992728520868091</v>
      </c>
      <c r="BJ379" s="634">
        <v>2.1507421002774554</v>
      </c>
      <c r="BK379" s="635">
        <v>2.1366019145958637</v>
      </c>
      <c r="BL379" s="635">
        <v>2.1225546944311899</v>
      </c>
      <c r="BM379" s="635">
        <v>2.1377922290931144</v>
      </c>
      <c r="BN379" s="635">
        <v>2.153139151966887</v>
      </c>
      <c r="BO379" s="635">
        <v>2.1685962483357675</v>
      </c>
      <c r="BP379" s="635">
        <v>2.1841643091204586</v>
      </c>
      <c r="BQ379" s="635">
        <v>2.1998441309195762</v>
      </c>
      <c r="BR379" s="635">
        <v>2.2121932309764714</v>
      </c>
      <c r="BS379" s="635">
        <v>2.2246116542504404</v>
      </c>
      <c r="BT379" s="635">
        <v>2.2370997898960288</v>
      </c>
      <c r="BU379" s="635">
        <v>2.24965802925235</v>
      </c>
      <c r="BV379" s="635">
        <v>2.2622867658553485</v>
      </c>
      <c r="BW379" s="634">
        <v>2.0490353106214685</v>
      </c>
      <c r="BX379" s="634">
        <v>2.0992728520868091</v>
      </c>
      <c r="BY379" s="634">
        <v>2.1507421002774554</v>
      </c>
      <c r="BZ379" s="635">
        <v>2.1366019145958637</v>
      </c>
      <c r="CA379" s="635">
        <v>2.1225546944311899</v>
      </c>
      <c r="CB379" s="635">
        <v>2.1377922290931144</v>
      </c>
      <c r="CC379" s="635">
        <v>2.153139151966887</v>
      </c>
      <c r="CD379" s="635">
        <v>2.1685962483357675</v>
      </c>
      <c r="CE379" s="635">
        <v>2.1841643091204586</v>
      </c>
      <c r="CF379" s="635">
        <v>2.1998441309195762</v>
      </c>
      <c r="CG379" s="635">
        <v>2.2121932309764714</v>
      </c>
      <c r="CH379" s="635">
        <v>2.2246116542504404</v>
      </c>
      <c r="CI379" s="635">
        <v>2.2370997898960288</v>
      </c>
      <c r="CJ379" s="635">
        <v>2.24965802925235</v>
      </c>
      <c r="CK379" s="635">
        <v>2.2622867658553485</v>
      </c>
      <c r="CL379" s="634">
        <v>3.073552965932203</v>
      </c>
      <c r="CM379" s="634">
        <v>3.1489092781302137</v>
      </c>
      <c r="CN379" s="634">
        <v>3.2261131504161833</v>
      </c>
      <c r="CO379" s="635">
        <v>3.2049028718937955</v>
      </c>
      <c r="CP379" s="635">
        <v>3.1838320416467849</v>
      </c>
      <c r="CQ379" s="635">
        <v>3.206688343639672</v>
      </c>
      <c r="CR379" s="635">
        <v>3.2297087279503307</v>
      </c>
      <c r="CS379" s="635">
        <v>3.2528943725036514</v>
      </c>
      <c r="CT379" s="635">
        <v>3.2762464636806881</v>
      </c>
      <c r="CU379" s="635">
        <v>3.2997661963793643</v>
      </c>
      <c r="CV379" s="635">
        <v>3.3182898464647073</v>
      </c>
      <c r="CW379" s="635">
        <v>3.3369174813756608</v>
      </c>
      <c r="CX379" s="635">
        <v>3.3556496848440434</v>
      </c>
      <c r="CY379" s="635">
        <v>3.3744870438785255</v>
      </c>
      <c r="CZ379" s="635">
        <v>3.3934301487830232</v>
      </c>
      <c r="DA379" s="636">
        <v>0</v>
      </c>
      <c r="DB379" s="636">
        <v>0</v>
      </c>
      <c r="DC379" s="636">
        <v>0</v>
      </c>
      <c r="DD379" s="637">
        <v>0</v>
      </c>
      <c r="DE379" s="637">
        <v>0</v>
      </c>
      <c r="DF379" s="637">
        <v>0</v>
      </c>
      <c r="DG379" s="637">
        <v>0</v>
      </c>
      <c r="DH379" s="637">
        <v>0</v>
      </c>
      <c r="DI379" s="637">
        <v>0</v>
      </c>
      <c r="DJ379" s="637">
        <v>0</v>
      </c>
      <c r="DK379" s="637">
        <v>0</v>
      </c>
      <c r="DL379" s="637">
        <v>0</v>
      </c>
      <c r="DM379" s="637">
        <v>0</v>
      </c>
      <c r="DN379" s="637">
        <v>0</v>
      </c>
      <c r="DO379" s="637">
        <v>0</v>
      </c>
      <c r="DP379" s="636">
        <v>0</v>
      </c>
      <c r="DQ379" s="636">
        <v>0</v>
      </c>
      <c r="DR379" s="636">
        <v>0</v>
      </c>
      <c r="DS379" s="637">
        <v>0</v>
      </c>
      <c r="DT379" s="637">
        <v>0</v>
      </c>
      <c r="DU379" s="637">
        <v>0</v>
      </c>
      <c r="DV379" s="637">
        <v>0</v>
      </c>
      <c r="DW379" s="637">
        <v>0</v>
      </c>
      <c r="DX379" s="637">
        <v>0</v>
      </c>
      <c r="DY379" s="637">
        <v>0</v>
      </c>
      <c r="DZ379" s="637">
        <v>0</v>
      </c>
      <c r="EA379" s="637">
        <v>0</v>
      </c>
      <c r="EB379" s="637">
        <v>0</v>
      </c>
      <c r="EC379" s="637">
        <v>0</v>
      </c>
      <c r="ED379" s="637">
        <v>0</v>
      </c>
    </row>
    <row r="380" spans="1:134" ht="15" x14ac:dyDescent="0.25">
      <c r="A380" s="555">
        <v>112</v>
      </c>
      <c r="B380" s="555">
        <v>102</v>
      </c>
      <c r="C380" s="555" t="s">
        <v>1363</v>
      </c>
      <c r="D380" s="812">
        <v>99712</v>
      </c>
      <c r="E380" s="812">
        <v>99712</v>
      </c>
      <c r="F380" s="630" t="s">
        <v>311</v>
      </c>
      <c r="G380" s="45">
        <v>34</v>
      </c>
      <c r="H380" s="45">
        <v>15</v>
      </c>
      <c r="I380" s="45">
        <v>15</v>
      </c>
      <c r="J380" s="45">
        <v>0</v>
      </c>
      <c r="K380" s="45">
        <v>0</v>
      </c>
      <c r="L380" s="45">
        <v>7</v>
      </c>
      <c r="M380" s="45">
        <v>7</v>
      </c>
      <c r="N380" s="45">
        <v>7</v>
      </c>
      <c r="O380" s="45">
        <v>0</v>
      </c>
      <c r="P380" s="45">
        <v>0</v>
      </c>
      <c r="Q380" s="45">
        <v>14</v>
      </c>
      <c r="R380" s="45">
        <v>0</v>
      </c>
      <c r="S380" s="45">
        <v>1661.7142857142858</v>
      </c>
      <c r="T380" s="45">
        <v>1661.7142857142858</v>
      </c>
      <c r="U380" s="45">
        <v>5746.1428571428569</v>
      </c>
      <c r="V380" s="45">
        <v>0</v>
      </c>
      <c r="W380" s="45">
        <v>0</v>
      </c>
      <c r="X380" s="45">
        <v>3703.9285714285716</v>
      </c>
      <c r="Y380" s="45">
        <v>0</v>
      </c>
      <c r="Z380" s="45">
        <v>15</v>
      </c>
      <c r="AA380" s="45">
        <v>0</v>
      </c>
      <c r="AB380" s="508">
        <v>7</v>
      </c>
      <c r="AC380" s="508">
        <v>0</v>
      </c>
      <c r="AD380" s="631">
        <v>22</v>
      </c>
      <c r="AE380" s="632">
        <v>0</v>
      </c>
      <c r="AF380" s="632">
        <v>15</v>
      </c>
      <c r="AG380" s="633">
        <v>15</v>
      </c>
      <c r="AH380" s="632">
        <v>0</v>
      </c>
      <c r="AI380" s="632">
        <v>0</v>
      </c>
      <c r="AJ380" s="632">
        <v>13.636713677186073</v>
      </c>
      <c r="AK380" s="632">
        <v>13.636713677186073</v>
      </c>
      <c r="AL380" s="632">
        <v>0</v>
      </c>
      <c r="AM380" s="632">
        <v>0</v>
      </c>
      <c r="AN380" s="632">
        <v>13.686811655818639</v>
      </c>
      <c r="AO380" s="632">
        <v>13.686811655818639</v>
      </c>
      <c r="AP380" s="632">
        <v>0</v>
      </c>
      <c r="AQ380" s="632">
        <v>6.5088894556968713</v>
      </c>
      <c r="AR380" s="632">
        <v>0</v>
      </c>
      <c r="AS380" s="632">
        <v>12.397330660903581</v>
      </c>
      <c r="AT380" s="632">
        <v>13.002263210077782</v>
      </c>
      <c r="AU380" s="632">
        <v>13.636713677186073</v>
      </c>
      <c r="AV380" s="632">
        <v>14.302122400461798</v>
      </c>
      <c r="AW380" s="632">
        <v>15</v>
      </c>
      <c r="AX380" s="632">
        <v>12.488587553456863</v>
      </c>
      <c r="AY380" s="632">
        <v>13.073979718944226</v>
      </c>
      <c r="AZ380" s="632">
        <v>13.686811655818639</v>
      </c>
      <c r="BA380" s="632">
        <v>14.328369580565669</v>
      </c>
      <c r="BB380" s="632">
        <v>15</v>
      </c>
      <c r="BC380" s="632">
        <v>6.0522345637831299</v>
      </c>
      <c r="BD380" s="632">
        <v>6.2764102587077728</v>
      </c>
      <c r="BE380" s="632">
        <v>6.5088894556968713</v>
      </c>
      <c r="BF380" s="632">
        <v>6.7499797177382765</v>
      </c>
      <c r="BG380" s="632">
        <v>7</v>
      </c>
      <c r="BH380" s="634">
        <v>15.138883484775656</v>
      </c>
      <c r="BI380" s="634">
        <v>15.279052877707542</v>
      </c>
      <c r="BJ380" s="634">
        <v>15.420520084889379</v>
      </c>
      <c r="BK380" s="635">
        <v>15.31913693101011</v>
      </c>
      <c r="BL380" s="635">
        <v>15.218420326886227</v>
      </c>
      <c r="BM380" s="635">
        <v>15.327671319493891</v>
      </c>
      <c r="BN380" s="635">
        <v>15.43770661028293</v>
      </c>
      <c r="BO380" s="635">
        <v>15.548531829624498</v>
      </c>
      <c r="BP380" s="635">
        <v>15.660152648309424</v>
      </c>
      <c r="BQ380" s="635">
        <v>15.772574777838383</v>
      </c>
      <c r="BR380" s="635">
        <v>15.861116098265923</v>
      </c>
      <c r="BS380" s="635">
        <v>15.950154456465256</v>
      </c>
      <c r="BT380" s="635">
        <v>16.039692642620061</v>
      </c>
      <c r="BU380" s="635">
        <v>16.129733462577054</v>
      </c>
      <c r="BV380" s="635">
        <v>16.220279737933911</v>
      </c>
      <c r="BW380" s="634">
        <v>15.138883484775656</v>
      </c>
      <c r="BX380" s="634">
        <v>15.279052877707542</v>
      </c>
      <c r="BY380" s="634">
        <v>15.420520084889379</v>
      </c>
      <c r="BZ380" s="635">
        <v>15.31913693101011</v>
      </c>
      <c r="CA380" s="635">
        <v>15.218420326886227</v>
      </c>
      <c r="CB380" s="635">
        <v>15.327671319493891</v>
      </c>
      <c r="CC380" s="635">
        <v>15.43770661028293</v>
      </c>
      <c r="CD380" s="635">
        <v>15.548531829624498</v>
      </c>
      <c r="CE380" s="635">
        <v>15.660152648309424</v>
      </c>
      <c r="CF380" s="635">
        <v>15.772574777838383</v>
      </c>
      <c r="CG380" s="635">
        <v>15.861116098265923</v>
      </c>
      <c r="CH380" s="635">
        <v>15.950154456465256</v>
      </c>
      <c r="CI380" s="635">
        <v>16.039692642620061</v>
      </c>
      <c r="CJ380" s="635">
        <v>16.129733462577054</v>
      </c>
      <c r="CK380" s="635">
        <v>16.220279737933911</v>
      </c>
      <c r="CL380" s="634">
        <v>7.0648122928953061</v>
      </c>
      <c r="CM380" s="634">
        <v>7.13022467626352</v>
      </c>
      <c r="CN380" s="634">
        <v>7.1962427062817103</v>
      </c>
      <c r="CO380" s="635">
        <v>7.1489305678047179</v>
      </c>
      <c r="CP380" s="635">
        <v>7.1019294858802384</v>
      </c>
      <c r="CQ380" s="635">
        <v>7.1529132824304824</v>
      </c>
      <c r="CR380" s="635">
        <v>7.2042630847987006</v>
      </c>
      <c r="CS380" s="635">
        <v>7.2559815204914324</v>
      </c>
      <c r="CT380" s="635">
        <v>7.3080712358777316</v>
      </c>
      <c r="CU380" s="635">
        <v>7.3605348963245785</v>
      </c>
      <c r="CV380" s="635">
        <v>7.4018541791907637</v>
      </c>
      <c r="CW380" s="635">
        <v>7.4434054130171194</v>
      </c>
      <c r="CX380" s="635">
        <v>7.4851898998893622</v>
      </c>
      <c r="CY380" s="635">
        <v>7.5272089492026248</v>
      </c>
      <c r="CZ380" s="635">
        <v>7.5694638777024927</v>
      </c>
      <c r="DA380" s="636">
        <v>0</v>
      </c>
      <c r="DB380" s="636">
        <v>0</v>
      </c>
      <c r="DC380" s="636">
        <v>0</v>
      </c>
      <c r="DD380" s="637">
        <v>0</v>
      </c>
      <c r="DE380" s="637">
        <v>0</v>
      </c>
      <c r="DF380" s="637">
        <v>0</v>
      </c>
      <c r="DG380" s="637">
        <v>0</v>
      </c>
      <c r="DH380" s="637">
        <v>0</v>
      </c>
      <c r="DI380" s="637">
        <v>0</v>
      </c>
      <c r="DJ380" s="637">
        <v>0</v>
      </c>
      <c r="DK380" s="637">
        <v>0</v>
      </c>
      <c r="DL380" s="637">
        <v>0</v>
      </c>
      <c r="DM380" s="637">
        <v>0</v>
      </c>
      <c r="DN380" s="637">
        <v>0</v>
      </c>
      <c r="DO380" s="637">
        <v>0</v>
      </c>
      <c r="DP380" s="636">
        <v>0</v>
      </c>
      <c r="DQ380" s="636">
        <v>0</v>
      </c>
      <c r="DR380" s="636">
        <v>0</v>
      </c>
      <c r="DS380" s="637">
        <v>0</v>
      </c>
      <c r="DT380" s="637">
        <v>0</v>
      </c>
      <c r="DU380" s="637">
        <v>0</v>
      </c>
      <c r="DV380" s="637">
        <v>0</v>
      </c>
      <c r="DW380" s="637">
        <v>0</v>
      </c>
      <c r="DX380" s="637">
        <v>0</v>
      </c>
      <c r="DY380" s="637">
        <v>0</v>
      </c>
      <c r="DZ380" s="637">
        <v>0</v>
      </c>
      <c r="EA380" s="637">
        <v>0</v>
      </c>
      <c r="EB380" s="637">
        <v>0</v>
      </c>
      <c r="EC380" s="637">
        <v>0</v>
      </c>
      <c r="ED380" s="637">
        <v>0</v>
      </c>
    </row>
    <row r="381" spans="1:134" ht="15" x14ac:dyDescent="0.25">
      <c r="A381" s="555">
        <v>114</v>
      </c>
      <c r="B381" s="555">
        <v>102</v>
      </c>
      <c r="C381" s="555" t="s">
        <v>1364</v>
      </c>
      <c r="D381" s="812">
        <v>99712</v>
      </c>
      <c r="E381" s="812">
        <v>99712</v>
      </c>
      <c r="F381" s="630" t="s">
        <v>311</v>
      </c>
      <c r="G381" s="45">
        <v>142</v>
      </c>
      <c r="H381" s="45">
        <v>51</v>
      </c>
      <c r="I381" s="45">
        <v>51</v>
      </c>
      <c r="J381" s="45">
        <v>0</v>
      </c>
      <c r="K381" s="45">
        <v>0</v>
      </c>
      <c r="L381" s="45">
        <v>76</v>
      </c>
      <c r="M381" s="45">
        <v>76</v>
      </c>
      <c r="N381" s="45">
        <v>0</v>
      </c>
      <c r="O381" s="45">
        <v>0</v>
      </c>
      <c r="P381" s="45">
        <v>0</v>
      </c>
      <c r="Q381" s="45">
        <v>76</v>
      </c>
      <c r="R381" s="45">
        <v>0</v>
      </c>
      <c r="S381" s="45">
        <v>2394.6973684210525</v>
      </c>
      <c r="T381" s="45">
        <v>2394.6973684210525</v>
      </c>
      <c r="U381" s="45">
        <v>0</v>
      </c>
      <c r="V381" s="45">
        <v>0</v>
      </c>
      <c r="W381" s="45">
        <v>0</v>
      </c>
      <c r="X381" s="45">
        <v>2394.6973684210525</v>
      </c>
      <c r="Y381" s="45">
        <v>0</v>
      </c>
      <c r="Z381" s="45">
        <v>51</v>
      </c>
      <c r="AA381" s="45">
        <v>0</v>
      </c>
      <c r="AB381" s="508">
        <v>0</v>
      </c>
      <c r="AC381" s="508">
        <v>0</v>
      </c>
      <c r="AD381" s="631">
        <v>51</v>
      </c>
      <c r="AE381" s="632">
        <v>0</v>
      </c>
      <c r="AF381" s="632">
        <v>51</v>
      </c>
      <c r="AG381" s="633">
        <v>51</v>
      </c>
      <c r="AH381" s="632">
        <v>0</v>
      </c>
      <c r="AI381" s="632">
        <v>0</v>
      </c>
      <c r="AJ381" s="632">
        <v>46.364826502432649</v>
      </c>
      <c r="AK381" s="632">
        <v>46.364826502432649</v>
      </c>
      <c r="AL381" s="632">
        <v>0</v>
      </c>
      <c r="AM381" s="632">
        <v>0</v>
      </c>
      <c r="AN381" s="632">
        <v>46.535159629783372</v>
      </c>
      <c r="AO381" s="632">
        <v>46.535159629783372</v>
      </c>
      <c r="AP381" s="632">
        <v>0</v>
      </c>
      <c r="AQ381" s="632">
        <v>0</v>
      </c>
      <c r="AR381" s="632">
        <v>0</v>
      </c>
      <c r="AS381" s="632">
        <v>42.150924247072176</v>
      </c>
      <c r="AT381" s="632">
        <v>44.207694914264458</v>
      </c>
      <c r="AU381" s="632">
        <v>46.364826502432649</v>
      </c>
      <c r="AV381" s="632">
        <v>48.627216161570111</v>
      </c>
      <c r="AW381" s="632">
        <v>51</v>
      </c>
      <c r="AX381" s="632">
        <v>42.461197681753333</v>
      </c>
      <c r="AY381" s="632">
        <v>44.451531044410373</v>
      </c>
      <c r="AZ381" s="632">
        <v>46.535159629783372</v>
      </c>
      <c r="BA381" s="632">
        <v>48.716456573923274</v>
      </c>
      <c r="BB381" s="632">
        <v>51</v>
      </c>
      <c r="BC381" s="632">
        <v>0</v>
      </c>
      <c r="BD381" s="632">
        <v>0</v>
      </c>
      <c r="BE381" s="632">
        <v>0</v>
      </c>
      <c r="BF381" s="632">
        <v>0</v>
      </c>
      <c r="BG381" s="632">
        <v>0</v>
      </c>
      <c r="BH381" s="634">
        <v>51.472203848237228</v>
      </c>
      <c r="BI381" s="634">
        <v>51.948779784205641</v>
      </c>
      <c r="BJ381" s="634">
        <v>52.42976828862389</v>
      </c>
      <c r="BK381" s="635">
        <v>52.085065565434377</v>
      </c>
      <c r="BL381" s="635">
        <v>51.742629111413173</v>
      </c>
      <c r="BM381" s="635">
        <v>52.11408248627923</v>
      </c>
      <c r="BN381" s="635">
        <v>52.488202474961966</v>
      </c>
      <c r="BO381" s="635">
        <v>52.865008220723297</v>
      </c>
      <c r="BP381" s="635">
        <v>53.244519004252041</v>
      </c>
      <c r="BQ381" s="635">
        <v>53.626754244650506</v>
      </c>
      <c r="BR381" s="635">
        <v>53.927794734104133</v>
      </c>
      <c r="BS381" s="635">
        <v>54.230525151981873</v>
      </c>
      <c r="BT381" s="635">
        <v>54.534954984908211</v>
      </c>
      <c r="BU381" s="635">
        <v>54.84109377276198</v>
      </c>
      <c r="BV381" s="635">
        <v>55.148951108975304</v>
      </c>
      <c r="BW381" s="634">
        <v>51.472203848237228</v>
      </c>
      <c r="BX381" s="634">
        <v>51.948779784205641</v>
      </c>
      <c r="BY381" s="634">
        <v>52.42976828862389</v>
      </c>
      <c r="BZ381" s="635">
        <v>52.085065565434377</v>
      </c>
      <c r="CA381" s="635">
        <v>51.742629111413173</v>
      </c>
      <c r="CB381" s="635">
        <v>52.11408248627923</v>
      </c>
      <c r="CC381" s="635">
        <v>52.488202474961966</v>
      </c>
      <c r="CD381" s="635">
        <v>52.865008220723297</v>
      </c>
      <c r="CE381" s="635">
        <v>53.244519004252041</v>
      </c>
      <c r="CF381" s="635">
        <v>53.626754244650506</v>
      </c>
      <c r="CG381" s="635">
        <v>53.927794734104133</v>
      </c>
      <c r="CH381" s="635">
        <v>54.230525151981873</v>
      </c>
      <c r="CI381" s="635">
        <v>54.534954984908211</v>
      </c>
      <c r="CJ381" s="635">
        <v>54.84109377276198</v>
      </c>
      <c r="CK381" s="635">
        <v>55.148951108975304</v>
      </c>
      <c r="CL381" s="634">
        <v>0</v>
      </c>
      <c r="CM381" s="634">
        <v>0</v>
      </c>
      <c r="CN381" s="634">
        <v>0</v>
      </c>
      <c r="CO381" s="635">
        <v>0</v>
      </c>
      <c r="CP381" s="635">
        <v>0</v>
      </c>
      <c r="CQ381" s="635">
        <v>0</v>
      </c>
      <c r="CR381" s="635">
        <v>0</v>
      </c>
      <c r="CS381" s="635">
        <v>0</v>
      </c>
      <c r="CT381" s="635">
        <v>0</v>
      </c>
      <c r="CU381" s="635">
        <v>0</v>
      </c>
      <c r="CV381" s="635">
        <v>0</v>
      </c>
      <c r="CW381" s="635">
        <v>0</v>
      </c>
      <c r="CX381" s="635">
        <v>0</v>
      </c>
      <c r="CY381" s="635">
        <v>0</v>
      </c>
      <c r="CZ381" s="635">
        <v>0</v>
      </c>
      <c r="DA381" s="636">
        <v>0</v>
      </c>
      <c r="DB381" s="636">
        <v>0</v>
      </c>
      <c r="DC381" s="636">
        <v>0</v>
      </c>
      <c r="DD381" s="637">
        <v>0</v>
      </c>
      <c r="DE381" s="637">
        <v>0</v>
      </c>
      <c r="DF381" s="637">
        <v>0</v>
      </c>
      <c r="DG381" s="637">
        <v>0</v>
      </c>
      <c r="DH381" s="637">
        <v>0</v>
      </c>
      <c r="DI381" s="637">
        <v>0</v>
      </c>
      <c r="DJ381" s="637">
        <v>0</v>
      </c>
      <c r="DK381" s="637">
        <v>0</v>
      </c>
      <c r="DL381" s="637">
        <v>0</v>
      </c>
      <c r="DM381" s="637">
        <v>0</v>
      </c>
      <c r="DN381" s="637">
        <v>0</v>
      </c>
      <c r="DO381" s="637">
        <v>0</v>
      </c>
      <c r="DP381" s="636">
        <v>0</v>
      </c>
      <c r="DQ381" s="636">
        <v>0</v>
      </c>
      <c r="DR381" s="636">
        <v>0</v>
      </c>
      <c r="DS381" s="637">
        <v>0</v>
      </c>
      <c r="DT381" s="637">
        <v>0</v>
      </c>
      <c r="DU381" s="637">
        <v>0</v>
      </c>
      <c r="DV381" s="637">
        <v>0</v>
      </c>
      <c r="DW381" s="637">
        <v>0</v>
      </c>
      <c r="DX381" s="637">
        <v>0</v>
      </c>
      <c r="DY381" s="637">
        <v>0</v>
      </c>
      <c r="DZ381" s="637">
        <v>0</v>
      </c>
      <c r="EA381" s="637">
        <v>0</v>
      </c>
      <c r="EB381" s="637">
        <v>0</v>
      </c>
      <c r="EC381" s="637">
        <v>0</v>
      </c>
      <c r="ED381" s="637">
        <v>0</v>
      </c>
    </row>
    <row r="382" spans="1:134" ht="15" x14ac:dyDescent="0.25">
      <c r="A382" s="555">
        <v>115</v>
      </c>
      <c r="B382" s="555">
        <v>102</v>
      </c>
      <c r="C382" s="555" t="s">
        <v>1365</v>
      </c>
      <c r="D382" s="812">
        <v>99712</v>
      </c>
      <c r="E382" s="812">
        <v>99712</v>
      </c>
      <c r="F382" s="630" t="s">
        <v>311</v>
      </c>
      <c r="G382" s="45">
        <v>120</v>
      </c>
      <c r="H382" s="45">
        <v>54</v>
      </c>
      <c r="I382" s="45">
        <v>49</v>
      </c>
      <c r="J382" s="45">
        <v>5</v>
      </c>
      <c r="K382" s="45">
        <v>0</v>
      </c>
      <c r="L382" s="45">
        <v>72</v>
      </c>
      <c r="M382" s="45">
        <v>72</v>
      </c>
      <c r="N382" s="45">
        <v>0</v>
      </c>
      <c r="O382" s="45">
        <v>0</v>
      </c>
      <c r="P382" s="45">
        <v>0</v>
      </c>
      <c r="Q382" s="45">
        <v>72</v>
      </c>
      <c r="R382" s="45">
        <v>0</v>
      </c>
      <c r="S382" s="45">
        <v>1859.8888888888889</v>
      </c>
      <c r="T382" s="45">
        <v>1859.8888888888889</v>
      </c>
      <c r="U382" s="45">
        <v>0</v>
      </c>
      <c r="V382" s="45">
        <v>0</v>
      </c>
      <c r="W382" s="45">
        <v>0</v>
      </c>
      <c r="X382" s="45">
        <v>1859.8888888888889</v>
      </c>
      <c r="Y382" s="45">
        <v>0</v>
      </c>
      <c r="Z382" s="45">
        <v>54</v>
      </c>
      <c r="AA382" s="45">
        <v>0</v>
      </c>
      <c r="AB382" s="508">
        <v>0</v>
      </c>
      <c r="AC382" s="508">
        <v>0</v>
      </c>
      <c r="AD382" s="631">
        <v>54</v>
      </c>
      <c r="AE382" s="632">
        <v>0</v>
      </c>
      <c r="AF382" s="632">
        <v>49</v>
      </c>
      <c r="AG382" s="633">
        <v>49</v>
      </c>
      <c r="AH382" s="632">
        <v>0</v>
      </c>
      <c r="AI382" s="632">
        <v>0</v>
      </c>
      <c r="AJ382" s="632">
        <v>49.092169237869861</v>
      </c>
      <c r="AK382" s="632">
        <v>49.092169237869861</v>
      </c>
      <c r="AL382" s="632">
        <v>0</v>
      </c>
      <c r="AM382" s="632">
        <v>0</v>
      </c>
      <c r="AN382" s="632">
        <v>44.710251409007554</v>
      </c>
      <c r="AO382" s="632">
        <v>44.710251409007554</v>
      </c>
      <c r="AP382" s="632">
        <v>0</v>
      </c>
      <c r="AQ382" s="632">
        <v>0</v>
      </c>
      <c r="AR382" s="632">
        <v>0</v>
      </c>
      <c r="AS382" s="632">
        <v>44.630390379252894</v>
      </c>
      <c r="AT382" s="632">
        <v>46.808147556280012</v>
      </c>
      <c r="AU382" s="632">
        <v>49.092169237869861</v>
      </c>
      <c r="AV382" s="632">
        <v>51.487640641662466</v>
      </c>
      <c r="AW382" s="632">
        <v>54</v>
      </c>
      <c r="AX382" s="632">
        <v>40.796052674625749</v>
      </c>
      <c r="AY382" s="632">
        <v>42.708333748551141</v>
      </c>
      <c r="AZ382" s="632">
        <v>44.710251409007554</v>
      </c>
      <c r="BA382" s="632">
        <v>46.806007296514515</v>
      </c>
      <c r="BB382" s="632">
        <v>49</v>
      </c>
      <c r="BC382" s="632">
        <v>0</v>
      </c>
      <c r="BD382" s="632">
        <v>0</v>
      </c>
      <c r="BE382" s="632">
        <v>0</v>
      </c>
      <c r="BF382" s="632">
        <v>0</v>
      </c>
      <c r="BG382" s="632">
        <v>0</v>
      </c>
      <c r="BH382" s="634">
        <v>54.499980545192358</v>
      </c>
      <c r="BI382" s="634">
        <v>55.004590359747148</v>
      </c>
      <c r="BJ382" s="634">
        <v>55.513872305601765</v>
      </c>
      <c r="BK382" s="635">
        <v>55.148892951636398</v>
      </c>
      <c r="BL382" s="635">
        <v>54.786313176790415</v>
      </c>
      <c r="BM382" s="635">
        <v>55.179616750178013</v>
      </c>
      <c r="BN382" s="635">
        <v>55.575743797018553</v>
      </c>
      <c r="BO382" s="635">
        <v>55.974714586648197</v>
      </c>
      <c r="BP382" s="635">
        <v>56.376549533913931</v>
      </c>
      <c r="BQ382" s="635">
        <v>56.781269200218183</v>
      </c>
      <c r="BR382" s="635">
        <v>57.100017953757316</v>
      </c>
      <c r="BS382" s="635">
        <v>57.420556043274928</v>
      </c>
      <c r="BT382" s="635">
        <v>57.742893513432222</v>
      </c>
      <c r="BU382" s="635">
        <v>58.067040465277394</v>
      </c>
      <c r="BV382" s="635">
        <v>58.393007056562084</v>
      </c>
      <c r="BW382" s="634">
        <v>49.453686050267144</v>
      </c>
      <c r="BX382" s="634">
        <v>49.911572733844636</v>
      </c>
      <c r="BY382" s="634">
        <v>50.373698943971974</v>
      </c>
      <c r="BZ382" s="635">
        <v>50.042513974633032</v>
      </c>
      <c r="CA382" s="635">
        <v>49.713506401161673</v>
      </c>
      <c r="CB382" s="635">
        <v>50.070392977013384</v>
      </c>
      <c r="CC382" s="635">
        <v>50.429841593590908</v>
      </c>
      <c r="CD382" s="635">
        <v>50.791870643440028</v>
      </c>
      <c r="CE382" s="635">
        <v>51.156498651144119</v>
      </c>
      <c r="CF382" s="635">
        <v>51.523744274272055</v>
      </c>
      <c r="CG382" s="635">
        <v>51.812979254335346</v>
      </c>
      <c r="CH382" s="635">
        <v>52.103837891119838</v>
      </c>
      <c r="CI382" s="635">
        <v>52.396329299225535</v>
      </c>
      <c r="CJ382" s="635">
        <v>52.690462644418375</v>
      </c>
      <c r="CK382" s="635">
        <v>52.986247143917453</v>
      </c>
      <c r="CL382" s="634">
        <v>0</v>
      </c>
      <c r="CM382" s="634">
        <v>0</v>
      </c>
      <c r="CN382" s="634">
        <v>0</v>
      </c>
      <c r="CO382" s="635">
        <v>0</v>
      </c>
      <c r="CP382" s="635">
        <v>0</v>
      </c>
      <c r="CQ382" s="635">
        <v>0</v>
      </c>
      <c r="CR382" s="635">
        <v>0</v>
      </c>
      <c r="CS382" s="635">
        <v>0</v>
      </c>
      <c r="CT382" s="635">
        <v>0</v>
      </c>
      <c r="CU382" s="635">
        <v>0</v>
      </c>
      <c r="CV382" s="635">
        <v>0</v>
      </c>
      <c r="CW382" s="635">
        <v>0</v>
      </c>
      <c r="CX382" s="635">
        <v>0</v>
      </c>
      <c r="CY382" s="635">
        <v>0</v>
      </c>
      <c r="CZ382" s="635">
        <v>0</v>
      </c>
      <c r="DA382" s="636">
        <v>0</v>
      </c>
      <c r="DB382" s="636">
        <v>0</v>
      </c>
      <c r="DC382" s="636">
        <v>0</v>
      </c>
      <c r="DD382" s="637">
        <v>0</v>
      </c>
      <c r="DE382" s="637">
        <v>0</v>
      </c>
      <c r="DF382" s="637">
        <v>0</v>
      </c>
      <c r="DG382" s="637">
        <v>0</v>
      </c>
      <c r="DH382" s="637">
        <v>0</v>
      </c>
      <c r="DI382" s="637">
        <v>0</v>
      </c>
      <c r="DJ382" s="637">
        <v>0</v>
      </c>
      <c r="DK382" s="637">
        <v>0</v>
      </c>
      <c r="DL382" s="637">
        <v>0</v>
      </c>
      <c r="DM382" s="637">
        <v>0</v>
      </c>
      <c r="DN382" s="637">
        <v>0</v>
      </c>
      <c r="DO382" s="637">
        <v>0</v>
      </c>
      <c r="DP382" s="636">
        <v>0</v>
      </c>
      <c r="DQ382" s="636">
        <v>0</v>
      </c>
      <c r="DR382" s="636">
        <v>0</v>
      </c>
      <c r="DS382" s="637">
        <v>0</v>
      </c>
      <c r="DT382" s="637">
        <v>0</v>
      </c>
      <c r="DU382" s="637">
        <v>0</v>
      </c>
      <c r="DV382" s="637">
        <v>0</v>
      </c>
      <c r="DW382" s="637">
        <v>0</v>
      </c>
      <c r="DX382" s="637">
        <v>0</v>
      </c>
      <c r="DY382" s="637">
        <v>0</v>
      </c>
      <c r="DZ382" s="637">
        <v>0</v>
      </c>
      <c r="EA382" s="637">
        <v>0</v>
      </c>
      <c r="EB382" s="637">
        <v>0</v>
      </c>
      <c r="EC382" s="637">
        <v>0</v>
      </c>
      <c r="ED382" s="637">
        <v>0</v>
      </c>
    </row>
    <row r="383" spans="1:134" ht="15" x14ac:dyDescent="0.25">
      <c r="A383" s="555">
        <v>116</v>
      </c>
      <c r="B383" s="555">
        <v>102</v>
      </c>
      <c r="C383" s="555" t="s">
        <v>1366</v>
      </c>
      <c r="D383" s="812">
        <v>99712</v>
      </c>
      <c r="E383" s="812">
        <v>99712</v>
      </c>
      <c r="F383" s="630" t="s">
        <v>311</v>
      </c>
      <c r="G383" s="45">
        <v>257</v>
      </c>
      <c r="H383" s="45">
        <v>116</v>
      </c>
      <c r="I383" s="45">
        <v>100</v>
      </c>
      <c r="J383" s="45">
        <v>16</v>
      </c>
      <c r="K383" s="45">
        <v>0</v>
      </c>
      <c r="L383" s="45">
        <v>34</v>
      </c>
      <c r="M383" s="45">
        <v>34</v>
      </c>
      <c r="N383" s="45">
        <v>0</v>
      </c>
      <c r="O383" s="45">
        <v>0</v>
      </c>
      <c r="P383" s="45">
        <v>0</v>
      </c>
      <c r="Q383" s="45">
        <v>34</v>
      </c>
      <c r="R383" s="45">
        <v>0</v>
      </c>
      <c r="S383" s="45">
        <v>2770.1176470588234</v>
      </c>
      <c r="T383" s="45">
        <v>2770.1176470588234</v>
      </c>
      <c r="U383" s="45">
        <v>0</v>
      </c>
      <c r="V383" s="45">
        <v>0</v>
      </c>
      <c r="W383" s="45">
        <v>0</v>
      </c>
      <c r="X383" s="45">
        <v>2770.1176470588234</v>
      </c>
      <c r="Y383" s="45">
        <v>0</v>
      </c>
      <c r="Z383" s="45">
        <v>116</v>
      </c>
      <c r="AA383" s="45">
        <v>0</v>
      </c>
      <c r="AB383" s="508">
        <v>0</v>
      </c>
      <c r="AC383" s="508">
        <v>0</v>
      </c>
      <c r="AD383" s="631">
        <v>116</v>
      </c>
      <c r="AE383" s="632">
        <v>0</v>
      </c>
      <c r="AF383" s="632">
        <v>100</v>
      </c>
      <c r="AG383" s="633">
        <v>100</v>
      </c>
      <c r="AH383" s="632">
        <v>0</v>
      </c>
      <c r="AI383" s="632">
        <v>0</v>
      </c>
      <c r="AJ383" s="632">
        <v>105.45725243690563</v>
      </c>
      <c r="AK383" s="632">
        <v>105.45725243690563</v>
      </c>
      <c r="AL383" s="632">
        <v>0</v>
      </c>
      <c r="AM383" s="632">
        <v>0</v>
      </c>
      <c r="AN383" s="632">
        <v>91.24541103879092</v>
      </c>
      <c r="AO383" s="632">
        <v>91.24541103879092</v>
      </c>
      <c r="AP383" s="632">
        <v>0</v>
      </c>
      <c r="AQ383" s="632">
        <v>0</v>
      </c>
      <c r="AR383" s="632">
        <v>0</v>
      </c>
      <c r="AS383" s="632">
        <v>95.872690444321023</v>
      </c>
      <c r="AT383" s="632">
        <v>100.55083549126817</v>
      </c>
      <c r="AU383" s="632">
        <v>105.45725243690563</v>
      </c>
      <c r="AV383" s="632">
        <v>110.60307989690456</v>
      </c>
      <c r="AW383" s="632">
        <v>116</v>
      </c>
      <c r="AX383" s="632">
        <v>83.257250356379089</v>
      </c>
      <c r="AY383" s="632">
        <v>87.159864792961514</v>
      </c>
      <c r="AZ383" s="632">
        <v>91.24541103879092</v>
      </c>
      <c r="BA383" s="632">
        <v>95.52246387043779</v>
      </c>
      <c r="BB383" s="632">
        <v>100</v>
      </c>
      <c r="BC383" s="632">
        <v>0</v>
      </c>
      <c r="BD383" s="632">
        <v>0</v>
      </c>
      <c r="BE383" s="632">
        <v>0</v>
      </c>
      <c r="BF383" s="632">
        <v>0</v>
      </c>
      <c r="BG383" s="632">
        <v>0</v>
      </c>
      <c r="BH383" s="634">
        <v>117.07403228226508</v>
      </c>
      <c r="BI383" s="634">
        <v>118.15800892093833</v>
      </c>
      <c r="BJ383" s="634">
        <v>119.2520219898112</v>
      </c>
      <c r="BK383" s="635">
        <v>118.46799226647818</v>
      </c>
      <c r="BL383" s="635">
        <v>117.68911719458681</v>
      </c>
      <c r="BM383" s="635">
        <v>118.53399153741942</v>
      </c>
      <c r="BN383" s="635">
        <v>119.38493111952133</v>
      </c>
      <c r="BO383" s="635">
        <v>120.24197948242946</v>
      </c>
      <c r="BP383" s="635">
        <v>121.10518048025955</v>
      </c>
      <c r="BQ383" s="635">
        <v>121.97457828195016</v>
      </c>
      <c r="BR383" s="635">
        <v>122.65929782658979</v>
      </c>
      <c r="BS383" s="635">
        <v>123.34786112999798</v>
      </c>
      <c r="BT383" s="635">
        <v>124.04028976959515</v>
      </c>
      <c r="BU383" s="635">
        <v>124.73660544392921</v>
      </c>
      <c r="BV383" s="635">
        <v>125.43682997335559</v>
      </c>
      <c r="BW383" s="634">
        <v>100.92588989850438</v>
      </c>
      <c r="BX383" s="634">
        <v>101.86035251805028</v>
      </c>
      <c r="BY383" s="634">
        <v>102.80346723259586</v>
      </c>
      <c r="BZ383" s="635">
        <v>102.1275795400674</v>
      </c>
      <c r="CA383" s="635">
        <v>101.45613551257485</v>
      </c>
      <c r="CB383" s="635">
        <v>102.18447546329261</v>
      </c>
      <c r="CC383" s="635">
        <v>102.91804406855287</v>
      </c>
      <c r="CD383" s="635">
        <v>103.65687886416333</v>
      </c>
      <c r="CE383" s="635">
        <v>104.40101765539616</v>
      </c>
      <c r="CF383" s="635">
        <v>105.15049851892256</v>
      </c>
      <c r="CG383" s="635">
        <v>105.74077398843949</v>
      </c>
      <c r="CH383" s="635">
        <v>106.33436304310172</v>
      </c>
      <c r="CI383" s="635">
        <v>106.93128428413375</v>
      </c>
      <c r="CJ383" s="635">
        <v>107.53155641718035</v>
      </c>
      <c r="CK383" s="635">
        <v>108.13519825289275</v>
      </c>
      <c r="CL383" s="634">
        <v>0</v>
      </c>
      <c r="CM383" s="634">
        <v>0</v>
      </c>
      <c r="CN383" s="634">
        <v>0</v>
      </c>
      <c r="CO383" s="635">
        <v>0</v>
      </c>
      <c r="CP383" s="635">
        <v>0</v>
      </c>
      <c r="CQ383" s="635">
        <v>0</v>
      </c>
      <c r="CR383" s="635">
        <v>0</v>
      </c>
      <c r="CS383" s="635">
        <v>0</v>
      </c>
      <c r="CT383" s="635">
        <v>0</v>
      </c>
      <c r="CU383" s="635">
        <v>0</v>
      </c>
      <c r="CV383" s="635">
        <v>0</v>
      </c>
      <c r="CW383" s="635">
        <v>0</v>
      </c>
      <c r="CX383" s="635">
        <v>0</v>
      </c>
      <c r="CY383" s="635">
        <v>0</v>
      </c>
      <c r="CZ383" s="635">
        <v>0</v>
      </c>
      <c r="DA383" s="636">
        <v>0</v>
      </c>
      <c r="DB383" s="636">
        <v>0</v>
      </c>
      <c r="DC383" s="636">
        <v>0</v>
      </c>
      <c r="DD383" s="637">
        <v>0</v>
      </c>
      <c r="DE383" s="637">
        <v>0</v>
      </c>
      <c r="DF383" s="637">
        <v>0</v>
      </c>
      <c r="DG383" s="637">
        <v>0</v>
      </c>
      <c r="DH383" s="637">
        <v>0</v>
      </c>
      <c r="DI383" s="637">
        <v>0</v>
      </c>
      <c r="DJ383" s="637">
        <v>0</v>
      </c>
      <c r="DK383" s="637">
        <v>0</v>
      </c>
      <c r="DL383" s="637">
        <v>0</v>
      </c>
      <c r="DM383" s="637">
        <v>0</v>
      </c>
      <c r="DN383" s="637">
        <v>0</v>
      </c>
      <c r="DO383" s="637">
        <v>0</v>
      </c>
      <c r="DP383" s="636">
        <v>0</v>
      </c>
      <c r="DQ383" s="636">
        <v>0</v>
      </c>
      <c r="DR383" s="636">
        <v>0</v>
      </c>
      <c r="DS383" s="637">
        <v>0</v>
      </c>
      <c r="DT383" s="637">
        <v>0</v>
      </c>
      <c r="DU383" s="637">
        <v>0</v>
      </c>
      <c r="DV383" s="637">
        <v>0</v>
      </c>
      <c r="DW383" s="637">
        <v>0</v>
      </c>
      <c r="DX383" s="637">
        <v>0</v>
      </c>
      <c r="DY383" s="637">
        <v>0</v>
      </c>
      <c r="DZ383" s="637">
        <v>0</v>
      </c>
      <c r="EA383" s="637">
        <v>0</v>
      </c>
      <c r="EB383" s="637">
        <v>0</v>
      </c>
      <c r="EC383" s="637">
        <v>0</v>
      </c>
      <c r="ED383" s="637">
        <v>0</v>
      </c>
    </row>
    <row r="384" spans="1:134" ht="15" x14ac:dyDescent="0.25">
      <c r="A384" s="555">
        <v>91</v>
      </c>
      <c r="B384" s="555">
        <v>103</v>
      </c>
      <c r="C384" s="555" t="s">
        <v>1367</v>
      </c>
      <c r="D384" s="812">
        <v>99709</v>
      </c>
      <c r="E384" s="812">
        <v>99709</v>
      </c>
      <c r="F384" s="630" t="s">
        <v>989</v>
      </c>
      <c r="G384" s="45">
        <v>14</v>
      </c>
      <c r="H384" s="45">
        <v>9</v>
      </c>
      <c r="I384" s="45">
        <v>7</v>
      </c>
      <c r="J384" s="45">
        <v>2</v>
      </c>
      <c r="K384" s="45">
        <v>0</v>
      </c>
      <c r="L384" s="45">
        <v>11</v>
      </c>
      <c r="M384" s="45">
        <v>11</v>
      </c>
      <c r="N384" s="45">
        <v>0</v>
      </c>
      <c r="O384" s="45">
        <v>0</v>
      </c>
      <c r="P384" s="45">
        <v>0</v>
      </c>
      <c r="Q384" s="45">
        <v>11</v>
      </c>
      <c r="R384" s="45">
        <v>0</v>
      </c>
      <c r="S384" s="45">
        <v>1114.3636363636363</v>
      </c>
      <c r="T384" s="45">
        <v>1114.3636363636363</v>
      </c>
      <c r="U384" s="45">
        <v>0</v>
      </c>
      <c r="V384" s="45">
        <v>0</v>
      </c>
      <c r="W384" s="45">
        <v>0</v>
      </c>
      <c r="X384" s="45">
        <v>1114.3636363636363</v>
      </c>
      <c r="Y384" s="45">
        <v>0</v>
      </c>
      <c r="Z384" s="45">
        <v>9</v>
      </c>
      <c r="AA384" s="45">
        <v>0</v>
      </c>
      <c r="AB384" s="508">
        <v>0</v>
      </c>
      <c r="AC384" s="508">
        <v>0</v>
      </c>
      <c r="AD384" s="631">
        <v>9</v>
      </c>
      <c r="AE384" s="632">
        <v>0</v>
      </c>
      <c r="AF384" s="632">
        <v>7</v>
      </c>
      <c r="AG384" s="633">
        <v>7</v>
      </c>
      <c r="AH384" s="632">
        <v>0</v>
      </c>
      <c r="AI384" s="632">
        <v>0</v>
      </c>
      <c r="AJ384" s="632">
        <v>8.569425555069655</v>
      </c>
      <c r="AK384" s="632">
        <v>8.569425555069655</v>
      </c>
      <c r="AL384" s="632">
        <v>0</v>
      </c>
      <c r="AM384" s="632">
        <v>0</v>
      </c>
      <c r="AN384" s="632">
        <v>6.6776824022858339</v>
      </c>
      <c r="AO384" s="632">
        <v>6.6776824022858339</v>
      </c>
      <c r="AP384" s="632">
        <v>0</v>
      </c>
      <c r="AQ384" s="632">
        <v>0</v>
      </c>
      <c r="AR384" s="632">
        <v>0</v>
      </c>
      <c r="AS384" s="632">
        <v>8.159450482653428</v>
      </c>
      <c r="AT384" s="632">
        <v>8.3619258237188223</v>
      </c>
      <c r="AU384" s="632">
        <v>8.569425555069655</v>
      </c>
      <c r="AV384" s="632">
        <v>8.7820743560748156</v>
      </c>
      <c r="AW384" s="632">
        <v>9</v>
      </c>
      <c r="AX384" s="632">
        <v>6.3702060379711298</v>
      </c>
      <c r="AY384" s="632">
        <v>6.5221325315187197</v>
      </c>
      <c r="AZ384" s="632">
        <v>6.6776824022858339</v>
      </c>
      <c r="BA384" s="632">
        <v>6.8369420661580014</v>
      </c>
      <c r="BB384" s="632">
        <v>7</v>
      </c>
      <c r="BC384" s="632">
        <v>0</v>
      </c>
      <c r="BD384" s="632">
        <v>0</v>
      </c>
      <c r="BE384" s="632">
        <v>0</v>
      </c>
      <c r="BF384" s="632">
        <v>0</v>
      </c>
      <c r="BG384" s="632">
        <v>0</v>
      </c>
      <c r="BH384" s="634">
        <v>9.0461036611005561</v>
      </c>
      <c r="BI384" s="634">
        <v>9.0924434941529881</v>
      </c>
      <c r="BJ384" s="634">
        <v>9.1390207089785882</v>
      </c>
      <c r="BK384" s="635">
        <v>9.0789356575183504</v>
      </c>
      <c r="BL384" s="635">
        <v>9.0192456389094371</v>
      </c>
      <c r="BM384" s="635">
        <v>9.0839935902380251</v>
      </c>
      <c r="BN384" s="635">
        <v>9.1492063584004235</v>
      </c>
      <c r="BO384" s="635">
        <v>9.2148872802541657</v>
      </c>
      <c r="BP384" s="635">
        <v>9.2810397166116321</v>
      </c>
      <c r="BQ384" s="635">
        <v>9.3476670524120262</v>
      </c>
      <c r="BR384" s="635">
        <v>9.4001413500707987</v>
      </c>
      <c r="BS384" s="635">
        <v>9.4529102187599001</v>
      </c>
      <c r="BT384" s="635">
        <v>9.5059753120906354</v>
      </c>
      <c r="BU384" s="635">
        <v>9.5593382929570669</v>
      </c>
      <c r="BV384" s="635">
        <v>9.6130008335881119</v>
      </c>
      <c r="BW384" s="634">
        <v>7.035858403078211</v>
      </c>
      <c r="BX384" s="634">
        <v>7.0719004954523248</v>
      </c>
      <c r="BY384" s="634">
        <v>7.1081272180944568</v>
      </c>
      <c r="BZ384" s="635">
        <v>7.0613944002920501</v>
      </c>
      <c r="CA384" s="635">
        <v>7.0149688302628945</v>
      </c>
      <c r="CB384" s="635">
        <v>7.0653283479629074</v>
      </c>
      <c r="CC384" s="635">
        <v>7.116049389866995</v>
      </c>
      <c r="CD384" s="635">
        <v>7.167134551308795</v>
      </c>
      <c r="CE384" s="635">
        <v>7.2185864462534912</v>
      </c>
      <c r="CF384" s="635">
        <v>7.2704077074315743</v>
      </c>
      <c r="CG384" s="635">
        <v>7.3112210500550656</v>
      </c>
      <c r="CH384" s="635">
        <v>7.3522635034799215</v>
      </c>
      <c r="CI384" s="635">
        <v>7.3935363538482717</v>
      </c>
      <c r="CJ384" s="635">
        <v>7.435040894522162</v>
      </c>
      <c r="CK384" s="635">
        <v>7.4767784261240857</v>
      </c>
      <c r="CL384" s="634">
        <v>0</v>
      </c>
      <c r="CM384" s="634">
        <v>0</v>
      </c>
      <c r="CN384" s="634">
        <v>0</v>
      </c>
      <c r="CO384" s="635">
        <v>0</v>
      </c>
      <c r="CP384" s="635">
        <v>0</v>
      </c>
      <c r="CQ384" s="635">
        <v>0</v>
      </c>
      <c r="CR384" s="635">
        <v>0</v>
      </c>
      <c r="CS384" s="635">
        <v>0</v>
      </c>
      <c r="CT384" s="635">
        <v>0</v>
      </c>
      <c r="CU384" s="635">
        <v>0</v>
      </c>
      <c r="CV384" s="635">
        <v>0</v>
      </c>
      <c r="CW384" s="635">
        <v>0</v>
      </c>
      <c r="CX384" s="635">
        <v>0</v>
      </c>
      <c r="CY384" s="635">
        <v>0</v>
      </c>
      <c r="CZ384" s="635">
        <v>0</v>
      </c>
      <c r="DA384" s="636">
        <v>0</v>
      </c>
      <c r="DB384" s="636">
        <v>0</v>
      </c>
      <c r="DC384" s="636">
        <v>0</v>
      </c>
      <c r="DD384" s="637">
        <v>0</v>
      </c>
      <c r="DE384" s="637">
        <v>0</v>
      </c>
      <c r="DF384" s="637">
        <v>0</v>
      </c>
      <c r="DG384" s="637">
        <v>0</v>
      </c>
      <c r="DH384" s="637">
        <v>0</v>
      </c>
      <c r="DI384" s="637">
        <v>0</v>
      </c>
      <c r="DJ384" s="637">
        <v>0</v>
      </c>
      <c r="DK384" s="637">
        <v>0</v>
      </c>
      <c r="DL384" s="637">
        <v>0</v>
      </c>
      <c r="DM384" s="637">
        <v>0</v>
      </c>
      <c r="DN384" s="637">
        <v>0</v>
      </c>
      <c r="DO384" s="637">
        <v>0</v>
      </c>
      <c r="DP384" s="636">
        <v>0</v>
      </c>
      <c r="DQ384" s="636">
        <v>0</v>
      </c>
      <c r="DR384" s="636">
        <v>0</v>
      </c>
      <c r="DS384" s="637">
        <v>0</v>
      </c>
      <c r="DT384" s="637">
        <v>0</v>
      </c>
      <c r="DU384" s="637">
        <v>0</v>
      </c>
      <c r="DV384" s="637">
        <v>0</v>
      </c>
      <c r="DW384" s="637">
        <v>0</v>
      </c>
      <c r="DX384" s="637">
        <v>0</v>
      </c>
      <c r="DY384" s="637">
        <v>0</v>
      </c>
      <c r="DZ384" s="637">
        <v>0</v>
      </c>
      <c r="EA384" s="637">
        <v>0</v>
      </c>
      <c r="EB384" s="637">
        <v>0</v>
      </c>
      <c r="EC384" s="637">
        <v>0</v>
      </c>
      <c r="ED384" s="637">
        <v>0</v>
      </c>
    </row>
    <row r="385" spans="1:134" ht="15" x14ac:dyDescent="0.25">
      <c r="A385" s="555">
        <v>92</v>
      </c>
      <c r="B385" s="555">
        <v>103</v>
      </c>
      <c r="C385" s="555" t="s">
        <v>1368</v>
      </c>
      <c r="D385" s="812">
        <v>99709</v>
      </c>
      <c r="E385" s="812">
        <v>99709</v>
      </c>
      <c r="F385" s="630" t="s">
        <v>989</v>
      </c>
      <c r="G385" s="45">
        <v>34</v>
      </c>
      <c r="H385" s="45">
        <v>16</v>
      </c>
      <c r="I385" s="45">
        <v>13</v>
      </c>
      <c r="J385" s="45">
        <v>3</v>
      </c>
      <c r="K385" s="45">
        <v>0</v>
      </c>
      <c r="L385" s="45">
        <v>15</v>
      </c>
      <c r="M385" s="45">
        <v>15</v>
      </c>
      <c r="N385" s="45">
        <v>0</v>
      </c>
      <c r="O385" s="45">
        <v>0</v>
      </c>
      <c r="P385" s="45">
        <v>0</v>
      </c>
      <c r="Q385" s="45">
        <v>15</v>
      </c>
      <c r="R385" s="45">
        <v>0</v>
      </c>
      <c r="S385" s="45">
        <v>1211</v>
      </c>
      <c r="T385" s="45">
        <v>1211</v>
      </c>
      <c r="U385" s="45">
        <v>0</v>
      </c>
      <c r="V385" s="45">
        <v>0</v>
      </c>
      <c r="W385" s="45">
        <v>0</v>
      </c>
      <c r="X385" s="45">
        <v>1211</v>
      </c>
      <c r="Y385" s="45">
        <v>0</v>
      </c>
      <c r="Z385" s="45">
        <v>16</v>
      </c>
      <c r="AA385" s="45">
        <v>0</v>
      </c>
      <c r="AB385" s="508">
        <v>0</v>
      </c>
      <c r="AC385" s="508">
        <v>0</v>
      </c>
      <c r="AD385" s="631">
        <v>16</v>
      </c>
      <c r="AE385" s="632">
        <v>0</v>
      </c>
      <c r="AF385" s="632">
        <v>13</v>
      </c>
      <c r="AG385" s="633">
        <v>13</v>
      </c>
      <c r="AH385" s="632">
        <v>0</v>
      </c>
      <c r="AI385" s="632">
        <v>0</v>
      </c>
      <c r="AJ385" s="632">
        <v>15.23453432012383</v>
      </c>
      <c r="AK385" s="632">
        <v>15.23453432012383</v>
      </c>
      <c r="AL385" s="632">
        <v>0</v>
      </c>
      <c r="AM385" s="632">
        <v>0</v>
      </c>
      <c r="AN385" s="632">
        <v>12.401410175673693</v>
      </c>
      <c r="AO385" s="632">
        <v>12.401410175673693</v>
      </c>
      <c r="AP385" s="632">
        <v>0</v>
      </c>
      <c r="AQ385" s="632">
        <v>0</v>
      </c>
      <c r="AR385" s="632">
        <v>0</v>
      </c>
      <c r="AS385" s="632">
        <v>14.505689746939428</v>
      </c>
      <c r="AT385" s="632">
        <v>14.865645908833462</v>
      </c>
      <c r="AU385" s="632">
        <v>15.23453432012383</v>
      </c>
      <c r="AV385" s="632">
        <v>15.612576633021893</v>
      </c>
      <c r="AW385" s="632">
        <v>16</v>
      </c>
      <c r="AX385" s="632">
        <v>11.830382641946384</v>
      </c>
      <c r="AY385" s="632">
        <v>12.112531844249052</v>
      </c>
      <c r="AZ385" s="632">
        <v>12.401410175673693</v>
      </c>
      <c r="BA385" s="632">
        <v>12.697178122864859</v>
      </c>
      <c r="BB385" s="632">
        <v>13</v>
      </c>
      <c r="BC385" s="632">
        <v>0</v>
      </c>
      <c r="BD385" s="632">
        <v>0</v>
      </c>
      <c r="BE385" s="632">
        <v>0</v>
      </c>
      <c r="BF385" s="632">
        <v>0</v>
      </c>
      <c r="BG385" s="632">
        <v>0</v>
      </c>
      <c r="BH385" s="634">
        <v>16.081962064178768</v>
      </c>
      <c r="BI385" s="634">
        <v>16.164343989605314</v>
      </c>
      <c r="BJ385" s="634">
        <v>16.247147927073044</v>
      </c>
      <c r="BK385" s="635">
        <v>16.140330057810399</v>
      </c>
      <c r="BL385" s="635">
        <v>16.03421446917233</v>
      </c>
      <c r="BM385" s="635">
        <v>16.149321938200931</v>
      </c>
      <c r="BN385" s="635">
        <v>16.265255748267418</v>
      </c>
      <c r="BO385" s="635">
        <v>16.382021831562959</v>
      </c>
      <c r="BP385" s="635">
        <v>16.499626162865123</v>
      </c>
      <c r="BQ385" s="635">
        <v>16.618074759843598</v>
      </c>
      <c r="BR385" s="635">
        <v>16.711362400125864</v>
      </c>
      <c r="BS385" s="635">
        <v>16.805173722239822</v>
      </c>
      <c r="BT385" s="635">
        <v>16.899511665938906</v>
      </c>
      <c r="BU385" s="635">
        <v>16.994379187479229</v>
      </c>
      <c r="BV385" s="635">
        <v>17.089779259712195</v>
      </c>
      <c r="BW385" s="634">
        <v>13.066594177145248</v>
      </c>
      <c r="BX385" s="634">
        <v>13.133529491554317</v>
      </c>
      <c r="BY385" s="634">
        <v>13.200807690746849</v>
      </c>
      <c r="BZ385" s="635">
        <v>13.114018171970951</v>
      </c>
      <c r="CA385" s="635">
        <v>13.02779925620252</v>
      </c>
      <c r="CB385" s="635">
        <v>13.121324074788257</v>
      </c>
      <c r="CC385" s="635">
        <v>13.215520295467277</v>
      </c>
      <c r="CD385" s="635">
        <v>13.310392738144905</v>
      </c>
      <c r="CE385" s="635">
        <v>13.405946257327914</v>
      </c>
      <c r="CF385" s="635">
        <v>13.502185742372925</v>
      </c>
      <c r="CG385" s="635">
        <v>13.577981950102265</v>
      </c>
      <c r="CH385" s="635">
        <v>13.654203649319856</v>
      </c>
      <c r="CI385" s="635">
        <v>13.730853228575363</v>
      </c>
      <c r="CJ385" s="635">
        <v>13.807933089826873</v>
      </c>
      <c r="CK385" s="635">
        <v>13.885445648516161</v>
      </c>
      <c r="CL385" s="634">
        <v>0</v>
      </c>
      <c r="CM385" s="634">
        <v>0</v>
      </c>
      <c r="CN385" s="634">
        <v>0</v>
      </c>
      <c r="CO385" s="635">
        <v>0</v>
      </c>
      <c r="CP385" s="635">
        <v>0</v>
      </c>
      <c r="CQ385" s="635">
        <v>0</v>
      </c>
      <c r="CR385" s="635">
        <v>0</v>
      </c>
      <c r="CS385" s="635">
        <v>0</v>
      </c>
      <c r="CT385" s="635">
        <v>0</v>
      </c>
      <c r="CU385" s="635">
        <v>0</v>
      </c>
      <c r="CV385" s="635">
        <v>0</v>
      </c>
      <c r="CW385" s="635">
        <v>0</v>
      </c>
      <c r="CX385" s="635">
        <v>0</v>
      </c>
      <c r="CY385" s="635">
        <v>0</v>
      </c>
      <c r="CZ385" s="635">
        <v>0</v>
      </c>
      <c r="DA385" s="636">
        <v>0</v>
      </c>
      <c r="DB385" s="636">
        <v>0</v>
      </c>
      <c r="DC385" s="636">
        <v>0</v>
      </c>
      <c r="DD385" s="637">
        <v>0</v>
      </c>
      <c r="DE385" s="637">
        <v>0</v>
      </c>
      <c r="DF385" s="637">
        <v>0</v>
      </c>
      <c r="DG385" s="637">
        <v>0</v>
      </c>
      <c r="DH385" s="637">
        <v>0</v>
      </c>
      <c r="DI385" s="637">
        <v>0</v>
      </c>
      <c r="DJ385" s="637">
        <v>0</v>
      </c>
      <c r="DK385" s="637">
        <v>0</v>
      </c>
      <c r="DL385" s="637">
        <v>0</v>
      </c>
      <c r="DM385" s="637">
        <v>0</v>
      </c>
      <c r="DN385" s="637">
        <v>0</v>
      </c>
      <c r="DO385" s="637">
        <v>0</v>
      </c>
      <c r="DP385" s="636">
        <v>0</v>
      </c>
      <c r="DQ385" s="636">
        <v>0</v>
      </c>
      <c r="DR385" s="636">
        <v>0</v>
      </c>
      <c r="DS385" s="637">
        <v>0</v>
      </c>
      <c r="DT385" s="637">
        <v>0</v>
      </c>
      <c r="DU385" s="637">
        <v>0</v>
      </c>
      <c r="DV385" s="637">
        <v>0</v>
      </c>
      <c r="DW385" s="637">
        <v>0</v>
      </c>
      <c r="DX385" s="637">
        <v>0</v>
      </c>
      <c r="DY385" s="637">
        <v>0</v>
      </c>
      <c r="DZ385" s="637">
        <v>0</v>
      </c>
      <c r="EA385" s="637">
        <v>0</v>
      </c>
      <c r="EB385" s="637">
        <v>0</v>
      </c>
      <c r="EC385" s="637">
        <v>0</v>
      </c>
      <c r="ED385" s="637">
        <v>0</v>
      </c>
    </row>
    <row r="386" spans="1:134" ht="15" x14ac:dyDescent="0.25">
      <c r="A386" s="555">
        <v>101</v>
      </c>
      <c r="B386" s="555">
        <v>103</v>
      </c>
      <c r="C386" s="555" t="s">
        <v>1369</v>
      </c>
      <c r="D386" s="812">
        <v>99709</v>
      </c>
      <c r="E386" s="812">
        <v>99709</v>
      </c>
      <c r="F386" s="630" t="s">
        <v>311</v>
      </c>
      <c r="G386" s="45">
        <v>632</v>
      </c>
      <c r="H386" s="45">
        <v>325</v>
      </c>
      <c r="I386" s="45">
        <v>271</v>
      </c>
      <c r="J386" s="45">
        <v>54</v>
      </c>
      <c r="K386" s="45">
        <v>0</v>
      </c>
      <c r="L386" s="45">
        <v>0</v>
      </c>
      <c r="M386" s="45">
        <v>0</v>
      </c>
      <c r="N386" s="45">
        <v>0</v>
      </c>
      <c r="O386" s="45">
        <v>0</v>
      </c>
      <c r="P386" s="45">
        <v>0</v>
      </c>
      <c r="Q386" s="45">
        <v>0</v>
      </c>
      <c r="R386" s="45">
        <v>0</v>
      </c>
      <c r="S386" s="45">
        <v>834.49503068156923</v>
      </c>
      <c r="T386" s="45">
        <v>834.49503068156923</v>
      </c>
      <c r="U386" s="45">
        <v>1408.3846153846155</v>
      </c>
      <c r="V386" s="45">
        <v>0</v>
      </c>
      <c r="W386" s="45">
        <v>0</v>
      </c>
      <c r="X386" s="45">
        <v>1365.173957061457</v>
      </c>
      <c r="Y386" s="45">
        <v>7.4465090090090094</v>
      </c>
      <c r="Z386" s="45">
        <v>317.13119369369372</v>
      </c>
      <c r="AA386" s="45">
        <v>0.42229729729729731</v>
      </c>
      <c r="AB386" s="508">
        <v>0</v>
      </c>
      <c r="AC386" s="508">
        <v>0</v>
      </c>
      <c r="AD386" s="631">
        <v>325</v>
      </c>
      <c r="AE386" s="632">
        <v>6.2092428967428974</v>
      </c>
      <c r="AF386" s="632">
        <v>264.43862612612611</v>
      </c>
      <c r="AG386" s="633">
        <v>270.64786902286903</v>
      </c>
      <c r="AH386" s="632">
        <v>0.35213097713097719</v>
      </c>
      <c r="AI386" s="632">
        <v>7.0902560664286902</v>
      </c>
      <c r="AJ386" s="632">
        <v>301.95912839427592</v>
      </c>
      <c r="AK386" s="632">
        <v>309.04938446070463</v>
      </c>
      <c r="AL386" s="632">
        <v>0.40209391681070078</v>
      </c>
      <c r="AM386" s="632">
        <v>5.9233360032997657</v>
      </c>
      <c r="AN386" s="632">
        <v>252.26245145243934</v>
      </c>
      <c r="AO386" s="632">
        <v>258.1857874557391</v>
      </c>
      <c r="AP386" s="632">
        <v>0.33591697561246314</v>
      </c>
      <c r="AQ386" s="632">
        <v>0</v>
      </c>
      <c r="AR386" s="632">
        <v>0</v>
      </c>
      <c r="AS386" s="632">
        <v>294.26396588623425</v>
      </c>
      <c r="AT386" s="632">
        <v>301.56607489256226</v>
      </c>
      <c r="AU386" s="632">
        <v>309.04938446070457</v>
      </c>
      <c r="AV386" s="632">
        <v>316.71839105100895</v>
      </c>
      <c r="AW386" s="632">
        <v>324.57770270270271</v>
      </c>
      <c r="AX386" s="632">
        <v>246.2975270590714</v>
      </c>
      <c r="AY386" s="632">
        <v>252.17161016289597</v>
      </c>
      <c r="AZ386" s="632">
        <v>258.1857874557391</v>
      </c>
      <c r="BA386" s="632">
        <v>264.34340011978202</v>
      </c>
      <c r="BB386" s="632">
        <v>270.64786902286903</v>
      </c>
      <c r="BC386" s="632">
        <v>0</v>
      </c>
      <c r="BD386" s="632">
        <v>0</v>
      </c>
      <c r="BE386" s="632">
        <v>0</v>
      </c>
      <c r="BF386" s="632">
        <v>0</v>
      </c>
      <c r="BG386" s="632">
        <v>0</v>
      </c>
      <c r="BH386" s="634">
        <v>326.24039385894747</v>
      </c>
      <c r="BI386" s="634">
        <v>327.91160236514582</v>
      </c>
      <c r="BJ386" s="634">
        <v>329.59137185252172</v>
      </c>
      <c r="BK386" s="635">
        <v>327.42445318921756</v>
      </c>
      <c r="BL386" s="635">
        <v>325.27178106539947</v>
      </c>
      <c r="BM386" s="635">
        <v>327.60686343172603</v>
      </c>
      <c r="BN386" s="635">
        <v>329.95870904028556</v>
      </c>
      <c r="BO386" s="635">
        <v>332.32743823213923</v>
      </c>
      <c r="BP386" s="635">
        <v>334.7131722122607</v>
      </c>
      <c r="BQ386" s="635">
        <v>337.11603305573772</v>
      </c>
      <c r="BR386" s="635">
        <v>339.00847605407358</v>
      </c>
      <c r="BS386" s="635">
        <v>340.91154251777681</v>
      </c>
      <c r="BT386" s="635">
        <v>342.82529208299843</v>
      </c>
      <c r="BU386" s="635">
        <v>344.74978472066448</v>
      </c>
      <c r="BV386" s="635">
        <v>346.68508073835505</v>
      </c>
      <c r="BW386" s="634">
        <v>272.03429764853774</v>
      </c>
      <c r="BX386" s="634">
        <v>273.42782843370622</v>
      </c>
      <c r="BY386" s="634">
        <v>274.82849776010272</v>
      </c>
      <c r="BZ386" s="635">
        <v>273.02162096700908</v>
      </c>
      <c r="CA386" s="635">
        <v>271.22662359607153</v>
      </c>
      <c r="CB386" s="635">
        <v>273.17372304614696</v>
      </c>
      <c r="CC386" s="635">
        <v>275.13480046128427</v>
      </c>
      <c r="CD386" s="635">
        <v>277.10995618741458</v>
      </c>
      <c r="CE386" s="635">
        <v>279.09929129083895</v>
      </c>
      <c r="CF386" s="635">
        <v>281.10290756339975</v>
      </c>
      <c r="CG386" s="635">
        <v>282.6809138789352</v>
      </c>
      <c r="CH386" s="635">
        <v>284.26777853020775</v>
      </c>
      <c r="CI386" s="635">
        <v>285.86355124459254</v>
      </c>
      <c r="CJ386" s="635">
        <v>287.46828202861559</v>
      </c>
      <c r="CK386" s="635">
        <v>289.08202116952066</v>
      </c>
      <c r="CL386" s="634">
        <v>0</v>
      </c>
      <c r="CM386" s="634">
        <v>0</v>
      </c>
      <c r="CN386" s="634">
        <v>0</v>
      </c>
      <c r="CO386" s="635">
        <v>0</v>
      </c>
      <c r="CP386" s="635">
        <v>0</v>
      </c>
      <c r="CQ386" s="635">
        <v>0</v>
      </c>
      <c r="CR386" s="635">
        <v>0</v>
      </c>
      <c r="CS386" s="635">
        <v>0</v>
      </c>
      <c r="CT386" s="635">
        <v>0</v>
      </c>
      <c r="CU386" s="635">
        <v>0</v>
      </c>
      <c r="CV386" s="635">
        <v>0</v>
      </c>
      <c r="CW386" s="635">
        <v>0</v>
      </c>
      <c r="CX386" s="635">
        <v>0</v>
      </c>
      <c r="CY386" s="635">
        <v>0</v>
      </c>
      <c r="CZ386" s="635">
        <v>0</v>
      </c>
      <c r="DA386" s="636">
        <v>0.42446056968377238</v>
      </c>
      <c r="DB386" s="636">
        <v>0.42663492371213352</v>
      </c>
      <c r="DC386" s="636">
        <v>0.42882041614952082</v>
      </c>
      <c r="DD386" s="637">
        <v>0.42600111005622893</v>
      </c>
      <c r="DE386" s="637">
        <v>0.42320033966354337</v>
      </c>
      <c r="DF386" s="637">
        <v>0.4262384379803878</v>
      </c>
      <c r="DG386" s="637">
        <v>0.42929834639641623</v>
      </c>
      <c r="DH386" s="637">
        <v>0.43238022148339739</v>
      </c>
      <c r="DI386" s="637">
        <v>0.43548422093710737</v>
      </c>
      <c r="DJ386" s="637">
        <v>0.43861050358539905</v>
      </c>
      <c r="DK386" s="637">
        <v>0.44107269848305175</v>
      </c>
      <c r="DL386" s="637">
        <v>0.44354871521958988</v>
      </c>
      <c r="DM386" s="637">
        <v>0.44603863138563421</v>
      </c>
      <c r="DN386" s="637">
        <v>0.44854252500736985</v>
      </c>
      <c r="DO386" s="637">
        <v>0.45106047454899167</v>
      </c>
      <c r="DP386" s="636">
        <v>0</v>
      </c>
      <c r="DQ386" s="636">
        <v>0</v>
      </c>
      <c r="DR386" s="636">
        <v>0</v>
      </c>
      <c r="DS386" s="637">
        <v>0</v>
      </c>
      <c r="DT386" s="637">
        <v>0</v>
      </c>
      <c r="DU386" s="637">
        <v>0</v>
      </c>
      <c r="DV386" s="637">
        <v>0</v>
      </c>
      <c r="DW386" s="637">
        <v>0</v>
      </c>
      <c r="DX386" s="637">
        <v>0</v>
      </c>
      <c r="DY386" s="637">
        <v>0</v>
      </c>
      <c r="DZ386" s="637">
        <v>0</v>
      </c>
      <c r="EA386" s="637">
        <v>0</v>
      </c>
      <c r="EB386" s="637">
        <v>0</v>
      </c>
      <c r="EC386" s="637">
        <v>0</v>
      </c>
      <c r="ED386" s="637">
        <v>0</v>
      </c>
    </row>
    <row r="387" spans="1:134" ht="15" x14ac:dyDescent="0.25">
      <c r="A387" s="555">
        <v>108</v>
      </c>
      <c r="B387" s="555">
        <v>103</v>
      </c>
      <c r="C387" s="555" t="s">
        <v>1370</v>
      </c>
      <c r="D387" s="812">
        <v>99709</v>
      </c>
      <c r="E387" s="812">
        <v>99709</v>
      </c>
      <c r="F387" s="630" t="s">
        <v>311</v>
      </c>
      <c r="G387" s="45">
        <v>137</v>
      </c>
      <c r="H387" s="45">
        <v>61</v>
      </c>
      <c r="I387" s="45">
        <v>51</v>
      </c>
      <c r="J387" s="45">
        <v>10</v>
      </c>
      <c r="K387" s="45">
        <v>0</v>
      </c>
      <c r="L387" s="45">
        <v>23</v>
      </c>
      <c r="M387" s="45">
        <v>23</v>
      </c>
      <c r="N387" s="45">
        <v>0</v>
      </c>
      <c r="O387" s="45">
        <v>0</v>
      </c>
      <c r="P387" s="45">
        <v>0</v>
      </c>
      <c r="Q387" s="45">
        <v>23</v>
      </c>
      <c r="R387" s="45">
        <v>0</v>
      </c>
      <c r="S387" s="45">
        <v>1345.695652173913</v>
      </c>
      <c r="T387" s="45">
        <v>1345.695652173913</v>
      </c>
      <c r="U387" s="45">
        <v>0</v>
      </c>
      <c r="V387" s="45">
        <v>0</v>
      </c>
      <c r="W387" s="45">
        <v>0</v>
      </c>
      <c r="X387" s="45">
        <v>1345.695652173913</v>
      </c>
      <c r="Y387" s="45">
        <v>0</v>
      </c>
      <c r="Z387" s="45">
        <v>61</v>
      </c>
      <c r="AA387" s="45">
        <v>0</v>
      </c>
      <c r="AB387" s="508">
        <v>0</v>
      </c>
      <c r="AC387" s="508">
        <v>0</v>
      </c>
      <c r="AD387" s="631">
        <v>61</v>
      </c>
      <c r="AE387" s="632">
        <v>0</v>
      </c>
      <c r="AF387" s="632">
        <v>51</v>
      </c>
      <c r="AG387" s="633">
        <v>51</v>
      </c>
      <c r="AH387" s="632">
        <v>0</v>
      </c>
      <c r="AI387" s="632">
        <v>0</v>
      </c>
      <c r="AJ387" s="632">
        <v>58.081662095472097</v>
      </c>
      <c r="AK387" s="632">
        <v>58.081662095472097</v>
      </c>
      <c r="AL387" s="632">
        <v>0</v>
      </c>
      <c r="AM387" s="632">
        <v>0</v>
      </c>
      <c r="AN387" s="632">
        <v>48.651686073796789</v>
      </c>
      <c r="AO387" s="632">
        <v>48.651686073796789</v>
      </c>
      <c r="AP387" s="632">
        <v>0</v>
      </c>
      <c r="AQ387" s="632">
        <v>0</v>
      </c>
      <c r="AR387" s="632">
        <v>0</v>
      </c>
      <c r="AS387" s="632">
        <v>55.302942160206563</v>
      </c>
      <c r="AT387" s="632">
        <v>56.675275027427574</v>
      </c>
      <c r="AU387" s="632">
        <v>58.081662095472097</v>
      </c>
      <c r="AV387" s="632">
        <v>59.522948413395973</v>
      </c>
      <c r="AW387" s="632">
        <v>61</v>
      </c>
      <c r="AX387" s="632">
        <v>46.411501133789656</v>
      </c>
      <c r="AY387" s="632">
        <v>47.518394158207819</v>
      </c>
      <c r="AZ387" s="632">
        <v>48.651686073796789</v>
      </c>
      <c r="BA387" s="632">
        <v>49.812006482008293</v>
      </c>
      <c r="BB387" s="632">
        <v>51</v>
      </c>
      <c r="BC387" s="632">
        <v>0</v>
      </c>
      <c r="BD387" s="632">
        <v>0</v>
      </c>
      <c r="BE387" s="632">
        <v>0</v>
      </c>
      <c r="BF387" s="632">
        <v>0</v>
      </c>
      <c r="BG387" s="632">
        <v>0</v>
      </c>
      <c r="BH387" s="634">
        <v>61.312480369681552</v>
      </c>
      <c r="BI387" s="634">
        <v>61.626561460370262</v>
      </c>
      <c r="BJ387" s="634">
        <v>61.942251471965982</v>
      </c>
      <c r="BK387" s="635">
        <v>61.535008345402147</v>
      </c>
      <c r="BL387" s="635">
        <v>61.130442663719514</v>
      </c>
      <c r="BM387" s="635">
        <v>61.569289889391051</v>
      </c>
      <c r="BN387" s="635">
        <v>62.011287540269528</v>
      </c>
      <c r="BO387" s="635">
        <v>62.456458232833789</v>
      </c>
      <c r="BP387" s="635">
        <v>62.904824745923278</v>
      </c>
      <c r="BQ387" s="635">
        <v>63.35641002190372</v>
      </c>
      <c r="BR387" s="635">
        <v>63.712069150479856</v>
      </c>
      <c r="BS387" s="635">
        <v>64.069724816039326</v>
      </c>
      <c r="BT387" s="635">
        <v>64.429388226392078</v>
      </c>
      <c r="BU387" s="635">
        <v>64.791070652264551</v>
      </c>
      <c r="BV387" s="635">
        <v>65.154783427652745</v>
      </c>
      <c r="BW387" s="634">
        <v>51.261254079569824</v>
      </c>
      <c r="BX387" s="634">
        <v>51.523846466866935</v>
      </c>
      <c r="BY387" s="634">
        <v>51.787784017545327</v>
      </c>
      <c r="BZ387" s="635">
        <v>51.447302059270648</v>
      </c>
      <c r="CA387" s="635">
        <v>51.109058620486806</v>
      </c>
      <c r="CB387" s="635">
        <v>51.475963678015468</v>
      </c>
      <c r="CC387" s="635">
        <v>51.845502697602392</v>
      </c>
      <c r="CD387" s="635">
        <v>52.217694588106937</v>
      </c>
      <c r="CE387" s="635">
        <v>52.592558394132581</v>
      </c>
      <c r="CF387" s="635">
        <v>52.970113297001468</v>
      </c>
      <c r="CG387" s="635">
        <v>53.267467650401187</v>
      </c>
      <c r="CH387" s="635">
        <v>53.566491239639433</v>
      </c>
      <c r="CI387" s="635">
        <v>53.867193435180269</v>
      </c>
      <c r="CJ387" s="635">
        <v>54.169583660090041</v>
      </c>
      <c r="CK387" s="635">
        <v>54.473671390332626</v>
      </c>
      <c r="CL387" s="634">
        <v>0</v>
      </c>
      <c r="CM387" s="634">
        <v>0</v>
      </c>
      <c r="CN387" s="634">
        <v>0</v>
      </c>
      <c r="CO387" s="635">
        <v>0</v>
      </c>
      <c r="CP387" s="635">
        <v>0</v>
      </c>
      <c r="CQ387" s="635">
        <v>0</v>
      </c>
      <c r="CR387" s="635">
        <v>0</v>
      </c>
      <c r="CS387" s="635">
        <v>0</v>
      </c>
      <c r="CT387" s="635">
        <v>0</v>
      </c>
      <c r="CU387" s="635">
        <v>0</v>
      </c>
      <c r="CV387" s="635">
        <v>0</v>
      </c>
      <c r="CW387" s="635">
        <v>0</v>
      </c>
      <c r="CX387" s="635">
        <v>0</v>
      </c>
      <c r="CY387" s="635">
        <v>0</v>
      </c>
      <c r="CZ387" s="635">
        <v>0</v>
      </c>
      <c r="DA387" s="636">
        <v>0</v>
      </c>
      <c r="DB387" s="636">
        <v>0</v>
      </c>
      <c r="DC387" s="636">
        <v>0</v>
      </c>
      <c r="DD387" s="637">
        <v>0</v>
      </c>
      <c r="DE387" s="637">
        <v>0</v>
      </c>
      <c r="DF387" s="637">
        <v>0</v>
      </c>
      <c r="DG387" s="637">
        <v>0</v>
      </c>
      <c r="DH387" s="637">
        <v>0</v>
      </c>
      <c r="DI387" s="637">
        <v>0</v>
      </c>
      <c r="DJ387" s="637">
        <v>0</v>
      </c>
      <c r="DK387" s="637">
        <v>0</v>
      </c>
      <c r="DL387" s="637">
        <v>0</v>
      </c>
      <c r="DM387" s="637">
        <v>0</v>
      </c>
      <c r="DN387" s="637">
        <v>0</v>
      </c>
      <c r="DO387" s="637">
        <v>0</v>
      </c>
      <c r="DP387" s="636">
        <v>0</v>
      </c>
      <c r="DQ387" s="636">
        <v>0</v>
      </c>
      <c r="DR387" s="636">
        <v>0</v>
      </c>
      <c r="DS387" s="637">
        <v>0</v>
      </c>
      <c r="DT387" s="637">
        <v>0</v>
      </c>
      <c r="DU387" s="637">
        <v>0</v>
      </c>
      <c r="DV387" s="637">
        <v>0</v>
      </c>
      <c r="DW387" s="637">
        <v>0</v>
      </c>
      <c r="DX387" s="637">
        <v>0</v>
      </c>
      <c r="DY387" s="637">
        <v>0</v>
      </c>
      <c r="DZ387" s="637">
        <v>0</v>
      </c>
      <c r="EA387" s="637">
        <v>0</v>
      </c>
      <c r="EB387" s="637">
        <v>0</v>
      </c>
      <c r="EC387" s="637">
        <v>0</v>
      </c>
      <c r="ED387" s="637">
        <v>0</v>
      </c>
    </row>
    <row r="388" spans="1:134" ht="15" x14ac:dyDescent="0.25">
      <c r="A388" s="555">
        <v>111</v>
      </c>
      <c r="B388" s="555">
        <v>103</v>
      </c>
      <c r="C388" s="555" t="s">
        <v>1371</v>
      </c>
      <c r="D388" s="812">
        <v>99709</v>
      </c>
      <c r="E388" s="812">
        <v>99712</v>
      </c>
      <c r="F388" s="630" t="s">
        <v>311</v>
      </c>
      <c r="G388" s="45">
        <v>4</v>
      </c>
      <c r="H388" s="45">
        <v>4</v>
      </c>
      <c r="I388" s="45">
        <v>4</v>
      </c>
      <c r="J388" s="45">
        <v>0</v>
      </c>
      <c r="K388" s="45">
        <v>0</v>
      </c>
      <c r="L388" s="45">
        <v>3</v>
      </c>
      <c r="M388" s="45">
        <v>3</v>
      </c>
      <c r="N388" s="45">
        <v>3</v>
      </c>
      <c r="O388" s="45">
        <v>0</v>
      </c>
      <c r="P388" s="45">
        <v>0</v>
      </c>
      <c r="Q388" s="45">
        <v>6</v>
      </c>
      <c r="R388" s="45">
        <v>0</v>
      </c>
      <c r="S388" s="45">
        <v>1512</v>
      </c>
      <c r="T388" s="45">
        <v>1512</v>
      </c>
      <c r="U388" s="45">
        <v>3873.3333333333335</v>
      </c>
      <c r="V388" s="45">
        <v>0</v>
      </c>
      <c r="W388" s="45">
        <v>0</v>
      </c>
      <c r="X388" s="45">
        <v>2692.6666666666665</v>
      </c>
      <c r="Y388" s="45">
        <v>0</v>
      </c>
      <c r="Z388" s="45">
        <v>4</v>
      </c>
      <c r="AA388" s="45">
        <v>0</v>
      </c>
      <c r="AB388" s="508">
        <v>3</v>
      </c>
      <c r="AC388" s="508">
        <v>0</v>
      </c>
      <c r="AD388" s="631">
        <v>7</v>
      </c>
      <c r="AE388" s="632">
        <v>0</v>
      </c>
      <c r="AF388" s="632">
        <v>4</v>
      </c>
      <c r="AG388" s="633">
        <v>4</v>
      </c>
      <c r="AH388" s="632">
        <v>0</v>
      </c>
      <c r="AI388" s="632">
        <v>0</v>
      </c>
      <c r="AJ388" s="632">
        <v>3.8086335800309574</v>
      </c>
      <c r="AK388" s="632">
        <v>3.8086335800309574</v>
      </c>
      <c r="AL388" s="632">
        <v>0</v>
      </c>
      <c r="AM388" s="632">
        <v>0</v>
      </c>
      <c r="AN388" s="632">
        <v>3.8158185155919053</v>
      </c>
      <c r="AO388" s="632">
        <v>3.8158185155919053</v>
      </c>
      <c r="AP388" s="632">
        <v>0</v>
      </c>
      <c r="AQ388" s="632">
        <v>2.8789972155037225</v>
      </c>
      <c r="AR388" s="632">
        <v>0</v>
      </c>
      <c r="AS388" s="632">
        <v>3.626422436734857</v>
      </c>
      <c r="AT388" s="632">
        <v>3.7164114772083656</v>
      </c>
      <c r="AU388" s="632">
        <v>3.8086335800309574</v>
      </c>
      <c r="AV388" s="632">
        <v>3.9031441582554733</v>
      </c>
      <c r="AW388" s="632">
        <v>4</v>
      </c>
      <c r="AX388" s="632">
        <v>3.6401177359835026</v>
      </c>
      <c r="AY388" s="632">
        <v>3.7269328751535542</v>
      </c>
      <c r="AZ388" s="632">
        <v>3.8158185155919053</v>
      </c>
      <c r="BA388" s="632">
        <v>3.9068240378045722</v>
      </c>
      <c r="BB388" s="632">
        <v>4</v>
      </c>
      <c r="BC388" s="632">
        <v>2.7628749889593962</v>
      </c>
      <c r="BD388" s="632">
        <v>2.8203385257800138</v>
      </c>
      <c r="BE388" s="632">
        <v>2.8789972155037225</v>
      </c>
      <c r="BF388" s="632">
        <v>2.9388759154668591</v>
      </c>
      <c r="BG388" s="632">
        <v>3</v>
      </c>
      <c r="BH388" s="634">
        <v>4.020490516044692</v>
      </c>
      <c r="BI388" s="634">
        <v>4.0410859974013285</v>
      </c>
      <c r="BJ388" s="634">
        <v>4.061786981768261</v>
      </c>
      <c r="BK388" s="635">
        <v>4.0350825144525997</v>
      </c>
      <c r="BL388" s="635">
        <v>4.0085536172930825</v>
      </c>
      <c r="BM388" s="635">
        <v>4.0373304845502327</v>
      </c>
      <c r="BN388" s="635">
        <v>4.0663139370668544</v>
      </c>
      <c r="BO388" s="635">
        <v>4.0955054578907397</v>
      </c>
      <c r="BP388" s="635">
        <v>4.1249065407162808</v>
      </c>
      <c r="BQ388" s="635">
        <v>4.1545186899608995</v>
      </c>
      <c r="BR388" s="635">
        <v>4.1778406000314661</v>
      </c>
      <c r="BS388" s="635">
        <v>4.2012934305599554</v>
      </c>
      <c r="BT388" s="635">
        <v>4.2248779164847265</v>
      </c>
      <c r="BU388" s="635">
        <v>4.2485947968698072</v>
      </c>
      <c r="BV388" s="635">
        <v>4.2724448149280487</v>
      </c>
      <c r="BW388" s="634">
        <v>4.020490516044692</v>
      </c>
      <c r="BX388" s="634">
        <v>4.0410859974013285</v>
      </c>
      <c r="BY388" s="634">
        <v>4.061786981768261</v>
      </c>
      <c r="BZ388" s="635">
        <v>4.0350825144525997</v>
      </c>
      <c r="CA388" s="635">
        <v>4.0085536172930825</v>
      </c>
      <c r="CB388" s="635">
        <v>4.0373304845502327</v>
      </c>
      <c r="CC388" s="635">
        <v>4.0663139370668544</v>
      </c>
      <c r="CD388" s="635">
        <v>4.0955054578907397</v>
      </c>
      <c r="CE388" s="635">
        <v>4.1249065407162808</v>
      </c>
      <c r="CF388" s="635">
        <v>4.1545186899608995</v>
      </c>
      <c r="CG388" s="635">
        <v>4.1778406000314661</v>
      </c>
      <c r="CH388" s="635">
        <v>4.2012934305599554</v>
      </c>
      <c r="CI388" s="635">
        <v>4.2248779164847265</v>
      </c>
      <c r="CJ388" s="635">
        <v>4.2485947968698072</v>
      </c>
      <c r="CK388" s="635">
        <v>4.2724448149280487</v>
      </c>
      <c r="CL388" s="634">
        <v>3.015367887033519</v>
      </c>
      <c r="CM388" s="634">
        <v>3.0308144980509963</v>
      </c>
      <c r="CN388" s="634">
        <v>3.0463402363261958</v>
      </c>
      <c r="CO388" s="635">
        <v>3.02631188583945</v>
      </c>
      <c r="CP388" s="635">
        <v>3.0064152129698121</v>
      </c>
      <c r="CQ388" s="635">
        <v>3.0279978634126747</v>
      </c>
      <c r="CR388" s="635">
        <v>3.049735452800141</v>
      </c>
      <c r="CS388" s="635">
        <v>3.0716290934180548</v>
      </c>
      <c r="CT388" s="635">
        <v>3.0936799055372104</v>
      </c>
      <c r="CU388" s="635">
        <v>3.1158890174706748</v>
      </c>
      <c r="CV388" s="635">
        <v>3.1333804500235996</v>
      </c>
      <c r="CW388" s="635">
        <v>3.1509700729199666</v>
      </c>
      <c r="CX388" s="635">
        <v>3.1686584373635451</v>
      </c>
      <c r="CY388" s="635">
        <v>3.1864460976523552</v>
      </c>
      <c r="CZ388" s="635">
        <v>3.204333611196037</v>
      </c>
      <c r="DA388" s="636">
        <v>0</v>
      </c>
      <c r="DB388" s="636">
        <v>0</v>
      </c>
      <c r="DC388" s="636">
        <v>0</v>
      </c>
      <c r="DD388" s="637">
        <v>0</v>
      </c>
      <c r="DE388" s="637">
        <v>0</v>
      </c>
      <c r="DF388" s="637">
        <v>0</v>
      </c>
      <c r="DG388" s="637">
        <v>0</v>
      </c>
      <c r="DH388" s="637">
        <v>0</v>
      </c>
      <c r="DI388" s="637">
        <v>0</v>
      </c>
      <c r="DJ388" s="637">
        <v>0</v>
      </c>
      <c r="DK388" s="637">
        <v>0</v>
      </c>
      <c r="DL388" s="637">
        <v>0</v>
      </c>
      <c r="DM388" s="637">
        <v>0</v>
      </c>
      <c r="DN388" s="637">
        <v>0</v>
      </c>
      <c r="DO388" s="637">
        <v>0</v>
      </c>
      <c r="DP388" s="636">
        <v>0</v>
      </c>
      <c r="DQ388" s="636">
        <v>0</v>
      </c>
      <c r="DR388" s="636">
        <v>0</v>
      </c>
      <c r="DS388" s="637">
        <v>0</v>
      </c>
      <c r="DT388" s="637">
        <v>0</v>
      </c>
      <c r="DU388" s="637">
        <v>0</v>
      </c>
      <c r="DV388" s="637">
        <v>0</v>
      </c>
      <c r="DW388" s="637">
        <v>0</v>
      </c>
      <c r="DX388" s="637">
        <v>0</v>
      </c>
      <c r="DY388" s="637">
        <v>0</v>
      </c>
      <c r="DZ388" s="637">
        <v>0</v>
      </c>
      <c r="EA388" s="637">
        <v>0</v>
      </c>
      <c r="EB388" s="637">
        <v>0</v>
      </c>
      <c r="EC388" s="637">
        <v>0</v>
      </c>
      <c r="ED388" s="637">
        <v>0</v>
      </c>
    </row>
    <row r="389" spans="1:134" ht="15" x14ac:dyDescent="0.25">
      <c r="A389" s="555">
        <v>112</v>
      </c>
      <c r="B389" s="555">
        <v>103</v>
      </c>
      <c r="C389" s="555" t="s">
        <v>1372</v>
      </c>
      <c r="D389" s="812">
        <v>99712</v>
      </c>
      <c r="E389" s="812">
        <v>99712</v>
      </c>
      <c r="F389" s="630" t="s">
        <v>311</v>
      </c>
      <c r="G389" s="45">
        <v>75</v>
      </c>
      <c r="H389" s="45">
        <v>34</v>
      </c>
      <c r="I389" s="45">
        <v>33</v>
      </c>
      <c r="J389" s="45">
        <v>1</v>
      </c>
      <c r="K389" s="45">
        <v>0</v>
      </c>
      <c r="L389" s="45">
        <v>20</v>
      </c>
      <c r="M389" s="45">
        <v>20</v>
      </c>
      <c r="N389" s="45">
        <v>7</v>
      </c>
      <c r="O389" s="45">
        <v>0</v>
      </c>
      <c r="P389" s="45">
        <v>0</v>
      </c>
      <c r="Q389" s="45">
        <v>27</v>
      </c>
      <c r="R389" s="45">
        <v>0</v>
      </c>
      <c r="S389" s="45">
        <v>1558.5</v>
      </c>
      <c r="T389" s="45">
        <v>1558.5</v>
      </c>
      <c r="U389" s="45">
        <v>3936.2857142857142</v>
      </c>
      <c r="V389" s="45">
        <v>0</v>
      </c>
      <c r="W389" s="45">
        <v>0</v>
      </c>
      <c r="X389" s="45">
        <v>2174.962962962963</v>
      </c>
      <c r="Y389" s="45">
        <v>0</v>
      </c>
      <c r="Z389" s="45">
        <v>34</v>
      </c>
      <c r="AA389" s="45">
        <v>0</v>
      </c>
      <c r="AB389" s="508">
        <v>7</v>
      </c>
      <c r="AC389" s="508">
        <v>0</v>
      </c>
      <c r="AD389" s="631">
        <v>41</v>
      </c>
      <c r="AE389" s="632">
        <v>0</v>
      </c>
      <c r="AF389" s="632">
        <v>33</v>
      </c>
      <c r="AG389" s="633">
        <v>33</v>
      </c>
      <c r="AH389" s="632">
        <v>0</v>
      </c>
      <c r="AI389" s="632">
        <v>0</v>
      </c>
      <c r="AJ389" s="632">
        <v>30.909884334955098</v>
      </c>
      <c r="AK389" s="632">
        <v>30.909884334955098</v>
      </c>
      <c r="AL389" s="632">
        <v>0</v>
      </c>
      <c r="AM389" s="632">
        <v>0</v>
      </c>
      <c r="AN389" s="632">
        <v>30.110985642801005</v>
      </c>
      <c r="AO389" s="632">
        <v>30.110985642801005</v>
      </c>
      <c r="AP389" s="632">
        <v>0</v>
      </c>
      <c r="AQ389" s="632">
        <v>6.5088894556968713</v>
      </c>
      <c r="AR389" s="632">
        <v>0</v>
      </c>
      <c r="AS389" s="632">
        <v>28.100616164714783</v>
      </c>
      <c r="AT389" s="632">
        <v>29.471796609509639</v>
      </c>
      <c r="AU389" s="632">
        <v>30.909884334955098</v>
      </c>
      <c r="AV389" s="632">
        <v>32.41814410771341</v>
      </c>
      <c r="AW389" s="632">
        <v>34</v>
      </c>
      <c r="AX389" s="632">
        <v>27.474892617605096</v>
      </c>
      <c r="AY389" s="632">
        <v>28.762755381677298</v>
      </c>
      <c r="AZ389" s="632">
        <v>30.110985642801005</v>
      </c>
      <c r="BA389" s="632">
        <v>31.522413077244472</v>
      </c>
      <c r="BB389" s="632">
        <v>33</v>
      </c>
      <c r="BC389" s="632">
        <v>6.0522345637831299</v>
      </c>
      <c r="BD389" s="632">
        <v>6.2764102587077728</v>
      </c>
      <c r="BE389" s="632">
        <v>6.5088894556968713</v>
      </c>
      <c r="BF389" s="632">
        <v>6.7499797177382765</v>
      </c>
      <c r="BG389" s="632">
        <v>7</v>
      </c>
      <c r="BH389" s="634">
        <v>34.455824585999579</v>
      </c>
      <c r="BI389" s="634">
        <v>34.917760232387451</v>
      </c>
      <c r="BJ389" s="634">
        <v>35.385888867739233</v>
      </c>
      <c r="BK389" s="635">
        <v>35.153242173822072</v>
      </c>
      <c r="BL389" s="635">
        <v>34.922125029844793</v>
      </c>
      <c r="BM389" s="635">
        <v>35.172826268312967</v>
      </c>
      <c r="BN389" s="635">
        <v>35.425327257252093</v>
      </c>
      <c r="BO389" s="635">
        <v>35.679640916828752</v>
      </c>
      <c r="BP389" s="635">
        <v>35.935780259961625</v>
      </c>
      <c r="BQ389" s="635">
        <v>36.193758392987405</v>
      </c>
      <c r="BR389" s="635">
        <v>36.396936580727129</v>
      </c>
      <c r="BS389" s="635">
        <v>36.601255334625385</v>
      </c>
      <c r="BT389" s="635">
        <v>36.806721057392906</v>
      </c>
      <c r="BU389" s="635">
        <v>37.013340187682829</v>
      </c>
      <c r="BV389" s="635">
        <v>37.221119200292478</v>
      </c>
      <c r="BW389" s="634">
        <v>33.442417980529008</v>
      </c>
      <c r="BX389" s="634">
        <v>33.890767284376054</v>
      </c>
      <c r="BY389" s="634">
        <v>34.345127430452784</v>
      </c>
      <c r="BZ389" s="635">
        <v>34.119323286356718</v>
      </c>
      <c r="CA389" s="635">
        <v>33.895003705437595</v>
      </c>
      <c r="CB389" s="635">
        <v>34.138331378068465</v>
      </c>
      <c r="CC389" s="635">
        <v>34.383405867332918</v>
      </c>
      <c r="CD389" s="635">
        <v>34.630239713392612</v>
      </c>
      <c r="CE389" s="635">
        <v>34.87884554643334</v>
      </c>
      <c r="CF389" s="635">
        <v>35.129236087311305</v>
      </c>
      <c r="CG389" s="635">
        <v>35.326438445999855</v>
      </c>
      <c r="CH389" s="635">
        <v>35.524747824783461</v>
      </c>
      <c r="CI389" s="635">
        <v>35.724170438057818</v>
      </c>
      <c r="CJ389" s="635">
        <v>35.924712535103922</v>
      </c>
      <c r="CK389" s="635">
        <v>36.126380400283878</v>
      </c>
      <c r="CL389" s="634">
        <v>7.0938462382940317</v>
      </c>
      <c r="CM389" s="634">
        <v>7.1889506360797686</v>
      </c>
      <c r="CN389" s="634">
        <v>7.2853300610051361</v>
      </c>
      <c r="CO389" s="635">
        <v>7.2374322122574846</v>
      </c>
      <c r="CP389" s="635">
        <v>7.1898492708503987</v>
      </c>
      <c r="CQ389" s="635">
        <v>7.2414642317114923</v>
      </c>
      <c r="CR389" s="635">
        <v>7.2934497294342551</v>
      </c>
      <c r="CS389" s="635">
        <v>7.3458084240529784</v>
      </c>
      <c r="CT389" s="635">
        <v>7.3985429946979817</v>
      </c>
      <c r="CU389" s="635">
        <v>7.4516561397327017</v>
      </c>
      <c r="CV389" s="635">
        <v>7.493486943090879</v>
      </c>
      <c r="CW389" s="635">
        <v>7.5355525688934613</v>
      </c>
      <c r="CX389" s="635">
        <v>7.5778543353455978</v>
      </c>
      <c r="CY389" s="635">
        <v>7.6203935680523474</v>
      </c>
      <c r="CZ389" s="635">
        <v>7.6631716000602168</v>
      </c>
      <c r="DA389" s="636">
        <v>0</v>
      </c>
      <c r="DB389" s="636">
        <v>0</v>
      </c>
      <c r="DC389" s="636">
        <v>0</v>
      </c>
      <c r="DD389" s="637">
        <v>0</v>
      </c>
      <c r="DE389" s="637">
        <v>0</v>
      </c>
      <c r="DF389" s="637">
        <v>0</v>
      </c>
      <c r="DG389" s="637">
        <v>0</v>
      </c>
      <c r="DH389" s="637">
        <v>0</v>
      </c>
      <c r="DI389" s="637">
        <v>0</v>
      </c>
      <c r="DJ389" s="637">
        <v>0</v>
      </c>
      <c r="DK389" s="637">
        <v>0</v>
      </c>
      <c r="DL389" s="637">
        <v>0</v>
      </c>
      <c r="DM389" s="637">
        <v>0</v>
      </c>
      <c r="DN389" s="637">
        <v>0</v>
      </c>
      <c r="DO389" s="637">
        <v>0</v>
      </c>
      <c r="DP389" s="636">
        <v>0</v>
      </c>
      <c r="DQ389" s="636">
        <v>0</v>
      </c>
      <c r="DR389" s="636">
        <v>0</v>
      </c>
      <c r="DS389" s="637">
        <v>0</v>
      </c>
      <c r="DT389" s="637">
        <v>0</v>
      </c>
      <c r="DU389" s="637">
        <v>0</v>
      </c>
      <c r="DV389" s="637">
        <v>0</v>
      </c>
      <c r="DW389" s="637">
        <v>0</v>
      </c>
      <c r="DX389" s="637">
        <v>0</v>
      </c>
      <c r="DY389" s="637">
        <v>0</v>
      </c>
      <c r="DZ389" s="637">
        <v>0</v>
      </c>
      <c r="EA389" s="637">
        <v>0</v>
      </c>
      <c r="EB389" s="637">
        <v>0</v>
      </c>
      <c r="EC389" s="637">
        <v>0</v>
      </c>
      <c r="ED389" s="637">
        <v>0</v>
      </c>
    </row>
    <row r="390" spans="1:134" ht="15" x14ac:dyDescent="0.25">
      <c r="A390" s="555">
        <v>113</v>
      </c>
      <c r="B390" s="555">
        <v>103</v>
      </c>
      <c r="C390" s="555" t="s">
        <v>1373</v>
      </c>
      <c r="D390" s="812">
        <v>99712</v>
      </c>
      <c r="E390" s="812">
        <v>99712</v>
      </c>
      <c r="F390" s="630" t="s">
        <v>311</v>
      </c>
      <c r="G390" s="45">
        <v>33</v>
      </c>
      <c r="H390" s="45">
        <v>21</v>
      </c>
      <c r="I390" s="45">
        <v>15</v>
      </c>
      <c r="J390" s="45">
        <v>6</v>
      </c>
      <c r="K390" s="45">
        <v>0</v>
      </c>
      <c r="L390" s="45">
        <v>12</v>
      </c>
      <c r="M390" s="45">
        <v>12</v>
      </c>
      <c r="N390" s="45">
        <v>4</v>
      </c>
      <c r="O390" s="45">
        <v>0</v>
      </c>
      <c r="P390" s="45">
        <v>0</v>
      </c>
      <c r="Q390" s="45">
        <v>16</v>
      </c>
      <c r="R390" s="45">
        <v>0</v>
      </c>
      <c r="S390" s="45">
        <v>2071.0833333333335</v>
      </c>
      <c r="T390" s="45">
        <v>2071.0833333333335</v>
      </c>
      <c r="U390" s="45">
        <v>4285.75</v>
      </c>
      <c r="V390" s="45">
        <v>0</v>
      </c>
      <c r="W390" s="45">
        <v>0</v>
      </c>
      <c r="X390" s="45">
        <v>2624.75</v>
      </c>
      <c r="Y390" s="45">
        <v>0</v>
      </c>
      <c r="Z390" s="45">
        <v>21</v>
      </c>
      <c r="AA390" s="45">
        <v>0</v>
      </c>
      <c r="AB390" s="508">
        <v>4</v>
      </c>
      <c r="AC390" s="508">
        <v>0</v>
      </c>
      <c r="AD390" s="631">
        <v>25</v>
      </c>
      <c r="AE390" s="632">
        <v>0</v>
      </c>
      <c r="AF390" s="632">
        <v>15</v>
      </c>
      <c r="AG390" s="633">
        <v>15</v>
      </c>
      <c r="AH390" s="632">
        <v>0</v>
      </c>
      <c r="AI390" s="632">
        <v>0</v>
      </c>
      <c r="AJ390" s="632">
        <v>19.091399148060503</v>
      </c>
      <c r="AK390" s="632">
        <v>19.091399148060503</v>
      </c>
      <c r="AL390" s="632">
        <v>0</v>
      </c>
      <c r="AM390" s="632">
        <v>0</v>
      </c>
      <c r="AN390" s="632">
        <v>13.686811655818639</v>
      </c>
      <c r="AO390" s="632">
        <v>13.686811655818639</v>
      </c>
      <c r="AP390" s="632">
        <v>0</v>
      </c>
      <c r="AQ390" s="632">
        <v>3.7193654032553547</v>
      </c>
      <c r="AR390" s="632">
        <v>0</v>
      </c>
      <c r="AS390" s="632">
        <v>17.356262925265014</v>
      </c>
      <c r="AT390" s="632">
        <v>18.203168494108894</v>
      </c>
      <c r="AU390" s="632">
        <v>19.091399148060503</v>
      </c>
      <c r="AV390" s="632">
        <v>20.022971360646515</v>
      </c>
      <c r="AW390" s="632">
        <v>21</v>
      </c>
      <c r="AX390" s="632">
        <v>12.488587553456863</v>
      </c>
      <c r="AY390" s="632">
        <v>13.073979718944226</v>
      </c>
      <c r="AZ390" s="632">
        <v>13.686811655818639</v>
      </c>
      <c r="BA390" s="632">
        <v>14.328369580565669</v>
      </c>
      <c r="BB390" s="632">
        <v>15</v>
      </c>
      <c r="BC390" s="632">
        <v>3.4584197507332171</v>
      </c>
      <c r="BD390" s="632">
        <v>3.5865201478330131</v>
      </c>
      <c r="BE390" s="632">
        <v>3.7193654032553547</v>
      </c>
      <c r="BF390" s="632">
        <v>3.8571312672790152</v>
      </c>
      <c r="BG390" s="632">
        <v>4</v>
      </c>
      <c r="BH390" s="634">
        <v>21.19443687868592</v>
      </c>
      <c r="BI390" s="634">
        <v>21.39067402879056</v>
      </c>
      <c r="BJ390" s="634">
        <v>21.588728118845129</v>
      </c>
      <c r="BK390" s="635">
        <v>21.446791703414153</v>
      </c>
      <c r="BL390" s="635">
        <v>21.305788457640716</v>
      </c>
      <c r="BM390" s="635">
        <v>21.458739847291447</v>
      </c>
      <c r="BN390" s="635">
        <v>21.612789254396102</v>
      </c>
      <c r="BO390" s="635">
        <v>21.767944561474295</v>
      </c>
      <c r="BP390" s="635">
        <v>21.924213707633193</v>
      </c>
      <c r="BQ390" s="635">
        <v>22.081604688973734</v>
      </c>
      <c r="BR390" s="635">
        <v>22.205562537572288</v>
      </c>
      <c r="BS390" s="635">
        <v>22.330216239051357</v>
      </c>
      <c r="BT390" s="635">
        <v>22.455569699668086</v>
      </c>
      <c r="BU390" s="635">
        <v>22.581626847607872</v>
      </c>
      <c r="BV390" s="635">
        <v>22.708391633107475</v>
      </c>
      <c r="BW390" s="634">
        <v>15.138883484775656</v>
      </c>
      <c r="BX390" s="634">
        <v>15.279052877707542</v>
      </c>
      <c r="BY390" s="634">
        <v>15.420520084889379</v>
      </c>
      <c r="BZ390" s="635">
        <v>15.31913693101011</v>
      </c>
      <c r="CA390" s="635">
        <v>15.218420326886227</v>
      </c>
      <c r="CB390" s="635">
        <v>15.327671319493891</v>
      </c>
      <c r="CC390" s="635">
        <v>15.43770661028293</v>
      </c>
      <c r="CD390" s="635">
        <v>15.548531829624498</v>
      </c>
      <c r="CE390" s="635">
        <v>15.660152648309424</v>
      </c>
      <c r="CF390" s="635">
        <v>15.772574777838383</v>
      </c>
      <c r="CG390" s="635">
        <v>15.861116098265923</v>
      </c>
      <c r="CH390" s="635">
        <v>15.950154456465256</v>
      </c>
      <c r="CI390" s="635">
        <v>16.039692642620061</v>
      </c>
      <c r="CJ390" s="635">
        <v>16.129733462577054</v>
      </c>
      <c r="CK390" s="635">
        <v>16.220279737933911</v>
      </c>
      <c r="CL390" s="634">
        <v>4.0370355959401749</v>
      </c>
      <c r="CM390" s="634">
        <v>4.0744141007220112</v>
      </c>
      <c r="CN390" s="634">
        <v>4.1121386893038343</v>
      </c>
      <c r="CO390" s="635">
        <v>4.0851031816026957</v>
      </c>
      <c r="CP390" s="635">
        <v>4.0582454205029936</v>
      </c>
      <c r="CQ390" s="635">
        <v>4.0873790185317045</v>
      </c>
      <c r="CR390" s="635">
        <v>4.1167217627421149</v>
      </c>
      <c r="CS390" s="635">
        <v>4.1462751545665331</v>
      </c>
      <c r="CT390" s="635">
        <v>4.1760407062158462</v>
      </c>
      <c r="CU390" s="635">
        <v>4.2060199407569021</v>
      </c>
      <c r="CV390" s="635">
        <v>4.2296309595375794</v>
      </c>
      <c r="CW390" s="635">
        <v>4.2533745217240684</v>
      </c>
      <c r="CX390" s="635">
        <v>4.2772513713653497</v>
      </c>
      <c r="CY390" s="635">
        <v>4.3012622566872141</v>
      </c>
      <c r="CZ390" s="635">
        <v>4.32540793011571</v>
      </c>
      <c r="DA390" s="636">
        <v>0</v>
      </c>
      <c r="DB390" s="636">
        <v>0</v>
      </c>
      <c r="DC390" s="636">
        <v>0</v>
      </c>
      <c r="DD390" s="637">
        <v>0</v>
      </c>
      <c r="DE390" s="637">
        <v>0</v>
      </c>
      <c r="DF390" s="637">
        <v>0</v>
      </c>
      <c r="DG390" s="637">
        <v>0</v>
      </c>
      <c r="DH390" s="637">
        <v>0</v>
      </c>
      <c r="DI390" s="637">
        <v>0</v>
      </c>
      <c r="DJ390" s="637">
        <v>0</v>
      </c>
      <c r="DK390" s="637">
        <v>0</v>
      </c>
      <c r="DL390" s="637">
        <v>0</v>
      </c>
      <c r="DM390" s="637">
        <v>0</v>
      </c>
      <c r="DN390" s="637">
        <v>0</v>
      </c>
      <c r="DO390" s="637">
        <v>0</v>
      </c>
      <c r="DP390" s="636">
        <v>0</v>
      </c>
      <c r="DQ390" s="636">
        <v>0</v>
      </c>
      <c r="DR390" s="636">
        <v>0</v>
      </c>
      <c r="DS390" s="637">
        <v>0</v>
      </c>
      <c r="DT390" s="637">
        <v>0</v>
      </c>
      <c r="DU390" s="637">
        <v>0</v>
      </c>
      <c r="DV390" s="637">
        <v>0</v>
      </c>
      <c r="DW390" s="637">
        <v>0</v>
      </c>
      <c r="DX390" s="637">
        <v>0</v>
      </c>
      <c r="DY390" s="637">
        <v>0</v>
      </c>
      <c r="DZ390" s="637">
        <v>0</v>
      </c>
      <c r="EA390" s="637">
        <v>0</v>
      </c>
      <c r="EB390" s="637">
        <v>0</v>
      </c>
      <c r="EC390" s="637">
        <v>0</v>
      </c>
      <c r="ED390" s="637">
        <v>0</v>
      </c>
    </row>
    <row r="391" spans="1:134" ht="15" x14ac:dyDescent="0.25">
      <c r="A391" s="555">
        <v>114</v>
      </c>
      <c r="B391" s="555">
        <v>103</v>
      </c>
      <c r="C391" s="555" t="s">
        <v>1374</v>
      </c>
      <c r="D391" s="812">
        <v>99712</v>
      </c>
      <c r="E391" s="812">
        <v>99712</v>
      </c>
      <c r="F391" s="630" t="s">
        <v>311</v>
      </c>
      <c r="G391" s="45">
        <v>415</v>
      </c>
      <c r="H391" s="45">
        <v>177</v>
      </c>
      <c r="I391" s="45">
        <v>164</v>
      </c>
      <c r="J391" s="45">
        <v>13</v>
      </c>
      <c r="K391" s="45">
        <v>0</v>
      </c>
      <c r="L391" s="45">
        <v>0</v>
      </c>
      <c r="M391" s="45">
        <v>0</v>
      </c>
      <c r="N391" s="45">
        <v>0</v>
      </c>
      <c r="O391" s="45">
        <v>0</v>
      </c>
      <c r="P391" s="45">
        <v>0</v>
      </c>
      <c r="Q391" s="45">
        <v>0</v>
      </c>
      <c r="R391" s="45">
        <v>0</v>
      </c>
      <c r="S391" s="45">
        <v>834.49503068156923</v>
      </c>
      <c r="T391" s="45">
        <v>834.49503068156923</v>
      </c>
      <c r="U391" s="45">
        <v>1408.3846153846155</v>
      </c>
      <c r="V391" s="45">
        <v>0</v>
      </c>
      <c r="W391" s="45">
        <v>0</v>
      </c>
      <c r="X391" s="45">
        <v>1365.173957061457</v>
      </c>
      <c r="Y391" s="45">
        <v>4.0554833679833679</v>
      </c>
      <c r="Z391" s="45">
        <v>172.71452702702703</v>
      </c>
      <c r="AA391" s="45">
        <v>0.229989604989605</v>
      </c>
      <c r="AB391" s="508">
        <v>0</v>
      </c>
      <c r="AC391" s="508">
        <v>0</v>
      </c>
      <c r="AD391" s="631">
        <v>177</v>
      </c>
      <c r="AE391" s="632">
        <v>3.7576230076230077</v>
      </c>
      <c r="AF391" s="632">
        <v>160.02927927927928</v>
      </c>
      <c r="AG391" s="633">
        <v>163.78690228690229</v>
      </c>
      <c r="AH391" s="632">
        <v>0.21309771309771308</v>
      </c>
      <c r="AI391" s="632">
        <v>3.6868977007852957</v>
      </c>
      <c r="AJ391" s="632">
        <v>157.01723686387888</v>
      </c>
      <c r="AK391" s="632">
        <v>160.70413456466417</v>
      </c>
      <c r="AL391" s="632">
        <v>0.20908682613149127</v>
      </c>
      <c r="AM391" s="632">
        <v>3.4286585585937916</v>
      </c>
      <c r="AN391" s="632">
        <v>146.01937366079306</v>
      </c>
      <c r="AO391" s="632">
        <v>149.44803221938685</v>
      </c>
      <c r="AP391" s="632">
        <v>0.1944418842302717</v>
      </c>
      <c r="AQ391" s="632">
        <v>0</v>
      </c>
      <c r="AR391" s="632">
        <v>0</v>
      </c>
      <c r="AS391" s="632">
        <v>146.09841798655381</v>
      </c>
      <c r="AT391" s="632">
        <v>153.22734685360737</v>
      </c>
      <c r="AU391" s="632">
        <v>160.70413456466417</v>
      </c>
      <c r="AV391" s="632">
        <v>168.54575502668951</v>
      </c>
      <c r="AW391" s="632">
        <v>176.77001039501039</v>
      </c>
      <c r="AX391" s="632">
        <v>136.36447128796422</v>
      </c>
      <c r="AY391" s="632">
        <v>142.75644258184403</v>
      </c>
      <c r="AZ391" s="632">
        <v>149.44803221938685</v>
      </c>
      <c r="BA391" s="632">
        <v>156.45328456151549</v>
      </c>
      <c r="BB391" s="632">
        <v>163.78690228690229</v>
      </c>
      <c r="BC391" s="632">
        <v>0</v>
      </c>
      <c r="BD391" s="632">
        <v>0</v>
      </c>
      <c r="BE391" s="632">
        <v>0</v>
      </c>
      <c r="BF391" s="632">
        <v>0</v>
      </c>
      <c r="BG391" s="632">
        <v>0</v>
      </c>
      <c r="BH391" s="634">
        <v>178.40670606484292</v>
      </c>
      <c r="BI391" s="634">
        <v>180.0585557345517</v>
      </c>
      <c r="BJ391" s="634">
        <v>181.7256997134908</v>
      </c>
      <c r="BK391" s="635">
        <v>180.53093296914963</v>
      </c>
      <c r="BL391" s="635">
        <v>179.34402129195436</v>
      </c>
      <c r="BM391" s="635">
        <v>180.63150789854919</v>
      </c>
      <c r="BN391" s="635">
        <v>181.92823719832228</v>
      </c>
      <c r="BO391" s="635">
        <v>183.23427554332483</v>
      </c>
      <c r="BP391" s="635">
        <v>184.54968976194041</v>
      </c>
      <c r="BQ391" s="635">
        <v>185.87454716230465</v>
      </c>
      <c r="BR391" s="635">
        <v>186.91797717112891</v>
      </c>
      <c r="BS391" s="635">
        <v>187.96726460475898</v>
      </c>
      <c r="BT391" s="635">
        <v>189.02244234458132</v>
      </c>
      <c r="BU391" s="635">
        <v>190.08354345656616</v>
      </c>
      <c r="BV391" s="635">
        <v>191.15060119230361</v>
      </c>
      <c r="BW391" s="634">
        <v>165.30338867024994</v>
      </c>
      <c r="BX391" s="634">
        <v>166.83391604783321</v>
      </c>
      <c r="BY391" s="634">
        <v>168.37861442379941</v>
      </c>
      <c r="BZ391" s="635">
        <v>167.27159890926862</v>
      </c>
      <c r="CA391" s="635">
        <v>166.17186153604814</v>
      </c>
      <c r="CB391" s="635">
        <v>167.36478697944673</v>
      </c>
      <c r="CC391" s="635">
        <v>168.56627627415173</v>
      </c>
      <c r="CD391" s="635">
        <v>169.77639089889988</v>
      </c>
      <c r="CE391" s="635">
        <v>170.99519277377533</v>
      </c>
      <c r="CF391" s="635">
        <v>172.22274426337833</v>
      </c>
      <c r="CG391" s="635">
        <v>173.18953816985956</v>
      </c>
      <c r="CH391" s="635">
        <v>174.16175929480494</v>
      </c>
      <c r="CI391" s="635">
        <v>175.13943810458386</v>
      </c>
      <c r="CJ391" s="635">
        <v>176.12260523659239</v>
      </c>
      <c r="CK391" s="635">
        <v>177.11129150021353</v>
      </c>
      <c r="CL391" s="634">
        <v>0</v>
      </c>
      <c r="CM391" s="634">
        <v>0</v>
      </c>
      <c r="CN391" s="634">
        <v>0</v>
      </c>
      <c r="CO391" s="635">
        <v>0</v>
      </c>
      <c r="CP391" s="635">
        <v>0</v>
      </c>
      <c r="CQ391" s="635">
        <v>0</v>
      </c>
      <c r="CR391" s="635">
        <v>0</v>
      </c>
      <c r="CS391" s="635">
        <v>0</v>
      </c>
      <c r="CT391" s="635">
        <v>0</v>
      </c>
      <c r="CU391" s="635">
        <v>0</v>
      </c>
      <c r="CV391" s="635">
        <v>0</v>
      </c>
      <c r="CW391" s="635">
        <v>0</v>
      </c>
      <c r="CX391" s="635">
        <v>0</v>
      </c>
      <c r="CY391" s="635">
        <v>0</v>
      </c>
      <c r="CZ391" s="635">
        <v>0</v>
      </c>
      <c r="DA391" s="636">
        <v>0.23211905550981385</v>
      </c>
      <c r="DB391" s="636">
        <v>0.23426822239728301</v>
      </c>
      <c r="DC391" s="636">
        <v>0.23643728820386523</v>
      </c>
      <c r="DD391" s="637">
        <v>0.23488281676964567</v>
      </c>
      <c r="DE391" s="637">
        <v>0.23333856530308922</v>
      </c>
      <c r="DF391" s="637">
        <v>0.23501367147872651</v>
      </c>
      <c r="DG391" s="637">
        <v>0.23670080301629234</v>
      </c>
      <c r="DH391" s="637">
        <v>0.23840004624424257</v>
      </c>
      <c r="DI391" s="637">
        <v>0.2401114881107734</v>
      </c>
      <c r="DJ391" s="637">
        <v>0.24183521618827045</v>
      </c>
      <c r="DK391" s="637">
        <v>0.24319278840896294</v>
      </c>
      <c r="DL391" s="637">
        <v>0.24455798153104213</v>
      </c>
      <c r="DM391" s="637">
        <v>0.24593083833539076</v>
      </c>
      <c r="DN391" s="637">
        <v>0.24731140184304734</v>
      </c>
      <c r="DO391" s="637">
        <v>0.24869971531655427</v>
      </c>
      <c r="DP391" s="636">
        <v>0</v>
      </c>
      <c r="DQ391" s="636">
        <v>0</v>
      </c>
      <c r="DR391" s="636">
        <v>0</v>
      </c>
      <c r="DS391" s="637">
        <v>0</v>
      </c>
      <c r="DT391" s="637">
        <v>0</v>
      </c>
      <c r="DU391" s="637">
        <v>0</v>
      </c>
      <c r="DV391" s="637">
        <v>0</v>
      </c>
      <c r="DW391" s="637">
        <v>0</v>
      </c>
      <c r="DX391" s="637">
        <v>0</v>
      </c>
      <c r="DY391" s="637">
        <v>0</v>
      </c>
      <c r="DZ391" s="637">
        <v>0</v>
      </c>
      <c r="EA391" s="637">
        <v>0</v>
      </c>
      <c r="EB391" s="637">
        <v>0</v>
      </c>
      <c r="EC391" s="637">
        <v>0</v>
      </c>
      <c r="ED391" s="637">
        <v>0</v>
      </c>
    </row>
    <row r="392" spans="1:134" ht="15" x14ac:dyDescent="0.25">
      <c r="A392" s="555">
        <v>107</v>
      </c>
      <c r="B392" s="555">
        <v>104</v>
      </c>
      <c r="C392" s="555" t="s">
        <v>1375</v>
      </c>
      <c r="D392" s="812">
        <v>99709</v>
      </c>
      <c r="E392" s="812">
        <v>99709</v>
      </c>
      <c r="F392" s="630" t="s">
        <v>311</v>
      </c>
      <c r="G392" s="45">
        <v>638</v>
      </c>
      <c r="H392" s="45">
        <v>289</v>
      </c>
      <c r="I392" s="45">
        <v>262</v>
      </c>
      <c r="J392" s="45">
        <v>27</v>
      </c>
      <c r="K392" s="45">
        <v>0</v>
      </c>
      <c r="L392" s="45">
        <v>2</v>
      </c>
      <c r="M392" s="45">
        <v>2</v>
      </c>
      <c r="N392" s="45">
        <v>0</v>
      </c>
      <c r="O392" s="45">
        <v>0</v>
      </c>
      <c r="P392" s="45">
        <v>0</v>
      </c>
      <c r="Q392" s="45">
        <v>2</v>
      </c>
      <c r="R392" s="45">
        <v>0</v>
      </c>
      <c r="S392" s="45">
        <v>1724.5</v>
      </c>
      <c r="T392" s="45">
        <v>1724.5</v>
      </c>
      <c r="U392" s="45">
        <v>0</v>
      </c>
      <c r="V392" s="45">
        <v>0</v>
      </c>
      <c r="W392" s="45">
        <v>0</v>
      </c>
      <c r="X392" s="45">
        <v>1724.5</v>
      </c>
      <c r="Y392" s="45">
        <v>0</v>
      </c>
      <c r="Z392" s="45">
        <v>289</v>
      </c>
      <c r="AA392" s="45">
        <v>0</v>
      </c>
      <c r="AB392" s="508">
        <v>0</v>
      </c>
      <c r="AC392" s="508">
        <v>0</v>
      </c>
      <c r="AD392" s="631">
        <v>289</v>
      </c>
      <c r="AE392" s="632">
        <v>0</v>
      </c>
      <c r="AF392" s="632">
        <v>262</v>
      </c>
      <c r="AG392" s="633">
        <v>262</v>
      </c>
      <c r="AH392" s="632">
        <v>0</v>
      </c>
      <c r="AI392" s="632">
        <v>0</v>
      </c>
      <c r="AJ392" s="632">
        <v>275.17377615723666</v>
      </c>
      <c r="AK392" s="632">
        <v>275.17377615723666</v>
      </c>
      <c r="AL392" s="632">
        <v>0</v>
      </c>
      <c r="AM392" s="632">
        <v>0</v>
      </c>
      <c r="AN392" s="632">
        <v>249.93611277126979</v>
      </c>
      <c r="AO392" s="632">
        <v>249.93611277126979</v>
      </c>
      <c r="AP392" s="632">
        <v>0</v>
      </c>
      <c r="AQ392" s="632">
        <v>0</v>
      </c>
      <c r="AR392" s="632">
        <v>0</v>
      </c>
      <c r="AS392" s="632">
        <v>262.00902105409341</v>
      </c>
      <c r="AT392" s="632">
        <v>268.5107292283044</v>
      </c>
      <c r="AU392" s="632">
        <v>275.17377615723666</v>
      </c>
      <c r="AV392" s="632">
        <v>282.00216543395794</v>
      </c>
      <c r="AW392" s="632">
        <v>289</v>
      </c>
      <c r="AX392" s="632">
        <v>238.42771170691941</v>
      </c>
      <c r="AY392" s="632">
        <v>244.11410332255781</v>
      </c>
      <c r="AZ392" s="632">
        <v>249.93611277126979</v>
      </c>
      <c r="BA392" s="632">
        <v>255.89697447619946</v>
      </c>
      <c r="BB392" s="632">
        <v>262</v>
      </c>
      <c r="BC392" s="632">
        <v>0</v>
      </c>
      <c r="BD392" s="632">
        <v>0</v>
      </c>
      <c r="BE392" s="632">
        <v>0</v>
      </c>
      <c r="BF392" s="632">
        <v>0</v>
      </c>
      <c r="BG392" s="632">
        <v>0</v>
      </c>
      <c r="BH392" s="634">
        <v>290.48043978422902</v>
      </c>
      <c r="BI392" s="634">
        <v>291.968463312246</v>
      </c>
      <c r="BJ392" s="634">
        <v>293.46410943275686</v>
      </c>
      <c r="BK392" s="635">
        <v>291.53471166920036</v>
      </c>
      <c r="BL392" s="635">
        <v>289.61799884942525</v>
      </c>
      <c r="BM392" s="635">
        <v>291.69712750875431</v>
      </c>
      <c r="BN392" s="635">
        <v>293.79118195308024</v>
      </c>
      <c r="BO392" s="635">
        <v>295.90026933260594</v>
      </c>
      <c r="BP392" s="635">
        <v>298.02449756675128</v>
      </c>
      <c r="BQ392" s="635">
        <v>300.16397534967501</v>
      </c>
      <c r="BR392" s="635">
        <v>301.84898335227342</v>
      </c>
      <c r="BS392" s="635">
        <v>303.54345035795677</v>
      </c>
      <c r="BT392" s="635">
        <v>305.24742946602152</v>
      </c>
      <c r="BU392" s="635">
        <v>306.96097407384354</v>
      </c>
      <c r="BV392" s="635">
        <v>308.68413787855155</v>
      </c>
      <c r="BW392" s="634">
        <v>263.3421288009273</v>
      </c>
      <c r="BX392" s="634">
        <v>264.69113282978702</v>
      </c>
      <c r="BY392" s="634">
        <v>266.04704730582108</v>
      </c>
      <c r="BZ392" s="635">
        <v>264.29790469664528</v>
      </c>
      <c r="CA392" s="635">
        <v>262.5602619326969</v>
      </c>
      <c r="CB392" s="635">
        <v>264.44514673804025</v>
      </c>
      <c r="CC392" s="635">
        <v>266.34356287787892</v>
      </c>
      <c r="CD392" s="635">
        <v>268.25560749184348</v>
      </c>
      <c r="CE392" s="635">
        <v>270.18137841691635</v>
      </c>
      <c r="CF392" s="635">
        <v>272.12097419243889</v>
      </c>
      <c r="CG392" s="635">
        <v>273.64855930206102</v>
      </c>
      <c r="CH392" s="635">
        <v>275.18471970167707</v>
      </c>
      <c r="CI392" s="635">
        <v>276.72950352974959</v>
      </c>
      <c r="CJ392" s="635">
        <v>278.28295919497236</v>
      </c>
      <c r="CK392" s="635">
        <v>279.84513537778719</v>
      </c>
      <c r="CL392" s="634">
        <v>0</v>
      </c>
      <c r="CM392" s="634">
        <v>0</v>
      </c>
      <c r="CN392" s="634">
        <v>0</v>
      </c>
      <c r="CO392" s="635">
        <v>0</v>
      </c>
      <c r="CP392" s="635">
        <v>0</v>
      </c>
      <c r="CQ392" s="635">
        <v>0</v>
      </c>
      <c r="CR392" s="635">
        <v>0</v>
      </c>
      <c r="CS392" s="635">
        <v>0</v>
      </c>
      <c r="CT392" s="635">
        <v>0</v>
      </c>
      <c r="CU392" s="635">
        <v>0</v>
      </c>
      <c r="CV392" s="635">
        <v>0</v>
      </c>
      <c r="CW392" s="635">
        <v>0</v>
      </c>
      <c r="CX392" s="635">
        <v>0</v>
      </c>
      <c r="CY392" s="635">
        <v>0</v>
      </c>
      <c r="CZ392" s="635">
        <v>0</v>
      </c>
      <c r="DA392" s="636">
        <v>0</v>
      </c>
      <c r="DB392" s="636">
        <v>0</v>
      </c>
      <c r="DC392" s="636">
        <v>0</v>
      </c>
      <c r="DD392" s="637">
        <v>0</v>
      </c>
      <c r="DE392" s="637">
        <v>0</v>
      </c>
      <c r="DF392" s="637">
        <v>0</v>
      </c>
      <c r="DG392" s="637">
        <v>0</v>
      </c>
      <c r="DH392" s="637">
        <v>0</v>
      </c>
      <c r="DI392" s="637">
        <v>0</v>
      </c>
      <c r="DJ392" s="637">
        <v>0</v>
      </c>
      <c r="DK392" s="637">
        <v>0</v>
      </c>
      <c r="DL392" s="637">
        <v>0</v>
      </c>
      <c r="DM392" s="637">
        <v>0</v>
      </c>
      <c r="DN392" s="637">
        <v>0</v>
      </c>
      <c r="DO392" s="637">
        <v>0</v>
      </c>
      <c r="DP392" s="636">
        <v>0</v>
      </c>
      <c r="DQ392" s="636">
        <v>0</v>
      </c>
      <c r="DR392" s="636">
        <v>0</v>
      </c>
      <c r="DS392" s="637">
        <v>0</v>
      </c>
      <c r="DT392" s="637">
        <v>0</v>
      </c>
      <c r="DU392" s="637">
        <v>0</v>
      </c>
      <c r="DV392" s="637">
        <v>0</v>
      </c>
      <c r="DW392" s="637">
        <v>0</v>
      </c>
      <c r="DX392" s="637">
        <v>0</v>
      </c>
      <c r="DY392" s="637">
        <v>0</v>
      </c>
      <c r="DZ392" s="637">
        <v>0</v>
      </c>
      <c r="EA392" s="637">
        <v>0</v>
      </c>
      <c r="EB392" s="637">
        <v>0</v>
      </c>
      <c r="EC392" s="637">
        <v>0</v>
      </c>
      <c r="ED392" s="637">
        <v>0</v>
      </c>
    </row>
    <row r="393" spans="1:134" ht="15" x14ac:dyDescent="0.25">
      <c r="A393" s="555">
        <v>108</v>
      </c>
      <c r="B393" s="555">
        <v>104</v>
      </c>
      <c r="C393" s="555" t="s">
        <v>1376</v>
      </c>
      <c r="D393" s="812">
        <v>99709</v>
      </c>
      <c r="E393" s="812">
        <v>99709</v>
      </c>
      <c r="F393" s="630" t="s">
        <v>311</v>
      </c>
      <c r="G393" s="45">
        <v>45</v>
      </c>
      <c r="H393" s="45">
        <v>21</v>
      </c>
      <c r="I393" s="45">
        <v>20</v>
      </c>
      <c r="J393" s="45">
        <v>1</v>
      </c>
      <c r="K393" s="45">
        <v>0</v>
      </c>
      <c r="L393" s="45">
        <v>36</v>
      </c>
      <c r="M393" s="45">
        <v>36</v>
      </c>
      <c r="N393" s="45">
        <v>0</v>
      </c>
      <c r="O393" s="45">
        <v>0</v>
      </c>
      <c r="P393" s="45">
        <v>0</v>
      </c>
      <c r="Q393" s="45">
        <v>36</v>
      </c>
      <c r="R393" s="45">
        <v>0</v>
      </c>
      <c r="S393" s="45">
        <v>1871.0277777777778</v>
      </c>
      <c r="T393" s="45">
        <v>1871.0277777777778</v>
      </c>
      <c r="U393" s="45">
        <v>0</v>
      </c>
      <c r="V393" s="45">
        <v>0</v>
      </c>
      <c r="W393" s="45">
        <v>0</v>
      </c>
      <c r="X393" s="45">
        <v>1871.0277777777778</v>
      </c>
      <c r="Y393" s="45">
        <v>0</v>
      </c>
      <c r="Z393" s="45">
        <v>21</v>
      </c>
      <c r="AA393" s="45">
        <v>0</v>
      </c>
      <c r="AB393" s="508">
        <v>0</v>
      </c>
      <c r="AC393" s="508">
        <v>0</v>
      </c>
      <c r="AD393" s="631">
        <v>21</v>
      </c>
      <c r="AE393" s="632">
        <v>0</v>
      </c>
      <c r="AF393" s="632">
        <v>20</v>
      </c>
      <c r="AG393" s="633">
        <v>20</v>
      </c>
      <c r="AH393" s="632">
        <v>0</v>
      </c>
      <c r="AI393" s="632">
        <v>0</v>
      </c>
      <c r="AJ393" s="632">
        <v>19.995326295162528</v>
      </c>
      <c r="AK393" s="632">
        <v>19.995326295162528</v>
      </c>
      <c r="AL393" s="632">
        <v>0</v>
      </c>
      <c r="AM393" s="632">
        <v>0</v>
      </c>
      <c r="AN393" s="632">
        <v>19.079092577959525</v>
      </c>
      <c r="AO393" s="632">
        <v>19.079092577959525</v>
      </c>
      <c r="AP393" s="632">
        <v>0</v>
      </c>
      <c r="AQ393" s="632">
        <v>0</v>
      </c>
      <c r="AR393" s="632">
        <v>0</v>
      </c>
      <c r="AS393" s="632">
        <v>19.038717792857998</v>
      </c>
      <c r="AT393" s="632">
        <v>19.511160255343917</v>
      </c>
      <c r="AU393" s="632">
        <v>19.995326295162528</v>
      </c>
      <c r="AV393" s="632">
        <v>20.491506830841235</v>
      </c>
      <c r="AW393" s="632">
        <v>21</v>
      </c>
      <c r="AX393" s="632">
        <v>18.200588679917512</v>
      </c>
      <c r="AY393" s="632">
        <v>18.63466437576777</v>
      </c>
      <c r="AZ393" s="632">
        <v>19.079092577959525</v>
      </c>
      <c r="BA393" s="632">
        <v>19.534120189022861</v>
      </c>
      <c r="BB393" s="632">
        <v>20</v>
      </c>
      <c r="BC393" s="632">
        <v>0</v>
      </c>
      <c r="BD393" s="632">
        <v>0</v>
      </c>
      <c r="BE393" s="632">
        <v>0</v>
      </c>
      <c r="BF393" s="632">
        <v>0</v>
      </c>
      <c r="BG393" s="632">
        <v>0</v>
      </c>
      <c r="BH393" s="634">
        <v>21.107575209234632</v>
      </c>
      <c r="BI393" s="634">
        <v>21.215701486356974</v>
      </c>
      <c r="BJ393" s="634">
        <v>21.324381654283371</v>
      </c>
      <c r="BK393" s="635">
        <v>21.184183200876152</v>
      </c>
      <c r="BL393" s="635">
        <v>21.044906490788687</v>
      </c>
      <c r="BM393" s="635">
        <v>21.195985043888722</v>
      </c>
      <c r="BN393" s="635">
        <v>21.348148169600986</v>
      </c>
      <c r="BO393" s="635">
        <v>21.501403653926385</v>
      </c>
      <c r="BP393" s="635">
        <v>21.655759338760475</v>
      </c>
      <c r="BQ393" s="635">
        <v>21.811223122294724</v>
      </c>
      <c r="BR393" s="635">
        <v>21.933663150165199</v>
      </c>
      <c r="BS393" s="635">
        <v>22.056790510439768</v>
      </c>
      <c r="BT393" s="635">
        <v>22.180609061544818</v>
      </c>
      <c r="BU393" s="635">
        <v>22.305122683566488</v>
      </c>
      <c r="BV393" s="635">
        <v>22.430335278372258</v>
      </c>
      <c r="BW393" s="634">
        <v>20.10245258022346</v>
      </c>
      <c r="BX393" s="634">
        <v>20.205429987006642</v>
      </c>
      <c r="BY393" s="634">
        <v>20.308934908841305</v>
      </c>
      <c r="BZ393" s="635">
        <v>20.175412572262999</v>
      </c>
      <c r="CA393" s="635">
        <v>20.042768086465415</v>
      </c>
      <c r="CB393" s="635">
        <v>20.186652422751163</v>
      </c>
      <c r="CC393" s="635">
        <v>20.331569685334273</v>
      </c>
      <c r="CD393" s="635">
        <v>20.4775272894537</v>
      </c>
      <c r="CE393" s="635">
        <v>20.624532703581405</v>
      </c>
      <c r="CF393" s="635">
        <v>20.7725934498045</v>
      </c>
      <c r="CG393" s="635">
        <v>20.88920300015733</v>
      </c>
      <c r="CH393" s="635">
        <v>21.006467152799775</v>
      </c>
      <c r="CI393" s="635">
        <v>21.124389582423635</v>
      </c>
      <c r="CJ393" s="635">
        <v>21.242973984349035</v>
      </c>
      <c r="CK393" s="635">
        <v>21.362224074640245</v>
      </c>
      <c r="CL393" s="634">
        <v>0</v>
      </c>
      <c r="CM393" s="634">
        <v>0</v>
      </c>
      <c r="CN393" s="634">
        <v>0</v>
      </c>
      <c r="CO393" s="635">
        <v>0</v>
      </c>
      <c r="CP393" s="635">
        <v>0</v>
      </c>
      <c r="CQ393" s="635">
        <v>0</v>
      </c>
      <c r="CR393" s="635">
        <v>0</v>
      </c>
      <c r="CS393" s="635">
        <v>0</v>
      </c>
      <c r="CT393" s="635">
        <v>0</v>
      </c>
      <c r="CU393" s="635">
        <v>0</v>
      </c>
      <c r="CV393" s="635">
        <v>0</v>
      </c>
      <c r="CW393" s="635">
        <v>0</v>
      </c>
      <c r="CX393" s="635">
        <v>0</v>
      </c>
      <c r="CY393" s="635">
        <v>0</v>
      </c>
      <c r="CZ393" s="635">
        <v>0</v>
      </c>
      <c r="DA393" s="636">
        <v>0</v>
      </c>
      <c r="DB393" s="636">
        <v>0</v>
      </c>
      <c r="DC393" s="636">
        <v>0</v>
      </c>
      <c r="DD393" s="637">
        <v>0</v>
      </c>
      <c r="DE393" s="637">
        <v>0</v>
      </c>
      <c r="DF393" s="637">
        <v>0</v>
      </c>
      <c r="DG393" s="637">
        <v>0</v>
      </c>
      <c r="DH393" s="637">
        <v>0</v>
      </c>
      <c r="DI393" s="637">
        <v>0</v>
      </c>
      <c r="DJ393" s="637">
        <v>0</v>
      </c>
      <c r="DK393" s="637">
        <v>0</v>
      </c>
      <c r="DL393" s="637">
        <v>0</v>
      </c>
      <c r="DM393" s="637">
        <v>0</v>
      </c>
      <c r="DN393" s="637">
        <v>0</v>
      </c>
      <c r="DO393" s="637">
        <v>0</v>
      </c>
      <c r="DP393" s="636">
        <v>0</v>
      </c>
      <c r="DQ393" s="636">
        <v>0</v>
      </c>
      <c r="DR393" s="636">
        <v>0</v>
      </c>
      <c r="DS393" s="637">
        <v>0</v>
      </c>
      <c r="DT393" s="637">
        <v>0</v>
      </c>
      <c r="DU393" s="637">
        <v>0</v>
      </c>
      <c r="DV393" s="637">
        <v>0</v>
      </c>
      <c r="DW393" s="637">
        <v>0</v>
      </c>
      <c r="DX393" s="637">
        <v>0</v>
      </c>
      <c r="DY393" s="637">
        <v>0</v>
      </c>
      <c r="DZ393" s="637">
        <v>0</v>
      </c>
      <c r="EA393" s="637">
        <v>0</v>
      </c>
      <c r="EB393" s="637">
        <v>0</v>
      </c>
      <c r="EC393" s="637">
        <v>0</v>
      </c>
      <c r="ED393" s="637">
        <v>0</v>
      </c>
    </row>
    <row r="394" spans="1:134" ht="15" x14ac:dyDescent="0.25">
      <c r="A394" s="555">
        <v>112</v>
      </c>
      <c r="B394" s="555">
        <v>104</v>
      </c>
      <c r="C394" s="555" t="s">
        <v>1377</v>
      </c>
      <c r="D394" s="812">
        <v>99712</v>
      </c>
      <c r="E394" s="812">
        <v>99712</v>
      </c>
      <c r="F394" s="630" t="s">
        <v>311</v>
      </c>
      <c r="G394" s="45">
        <v>1</v>
      </c>
      <c r="H394" s="45">
        <v>1</v>
      </c>
      <c r="I394" s="45">
        <v>1</v>
      </c>
      <c r="J394" s="45">
        <v>0</v>
      </c>
      <c r="K394" s="45">
        <v>0</v>
      </c>
      <c r="L394" s="45">
        <v>1</v>
      </c>
      <c r="M394" s="45">
        <v>1</v>
      </c>
      <c r="N394" s="45">
        <v>0</v>
      </c>
      <c r="O394" s="45">
        <v>0</v>
      </c>
      <c r="P394" s="45">
        <v>0</v>
      </c>
      <c r="Q394" s="45">
        <v>1</v>
      </c>
      <c r="R394" s="45">
        <v>0</v>
      </c>
      <c r="S394" s="45">
        <v>6285</v>
      </c>
      <c r="T394" s="45">
        <v>6285</v>
      </c>
      <c r="U394" s="45">
        <v>0</v>
      </c>
      <c r="V394" s="45">
        <v>0</v>
      </c>
      <c r="W394" s="45">
        <v>0</v>
      </c>
      <c r="X394" s="45">
        <v>6285</v>
      </c>
      <c r="Y394" s="45">
        <v>0</v>
      </c>
      <c r="Z394" s="45">
        <v>1</v>
      </c>
      <c r="AA394" s="45">
        <v>0</v>
      </c>
      <c r="AB394" s="508">
        <v>0</v>
      </c>
      <c r="AC394" s="508">
        <v>0</v>
      </c>
      <c r="AD394" s="631">
        <v>1</v>
      </c>
      <c r="AE394" s="632">
        <v>0</v>
      </c>
      <c r="AF394" s="632">
        <v>1</v>
      </c>
      <c r="AG394" s="633">
        <v>1</v>
      </c>
      <c r="AH394" s="632">
        <v>0</v>
      </c>
      <c r="AI394" s="632">
        <v>0</v>
      </c>
      <c r="AJ394" s="632">
        <v>0.90911424514573824</v>
      </c>
      <c r="AK394" s="632">
        <v>0.90911424514573824</v>
      </c>
      <c r="AL394" s="632">
        <v>0</v>
      </c>
      <c r="AM394" s="632">
        <v>0</v>
      </c>
      <c r="AN394" s="632">
        <v>0.91245411038790925</v>
      </c>
      <c r="AO394" s="632">
        <v>0.91245411038790925</v>
      </c>
      <c r="AP394" s="632">
        <v>0</v>
      </c>
      <c r="AQ394" s="632">
        <v>0</v>
      </c>
      <c r="AR394" s="632">
        <v>0</v>
      </c>
      <c r="AS394" s="632">
        <v>0.82648871072690544</v>
      </c>
      <c r="AT394" s="632">
        <v>0.86681754733851879</v>
      </c>
      <c r="AU394" s="632">
        <v>0.90911424514573824</v>
      </c>
      <c r="AV394" s="632">
        <v>0.95347482669745309</v>
      </c>
      <c r="AW394" s="632">
        <v>1</v>
      </c>
      <c r="AX394" s="632">
        <v>0.83257250356379087</v>
      </c>
      <c r="AY394" s="632">
        <v>0.87159864792961517</v>
      </c>
      <c r="AZ394" s="632">
        <v>0.91245411038790925</v>
      </c>
      <c r="BA394" s="632">
        <v>0.9552246387043779</v>
      </c>
      <c r="BB394" s="632">
        <v>1</v>
      </c>
      <c r="BC394" s="632">
        <v>0</v>
      </c>
      <c r="BD394" s="632">
        <v>0</v>
      </c>
      <c r="BE394" s="632">
        <v>0</v>
      </c>
      <c r="BF394" s="632">
        <v>0</v>
      </c>
      <c r="BG394" s="632">
        <v>0</v>
      </c>
      <c r="BH394" s="634">
        <v>1.0134066054705759</v>
      </c>
      <c r="BI394" s="634">
        <v>1.0269929480113955</v>
      </c>
      <c r="BJ394" s="634">
        <v>1.040761437286448</v>
      </c>
      <c r="BK394" s="635">
        <v>1.0339188874653549</v>
      </c>
      <c r="BL394" s="635">
        <v>1.0271213244071997</v>
      </c>
      <c r="BM394" s="635">
        <v>1.034494890244499</v>
      </c>
      <c r="BN394" s="635">
        <v>1.0419213899191793</v>
      </c>
      <c r="BO394" s="635">
        <v>1.0494012034361397</v>
      </c>
      <c r="BP394" s="635">
        <v>1.0569347135282832</v>
      </c>
      <c r="BQ394" s="635">
        <v>1.0645223056761002</v>
      </c>
      <c r="BR394" s="635">
        <v>1.0704981347272684</v>
      </c>
      <c r="BS394" s="635">
        <v>1.076507509841923</v>
      </c>
      <c r="BT394" s="635">
        <v>1.0825506193350853</v>
      </c>
      <c r="BU394" s="635">
        <v>1.0886276525789067</v>
      </c>
      <c r="BV394" s="635">
        <v>1.0947388000086022</v>
      </c>
      <c r="BW394" s="634">
        <v>1.0134066054705759</v>
      </c>
      <c r="BX394" s="634">
        <v>1.0269929480113955</v>
      </c>
      <c r="BY394" s="634">
        <v>1.040761437286448</v>
      </c>
      <c r="BZ394" s="635">
        <v>1.0339188874653549</v>
      </c>
      <c r="CA394" s="635">
        <v>1.0271213244071997</v>
      </c>
      <c r="CB394" s="635">
        <v>1.034494890244499</v>
      </c>
      <c r="CC394" s="635">
        <v>1.0419213899191793</v>
      </c>
      <c r="CD394" s="635">
        <v>1.0494012034361397</v>
      </c>
      <c r="CE394" s="635">
        <v>1.0569347135282832</v>
      </c>
      <c r="CF394" s="635">
        <v>1.0645223056761002</v>
      </c>
      <c r="CG394" s="635">
        <v>1.0704981347272684</v>
      </c>
      <c r="CH394" s="635">
        <v>1.076507509841923</v>
      </c>
      <c r="CI394" s="635">
        <v>1.0825506193350853</v>
      </c>
      <c r="CJ394" s="635">
        <v>1.0886276525789067</v>
      </c>
      <c r="CK394" s="635">
        <v>1.0947388000086022</v>
      </c>
      <c r="CL394" s="634">
        <v>0</v>
      </c>
      <c r="CM394" s="634">
        <v>0</v>
      </c>
      <c r="CN394" s="634">
        <v>0</v>
      </c>
      <c r="CO394" s="635">
        <v>0</v>
      </c>
      <c r="CP394" s="635">
        <v>0</v>
      </c>
      <c r="CQ394" s="635">
        <v>0</v>
      </c>
      <c r="CR394" s="635">
        <v>0</v>
      </c>
      <c r="CS394" s="635">
        <v>0</v>
      </c>
      <c r="CT394" s="635">
        <v>0</v>
      </c>
      <c r="CU394" s="635">
        <v>0</v>
      </c>
      <c r="CV394" s="635">
        <v>0</v>
      </c>
      <c r="CW394" s="635">
        <v>0</v>
      </c>
      <c r="CX394" s="635">
        <v>0</v>
      </c>
      <c r="CY394" s="635">
        <v>0</v>
      </c>
      <c r="CZ394" s="635">
        <v>0</v>
      </c>
      <c r="DA394" s="636">
        <v>0</v>
      </c>
      <c r="DB394" s="636">
        <v>0</v>
      </c>
      <c r="DC394" s="636">
        <v>0</v>
      </c>
      <c r="DD394" s="637">
        <v>0</v>
      </c>
      <c r="DE394" s="637">
        <v>0</v>
      </c>
      <c r="DF394" s="637">
        <v>0</v>
      </c>
      <c r="DG394" s="637">
        <v>0</v>
      </c>
      <c r="DH394" s="637">
        <v>0</v>
      </c>
      <c r="DI394" s="637">
        <v>0</v>
      </c>
      <c r="DJ394" s="637">
        <v>0</v>
      </c>
      <c r="DK394" s="637">
        <v>0</v>
      </c>
      <c r="DL394" s="637">
        <v>0</v>
      </c>
      <c r="DM394" s="637">
        <v>0</v>
      </c>
      <c r="DN394" s="637">
        <v>0</v>
      </c>
      <c r="DO394" s="637">
        <v>0</v>
      </c>
      <c r="DP394" s="636">
        <v>0</v>
      </c>
      <c r="DQ394" s="636">
        <v>0</v>
      </c>
      <c r="DR394" s="636">
        <v>0</v>
      </c>
      <c r="DS394" s="637">
        <v>0</v>
      </c>
      <c r="DT394" s="637">
        <v>0</v>
      </c>
      <c r="DU394" s="637">
        <v>0</v>
      </c>
      <c r="DV394" s="637">
        <v>0</v>
      </c>
      <c r="DW394" s="637">
        <v>0</v>
      </c>
      <c r="DX394" s="637">
        <v>0</v>
      </c>
      <c r="DY394" s="637">
        <v>0</v>
      </c>
      <c r="DZ394" s="637">
        <v>0</v>
      </c>
      <c r="EA394" s="637">
        <v>0</v>
      </c>
      <c r="EB394" s="637">
        <v>0</v>
      </c>
      <c r="EC394" s="637">
        <v>0</v>
      </c>
      <c r="ED394" s="637">
        <v>0</v>
      </c>
    </row>
    <row r="395" spans="1:134" ht="15" x14ac:dyDescent="0.25">
      <c r="A395" s="555">
        <v>113</v>
      </c>
      <c r="B395" s="555">
        <v>104</v>
      </c>
      <c r="C395" s="555" t="s">
        <v>1378</v>
      </c>
      <c r="D395" s="812">
        <v>99712</v>
      </c>
      <c r="E395" s="812">
        <v>99712</v>
      </c>
      <c r="F395" s="630" t="s">
        <v>311</v>
      </c>
      <c r="G395" s="45">
        <v>66</v>
      </c>
      <c r="H395" s="45">
        <v>52</v>
      </c>
      <c r="I395" s="45">
        <v>37</v>
      </c>
      <c r="J395" s="45">
        <v>15</v>
      </c>
      <c r="K395" s="45">
        <v>3</v>
      </c>
      <c r="L395" s="45">
        <v>41</v>
      </c>
      <c r="M395" s="45">
        <v>44</v>
      </c>
      <c r="N395" s="45">
        <v>9</v>
      </c>
      <c r="O395" s="45">
        <v>0</v>
      </c>
      <c r="P395" s="45">
        <v>0</v>
      </c>
      <c r="Q395" s="45">
        <v>53</v>
      </c>
      <c r="R395" s="45">
        <v>2249</v>
      </c>
      <c r="S395" s="45">
        <v>1688.1219512195121</v>
      </c>
      <c r="T395" s="45">
        <v>1726.3636363636363</v>
      </c>
      <c r="U395" s="45">
        <v>7577.8888888888887</v>
      </c>
      <c r="V395" s="45">
        <v>0</v>
      </c>
      <c r="W395" s="45">
        <v>0</v>
      </c>
      <c r="X395" s="45">
        <v>2720.0188679245284</v>
      </c>
      <c r="Y395" s="45">
        <v>3.5454545454545454</v>
      </c>
      <c r="Z395" s="45">
        <v>48.454545454545453</v>
      </c>
      <c r="AA395" s="45">
        <v>0</v>
      </c>
      <c r="AB395" s="508">
        <v>9</v>
      </c>
      <c r="AC395" s="508">
        <v>0</v>
      </c>
      <c r="AD395" s="631">
        <v>61</v>
      </c>
      <c r="AE395" s="632">
        <v>2.5227272727272729</v>
      </c>
      <c r="AF395" s="632">
        <v>34.477272727272727</v>
      </c>
      <c r="AG395" s="633">
        <v>37</v>
      </c>
      <c r="AH395" s="632">
        <v>0</v>
      </c>
      <c r="AI395" s="632">
        <v>3.2232232327894357</v>
      </c>
      <c r="AJ395" s="632">
        <v>44.05071751478895</v>
      </c>
      <c r="AK395" s="632">
        <v>47.273940747578386</v>
      </c>
      <c r="AL395" s="632">
        <v>0</v>
      </c>
      <c r="AM395" s="632">
        <v>2.3018728693876804</v>
      </c>
      <c r="AN395" s="632">
        <v>31.458929214964961</v>
      </c>
      <c r="AO395" s="632">
        <v>33.76080208435264</v>
      </c>
      <c r="AP395" s="632">
        <v>0</v>
      </c>
      <c r="AQ395" s="632">
        <v>8.3685721573245484</v>
      </c>
      <c r="AR395" s="632">
        <v>0</v>
      </c>
      <c r="AS395" s="632">
        <v>42.977412957799082</v>
      </c>
      <c r="AT395" s="632">
        <v>45.074512461602971</v>
      </c>
      <c r="AU395" s="632">
        <v>47.273940747578386</v>
      </c>
      <c r="AV395" s="632">
        <v>49.580690988267563</v>
      </c>
      <c r="AW395" s="632">
        <v>52</v>
      </c>
      <c r="AX395" s="632">
        <v>30.805182631860262</v>
      </c>
      <c r="AY395" s="632">
        <v>32.24914997339576</v>
      </c>
      <c r="AZ395" s="632">
        <v>33.76080208435264</v>
      </c>
      <c r="BA395" s="632">
        <v>35.343311632061983</v>
      </c>
      <c r="BB395" s="632">
        <v>37</v>
      </c>
      <c r="BC395" s="632">
        <v>7.7814444391497384</v>
      </c>
      <c r="BD395" s="632">
        <v>8.0696703326242787</v>
      </c>
      <c r="BE395" s="632">
        <v>8.3685721573245484</v>
      </c>
      <c r="BF395" s="632">
        <v>8.6785453513777835</v>
      </c>
      <c r="BG395" s="632">
        <v>9</v>
      </c>
      <c r="BH395" s="634">
        <v>52.697143484469947</v>
      </c>
      <c r="BI395" s="634">
        <v>53.403633296592567</v>
      </c>
      <c r="BJ395" s="634">
        <v>54.119594738895294</v>
      </c>
      <c r="BK395" s="635">
        <v>53.763782148198459</v>
      </c>
      <c r="BL395" s="635">
        <v>53.410308869174386</v>
      </c>
      <c r="BM395" s="635">
        <v>53.793734292713943</v>
      </c>
      <c r="BN395" s="635">
        <v>54.179912275797321</v>
      </c>
      <c r="BO395" s="635">
        <v>54.568862578679266</v>
      </c>
      <c r="BP395" s="635">
        <v>54.960605103470719</v>
      </c>
      <c r="BQ395" s="635">
        <v>55.355159895157207</v>
      </c>
      <c r="BR395" s="635">
        <v>55.665903005817952</v>
      </c>
      <c r="BS395" s="635">
        <v>55.978390511779992</v>
      </c>
      <c r="BT395" s="635">
        <v>56.292632205424439</v>
      </c>
      <c r="BU395" s="635">
        <v>56.60863793410315</v>
      </c>
      <c r="BV395" s="635">
        <v>56.926417600447316</v>
      </c>
      <c r="BW395" s="634">
        <v>37.496044402411307</v>
      </c>
      <c r="BX395" s="634">
        <v>37.998739076421636</v>
      </c>
      <c r="BY395" s="634">
        <v>38.508173179598579</v>
      </c>
      <c r="BZ395" s="635">
        <v>38.254998836218135</v>
      </c>
      <c r="CA395" s="635">
        <v>38.003489003066399</v>
      </c>
      <c r="CB395" s="635">
        <v>38.276310939046461</v>
      </c>
      <c r="CC395" s="635">
        <v>38.551091427009638</v>
      </c>
      <c r="CD395" s="635">
        <v>38.827844527137174</v>
      </c>
      <c r="CE395" s="635">
        <v>39.106584400546474</v>
      </c>
      <c r="CF395" s="635">
        <v>39.387325310015711</v>
      </c>
      <c r="CG395" s="635">
        <v>39.608430984908935</v>
      </c>
      <c r="CH395" s="635">
        <v>39.830777864151152</v>
      </c>
      <c r="CI395" s="635">
        <v>40.054372915398162</v>
      </c>
      <c r="CJ395" s="635">
        <v>40.279223145419557</v>
      </c>
      <c r="CK395" s="635">
        <v>40.50533560031829</v>
      </c>
      <c r="CL395" s="634">
        <v>9.120659449235184</v>
      </c>
      <c r="CM395" s="634">
        <v>9.2429365321025596</v>
      </c>
      <c r="CN395" s="634">
        <v>9.3668529355780326</v>
      </c>
      <c r="CO395" s="635">
        <v>9.3052699871881952</v>
      </c>
      <c r="CP395" s="635">
        <v>9.2440919196647986</v>
      </c>
      <c r="CQ395" s="635">
        <v>9.3104540122004913</v>
      </c>
      <c r="CR395" s="635">
        <v>9.377292509272614</v>
      </c>
      <c r="CS395" s="635">
        <v>9.4446108309252583</v>
      </c>
      <c r="CT395" s="635">
        <v>9.5124124217545489</v>
      </c>
      <c r="CU395" s="635">
        <v>9.5807007510849029</v>
      </c>
      <c r="CV395" s="635">
        <v>9.6344832125454154</v>
      </c>
      <c r="CW395" s="635">
        <v>9.6885675885773068</v>
      </c>
      <c r="CX395" s="635">
        <v>9.7429555740157685</v>
      </c>
      <c r="CY395" s="635">
        <v>9.7976488732101625</v>
      </c>
      <c r="CZ395" s="635">
        <v>9.8526492000774208</v>
      </c>
      <c r="DA395" s="636">
        <v>0</v>
      </c>
      <c r="DB395" s="636">
        <v>0</v>
      </c>
      <c r="DC395" s="636">
        <v>0</v>
      </c>
      <c r="DD395" s="637">
        <v>0</v>
      </c>
      <c r="DE395" s="637">
        <v>0</v>
      </c>
      <c r="DF395" s="637">
        <v>0</v>
      </c>
      <c r="DG395" s="637">
        <v>0</v>
      </c>
      <c r="DH395" s="637">
        <v>0</v>
      </c>
      <c r="DI395" s="637">
        <v>0</v>
      </c>
      <c r="DJ395" s="637">
        <v>0</v>
      </c>
      <c r="DK395" s="637">
        <v>0</v>
      </c>
      <c r="DL395" s="637">
        <v>0</v>
      </c>
      <c r="DM395" s="637">
        <v>0</v>
      </c>
      <c r="DN395" s="637">
        <v>0</v>
      </c>
      <c r="DO395" s="637">
        <v>0</v>
      </c>
      <c r="DP395" s="636">
        <v>0</v>
      </c>
      <c r="DQ395" s="636">
        <v>0</v>
      </c>
      <c r="DR395" s="636">
        <v>0</v>
      </c>
      <c r="DS395" s="637">
        <v>0</v>
      </c>
      <c r="DT395" s="637">
        <v>0</v>
      </c>
      <c r="DU395" s="637">
        <v>0</v>
      </c>
      <c r="DV395" s="637">
        <v>0</v>
      </c>
      <c r="DW395" s="637">
        <v>0</v>
      </c>
      <c r="DX395" s="637">
        <v>0</v>
      </c>
      <c r="DY395" s="637">
        <v>0</v>
      </c>
      <c r="DZ395" s="637">
        <v>0</v>
      </c>
      <c r="EA395" s="637">
        <v>0</v>
      </c>
      <c r="EB395" s="637">
        <v>0</v>
      </c>
      <c r="EC395" s="637">
        <v>0</v>
      </c>
      <c r="ED395" s="637">
        <v>0</v>
      </c>
    </row>
    <row r="396" spans="1:134" ht="15" x14ac:dyDescent="0.25">
      <c r="A396" s="555">
        <v>114</v>
      </c>
      <c r="B396" s="555">
        <v>104</v>
      </c>
      <c r="C396" s="555" t="s">
        <v>1379</v>
      </c>
      <c r="D396" s="812">
        <v>99712</v>
      </c>
      <c r="E396" s="812">
        <v>99712</v>
      </c>
      <c r="F396" s="630" t="s">
        <v>311</v>
      </c>
      <c r="G396" s="45">
        <v>33</v>
      </c>
      <c r="H396" s="45">
        <v>21</v>
      </c>
      <c r="I396" s="45">
        <v>19</v>
      </c>
      <c r="J396" s="45">
        <v>2</v>
      </c>
      <c r="K396" s="45">
        <v>0</v>
      </c>
      <c r="L396" s="45">
        <v>8</v>
      </c>
      <c r="M396" s="45">
        <v>8</v>
      </c>
      <c r="N396" s="45">
        <v>5</v>
      </c>
      <c r="O396" s="45">
        <v>0</v>
      </c>
      <c r="P396" s="45">
        <v>0</v>
      </c>
      <c r="Q396" s="45">
        <v>13</v>
      </c>
      <c r="R396" s="45">
        <v>0</v>
      </c>
      <c r="S396" s="45">
        <v>2291.25</v>
      </c>
      <c r="T396" s="45">
        <v>2291.25</v>
      </c>
      <c r="U396" s="45">
        <v>6010.6</v>
      </c>
      <c r="V396" s="45">
        <v>0</v>
      </c>
      <c r="W396" s="45">
        <v>0</v>
      </c>
      <c r="X396" s="45">
        <v>3721.7692307692309</v>
      </c>
      <c r="Y396" s="45">
        <v>0</v>
      </c>
      <c r="Z396" s="45">
        <v>21</v>
      </c>
      <c r="AA396" s="45">
        <v>0</v>
      </c>
      <c r="AB396" s="508">
        <v>5</v>
      </c>
      <c r="AC396" s="508">
        <v>0</v>
      </c>
      <c r="AD396" s="631">
        <v>26</v>
      </c>
      <c r="AE396" s="632">
        <v>0</v>
      </c>
      <c r="AF396" s="632">
        <v>19</v>
      </c>
      <c r="AG396" s="633">
        <v>19</v>
      </c>
      <c r="AH396" s="632">
        <v>0</v>
      </c>
      <c r="AI396" s="632">
        <v>0</v>
      </c>
      <c r="AJ396" s="632">
        <v>19.091399148060503</v>
      </c>
      <c r="AK396" s="632">
        <v>19.091399148060503</v>
      </c>
      <c r="AL396" s="632">
        <v>0</v>
      </c>
      <c r="AM396" s="632">
        <v>0</v>
      </c>
      <c r="AN396" s="632">
        <v>17.336628097370276</v>
      </c>
      <c r="AO396" s="632">
        <v>17.336628097370276</v>
      </c>
      <c r="AP396" s="632">
        <v>0</v>
      </c>
      <c r="AQ396" s="632">
        <v>4.6492067540691933</v>
      </c>
      <c r="AR396" s="632">
        <v>0</v>
      </c>
      <c r="AS396" s="632">
        <v>17.356262925265014</v>
      </c>
      <c r="AT396" s="632">
        <v>18.203168494108894</v>
      </c>
      <c r="AU396" s="632">
        <v>19.091399148060503</v>
      </c>
      <c r="AV396" s="632">
        <v>20.022971360646515</v>
      </c>
      <c r="AW396" s="632">
        <v>21</v>
      </c>
      <c r="AX396" s="632">
        <v>15.818877567712025</v>
      </c>
      <c r="AY396" s="632">
        <v>16.560374310662688</v>
      </c>
      <c r="AZ396" s="632">
        <v>17.336628097370276</v>
      </c>
      <c r="BA396" s="632">
        <v>18.149268135383181</v>
      </c>
      <c r="BB396" s="632">
        <v>19</v>
      </c>
      <c r="BC396" s="632">
        <v>4.3230246884165213</v>
      </c>
      <c r="BD396" s="632">
        <v>4.483150184791266</v>
      </c>
      <c r="BE396" s="632">
        <v>4.6492067540691933</v>
      </c>
      <c r="BF396" s="632">
        <v>4.8214140840987687</v>
      </c>
      <c r="BG396" s="632">
        <v>5</v>
      </c>
      <c r="BH396" s="634">
        <v>21.19443687868592</v>
      </c>
      <c r="BI396" s="634">
        <v>21.39067402879056</v>
      </c>
      <c r="BJ396" s="634">
        <v>21.588728118845129</v>
      </c>
      <c r="BK396" s="635">
        <v>21.446791703414153</v>
      </c>
      <c r="BL396" s="635">
        <v>21.305788457640716</v>
      </c>
      <c r="BM396" s="635">
        <v>21.458739847291447</v>
      </c>
      <c r="BN396" s="635">
        <v>21.612789254396102</v>
      </c>
      <c r="BO396" s="635">
        <v>21.767944561474295</v>
      </c>
      <c r="BP396" s="635">
        <v>21.924213707633193</v>
      </c>
      <c r="BQ396" s="635">
        <v>22.081604688973734</v>
      </c>
      <c r="BR396" s="635">
        <v>22.205562537572288</v>
      </c>
      <c r="BS396" s="635">
        <v>22.330216239051357</v>
      </c>
      <c r="BT396" s="635">
        <v>22.455569699668086</v>
      </c>
      <c r="BU396" s="635">
        <v>22.581626847607872</v>
      </c>
      <c r="BV396" s="635">
        <v>22.708391633107475</v>
      </c>
      <c r="BW396" s="634">
        <v>19.175919080715829</v>
      </c>
      <c r="BX396" s="634">
        <v>19.353466978429552</v>
      </c>
      <c r="BY396" s="634">
        <v>19.532658774193212</v>
      </c>
      <c r="BZ396" s="635">
        <v>19.404240112612804</v>
      </c>
      <c r="CA396" s="635">
        <v>19.27666574738922</v>
      </c>
      <c r="CB396" s="635">
        <v>19.415050338025594</v>
      </c>
      <c r="CC396" s="635">
        <v>19.554428373025043</v>
      </c>
      <c r="CD396" s="635">
        <v>19.694806984191029</v>
      </c>
      <c r="CE396" s="635">
        <v>19.836193354525271</v>
      </c>
      <c r="CF396" s="635">
        <v>19.978594718595286</v>
      </c>
      <c r="CG396" s="635">
        <v>20.090747057803501</v>
      </c>
      <c r="CH396" s="635">
        <v>20.203528978189325</v>
      </c>
      <c r="CI396" s="635">
        <v>20.31694401398541</v>
      </c>
      <c r="CJ396" s="635">
        <v>20.430995719264267</v>
      </c>
      <c r="CK396" s="635">
        <v>20.54568766804962</v>
      </c>
      <c r="CL396" s="634">
        <v>5.0462944949252186</v>
      </c>
      <c r="CM396" s="634">
        <v>5.0930176259025135</v>
      </c>
      <c r="CN396" s="634">
        <v>5.1401733616297927</v>
      </c>
      <c r="CO396" s="635">
        <v>5.1063789770033701</v>
      </c>
      <c r="CP396" s="635">
        <v>5.0728067756287416</v>
      </c>
      <c r="CQ396" s="635">
        <v>5.1092237731646302</v>
      </c>
      <c r="CR396" s="635">
        <v>5.1459022034276432</v>
      </c>
      <c r="CS396" s="635">
        <v>5.1828439432081659</v>
      </c>
      <c r="CT396" s="635">
        <v>5.220050882769808</v>
      </c>
      <c r="CU396" s="635">
        <v>5.257524925946127</v>
      </c>
      <c r="CV396" s="635">
        <v>5.2870386994219736</v>
      </c>
      <c r="CW396" s="635">
        <v>5.3167181521550848</v>
      </c>
      <c r="CX396" s="635">
        <v>5.3465642142066869</v>
      </c>
      <c r="CY396" s="635">
        <v>5.3765778208590174</v>
      </c>
      <c r="CZ396" s="635">
        <v>5.4067599126446373</v>
      </c>
      <c r="DA396" s="636">
        <v>0</v>
      </c>
      <c r="DB396" s="636">
        <v>0</v>
      </c>
      <c r="DC396" s="636">
        <v>0</v>
      </c>
      <c r="DD396" s="637">
        <v>0</v>
      </c>
      <c r="DE396" s="637">
        <v>0</v>
      </c>
      <c r="DF396" s="637">
        <v>0</v>
      </c>
      <c r="DG396" s="637">
        <v>0</v>
      </c>
      <c r="DH396" s="637">
        <v>0</v>
      </c>
      <c r="DI396" s="637">
        <v>0</v>
      </c>
      <c r="DJ396" s="637">
        <v>0</v>
      </c>
      <c r="DK396" s="637">
        <v>0</v>
      </c>
      <c r="DL396" s="637">
        <v>0</v>
      </c>
      <c r="DM396" s="637">
        <v>0</v>
      </c>
      <c r="DN396" s="637">
        <v>0</v>
      </c>
      <c r="DO396" s="637">
        <v>0</v>
      </c>
      <c r="DP396" s="636">
        <v>0</v>
      </c>
      <c r="DQ396" s="636">
        <v>0</v>
      </c>
      <c r="DR396" s="636">
        <v>0</v>
      </c>
      <c r="DS396" s="637">
        <v>0</v>
      </c>
      <c r="DT396" s="637">
        <v>0</v>
      </c>
      <c r="DU396" s="637">
        <v>0</v>
      </c>
      <c r="DV396" s="637">
        <v>0</v>
      </c>
      <c r="DW396" s="637">
        <v>0</v>
      </c>
      <c r="DX396" s="637">
        <v>0</v>
      </c>
      <c r="DY396" s="637">
        <v>0</v>
      </c>
      <c r="DZ396" s="637">
        <v>0</v>
      </c>
      <c r="EA396" s="637">
        <v>0</v>
      </c>
      <c r="EB396" s="637">
        <v>0</v>
      </c>
      <c r="EC396" s="637">
        <v>0</v>
      </c>
      <c r="ED396" s="637">
        <v>0</v>
      </c>
    </row>
    <row r="397" spans="1:134" ht="15" x14ac:dyDescent="0.25">
      <c r="A397" s="555">
        <v>115</v>
      </c>
      <c r="B397" s="555">
        <v>104</v>
      </c>
      <c r="C397" s="555" t="s">
        <v>1380</v>
      </c>
      <c r="D397" s="812">
        <v>99712</v>
      </c>
      <c r="E397" s="812">
        <v>99712</v>
      </c>
      <c r="F397" s="630" t="s">
        <v>311</v>
      </c>
      <c r="G397" s="45">
        <v>70</v>
      </c>
      <c r="H397" s="45">
        <v>43</v>
      </c>
      <c r="I397" s="45">
        <v>33</v>
      </c>
      <c r="J397" s="45">
        <v>10</v>
      </c>
      <c r="K397" s="45">
        <v>0</v>
      </c>
      <c r="L397" s="45">
        <v>1</v>
      </c>
      <c r="M397" s="45">
        <v>1</v>
      </c>
      <c r="N397" s="45">
        <v>0</v>
      </c>
      <c r="O397" s="45">
        <v>0</v>
      </c>
      <c r="P397" s="45">
        <v>0</v>
      </c>
      <c r="Q397" s="45">
        <v>1</v>
      </c>
      <c r="R397" s="45">
        <v>0</v>
      </c>
      <c r="S397" s="45">
        <v>960</v>
      </c>
      <c r="T397" s="45">
        <v>960</v>
      </c>
      <c r="U397" s="45">
        <v>0</v>
      </c>
      <c r="V397" s="45">
        <v>0</v>
      </c>
      <c r="W397" s="45">
        <v>0</v>
      </c>
      <c r="X397" s="45">
        <v>960</v>
      </c>
      <c r="Y397" s="45">
        <v>0</v>
      </c>
      <c r="Z397" s="45">
        <v>43</v>
      </c>
      <c r="AA397" s="45">
        <v>0</v>
      </c>
      <c r="AB397" s="508">
        <v>0</v>
      </c>
      <c r="AC397" s="508">
        <v>0</v>
      </c>
      <c r="AD397" s="631">
        <v>43</v>
      </c>
      <c r="AE397" s="632">
        <v>0</v>
      </c>
      <c r="AF397" s="632">
        <v>33</v>
      </c>
      <c r="AG397" s="633">
        <v>33</v>
      </c>
      <c r="AH397" s="632">
        <v>0</v>
      </c>
      <c r="AI397" s="632">
        <v>0</v>
      </c>
      <c r="AJ397" s="632">
        <v>39.091912541266744</v>
      </c>
      <c r="AK397" s="632">
        <v>39.091912541266744</v>
      </c>
      <c r="AL397" s="632">
        <v>0</v>
      </c>
      <c r="AM397" s="632">
        <v>0</v>
      </c>
      <c r="AN397" s="632">
        <v>30.110985642801005</v>
      </c>
      <c r="AO397" s="632">
        <v>30.110985642801005</v>
      </c>
      <c r="AP397" s="632">
        <v>0</v>
      </c>
      <c r="AQ397" s="632">
        <v>0</v>
      </c>
      <c r="AR397" s="632">
        <v>0</v>
      </c>
      <c r="AS397" s="632">
        <v>35.539014561256934</v>
      </c>
      <c r="AT397" s="632">
        <v>37.273154535556309</v>
      </c>
      <c r="AU397" s="632">
        <v>39.091912541266744</v>
      </c>
      <c r="AV397" s="632">
        <v>40.999417547990483</v>
      </c>
      <c r="AW397" s="632">
        <v>43</v>
      </c>
      <c r="AX397" s="632">
        <v>27.474892617605096</v>
      </c>
      <c r="AY397" s="632">
        <v>28.762755381677298</v>
      </c>
      <c r="AZ397" s="632">
        <v>30.110985642801005</v>
      </c>
      <c r="BA397" s="632">
        <v>31.522413077244472</v>
      </c>
      <c r="BB397" s="632">
        <v>33</v>
      </c>
      <c r="BC397" s="632">
        <v>0</v>
      </c>
      <c r="BD397" s="632">
        <v>0</v>
      </c>
      <c r="BE397" s="632">
        <v>0</v>
      </c>
      <c r="BF397" s="632">
        <v>0</v>
      </c>
      <c r="BG397" s="632">
        <v>0</v>
      </c>
      <c r="BH397" s="634">
        <v>43.398132656356879</v>
      </c>
      <c r="BI397" s="634">
        <v>43.799951582761622</v>
      </c>
      <c r="BJ397" s="634">
        <v>44.205490910016216</v>
      </c>
      <c r="BK397" s="635">
        <v>43.914859202228982</v>
      </c>
      <c r="BL397" s="635">
        <v>43.626138270407175</v>
      </c>
      <c r="BM397" s="635">
        <v>43.939324449215817</v>
      </c>
      <c r="BN397" s="635">
        <v>44.254758949477733</v>
      </c>
      <c r="BO397" s="635">
        <v>44.572457911590227</v>
      </c>
      <c r="BP397" s="635">
        <v>44.892437591820347</v>
      </c>
      <c r="BQ397" s="635">
        <v>45.214714363136693</v>
      </c>
      <c r="BR397" s="635">
        <v>45.468532815028972</v>
      </c>
      <c r="BS397" s="635">
        <v>45.723776108533734</v>
      </c>
      <c r="BT397" s="635">
        <v>45.980452242177506</v>
      </c>
      <c r="BU397" s="635">
        <v>46.238569259387546</v>
      </c>
      <c r="BV397" s="635">
        <v>46.498135248743878</v>
      </c>
      <c r="BW397" s="634">
        <v>33.305543666506445</v>
      </c>
      <c r="BX397" s="634">
        <v>33.613916330956592</v>
      </c>
      <c r="BY397" s="634">
        <v>33.925144186756633</v>
      </c>
      <c r="BZ397" s="635">
        <v>33.702101248222242</v>
      </c>
      <c r="CA397" s="635">
        <v>33.480524719149699</v>
      </c>
      <c r="CB397" s="635">
        <v>33.720876902886559</v>
      </c>
      <c r="CC397" s="635">
        <v>33.962954542622448</v>
      </c>
      <c r="CD397" s="635">
        <v>34.206770025173896</v>
      </c>
      <c r="CE397" s="635">
        <v>34.452335826280731</v>
      </c>
      <c r="CF397" s="635">
        <v>34.699664511244443</v>
      </c>
      <c r="CG397" s="635">
        <v>34.894455416185025</v>
      </c>
      <c r="CH397" s="635">
        <v>35.090339804223561</v>
      </c>
      <c r="CI397" s="635">
        <v>35.287323813764132</v>
      </c>
      <c r="CJ397" s="635">
        <v>35.485413617669515</v>
      </c>
      <c r="CK397" s="635">
        <v>35.684615423454609</v>
      </c>
      <c r="CL397" s="634">
        <v>0</v>
      </c>
      <c r="CM397" s="634">
        <v>0</v>
      </c>
      <c r="CN397" s="634">
        <v>0</v>
      </c>
      <c r="CO397" s="635">
        <v>0</v>
      </c>
      <c r="CP397" s="635">
        <v>0</v>
      </c>
      <c r="CQ397" s="635">
        <v>0</v>
      </c>
      <c r="CR397" s="635">
        <v>0</v>
      </c>
      <c r="CS397" s="635">
        <v>0</v>
      </c>
      <c r="CT397" s="635">
        <v>0</v>
      </c>
      <c r="CU397" s="635">
        <v>0</v>
      </c>
      <c r="CV397" s="635">
        <v>0</v>
      </c>
      <c r="CW397" s="635">
        <v>0</v>
      </c>
      <c r="CX397" s="635">
        <v>0</v>
      </c>
      <c r="CY397" s="635">
        <v>0</v>
      </c>
      <c r="CZ397" s="635">
        <v>0</v>
      </c>
      <c r="DA397" s="636">
        <v>0</v>
      </c>
      <c r="DB397" s="636">
        <v>0</v>
      </c>
      <c r="DC397" s="636">
        <v>0</v>
      </c>
      <c r="DD397" s="637">
        <v>0</v>
      </c>
      <c r="DE397" s="637">
        <v>0</v>
      </c>
      <c r="DF397" s="637">
        <v>0</v>
      </c>
      <c r="DG397" s="637">
        <v>0</v>
      </c>
      <c r="DH397" s="637">
        <v>0</v>
      </c>
      <c r="DI397" s="637">
        <v>0</v>
      </c>
      <c r="DJ397" s="637">
        <v>0</v>
      </c>
      <c r="DK397" s="637">
        <v>0</v>
      </c>
      <c r="DL397" s="637">
        <v>0</v>
      </c>
      <c r="DM397" s="637">
        <v>0</v>
      </c>
      <c r="DN397" s="637">
        <v>0</v>
      </c>
      <c r="DO397" s="637">
        <v>0</v>
      </c>
      <c r="DP397" s="636">
        <v>0</v>
      </c>
      <c r="DQ397" s="636">
        <v>0</v>
      </c>
      <c r="DR397" s="636">
        <v>0</v>
      </c>
      <c r="DS397" s="637">
        <v>0</v>
      </c>
      <c r="DT397" s="637">
        <v>0</v>
      </c>
      <c r="DU397" s="637">
        <v>0</v>
      </c>
      <c r="DV397" s="637">
        <v>0</v>
      </c>
      <c r="DW397" s="637">
        <v>0</v>
      </c>
      <c r="DX397" s="637">
        <v>0</v>
      </c>
      <c r="DY397" s="637">
        <v>0</v>
      </c>
      <c r="DZ397" s="637">
        <v>0</v>
      </c>
      <c r="EA397" s="637">
        <v>0</v>
      </c>
      <c r="EB397" s="637">
        <v>0</v>
      </c>
      <c r="EC397" s="637">
        <v>0</v>
      </c>
      <c r="ED397" s="637">
        <v>0</v>
      </c>
    </row>
    <row r="398" spans="1:134" ht="15" x14ac:dyDescent="0.25">
      <c r="A398" s="555">
        <v>104</v>
      </c>
      <c r="B398" s="555">
        <v>105</v>
      </c>
      <c r="C398" s="555" t="s">
        <v>1381</v>
      </c>
      <c r="D398" s="812">
        <v>99709</v>
      </c>
      <c r="E398" s="812">
        <v>99709</v>
      </c>
      <c r="F398" s="630" t="s">
        <v>989</v>
      </c>
      <c r="G398" s="45">
        <v>34</v>
      </c>
      <c r="H398" s="45">
        <v>16</v>
      </c>
      <c r="I398" s="45">
        <v>14</v>
      </c>
      <c r="J398" s="45">
        <v>2</v>
      </c>
      <c r="K398" s="45">
        <v>0</v>
      </c>
      <c r="L398" s="45">
        <v>10</v>
      </c>
      <c r="M398" s="45">
        <v>10</v>
      </c>
      <c r="N398" s="45">
        <v>0</v>
      </c>
      <c r="O398" s="45">
        <v>0</v>
      </c>
      <c r="P398" s="45">
        <v>0</v>
      </c>
      <c r="Q398" s="45">
        <v>10</v>
      </c>
      <c r="R398" s="45">
        <v>0</v>
      </c>
      <c r="S398" s="45">
        <v>1125.7</v>
      </c>
      <c r="T398" s="45">
        <v>1125.7</v>
      </c>
      <c r="U398" s="45">
        <v>0</v>
      </c>
      <c r="V398" s="45">
        <v>0</v>
      </c>
      <c r="W398" s="45">
        <v>0</v>
      </c>
      <c r="X398" s="45">
        <v>1125.7</v>
      </c>
      <c r="Y398" s="45">
        <v>0</v>
      </c>
      <c r="Z398" s="45">
        <v>16</v>
      </c>
      <c r="AA398" s="45">
        <v>0</v>
      </c>
      <c r="AB398" s="508">
        <v>0</v>
      </c>
      <c r="AC398" s="508">
        <v>0</v>
      </c>
      <c r="AD398" s="631">
        <v>16</v>
      </c>
      <c r="AE398" s="632">
        <v>0</v>
      </c>
      <c r="AF398" s="632">
        <v>14</v>
      </c>
      <c r="AG398" s="633">
        <v>14</v>
      </c>
      <c r="AH398" s="632">
        <v>0</v>
      </c>
      <c r="AI398" s="632">
        <v>0</v>
      </c>
      <c r="AJ398" s="632">
        <v>15.23453432012383</v>
      </c>
      <c r="AK398" s="632">
        <v>15.23453432012383</v>
      </c>
      <c r="AL398" s="632">
        <v>0</v>
      </c>
      <c r="AM398" s="632">
        <v>0</v>
      </c>
      <c r="AN398" s="632">
        <v>13.355364804571668</v>
      </c>
      <c r="AO398" s="632">
        <v>13.355364804571668</v>
      </c>
      <c r="AP398" s="632">
        <v>0</v>
      </c>
      <c r="AQ398" s="632">
        <v>0</v>
      </c>
      <c r="AR398" s="632">
        <v>0</v>
      </c>
      <c r="AS398" s="632">
        <v>14.505689746939428</v>
      </c>
      <c r="AT398" s="632">
        <v>14.865645908833462</v>
      </c>
      <c r="AU398" s="632">
        <v>15.23453432012383</v>
      </c>
      <c r="AV398" s="632">
        <v>15.612576633021893</v>
      </c>
      <c r="AW398" s="632">
        <v>16</v>
      </c>
      <c r="AX398" s="632">
        <v>12.74041207594226</v>
      </c>
      <c r="AY398" s="632">
        <v>13.044265063037439</v>
      </c>
      <c r="AZ398" s="632">
        <v>13.355364804571668</v>
      </c>
      <c r="BA398" s="632">
        <v>13.673884132316003</v>
      </c>
      <c r="BB398" s="632">
        <v>14</v>
      </c>
      <c r="BC398" s="632">
        <v>0</v>
      </c>
      <c r="BD398" s="632">
        <v>0</v>
      </c>
      <c r="BE398" s="632">
        <v>0</v>
      </c>
      <c r="BF398" s="632">
        <v>0</v>
      </c>
      <c r="BG398" s="632">
        <v>0</v>
      </c>
      <c r="BH398" s="634">
        <v>16.081962064178768</v>
      </c>
      <c r="BI398" s="634">
        <v>16.164343989605314</v>
      </c>
      <c r="BJ398" s="634">
        <v>16.247147927073044</v>
      </c>
      <c r="BK398" s="635">
        <v>16.140330057810399</v>
      </c>
      <c r="BL398" s="635">
        <v>16.03421446917233</v>
      </c>
      <c r="BM398" s="635">
        <v>16.149321938200931</v>
      </c>
      <c r="BN398" s="635">
        <v>16.265255748267418</v>
      </c>
      <c r="BO398" s="635">
        <v>16.382021831562959</v>
      </c>
      <c r="BP398" s="635">
        <v>16.499626162865123</v>
      </c>
      <c r="BQ398" s="635">
        <v>16.618074759843598</v>
      </c>
      <c r="BR398" s="635">
        <v>16.711362400125864</v>
      </c>
      <c r="BS398" s="635">
        <v>16.805173722239822</v>
      </c>
      <c r="BT398" s="635">
        <v>16.899511665938906</v>
      </c>
      <c r="BU398" s="635">
        <v>16.994379187479229</v>
      </c>
      <c r="BV398" s="635">
        <v>17.089779259712195</v>
      </c>
      <c r="BW398" s="634">
        <v>14.071716806156422</v>
      </c>
      <c r="BX398" s="634">
        <v>14.14380099090465</v>
      </c>
      <c r="BY398" s="634">
        <v>14.216254436188914</v>
      </c>
      <c r="BZ398" s="635">
        <v>14.1227888005841</v>
      </c>
      <c r="CA398" s="635">
        <v>14.029937660525789</v>
      </c>
      <c r="CB398" s="635">
        <v>14.130656695925815</v>
      </c>
      <c r="CC398" s="635">
        <v>14.23209877973399</v>
      </c>
      <c r="CD398" s="635">
        <v>14.33426910261759</v>
      </c>
      <c r="CE398" s="635">
        <v>14.437172892506982</v>
      </c>
      <c r="CF398" s="635">
        <v>14.540815414863149</v>
      </c>
      <c r="CG398" s="635">
        <v>14.622442100110131</v>
      </c>
      <c r="CH398" s="635">
        <v>14.704527006959843</v>
      </c>
      <c r="CI398" s="635">
        <v>14.787072707696543</v>
      </c>
      <c r="CJ398" s="635">
        <v>14.870081789044324</v>
      </c>
      <c r="CK398" s="635">
        <v>14.953556852248171</v>
      </c>
      <c r="CL398" s="634">
        <v>0</v>
      </c>
      <c r="CM398" s="634">
        <v>0</v>
      </c>
      <c r="CN398" s="634">
        <v>0</v>
      </c>
      <c r="CO398" s="635">
        <v>0</v>
      </c>
      <c r="CP398" s="635">
        <v>0</v>
      </c>
      <c r="CQ398" s="635">
        <v>0</v>
      </c>
      <c r="CR398" s="635">
        <v>0</v>
      </c>
      <c r="CS398" s="635">
        <v>0</v>
      </c>
      <c r="CT398" s="635">
        <v>0</v>
      </c>
      <c r="CU398" s="635">
        <v>0</v>
      </c>
      <c r="CV398" s="635">
        <v>0</v>
      </c>
      <c r="CW398" s="635">
        <v>0</v>
      </c>
      <c r="CX398" s="635">
        <v>0</v>
      </c>
      <c r="CY398" s="635">
        <v>0</v>
      </c>
      <c r="CZ398" s="635">
        <v>0</v>
      </c>
      <c r="DA398" s="636">
        <v>0</v>
      </c>
      <c r="DB398" s="636">
        <v>0</v>
      </c>
      <c r="DC398" s="636">
        <v>0</v>
      </c>
      <c r="DD398" s="637">
        <v>0</v>
      </c>
      <c r="DE398" s="637">
        <v>0</v>
      </c>
      <c r="DF398" s="637">
        <v>0</v>
      </c>
      <c r="DG398" s="637">
        <v>0</v>
      </c>
      <c r="DH398" s="637">
        <v>0</v>
      </c>
      <c r="DI398" s="637">
        <v>0</v>
      </c>
      <c r="DJ398" s="637">
        <v>0</v>
      </c>
      <c r="DK398" s="637">
        <v>0</v>
      </c>
      <c r="DL398" s="637">
        <v>0</v>
      </c>
      <c r="DM398" s="637">
        <v>0</v>
      </c>
      <c r="DN398" s="637">
        <v>0</v>
      </c>
      <c r="DO398" s="637">
        <v>0</v>
      </c>
      <c r="DP398" s="636">
        <v>0</v>
      </c>
      <c r="DQ398" s="636">
        <v>0</v>
      </c>
      <c r="DR398" s="636">
        <v>0</v>
      </c>
      <c r="DS398" s="637">
        <v>0</v>
      </c>
      <c r="DT398" s="637">
        <v>0</v>
      </c>
      <c r="DU398" s="637">
        <v>0</v>
      </c>
      <c r="DV398" s="637">
        <v>0</v>
      </c>
      <c r="DW398" s="637">
        <v>0</v>
      </c>
      <c r="DX398" s="637">
        <v>0</v>
      </c>
      <c r="DY398" s="637">
        <v>0</v>
      </c>
      <c r="DZ398" s="637">
        <v>0</v>
      </c>
      <c r="EA398" s="637">
        <v>0</v>
      </c>
      <c r="EB398" s="637">
        <v>0</v>
      </c>
      <c r="EC398" s="637">
        <v>0</v>
      </c>
      <c r="ED398" s="637">
        <v>0</v>
      </c>
    </row>
    <row r="399" spans="1:134" ht="15" x14ac:dyDescent="0.25">
      <c r="A399" s="555">
        <v>112</v>
      </c>
      <c r="B399" s="555">
        <v>105</v>
      </c>
      <c r="C399" s="555" t="s">
        <v>1382</v>
      </c>
      <c r="D399" s="812">
        <v>99712</v>
      </c>
      <c r="E399" s="812">
        <v>99712</v>
      </c>
      <c r="F399" s="630" t="s">
        <v>989</v>
      </c>
      <c r="G399" s="45">
        <v>16</v>
      </c>
      <c r="H399" s="45">
        <v>10</v>
      </c>
      <c r="I399" s="45">
        <v>9</v>
      </c>
      <c r="J399" s="45">
        <v>1</v>
      </c>
      <c r="K399" s="45">
        <v>0</v>
      </c>
      <c r="L399" s="45">
        <v>1</v>
      </c>
      <c r="M399" s="45">
        <v>1</v>
      </c>
      <c r="N399" s="45">
        <v>1</v>
      </c>
      <c r="O399" s="45">
        <v>0</v>
      </c>
      <c r="P399" s="45">
        <v>0</v>
      </c>
      <c r="Q399" s="45">
        <v>2</v>
      </c>
      <c r="R399" s="45">
        <v>0</v>
      </c>
      <c r="S399" s="45">
        <v>4354</v>
      </c>
      <c r="T399" s="45">
        <v>4354</v>
      </c>
      <c r="U399" s="45">
        <v>8310</v>
      </c>
      <c r="V399" s="45">
        <v>0</v>
      </c>
      <c r="W399" s="45">
        <v>0</v>
      </c>
      <c r="X399" s="45">
        <v>6332</v>
      </c>
      <c r="Y399" s="45">
        <v>0</v>
      </c>
      <c r="Z399" s="45">
        <v>10</v>
      </c>
      <c r="AA399" s="45">
        <v>0</v>
      </c>
      <c r="AB399" s="508">
        <v>1</v>
      </c>
      <c r="AC399" s="508">
        <v>0</v>
      </c>
      <c r="AD399" s="631">
        <v>11</v>
      </c>
      <c r="AE399" s="632">
        <v>0</v>
      </c>
      <c r="AF399" s="632">
        <v>9</v>
      </c>
      <c r="AG399" s="633">
        <v>9</v>
      </c>
      <c r="AH399" s="632">
        <v>0</v>
      </c>
      <c r="AI399" s="632">
        <v>0</v>
      </c>
      <c r="AJ399" s="632">
        <v>9.0911424514573813</v>
      </c>
      <c r="AK399" s="632">
        <v>9.0911424514573813</v>
      </c>
      <c r="AL399" s="632">
        <v>0</v>
      </c>
      <c r="AM399" s="632">
        <v>0</v>
      </c>
      <c r="AN399" s="632">
        <v>8.2120869934911838</v>
      </c>
      <c r="AO399" s="632">
        <v>8.2120869934911838</v>
      </c>
      <c r="AP399" s="632">
        <v>0</v>
      </c>
      <c r="AQ399" s="632">
        <v>0.92984135081383867</v>
      </c>
      <c r="AR399" s="632">
        <v>0</v>
      </c>
      <c r="AS399" s="632">
        <v>8.264887107269054</v>
      </c>
      <c r="AT399" s="632">
        <v>8.6681754733851868</v>
      </c>
      <c r="AU399" s="632">
        <v>9.0911424514573813</v>
      </c>
      <c r="AV399" s="632">
        <v>9.5347482669745318</v>
      </c>
      <c r="AW399" s="632">
        <v>10</v>
      </c>
      <c r="AX399" s="632">
        <v>7.4931525320741175</v>
      </c>
      <c r="AY399" s="632">
        <v>7.8443878313665358</v>
      </c>
      <c r="AZ399" s="632">
        <v>8.2120869934911838</v>
      </c>
      <c r="BA399" s="632">
        <v>8.5970217483394009</v>
      </c>
      <c r="BB399" s="632">
        <v>9</v>
      </c>
      <c r="BC399" s="632">
        <v>0.86460493768330426</v>
      </c>
      <c r="BD399" s="632">
        <v>0.89663003695825327</v>
      </c>
      <c r="BE399" s="632">
        <v>0.92984135081383867</v>
      </c>
      <c r="BF399" s="632">
        <v>0.96428281681975381</v>
      </c>
      <c r="BG399" s="632">
        <v>1</v>
      </c>
      <c r="BH399" s="634">
        <v>10.134066054705759</v>
      </c>
      <c r="BI399" s="634">
        <v>10.269929480113955</v>
      </c>
      <c r="BJ399" s="634">
        <v>10.407614372864479</v>
      </c>
      <c r="BK399" s="635">
        <v>10.33918887465355</v>
      </c>
      <c r="BL399" s="635">
        <v>10.271213244071998</v>
      </c>
      <c r="BM399" s="635">
        <v>10.344948902444989</v>
      </c>
      <c r="BN399" s="635">
        <v>10.419213899191792</v>
      </c>
      <c r="BO399" s="635">
        <v>10.494012034361397</v>
      </c>
      <c r="BP399" s="635">
        <v>10.569347135282831</v>
      </c>
      <c r="BQ399" s="635">
        <v>10.645223056761001</v>
      </c>
      <c r="BR399" s="635">
        <v>10.704981347272684</v>
      </c>
      <c r="BS399" s="635">
        <v>10.76507509841923</v>
      </c>
      <c r="BT399" s="635">
        <v>10.825506193350853</v>
      </c>
      <c r="BU399" s="635">
        <v>10.886276525789068</v>
      </c>
      <c r="BV399" s="635">
        <v>10.947388000086022</v>
      </c>
      <c r="BW399" s="634">
        <v>9.120659449235184</v>
      </c>
      <c r="BX399" s="634">
        <v>9.2429365321025596</v>
      </c>
      <c r="BY399" s="634">
        <v>9.3668529355780326</v>
      </c>
      <c r="BZ399" s="635">
        <v>9.3052699871881952</v>
      </c>
      <c r="CA399" s="635">
        <v>9.2440919196647986</v>
      </c>
      <c r="CB399" s="635">
        <v>9.3104540122004913</v>
      </c>
      <c r="CC399" s="635">
        <v>9.377292509272614</v>
      </c>
      <c r="CD399" s="635">
        <v>9.4446108309252583</v>
      </c>
      <c r="CE399" s="635">
        <v>9.5124124217545489</v>
      </c>
      <c r="CF399" s="635">
        <v>9.5807007510849029</v>
      </c>
      <c r="CG399" s="635">
        <v>9.6344832125454154</v>
      </c>
      <c r="CH399" s="635">
        <v>9.6885675885773068</v>
      </c>
      <c r="CI399" s="635">
        <v>9.7429555740157685</v>
      </c>
      <c r="CJ399" s="635">
        <v>9.7976488732101625</v>
      </c>
      <c r="CK399" s="635">
        <v>9.8526492000774208</v>
      </c>
      <c r="CL399" s="634">
        <v>1.0134066054705759</v>
      </c>
      <c r="CM399" s="634">
        <v>1.0269929480113955</v>
      </c>
      <c r="CN399" s="634">
        <v>1.040761437286448</v>
      </c>
      <c r="CO399" s="635">
        <v>1.0339188874653549</v>
      </c>
      <c r="CP399" s="635">
        <v>1.0271213244071997</v>
      </c>
      <c r="CQ399" s="635">
        <v>1.034494890244499</v>
      </c>
      <c r="CR399" s="635">
        <v>1.0419213899191793</v>
      </c>
      <c r="CS399" s="635">
        <v>1.0494012034361397</v>
      </c>
      <c r="CT399" s="635">
        <v>1.0569347135282832</v>
      </c>
      <c r="CU399" s="635">
        <v>1.0645223056761002</v>
      </c>
      <c r="CV399" s="635">
        <v>1.0704981347272684</v>
      </c>
      <c r="CW399" s="635">
        <v>1.076507509841923</v>
      </c>
      <c r="CX399" s="635">
        <v>1.0825506193350853</v>
      </c>
      <c r="CY399" s="635">
        <v>1.0886276525789067</v>
      </c>
      <c r="CZ399" s="635">
        <v>1.0947388000086022</v>
      </c>
      <c r="DA399" s="636">
        <v>0</v>
      </c>
      <c r="DB399" s="636">
        <v>0</v>
      </c>
      <c r="DC399" s="636">
        <v>0</v>
      </c>
      <c r="DD399" s="637">
        <v>0</v>
      </c>
      <c r="DE399" s="637">
        <v>0</v>
      </c>
      <c r="DF399" s="637">
        <v>0</v>
      </c>
      <c r="DG399" s="637">
        <v>0</v>
      </c>
      <c r="DH399" s="637">
        <v>0</v>
      </c>
      <c r="DI399" s="637">
        <v>0</v>
      </c>
      <c r="DJ399" s="637">
        <v>0</v>
      </c>
      <c r="DK399" s="637">
        <v>0</v>
      </c>
      <c r="DL399" s="637">
        <v>0</v>
      </c>
      <c r="DM399" s="637">
        <v>0</v>
      </c>
      <c r="DN399" s="637">
        <v>0</v>
      </c>
      <c r="DO399" s="637">
        <v>0</v>
      </c>
      <c r="DP399" s="636">
        <v>0</v>
      </c>
      <c r="DQ399" s="636">
        <v>0</v>
      </c>
      <c r="DR399" s="636">
        <v>0</v>
      </c>
      <c r="DS399" s="637">
        <v>0</v>
      </c>
      <c r="DT399" s="637">
        <v>0</v>
      </c>
      <c r="DU399" s="637">
        <v>0</v>
      </c>
      <c r="DV399" s="637">
        <v>0</v>
      </c>
      <c r="DW399" s="637">
        <v>0</v>
      </c>
      <c r="DX399" s="637">
        <v>0</v>
      </c>
      <c r="DY399" s="637">
        <v>0</v>
      </c>
      <c r="DZ399" s="637">
        <v>0</v>
      </c>
      <c r="EA399" s="637">
        <v>0</v>
      </c>
      <c r="EB399" s="637">
        <v>0</v>
      </c>
      <c r="EC399" s="637">
        <v>0</v>
      </c>
      <c r="ED399" s="637">
        <v>0</v>
      </c>
    </row>
    <row r="400" spans="1:134" ht="15" x14ac:dyDescent="0.25">
      <c r="A400" s="555">
        <v>114</v>
      </c>
      <c r="B400" s="555">
        <v>105</v>
      </c>
      <c r="C400" s="555" t="s">
        <v>1383</v>
      </c>
      <c r="D400" s="812">
        <v>99712</v>
      </c>
      <c r="E400" s="812">
        <v>99712</v>
      </c>
      <c r="F400" s="630" t="s">
        <v>989</v>
      </c>
      <c r="G400" s="45">
        <v>27</v>
      </c>
      <c r="H400" s="45">
        <v>10</v>
      </c>
      <c r="I400" s="45">
        <v>9</v>
      </c>
      <c r="J400" s="45">
        <v>1</v>
      </c>
      <c r="K400" s="45">
        <v>0</v>
      </c>
      <c r="L400" s="45">
        <v>1</v>
      </c>
      <c r="M400" s="45">
        <v>1</v>
      </c>
      <c r="N400" s="45">
        <v>0</v>
      </c>
      <c r="O400" s="45">
        <v>0</v>
      </c>
      <c r="P400" s="45">
        <v>0</v>
      </c>
      <c r="Q400" s="45">
        <v>1</v>
      </c>
      <c r="R400" s="45">
        <v>0</v>
      </c>
      <c r="S400" s="45">
        <v>4117</v>
      </c>
      <c r="T400" s="45">
        <v>4117</v>
      </c>
      <c r="U400" s="45">
        <v>0</v>
      </c>
      <c r="V400" s="45">
        <v>0</v>
      </c>
      <c r="W400" s="45">
        <v>0</v>
      </c>
      <c r="X400" s="45">
        <v>4117</v>
      </c>
      <c r="Y400" s="45">
        <v>0</v>
      </c>
      <c r="Z400" s="45">
        <v>10</v>
      </c>
      <c r="AA400" s="45">
        <v>0</v>
      </c>
      <c r="AB400" s="508">
        <v>0</v>
      </c>
      <c r="AC400" s="508">
        <v>0</v>
      </c>
      <c r="AD400" s="631">
        <v>10</v>
      </c>
      <c r="AE400" s="632">
        <v>0</v>
      </c>
      <c r="AF400" s="632">
        <v>9</v>
      </c>
      <c r="AG400" s="633">
        <v>9</v>
      </c>
      <c r="AH400" s="632">
        <v>0</v>
      </c>
      <c r="AI400" s="632">
        <v>0</v>
      </c>
      <c r="AJ400" s="632">
        <v>9.0911424514573813</v>
      </c>
      <c r="AK400" s="632">
        <v>9.0911424514573813</v>
      </c>
      <c r="AL400" s="632">
        <v>0</v>
      </c>
      <c r="AM400" s="632">
        <v>0</v>
      </c>
      <c r="AN400" s="632">
        <v>8.2120869934911838</v>
      </c>
      <c r="AO400" s="632">
        <v>8.2120869934911838</v>
      </c>
      <c r="AP400" s="632">
        <v>0</v>
      </c>
      <c r="AQ400" s="632">
        <v>0</v>
      </c>
      <c r="AR400" s="632">
        <v>0</v>
      </c>
      <c r="AS400" s="632">
        <v>8.264887107269054</v>
      </c>
      <c r="AT400" s="632">
        <v>8.6681754733851868</v>
      </c>
      <c r="AU400" s="632">
        <v>9.0911424514573813</v>
      </c>
      <c r="AV400" s="632">
        <v>9.5347482669745318</v>
      </c>
      <c r="AW400" s="632">
        <v>10</v>
      </c>
      <c r="AX400" s="632">
        <v>7.4931525320741175</v>
      </c>
      <c r="AY400" s="632">
        <v>7.8443878313665358</v>
      </c>
      <c r="AZ400" s="632">
        <v>8.2120869934911838</v>
      </c>
      <c r="BA400" s="632">
        <v>8.5970217483394009</v>
      </c>
      <c r="BB400" s="632">
        <v>9</v>
      </c>
      <c r="BC400" s="632">
        <v>0</v>
      </c>
      <c r="BD400" s="632">
        <v>0</v>
      </c>
      <c r="BE400" s="632">
        <v>0</v>
      </c>
      <c r="BF400" s="632">
        <v>0</v>
      </c>
      <c r="BG400" s="632">
        <v>0</v>
      </c>
      <c r="BH400" s="634">
        <v>10.134066054705759</v>
      </c>
      <c r="BI400" s="634">
        <v>10.269929480113955</v>
      </c>
      <c r="BJ400" s="634">
        <v>10.407614372864479</v>
      </c>
      <c r="BK400" s="635">
        <v>10.33918887465355</v>
      </c>
      <c r="BL400" s="635">
        <v>10.271213244071998</v>
      </c>
      <c r="BM400" s="635">
        <v>10.344948902444989</v>
      </c>
      <c r="BN400" s="635">
        <v>10.419213899191792</v>
      </c>
      <c r="BO400" s="635">
        <v>10.494012034361397</v>
      </c>
      <c r="BP400" s="635">
        <v>10.569347135282831</v>
      </c>
      <c r="BQ400" s="635">
        <v>10.645223056761001</v>
      </c>
      <c r="BR400" s="635">
        <v>10.704981347272684</v>
      </c>
      <c r="BS400" s="635">
        <v>10.76507509841923</v>
      </c>
      <c r="BT400" s="635">
        <v>10.825506193350853</v>
      </c>
      <c r="BU400" s="635">
        <v>10.886276525789068</v>
      </c>
      <c r="BV400" s="635">
        <v>10.947388000086022</v>
      </c>
      <c r="BW400" s="634">
        <v>9.120659449235184</v>
      </c>
      <c r="BX400" s="634">
        <v>9.2429365321025596</v>
      </c>
      <c r="BY400" s="634">
        <v>9.3668529355780326</v>
      </c>
      <c r="BZ400" s="635">
        <v>9.3052699871881952</v>
      </c>
      <c r="CA400" s="635">
        <v>9.2440919196647986</v>
      </c>
      <c r="CB400" s="635">
        <v>9.3104540122004913</v>
      </c>
      <c r="CC400" s="635">
        <v>9.377292509272614</v>
      </c>
      <c r="CD400" s="635">
        <v>9.4446108309252583</v>
      </c>
      <c r="CE400" s="635">
        <v>9.5124124217545489</v>
      </c>
      <c r="CF400" s="635">
        <v>9.5807007510849029</v>
      </c>
      <c r="CG400" s="635">
        <v>9.6344832125454154</v>
      </c>
      <c r="CH400" s="635">
        <v>9.6885675885773068</v>
      </c>
      <c r="CI400" s="635">
        <v>9.7429555740157685</v>
      </c>
      <c r="CJ400" s="635">
        <v>9.7976488732101625</v>
      </c>
      <c r="CK400" s="635">
        <v>9.8526492000774208</v>
      </c>
      <c r="CL400" s="634">
        <v>0</v>
      </c>
      <c r="CM400" s="634">
        <v>0</v>
      </c>
      <c r="CN400" s="634">
        <v>0</v>
      </c>
      <c r="CO400" s="635">
        <v>0</v>
      </c>
      <c r="CP400" s="635">
        <v>0</v>
      </c>
      <c r="CQ400" s="635">
        <v>0</v>
      </c>
      <c r="CR400" s="635">
        <v>0</v>
      </c>
      <c r="CS400" s="635">
        <v>0</v>
      </c>
      <c r="CT400" s="635">
        <v>0</v>
      </c>
      <c r="CU400" s="635">
        <v>0</v>
      </c>
      <c r="CV400" s="635">
        <v>0</v>
      </c>
      <c r="CW400" s="635">
        <v>0</v>
      </c>
      <c r="CX400" s="635">
        <v>0</v>
      </c>
      <c r="CY400" s="635">
        <v>0</v>
      </c>
      <c r="CZ400" s="635">
        <v>0</v>
      </c>
      <c r="DA400" s="636">
        <v>0</v>
      </c>
      <c r="DB400" s="636">
        <v>0</v>
      </c>
      <c r="DC400" s="636">
        <v>0</v>
      </c>
      <c r="DD400" s="637">
        <v>0</v>
      </c>
      <c r="DE400" s="637">
        <v>0</v>
      </c>
      <c r="DF400" s="637">
        <v>0</v>
      </c>
      <c r="DG400" s="637">
        <v>0</v>
      </c>
      <c r="DH400" s="637">
        <v>0</v>
      </c>
      <c r="DI400" s="637">
        <v>0</v>
      </c>
      <c r="DJ400" s="637">
        <v>0</v>
      </c>
      <c r="DK400" s="637">
        <v>0</v>
      </c>
      <c r="DL400" s="637">
        <v>0</v>
      </c>
      <c r="DM400" s="637">
        <v>0</v>
      </c>
      <c r="DN400" s="637">
        <v>0</v>
      </c>
      <c r="DO400" s="637">
        <v>0</v>
      </c>
      <c r="DP400" s="636">
        <v>0</v>
      </c>
      <c r="DQ400" s="636">
        <v>0</v>
      </c>
      <c r="DR400" s="636">
        <v>0</v>
      </c>
      <c r="DS400" s="637">
        <v>0</v>
      </c>
      <c r="DT400" s="637">
        <v>0</v>
      </c>
      <c r="DU400" s="637">
        <v>0</v>
      </c>
      <c r="DV400" s="637">
        <v>0</v>
      </c>
      <c r="DW400" s="637">
        <v>0</v>
      </c>
      <c r="DX400" s="637">
        <v>0</v>
      </c>
      <c r="DY400" s="637">
        <v>0</v>
      </c>
      <c r="DZ400" s="637">
        <v>0</v>
      </c>
      <c r="EA400" s="637">
        <v>0</v>
      </c>
      <c r="EB400" s="637">
        <v>0</v>
      </c>
      <c r="EC400" s="637">
        <v>0</v>
      </c>
      <c r="ED400" s="637">
        <v>0</v>
      </c>
    </row>
    <row r="401" spans="1:134" ht="15" x14ac:dyDescent="0.25">
      <c r="A401" s="555">
        <v>115</v>
      </c>
      <c r="B401" s="555">
        <v>105</v>
      </c>
      <c r="C401" s="555" t="s">
        <v>1384</v>
      </c>
      <c r="D401" s="812">
        <v>99712</v>
      </c>
      <c r="E401" s="812">
        <v>99712</v>
      </c>
      <c r="F401" s="630" t="s">
        <v>989</v>
      </c>
      <c r="G401" s="45">
        <v>61</v>
      </c>
      <c r="H401" s="45">
        <v>26</v>
      </c>
      <c r="I401" s="45">
        <v>25</v>
      </c>
      <c r="J401" s="45">
        <v>1</v>
      </c>
      <c r="K401" s="45">
        <v>1</v>
      </c>
      <c r="L401" s="45">
        <v>28</v>
      </c>
      <c r="M401" s="45">
        <v>29</v>
      </c>
      <c r="N401" s="45">
        <v>1</v>
      </c>
      <c r="O401" s="45">
        <v>0</v>
      </c>
      <c r="P401" s="45">
        <v>0</v>
      </c>
      <c r="Q401" s="45">
        <v>30</v>
      </c>
      <c r="R401" s="45">
        <v>7920</v>
      </c>
      <c r="S401" s="45">
        <v>1929.7142857142858</v>
      </c>
      <c r="T401" s="45">
        <v>2136.2758620689656</v>
      </c>
      <c r="U401" s="45">
        <v>5797</v>
      </c>
      <c r="V401" s="45">
        <v>0</v>
      </c>
      <c r="W401" s="45">
        <v>0</v>
      </c>
      <c r="X401" s="45">
        <v>2258.3000000000002</v>
      </c>
      <c r="Y401" s="45">
        <v>0.89655172413793105</v>
      </c>
      <c r="Z401" s="45">
        <v>25.103448275862068</v>
      </c>
      <c r="AA401" s="45">
        <v>0</v>
      </c>
      <c r="AB401" s="508">
        <v>1</v>
      </c>
      <c r="AC401" s="508">
        <v>0</v>
      </c>
      <c r="AD401" s="631">
        <v>27</v>
      </c>
      <c r="AE401" s="632">
        <v>0.86206896551724144</v>
      </c>
      <c r="AF401" s="632">
        <v>24.137931034482758</v>
      </c>
      <c r="AG401" s="633">
        <v>25</v>
      </c>
      <c r="AH401" s="632">
        <v>0</v>
      </c>
      <c r="AI401" s="632">
        <v>0.81506794392376536</v>
      </c>
      <c r="AJ401" s="632">
        <v>22.821902429865428</v>
      </c>
      <c r="AK401" s="632">
        <v>23.636970373789193</v>
      </c>
      <c r="AL401" s="632">
        <v>0</v>
      </c>
      <c r="AM401" s="632">
        <v>0.78659837102405972</v>
      </c>
      <c r="AN401" s="632">
        <v>22.024754388673671</v>
      </c>
      <c r="AO401" s="632">
        <v>22.81135275969773</v>
      </c>
      <c r="AP401" s="632">
        <v>0</v>
      </c>
      <c r="AQ401" s="632">
        <v>0.92984135081383867</v>
      </c>
      <c r="AR401" s="632">
        <v>0</v>
      </c>
      <c r="AS401" s="632">
        <v>21.488706478899541</v>
      </c>
      <c r="AT401" s="632">
        <v>22.537256230801486</v>
      </c>
      <c r="AU401" s="632">
        <v>23.636970373789193</v>
      </c>
      <c r="AV401" s="632">
        <v>24.790345494133781</v>
      </c>
      <c r="AW401" s="632">
        <v>26</v>
      </c>
      <c r="AX401" s="632">
        <v>20.814312589094772</v>
      </c>
      <c r="AY401" s="632">
        <v>21.789966198240379</v>
      </c>
      <c r="AZ401" s="632">
        <v>22.81135275969773</v>
      </c>
      <c r="BA401" s="632">
        <v>23.880615967609447</v>
      </c>
      <c r="BB401" s="632">
        <v>25</v>
      </c>
      <c r="BC401" s="632">
        <v>0.86460493768330426</v>
      </c>
      <c r="BD401" s="632">
        <v>0.89663003695825327</v>
      </c>
      <c r="BE401" s="632">
        <v>0.92984135081383867</v>
      </c>
      <c r="BF401" s="632">
        <v>0.96428281681975381</v>
      </c>
      <c r="BG401" s="632">
        <v>1</v>
      </c>
      <c r="BH401" s="634">
        <v>26.348571742234974</v>
      </c>
      <c r="BI401" s="634">
        <v>26.701816648296283</v>
      </c>
      <c r="BJ401" s="634">
        <v>27.059797369447647</v>
      </c>
      <c r="BK401" s="635">
        <v>26.881891074099229</v>
      </c>
      <c r="BL401" s="635">
        <v>26.705154434587193</v>
      </c>
      <c r="BM401" s="635">
        <v>26.896867146356971</v>
      </c>
      <c r="BN401" s="635">
        <v>27.08995613789866</v>
      </c>
      <c r="BO401" s="635">
        <v>27.284431289339633</v>
      </c>
      <c r="BP401" s="635">
        <v>27.48030255173536</v>
      </c>
      <c r="BQ401" s="635">
        <v>27.677579947578604</v>
      </c>
      <c r="BR401" s="635">
        <v>27.832951502908976</v>
      </c>
      <c r="BS401" s="635">
        <v>27.989195255889996</v>
      </c>
      <c r="BT401" s="635">
        <v>28.14631610271222</v>
      </c>
      <c r="BU401" s="635">
        <v>28.304318967051575</v>
      </c>
      <c r="BV401" s="635">
        <v>28.463208800223658</v>
      </c>
      <c r="BW401" s="634">
        <v>25.335165136764399</v>
      </c>
      <c r="BX401" s="634">
        <v>25.67482370028489</v>
      </c>
      <c r="BY401" s="634">
        <v>26.019035932161199</v>
      </c>
      <c r="BZ401" s="635">
        <v>25.847972186633871</v>
      </c>
      <c r="CA401" s="635">
        <v>25.678033110179996</v>
      </c>
      <c r="CB401" s="635">
        <v>25.862372256112472</v>
      </c>
      <c r="CC401" s="635">
        <v>26.048034747979479</v>
      </c>
      <c r="CD401" s="635">
        <v>26.235030085903492</v>
      </c>
      <c r="CE401" s="635">
        <v>26.423367838207074</v>
      </c>
      <c r="CF401" s="635">
        <v>26.613057641902504</v>
      </c>
      <c r="CG401" s="635">
        <v>26.76245336818171</v>
      </c>
      <c r="CH401" s="635">
        <v>26.912687746048075</v>
      </c>
      <c r="CI401" s="635">
        <v>27.063765483377132</v>
      </c>
      <c r="CJ401" s="635">
        <v>27.215691314472668</v>
      </c>
      <c r="CK401" s="635">
        <v>27.368470000215055</v>
      </c>
      <c r="CL401" s="634">
        <v>1.0134066054705759</v>
      </c>
      <c r="CM401" s="634">
        <v>1.0269929480113955</v>
      </c>
      <c r="CN401" s="634">
        <v>1.040761437286448</v>
      </c>
      <c r="CO401" s="635">
        <v>1.0339188874653549</v>
      </c>
      <c r="CP401" s="635">
        <v>1.0271213244071997</v>
      </c>
      <c r="CQ401" s="635">
        <v>1.034494890244499</v>
      </c>
      <c r="CR401" s="635">
        <v>1.0419213899191793</v>
      </c>
      <c r="CS401" s="635">
        <v>1.0494012034361397</v>
      </c>
      <c r="CT401" s="635">
        <v>1.0569347135282832</v>
      </c>
      <c r="CU401" s="635">
        <v>1.0645223056761002</v>
      </c>
      <c r="CV401" s="635">
        <v>1.0704981347272684</v>
      </c>
      <c r="CW401" s="635">
        <v>1.076507509841923</v>
      </c>
      <c r="CX401" s="635">
        <v>1.0825506193350853</v>
      </c>
      <c r="CY401" s="635">
        <v>1.0886276525789067</v>
      </c>
      <c r="CZ401" s="635">
        <v>1.0947388000086022</v>
      </c>
      <c r="DA401" s="636">
        <v>0</v>
      </c>
      <c r="DB401" s="636">
        <v>0</v>
      </c>
      <c r="DC401" s="636">
        <v>0</v>
      </c>
      <c r="DD401" s="637">
        <v>0</v>
      </c>
      <c r="DE401" s="637">
        <v>0</v>
      </c>
      <c r="DF401" s="637">
        <v>0</v>
      </c>
      <c r="DG401" s="637">
        <v>0</v>
      </c>
      <c r="DH401" s="637">
        <v>0</v>
      </c>
      <c r="DI401" s="637">
        <v>0</v>
      </c>
      <c r="DJ401" s="637">
        <v>0</v>
      </c>
      <c r="DK401" s="637">
        <v>0</v>
      </c>
      <c r="DL401" s="637">
        <v>0</v>
      </c>
      <c r="DM401" s="637">
        <v>0</v>
      </c>
      <c r="DN401" s="637">
        <v>0</v>
      </c>
      <c r="DO401" s="637">
        <v>0</v>
      </c>
      <c r="DP401" s="636">
        <v>0</v>
      </c>
      <c r="DQ401" s="636">
        <v>0</v>
      </c>
      <c r="DR401" s="636">
        <v>0</v>
      </c>
      <c r="DS401" s="637">
        <v>0</v>
      </c>
      <c r="DT401" s="637">
        <v>0</v>
      </c>
      <c r="DU401" s="637">
        <v>0</v>
      </c>
      <c r="DV401" s="637">
        <v>0</v>
      </c>
      <c r="DW401" s="637">
        <v>0</v>
      </c>
      <c r="DX401" s="637">
        <v>0</v>
      </c>
      <c r="DY401" s="637">
        <v>0</v>
      </c>
      <c r="DZ401" s="637">
        <v>0</v>
      </c>
      <c r="EA401" s="637">
        <v>0</v>
      </c>
      <c r="EB401" s="637">
        <v>0</v>
      </c>
      <c r="EC401" s="637">
        <v>0</v>
      </c>
      <c r="ED401" s="637">
        <v>0</v>
      </c>
    </row>
    <row r="402" spans="1:134" ht="15" x14ac:dyDescent="0.25">
      <c r="A402" s="555">
        <v>148</v>
      </c>
      <c r="B402" s="555">
        <v>105</v>
      </c>
      <c r="C402" s="555" t="s">
        <v>1385</v>
      </c>
      <c r="D402" s="812">
        <v>99712</v>
      </c>
      <c r="E402" s="812">
        <v>99712</v>
      </c>
      <c r="F402" s="630" t="s">
        <v>989</v>
      </c>
      <c r="G402" s="45">
        <v>0</v>
      </c>
      <c r="H402" s="45">
        <v>2</v>
      </c>
      <c r="I402" s="45">
        <v>0</v>
      </c>
      <c r="J402" s="45">
        <v>2</v>
      </c>
      <c r="K402" s="45">
        <v>0</v>
      </c>
      <c r="L402" s="45">
        <v>0</v>
      </c>
      <c r="M402" s="45">
        <v>0</v>
      </c>
      <c r="N402" s="45">
        <v>0</v>
      </c>
      <c r="O402" s="45">
        <v>0</v>
      </c>
      <c r="P402" s="45">
        <v>0</v>
      </c>
      <c r="Q402" s="45">
        <v>0</v>
      </c>
      <c r="R402" s="45">
        <v>0</v>
      </c>
      <c r="S402" s="45">
        <v>834.49503068156923</v>
      </c>
      <c r="T402" s="45">
        <v>834.49503068156923</v>
      </c>
      <c r="U402" s="45">
        <v>1408.3846153846155</v>
      </c>
      <c r="V402" s="45">
        <v>0</v>
      </c>
      <c r="W402" s="45">
        <v>0</v>
      </c>
      <c r="X402" s="45">
        <v>1365.173957061457</v>
      </c>
      <c r="Y402" s="45">
        <v>4.5824670824670823E-2</v>
      </c>
      <c r="Z402" s="45">
        <v>1.9515765765765767</v>
      </c>
      <c r="AA402" s="45">
        <v>2.5987525987525989E-3</v>
      </c>
      <c r="AB402" s="508">
        <v>0</v>
      </c>
      <c r="AC402" s="508">
        <v>0</v>
      </c>
      <c r="AD402" s="631">
        <v>2</v>
      </c>
      <c r="AE402" s="632">
        <v>0</v>
      </c>
      <c r="AF402" s="632">
        <v>0</v>
      </c>
      <c r="AG402" s="633">
        <v>0</v>
      </c>
      <c r="AH402" s="632">
        <v>0</v>
      </c>
      <c r="AI402" s="632">
        <v>4.1659861025822545E-2</v>
      </c>
      <c r="AJ402" s="632">
        <v>1.7742060662585184</v>
      </c>
      <c r="AK402" s="632">
        <v>1.8158659272843409</v>
      </c>
      <c r="AL402" s="632">
        <v>2.3625630071354943E-3</v>
      </c>
      <c r="AM402" s="632">
        <v>0</v>
      </c>
      <c r="AN402" s="632">
        <v>0</v>
      </c>
      <c r="AO402" s="632">
        <v>0</v>
      </c>
      <c r="AP402" s="632">
        <v>0</v>
      </c>
      <c r="AQ402" s="632">
        <v>0</v>
      </c>
      <c r="AR402" s="632">
        <v>0</v>
      </c>
      <c r="AS402" s="632">
        <v>1.6508295817689698</v>
      </c>
      <c r="AT402" s="632">
        <v>1.7313824503232471</v>
      </c>
      <c r="AU402" s="632">
        <v>1.8158659272843409</v>
      </c>
      <c r="AV402" s="632">
        <v>1.9044718082111811</v>
      </c>
      <c r="AW402" s="632">
        <v>1.9974012474012475</v>
      </c>
      <c r="AX402" s="632">
        <v>0</v>
      </c>
      <c r="AY402" s="632">
        <v>0</v>
      </c>
      <c r="AZ402" s="632">
        <v>0</v>
      </c>
      <c r="BA402" s="632">
        <v>0</v>
      </c>
      <c r="BB402" s="632">
        <v>0</v>
      </c>
      <c r="BC402" s="632">
        <v>0</v>
      </c>
      <c r="BD402" s="632">
        <v>0</v>
      </c>
      <c r="BE402" s="632">
        <v>0</v>
      </c>
      <c r="BF402" s="632">
        <v>0</v>
      </c>
      <c r="BG402" s="632">
        <v>0</v>
      </c>
      <c r="BH402" s="634">
        <v>2.022683901545177</v>
      </c>
      <c r="BI402" s="634">
        <v>2.0482865778185571</v>
      </c>
      <c r="BJ402" s="634">
        <v>2.0742133269892693</v>
      </c>
      <c r="BK402" s="635">
        <v>2.0605762844154167</v>
      </c>
      <c r="BL402" s="635">
        <v>2.0470288994133008</v>
      </c>
      <c r="BM402" s="635">
        <v>2.0617242445512174</v>
      </c>
      <c r="BN402" s="635">
        <v>2.076525085595315</v>
      </c>
      <c r="BO402" s="635">
        <v>2.0914321798865152</v>
      </c>
      <c r="BP402" s="635">
        <v>2.1064462902025864</v>
      </c>
      <c r="BQ402" s="635">
        <v>2.1215681847971783</v>
      </c>
      <c r="BR402" s="635">
        <v>2.1334778730443333</v>
      </c>
      <c r="BS402" s="635">
        <v>2.145454417815432</v>
      </c>
      <c r="BT402" s="635">
        <v>2.1574981944179301</v>
      </c>
      <c r="BU402" s="635">
        <v>2.1696095802661186</v>
      </c>
      <c r="BV402" s="635">
        <v>2.1817889548929497</v>
      </c>
      <c r="BW402" s="634">
        <v>0</v>
      </c>
      <c r="BX402" s="634">
        <v>0</v>
      </c>
      <c r="BY402" s="634">
        <v>0</v>
      </c>
      <c r="BZ402" s="635">
        <v>0</v>
      </c>
      <c r="CA402" s="635">
        <v>0</v>
      </c>
      <c r="CB402" s="635">
        <v>0</v>
      </c>
      <c r="CC402" s="635">
        <v>0</v>
      </c>
      <c r="CD402" s="635">
        <v>0</v>
      </c>
      <c r="CE402" s="635">
        <v>0</v>
      </c>
      <c r="CF402" s="635">
        <v>0</v>
      </c>
      <c r="CG402" s="635">
        <v>0</v>
      </c>
      <c r="CH402" s="635">
        <v>0</v>
      </c>
      <c r="CI402" s="635">
        <v>0</v>
      </c>
      <c r="CJ402" s="635">
        <v>0</v>
      </c>
      <c r="CK402" s="635">
        <v>0</v>
      </c>
      <c r="CL402" s="634">
        <v>0</v>
      </c>
      <c r="CM402" s="634">
        <v>0</v>
      </c>
      <c r="CN402" s="634">
        <v>0</v>
      </c>
      <c r="CO402" s="635">
        <v>0</v>
      </c>
      <c r="CP402" s="635">
        <v>0</v>
      </c>
      <c r="CQ402" s="635">
        <v>0</v>
      </c>
      <c r="CR402" s="635">
        <v>0</v>
      </c>
      <c r="CS402" s="635">
        <v>0</v>
      </c>
      <c r="CT402" s="635">
        <v>0</v>
      </c>
      <c r="CU402" s="635">
        <v>0</v>
      </c>
      <c r="CV402" s="635">
        <v>0</v>
      </c>
      <c r="CW402" s="635">
        <v>0</v>
      </c>
      <c r="CX402" s="635">
        <v>0</v>
      </c>
      <c r="CY402" s="635">
        <v>0</v>
      </c>
      <c r="CZ402" s="635">
        <v>0</v>
      </c>
      <c r="DA402" s="636">
        <v>2.6316470225672354E-3</v>
      </c>
      <c r="DB402" s="636">
        <v>2.6649578165737148E-3</v>
      </c>
      <c r="DC402" s="636">
        <v>2.6986902510919455E-3</v>
      </c>
      <c r="DD402" s="637">
        <v>2.6809475467283591E-3</v>
      </c>
      <c r="DE402" s="637">
        <v>2.6633214928614372E-3</v>
      </c>
      <c r="DF402" s="637">
        <v>2.6824411196346831E-3</v>
      </c>
      <c r="DG402" s="637">
        <v>2.7016980036368918E-3</v>
      </c>
      <c r="DH402" s="637">
        <v>2.7210931302192494E-3</v>
      </c>
      <c r="DI402" s="637">
        <v>2.7406274918066438E-3</v>
      </c>
      <c r="DJ402" s="637">
        <v>2.7603020879484494E-3</v>
      </c>
      <c r="DK402" s="637">
        <v>2.775797388816463E-3</v>
      </c>
      <c r="DL402" s="637">
        <v>2.7913796744931463E-3</v>
      </c>
      <c r="DM402" s="637">
        <v>2.8070494332785977E-3</v>
      </c>
      <c r="DN402" s="637">
        <v>2.8228071562140496E-3</v>
      </c>
      <c r="DO402" s="637">
        <v>2.8386533370972542E-3</v>
      </c>
      <c r="DP402" s="636">
        <v>0</v>
      </c>
      <c r="DQ402" s="636">
        <v>0</v>
      </c>
      <c r="DR402" s="636">
        <v>0</v>
      </c>
      <c r="DS402" s="637">
        <v>0</v>
      </c>
      <c r="DT402" s="637">
        <v>0</v>
      </c>
      <c r="DU402" s="637">
        <v>0</v>
      </c>
      <c r="DV402" s="637">
        <v>0</v>
      </c>
      <c r="DW402" s="637">
        <v>0</v>
      </c>
      <c r="DX402" s="637">
        <v>0</v>
      </c>
      <c r="DY402" s="637">
        <v>0</v>
      </c>
      <c r="DZ402" s="637">
        <v>0</v>
      </c>
      <c r="EA402" s="637">
        <v>0</v>
      </c>
      <c r="EB402" s="637">
        <v>0</v>
      </c>
      <c r="EC402" s="637">
        <v>0</v>
      </c>
      <c r="ED402" s="637">
        <v>0</v>
      </c>
    </row>
    <row r="403" spans="1:134" ht="15" x14ac:dyDescent="0.25">
      <c r="A403" s="555">
        <v>91</v>
      </c>
      <c r="B403" s="555">
        <v>106</v>
      </c>
      <c r="C403" s="555" t="s">
        <v>1386</v>
      </c>
      <c r="D403" s="812">
        <v>99709</v>
      </c>
      <c r="E403" s="812">
        <v>99709</v>
      </c>
      <c r="F403" s="630" t="s">
        <v>989</v>
      </c>
      <c r="G403" s="45">
        <v>41</v>
      </c>
      <c r="H403" s="45">
        <v>60</v>
      </c>
      <c r="I403" s="45">
        <v>23</v>
      </c>
      <c r="J403" s="45">
        <v>37</v>
      </c>
      <c r="K403" s="45">
        <v>0</v>
      </c>
      <c r="L403" s="45">
        <v>0</v>
      </c>
      <c r="M403" s="45">
        <v>0</v>
      </c>
      <c r="N403" s="45">
        <v>0</v>
      </c>
      <c r="O403" s="45">
        <v>0</v>
      </c>
      <c r="P403" s="45">
        <v>0</v>
      </c>
      <c r="Q403" s="45">
        <v>0</v>
      </c>
      <c r="R403" s="45">
        <v>0</v>
      </c>
      <c r="S403" s="45">
        <v>834.49503068156923</v>
      </c>
      <c r="T403" s="45">
        <v>834.49503068156923</v>
      </c>
      <c r="U403" s="45">
        <v>1408.3846153846155</v>
      </c>
      <c r="V403" s="45">
        <v>0</v>
      </c>
      <c r="W403" s="45">
        <v>0</v>
      </c>
      <c r="X403" s="45">
        <v>1365.173957061457</v>
      </c>
      <c r="Y403" s="45">
        <v>1.3747401247401247</v>
      </c>
      <c r="Z403" s="45">
        <v>58.547297297297298</v>
      </c>
      <c r="AA403" s="45">
        <v>7.7962577962577967E-2</v>
      </c>
      <c r="AB403" s="508">
        <v>0</v>
      </c>
      <c r="AC403" s="508">
        <v>0</v>
      </c>
      <c r="AD403" s="631">
        <v>60</v>
      </c>
      <c r="AE403" s="632">
        <v>0.5269837144837145</v>
      </c>
      <c r="AF403" s="632">
        <v>22.44313063063063</v>
      </c>
      <c r="AG403" s="633">
        <v>22.970114345114347</v>
      </c>
      <c r="AH403" s="632">
        <v>2.9885654885654887E-2</v>
      </c>
      <c r="AI403" s="632">
        <v>1.3089703507252965</v>
      </c>
      <c r="AJ403" s="632">
        <v>55.746300626635552</v>
      </c>
      <c r="AK403" s="632">
        <v>57.055270977360848</v>
      </c>
      <c r="AL403" s="632">
        <v>7.423272310351399E-2</v>
      </c>
      <c r="AM403" s="632">
        <v>0.50271855378558894</v>
      </c>
      <c r="AN403" s="632">
        <v>21.409728352052049</v>
      </c>
      <c r="AO403" s="632">
        <v>21.912446905837637</v>
      </c>
      <c r="AP403" s="632">
        <v>2.85095588158179E-2</v>
      </c>
      <c r="AQ403" s="632">
        <v>0</v>
      </c>
      <c r="AR403" s="632">
        <v>0</v>
      </c>
      <c r="AS403" s="632">
        <v>54.325655240535554</v>
      </c>
      <c r="AT403" s="632">
        <v>55.673736903242258</v>
      </c>
      <c r="AU403" s="632">
        <v>57.055270977360841</v>
      </c>
      <c r="AV403" s="632">
        <v>58.471087578647804</v>
      </c>
      <c r="AW403" s="632">
        <v>59.92203742203742</v>
      </c>
      <c r="AX403" s="632">
        <v>20.903480156304951</v>
      </c>
      <c r="AY403" s="632">
        <v>21.402018574710727</v>
      </c>
      <c r="AZ403" s="632">
        <v>21.912446905837637</v>
      </c>
      <c r="BA403" s="632">
        <v>22.435048718653089</v>
      </c>
      <c r="BB403" s="632">
        <v>22.970114345114347</v>
      </c>
      <c r="BC403" s="632">
        <v>0</v>
      </c>
      <c r="BD403" s="632">
        <v>0</v>
      </c>
      <c r="BE403" s="632">
        <v>0</v>
      </c>
      <c r="BF403" s="632">
        <v>0</v>
      </c>
      <c r="BG403" s="632">
        <v>0</v>
      </c>
      <c r="BH403" s="634">
        <v>60.22899578934414</v>
      </c>
      <c r="BI403" s="634">
        <v>60.537526590488454</v>
      </c>
      <c r="BJ403" s="634">
        <v>60.847637880465541</v>
      </c>
      <c r="BK403" s="635">
        <v>60.44759135800939</v>
      </c>
      <c r="BL403" s="635">
        <v>60.050174965919894</v>
      </c>
      <c r="BM403" s="635">
        <v>60.48126709508788</v>
      </c>
      <c r="BN403" s="635">
        <v>60.91545397666809</v>
      </c>
      <c r="BO403" s="635">
        <v>61.352757827471855</v>
      </c>
      <c r="BP403" s="635">
        <v>61.793201023801977</v>
      </c>
      <c r="BQ403" s="635">
        <v>62.236806102597733</v>
      </c>
      <c r="BR403" s="635">
        <v>62.586180194598192</v>
      </c>
      <c r="BS403" s="635">
        <v>62.937515541743402</v>
      </c>
      <c r="BT403" s="635">
        <v>63.290823153784324</v>
      </c>
      <c r="BU403" s="635">
        <v>63.646114102276513</v>
      </c>
      <c r="BV403" s="635">
        <v>64.003399520927076</v>
      </c>
      <c r="BW403" s="634">
        <v>23.087781719248589</v>
      </c>
      <c r="BX403" s="634">
        <v>23.206051859687243</v>
      </c>
      <c r="BY403" s="634">
        <v>23.324927854178458</v>
      </c>
      <c r="BZ403" s="635">
        <v>23.171576687236932</v>
      </c>
      <c r="CA403" s="635">
        <v>23.019233736935959</v>
      </c>
      <c r="CB403" s="635">
        <v>23.184485719783687</v>
      </c>
      <c r="CC403" s="635">
        <v>23.350924024389435</v>
      </c>
      <c r="CD403" s="635">
        <v>23.518557167197546</v>
      </c>
      <c r="CE403" s="635">
        <v>23.687393725790759</v>
      </c>
      <c r="CF403" s="635">
        <v>23.857442339329129</v>
      </c>
      <c r="CG403" s="635">
        <v>23.991369074595976</v>
      </c>
      <c r="CH403" s="635">
        <v>24.126047624334973</v>
      </c>
      <c r="CI403" s="635">
        <v>24.261482208950657</v>
      </c>
      <c r="CJ403" s="635">
        <v>24.397677072539331</v>
      </c>
      <c r="CK403" s="635">
        <v>24.534636483022048</v>
      </c>
      <c r="CL403" s="634">
        <v>0</v>
      </c>
      <c r="CM403" s="634">
        <v>0</v>
      </c>
      <c r="CN403" s="634">
        <v>0</v>
      </c>
      <c r="CO403" s="635">
        <v>0</v>
      </c>
      <c r="CP403" s="635">
        <v>0</v>
      </c>
      <c r="CQ403" s="635">
        <v>0</v>
      </c>
      <c r="CR403" s="635">
        <v>0</v>
      </c>
      <c r="CS403" s="635">
        <v>0</v>
      </c>
      <c r="CT403" s="635">
        <v>0</v>
      </c>
      <c r="CU403" s="635">
        <v>0</v>
      </c>
      <c r="CV403" s="635">
        <v>0</v>
      </c>
      <c r="CW403" s="635">
        <v>0</v>
      </c>
      <c r="CX403" s="635">
        <v>0</v>
      </c>
      <c r="CY403" s="635">
        <v>0</v>
      </c>
      <c r="CZ403" s="635">
        <v>0</v>
      </c>
      <c r="DA403" s="636">
        <v>7.8361951326234899E-2</v>
      </c>
      <c r="DB403" s="636">
        <v>7.8763370531470797E-2</v>
      </c>
      <c r="DC403" s="636">
        <v>7.9166846058373069E-2</v>
      </c>
      <c r="DD403" s="637">
        <v>7.8646358779611486E-2</v>
      </c>
      <c r="DE403" s="637">
        <v>7.8129293476346465E-2</v>
      </c>
      <c r="DF403" s="637">
        <v>7.8690173165610042E-2</v>
      </c>
      <c r="DG403" s="637">
        <v>7.9255079334722991E-2</v>
      </c>
      <c r="DH403" s="637">
        <v>7.9824040889242595E-2</v>
      </c>
      <c r="DI403" s="637">
        <v>8.0397086942235199E-2</v>
      </c>
      <c r="DJ403" s="637">
        <v>8.0974246815765982E-2</v>
      </c>
      <c r="DK403" s="637">
        <v>8.1428805873794169E-2</v>
      </c>
      <c r="DL403" s="637">
        <v>8.188591665592429E-2</v>
      </c>
      <c r="DM403" s="637">
        <v>8.2345593486578619E-2</v>
      </c>
      <c r="DN403" s="637">
        <v>8.2807850770591357E-2</v>
      </c>
      <c r="DO403" s="637">
        <v>8.3272702993660005E-2</v>
      </c>
      <c r="DP403" s="636">
        <v>0</v>
      </c>
      <c r="DQ403" s="636">
        <v>0</v>
      </c>
      <c r="DR403" s="636">
        <v>0</v>
      </c>
      <c r="DS403" s="637">
        <v>0</v>
      </c>
      <c r="DT403" s="637">
        <v>0</v>
      </c>
      <c r="DU403" s="637">
        <v>0</v>
      </c>
      <c r="DV403" s="637">
        <v>0</v>
      </c>
      <c r="DW403" s="637">
        <v>0</v>
      </c>
      <c r="DX403" s="637">
        <v>0</v>
      </c>
      <c r="DY403" s="637">
        <v>0</v>
      </c>
      <c r="DZ403" s="637">
        <v>0</v>
      </c>
      <c r="EA403" s="637">
        <v>0</v>
      </c>
      <c r="EB403" s="637">
        <v>0</v>
      </c>
      <c r="EC403" s="637">
        <v>0</v>
      </c>
      <c r="ED403" s="637">
        <v>0</v>
      </c>
    </row>
    <row r="404" spans="1:134" ht="15" x14ac:dyDescent="0.25">
      <c r="A404" s="555">
        <v>114</v>
      </c>
      <c r="B404" s="555">
        <v>106</v>
      </c>
      <c r="C404" s="555" t="s">
        <v>1387</v>
      </c>
      <c r="D404" s="812">
        <v>99712</v>
      </c>
      <c r="E404" s="812">
        <v>99712</v>
      </c>
      <c r="F404" s="630" t="s">
        <v>989</v>
      </c>
      <c r="G404" s="45">
        <v>9</v>
      </c>
      <c r="H404" s="45">
        <v>2</v>
      </c>
      <c r="I404" s="45">
        <v>2</v>
      </c>
      <c r="J404" s="45">
        <v>0</v>
      </c>
      <c r="K404" s="45">
        <v>0</v>
      </c>
      <c r="L404" s="45">
        <v>0</v>
      </c>
      <c r="M404" s="45">
        <v>0</v>
      </c>
      <c r="N404" s="45">
        <v>0</v>
      </c>
      <c r="O404" s="45">
        <v>0</v>
      </c>
      <c r="P404" s="45">
        <v>0</v>
      </c>
      <c r="Q404" s="45">
        <v>0</v>
      </c>
      <c r="R404" s="45">
        <v>0</v>
      </c>
      <c r="S404" s="45">
        <v>834.49503068156923</v>
      </c>
      <c r="T404" s="45">
        <v>834.49503068156923</v>
      </c>
      <c r="U404" s="45">
        <v>1408.3846153846155</v>
      </c>
      <c r="V404" s="45">
        <v>0</v>
      </c>
      <c r="W404" s="45">
        <v>0</v>
      </c>
      <c r="X404" s="45">
        <v>1365.173957061457</v>
      </c>
      <c r="Y404" s="45">
        <v>4.5824670824670823E-2</v>
      </c>
      <c r="Z404" s="45">
        <v>1.9515765765765767</v>
      </c>
      <c r="AA404" s="45">
        <v>2.5987525987525989E-3</v>
      </c>
      <c r="AB404" s="508">
        <v>0</v>
      </c>
      <c r="AC404" s="508">
        <v>0</v>
      </c>
      <c r="AD404" s="631">
        <v>2</v>
      </c>
      <c r="AE404" s="632">
        <v>4.5824670824670823E-2</v>
      </c>
      <c r="AF404" s="632">
        <v>1.9515765765765767</v>
      </c>
      <c r="AG404" s="633">
        <v>1.9974012474012475</v>
      </c>
      <c r="AH404" s="632">
        <v>2.5987525987525989E-3</v>
      </c>
      <c r="AI404" s="632">
        <v>4.1659861025822545E-2</v>
      </c>
      <c r="AJ404" s="632">
        <v>1.7742060662585184</v>
      </c>
      <c r="AK404" s="632">
        <v>1.8158659272843409</v>
      </c>
      <c r="AL404" s="632">
        <v>2.3625630071354943E-3</v>
      </c>
      <c r="AM404" s="632">
        <v>4.1812909251143796E-2</v>
      </c>
      <c r="AN404" s="632">
        <v>1.7807240690340618</v>
      </c>
      <c r="AO404" s="632">
        <v>1.8225369782852057</v>
      </c>
      <c r="AP404" s="632">
        <v>2.3712424906130701E-3</v>
      </c>
      <c r="AQ404" s="632">
        <v>0</v>
      </c>
      <c r="AR404" s="632">
        <v>0</v>
      </c>
      <c r="AS404" s="632">
        <v>1.6508295817689698</v>
      </c>
      <c r="AT404" s="632">
        <v>1.7313824503232471</v>
      </c>
      <c r="AU404" s="632">
        <v>1.8158659272843409</v>
      </c>
      <c r="AV404" s="632">
        <v>1.9044718082111811</v>
      </c>
      <c r="AW404" s="632">
        <v>1.9974012474012475</v>
      </c>
      <c r="AX404" s="632">
        <v>1.6629813571702954</v>
      </c>
      <c r="AY404" s="632">
        <v>1.740932226607854</v>
      </c>
      <c r="AZ404" s="632">
        <v>1.8225369782852054</v>
      </c>
      <c r="BA404" s="632">
        <v>1.9079668848965303</v>
      </c>
      <c r="BB404" s="632">
        <v>1.9974012474012475</v>
      </c>
      <c r="BC404" s="632">
        <v>0</v>
      </c>
      <c r="BD404" s="632">
        <v>0</v>
      </c>
      <c r="BE404" s="632">
        <v>0</v>
      </c>
      <c r="BF404" s="632">
        <v>0</v>
      </c>
      <c r="BG404" s="632">
        <v>0</v>
      </c>
      <c r="BH404" s="634">
        <v>2.0241796178915923</v>
      </c>
      <c r="BI404" s="634">
        <v>2.0513169954302457</v>
      </c>
      <c r="BJ404" s="634">
        <v>2.0788181930830665</v>
      </c>
      <c r="BK404" s="635">
        <v>2.0651508755350103</v>
      </c>
      <c r="BL404" s="635">
        <v>2.0515734146033622</v>
      </c>
      <c r="BM404" s="635">
        <v>2.066301384204579</v>
      </c>
      <c r="BN404" s="635">
        <v>2.08113508391861</v>
      </c>
      <c r="BO404" s="635">
        <v>2.0960752727677159</v>
      </c>
      <c r="BP404" s="635">
        <v>2.1111227152230727</v>
      </c>
      <c r="BQ404" s="635">
        <v>2.1262781812438947</v>
      </c>
      <c r="BR404" s="635">
        <v>2.1382143096449546</v>
      </c>
      <c r="BS404" s="635">
        <v>2.1502174429950678</v>
      </c>
      <c r="BT404" s="635">
        <v>2.1622879574348928</v>
      </c>
      <c r="BU404" s="635">
        <v>2.1744262312166005</v>
      </c>
      <c r="BV404" s="635">
        <v>2.1866326447157269</v>
      </c>
      <c r="BW404" s="634">
        <v>2.0241796178915923</v>
      </c>
      <c r="BX404" s="634">
        <v>2.0513169954302457</v>
      </c>
      <c r="BY404" s="634">
        <v>2.0788181930830665</v>
      </c>
      <c r="BZ404" s="635">
        <v>2.0651508755350103</v>
      </c>
      <c r="CA404" s="635">
        <v>2.0515734146033622</v>
      </c>
      <c r="CB404" s="635">
        <v>2.066301384204579</v>
      </c>
      <c r="CC404" s="635">
        <v>2.08113508391861</v>
      </c>
      <c r="CD404" s="635">
        <v>2.0960752727677159</v>
      </c>
      <c r="CE404" s="635">
        <v>2.1111227152230727</v>
      </c>
      <c r="CF404" s="635">
        <v>2.1262781812438947</v>
      </c>
      <c r="CG404" s="635">
        <v>2.1382143096449546</v>
      </c>
      <c r="CH404" s="635">
        <v>2.1502174429950678</v>
      </c>
      <c r="CI404" s="635">
        <v>2.1622879574348928</v>
      </c>
      <c r="CJ404" s="635">
        <v>2.1744262312166005</v>
      </c>
      <c r="CK404" s="635">
        <v>2.1866326447157269</v>
      </c>
      <c r="CL404" s="634">
        <v>0</v>
      </c>
      <c r="CM404" s="634">
        <v>0</v>
      </c>
      <c r="CN404" s="634">
        <v>0</v>
      </c>
      <c r="CO404" s="635">
        <v>0</v>
      </c>
      <c r="CP404" s="635">
        <v>0</v>
      </c>
      <c r="CQ404" s="635">
        <v>0</v>
      </c>
      <c r="CR404" s="635">
        <v>0</v>
      </c>
      <c r="CS404" s="635">
        <v>0</v>
      </c>
      <c r="CT404" s="635">
        <v>0</v>
      </c>
      <c r="CU404" s="635">
        <v>0</v>
      </c>
      <c r="CV404" s="635">
        <v>0</v>
      </c>
      <c r="CW404" s="635">
        <v>0</v>
      </c>
      <c r="CX404" s="635">
        <v>0</v>
      </c>
      <c r="CY404" s="635">
        <v>0</v>
      </c>
      <c r="CZ404" s="635">
        <v>0</v>
      </c>
      <c r="DA404" s="636">
        <v>2.6335930495597088E-3</v>
      </c>
      <c r="DB404" s="636">
        <v>2.6689005925452066E-3</v>
      </c>
      <c r="DC404" s="636">
        <v>2.7046814898296465E-3</v>
      </c>
      <c r="DD404" s="637">
        <v>2.6868993956999871E-3</v>
      </c>
      <c r="DE404" s="637">
        <v>2.6692342110374214E-3</v>
      </c>
      <c r="DF404" s="637">
        <v>2.6883962844191757E-3</v>
      </c>
      <c r="DG404" s="637">
        <v>2.7076959197483868E-3</v>
      </c>
      <c r="DH404" s="637">
        <v>2.7271341045637726E-3</v>
      </c>
      <c r="DI404" s="637">
        <v>2.7467118334934589E-3</v>
      </c>
      <c r="DJ404" s="637">
        <v>2.7664301083058737E-3</v>
      </c>
      <c r="DK404" s="637">
        <v>2.7819598095822984E-3</v>
      </c>
      <c r="DL404" s="637">
        <v>2.7975766887783859E-3</v>
      </c>
      <c r="DM404" s="637">
        <v>2.8132812352782881E-3</v>
      </c>
      <c r="DN404" s="637">
        <v>2.8290739412133751E-3</v>
      </c>
      <c r="DO404" s="637">
        <v>2.8449553014776568E-3</v>
      </c>
      <c r="DP404" s="636">
        <v>0</v>
      </c>
      <c r="DQ404" s="636">
        <v>0</v>
      </c>
      <c r="DR404" s="636">
        <v>0</v>
      </c>
      <c r="DS404" s="637">
        <v>0</v>
      </c>
      <c r="DT404" s="637">
        <v>0</v>
      </c>
      <c r="DU404" s="637">
        <v>0</v>
      </c>
      <c r="DV404" s="637">
        <v>0</v>
      </c>
      <c r="DW404" s="637">
        <v>0</v>
      </c>
      <c r="DX404" s="637">
        <v>0</v>
      </c>
      <c r="DY404" s="637">
        <v>0</v>
      </c>
      <c r="DZ404" s="637">
        <v>0</v>
      </c>
      <c r="EA404" s="637">
        <v>0</v>
      </c>
      <c r="EB404" s="637">
        <v>0</v>
      </c>
      <c r="EC404" s="637">
        <v>0</v>
      </c>
      <c r="ED404" s="637">
        <v>0</v>
      </c>
    </row>
    <row r="405" spans="1:134" ht="15" x14ac:dyDescent="0.25">
      <c r="A405" s="555">
        <v>116</v>
      </c>
      <c r="B405" s="555">
        <v>106</v>
      </c>
      <c r="C405" s="555" t="s">
        <v>1388</v>
      </c>
      <c r="D405" s="812">
        <v>99712</v>
      </c>
      <c r="E405" s="812">
        <v>99712</v>
      </c>
      <c r="F405" s="630" t="s">
        <v>989</v>
      </c>
      <c r="G405" s="45">
        <v>33</v>
      </c>
      <c r="H405" s="45">
        <v>13</v>
      </c>
      <c r="I405" s="45">
        <v>12</v>
      </c>
      <c r="J405" s="45">
        <v>1</v>
      </c>
      <c r="K405" s="45">
        <v>0</v>
      </c>
      <c r="L405" s="45">
        <v>4</v>
      </c>
      <c r="M405" s="45">
        <v>4</v>
      </c>
      <c r="N405" s="45">
        <v>0</v>
      </c>
      <c r="O405" s="45">
        <v>0</v>
      </c>
      <c r="P405" s="45">
        <v>0</v>
      </c>
      <c r="Q405" s="45">
        <v>4</v>
      </c>
      <c r="R405" s="45">
        <v>0</v>
      </c>
      <c r="S405" s="45">
        <v>2319.5</v>
      </c>
      <c r="T405" s="45">
        <v>2319.5</v>
      </c>
      <c r="U405" s="45">
        <v>0</v>
      </c>
      <c r="V405" s="45">
        <v>0</v>
      </c>
      <c r="W405" s="45">
        <v>0</v>
      </c>
      <c r="X405" s="45">
        <v>2319.5</v>
      </c>
      <c r="Y405" s="45">
        <v>0</v>
      </c>
      <c r="Z405" s="45">
        <v>13</v>
      </c>
      <c r="AA405" s="45">
        <v>0</v>
      </c>
      <c r="AB405" s="508">
        <v>0</v>
      </c>
      <c r="AC405" s="508">
        <v>0</v>
      </c>
      <c r="AD405" s="631">
        <v>13</v>
      </c>
      <c r="AE405" s="632">
        <v>0</v>
      </c>
      <c r="AF405" s="632">
        <v>12</v>
      </c>
      <c r="AG405" s="633">
        <v>12</v>
      </c>
      <c r="AH405" s="632">
        <v>0</v>
      </c>
      <c r="AI405" s="632">
        <v>0</v>
      </c>
      <c r="AJ405" s="632">
        <v>11.818485186894597</v>
      </c>
      <c r="AK405" s="632">
        <v>11.818485186894597</v>
      </c>
      <c r="AL405" s="632">
        <v>0</v>
      </c>
      <c r="AM405" s="632">
        <v>0</v>
      </c>
      <c r="AN405" s="632">
        <v>10.94944932465491</v>
      </c>
      <c r="AO405" s="632">
        <v>10.94944932465491</v>
      </c>
      <c r="AP405" s="632">
        <v>0</v>
      </c>
      <c r="AQ405" s="632">
        <v>0</v>
      </c>
      <c r="AR405" s="632">
        <v>0</v>
      </c>
      <c r="AS405" s="632">
        <v>10.74435323944977</v>
      </c>
      <c r="AT405" s="632">
        <v>11.268628115400743</v>
      </c>
      <c r="AU405" s="632">
        <v>11.818485186894597</v>
      </c>
      <c r="AV405" s="632">
        <v>12.395172747066891</v>
      </c>
      <c r="AW405" s="632">
        <v>13</v>
      </c>
      <c r="AX405" s="632">
        <v>9.99087004276549</v>
      </c>
      <c r="AY405" s="632">
        <v>10.459183775155381</v>
      </c>
      <c r="AZ405" s="632">
        <v>10.94944932465491</v>
      </c>
      <c r="BA405" s="632">
        <v>11.462695664452534</v>
      </c>
      <c r="BB405" s="632">
        <v>12</v>
      </c>
      <c r="BC405" s="632">
        <v>0</v>
      </c>
      <c r="BD405" s="632">
        <v>0</v>
      </c>
      <c r="BE405" s="632">
        <v>0</v>
      </c>
      <c r="BF405" s="632">
        <v>0</v>
      </c>
      <c r="BG405" s="632">
        <v>0</v>
      </c>
      <c r="BH405" s="634">
        <v>13.164551065690336</v>
      </c>
      <c r="BI405" s="634">
        <v>13.331184981628351</v>
      </c>
      <c r="BJ405" s="634">
        <v>13.499928112062348</v>
      </c>
      <c r="BK405" s="635">
        <v>13.411172007753944</v>
      </c>
      <c r="BL405" s="635">
        <v>13.322999435890052</v>
      </c>
      <c r="BM405" s="635">
        <v>13.418643456860538</v>
      </c>
      <c r="BN405" s="635">
        <v>13.514974093393187</v>
      </c>
      <c r="BO405" s="635">
        <v>13.611996274608773</v>
      </c>
      <c r="BP405" s="635">
        <v>13.709714965013555</v>
      </c>
      <c r="BQ405" s="635">
        <v>13.808135164753322</v>
      </c>
      <c r="BR405" s="635">
        <v>13.885648857815474</v>
      </c>
      <c r="BS405" s="635">
        <v>13.963597683684513</v>
      </c>
      <c r="BT405" s="635">
        <v>14.041984085032857</v>
      </c>
      <c r="BU405" s="635">
        <v>14.120810518245161</v>
      </c>
      <c r="BV405" s="635">
        <v>14.200079453495302</v>
      </c>
      <c r="BW405" s="634">
        <v>12.151893291406465</v>
      </c>
      <c r="BX405" s="634">
        <v>12.305709213810786</v>
      </c>
      <c r="BY405" s="634">
        <v>12.461472103442167</v>
      </c>
      <c r="BZ405" s="635">
        <v>12.379543391772872</v>
      </c>
      <c r="CA405" s="635">
        <v>12.298153325436973</v>
      </c>
      <c r="CB405" s="635">
        <v>12.386440114025111</v>
      </c>
      <c r="CC405" s="635">
        <v>12.475360701593711</v>
      </c>
      <c r="CD405" s="635">
        <v>12.564919638100406</v>
      </c>
      <c r="CE405" s="635">
        <v>12.65512150616636</v>
      </c>
      <c r="CF405" s="635">
        <v>12.745970921310759</v>
      </c>
      <c r="CG405" s="635">
        <v>12.817522022598899</v>
      </c>
      <c r="CH405" s="635">
        <v>12.889474784939551</v>
      </c>
      <c r="CI405" s="635">
        <v>12.961831463107252</v>
      </c>
      <c r="CJ405" s="635">
        <v>13.034594324533995</v>
      </c>
      <c r="CK405" s="635">
        <v>13.10776564938028</v>
      </c>
      <c r="CL405" s="634">
        <v>0</v>
      </c>
      <c r="CM405" s="634">
        <v>0</v>
      </c>
      <c r="CN405" s="634">
        <v>0</v>
      </c>
      <c r="CO405" s="635">
        <v>0</v>
      </c>
      <c r="CP405" s="635">
        <v>0</v>
      </c>
      <c r="CQ405" s="635">
        <v>0</v>
      </c>
      <c r="CR405" s="635">
        <v>0</v>
      </c>
      <c r="CS405" s="635">
        <v>0</v>
      </c>
      <c r="CT405" s="635">
        <v>0</v>
      </c>
      <c r="CU405" s="635">
        <v>0</v>
      </c>
      <c r="CV405" s="635">
        <v>0</v>
      </c>
      <c r="CW405" s="635">
        <v>0</v>
      </c>
      <c r="CX405" s="635">
        <v>0</v>
      </c>
      <c r="CY405" s="635">
        <v>0</v>
      </c>
      <c r="CZ405" s="635">
        <v>0</v>
      </c>
      <c r="DA405" s="636">
        <v>0</v>
      </c>
      <c r="DB405" s="636">
        <v>0</v>
      </c>
      <c r="DC405" s="636">
        <v>0</v>
      </c>
      <c r="DD405" s="637">
        <v>0</v>
      </c>
      <c r="DE405" s="637">
        <v>0</v>
      </c>
      <c r="DF405" s="637">
        <v>0</v>
      </c>
      <c r="DG405" s="637">
        <v>0</v>
      </c>
      <c r="DH405" s="637">
        <v>0</v>
      </c>
      <c r="DI405" s="637">
        <v>0</v>
      </c>
      <c r="DJ405" s="637">
        <v>0</v>
      </c>
      <c r="DK405" s="637">
        <v>0</v>
      </c>
      <c r="DL405" s="637">
        <v>0</v>
      </c>
      <c r="DM405" s="637">
        <v>0</v>
      </c>
      <c r="DN405" s="637">
        <v>0</v>
      </c>
      <c r="DO405" s="637">
        <v>0</v>
      </c>
      <c r="DP405" s="636">
        <v>0</v>
      </c>
      <c r="DQ405" s="636">
        <v>0</v>
      </c>
      <c r="DR405" s="636">
        <v>0</v>
      </c>
      <c r="DS405" s="637">
        <v>0</v>
      </c>
      <c r="DT405" s="637">
        <v>0</v>
      </c>
      <c r="DU405" s="637">
        <v>0</v>
      </c>
      <c r="DV405" s="637">
        <v>0</v>
      </c>
      <c r="DW405" s="637">
        <v>0</v>
      </c>
      <c r="DX405" s="637">
        <v>0</v>
      </c>
      <c r="DY405" s="637">
        <v>0</v>
      </c>
      <c r="DZ405" s="637">
        <v>0</v>
      </c>
      <c r="EA405" s="637">
        <v>0</v>
      </c>
      <c r="EB405" s="637">
        <v>0</v>
      </c>
      <c r="EC405" s="637">
        <v>0</v>
      </c>
      <c r="ED405" s="637">
        <v>0</v>
      </c>
    </row>
    <row r="406" spans="1:134" ht="15" x14ac:dyDescent="0.25">
      <c r="A406" s="555">
        <v>116</v>
      </c>
      <c r="B406" s="555">
        <v>107</v>
      </c>
      <c r="C406" s="555" t="s">
        <v>1389</v>
      </c>
      <c r="D406" s="812">
        <v>99712</v>
      </c>
      <c r="E406" s="812">
        <v>99712</v>
      </c>
      <c r="F406" s="630" t="s">
        <v>989</v>
      </c>
      <c r="G406" s="45">
        <v>7</v>
      </c>
      <c r="H406" s="45">
        <v>5</v>
      </c>
      <c r="I406" s="45">
        <v>5</v>
      </c>
      <c r="J406" s="45">
        <v>0</v>
      </c>
      <c r="K406" s="45">
        <v>0</v>
      </c>
      <c r="L406" s="45">
        <v>1</v>
      </c>
      <c r="M406" s="45">
        <v>1</v>
      </c>
      <c r="N406" s="45">
        <v>0</v>
      </c>
      <c r="O406" s="45">
        <v>0</v>
      </c>
      <c r="P406" s="45">
        <v>0</v>
      </c>
      <c r="Q406" s="45">
        <v>1</v>
      </c>
      <c r="R406" s="45">
        <v>0</v>
      </c>
      <c r="S406" s="45">
        <v>1540</v>
      </c>
      <c r="T406" s="45">
        <v>1540</v>
      </c>
      <c r="U406" s="45">
        <v>0</v>
      </c>
      <c r="V406" s="45">
        <v>0</v>
      </c>
      <c r="W406" s="45">
        <v>0</v>
      </c>
      <c r="X406" s="45">
        <v>1540</v>
      </c>
      <c r="Y406" s="45">
        <v>0</v>
      </c>
      <c r="Z406" s="45">
        <v>5</v>
      </c>
      <c r="AA406" s="45">
        <v>0</v>
      </c>
      <c r="AB406" s="508">
        <v>0</v>
      </c>
      <c r="AC406" s="508">
        <v>0</v>
      </c>
      <c r="AD406" s="631">
        <v>5</v>
      </c>
      <c r="AE406" s="632">
        <v>0</v>
      </c>
      <c r="AF406" s="632">
        <v>5</v>
      </c>
      <c r="AG406" s="633">
        <v>5</v>
      </c>
      <c r="AH406" s="632">
        <v>0</v>
      </c>
      <c r="AI406" s="632">
        <v>0</v>
      </c>
      <c r="AJ406" s="632">
        <v>4.5455712257286907</v>
      </c>
      <c r="AK406" s="632">
        <v>4.5455712257286907</v>
      </c>
      <c r="AL406" s="632">
        <v>0</v>
      </c>
      <c r="AM406" s="632">
        <v>0</v>
      </c>
      <c r="AN406" s="632">
        <v>4.5622705519395463</v>
      </c>
      <c r="AO406" s="632">
        <v>4.5622705519395463</v>
      </c>
      <c r="AP406" s="632">
        <v>0</v>
      </c>
      <c r="AQ406" s="632">
        <v>0</v>
      </c>
      <c r="AR406" s="632">
        <v>0</v>
      </c>
      <c r="AS406" s="632">
        <v>4.132443553634527</v>
      </c>
      <c r="AT406" s="632">
        <v>4.3340877366925934</v>
      </c>
      <c r="AU406" s="632">
        <v>4.5455712257286907</v>
      </c>
      <c r="AV406" s="632">
        <v>4.7673741334872659</v>
      </c>
      <c r="AW406" s="632">
        <v>5</v>
      </c>
      <c r="AX406" s="632">
        <v>4.1628625178189544</v>
      </c>
      <c r="AY406" s="632">
        <v>4.3579932396480761</v>
      </c>
      <c r="AZ406" s="632">
        <v>4.5622705519395463</v>
      </c>
      <c r="BA406" s="632">
        <v>4.7761231935218893</v>
      </c>
      <c r="BB406" s="632">
        <v>5</v>
      </c>
      <c r="BC406" s="632">
        <v>0</v>
      </c>
      <c r="BD406" s="632">
        <v>0</v>
      </c>
      <c r="BE406" s="632">
        <v>0</v>
      </c>
      <c r="BF406" s="632">
        <v>0</v>
      </c>
      <c r="BG406" s="632">
        <v>0</v>
      </c>
      <c r="BH406" s="634">
        <v>5.0670330273528794</v>
      </c>
      <c r="BI406" s="634">
        <v>5.1349647400569776</v>
      </c>
      <c r="BJ406" s="634">
        <v>5.2038071864322397</v>
      </c>
      <c r="BK406" s="635">
        <v>5.1695944373267748</v>
      </c>
      <c r="BL406" s="635">
        <v>5.1356066220359988</v>
      </c>
      <c r="BM406" s="635">
        <v>5.1724744512224943</v>
      </c>
      <c r="BN406" s="635">
        <v>5.2096069495958961</v>
      </c>
      <c r="BO406" s="635">
        <v>5.2470060171806985</v>
      </c>
      <c r="BP406" s="635">
        <v>5.2846735676414154</v>
      </c>
      <c r="BQ406" s="635">
        <v>5.3226115283805004</v>
      </c>
      <c r="BR406" s="635">
        <v>5.3524906736363418</v>
      </c>
      <c r="BS406" s="635">
        <v>5.3825375492096148</v>
      </c>
      <c r="BT406" s="635">
        <v>5.4127530966754263</v>
      </c>
      <c r="BU406" s="635">
        <v>5.443138262894534</v>
      </c>
      <c r="BV406" s="635">
        <v>5.473694000043011</v>
      </c>
      <c r="BW406" s="634">
        <v>5.0670330273528794</v>
      </c>
      <c r="BX406" s="634">
        <v>5.1349647400569776</v>
      </c>
      <c r="BY406" s="634">
        <v>5.2038071864322397</v>
      </c>
      <c r="BZ406" s="635">
        <v>5.1695944373267748</v>
      </c>
      <c r="CA406" s="635">
        <v>5.1356066220359988</v>
      </c>
      <c r="CB406" s="635">
        <v>5.1724744512224943</v>
      </c>
      <c r="CC406" s="635">
        <v>5.2096069495958961</v>
      </c>
      <c r="CD406" s="635">
        <v>5.2470060171806985</v>
      </c>
      <c r="CE406" s="635">
        <v>5.2846735676414154</v>
      </c>
      <c r="CF406" s="635">
        <v>5.3226115283805004</v>
      </c>
      <c r="CG406" s="635">
        <v>5.3524906736363418</v>
      </c>
      <c r="CH406" s="635">
        <v>5.3825375492096148</v>
      </c>
      <c r="CI406" s="635">
        <v>5.4127530966754263</v>
      </c>
      <c r="CJ406" s="635">
        <v>5.443138262894534</v>
      </c>
      <c r="CK406" s="635">
        <v>5.473694000043011</v>
      </c>
      <c r="CL406" s="634">
        <v>0</v>
      </c>
      <c r="CM406" s="634">
        <v>0</v>
      </c>
      <c r="CN406" s="634">
        <v>0</v>
      </c>
      <c r="CO406" s="635">
        <v>0</v>
      </c>
      <c r="CP406" s="635">
        <v>0</v>
      </c>
      <c r="CQ406" s="635">
        <v>0</v>
      </c>
      <c r="CR406" s="635">
        <v>0</v>
      </c>
      <c r="CS406" s="635">
        <v>0</v>
      </c>
      <c r="CT406" s="635">
        <v>0</v>
      </c>
      <c r="CU406" s="635">
        <v>0</v>
      </c>
      <c r="CV406" s="635">
        <v>0</v>
      </c>
      <c r="CW406" s="635">
        <v>0</v>
      </c>
      <c r="CX406" s="635">
        <v>0</v>
      </c>
      <c r="CY406" s="635">
        <v>0</v>
      </c>
      <c r="CZ406" s="635">
        <v>0</v>
      </c>
      <c r="DA406" s="636">
        <v>0</v>
      </c>
      <c r="DB406" s="636">
        <v>0</v>
      </c>
      <c r="DC406" s="636">
        <v>0</v>
      </c>
      <c r="DD406" s="637">
        <v>0</v>
      </c>
      <c r="DE406" s="637">
        <v>0</v>
      </c>
      <c r="DF406" s="637">
        <v>0</v>
      </c>
      <c r="DG406" s="637">
        <v>0</v>
      </c>
      <c r="DH406" s="637">
        <v>0</v>
      </c>
      <c r="DI406" s="637">
        <v>0</v>
      </c>
      <c r="DJ406" s="637">
        <v>0</v>
      </c>
      <c r="DK406" s="637">
        <v>0</v>
      </c>
      <c r="DL406" s="637">
        <v>0</v>
      </c>
      <c r="DM406" s="637">
        <v>0</v>
      </c>
      <c r="DN406" s="637">
        <v>0</v>
      </c>
      <c r="DO406" s="637">
        <v>0</v>
      </c>
      <c r="DP406" s="636">
        <v>0</v>
      </c>
      <c r="DQ406" s="636">
        <v>0</v>
      </c>
      <c r="DR406" s="636">
        <v>0</v>
      </c>
      <c r="DS406" s="637">
        <v>0</v>
      </c>
      <c r="DT406" s="637">
        <v>0</v>
      </c>
      <c r="DU406" s="637">
        <v>0</v>
      </c>
      <c r="DV406" s="637">
        <v>0</v>
      </c>
      <c r="DW406" s="637">
        <v>0</v>
      </c>
      <c r="DX406" s="637">
        <v>0</v>
      </c>
      <c r="DY406" s="637">
        <v>0</v>
      </c>
      <c r="DZ406" s="637">
        <v>0</v>
      </c>
      <c r="EA406" s="637">
        <v>0</v>
      </c>
      <c r="EB406" s="637">
        <v>0</v>
      </c>
      <c r="EC406" s="637">
        <v>0</v>
      </c>
      <c r="ED406" s="637">
        <v>0</v>
      </c>
    </row>
    <row r="407" spans="1:134" ht="15" x14ac:dyDescent="0.25">
      <c r="A407" s="555">
        <v>111</v>
      </c>
      <c r="B407" s="555">
        <v>108</v>
      </c>
      <c r="C407" s="555" t="s">
        <v>1390</v>
      </c>
      <c r="D407" s="812">
        <v>99712</v>
      </c>
      <c r="E407" s="812">
        <v>99712</v>
      </c>
      <c r="F407" s="630" t="s">
        <v>989</v>
      </c>
      <c r="G407" s="45">
        <v>7</v>
      </c>
      <c r="H407" s="45">
        <v>9</v>
      </c>
      <c r="I407" s="45">
        <v>4</v>
      </c>
      <c r="J407" s="45">
        <v>5</v>
      </c>
      <c r="K407" s="45">
        <v>0</v>
      </c>
      <c r="L407" s="45">
        <v>0</v>
      </c>
      <c r="M407" s="45">
        <v>0</v>
      </c>
      <c r="N407" s="45">
        <v>0</v>
      </c>
      <c r="O407" s="45">
        <v>0</v>
      </c>
      <c r="P407" s="45">
        <v>0</v>
      </c>
      <c r="Q407" s="45">
        <v>0</v>
      </c>
      <c r="R407" s="45">
        <v>0</v>
      </c>
      <c r="S407" s="45">
        <v>834.49503068156923</v>
      </c>
      <c r="T407" s="45">
        <v>834.49503068156923</v>
      </c>
      <c r="U407" s="45">
        <v>1408.3846153846155</v>
      </c>
      <c r="V407" s="45">
        <v>0</v>
      </c>
      <c r="W407" s="45">
        <v>0</v>
      </c>
      <c r="X407" s="45">
        <v>1365.173957061457</v>
      </c>
      <c r="Y407" s="45">
        <v>0.20621101871101871</v>
      </c>
      <c r="Z407" s="45">
        <v>8.7820945945945947</v>
      </c>
      <c r="AA407" s="45">
        <v>1.1694386694386695E-2</v>
      </c>
      <c r="AB407" s="508">
        <v>0</v>
      </c>
      <c r="AC407" s="508">
        <v>0</v>
      </c>
      <c r="AD407" s="631">
        <v>9</v>
      </c>
      <c r="AE407" s="632">
        <v>9.1649341649341645E-2</v>
      </c>
      <c r="AF407" s="632">
        <v>3.9031531531531534</v>
      </c>
      <c r="AG407" s="633">
        <v>3.9948024948024949</v>
      </c>
      <c r="AH407" s="632">
        <v>5.1975051975051978E-3</v>
      </c>
      <c r="AI407" s="632">
        <v>0.18746937461620147</v>
      </c>
      <c r="AJ407" s="632">
        <v>7.9839272981633327</v>
      </c>
      <c r="AK407" s="632">
        <v>8.1713966727795349</v>
      </c>
      <c r="AL407" s="632">
        <v>1.0631533532109725E-2</v>
      </c>
      <c r="AM407" s="632">
        <v>8.3625818502287591E-2</v>
      </c>
      <c r="AN407" s="632">
        <v>3.5614481380681235</v>
      </c>
      <c r="AO407" s="632">
        <v>3.6450739565704113</v>
      </c>
      <c r="AP407" s="632">
        <v>4.7424849812261402E-3</v>
      </c>
      <c r="AQ407" s="632">
        <v>0</v>
      </c>
      <c r="AR407" s="632">
        <v>0</v>
      </c>
      <c r="AS407" s="632">
        <v>7.4287331179603626</v>
      </c>
      <c r="AT407" s="632">
        <v>7.791221026454612</v>
      </c>
      <c r="AU407" s="632">
        <v>8.1713966727795331</v>
      </c>
      <c r="AV407" s="632">
        <v>8.5701231369503148</v>
      </c>
      <c r="AW407" s="632">
        <v>8.988305613305613</v>
      </c>
      <c r="AX407" s="632">
        <v>3.3259627143405908</v>
      </c>
      <c r="AY407" s="632">
        <v>3.4818644532157079</v>
      </c>
      <c r="AZ407" s="632">
        <v>3.6450739565704109</v>
      </c>
      <c r="BA407" s="632">
        <v>3.8159337697930606</v>
      </c>
      <c r="BB407" s="632">
        <v>3.9948024948024949</v>
      </c>
      <c r="BC407" s="632">
        <v>0</v>
      </c>
      <c r="BD407" s="632">
        <v>0</v>
      </c>
      <c r="BE407" s="632">
        <v>0</v>
      </c>
      <c r="BF407" s="632">
        <v>0</v>
      </c>
      <c r="BG407" s="632">
        <v>0</v>
      </c>
      <c r="BH407" s="634">
        <v>9.1088082805121644</v>
      </c>
      <c r="BI407" s="634">
        <v>9.2309264794361052</v>
      </c>
      <c r="BJ407" s="634">
        <v>9.3546818688737989</v>
      </c>
      <c r="BK407" s="635">
        <v>9.2931789399075448</v>
      </c>
      <c r="BL407" s="635">
        <v>9.2320803657151309</v>
      </c>
      <c r="BM407" s="635">
        <v>9.2983562289206052</v>
      </c>
      <c r="BN407" s="635">
        <v>9.3651078776337453</v>
      </c>
      <c r="BO407" s="635">
        <v>9.4323387274547201</v>
      </c>
      <c r="BP407" s="635">
        <v>9.5000522185038268</v>
      </c>
      <c r="BQ407" s="635">
        <v>9.5682518155975256</v>
      </c>
      <c r="BR407" s="635">
        <v>9.6219643934022958</v>
      </c>
      <c r="BS407" s="635">
        <v>9.675978493477805</v>
      </c>
      <c r="BT407" s="635">
        <v>9.7302958084570168</v>
      </c>
      <c r="BU407" s="635">
        <v>9.784918040474702</v>
      </c>
      <c r="BV407" s="635">
        <v>9.8398469012207723</v>
      </c>
      <c r="BW407" s="634">
        <v>4.0483592357831846</v>
      </c>
      <c r="BX407" s="634">
        <v>4.1026339908604914</v>
      </c>
      <c r="BY407" s="634">
        <v>4.157636386166133</v>
      </c>
      <c r="BZ407" s="635">
        <v>4.1303017510700206</v>
      </c>
      <c r="CA407" s="635">
        <v>4.1031468292067244</v>
      </c>
      <c r="CB407" s="635">
        <v>4.132602768409158</v>
      </c>
      <c r="CC407" s="635">
        <v>4.16227016783722</v>
      </c>
      <c r="CD407" s="635">
        <v>4.1921505455354318</v>
      </c>
      <c r="CE407" s="635">
        <v>4.2222454304461454</v>
      </c>
      <c r="CF407" s="635">
        <v>4.2525563624877893</v>
      </c>
      <c r="CG407" s="635">
        <v>4.2764286192899092</v>
      </c>
      <c r="CH407" s="635">
        <v>4.3004348859901356</v>
      </c>
      <c r="CI407" s="635">
        <v>4.3245759148697855</v>
      </c>
      <c r="CJ407" s="635">
        <v>4.348852462433201</v>
      </c>
      <c r="CK407" s="635">
        <v>4.3732652894314539</v>
      </c>
      <c r="CL407" s="634">
        <v>0</v>
      </c>
      <c r="CM407" s="634">
        <v>0</v>
      </c>
      <c r="CN407" s="634">
        <v>0</v>
      </c>
      <c r="CO407" s="635">
        <v>0</v>
      </c>
      <c r="CP407" s="635">
        <v>0</v>
      </c>
      <c r="CQ407" s="635">
        <v>0</v>
      </c>
      <c r="CR407" s="635">
        <v>0</v>
      </c>
      <c r="CS407" s="635">
        <v>0</v>
      </c>
      <c r="CT407" s="635">
        <v>0</v>
      </c>
      <c r="CU407" s="635">
        <v>0</v>
      </c>
      <c r="CV407" s="635">
        <v>0</v>
      </c>
      <c r="CW407" s="635">
        <v>0</v>
      </c>
      <c r="CX407" s="635">
        <v>0</v>
      </c>
      <c r="CY407" s="635">
        <v>0</v>
      </c>
      <c r="CZ407" s="635">
        <v>0</v>
      </c>
      <c r="DA407" s="636">
        <v>1.1851168723018691E-2</v>
      </c>
      <c r="DB407" s="636">
        <v>1.2010052666453431E-2</v>
      </c>
      <c r="DC407" s="636">
        <v>1.2171066704233411E-2</v>
      </c>
      <c r="DD407" s="637">
        <v>1.2091047280649943E-2</v>
      </c>
      <c r="DE407" s="637">
        <v>1.2011553949668399E-2</v>
      </c>
      <c r="DF407" s="637">
        <v>1.2097783279886294E-2</v>
      </c>
      <c r="DG407" s="637">
        <v>1.2184631638867741E-2</v>
      </c>
      <c r="DH407" s="637">
        <v>1.2272103470536979E-2</v>
      </c>
      <c r="DI407" s="637">
        <v>1.2360203250720568E-2</v>
      </c>
      <c r="DJ407" s="637">
        <v>1.2448935487376432E-2</v>
      </c>
      <c r="DK407" s="637">
        <v>1.2518819143120344E-2</v>
      </c>
      <c r="DL407" s="637">
        <v>1.2589095099502739E-2</v>
      </c>
      <c r="DM407" s="637">
        <v>1.26597655587523E-2</v>
      </c>
      <c r="DN407" s="637">
        <v>1.273083273546019E-2</v>
      </c>
      <c r="DO407" s="637">
        <v>1.2802298856649456E-2</v>
      </c>
      <c r="DP407" s="636">
        <v>0</v>
      </c>
      <c r="DQ407" s="636">
        <v>0</v>
      </c>
      <c r="DR407" s="636">
        <v>0</v>
      </c>
      <c r="DS407" s="637">
        <v>0</v>
      </c>
      <c r="DT407" s="637">
        <v>0</v>
      </c>
      <c r="DU407" s="637">
        <v>0</v>
      </c>
      <c r="DV407" s="637">
        <v>0</v>
      </c>
      <c r="DW407" s="637">
        <v>0</v>
      </c>
      <c r="DX407" s="637">
        <v>0</v>
      </c>
      <c r="DY407" s="637">
        <v>0</v>
      </c>
      <c r="DZ407" s="637">
        <v>0</v>
      </c>
      <c r="EA407" s="637">
        <v>0</v>
      </c>
      <c r="EB407" s="637">
        <v>0</v>
      </c>
      <c r="EC407" s="637">
        <v>0</v>
      </c>
      <c r="ED407" s="637">
        <v>0</v>
      </c>
    </row>
    <row r="408" spans="1:134" ht="15" x14ac:dyDescent="0.25">
      <c r="A408" s="555">
        <v>117</v>
      </c>
      <c r="B408" s="555">
        <v>108</v>
      </c>
      <c r="C408" s="555" t="s">
        <v>1391</v>
      </c>
      <c r="D408" s="812">
        <v>99712</v>
      </c>
      <c r="E408" s="812">
        <v>99712</v>
      </c>
      <c r="F408" s="630" t="s">
        <v>989</v>
      </c>
      <c r="G408" s="45">
        <v>18</v>
      </c>
      <c r="H408" s="45">
        <v>8</v>
      </c>
      <c r="I408" s="45">
        <v>6</v>
      </c>
      <c r="J408" s="45">
        <v>2</v>
      </c>
      <c r="K408" s="45">
        <v>0</v>
      </c>
      <c r="L408" s="45">
        <v>6</v>
      </c>
      <c r="M408" s="45">
        <v>6</v>
      </c>
      <c r="N408" s="45">
        <v>0</v>
      </c>
      <c r="O408" s="45">
        <v>0</v>
      </c>
      <c r="P408" s="45">
        <v>0</v>
      </c>
      <c r="Q408" s="45">
        <v>6</v>
      </c>
      <c r="R408" s="45">
        <v>0</v>
      </c>
      <c r="S408" s="45">
        <v>1739.8333333333333</v>
      </c>
      <c r="T408" s="45">
        <v>1739.8333333333333</v>
      </c>
      <c r="U408" s="45">
        <v>0</v>
      </c>
      <c r="V408" s="45">
        <v>0</v>
      </c>
      <c r="W408" s="45">
        <v>0</v>
      </c>
      <c r="X408" s="45">
        <v>1739.8333333333333</v>
      </c>
      <c r="Y408" s="45">
        <v>0</v>
      </c>
      <c r="Z408" s="45">
        <v>8</v>
      </c>
      <c r="AA408" s="45">
        <v>0</v>
      </c>
      <c r="AB408" s="508">
        <v>0</v>
      </c>
      <c r="AC408" s="508">
        <v>0</v>
      </c>
      <c r="AD408" s="631">
        <v>8</v>
      </c>
      <c r="AE408" s="632">
        <v>0</v>
      </c>
      <c r="AF408" s="632">
        <v>6</v>
      </c>
      <c r="AG408" s="633">
        <v>6</v>
      </c>
      <c r="AH408" s="632">
        <v>0</v>
      </c>
      <c r="AI408" s="632">
        <v>0</v>
      </c>
      <c r="AJ408" s="632">
        <v>7.2729139611659059</v>
      </c>
      <c r="AK408" s="632">
        <v>7.2729139611659059</v>
      </c>
      <c r="AL408" s="632">
        <v>0</v>
      </c>
      <c r="AM408" s="632">
        <v>0</v>
      </c>
      <c r="AN408" s="632">
        <v>5.4747246623274552</v>
      </c>
      <c r="AO408" s="632">
        <v>5.4747246623274552</v>
      </c>
      <c r="AP408" s="632">
        <v>0</v>
      </c>
      <c r="AQ408" s="632">
        <v>0</v>
      </c>
      <c r="AR408" s="632">
        <v>0</v>
      </c>
      <c r="AS408" s="632">
        <v>6.6119096858152435</v>
      </c>
      <c r="AT408" s="632">
        <v>6.9345403787081503</v>
      </c>
      <c r="AU408" s="632">
        <v>7.2729139611659059</v>
      </c>
      <c r="AV408" s="632">
        <v>7.6277986135796247</v>
      </c>
      <c r="AW408" s="632">
        <v>8</v>
      </c>
      <c r="AX408" s="632">
        <v>4.995435021382745</v>
      </c>
      <c r="AY408" s="632">
        <v>5.2295918875776906</v>
      </c>
      <c r="AZ408" s="632">
        <v>5.4747246623274552</v>
      </c>
      <c r="BA408" s="632">
        <v>5.731347832226267</v>
      </c>
      <c r="BB408" s="632">
        <v>6</v>
      </c>
      <c r="BC408" s="632">
        <v>0</v>
      </c>
      <c r="BD408" s="632">
        <v>0</v>
      </c>
      <c r="BE408" s="632">
        <v>0</v>
      </c>
      <c r="BF408" s="632">
        <v>0</v>
      </c>
      <c r="BG408" s="632">
        <v>0</v>
      </c>
      <c r="BH408" s="634">
        <v>8.1072528437646074</v>
      </c>
      <c r="BI408" s="634">
        <v>8.2159435840911641</v>
      </c>
      <c r="BJ408" s="634">
        <v>8.3260914982915839</v>
      </c>
      <c r="BK408" s="635">
        <v>8.271351099722839</v>
      </c>
      <c r="BL408" s="635">
        <v>8.2169705952575978</v>
      </c>
      <c r="BM408" s="635">
        <v>8.2759591219559923</v>
      </c>
      <c r="BN408" s="635">
        <v>8.3353711193534341</v>
      </c>
      <c r="BO408" s="635">
        <v>8.3952096274891179</v>
      </c>
      <c r="BP408" s="635">
        <v>8.4554777082262653</v>
      </c>
      <c r="BQ408" s="635">
        <v>8.5161784454088014</v>
      </c>
      <c r="BR408" s="635">
        <v>8.5639850778181472</v>
      </c>
      <c r="BS408" s="635">
        <v>8.612060078735384</v>
      </c>
      <c r="BT408" s="635">
        <v>8.6604049546806827</v>
      </c>
      <c r="BU408" s="635">
        <v>8.7090212206312536</v>
      </c>
      <c r="BV408" s="635">
        <v>8.7579104000688179</v>
      </c>
      <c r="BW408" s="634">
        <v>6.080439632823456</v>
      </c>
      <c r="BX408" s="634">
        <v>6.1619576880683731</v>
      </c>
      <c r="BY408" s="634">
        <v>6.2445686237186884</v>
      </c>
      <c r="BZ408" s="635">
        <v>6.2035133247921301</v>
      </c>
      <c r="CA408" s="635">
        <v>6.1627279464431997</v>
      </c>
      <c r="CB408" s="635">
        <v>6.2069693414669942</v>
      </c>
      <c r="CC408" s="635">
        <v>6.251528339515076</v>
      </c>
      <c r="CD408" s="635">
        <v>6.2964072206168389</v>
      </c>
      <c r="CE408" s="635">
        <v>6.341608281169699</v>
      </c>
      <c r="CF408" s="635">
        <v>6.3871338340566011</v>
      </c>
      <c r="CG408" s="635">
        <v>6.4229888083636109</v>
      </c>
      <c r="CH408" s="635">
        <v>6.4590450590515385</v>
      </c>
      <c r="CI408" s="635">
        <v>6.4953037160105129</v>
      </c>
      <c r="CJ408" s="635">
        <v>6.5317659154734411</v>
      </c>
      <c r="CK408" s="635">
        <v>6.5684328000516139</v>
      </c>
      <c r="CL408" s="634">
        <v>0</v>
      </c>
      <c r="CM408" s="634">
        <v>0</v>
      </c>
      <c r="CN408" s="634">
        <v>0</v>
      </c>
      <c r="CO408" s="635">
        <v>0</v>
      </c>
      <c r="CP408" s="635">
        <v>0</v>
      </c>
      <c r="CQ408" s="635">
        <v>0</v>
      </c>
      <c r="CR408" s="635">
        <v>0</v>
      </c>
      <c r="CS408" s="635">
        <v>0</v>
      </c>
      <c r="CT408" s="635">
        <v>0</v>
      </c>
      <c r="CU408" s="635">
        <v>0</v>
      </c>
      <c r="CV408" s="635">
        <v>0</v>
      </c>
      <c r="CW408" s="635">
        <v>0</v>
      </c>
      <c r="CX408" s="635">
        <v>0</v>
      </c>
      <c r="CY408" s="635">
        <v>0</v>
      </c>
      <c r="CZ408" s="635">
        <v>0</v>
      </c>
      <c r="DA408" s="636">
        <v>0</v>
      </c>
      <c r="DB408" s="636">
        <v>0</v>
      </c>
      <c r="DC408" s="636">
        <v>0</v>
      </c>
      <c r="DD408" s="637">
        <v>0</v>
      </c>
      <c r="DE408" s="637">
        <v>0</v>
      </c>
      <c r="DF408" s="637">
        <v>0</v>
      </c>
      <c r="DG408" s="637">
        <v>0</v>
      </c>
      <c r="DH408" s="637">
        <v>0</v>
      </c>
      <c r="DI408" s="637">
        <v>0</v>
      </c>
      <c r="DJ408" s="637">
        <v>0</v>
      </c>
      <c r="DK408" s="637">
        <v>0</v>
      </c>
      <c r="DL408" s="637">
        <v>0</v>
      </c>
      <c r="DM408" s="637">
        <v>0</v>
      </c>
      <c r="DN408" s="637">
        <v>0</v>
      </c>
      <c r="DO408" s="637">
        <v>0</v>
      </c>
      <c r="DP408" s="636">
        <v>0</v>
      </c>
      <c r="DQ408" s="636">
        <v>0</v>
      </c>
      <c r="DR408" s="636">
        <v>0</v>
      </c>
      <c r="DS408" s="637">
        <v>0</v>
      </c>
      <c r="DT408" s="637">
        <v>0</v>
      </c>
      <c r="DU408" s="637">
        <v>0</v>
      </c>
      <c r="DV408" s="637">
        <v>0</v>
      </c>
      <c r="DW408" s="637">
        <v>0</v>
      </c>
      <c r="DX408" s="637">
        <v>0</v>
      </c>
      <c r="DY408" s="637">
        <v>0</v>
      </c>
      <c r="DZ408" s="637">
        <v>0</v>
      </c>
      <c r="EA408" s="637">
        <v>0</v>
      </c>
      <c r="EB408" s="637">
        <v>0</v>
      </c>
      <c r="EC408" s="637">
        <v>0</v>
      </c>
      <c r="ED408" s="637">
        <v>0</v>
      </c>
    </row>
    <row r="409" spans="1:134" ht="15" x14ac:dyDescent="0.25">
      <c r="A409" s="555">
        <v>118</v>
      </c>
      <c r="B409" s="555">
        <v>108</v>
      </c>
      <c r="C409" s="555" t="s">
        <v>1392</v>
      </c>
      <c r="D409" s="812">
        <v>99712</v>
      </c>
      <c r="E409" s="812">
        <v>99712</v>
      </c>
      <c r="F409" s="630" t="s">
        <v>989</v>
      </c>
      <c r="G409" s="45">
        <v>3</v>
      </c>
      <c r="H409" s="45">
        <v>2</v>
      </c>
      <c r="I409" s="45">
        <v>2</v>
      </c>
      <c r="J409" s="45">
        <v>0</v>
      </c>
      <c r="K409" s="45">
        <v>0</v>
      </c>
      <c r="L409" s="45">
        <v>0</v>
      </c>
      <c r="M409" s="45">
        <v>0</v>
      </c>
      <c r="N409" s="45">
        <v>0</v>
      </c>
      <c r="O409" s="45">
        <v>0</v>
      </c>
      <c r="P409" s="45">
        <v>0</v>
      </c>
      <c r="Q409" s="45">
        <v>0</v>
      </c>
      <c r="R409" s="45">
        <v>0</v>
      </c>
      <c r="S409" s="45">
        <v>834.49503068156923</v>
      </c>
      <c r="T409" s="45">
        <v>834.49503068156923</v>
      </c>
      <c r="U409" s="45">
        <v>1408.3846153846155</v>
      </c>
      <c r="V409" s="45">
        <v>0</v>
      </c>
      <c r="W409" s="45">
        <v>0</v>
      </c>
      <c r="X409" s="45">
        <v>1365.173957061457</v>
      </c>
      <c r="Y409" s="45">
        <v>4.5824670824670823E-2</v>
      </c>
      <c r="Z409" s="45">
        <v>1.9515765765765767</v>
      </c>
      <c r="AA409" s="45">
        <v>2.5987525987525989E-3</v>
      </c>
      <c r="AB409" s="508">
        <v>0</v>
      </c>
      <c r="AC409" s="508">
        <v>0</v>
      </c>
      <c r="AD409" s="631">
        <v>2</v>
      </c>
      <c r="AE409" s="632">
        <v>4.5824670824670823E-2</v>
      </c>
      <c r="AF409" s="632">
        <v>1.9515765765765767</v>
      </c>
      <c r="AG409" s="633">
        <v>1.9974012474012475</v>
      </c>
      <c r="AH409" s="632">
        <v>2.5987525987525989E-3</v>
      </c>
      <c r="AI409" s="632">
        <v>4.1659861025822545E-2</v>
      </c>
      <c r="AJ409" s="632">
        <v>1.7742060662585184</v>
      </c>
      <c r="AK409" s="632">
        <v>1.8158659272843409</v>
      </c>
      <c r="AL409" s="632">
        <v>2.3625630071354943E-3</v>
      </c>
      <c r="AM409" s="632">
        <v>4.1812909251143796E-2</v>
      </c>
      <c r="AN409" s="632">
        <v>1.7807240690340618</v>
      </c>
      <c r="AO409" s="632">
        <v>1.8225369782852057</v>
      </c>
      <c r="AP409" s="632">
        <v>2.3712424906130701E-3</v>
      </c>
      <c r="AQ409" s="632">
        <v>0</v>
      </c>
      <c r="AR409" s="632">
        <v>0</v>
      </c>
      <c r="AS409" s="632">
        <v>1.6508295817689698</v>
      </c>
      <c r="AT409" s="632">
        <v>1.7313824503232471</v>
      </c>
      <c r="AU409" s="632">
        <v>1.8158659272843409</v>
      </c>
      <c r="AV409" s="632">
        <v>1.9044718082111811</v>
      </c>
      <c r="AW409" s="632">
        <v>1.9974012474012475</v>
      </c>
      <c r="AX409" s="632">
        <v>1.6629813571702954</v>
      </c>
      <c r="AY409" s="632">
        <v>1.740932226607854</v>
      </c>
      <c r="AZ409" s="632">
        <v>1.8225369782852054</v>
      </c>
      <c r="BA409" s="632">
        <v>1.9079668848965303</v>
      </c>
      <c r="BB409" s="632">
        <v>1.9974012474012475</v>
      </c>
      <c r="BC409" s="632">
        <v>0</v>
      </c>
      <c r="BD409" s="632">
        <v>0</v>
      </c>
      <c r="BE409" s="632">
        <v>0</v>
      </c>
      <c r="BF409" s="632">
        <v>0</v>
      </c>
      <c r="BG409" s="632">
        <v>0</v>
      </c>
      <c r="BH409" s="634">
        <v>2.022683901545177</v>
      </c>
      <c r="BI409" s="634">
        <v>2.0482865778185571</v>
      </c>
      <c r="BJ409" s="634">
        <v>2.0742133269892693</v>
      </c>
      <c r="BK409" s="635">
        <v>2.0605762844154167</v>
      </c>
      <c r="BL409" s="635">
        <v>2.0470288994133008</v>
      </c>
      <c r="BM409" s="635">
        <v>2.0617242445512174</v>
      </c>
      <c r="BN409" s="635">
        <v>2.076525085595315</v>
      </c>
      <c r="BO409" s="635">
        <v>2.0914321798865152</v>
      </c>
      <c r="BP409" s="635">
        <v>2.1064462902025864</v>
      </c>
      <c r="BQ409" s="635">
        <v>2.1215681847971783</v>
      </c>
      <c r="BR409" s="635">
        <v>2.1334778730443333</v>
      </c>
      <c r="BS409" s="635">
        <v>2.145454417815432</v>
      </c>
      <c r="BT409" s="635">
        <v>2.1574981944179301</v>
      </c>
      <c r="BU409" s="635">
        <v>2.1696095802661186</v>
      </c>
      <c r="BV409" s="635">
        <v>2.1817889548929497</v>
      </c>
      <c r="BW409" s="634">
        <v>2.022683901545177</v>
      </c>
      <c r="BX409" s="634">
        <v>2.0482865778185571</v>
      </c>
      <c r="BY409" s="634">
        <v>2.0742133269892693</v>
      </c>
      <c r="BZ409" s="635">
        <v>2.0605762844154167</v>
      </c>
      <c r="CA409" s="635">
        <v>2.0470288994133008</v>
      </c>
      <c r="CB409" s="635">
        <v>2.0617242445512174</v>
      </c>
      <c r="CC409" s="635">
        <v>2.076525085595315</v>
      </c>
      <c r="CD409" s="635">
        <v>2.0914321798865152</v>
      </c>
      <c r="CE409" s="635">
        <v>2.1064462902025864</v>
      </c>
      <c r="CF409" s="635">
        <v>2.1215681847971783</v>
      </c>
      <c r="CG409" s="635">
        <v>2.1334778730443333</v>
      </c>
      <c r="CH409" s="635">
        <v>2.145454417815432</v>
      </c>
      <c r="CI409" s="635">
        <v>2.1574981944179301</v>
      </c>
      <c r="CJ409" s="635">
        <v>2.1696095802661186</v>
      </c>
      <c r="CK409" s="635">
        <v>2.1817889548929497</v>
      </c>
      <c r="CL409" s="634">
        <v>0</v>
      </c>
      <c r="CM409" s="634">
        <v>0</v>
      </c>
      <c r="CN409" s="634">
        <v>0</v>
      </c>
      <c r="CO409" s="635">
        <v>0</v>
      </c>
      <c r="CP409" s="635">
        <v>0</v>
      </c>
      <c r="CQ409" s="635">
        <v>0</v>
      </c>
      <c r="CR409" s="635">
        <v>0</v>
      </c>
      <c r="CS409" s="635">
        <v>0</v>
      </c>
      <c r="CT409" s="635">
        <v>0</v>
      </c>
      <c r="CU409" s="635">
        <v>0</v>
      </c>
      <c r="CV409" s="635">
        <v>0</v>
      </c>
      <c r="CW409" s="635">
        <v>0</v>
      </c>
      <c r="CX409" s="635">
        <v>0</v>
      </c>
      <c r="CY409" s="635">
        <v>0</v>
      </c>
      <c r="CZ409" s="635">
        <v>0</v>
      </c>
      <c r="DA409" s="636">
        <v>2.6316470225672354E-3</v>
      </c>
      <c r="DB409" s="636">
        <v>2.6649578165737148E-3</v>
      </c>
      <c r="DC409" s="636">
        <v>2.6986902510919455E-3</v>
      </c>
      <c r="DD409" s="637">
        <v>2.6809475467283591E-3</v>
      </c>
      <c r="DE409" s="637">
        <v>2.6633214928614372E-3</v>
      </c>
      <c r="DF409" s="637">
        <v>2.6824411196346831E-3</v>
      </c>
      <c r="DG409" s="637">
        <v>2.7016980036368918E-3</v>
      </c>
      <c r="DH409" s="637">
        <v>2.7210931302192494E-3</v>
      </c>
      <c r="DI409" s="637">
        <v>2.7406274918066438E-3</v>
      </c>
      <c r="DJ409" s="637">
        <v>2.7603020879484494E-3</v>
      </c>
      <c r="DK409" s="637">
        <v>2.775797388816463E-3</v>
      </c>
      <c r="DL409" s="637">
        <v>2.7913796744931463E-3</v>
      </c>
      <c r="DM409" s="637">
        <v>2.8070494332785977E-3</v>
      </c>
      <c r="DN409" s="637">
        <v>2.8228071562140496E-3</v>
      </c>
      <c r="DO409" s="637">
        <v>2.8386533370972542E-3</v>
      </c>
      <c r="DP409" s="636">
        <v>0</v>
      </c>
      <c r="DQ409" s="636">
        <v>0</v>
      </c>
      <c r="DR409" s="636">
        <v>0</v>
      </c>
      <c r="DS409" s="637">
        <v>0</v>
      </c>
      <c r="DT409" s="637">
        <v>0</v>
      </c>
      <c r="DU409" s="637">
        <v>0</v>
      </c>
      <c r="DV409" s="637">
        <v>0</v>
      </c>
      <c r="DW409" s="637">
        <v>0</v>
      </c>
      <c r="DX409" s="637">
        <v>0</v>
      </c>
      <c r="DY409" s="637">
        <v>0</v>
      </c>
      <c r="DZ409" s="637">
        <v>0</v>
      </c>
      <c r="EA409" s="637">
        <v>0</v>
      </c>
      <c r="EB409" s="637">
        <v>0</v>
      </c>
      <c r="EC409" s="637">
        <v>0</v>
      </c>
      <c r="ED409" s="637">
        <v>0</v>
      </c>
    </row>
    <row r="410" spans="1:134" ht="15" x14ac:dyDescent="0.25">
      <c r="A410" s="555">
        <v>112</v>
      </c>
      <c r="B410" s="555">
        <v>109</v>
      </c>
      <c r="C410" s="555" t="s">
        <v>1393</v>
      </c>
      <c r="D410" s="812">
        <v>99712</v>
      </c>
      <c r="E410" s="812">
        <v>99712</v>
      </c>
      <c r="F410" s="630" t="s">
        <v>989</v>
      </c>
      <c r="G410" s="45">
        <v>6</v>
      </c>
      <c r="H410" s="45">
        <v>4</v>
      </c>
      <c r="I410" s="45">
        <v>3</v>
      </c>
      <c r="J410" s="45">
        <v>1</v>
      </c>
      <c r="K410" s="45">
        <v>0</v>
      </c>
      <c r="L410" s="45">
        <v>2</v>
      </c>
      <c r="M410" s="45">
        <v>2</v>
      </c>
      <c r="N410" s="45">
        <v>2</v>
      </c>
      <c r="O410" s="45">
        <v>0</v>
      </c>
      <c r="P410" s="45">
        <v>0</v>
      </c>
      <c r="Q410" s="45">
        <v>4</v>
      </c>
      <c r="R410" s="45">
        <v>0</v>
      </c>
      <c r="S410" s="45">
        <v>2022</v>
      </c>
      <c r="T410" s="45">
        <v>2022</v>
      </c>
      <c r="U410" s="45">
        <v>2057.5</v>
      </c>
      <c r="V410" s="45">
        <v>0</v>
      </c>
      <c r="W410" s="45">
        <v>0</v>
      </c>
      <c r="X410" s="45">
        <v>2039.75</v>
      </c>
      <c r="Y410" s="45">
        <v>0</v>
      </c>
      <c r="Z410" s="45">
        <v>4</v>
      </c>
      <c r="AA410" s="45">
        <v>0</v>
      </c>
      <c r="AB410" s="508">
        <v>2</v>
      </c>
      <c r="AC410" s="508">
        <v>0</v>
      </c>
      <c r="AD410" s="631">
        <v>6</v>
      </c>
      <c r="AE410" s="632">
        <v>0</v>
      </c>
      <c r="AF410" s="632">
        <v>3</v>
      </c>
      <c r="AG410" s="633">
        <v>3</v>
      </c>
      <c r="AH410" s="632">
        <v>0</v>
      </c>
      <c r="AI410" s="632">
        <v>0</v>
      </c>
      <c r="AJ410" s="632">
        <v>3.636456980582953</v>
      </c>
      <c r="AK410" s="632">
        <v>3.636456980582953</v>
      </c>
      <c r="AL410" s="632">
        <v>0</v>
      </c>
      <c r="AM410" s="632">
        <v>0</v>
      </c>
      <c r="AN410" s="632">
        <v>2.7373623311637276</v>
      </c>
      <c r="AO410" s="632">
        <v>2.7373623311637276</v>
      </c>
      <c r="AP410" s="632">
        <v>0</v>
      </c>
      <c r="AQ410" s="632">
        <v>1.8596827016276773</v>
      </c>
      <c r="AR410" s="632">
        <v>0</v>
      </c>
      <c r="AS410" s="632">
        <v>3.3059548429076218</v>
      </c>
      <c r="AT410" s="632">
        <v>3.4672701893540752</v>
      </c>
      <c r="AU410" s="632">
        <v>3.636456980582953</v>
      </c>
      <c r="AV410" s="632">
        <v>3.8138993067898124</v>
      </c>
      <c r="AW410" s="632">
        <v>4</v>
      </c>
      <c r="AX410" s="632">
        <v>2.4977175106913725</v>
      </c>
      <c r="AY410" s="632">
        <v>2.6147959437888453</v>
      </c>
      <c r="AZ410" s="632">
        <v>2.7373623311637276</v>
      </c>
      <c r="BA410" s="632">
        <v>2.8656739161131335</v>
      </c>
      <c r="BB410" s="632">
        <v>3</v>
      </c>
      <c r="BC410" s="632">
        <v>1.7292098753666085</v>
      </c>
      <c r="BD410" s="632">
        <v>1.7932600739165065</v>
      </c>
      <c r="BE410" s="632">
        <v>1.8596827016276773</v>
      </c>
      <c r="BF410" s="632">
        <v>1.9285656336395076</v>
      </c>
      <c r="BG410" s="632">
        <v>2</v>
      </c>
      <c r="BH410" s="634">
        <v>4.0536264218823037</v>
      </c>
      <c r="BI410" s="634">
        <v>4.107971792045582</v>
      </c>
      <c r="BJ410" s="634">
        <v>4.163045749145792</v>
      </c>
      <c r="BK410" s="635">
        <v>4.1356755498614195</v>
      </c>
      <c r="BL410" s="635">
        <v>4.1084852976287989</v>
      </c>
      <c r="BM410" s="635">
        <v>4.1379795609779961</v>
      </c>
      <c r="BN410" s="635">
        <v>4.1676855596767171</v>
      </c>
      <c r="BO410" s="635">
        <v>4.197604813744559</v>
      </c>
      <c r="BP410" s="635">
        <v>4.2277388541131327</v>
      </c>
      <c r="BQ410" s="635">
        <v>4.2580892227044007</v>
      </c>
      <c r="BR410" s="635">
        <v>4.2819925389090736</v>
      </c>
      <c r="BS410" s="635">
        <v>4.306030039367692</v>
      </c>
      <c r="BT410" s="635">
        <v>4.3302024773403414</v>
      </c>
      <c r="BU410" s="635">
        <v>4.3545106103156268</v>
      </c>
      <c r="BV410" s="635">
        <v>4.378955200034409</v>
      </c>
      <c r="BW410" s="634">
        <v>3.040219816411728</v>
      </c>
      <c r="BX410" s="634">
        <v>3.0809788440341865</v>
      </c>
      <c r="BY410" s="634">
        <v>3.1222843118593442</v>
      </c>
      <c r="BZ410" s="635">
        <v>3.1017566623960651</v>
      </c>
      <c r="CA410" s="635">
        <v>3.0813639732215998</v>
      </c>
      <c r="CB410" s="635">
        <v>3.1034846707334971</v>
      </c>
      <c r="CC410" s="635">
        <v>3.125764169757538</v>
      </c>
      <c r="CD410" s="635">
        <v>3.1482036103084194</v>
      </c>
      <c r="CE410" s="635">
        <v>3.1708041405848495</v>
      </c>
      <c r="CF410" s="635">
        <v>3.1935669170283005</v>
      </c>
      <c r="CG410" s="635">
        <v>3.2114944041818054</v>
      </c>
      <c r="CH410" s="635">
        <v>3.2295225295257692</v>
      </c>
      <c r="CI410" s="635">
        <v>3.2476518580052565</v>
      </c>
      <c r="CJ410" s="635">
        <v>3.2658829577367205</v>
      </c>
      <c r="CK410" s="635">
        <v>3.2842164000258069</v>
      </c>
      <c r="CL410" s="634">
        <v>2.0268132109411519</v>
      </c>
      <c r="CM410" s="634">
        <v>2.053985896022791</v>
      </c>
      <c r="CN410" s="634">
        <v>2.081522874572896</v>
      </c>
      <c r="CO410" s="635">
        <v>2.0678377749307097</v>
      </c>
      <c r="CP410" s="635">
        <v>2.0542426488143994</v>
      </c>
      <c r="CQ410" s="635">
        <v>2.0689897804889981</v>
      </c>
      <c r="CR410" s="635">
        <v>2.0838427798383585</v>
      </c>
      <c r="CS410" s="635">
        <v>2.0988024068722795</v>
      </c>
      <c r="CT410" s="635">
        <v>2.1138694270565663</v>
      </c>
      <c r="CU410" s="635">
        <v>2.1290446113522004</v>
      </c>
      <c r="CV410" s="635">
        <v>2.1409962694545368</v>
      </c>
      <c r="CW410" s="635">
        <v>2.153015019683846</v>
      </c>
      <c r="CX410" s="635">
        <v>2.1651012386701707</v>
      </c>
      <c r="CY410" s="635">
        <v>2.1772553051578134</v>
      </c>
      <c r="CZ410" s="635">
        <v>2.1894776000172045</v>
      </c>
      <c r="DA410" s="636">
        <v>0</v>
      </c>
      <c r="DB410" s="636">
        <v>0</v>
      </c>
      <c r="DC410" s="636">
        <v>0</v>
      </c>
      <c r="DD410" s="637">
        <v>0</v>
      </c>
      <c r="DE410" s="637">
        <v>0</v>
      </c>
      <c r="DF410" s="637">
        <v>0</v>
      </c>
      <c r="DG410" s="637">
        <v>0</v>
      </c>
      <c r="DH410" s="637">
        <v>0</v>
      </c>
      <c r="DI410" s="637">
        <v>0</v>
      </c>
      <c r="DJ410" s="637">
        <v>0</v>
      </c>
      <c r="DK410" s="637">
        <v>0</v>
      </c>
      <c r="DL410" s="637">
        <v>0</v>
      </c>
      <c r="DM410" s="637">
        <v>0</v>
      </c>
      <c r="DN410" s="637">
        <v>0</v>
      </c>
      <c r="DO410" s="637">
        <v>0</v>
      </c>
      <c r="DP410" s="636">
        <v>0</v>
      </c>
      <c r="DQ410" s="636">
        <v>0</v>
      </c>
      <c r="DR410" s="636">
        <v>0</v>
      </c>
      <c r="DS410" s="637">
        <v>0</v>
      </c>
      <c r="DT410" s="637">
        <v>0</v>
      </c>
      <c r="DU410" s="637">
        <v>0</v>
      </c>
      <c r="DV410" s="637">
        <v>0</v>
      </c>
      <c r="DW410" s="637">
        <v>0</v>
      </c>
      <c r="DX410" s="637">
        <v>0</v>
      </c>
      <c r="DY410" s="637">
        <v>0</v>
      </c>
      <c r="DZ410" s="637">
        <v>0</v>
      </c>
      <c r="EA410" s="637">
        <v>0</v>
      </c>
      <c r="EB410" s="637">
        <v>0</v>
      </c>
      <c r="EC410" s="637">
        <v>0</v>
      </c>
      <c r="ED410" s="637">
        <v>0</v>
      </c>
    </row>
    <row r="411" spans="1:134" ht="15" x14ac:dyDescent="0.25">
      <c r="A411" s="555">
        <v>114</v>
      </c>
      <c r="B411" s="555">
        <v>109</v>
      </c>
      <c r="C411" s="555" t="s">
        <v>1394</v>
      </c>
      <c r="D411" s="812">
        <v>99712</v>
      </c>
      <c r="E411" s="812">
        <v>99712</v>
      </c>
      <c r="F411" s="630" t="s">
        <v>989</v>
      </c>
      <c r="G411" s="45">
        <v>2</v>
      </c>
      <c r="H411" s="45">
        <v>1</v>
      </c>
      <c r="I411" s="45">
        <v>1</v>
      </c>
      <c r="J411" s="45">
        <v>0</v>
      </c>
      <c r="K411" s="45">
        <v>0</v>
      </c>
      <c r="L411" s="45">
        <v>0</v>
      </c>
      <c r="M411" s="45">
        <v>0</v>
      </c>
      <c r="N411" s="45">
        <v>0</v>
      </c>
      <c r="O411" s="45">
        <v>0</v>
      </c>
      <c r="P411" s="45">
        <v>0</v>
      </c>
      <c r="Q411" s="45">
        <v>0</v>
      </c>
      <c r="R411" s="45">
        <v>0</v>
      </c>
      <c r="S411" s="45">
        <v>834.49503068156923</v>
      </c>
      <c r="T411" s="45">
        <v>834.49503068156923</v>
      </c>
      <c r="U411" s="45">
        <v>1408.3846153846155</v>
      </c>
      <c r="V411" s="45">
        <v>0</v>
      </c>
      <c r="W411" s="45">
        <v>0</v>
      </c>
      <c r="X411" s="45">
        <v>1365.173957061457</v>
      </c>
      <c r="Y411" s="45">
        <v>2.2912335412335411E-2</v>
      </c>
      <c r="Z411" s="45">
        <v>0.97578828828828834</v>
      </c>
      <c r="AA411" s="45">
        <v>1.2993762993762994E-3</v>
      </c>
      <c r="AB411" s="508">
        <v>0</v>
      </c>
      <c r="AC411" s="508">
        <v>0</v>
      </c>
      <c r="AD411" s="631">
        <v>1</v>
      </c>
      <c r="AE411" s="632">
        <v>2.2912335412335411E-2</v>
      </c>
      <c r="AF411" s="632">
        <v>0.97578828828828834</v>
      </c>
      <c r="AG411" s="633">
        <v>0.99870062370062374</v>
      </c>
      <c r="AH411" s="632">
        <v>1.2993762993762994E-3</v>
      </c>
      <c r="AI411" s="632">
        <v>2.0829930512911272E-2</v>
      </c>
      <c r="AJ411" s="632">
        <v>0.8871030331292592</v>
      </c>
      <c r="AK411" s="632">
        <v>0.90793296364217047</v>
      </c>
      <c r="AL411" s="632">
        <v>1.1812815035677471E-3</v>
      </c>
      <c r="AM411" s="632">
        <v>2.0906454625571898E-2</v>
      </c>
      <c r="AN411" s="632">
        <v>0.89036203451703089</v>
      </c>
      <c r="AO411" s="632">
        <v>0.91126848914260283</v>
      </c>
      <c r="AP411" s="632">
        <v>1.1856212453065351E-3</v>
      </c>
      <c r="AQ411" s="632">
        <v>0</v>
      </c>
      <c r="AR411" s="632">
        <v>0</v>
      </c>
      <c r="AS411" s="632">
        <v>0.82541479088448488</v>
      </c>
      <c r="AT411" s="632">
        <v>0.86569122516162356</v>
      </c>
      <c r="AU411" s="632">
        <v>0.90793296364217047</v>
      </c>
      <c r="AV411" s="632">
        <v>0.95223590410559056</v>
      </c>
      <c r="AW411" s="632">
        <v>0.99870062370062374</v>
      </c>
      <c r="AX411" s="632">
        <v>0.83149067858514769</v>
      </c>
      <c r="AY411" s="632">
        <v>0.87046611330392698</v>
      </c>
      <c r="AZ411" s="632">
        <v>0.91126848914260272</v>
      </c>
      <c r="BA411" s="632">
        <v>0.95398344244826516</v>
      </c>
      <c r="BB411" s="632">
        <v>0.99870062370062374</v>
      </c>
      <c r="BC411" s="632">
        <v>0</v>
      </c>
      <c r="BD411" s="632">
        <v>0</v>
      </c>
      <c r="BE411" s="632">
        <v>0</v>
      </c>
      <c r="BF411" s="632">
        <v>0</v>
      </c>
      <c r="BG411" s="632">
        <v>0</v>
      </c>
      <c r="BH411" s="634">
        <v>1.0120898089457961</v>
      </c>
      <c r="BI411" s="634">
        <v>1.0256584977151229</v>
      </c>
      <c r="BJ411" s="634">
        <v>1.0394090965415332</v>
      </c>
      <c r="BK411" s="635">
        <v>1.0325754377675052</v>
      </c>
      <c r="BL411" s="635">
        <v>1.0257867073016811</v>
      </c>
      <c r="BM411" s="635">
        <v>1.0331506921022895</v>
      </c>
      <c r="BN411" s="635">
        <v>1.040567541959305</v>
      </c>
      <c r="BO411" s="635">
        <v>1.0480376363838579</v>
      </c>
      <c r="BP411" s="635">
        <v>1.0555613576115364</v>
      </c>
      <c r="BQ411" s="635">
        <v>1.0631390906219473</v>
      </c>
      <c r="BR411" s="635">
        <v>1.0691071548224773</v>
      </c>
      <c r="BS411" s="635">
        <v>1.0751087214975339</v>
      </c>
      <c r="BT411" s="635">
        <v>1.0811439787174464</v>
      </c>
      <c r="BU411" s="635">
        <v>1.0872131156083003</v>
      </c>
      <c r="BV411" s="635">
        <v>1.0933163223578635</v>
      </c>
      <c r="BW411" s="634">
        <v>1.0120898089457961</v>
      </c>
      <c r="BX411" s="634">
        <v>1.0256584977151229</v>
      </c>
      <c r="BY411" s="634">
        <v>1.0394090965415332</v>
      </c>
      <c r="BZ411" s="635">
        <v>1.0325754377675052</v>
      </c>
      <c r="CA411" s="635">
        <v>1.0257867073016811</v>
      </c>
      <c r="CB411" s="635">
        <v>1.0331506921022895</v>
      </c>
      <c r="CC411" s="635">
        <v>1.040567541959305</v>
      </c>
      <c r="CD411" s="635">
        <v>1.0480376363838579</v>
      </c>
      <c r="CE411" s="635">
        <v>1.0555613576115364</v>
      </c>
      <c r="CF411" s="635">
        <v>1.0631390906219473</v>
      </c>
      <c r="CG411" s="635">
        <v>1.0691071548224773</v>
      </c>
      <c r="CH411" s="635">
        <v>1.0751087214975339</v>
      </c>
      <c r="CI411" s="635">
        <v>1.0811439787174464</v>
      </c>
      <c r="CJ411" s="635">
        <v>1.0872131156083003</v>
      </c>
      <c r="CK411" s="635">
        <v>1.0933163223578635</v>
      </c>
      <c r="CL411" s="634">
        <v>0</v>
      </c>
      <c r="CM411" s="634">
        <v>0</v>
      </c>
      <c r="CN411" s="634">
        <v>0</v>
      </c>
      <c r="CO411" s="635">
        <v>0</v>
      </c>
      <c r="CP411" s="635">
        <v>0</v>
      </c>
      <c r="CQ411" s="635">
        <v>0</v>
      </c>
      <c r="CR411" s="635">
        <v>0</v>
      </c>
      <c r="CS411" s="635">
        <v>0</v>
      </c>
      <c r="CT411" s="635">
        <v>0</v>
      </c>
      <c r="CU411" s="635">
        <v>0</v>
      </c>
      <c r="CV411" s="635">
        <v>0</v>
      </c>
      <c r="CW411" s="635">
        <v>0</v>
      </c>
      <c r="CX411" s="635">
        <v>0</v>
      </c>
      <c r="CY411" s="635">
        <v>0</v>
      </c>
      <c r="CZ411" s="635">
        <v>0</v>
      </c>
      <c r="DA411" s="636">
        <v>1.3167965247798544E-3</v>
      </c>
      <c r="DB411" s="636">
        <v>1.3344502962726033E-3</v>
      </c>
      <c r="DC411" s="636">
        <v>1.3523407449148232E-3</v>
      </c>
      <c r="DD411" s="637">
        <v>1.3434496978499935E-3</v>
      </c>
      <c r="DE411" s="637">
        <v>1.3346171055187107E-3</v>
      </c>
      <c r="DF411" s="637">
        <v>1.3441981422095879E-3</v>
      </c>
      <c r="DG411" s="637">
        <v>1.3538479598741934E-3</v>
      </c>
      <c r="DH411" s="637">
        <v>1.3635670522818863E-3</v>
      </c>
      <c r="DI411" s="637">
        <v>1.3733559167467295E-3</v>
      </c>
      <c r="DJ411" s="637">
        <v>1.3832150541529368E-3</v>
      </c>
      <c r="DK411" s="637">
        <v>1.3909799047911492E-3</v>
      </c>
      <c r="DL411" s="637">
        <v>1.3987883443891929E-3</v>
      </c>
      <c r="DM411" s="637">
        <v>1.4066406176391441E-3</v>
      </c>
      <c r="DN411" s="637">
        <v>1.4145369706066876E-3</v>
      </c>
      <c r="DO411" s="637">
        <v>1.4224776507388284E-3</v>
      </c>
      <c r="DP411" s="636">
        <v>0</v>
      </c>
      <c r="DQ411" s="636">
        <v>0</v>
      </c>
      <c r="DR411" s="636">
        <v>0</v>
      </c>
      <c r="DS411" s="637">
        <v>0</v>
      </c>
      <c r="DT411" s="637">
        <v>0</v>
      </c>
      <c r="DU411" s="637">
        <v>0</v>
      </c>
      <c r="DV411" s="637">
        <v>0</v>
      </c>
      <c r="DW411" s="637">
        <v>0</v>
      </c>
      <c r="DX411" s="637">
        <v>0</v>
      </c>
      <c r="DY411" s="637">
        <v>0</v>
      </c>
      <c r="DZ411" s="637">
        <v>0</v>
      </c>
      <c r="EA411" s="637">
        <v>0</v>
      </c>
      <c r="EB411" s="637">
        <v>0</v>
      </c>
      <c r="EC411" s="637">
        <v>0</v>
      </c>
      <c r="ED411" s="637">
        <v>0</v>
      </c>
    </row>
    <row r="412" spans="1:134" ht="15" x14ac:dyDescent="0.25">
      <c r="A412" s="555">
        <v>118</v>
      </c>
      <c r="B412" s="555">
        <v>109</v>
      </c>
      <c r="C412" s="555" t="s">
        <v>1395</v>
      </c>
      <c r="D412" s="812">
        <v>99712</v>
      </c>
      <c r="E412" s="812">
        <v>99712</v>
      </c>
      <c r="F412" s="630" t="s">
        <v>989</v>
      </c>
      <c r="G412" s="45">
        <v>0</v>
      </c>
      <c r="H412" s="45">
        <v>1</v>
      </c>
      <c r="I412" s="45">
        <v>0</v>
      </c>
      <c r="J412" s="45">
        <v>1</v>
      </c>
      <c r="K412" s="45">
        <v>0</v>
      </c>
      <c r="L412" s="45">
        <v>0</v>
      </c>
      <c r="M412" s="45">
        <v>0</v>
      </c>
      <c r="N412" s="45">
        <v>0</v>
      </c>
      <c r="O412" s="45">
        <v>0</v>
      </c>
      <c r="P412" s="45">
        <v>0</v>
      </c>
      <c r="Q412" s="45">
        <v>0</v>
      </c>
      <c r="R412" s="45">
        <v>0</v>
      </c>
      <c r="S412" s="45">
        <v>834.49503068156923</v>
      </c>
      <c r="T412" s="45">
        <v>834.49503068156923</v>
      </c>
      <c r="U412" s="45">
        <v>1408.3846153846155</v>
      </c>
      <c r="V412" s="45">
        <v>0</v>
      </c>
      <c r="W412" s="45">
        <v>0</v>
      </c>
      <c r="X412" s="45">
        <v>1365.173957061457</v>
      </c>
      <c r="Y412" s="45">
        <v>2.2912335412335411E-2</v>
      </c>
      <c r="Z412" s="45">
        <v>0.97578828828828834</v>
      </c>
      <c r="AA412" s="45">
        <v>1.2993762993762994E-3</v>
      </c>
      <c r="AB412" s="508">
        <v>0</v>
      </c>
      <c r="AC412" s="508">
        <v>0</v>
      </c>
      <c r="AD412" s="631">
        <v>1</v>
      </c>
      <c r="AE412" s="632">
        <v>0</v>
      </c>
      <c r="AF412" s="632">
        <v>0</v>
      </c>
      <c r="AG412" s="633">
        <v>0</v>
      </c>
      <c r="AH412" s="632">
        <v>0</v>
      </c>
      <c r="AI412" s="632">
        <v>2.0829930512911272E-2</v>
      </c>
      <c r="AJ412" s="632">
        <v>0.8871030331292592</v>
      </c>
      <c r="AK412" s="632">
        <v>0.90793296364217047</v>
      </c>
      <c r="AL412" s="632">
        <v>1.1812815035677471E-3</v>
      </c>
      <c r="AM412" s="632">
        <v>0</v>
      </c>
      <c r="AN412" s="632">
        <v>0</v>
      </c>
      <c r="AO412" s="632">
        <v>0</v>
      </c>
      <c r="AP412" s="632">
        <v>0</v>
      </c>
      <c r="AQ412" s="632">
        <v>0</v>
      </c>
      <c r="AR412" s="632">
        <v>0</v>
      </c>
      <c r="AS412" s="632">
        <v>0.82541479088448488</v>
      </c>
      <c r="AT412" s="632">
        <v>0.86569122516162356</v>
      </c>
      <c r="AU412" s="632">
        <v>0.90793296364217047</v>
      </c>
      <c r="AV412" s="632">
        <v>0.95223590410559056</v>
      </c>
      <c r="AW412" s="632">
        <v>0.99870062370062374</v>
      </c>
      <c r="AX412" s="632">
        <v>0</v>
      </c>
      <c r="AY412" s="632">
        <v>0</v>
      </c>
      <c r="AZ412" s="632">
        <v>0</v>
      </c>
      <c r="BA412" s="632">
        <v>0</v>
      </c>
      <c r="BB412" s="632">
        <v>0</v>
      </c>
      <c r="BC412" s="632">
        <v>0</v>
      </c>
      <c r="BD412" s="632">
        <v>0</v>
      </c>
      <c r="BE412" s="632">
        <v>0</v>
      </c>
      <c r="BF412" s="632">
        <v>0</v>
      </c>
      <c r="BG412" s="632">
        <v>0</v>
      </c>
      <c r="BH412" s="634">
        <v>1.0113419507725885</v>
      </c>
      <c r="BI412" s="634">
        <v>1.0241432889092785</v>
      </c>
      <c r="BJ412" s="634">
        <v>1.0371066634946347</v>
      </c>
      <c r="BK412" s="635">
        <v>1.0302881422077084</v>
      </c>
      <c r="BL412" s="635">
        <v>1.0235144497066504</v>
      </c>
      <c r="BM412" s="635">
        <v>1.0308621222756087</v>
      </c>
      <c r="BN412" s="635">
        <v>1.0382625427976575</v>
      </c>
      <c r="BO412" s="635">
        <v>1.0457160899432576</v>
      </c>
      <c r="BP412" s="635">
        <v>1.0532231451012932</v>
      </c>
      <c r="BQ412" s="635">
        <v>1.0607840923985892</v>
      </c>
      <c r="BR412" s="635">
        <v>1.0667389365221667</v>
      </c>
      <c r="BS412" s="635">
        <v>1.072727208907716</v>
      </c>
      <c r="BT412" s="635">
        <v>1.0787490972089651</v>
      </c>
      <c r="BU412" s="635">
        <v>1.0848047901330593</v>
      </c>
      <c r="BV412" s="635">
        <v>1.0908944774464748</v>
      </c>
      <c r="BW412" s="634">
        <v>0</v>
      </c>
      <c r="BX412" s="634">
        <v>0</v>
      </c>
      <c r="BY412" s="634">
        <v>0</v>
      </c>
      <c r="BZ412" s="635">
        <v>0</v>
      </c>
      <c r="CA412" s="635">
        <v>0</v>
      </c>
      <c r="CB412" s="635">
        <v>0</v>
      </c>
      <c r="CC412" s="635">
        <v>0</v>
      </c>
      <c r="CD412" s="635">
        <v>0</v>
      </c>
      <c r="CE412" s="635">
        <v>0</v>
      </c>
      <c r="CF412" s="635">
        <v>0</v>
      </c>
      <c r="CG412" s="635">
        <v>0</v>
      </c>
      <c r="CH412" s="635">
        <v>0</v>
      </c>
      <c r="CI412" s="635">
        <v>0</v>
      </c>
      <c r="CJ412" s="635">
        <v>0</v>
      </c>
      <c r="CK412" s="635">
        <v>0</v>
      </c>
      <c r="CL412" s="634">
        <v>0</v>
      </c>
      <c r="CM412" s="634">
        <v>0</v>
      </c>
      <c r="CN412" s="634">
        <v>0</v>
      </c>
      <c r="CO412" s="635">
        <v>0</v>
      </c>
      <c r="CP412" s="635">
        <v>0</v>
      </c>
      <c r="CQ412" s="635">
        <v>0</v>
      </c>
      <c r="CR412" s="635">
        <v>0</v>
      </c>
      <c r="CS412" s="635">
        <v>0</v>
      </c>
      <c r="CT412" s="635">
        <v>0</v>
      </c>
      <c r="CU412" s="635">
        <v>0</v>
      </c>
      <c r="CV412" s="635">
        <v>0</v>
      </c>
      <c r="CW412" s="635">
        <v>0</v>
      </c>
      <c r="CX412" s="635">
        <v>0</v>
      </c>
      <c r="CY412" s="635">
        <v>0</v>
      </c>
      <c r="CZ412" s="635">
        <v>0</v>
      </c>
      <c r="DA412" s="636">
        <v>1.3158235112836177E-3</v>
      </c>
      <c r="DB412" s="636">
        <v>1.3324789082868574E-3</v>
      </c>
      <c r="DC412" s="636">
        <v>1.3493451255459728E-3</v>
      </c>
      <c r="DD412" s="637">
        <v>1.3404737733641796E-3</v>
      </c>
      <c r="DE412" s="637">
        <v>1.3316607464307186E-3</v>
      </c>
      <c r="DF412" s="637">
        <v>1.3412205598173415E-3</v>
      </c>
      <c r="DG412" s="637">
        <v>1.3508490018184459E-3</v>
      </c>
      <c r="DH412" s="637">
        <v>1.3605465651096247E-3</v>
      </c>
      <c r="DI412" s="637">
        <v>1.3703137459033219E-3</v>
      </c>
      <c r="DJ412" s="637">
        <v>1.3801510439742247E-3</v>
      </c>
      <c r="DK412" s="637">
        <v>1.3878986944082315E-3</v>
      </c>
      <c r="DL412" s="637">
        <v>1.3956898372465732E-3</v>
      </c>
      <c r="DM412" s="637">
        <v>1.4035247166392989E-3</v>
      </c>
      <c r="DN412" s="637">
        <v>1.4114035781070248E-3</v>
      </c>
      <c r="DO412" s="637">
        <v>1.4193266685486271E-3</v>
      </c>
      <c r="DP412" s="636">
        <v>0</v>
      </c>
      <c r="DQ412" s="636">
        <v>0</v>
      </c>
      <c r="DR412" s="636">
        <v>0</v>
      </c>
      <c r="DS412" s="637">
        <v>0</v>
      </c>
      <c r="DT412" s="637">
        <v>0</v>
      </c>
      <c r="DU412" s="637">
        <v>0</v>
      </c>
      <c r="DV412" s="637">
        <v>0</v>
      </c>
      <c r="DW412" s="637">
        <v>0</v>
      </c>
      <c r="DX412" s="637">
        <v>0</v>
      </c>
      <c r="DY412" s="637">
        <v>0</v>
      </c>
      <c r="DZ412" s="637">
        <v>0</v>
      </c>
      <c r="EA412" s="637">
        <v>0</v>
      </c>
      <c r="EB412" s="637">
        <v>0</v>
      </c>
      <c r="EC412" s="637">
        <v>0</v>
      </c>
      <c r="ED412" s="637">
        <v>0</v>
      </c>
    </row>
    <row r="413" spans="1:134" ht="15" x14ac:dyDescent="0.25">
      <c r="A413" s="555">
        <v>118</v>
      </c>
      <c r="B413" s="555">
        <v>110</v>
      </c>
      <c r="C413" s="555" t="s">
        <v>1396</v>
      </c>
      <c r="D413" s="812">
        <v>99712</v>
      </c>
      <c r="E413" s="812">
        <v>99712</v>
      </c>
      <c r="F413" s="630" t="s">
        <v>989</v>
      </c>
      <c r="G413" s="45">
        <v>0</v>
      </c>
      <c r="H413" s="45">
        <v>1</v>
      </c>
      <c r="I413" s="45">
        <v>0</v>
      </c>
      <c r="J413" s="45">
        <v>1</v>
      </c>
      <c r="K413" s="45">
        <v>0</v>
      </c>
      <c r="L413" s="45">
        <v>0</v>
      </c>
      <c r="M413" s="45">
        <v>0</v>
      </c>
      <c r="N413" s="45">
        <v>0</v>
      </c>
      <c r="O413" s="45">
        <v>0</v>
      </c>
      <c r="P413" s="45">
        <v>0</v>
      </c>
      <c r="Q413" s="45">
        <v>0</v>
      </c>
      <c r="R413" s="45">
        <v>0</v>
      </c>
      <c r="S413" s="45">
        <v>834.49503068156923</v>
      </c>
      <c r="T413" s="45">
        <v>834.49503068156923</v>
      </c>
      <c r="U413" s="45">
        <v>1408.3846153846155</v>
      </c>
      <c r="V413" s="45">
        <v>0</v>
      </c>
      <c r="W413" s="45">
        <v>0</v>
      </c>
      <c r="X413" s="45">
        <v>1365.173957061457</v>
      </c>
      <c r="Y413" s="45">
        <v>2.2912335412335411E-2</v>
      </c>
      <c r="Z413" s="45">
        <v>0.97578828828828834</v>
      </c>
      <c r="AA413" s="45">
        <v>1.2993762993762994E-3</v>
      </c>
      <c r="AB413" s="508">
        <v>0</v>
      </c>
      <c r="AC413" s="508">
        <v>0</v>
      </c>
      <c r="AD413" s="631">
        <v>1</v>
      </c>
      <c r="AE413" s="632">
        <v>0</v>
      </c>
      <c r="AF413" s="632">
        <v>0</v>
      </c>
      <c r="AG413" s="633">
        <v>0</v>
      </c>
      <c r="AH413" s="632">
        <v>0</v>
      </c>
      <c r="AI413" s="632">
        <v>2.0829930512911272E-2</v>
      </c>
      <c r="AJ413" s="632">
        <v>0.8871030331292592</v>
      </c>
      <c r="AK413" s="632">
        <v>0.90793296364217047</v>
      </c>
      <c r="AL413" s="632">
        <v>1.1812815035677471E-3</v>
      </c>
      <c r="AM413" s="632">
        <v>0</v>
      </c>
      <c r="AN413" s="632">
        <v>0</v>
      </c>
      <c r="AO413" s="632">
        <v>0</v>
      </c>
      <c r="AP413" s="632">
        <v>0</v>
      </c>
      <c r="AQ413" s="632">
        <v>0</v>
      </c>
      <c r="AR413" s="632">
        <v>0</v>
      </c>
      <c r="AS413" s="632">
        <v>0.82541479088448488</v>
      </c>
      <c r="AT413" s="632">
        <v>0.86569122516162356</v>
      </c>
      <c r="AU413" s="632">
        <v>0.90793296364217047</v>
      </c>
      <c r="AV413" s="632">
        <v>0.95223590410559056</v>
      </c>
      <c r="AW413" s="632">
        <v>0.99870062370062374</v>
      </c>
      <c r="AX413" s="632">
        <v>0</v>
      </c>
      <c r="AY413" s="632">
        <v>0</v>
      </c>
      <c r="AZ413" s="632">
        <v>0</v>
      </c>
      <c r="BA413" s="632">
        <v>0</v>
      </c>
      <c r="BB413" s="632">
        <v>0</v>
      </c>
      <c r="BC413" s="632">
        <v>0</v>
      </c>
      <c r="BD413" s="632">
        <v>0</v>
      </c>
      <c r="BE413" s="632">
        <v>0</v>
      </c>
      <c r="BF413" s="632">
        <v>0</v>
      </c>
      <c r="BG413" s="632">
        <v>0</v>
      </c>
      <c r="BH413" s="634">
        <v>1.0120898089457961</v>
      </c>
      <c r="BI413" s="634">
        <v>1.0256584977151229</v>
      </c>
      <c r="BJ413" s="634">
        <v>1.0394090965415332</v>
      </c>
      <c r="BK413" s="635">
        <v>1.0325754377675052</v>
      </c>
      <c r="BL413" s="635">
        <v>1.0257867073016811</v>
      </c>
      <c r="BM413" s="635">
        <v>1.0331506921022895</v>
      </c>
      <c r="BN413" s="635">
        <v>1.040567541959305</v>
      </c>
      <c r="BO413" s="635">
        <v>1.0480376363838579</v>
      </c>
      <c r="BP413" s="635">
        <v>1.0555613576115364</v>
      </c>
      <c r="BQ413" s="635">
        <v>1.0631390906219473</v>
      </c>
      <c r="BR413" s="635">
        <v>1.0691071548224773</v>
      </c>
      <c r="BS413" s="635">
        <v>1.0751087214975339</v>
      </c>
      <c r="BT413" s="635">
        <v>1.0811439787174464</v>
      </c>
      <c r="BU413" s="635">
        <v>1.0872131156083003</v>
      </c>
      <c r="BV413" s="635">
        <v>1.0933163223578635</v>
      </c>
      <c r="BW413" s="634">
        <v>0</v>
      </c>
      <c r="BX413" s="634">
        <v>0</v>
      </c>
      <c r="BY413" s="634">
        <v>0</v>
      </c>
      <c r="BZ413" s="635">
        <v>0</v>
      </c>
      <c r="CA413" s="635">
        <v>0</v>
      </c>
      <c r="CB413" s="635">
        <v>0</v>
      </c>
      <c r="CC413" s="635">
        <v>0</v>
      </c>
      <c r="CD413" s="635">
        <v>0</v>
      </c>
      <c r="CE413" s="635">
        <v>0</v>
      </c>
      <c r="CF413" s="635">
        <v>0</v>
      </c>
      <c r="CG413" s="635">
        <v>0</v>
      </c>
      <c r="CH413" s="635">
        <v>0</v>
      </c>
      <c r="CI413" s="635">
        <v>0</v>
      </c>
      <c r="CJ413" s="635">
        <v>0</v>
      </c>
      <c r="CK413" s="635">
        <v>0</v>
      </c>
      <c r="CL413" s="634">
        <v>0</v>
      </c>
      <c r="CM413" s="634">
        <v>0</v>
      </c>
      <c r="CN413" s="634">
        <v>0</v>
      </c>
      <c r="CO413" s="635">
        <v>0</v>
      </c>
      <c r="CP413" s="635">
        <v>0</v>
      </c>
      <c r="CQ413" s="635">
        <v>0</v>
      </c>
      <c r="CR413" s="635">
        <v>0</v>
      </c>
      <c r="CS413" s="635">
        <v>0</v>
      </c>
      <c r="CT413" s="635">
        <v>0</v>
      </c>
      <c r="CU413" s="635">
        <v>0</v>
      </c>
      <c r="CV413" s="635">
        <v>0</v>
      </c>
      <c r="CW413" s="635">
        <v>0</v>
      </c>
      <c r="CX413" s="635">
        <v>0</v>
      </c>
      <c r="CY413" s="635">
        <v>0</v>
      </c>
      <c r="CZ413" s="635">
        <v>0</v>
      </c>
      <c r="DA413" s="636">
        <v>1.3167965247798544E-3</v>
      </c>
      <c r="DB413" s="636">
        <v>1.3344502962726033E-3</v>
      </c>
      <c r="DC413" s="636">
        <v>1.3523407449148232E-3</v>
      </c>
      <c r="DD413" s="637">
        <v>1.3434496978499935E-3</v>
      </c>
      <c r="DE413" s="637">
        <v>1.3346171055187107E-3</v>
      </c>
      <c r="DF413" s="637">
        <v>1.3441981422095879E-3</v>
      </c>
      <c r="DG413" s="637">
        <v>1.3538479598741934E-3</v>
      </c>
      <c r="DH413" s="637">
        <v>1.3635670522818863E-3</v>
      </c>
      <c r="DI413" s="637">
        <v>1.3733559167467295E-3</v>
      </c>
      <c r="DJ413" s="637">
        <v>1.3832150541529368E-3</v>
      </c>
      <c r="DK413" s="637">
        <v>1.3909799047911492E-3</v>
      </c>
      <c r="DL413" s="637">
        <v>1.3987883443891929E-3</v>
      </c>
      <c r="DM413" s="637">
        <v>1.4066406176391441E-3</v>
      </c>
      <c r="DN413" s="637">
        <v>1.4145369706066876E-3</v>
      </c>
      <c r="DO413" s="637">
        <v>1.4224776507388284E-3</v>
      </c>
      <c r="DP413" s="636">
        <v>0</v>
      </c>
      <c r="DQ413" s="636">
        <v>0</v>
      </c>
      <c r="DR413" s="636">
        <v>0</v>
      </c>
      <c r="DS413" s="637">
        <v>0</v>
      </c>
      <c r="DT413" s="637">
        <v>0</v>
      </c>
      <c r="DU413" s="637">
        <v>0</v>
      </c>
      <c r="DV413" s="637">
        <v>0</v>
      </c>
      <c r="DW413" s="637">
        <v>0</v>
      </c>
      <c r="DX413" s="637">
        <v>0</v>
      </c>
      <c r="DY413" s="637">
        <v>0</v>
      </c>
      <c r="DZ413" s="637">
        <v>0</v>
      </c>
      <c r="EA413" s="637">
        <v>0</v>
      </c>
      <c r="EB413" s="637">
        <v>0</v>
      </c>
      <c r="EC413" s="637">
        <v>0</v>
      </c>
      <c r="ED413" s="637">
        <v>0</v>
      </c>
    </row>
    <row r="414" spans="1:134" ht="15" x14ac:dyDescent="0.25">
      <c r="A414" s="555">
        <v>142</v>
      </c>
      <c r="B414" s="555">
        <v>110</v>
      </c>
      <c r="C414" s="555" t="s">
        <v>1397</v>
      </c>
      <c r="D414" s="812">
        <v>99712</v>
      </c>
      <c r="E414" s="812">
        <v>99712</v>
      </c>
      <c r="F414" s="630" t="s">
        <v>989</v>
      </c>
      <c r="G414" s="45">
        <v>0</v>
      </c>
      <c r="H414" s="45">
        <v>1</v>
      </c>
      <c r="I414" s="45">
        <v>0</v>
      </c>
      <c r="J414" s="45">
        <v>1</v>
      </c>
      <c r="K414" s="45">
        <v>0</v>
      </c>
      <c r="L414" s="45">
        <v>0</v>
      </c>
      <c r="M414" s="45">
        <v>0</v>
      </c>
      <c r="N414" s="45">
        <v>0</v>
      </c>
      <c r="O414" s="45">
        <v>0</v>
      </c>
      <c r="P414" s="45">
        <v>0</v>
      </c>
      <c r="Q414" s="45">
        <v>0</v>
      </c>
      <c r="R414" s="45">
        <v>0</v>
      </c>
      <c r="S414" s="45">
        <v>834.49503068156923</v>
      </c>
      <c r="T414" s="45">
        <v>834.49503068156923</v>
      </c>
      <c r="U414" s="45">
        <v>1408.3846153846155</v>
      </c>
      <c r="V414" s="45">
        <v>0</v>
      </c>
      <c r="W414" s="45">
        <v>0</v>
      </c>
      <c r="X414" s="45">
        <v>1365.173957061457</v>
      </c>
      <c r="Y414" s="45">
        <v>2.2912335412335411E-2</v>
      </c>
      <c r="Z414" s="45">
        <v>0.97578828828828834</v>
      </c>
      <c r="AA414" s="45">
        <v>1.2993762993762994E-3</v>
      </c>
      <c r="AB414" s="508">
        <v>0</v>
      </c>
      <c r="AC414" s="508">
        <v>0</v>
      </c>
      <c r="AD414" s="631">
        <v>1</v>
      </c>
      <c r="AE414" s="632">
        <v>0</v>
      </c>
      <c r="AF414" s="632">
        <v>0</v>
      </c>
      <c r="AG414" s="633">
        <v>0</v>
      </c>
      <c r="AH414" s="632">
        <v>0</v>
      </c>
      <c r="AI414" s="632">
        <v>2.0829930512911272E-2</v>
      </c>
      <c r="AJ414" s="632">
        <v>0.8871030331292592</v>
      </c>
      <c r="AK414" s="632">
        <v>0.90793296364217047</v>
      </c>
      <c r="AL414" s="632">
        <v>1.1812815035677471E-3</v>
      </c>
      <c r="AM414" s="632">
        <v>0</v>
      </c>
      <c r="AN414" s="632">
        <v>0</v>
      </c>
      <c r="AO414" s="632">
        <v>0</v>
      </c>
      <c r="AP414" s="632">
        <v>0</v>
      </c>
      <c r="AQ414" s="632">
        <v>0</v>
      </c>
      <c r="AR414" s="632">
        <v>0</v>
      </c>
      <c r="AS414" s="632">
        <v>0.82541479088448488</v>
      </c>
      <c r="AT414" s="632">
        <v>0.86569122516162356</v>
      </c>
      <c r="AU414" s="632">
        <v>0.90793296364217047</v>
      </c>
      <c r="AV414" s="632">
        <v>0.95223590410559056</v>
      </c>
      <c r="AW414" s="632">
        <v>0.99870062370062374</v>
      </c>
      <c r="AX414" s="632">
        <v>0</v>
      </c>
      <c r="AY414" s="632">
        <v>0</v>
      </c>
      <c r="AZ414" s="632">
        <v>0</v>
      </c>
      <c r="BA414" s="632">
        <v>0</v>
      </c>
      <c r="BB414" s="632">
        <v>0</v>
      </c>
      <c r="BC414" s="632">
        <v>0</v>
      </c>
      <c r="BD414" s="632">
        <v>0</v>
      </c>
      <c r="BE414" s="632">
        <v>0</v>
      </c>
      <c r="BF414" s="632">
        <v>0</v>
      </c>
      <c r="BG414" s="632">
        <v>0</v>
      </c>
      <c r="BH414" s="634">
        <v>1.0113419507725885</v>
      </c>
      <c r="BI414" s="634">
        <v>1.0241432889092785</v>
      </c>
      <c r="BJ414" s="634">
        <v>1.0371066634946347</v>
      </c>
      <c r="BK414" s="635">
        <v>1.0302881422077084</v>
      </c>
      <c r="BL414" s="635">
        <v>1.0235144497066504</v>
      </c>
      <c r="BM414" s="635">
        <v>1.0308621222756087</v>
      </c>
      <c r="BN414" s="635">
        <v>1.0382625427976575</v>
      </c>
      <c r="BO414" s="635">
        <v>1.0457160899432576</v>
      </c>
      <c r="BP414" s="635">
        <v>1.0532231451012932</v>
      </c>
      <c r="BQ414" s="635">
        <v>1.0607840923985892</v>
      </c>
      <c r="BR414" s="635">
        <v>1.0667389365221667</v>
      </c>
      <c r="BS414" s="635">
        <v>1.072727208907716</v>
      </c>
      <c r="BT414" s="635">
        <v>1.0787490972089651</v>
      </c>
      <c r="BU414" s="635">
        <v>1.0848047901330593</v>
      </c>
      <c r="BV414" s="635">
        <v>1.0908944774464748</v>
      </c>
      <c r="BW414" s="634">
        <v>0</v>
      </c>
      <c r="BX414" s="634">
        <v>0</v>
      </c>
      <c r="BY414" s="634">
        <v>0</v>
      </c>
      <c r="BZ414" s="635">
        <v>0</v>
      </c>
      <c r="CA414" s="635">
        <v>0</v>
      </c>
      <c r="CB414" s="635">
        <v>0</v>
      </c>
      <c r="CC414" s="635">
        <v>0</v>
      </c>
      <c r="CD414" s="635">
        <v>0</v>
      </c>
      <c r="CE414" s="635">
        <v>0</v>
      </c>
      <c r="CF414" s="635">
        <v>0</v>
      </c>
      <c r="CG414" s="635">
        <v>0</v>
      </c>
      <c r="CH414" s="635">
        <v>0</v>
      </c>
      <c r="CI414" s="635">
        <v>0</v>
      </c>
      <c r="CJ414" s="635">
        <v>0</v>
      </c>
      <c r="CK414" s="635">
        <v>0</v>
      </c>
      <c r="CL414" s="634">
        <v>0</v>
      </c>
      <c r="CM414" s="634">
        <v>0</v>
      </c>
      <c r="CN414" s="634">
        <v>0</v>
      </c>
      <c r="CO414" s="635">
        <v>0</v>
      </c>
      <c r="CP414" s="635">
        <v>0</v>
      </c>
      <c r="CQ414" s="635">
        <v>0</v>
      </c>
      <c r="CR414" s="635">
        <v>0</v>
      </c>
      <c r="CS414" s="635">
        <v>0</v>
      </c>
      <c r="CT414" s="635">
        <v>0</v>
      </c>
      <c r="CU414" s="635">
        <v>0</v>
      </c>
      <c r="CV414" s="635">
        <v>0</v>
      </c>
      <c r="CW414" s="635">
        <v>0</v>
      </c>
      <c r="CX414" s="635">
        <v>0</v>
      </c>
      <c r="CY414" s="635">
        <v>0</v>
      </c>
      <c r="CZ414" s="635">
        <v>0</v>
      </c>
      <c r="DA414" s="636">
        <v>1.3158235112836177E-3</v>
      </c>
      <c r="DB414" s="636">
        <v>1.3324789082868574E-3</v>
      </c>
      <c r="DC414" s="636">
        <v>1.3493451255459728E-3</v>
      </c>
      <c r="DD414" s="637">
        <v>1.3404737733641796E-3</v>
      </c>
      <c r="DE414" s="637">
        <v>1.3316607464307186E-3</v>
      </c>
      <c r="DF414" s="637">
        <v>1.3412205598173415E-3</v>
      </c>
      <c r="DG414" s="637">
        <v>1.3508490018184459E-3</v>
      </c>
      <c r="DH414" s="637">
        <v>1.3605465651096247E-3</v>
      </c>
      <c r="DI414" s="637">
        <v>1.3703137459033219E-3</v>
      </c>
      <c r="DJ414" s="637">
        <v>1.3801510439742247E-3</v>
      </c>
      <c r="DK414" s="637">
        <v>1.3878986944082315E-3</v>
      </c>
      <c r="DL414" s="637">
        <v>1.3956898372465732E-3</v>
      </c>
      <c r="DM414" s="637">
        <v>1.4035247166392989E-3</v>
      </c>
      <c r="DN414" s="637">
        <v>1.4114035781070248E-3</v>
      </c>
      <c r="DO414" s="637">
        <v>1.4193266685486271E-3</v>
      </c>
      <c r="DP414" s="636">
        <v>0</v>
      </c>
      <c r="DQ414" s="636">
        <v>0</v>
      </c>
      <c r="DR414" s="636">
        <v>0</v>
      </c>
      <c r="DS414" s="637">
        <v>0</v>
      </c>
      <c r="DT414" s="637">
        <v>0</v>
      </c>
      <c r="DU414" s="637">
        <v>0</v>
      </c>
      <c r="DV414" s="637">
        <v>0</v>
      </c>
      <c r="DW414" s="637">
        <v>0</v>
      </c>
      <c r="DX414" s="637">
        <v>0</v>
      </c>
      <c r="DY414" s="637">
        <v>0</v>
      </c>
      <c r="DZ414" s="637">
        <v>0</v>
      </c>
      <c r="EA414" s="637">
        <v>0</v>
      </c>
      <c r="EB414" s="637">
        <v>0</v>
      </c>
      <c r="EC414" s="637">
        <v>0</v>
      </c>
      <c r="ED414" s="637">
        <v>0</v>
      </c>
    </row>
    <row r="415" spans="1:134" ht="15" x14ac:dyDescent="0.25">
      <c r="A415" s="555">
        <v>161</v>
      </c>
      <c r="B415" s="555">
        <v>110</v>
      </c>
      <c r="C415" s="555" t="s">
        <v>1398</v>
      </c>
      <c r="D415" s="812">
        <v>99712</v>
      </c>
      <c r="E415" s="812">
        <v>99712</v>
      </c>
      <c r="F415" s="630" t="s">
        <v>989</v>
      </c>
      <c r="G415" s="45">
        <v>2</v>
      </c>
      <c r="H415" s="45">
        <v>3</v>
      </c>
      <c r="I415" s="45">
        <v>1</v>
      </c>
      <c r="J415" s="45">
        <v>2</v>
      </c>
      <c r="K415" s="45">
        <v>0</v>
      </c>
      <c r="L415" s="45">
        <v>9</v>
      </c>
      <c r="M415" s="45">
        <v>9</v>
      </c>
      <c r="N415" s="45">
        <v>1</v>
      </c>
      <c r="O415" s="45">
        <v>0</v>
      </c>
      <c r="P415" s="45">
        <v>0</v>
      </c>
      <c r="Q415" s="45">
        <v>10</v>
      </c>
      <c r="R415" s="45">
        <v>0</v>
      </c>
      <c r="S415" s="45">
        <v>470</v>
      </c>
      <c r="T415" s="45">
        <v>470</v>
      </c>
      <c r="U415" s="45">
        <v>2881</v>
      </c>
      <c r="V415" s="45">
        <v>0</v>
      </c>
      <c r="W415" s="45">
        <v>0</v>
      </c>
      <c r="X415" s="45">
        <v>711.1</v>
      </c>
      <c r="Y415" s="45">
        <v>0</v>
      </c>
      <c r="Z415" s="45">
        <v>3</v>
      </c>
      <c r="AA415" s="45">
        <v>0</v>
      </c>
      <c r="AB415" s="508">
        <v>1</v>
      </c>
      <c r="AC415" s="508">
        <v>0</v>
      </c>
      <c r="AD415" s="631">
        <v>4</v>
      </c>
      <c r="AE415" s="632">
        <v>0</v>
      </c>
      <c r="AF415" s="632">
        <v>1</v>
      </c>
      <c r="AG415" s="633">
        <v>1</v>
      </c>
      <c r="AH415" s="632">
        <v>0</v>
      </c>
      <c r="AI415" s="632">
        <v>0</v>
      </c>
      <c r="AJ415" s="632">
        <v>2.7273427354372148</v>
      </c>
      <c r="AK415" s="632">
        <v>2.7273427354372148</v>
      </c>
      <c r="AL415" s="632">
        <v>0</v>
      </c>
      <c r="AM415" s="632">
        <v>0</v>
      </c>
      <c r="AN415" s="632">
        <v>0.91245411038790925</v>
      </c>
      <c r="AO415" s="632">
        <v>0.91245411038790925</v>
      </c>
      <c r="AP415" s="632">
        <v>0</v>
      </c>
      <c r="AQ415" s="632">
        <v>0.92984135081383867</v>
      </c>
      <c r="AR415" s="632">
        <v>0</v>
      </c>
      <c r="AS415" s="632">
        <v>2.4794661321807161</v>
      </c>
      <c r="AT415" s="632">
        <v>2.600452642015556</v>
      </c>
      <c r="AU415" s="632">
        <v>2.7273427354372148</v>
      </c>
      <c r="AV415" s="632">
        <v>2.8604244800923593</v>
      </c>
      <c r="AW415" s="632">
        <v>3</v>
      </c>
      <c r="AX415" s="632">
        <v>0.83257250356379087</v>
      </c>
      <c r="AY415" s="632">
        <v>0.87159864792961517</v>
      </c>
      <c r="AZ415" s="632">
        <v>0.91245411038790925</v>
      </c>
      <c r="BA415" s="632">
        <v>0.9552246387043779</v>
      </c>
      <c r="BB415" s="632">
        <v>1</v>
      </c>
      <c r="BC415" s="632">
        <v>0.86460493768330426</v>
      </c>
      <c r="BD415" s="632">
        <v>0.89663003695825327</v>
      </c>
      <c r="BE415" s="632">
        <v>0.92984135081383867</v>
      </c>
      <c r="BF415" s="632">
        <v>0.96428281681975381</v>
      </c>
      <c r="BG415" s="632">
        <v>1</v>
      </c>
      <c r="BH415" s="634">
        <v>3.0379733228516161</v>
      </c>
      <c r="BI415" s="634">
        <v>3.0764273034526965</v>
      </c>
      <c r="BJ415" s="634">
        <v>3.1153680258605418</v>
      </c>
      <c r="BK415" s="635">
        <v>3.094885847943218</v>
      </c>
      <c r="BL415" s="635">
        <v>3.0745383313592431</v>
      </c>
      <c r="BM415" s="635">
        <v>3.0966100285062779</v>
      </c>
      <c r="BN415" s="635">
        <v>3.1188401753984278</v>
      </c>
      <c r="BO415" s="635">
        <v>3.1412299095251015</v>
      </c>
      <c r="BP415" s="635">
        <v>3.1637803765415899</v>
      </c>
      <c r="BQ415" s="635">
        <v>3.1864927303276898</v>
      </c>
      <c r="BR415" s="635">
        <v>3.2043805056497248</v>
      </c>
      <c r="BS415" s="635">
        <v>3.2223686962348879</v>
      </c>
      <c r="BT415" s="635">
        <v>3.2404578657768131</v>
      </c>
      <c r="BU415" s="635">
        <v>3.2586485811334986</v>
      </c>
      <c r="BV415" s="635">
        <v>3.27694141234507</v>
      </c>
      <c r="BW415" s="634">
        <v>1.012657774283872</v>
      </c>
      <c r="BX415" s="634">
        <v>1.0254757678175654</v>
      </c>
      <c r="BY415" s="634">
        <v>1.0384560086201806</v>
      </c>
      <c r="BZ415" s="635">
        <v>1.0316286159810726</v>
      </c>
      <c r="CA415" s="635">
        <v>1.024846110453081</v>
      </c>
      <c r="CB415" s="635">
        <v>1.032203342835426</v>
      </c>
      <c r="CC415" s="635">
        <v>1.0396133917994759</v>
      </c>
      <c r="CD415" s="635">
        <v>1.047076636508367</v>
      </c>
      <c r="CE415" s="635">
        <v>1.0545934588471966</v>
      </c>
      <c r="CF415" s="635">
        <v>1.0621642434425633</v>
      </c>
      <c r="CG415" s="635">
        <v>1.0681268352165749</v>
      </c>
      <c r="CH415" s="635">
        <v>1.0741228987449627</v>
      </c>
      <c r="CI415" s="635">
        <v>1.0801526219256044</v>
      </c>
      <c r="CJ415" s="635">
        <v>1.0862161937111663</v>
      </c>
      <c r="CK415" s="635">
        <v>1.0923138041150233</v>
      </c>
      <c r="CL415" s="634">
        <v>1.012657774283872</v>
      </c>
      <c r="CM415" s="634">
        <v>1.0254757678175654</v>
      </c>
      <c r="CN415" s="634">
        <v>1.0384560086201806</v>
      </c>
      <c r="CO415" s="635">
        <v>1.0316286159810726</v>
      </c>
      <c r="CP415" s="635">
        <v>1.024846110453081</v>
      </c>
      <c r="CQ415" s="635">
        <v>1.032203342835426</v>
      </c>
      <c r="CR415" s="635">
        <v>1.0396133917994759</v>
      </c>
      <c r="CS415" s="635">
        <v>1.047076636508367</v>
      </c>
      <c r="CT415" s="635">
        <v>1.0545934588471966</v>
      </c>
      <c r="CU415" s="635">
        <v>1.0621642434425633</v>
      </c>
      <c r="CV415" s="635">
        <v>1.0681268352165749</v>
      </c>
      <c r="CW415" s="635">
        <v>1.0741228987449627</v>
      </c>
      <c r="CX415" s="635">
        <v>1.0801526219256044</v>
      </c>
      <c r="CY415" s="635">
        <v>1.0862161937111663</v>
      </c>
      <c r="CZ415" s="635">
        <v>1.0923138041150233</v>
      </c>
      <c r="DA415" s="636">
        <v>0</v>
      </c>
      <c r="DB415" s="636">
        <v>0</v>
      </c>
      <c r="DC415" s="636">
        <v>0</v>
      </c>
      <c r="DD415" s="637">
        <v>0</v>
      </c>
      <c r="DE415" s="637">
        <v>0</v>
      </c>
      <c r="DF415" s="637">
        <v>0</v>
      </c>
      <c r="DG415" s="637">
        <v>0</v>
      </c>
      <c r="DH415" s="637">
        <v>0</v>
      </c>
      <c r="DI415" s="637">
        <v>0</v>
      </c>
      <c r="DJ415" s="637">
        <v>0</v>
      </c>
      <c r="DK415" s="637">
        <v>0</v>
      </c>
      <c r="DL415" s="637">
        <v>0</v>
      </c>
      <c r="DM415" s="637">
        <v>0</v>
      </c>
      <c r="DN415" s="637">
        <v>0</v>
      </c>
      <c r="DO415" s="637">
        <v>0</v>
      </c>
      <c r="DP415" s="636">
        <v>0</v>
      </c>
      <c r="DQ415" s="636">
        <v>0</v>
      </c>
      <c r="DR415" s="636">
        <v>0</v>
      </c>
      <c r="DS415" s="637">
        <v>0</v>
      </c>
      <c r="DT415" s="637">
        <v>0</v>
      </c>
      <c r="DU415" s="637">
        <v>0</v>
      </c>
      <c r="DV415" s="637">
        <v>0</v>
      </c>
      <c r="DW415" s="637">
        <v>0</v>
      </c>
      <c r="DX415" s="637">
        <v>0</v>
      </c>
      <c r="DY415" s="637">
        <v>0</v>
      </c>
      <c r="DZ415" s="637">
        <v>0</v>
      </c>
      <c r="EA415" s="637">
        <v>0</v>
      </c>
      <c r="EB415" s="637">
        <v>0</v>
      </c>
      <c r="EC415" s="637">
        <v>0</v>
      </c>
      <c r="ED415" s="637">
        <v>0</v>
      </c>
    </row>
    <row r="416" spans="1:134" ht="15" x14ac:dyDescent="0.25">
      <c r="A416" s="555">
        <v>111</v>
      </c>
      <c r="B416" s="555">
        <v>111</v>
      </c>
      <c r="C416" s="555" t="s">
        <v>1399</v>
      </c>
      <c r="D416" s="812">
        <v>99712</v>
      </c>
      <c r="E416" s="812">
        <v>99712</v>
      </c>
      <c r="F416" s="630" t="s">
        <v>989</v>
      </c>
      <c r="G416" s="45">
        <v>2</v>
      </c>
      <c r="H416" s="45">
        <v>1</v>
      </c>
      <c r="I416" s="45">
        <v>1</v>
      </c>
      <c r="J416" s="45">
        <v>0</v>
      </c>
      <c r="K416" s="45">
        <v>0</v>
      </c>
      <c r="L416" s="45">
        <v>6</v>
      </c>
      <c r="M416" s="45">
        <v>6</v>
      </c>
      <c r="N416" s="45">
        <v>0</v>
      </c>
      <c r="O416" s="45">
        <v>0</v>
      </c>
      <c r="P416" s="45">
        <v>0</v>
      </c>
      <c r="Q416" s="45">
        <v>6</v>
      </c>
      <c r="R416" s="45">
        <v>0</v>
      </c>
      <c r="S416" s="45">
        <v>1628.6666666666667</v>
      </c>
      <c r="T416" s="45">
        <v>1628.6666666666667</v>
      </c>
      <c r="U416" s="45">
        <v>0</v>
      </c>
      <c r="V416" s="45">
        <v>0</v>
      </c>
      <c r="W416" s="45">
        <v>0</v>
      </c>
      <c r="X416" s="45">
        <v>1628.6666666666667</v>
      </c>
      <c r="Y416" s="45">
        <v>0</v>
      </c>
      <c r="Z416" s="45">
        <v>1</v>
      </c>
      <c r="AA416" s="45">
        <v>0</v>
      </c>
      <c r="AB416" s="508">
        <v>0</v>
      </c>
      <c r="AC416" s="508">
        <v>0</v>
      </c>
      <c r="AD416" s="631">
        <v>1</v>
      </c>
      <c r="AE416" s="632">
        <v>0</v>
      </c>
      <c r="AF416" s="632">
        <v>1</v>
      </c>
      <c r="AG416" s="633">
        <v>1</v>
      </c>
      <c r="AH416" s="632">
        <v>0</v>
      </c>
      <c r="AI416" s="632">
        <v>0</v>
      </c>
      <c r="AJ416" s="632">
        <v>0.90911424514573824</v>
      </c>
      <c r="AK416" s="632">
        <v>0.90911424514573824</v>
      </c>
      <c r="AL416" s="632">
        <v>0</v>
      </c>
      <c r="AM416" s="632">
        <v>0</v>
      </c>
      <c r="AN416" s="632">
        <v>0.91245411038790925</v>
      </c>
      <c r="AO416" s="632">
        <v>0.91245411038790925</v>
      </c>
      <c r="AP416" s="632">
        <v>0</v>
      </c>
      <c r="AQ416" s="632">
        <v>0</v>
      </c>
      <c r="AR416" s="632">
        <v>0</v>
      </c>
      <c r="AS416" s="632">
        <v>0.82648871072690544</v>
      </c>
      <c r="AT416" s="632">
        <v>0.86681754733851879</v>
      </c>
      <c r="AU416" s="632">
        <v>0.90911424514573824</v>
      </c>
      <c r="AV416" s="632">
        <v>0.95347482669745309</v>
      </c>
      <c r="AW416" s="632">
        <v>1</v>
      </c>
      <c r="AX416" s="632">
        <v>0.83257250356379087</v>
      </c>
      <c r="AY416" s="632">
        <v>0.87159864792961517</v>
      </c>
      <c r="AZ416" s="632">
        <v>0.91245411038790925</v>
      </c>
      <c r="BA416" s="632">
        <v>0.9552246387043779</v>
      </c>
      <c r="BB416" s="632">
        <v>1</v>
      </c>
      <c r="BC416" s="632">
        <v>0</v>
      </c>
      <c r="BD416" s="632">
        <v>0</v>
      </c>
      <c r="BE416" s="632">
        <v>0</v>
      </c>
      <c r="BF416" s="632">
        <v>0</v>
      </c>
      <c r="BG416" s="632">
        <v>0</v>
      </c>
      <c r="BH416" s="634">
        <v>1.0134066054705759</v>
      </c>
      <c r="BI416" s="634">
        <v>1.0269929480113955</v>
      </c>
      <c r="BJ416" s="634">
        <v>1.040761437286448</v>
      </c>
      <c r="BK416" s="635">
        <v>1.0339188874653549</v>
      </c>
      <c r="BL416" s="635">
        <v>1.0271213244071997</v>
      </c>
      <c r="BM416" s="635">
        <v>1.034494890244499</v>
      </c>
      <c r="BN416" s="635">
        <v>1.0419213899191793</v>
      </c>
      <c r="BO416" s="635">
        <v>1.0494012034361397</v>
      </c>
      <c r="BP416" s="635">
        <v>1.0569347135282832</v>
      </c>
      <c r="BQ416" s="635">
        <v>1.0645223056761002</v>
      </c>
      <c r="BR416" s="635">
        <v>1.0704981347272684</v>
      </c>
      <c r="BS416" s="635">
        <v>1.076507509841923</v>
      </c>
      <c r="BT416" s="635">
        <v>1.0825506193350853</v>
      </c>
      <c r="BU416" s="635">
        <v>1.0886276525789067</v>
      </c>
      <c r="BV416" s="635">
        <v>1.0947388000086022</v>
      </c>
      <c r="BW416" s="634">
        <v>1.0134066054705759</v>
      </c>
      <c r="BX416" s="634">
        <v>1.0269929480113955</v>
      </c>
      <c r="BY416" s="634">
        <v>1.040761437286448</v>
      </c>
      <c r="BZ416" s="635">
        <v>1.0339188874653549</v>
      </c>
      <c r="CA416" s="635">
        <v>1.0271213244071997</v>
      </c>
      <c r="CB416" s="635">
        <v>1.034494890244499</v>
      </c>
      <c r="CC416" s="635">
        <v>1.0419213899191793</v>
      </c>
      <c r="CD416" s="635">
        <v>1.0494012034361397</v>
      </c>
      <c r="CE416" s="635">
        <v>1.0569347135282832</v>
      </c>
      <c r="CF416" s="635">
        <v>1.0645223056761002</v>
      </c>
      <c r="CG416" s="635">
        <v>1.0704981347272684</v>
      </c>
      <c r="CH416" s="635">
        <v>1.076507509841923</v>
      </c>
      <c r="CI416" s="635">
        <v>1.0825506193350853</v>
      </c>
      <c r="CJ416" s="635">
        <v>1.0886276525789067</v>
      </c>
      <c r="CK416" s="635">
        <v>1.0947388000086022</v>
      </c>
      <c r="CL416" s="634">
        <v>0</v>
      </c>
      <c r="CM416" s="634">
        <v>0</v>
      </c>
      <c r="CN416" s="634">
        <v>0</v>
      </c>
      <c r="CO416" s="635">
        <v>0</v>
      </c>
      <c r="CP416" s="635">
        <v>0</v>
      </c>
      <c r="CQ416" s="635">
        <v>0</v>
      </c>
      <c r="CR416" s="635">
        <v>0</v>
      </c>
      <c r="CS416" s="635">
        <v>0</v>
      </c>
      <c r="CT416" s="635">
        <v>0</v>
      </c>
      <c r="CU416" s="635">
        <v>0</v>
      </c>
      <c r="CV416" s="635">
        <v>0</v>
      </c>
      <c r="CW416" s="635">
        <v>0</v>
      </c>
      <c r="CX416" s="635">
        <v>0</v>
      </c>
      <c r="CY416" s="635">
        <v>0</v>
      </c>
      <c r="CZ416" s="635">
        <v>0</v>
      </c>
      <c r="DA416" s="636">
        <v>0</v>
      </c>
      <c r="DB416" s="636">
        <v>0</v>
      </c>
      <c r="DC416" s="636">
        <v>0</v>
      </c>
      <c r="DD416" s="637">
        <v>0</v>
      </c>
      <c r="DE416" s="637">
        <v>0</v>
      </c>
      <c r="DF416" s="637">
        <v>0</v>
      </c>
      <c r="DG416" s="637">
        <v>0</v>
      </c>
      <c r="DH416" s="637">
        <v>0</v>
      </c>
      <c r="DI416" s="637">
        <v>0</v>
      </c>
      <c r="DJ416" s="637">
        <v>0</v>
      </c>
      <c r="DK416" s="637">
        <v>0</v>
      </c>
      <c r="DL416" s="637">
        <v>0</v>
      </c>
      <c r="DM416" s="637">
        <v>0</v>
      </c>
      <c r="DN416" s="637">
        <v>0</v>
      </c>
      <c r="DO416" s="637">
        <v>0</v>
      </c>
      <c r="DP416" s="636">
        <v>0</v>
      </c>
      <c r="DQ416" s="636">
        <v>0</v>
      </c>
      <c r="DR416" s="636">
        <v>0</v>
      </c>
      <c r="DS416" s="637">
        <v>0</v>
      </c>
      <c r="DT416" s="637">
        <v>0</v>
      </c>
      <c r="DU416" s="637">
        <v>0</v>
      </c>
      <c r="DV416" s="637">
        <v>0</v>
      </c>
      <c r="DW416" s="637">
        <v>0</v>
      </c>
      <c r="DX416" s="637">
        <v>0</v>
      </c>
      <c r="DY416" s="637">
        <v>0</v>
      </c>
      <c r="DZ416" s="637">
        <v>0</v>
      </c>
      <c r="EA416" s="637">
        <v>0</v>
      </c>
      <c r="EB416" s="637">
        <v>0</v>
      </c>
      <c r="EC416" s="637">
        <v>0</v>
      </c>
      <c r="ED416" s="637">
        <v>0</v>
      </c>
    </row>
    <row r="417" spans="1:134" ht="15" x14ac:dyDescent="0.25">
      <c r="A417" s="555">
        <v>112</v>
      </c>
      <c r="B417" s="555">
        <v>111</v>
      </c>
      <c r="C417" s="555" t="s">
        <v>1400</v>
      </c>
      <c r="D417" s="812">
        <v>99712</v>
      </c>
      <c r="E417" s="812">
        <v>99712</v>
      </c>
      <c r="F417" s="630" t="s">
        <v>989</v>
      </c>
      <c r="G417" s="45">
        <v>0</v>
      </c>
      <c r="H417" s="45">
        <v>1</v>
      </c>
      <c r="I417" s="45">
        <v>0</v>
      </c>
      <c r="J417" s="45">
        <v>1</v>
      </c>
      <c r="K417" s="45">
        <v>0</v>
      </c>
      <c r="L417" s="45">
        <v>5</v>
      </c>
      <c r="M417" s="45">
        <v>5</v>
      </c>
      <c r="N417" s="45">
        <v>0</v>
      </c>
      <c r="O417" s="45">
        <v>0</v>
      </c>
      <c r="P417" s="45">
        <v>0</v>
      </c>
      <c r="Q417" s="45">
        <v>5</v>
      </c>
      <c r="R417" s="45">
        <v>0</v>
      </c>
      <c r="S417" s="45">
        <v>718.4</v>
      </c>
      <c r="T417" s="45">
        <v>718.4</v>
      </c>
      <c r="U417" s="45">
        <v>0</v>
      </c>
      <c r="V417" s="45">
        <v>0</v>
      </c>
      <c r="W417" s="45">
        <v>0</v>
      </c>
      <c r="X417" s="45">
        <v>718.4</v>
      </c>
      <c r="Y417" s="45">
        <v>0</v>
      </c>
      <c r="Z417" s="45">
        <v>1</v>
      </c>
      <c r="AA417" s="45">
        <v>0</v>
      </c>
      <c r="AB417" s="508">
        <v>0</v>
      </c>
      <c r="AC417" s="508">
        <v>0</v>
      </c>
      <c r="AD417" s="631">
        <v>1</v>
      </c>
      <c r="AE417" s="632">
        <v>0</v>
      </c>
      <c r="AF417" s="632">
        <v>0</v>
      </c>
      <c r="AG417" s="633">
        <v>0</v>
      </c>
      <c r="AH417" s="632">
        <v>0</v>
      </c>
      <c r="AI417" s="632">
        <v>0</v>
      </c>
      <c r="AJ417" s="632">
        <v>0.90911424514573824</v>
      </c>
      <c r="AK417" s="632">
        <v>0.90911424514573824</v>
      </c>
      <c r="AL417" s="632">
        <v>0</v>
      </c>
      <c r="AM417" s="632">
        <v>0</v>
      </c>
      <c r="AN417" s="632">
        <v>0</v>
      </c>
      <c r="AO417" s="632">
        <v>0</v>
      </c>
      <c r="AP417" s="632">
        <v>0</v>
      </c>
      <c r="AQ417" s="632">
        <v>0</v>
      </c>
      <c r="AR417" s="632">
        <v>0</v>
      </c>
      <c r="AS417" s="632">
        <v>0.82648871072690544</v>
      </c>
      <c r="AT417" s="632">
        <v>0.86681754733851879</v>
      </c>
      <c r="AU417" s="632">
        <v>0.90911424514573824</v>
      </c>
      <c r="AV417" s="632">
        <v>0.95347482669745309</v>
      </c>
      <c r="AW417" s="632">
        <v>1</v>
      </c>
      <c r="AX417" s="632">
        <v>0</v>
      </c>
      <c r="AY417" s="632">
        <v>0</v>
      </c>
      <c r="AZ417" s="632">
        <v>0</v>
      </c>
      <c r="BA417" s="632">
        <v>0</v>
      </c>
      <c r="BB417" s="632">
        <v>0</v>
      </c>
      <c r="BC417" s="632">
        <v>0</v>
      </c>
      <c r="BD417" s="632">
        <v>0</v>
      </c>
      <c r="BE417" s="632">
        <v>0</v>
      </c>
      <c r="BF417" s="632">
        <v>0</v>
      </c>
      <c r="BG417" s="632">
        <v>0</v>
      </c>
      <c r="BH417" s="634">
        <v>1.0134066054705759</v>
      </c>
      <c r="BI417" s="634">
        <v>1.0269929480113955</v>
      </c>
      <c r="BJ417" s="634">
        <v>1.040761437286448</v>
      </c>
      <c r="BK417" s="635">
        <v>1.0339188874653549</v>
      </c>
      <c r="BL417" s="635">
        <v>1.0271213244071997</v>
      </c>
      <c r="BM417" s="635">
        <v>1.034494890244499</v>
      </c>
      <c r="BN417" s="635">
        <v>1.0419213899191793</v>
      </c>
      <c r="BO417" s="635">
        <v>1.0494012034361397</v>
      </c>
      <c r="BP417" s="635">
        <v>1.0569347135282832</v>
      </c>
      <c r="BQ417" s="635">
        <v>1.0645223056761002</v>
      </c>
      <c r="BR417" s="635">
        <v>1.0704981347272684</v>
      </c>
      <c r="BS417" s="635">
        <v>1.076507509841923</v>
      </c>
      <c r="BT417" s="635">
        <v>1.0825506193350853</v>
      </c>
      <c r="BU417" s="635">
        <v>1.0886276525789067</v>
      </c>
      <c r="BV417" s="635">
        <v>1.0947388000086022</v>
      </c>
      <c r="BW417" s="634">
        <v>0</v>
      </c>
      <c r="BX417" s="634">
        <v>0</v>
      </c>
      <c r="BY417" s="634">
        <v>0</v>
      </c>
      <c r="BZ417" s="635">
        <v>0</v>
      </c>
      <c r="CA417" s="635">
        <v>0</v>
      </c>
      <c r="CB417" s="635">
        <v>0</v>
      </c>
      <c r="CC417" s="635">
        <v>0</v>
      </c>
      <c r="CD417" s="635">
        <v>0</v>
      </c>
      <c r="CE417" s="635">
        <v>0</v>
      </c>
      <c r="CF417" s="635">
        <v>0</v>
      </c>
      <c r="CG417" s="635">
        <v>0</v>
      </c>
      <c r="CH417" s="635">
        <v>0</v>
      </c>
      <c r="CI417" s="635">
        <v>0</v>
      </c>
      <c r="CJ417" s="635">
        <v>0</v>
      </c>
      <c r="CK417" s="635">
        <v>0</v>
      </c>
      <c r="CL417" s="634">
        <v>0</v>
      </c>
      <c r="CM417" s="634">
        <v>0</v>
      </c>
      <c r="CN417" s="634">
        <v>0</v>
      </c>
      <c r="CO417" s="635">
        <v>0</v>
      </c>
      <c r="CP417" s="635">
        <v>0</v>
      </c>
      <c r="CQ417" s="635">
        <v>0</v>
      </c>
      <c r="CR417" s="635">
        <v>0</v>
      </c>
      <c r="CS417" s="635">
        <v>0</v>
      </c>
      <c r="CT417" s="635">
        <v>0</v>
      </c>
      <c r="CU417" s="635">
        <v>0</v>
      </c>
      <c r="CV417" s="635">
        <v>0</v>
      </c>
      <c r="CW417" s="635">
        <v>0</v>
      </c>
      <c r="CX417" s="635">
        <v>0</v>
      </c>
      <c r="CY417" s="635">
        <v>0</v>
      </c>
      <c r="CZ417" s="635">
        <v>0</v>
      </c>
      <c r="DA417" s="636">
        <v>0</v>
      </c>
      <c r="DB417" s="636">
        <v>0</v>
      </c>
      <c r="DC417" s="636">
        <v>0</v>
      </c>
      <c r="DD417" s="637">
        <v>0</v>
      </c>
      <c r="DE417" s="637">
        <v>0</v>
      </c>
      <c r="DF417" s="637">
        <v>0</v>
      </c>
      <c r="DG417" s="637">
        <v>0</v>
      </c>
      <c r="DH417" s="637">
        <v>0</v>
      </c>
      <c r="DI417" s="637">
        <v>0</v>
      </c>
      <c r="DJ417" s="637">
        <v>0</v>
      </c>
      <c r="DK417" s="637">
        <v>0</v>
      </c>
      <c r="DL417" s="637">
        <v>0</v>
      </c>
      <c r="DM417" s="637">
        <v>0</v>
      </c>
      <c r="DN417" s="637">
        <v>0</v>
      </c>
      <c r="DO417" s="637">
        <v>0</v>
      </c>
      <c r="DP417" s="636">
        <v>0</v>
      </c>
      <c r="DQ417" s="636">
        <v>0</v>
      </c>
      <c r="DR417" s="636">
        <v>0</v>
      </c>
      <c r="DS417" s="637">
        <v>0</v>
      </c>
      <c r="DT417" s="637">
        <v>0</v>
      </c>
      <c r="DU417" s="637">
        <v>0</v>
      </c>
      <c r="DV417" s="637">
        <v>0</v>
      </c>
      <c r="DW417" s="637">
        <v>0</v>
      </c>
      <c r="DX417" s="637">
        <v>0</v>
      </c>
      <c r="DY417" s="637">
        <v>0</v>
      </c>
      <c r="DZ417" s="637">
        <v>0</v>
      </c>
      <c r="EA417" s="637">
        <v>0</v>
      </c>
      <c r="EB417" s="637">
        <v>0</v>
      </c>
      <c r="EC417" s="637">
        <v>0</v>
      </c>
      <c r="ED417" s="637">
        <v>0</v>
      </c>
    </row>
    <row r="418" spans="1:134" ht="15" x14ac:dyDescent="0.25">
      <c r="A418" s="555">
        <v>118</v>
      </c>
      <c r="B418" s="555">
        <v>111</v>
      </c>
      <c r="C418" s="555" t="s">
        <v>1401</v>
      </c>
      <c r="D418" s="812">
        <v>99712</v>
      </c>
      <c r="E418" s="812">
        <v>99712</v>
      </c>
      <c r="F418" s="630" t="s">
        <v>989</v>
      </c>
      <c r="G418" s="45">
        <v>21</v>
      </c>
      <c r="H418" s="45">
        <v>23</v>
      </c>
      <c r="I418" s="45">
        <v>13</v>
      </c>
      <c r="J418" s="45">
        <v>10</v>
      </c>
      <c r="K418" s="45">
        <v>0</v>
      </c>
      <c r="L418" s="45">
        <v>3</v>
      </c>
      <c r="M418" s="45">
        <v>3</v>
      </c>
      <c r="N418" s="45">
        <v>0</v>
      </c>
      <c r="O418" s="45">
        <v>0</v>
      </c>
      <c r="P418" s="45">
        <v>0</v>
      </c>
      <c r="Q418" s="45">
        <v>3</v>
      </c>
      <c r="R418" s="45">
        <v>0</v>
      </c>
      <c r="S418" s="45">
        <v>633</v>
      </c>
      <c r="T418" s="45">
        <v>633</v>
      </c>
      <c r="U418" s="45">
        <v>0</v>
      </c>
      <c r="V418" s="45">
        <v>0</v>
      </c>
      <c r="W418" s="45">
        <v>0</v>
      </c>
      <c r="X418" s="45">
        <v>633</v>
      </c>
      <c r="Y418" s="45">
        <v>0</v>
      </c>
      <c r="Z418" s="45">
        <v>23</v>
      </c>
      <c r="AA418" s="45">
        <v>0</v>
      </c>
      <c r="AB418" s="508">
        <v>0</v>
      </c>
      <c r="AC418" s="508">
        <v>0</v>
      </c>
      <c r="AD418" s="631">
        <v>23</v>
      </c>
      <c r="AE418" s="632">
        <v>0</v>
      </c>
      <c r="AF418" s="632">
        <v>13</v>
      </c>
      <c r="AG418" s="633">
        <v>13</v>
      </c>
      <c r="AH418" s="632">
        <v>0</v>
      </c>
      <c r="AI418" s="632">
        <v>0</v>
      </c>
      <c r="AJ418" s="632">
        <v>20.909627638351978</v>
      </c>
      <c r="AK418" s="632">
        <v>20.909627638351978</v>
      </c>
      <c r="AL418" s="632">
        <v>0</v>
      </c>
      <c r="AM418" s="632">
        <v>0</v>
      </c>
      <c r="AN418" s="632">
        <v>11.861903435042819</v>
      </c>
      <c r="AO418" s="632">
        <v>11.861903435042819</v>
      </c>
      <c r="AP418" s="632">
        <v>0</v>
      </c>
      <c r="AQ418" s="632">
        <v>0</v>
      </c>
      <c r="AR418" s="632">
        <v>0</v>
      </c>
      <c r="AS418" s="632">
        <v>19.009240346718826</v>
      </c>
      <c r="AT418" s="632">
        <v>19.936803588785931</v>
      </c>
      <c r="AU418" s="632">
        <v>20.909627638351978</v>
      </c>
      <c r="AV418" s="632">
        <v>21.929921014041422</v>
      </c>
      <c r="AW418" s="632">
        <v>23</v>
      </c>
      <c r="AX418" s="632">
        <v>10.82344254632928</v>
      </c>
      <c r="AY418" s="632">
        <v>11.330782423084997</v>
      </c>
      <c r="AZ418" s="632">
        <v>11.861903435042819</v>
      </c>
      <c r="BA418" s="632">
        <v>12.417920303156913</v>
      </c>
      <c r="BB418" s="632">
        <v>13</v>
      </c>
      <c r="BC418" s="632">
        <v>0</v>
      </c>
      <c r="BD418" s="632">
        <v>0</v>
      </c>
      <c r="BE418" s="632">
        <v>0</v>
      </c>
      <c r="BF418" s="632">
        <v>0</v>
      </c>
      <c r="BG418" s="632">
        <v>0</v>
      </c>
      <c r="BH418" s="634">
        <v>23.308351925823246</v>
      </c>
      <c r="BI418" s="634">
        <v>23.620837804262095</v>
      </c>
      <c r="BJ418" s="634">
        <v>23.937513057588305</v>
      </c>
      <c r="BK418" s="635">
        <v>23.780134411703166</v>
      </c>
      <c r="BL418" s="635">
        <v>23.623790461365598</v>
      </c>
      <c r="BM418" s="635">
        <v>23.793382475623478</v>
      </c>
      <c r="BN418" s="635">
        <v>23.964191968141122</v>
      </c>
      <c r="BO418" s="635">
        <v>24.136227679031215</v>
      </c>
      <c r="BP418" s="635">
        <v>24.309498411150511</v>
      </c>
      <c r="BQ418" s="635">
        <v>24.484013030550305</v>
      </c>
      <c r="BR418" s="635">
        <v>24.621457098727173</v>
      </c>
      <c r="BS418" s="635">
        <v>24.759672726364229</v>
      </c>
      <c r="BT418" s="635">
        <v>24.898664244706964</v>
      </c>
      <c r="BU418" s="635">
        <v>25.038436009314857</v>
      </c>
      <c r="BV418" s="635">
        <v>25.178992400197853</v>
      </c>
      <c r="BW418" s="634">
        <v>13.174285871117487</v>
      </c>
      <c r="BX418" s="634">
        <v>13.350908324148142</v>
      </c>
      <c r="BY418" s="634">
        <v>13.529898684723824</v>
      </c>
      <c r="BZ418" s="635">
        <v>13.440945537049615</v>
      </c>
      <c r="CA418" s="635">
        <v>13.352577217293597</v>
      </c>
      <c r="CB418" s="635">
        <v>13.448433573178486</v>
      </c>
      <c r="CC418" s="635">
        <v>13.54497806894933</v>
      </c>
      <c r="CD418" s="635">
        <v>13.642215644669816</v>
      </c>
      <c r="CE418" s="635">
        <v>13.74015127586768</v>
      </c>
      <c r="CF418" s="635">
        <v>13.838789973789302</v>
      </c>
      <c r="CG418" s="635">
        <v>13.916475751454488</v>
      </c>
      <c r="CH418" s="635">
        <v>13.994597627944998</v>
      </c>
      <c r="CI418" s="635">
        <v>14.07315805135611</v>
      </c>
      <c r="CJ418" s="635">
        <v>14.152159483525788</v>
      </c>
      <c r="CK418" s="635">
        <v>14.231604400111829</v>
      </c>
      <c r="CL418" s="634">
        <v>0</v>
      </c>
      <c r="CM418" s="634">
        <v>0</v>
      </c>
      <c r="CN418" s="634">
        <v>0</v>
      </c>
      <c r="CO418" s="635">
        <v>0</v>
      </c>
      <c r="CP418" s="635">
        <v>0</v>
      </c>
      <c r="CQ418" s="635">
        <v>0</v>
      </c>
      <c r="CR418" s="635">
        <v>0</v>
      </c>
      <c r="CS418" s="635">
        <v>0</v>
      </c>
      <c r="CT418" s="635">
        <v>0</v>
      </c>
      <c r="CU418" s="635">
        <v>0</v>
      </c>
      <c r="CV418" s="635">
        <v>0</v>
      </c>
      <c r="CW418" s="635">
        <v>0</v>
      </c>
      <c r="CX418" s="635">
        <v>0</v>
      </c>
      <c r="CY418" s="635">
        <v>0</v>
      </c>
      <c r="CZ418" s="635">
        <v>0</v>
      </c>
      <c r="DA418" s="636">
        <v>0</v>
      </c>
      <c r="DB418" s="636">
        <v>0</v>
      </c>
      <c r="DC418" s="636">
        <v>0</v>
      </c>
      <c r="DD418" s="637">
        <v>0</v>
      </c>
      <c r="DE418" s="637">
        <v>0</v>
      </c>
      <c r="DF418" s="637">
        <v>0</v>
      </c>
      <c r="DG418" s="637">
        <v>0</v>
      </c>
      <c r="DH418" s="637">
        <v>0</v>
      </c>
      <c r="DI418" s="637">
        <v>0</v>
      </c>
      <c r="DJ418" s="637">
        <v>0</v>
      </c>
      <c r="DK418" s="637">
        <v>0</v>
      </c>
      <c r="DL418" s="637">
        <v>0</v>
      </c>
      <c r="DM418" s="637">
        <v>0</v>
      </c>
      <c r="DN418" s="637">
        <v>0</v>
      </c>
      <c r="DO418" s="637">
        <v>0</v>
      </c>
      <c r="DP418" s="636">
        <v>0</v>
      </c>
      <c r="DQ418" s="636">
        <v>0</v>
      </c>
      <c r="DR418" s="636">
        <v>0</v>
      </c>
      <c r="DS418" s="637">
        <v>0</v>
      </c>
      <c r="DT418" s="637">
        <v>0</v>
      </c>
      <c r="DU418" s="637">
        <v>0</v>
      </c>
      <c r="DV418" s="637">
        <v>0</v>
      </c>
      <c r="DW418" s="637">
        <v>0</v>
      </c>
      <c r="DX418" s="637">
        <v>0</v>
      </c>
      <c r="DY418" s="637">
        <v>0</v>
      </c>
      <c r="DZ418" s="637">
        <v>0</v>
      </c>
      <c r="EA418" s="637">
        <v>0</v>
      </c>
      <c r="EB418" s="637">
        <v>0</v>
      </c>
      <c r="EC418" s="637">
        <v>0</v>
      </c>
      <c r="ED418" s="637">
        <v>0</v>
      </c>
    </row>
    <row r="419" spans="1:134" ht="15" x14ac:dyDescent="0.25">
      <c r="A419" s="555">
        <v>119</v>
      </c>
      <c r="B419" s="555">
        <v>111</v>
      </c>
      <c r="C419" s="555" t="s">
        <v>1402</v>
      </c>
      <c r="D419" s="812">
        <v>99712</v>
      </c>
      <c r="E419" s="812">
        <v>99712</v>
      </c>
      <c r="F419" s="630" t="s">
        <v>989</v>
      </c>
      <c r="G419" s="45">
        <v>5</v>
      </c>
      <c r="H419" s="45">
        <v>6</v>
      </c>
      <c r="I419" s="45">
        <v>3</v>
      </c>
      <c r="J419" s="45">
        <v>3</v>
      </c>
      <c r="K419" s="45">
        <v>0</v>
      </c>
      <c r="L419" s="45">
        <v>19</v>
      </c>
      <c r="M419" s="45">
        <v>19</v>
      </c>
      <c r="N419" s="45">
        <v>1</v>
      </c>
      <c r="O419" s="45">
        <v>0</v>
      </c>
      <c r="P419" s="45">
        <v>0</v>
      </c>
      <c r="Q419" s="45">
        <v>20</v>
      </c>
      <c r="R419" s="45">
        <v>0</v>
      </c>
      <c r="S419" s="45">
        <v>928.36842105263156</v>
      </c>
      <c r="T419" s="45">
        <v>928.36842105263156</v>
      </c>
      <c r="U419" s="45">
        <v>480</v>
      </c>
      <c r="V419" s="45">
        <v>0</v>
      </c>
      <c r="W419" s="45">
        <v>0</v>
      </c>
      <c r="X419" s="45">
        <v>905.95</v>
      </c>
      <c r="Y419" s="45">
        <v>0</v>
      </c>
      <c r="Z419" s="45">
        <v>6</v>
      </c>
      <c r="AA419" s="45">
        <v>0</v>
      </c>
      <c r="AB419" s="508">
        <v>1</v>
      </c>
      <c r="AC419" s="508">
        <v>0</v>
      </c>
      <c r="AD419" s="631">
        <v>7</v>
      </c>
      <c r="AE419" s="632">
        <v>0</v>
      </c>
      <c r="AF419" s="632">
        <v>3</v>
      </c>
      <c r="AG419" s="633">
        <v>3</v>
      </c>
      <c r="AH419" s="632">
        <v>0</v>
      </c>
      <c r="AI419" s="632">
        <v>0</v>
      </c>
      <c r="AJ419" s="632">
        <v>5.4546854708744297</v>
      </c>
      <c r="AK419" s="632">
        <v>5.4546854708744297</v>
      </c>
      <c r="AL419" s="632">
        <v>0</v>
      </c>
      <c r="AM419" s="632">
        <v>0</v>
      </c>
      <c r="AN419" s="632">
        <v>2.7373623311637276</v>
      </c>
      <c r="AO419" s="632">
        <v>2.7373623311637276</v>
      </c>
      <c r="AP419" s="632">
        <v>0</v>
      </c>
      <c r="AQ419" s="632">
        <v>0.92984135081383867</v>
      </c>
      <c r="AR419" s="632">
        <v>0</v>
      </c>
      <c r="AS419" s="632">
        <v>4.9589322643614322</v>
      </c>
      <c r="AT419" s="632">
        <v>5.2009052840311121</v>
      </c>
      <c r="AU419" s="632">
        <v>5.4546854708744297</v>
      </c>
      <c r="AV419" s="632">
        <v>5.7208489601847186</v>
      </c>
      <c r="AW419" s="632">
        <v>6</v>
      </c>
      <c r="AX419" s="632">
        <v>2.4977175106913725</v>
      </c>
      <c r="AY419" s="632">
        <v>2.6147959437888453</v>
      </c>
      <c r="AZ419" s="632">
        <v>2.7373623311637276</v>
      </c>
      <c r="BA419" s="632">
        <v>2.8656739161131335</v>
      </c>
      <c r="BB419" s="632">
        <v>3</v>
      </c>
      <c r="BC419" s="632">
        <v>0.86460493768330426</v>
      </c>
      <c r="BD419" s="632">
        <v>0.89663003695825327</v>
      </c>
      <c r="BE419" s="632">
        <v>0.92984135081383867</v>
      </c>
      <c r="BF419" s="632">
        <v>0.96428281681975381</v>
      </c>
      <c r="BG419" s="632">
        <v>1</v>
      </c>
      <c r="BH419" s="634">
        <v>6.080439632823456</v>
      </c>
      <c r="BI419" s="634">
        <v>6.1619576880683731</v>
      </c>
      <c r="BJ419" s="634">
        <v>6.2445686237186884</v>
      </c>
      <c r="BK419" s="635">
        <v>6.2035133247921301</v>
      </c>
      <c r="BL419" s="635">
        <v>6.1627279464431997</v>
      </c>
      <c r="BM419" s="635">
        <v>6.2069693414669942</v>
      </c>
      <c r="BN419" s="635">
        <v>6.251528339515076</v>
      </c>
      <c r="BO419" s="635">
        <v>6.2964072206168389</v>
      </c>
      <c r="BP419" s="635">
        <v>6.341608281169699</v>
      </c>
      <c r="BQ419" s="635">
        <v>6.3871338340566011</v>
      </c>
      <c r="BR419" s="635">
        <v>6.4229888083636109</v>
      </c>
      <c r="BS419" s="635">
        <v>6.4590450590515385</v>
      </c>
      <c r="BT419" s="635">
        <v>6.4953037160105129</v>
      </c>
      <c r="BU419" s="635">
        <v>6.5317659154734411</v>
      </c>
      <c r="BV419" s="635">
        <v>6.5684328000516139</v>
      </c>
      <c r="BW419" s="634">
        <v>3.040219816411728</v>
      </c>
      <c r="BX419" s="634">
        <v>3.0809788440341865</v>
      </c>
      <c r="BY419" s="634">
        <v>3.1222843118593442</v>
      </c>
      <c r="BZ419" s="635">
        <v>3.1017566623960651</v>
      </c>
      <c r="CA419" s="635">
        <v>3.0813639732215998</v>
      </c>
      <c r="CB419" s="635">
        <v>3.1034846707334971</v>
      </c>
      <c r="CC419" s="635">
        <v>3.125764169757538</v>
      </c>
      <c r="CD419" s="635">
        <v>3.1482036103084194</v>
      </c>
      <c r="CE419" s="635">
        <v>3.1708041405848495</v>
      </c>
      <c r="CF419" s="635">
        <v>3.1935669170283005</v>
      </c>
      <c r="CG419" s="635">
        <v>3.2114944041818054</v>
      </c>
      <c r="CH419" s="635">
        <v>3.2295225295257692</v>
      </c>
      <c r="CI419" s="635">
        <v>3.2476518580052565</v>
      </c>
      <c r="CJ419" s="635">
        <v>3.2658829577367205</v>
      </c>
      <c r="CK419" s="635">
        <v>3.2842164000258069</v>
      </c>
      <c r="CL419" s="634">
        <v>1.0134066054705759</v>
      </c>
      <c r="CM419" s="634">
        <v>1.0269929480113955</v>
      </c>
      <c r="CN419" s="634">
        <v>1.040761437286448</v>
      </c>
      <c r="CO419" s="635">
        <v>1.0339188874653549</v>
      </c>
      <c r="CP419" s="635">
        <v>1.0271213244071997</v>
      </c>
      <c r="CQ419" s="635">
        <v>1.034494890244499</v>
      </c>
      <c r="CR419" s="635">
        <v>1.0419213899191793</v>
      </c>
      <c r="CS419" s="635">
        <v>1.0494012034361397</v>
      </c>
      <c r="CT419" s="635">
        <v>1.0569347135282832</v>
      </c>
      <c r="CU419" s="635">
        <v>1.0645223056761002</v>
      </c>
      <c r="CV419" s="635">
        <v>1.0704981347272684</v>
      </c>
      <c r="CW419" s="635">
        <v>1.076507509841923</v>
      </c>
      <c r="CX419" s="635">
        <v>1.0825506193350853</v>
      </c>
      <c r="CY419" s="635">
        <v>1.0886276525789067</v>
      </c>
      <c r="CZ419" s="635">
        <v>1.0947388000086022</v>
      </c>
      <c r="DA419" s="636">
        <v>0</v>
      </c>
      <c r="DB419" s="636">
        <v>0</v>
      </c>
      <c r="DC419" s="636">
        <v>0</v>
      </c>
      <c r="DD419" s="637">
        <v>0</v>
      </c>
      <c r="DE419" s="637">
        <v>0</v>
      </c>
      <c r="DF419" s="637">
        <v>0</v>
      </c>
      <c r="DG419" s="637">
        <v>0</v>
      </c>
      <c r="DH419" s="637">
        <v>0</v>
      </c>
      <c r="DI419" s="637">
        <v>0</v>
      </c>
      <c r="DJ419" s="637">
        <v>0</v>
      </c>
      <c r="DK419" s="637">
        <v>0</v>
      </c>
      <c r="DL419" s="637">
        <v>0</v>
      </c>
      <c r="DM419" s="637">
        <v>0</v>
      </c>
      <c r="DN419" s="637">
        <v>0</v>
      </c>
      <c r="DO419" s="637">
        <v>0</v>
      </c>
      <c r="DP419" s="636">
        <v>0</v>
      </c>
      <c r="DQ419" s="636">
        <v>0</v>
      </c>
      <c r="DR419" s="636">
        <v>0</v>
      </c>
      <c r="DS419" s="637">
        <v>0</v>
      </c>
      <c r="DT419" s="637">
        <v>0</v>
      </c>
      <c r="DU419" s="637">
        <v>0</v>
      </c>
      <c r="DV419" s="637">
        <v>0</v>
      </c>
      <c r="DW419" s="637">
        <v>0</v>
      </c>
      <c r="DX419" s="637">
        <v>0</v>
      </c>
      <c r="DY419" s="637">
        <v>0</v>
      </c>
      <c r="DZ419" s="637">
        <v>0</v>
      </c>
      <c r="EA419" s="637">
        <v>0</v>
      </c>
      <c r="EB419" s="637">
        <v>0</v>
      </c>
      <c r="EC419" s="637">
        <v>0</v>
      </c>
      <c r="ED419" s="637">
        <v>0</v>
      </c>
    </row>
    <row r="420" spans="1:134" ht="15" x14ac:dyDescent="0.25">
      <c r="A420" s="555">
        <v>120</v>
      </c>
      <c r="B420" s="555">
        <v>111</v>
      </c>
      <c r="C420" s="555" t="s">
        <v>1403</v>
      </c>
      <c r="D420" s="812">
        <v>99712</v>
      </c>
      <c r="E420" s="812">
        <v>99712</v>
      </c>
      <c r="F420" s="630" t="s">
        <v>989</v>
      </c>
      <c r="G420" s="45">
        <v>3</v>
      </c>
      <c r="H420" s="45">
        <v>3</v>
      </c>
      <c r="I420" s="45">
        <v>2</v>
      </c>
      <c r="J420" s="45">
        <v>1</v>
      </c>
      <c r="K420" s="45">
        <v>0</v>
      </c>
      <c r="L420" s="45">
        <v>10</v>
      </c>
      <c r="M420" s="45">
        <v>10</v>
      </c>
      <c r="N420" s="45">
        <v>2</v>
      </c>
      <c r="O420" s="45">
        <v>0</v>
      </c>
      <c r="P420" s="45">
        <v>0</v>
      </c>
      <c r="Q420" s="45">
        <v>12</v>
      </c>
      <c r="R420" s="45">
        <v>0</v>
      </c>
      <c r="S420" s="45">
        <v>2231.6</v>
      </c>
      <c r="T420" s="45">
        <v>2231.6</v>
      </c>
      <c r="U420" s="45">
        <v>6067</v>
      </c>
      <c r="V420" s="45">
        <v>0</v>
      </c>
      <c r="W420" s="45">
        <v>0</v>
      </c>
      <c r="X420" s="45">
        <v>2870.8333333333335</v>
      </c>
      <c r="Y420" s="45">
        <v>0</v>
      </c>
      <c r="Z420" s="45">
        <v>3</v>
      </c>
      <c r="AA420" s="45">
        <v>0</v>
      </c>
      <c r="AB420" s="508">
        <v>2</v>
      </c>
      <c r="AC420" s="508">
        <v>0</v>
      </c>
      <c r="AD420" s="631">
        <v>5</v>
      </c>
      <c r="AE420" s="632">
        <v>0</v>
      </c>
      <c r="AF420" s="632">
        <v>2</v>
      </c>
      <c r="AG420" s="633">
        <v>2</v>
      </c>
      <c r="AH420" s="632">
        <v>0</v>
      </c>
      <c r="AI420" s="632">
        <v>0</v>
      </c>
      <c r="AJ420" s="632">
        <v>2.7273427354372148</v>
      </c>
      <c r="AK420" s="632">
        <v>2.7273427354372148</v>
      </c>
      <c r="AL420" s="632">
        <v>0</v>
      </c>
      <c r="AM420" s="632">
        <v>0</v>
      </c>
      <c r="AN420" s="632">
        <v>1.8249082207758185</v>
      </c>
      <c r="AO420" s="632">
        <v>1.8249082207758185</v>
      </c>
      <c r="AP420" s="632">
        <v>0</v>
      </c>
      <c r="AQ420" s="632">
        <v>1.8596827016276773</v>
      </c>
      <c r="AR420" s="632">
        <v>0</v>
      </c>
      <c r="AS420" s="632">
        <v>2.4794661321807161</v>
      </c>
      <c r="AT420" s="632">
        <v>2.600452642015556</v>
      </c>
      <c r="AU420" s="632">
        <v>2.7273427354372148</v>
      </c>
      <c r="AV420" s="632">
        <v>2.8604244800923593</v>
      </c>
      <c r="AW420" s="632">
        <v>3</v>
      </c>
      <c r="AX420" s="632">
        <v>1.6651450071275817</v>
      </c>
      <c r="AY420" s="632">
        <v>1.7431972958592303</v>
      </c>
      <c r="AZ420" s="632">
        <v>1.8249082207758185</v>
      </c>
      <c r="BA420" s="632">
        <v>1.9104492774087558</v>
      </c>
      <c r="BB420" s="632">
        <v>2</v>
      </c>
      <c r="BC420" s="632">
        <v>1.7292098753666085</v>
      </c>
      <c r="BD420" s="632">
        <v>1.7932600739165065</v>
      </c>
      <c r="BE420" s="632">
        <v>1.8596827016276773</v>
      </c>
      <c r="BF420" s="632">
        <v>1.9285656336395076</v>
      </c>
      <c r="BG420" s="632">
        <v>2</v>
      </c>
      <c r="BH420" s="634">
        <v>3.040219816411728</v>
      </c>
      <c r="BI420" s="634">
        <v>3.0809788440341865</v>
      </c>
      <c r="BJ420" s="634">
        <v>3.1222843118593442</v>
      </c>
      <c r="BK420" s="635">
        <v>3.1017566623960651</v>
      </c>
      <c r="BL420" s="635">
        <v>3.0813639732215998</v>
      </c>
      <c r="BM420" s="635">
        <v>3.1034846707334971</v>
      </c>
      <c r="BN420" s="635">
        <v>3.125764169757538</v>
      </c>
      <c r="BO420" s="635">
        <v>3.1482036103084194</v>
      </c>
      <c r="BP420" s="635">
        <v>3.1708041405848495</v>
      </c>
      <c r="BQ420" s="635">
        <v>3.1935669170283005</v>
      </c>
      <c r="BR420" s="635">
        <v>3.2114944041818054</v>
      </c>
      <c r="BS420" s="635">
        <v>3.2295225295257692</v>
      </c>
      <c r="BT420" s="635">
        <v>3.2476518580052565</v>
      </c>
      <c r="BU420" s="635">
        <v>3.2658829577367205</v>
      </c>
      <c r="BV420" s="635">
        <v>3.2842164000258069</v>
      </c>
      <c r="BW420" s="634">
        <v>2.0268132109411519</v>
      </c>
      <c r="BX420" s="634">
        <v>2.053985896022791</v>
      </c>
      <c r="BY420" s="634">
        <v>2.081522874572896</v>
      </c>
      <c r="BZ420" s="635">
        <v>2.0678377749307097</v>
      </c>
      <c r="CA420" s="635">
        <v>2.0542426488143994</v>
      </c>
      <c r="CB420" s="635">
        <v>2.0689897804889981</v>
      </c>
      <c r="CC420" s="635">
        <v>2.0838427798383585</v>
      </c>
      <c r="CD420" s="635">
        <v>2.0988024068722795</v>
      </c>
      <c r="CE420" s="635">
        <v>2.1138694270565663</v>
      </c>
      <c r="CF420" s="635">
        <v>2.1290446113522004</v>
      </c>
      <c r="CG420" s="635">
        <v>2.1409962694545368</v>
      </c>
      <c r="CH420" s="635">
        <v>2.153015019683846</v>
      </c>
      <c r="CI420" s="635">
        <v>2.1651012386701707</v>
      </c>
      <c r="CJ420" s="635">
        <v>2.1772553051578134</v>
      </c>
      <c r="CK420" s="635">
        <v>2.1894776000172045</v>
      </c>
      <c r="CL420" s="634">
        <v>2.0268132109411519</v>
      </c>
      <c r="CM420" s="634">
        <v>2.053985896022791</v>
      </c>
      <c r="CN420" s="634">
        <v>2.081522874572896</v>
      </c>
      <c r="CO420" s="635">
        <v>2.0678377749307097</v>
      </c>
      <c r="CP420" s="635">
        <v>2.0542426488143994</v>
      </c>
      <c r="CQ420" s="635">
        <v>2.0689897804889981</v>
      </c>
      <c r="CR420" s="635">
        <v>2.0838427798383585</v>
      </c>
      <c r="CS420" s="635">
        <v>2.0988024068722795</v>
      </c>
      <c r="CT420" s="635">
        <v>2.1138694270565663</v>
      </c>
      <c r="CU420" s="635">
        <v>2.1290446113522004</v>
      </c>
      <c r="CV420" s="635">
        <v>2.1409962694545368</v>
      </c>
      <c r="CW420" s="635">
        <v>2.153015019683846</v>
      </c>
      <c r="CX420" s="635">
        <v>2.1651012386701707</v>
      </c>
      <c r="CY420" s="635">
        <v>2.1772553051578134</v>
      </c>
      <c r="CZ420" s="635">
        <v>2.1894776000172045</v>
      </c>
      <c r="DA420" s="636">
        <v>0</v>
      </c>
      <c r="DB420" s="636">
        <v>0</v>
      </c>
      <c r="DC420" s="636">
        <v>0</v>
      </c>
      <c r="DD420" s="637">
        <v>0</v>
      </c>
      <c r="DE420" s="637">
        <v>0</v>
      </c>
      <c r="DF420" s="637">
        <v>0</v>
      </c>
      <c r="DG420" s="637">
        <v>0</v>
      </c>
      <c r="DH420" s="637">
        <v>0</v>
      </c>
      <c r="DI420" s="637">
        <v>0</v>
      </c>
      <c r="DJ420" s="637">
        <v>0</v>
      </c>
      <c r="DK420" s="637">
        <v>0</v>
      </c>
      <c r="DL420" s="637">
        <v>0</v>
      </c>
      <c r="DM420" s="637">
        <v>0</v>
      </c>
      <c r="DN420" s="637">
        <v>0</v>
      </c>
      <c r="DO420" s="637">
        <v>0</v>
      </c>
      <c r="DP420" s="636">
        <v>0</v>
      </c>
      <c r="DQ420" s="636">
        <v>0</v>
      </c>
      <c r="DR420" s="636">
        <v>0</v>
      </c>
      <c r="DS420" s="637">
        <v>0</v>
      </c>
      <c r="DT420" s="637">
        <v>0</v>
      </c>
      <c r="DU420" s="637">
        <v>0</v>
      </c>
      <c r="DV420" s="637">
        <v>0</v>
      </c>
      <c r="DW420" s="637">
        <v>0</v>
      </c>
      <c r="DX420" s="637">
        <v>0</v>
      </c>
      <c r="DY420" s="637">
        <v>0</v>
      </c>
      <c r="DZ420" s="637">
        <v>0</v>
      </c>
      <c r="EA420" s="637">
        <v>0</v>
      </c>
      <c r="EB420" s="637">
        <v>0</v>
      </c>
      <c r="EC420" s="637">
        <v>0</v>
      </c>
      <c r="ED420" s="637">
        <v>0</v>
      </c>
    </row>
    <row r="421" spans="1:134" ht="15" x14ac:dyDescent="0.25">
      <c r="A421" s="555">
        <v>89</v>
      </c>
      <c r="B421" s="555">
        <v>112</v>
      </c>
      <c r="C421" s="555" t="s">
        <v>1404</v>
      </c>
      <c r="D421" s="812">
        <v>99712</v>
      </c>
      <c r="E421" s="812">
        <v>99712</v>
      </c>
      <c r="F421" s="630" t="s">
        <v>989</v>
      </c>
      <c r="G421" s="45">
        <v>10</v>
      </c>
      <c r="H421" s="45">
        <v>36</v>
      </c>
      <c r="I421" s="45">
        <v>8</v>
      </c>
      <c r="J421" s="45">
        <v>28</v>
      </c>
      <c r="K421" s="45">
        <v>0</v>
      </c>
      <c r="L421" s="45">
        <v>0</v>
      </c>
      <c r="M421" s="45">
        <v>0</v>
      </c>
      <c r="N421" s="45">
        <v>0</v>
      </c>
      <c r="O421" s="45">
        <v>0</v>
      </c>
      <c r="P421" s="45">
        <v>0</v>
      </c>
      <c r="Q421" s="45">
        <v>0</v>
      </c>
      <c r="R421" s="45">
        <v>0</v>
      </c>
      <c r="S421" s="45">
        <v>834.49503068156923</v>
      </c>
      <c r="T421" s="45">
        <v>834.49503068156923</v>
      </c>
      <c r="U421" s="45">
        <v>1408.3846153846155</v>
      </c>
      <c r="V421" s="45">
        <v>0</v>
      </c>
      <c r="W421" s="45">
        <v>0</v>
      </c>
      <c r="X421" s="45">
        <v>1365.173957061457</v>
      </c>
      <c r="Y421" s="45">
        <v>0.82484407484407485</v>
      </c>
      <c r="Z421" s="45">
        <v>35.128378378378379</v>
      </c>
      <c r="AA421" s="45">
        <v>4.677754677754678E-2</v>
      </c>
      <c r="AB421" s="508">
        <v>0</v>
      </c>
      <c r="AC421" s="508">
        <v>0</v>
      </c>
      <c r="AD421" s="631">
        <v>36</v>
      </c>
      <c r="AE421" s="632">
        <v>0.18329868329868329</v>
      </c>
      <c r="AF421" s="632">
        <v>7.8063063063063067</v>
      </c>
      <c r="AG421" s="633">
        <v>7.9896049896049899</v>
      </c>
      <c r="AH421" s="632">
        <v>1.0395010395010396E-2</v>
      </c>
      <c r="AI421" s="632">
        <v>0.74987749846480589</v>
      </c>
      <c r="AJ421" s="632">
        <v>31.935709192653331</v>
      </c>
      <c r="AK421" s="632">
        <v>32.685586691118139</v>
      </c>
      <c r="AL421" s="632">
        <v>4.2526134128438899E-2</v>
      </c>
      <c r="AM421" s="632">
        <v>0.16725163700457518</v>
      </c>
      <c r="AN421" s="632">
        <v>7.1228962761362471</v>
      </c>
      <c r="AO421" s="632">
        <v>7.2901479131408227</v>
      </c>
      <c r="AP421" s="632">
        <v>9.4849699624522804E-3</v>
      </c>
      <c r="AQ421" s="632">
        <v>0</v>
      </c>
      <c r="AR421" s="632">
        <v>0</v>
      </c>
      <c r="AS421" s="632">
        <v>29.71493247184145</v>
      </c>
      <c r="AT421" s="632">
        <v>31.164884105818448</v>
      </c>
      <c r="AU421" s="632">
        <v>32.685586691118132</v>
      </c>
      <c r="AV421" s="632">
        <v>34.280492547801259</v>
      </c>
      <c r="AW421" s="632">
        <v>35.953222453222452</v>
      </c>
      <c r="AX421" s="632">
        <v>6.6519254286811815</v>
      </c>
      <c r="AY421" s="632">
        <v>6.9637289064314158</v>
      </c>
      <c r="AZ421" s="632">
        <v>7.2901479131408218</v>
      </c>
      <c r="BA421" s="632">
        <v>7.6318675395861213</v>
      </c>
      <c r="BB421" s="632">
        <v>7.9896049896049899</v>
      </c>
      <c r="BC421" s="632">
        <v>0</v>
      </c>
      <c r="BD421" s="632">
        <v>0</v>
      </c>
      <c r="BE421" s="632">
        <v>0</v>
      </c>
      <c r="BF421" s="632">
        <v>0</v>
      </c>
      <c r="BG421" s="632">
        <v>0</v>
      </c>
      <c r="BH421" s="634">
        <v>36.137397473606484</v>
      </c>
      <c r="BI421" s="634">
        <v>36.322515954293074</v>
      </c>
      <c r="BJ421" s="634">
        <v>36.508582728279322</v>
      </c>
      <c r="BK421" s="635">
        <v>36.268554814805633</v>
      </c>
      <c r="BL421" s="635">
        <v>36.030104979551936</v>
      </c>
      <c r="BM421" s="635">
        <v>36.288760257052722</v>
      </c>
      <c r="BN421" s="635">
        <v>36.549272386000851</v>
      </c>
      <c r="BO421" s="635">
        <v>36.81165469648311</v>
      </c>
      <c r="BP421" s="635">
        <v>37.075920614281181</v>
      </c>
      <c r="BQ421" s="635">
        <v>37.342083661558632</v>
      </c>
      <c r="BR421" s="635">
        <v>37.55170811675891</v>
      </c>
      <c r="BS421" s="635">
        <v>37.76250932504604</v>
      </c>
      <c r="BT421" s="635">
        <v>37.974493892270587</v>
      </c>
      <c r="BU421" s="635">
        <v>38.187668461365902</v>
      </c>
      <c r="BV421" s="635">
        <v>38.402039712556245</v>
      </c>
      <c r="BW421" s="634">
        <v>8.0305327719125525</v>
      </c>
      <c r="BX421" s="634">
        <v>8.0716702120651274</v>
      </c>
      <c r="BY421" s="634">
        <v>8.1130183840620731</v>
      </c>
      <c r="BZ421" s="635">
        <v>8.0596788477345864</v>
      </c>
      <c r="CA421" s="635">
        <v>8.0066899954559876</v>
      </c>
      <c r="CB421" s="635">
        <v>8.0641689460117174</v>
      </c>
      <c r="CC421" s="635">
        <v>8.1220605302224129</v>
      </c>
      <c r="CD421" s="635">
        <v>8.1803677103295822</v>
      </c>
      <c r="CE421" s="635">
        <v>8.2390934698402649</v>
      </c>
      <c r="CF421" s="635">
        <v>8.2982408136796977</v>
      </c>
      <c r="CG421" s="635">
        <v>8.3448240259464264</v>
      </c>
      <c r="CH421" s="635">
        <v>8.3916687388991225</v>
      </c>
      <c r="CI421" s="635">
        <v>8.4387764205045777</v>
      </c>
      <c r="CJ421" s="635">
        <v>8.4861485469702025</v>
      </c>
      <c r="CK421" s="635">
        <v>8.5337866027902773</v>
      </c>
      <c r="CL421" s="634">
        <v>0</v>
      </c>
      <c r="CM421" s="634">
        <v>0</v>
      </c>
      <c r="CN421" s="634">
        <v>0</v>
      </c>
      <c r="CO421" s="635">
        <v>0</v>
      </c>
      <c r="CP421" s="635">
        <v>0</v>
      </c>
      <c r="CQ421" s="635">
        <v>0</v>
      </c>
      <c r="CR421" s="635">
        <v>0</v>
      </c>
      <c r="CS421" s="635">
        <v>0</v>
      </c>
      <c r="CT421" s="635">
        <v>0</v>
      </c>
      <c r="CU421" s="635">
        <v>0</v>
      </c>
      <c r="CV421" s="635">
        <v>0</v>
      </c>
      <c r="CW421" s="635">
        <v>0</v>
      </c>
      <c r="CX421" s="635">
        <v>0</v>
      </c>
      <c r="CY421" s="635">
        <v>0</v>
      </c>
      <c r="CZ421" s="635">
        <v>0</v>
      </c>
      <c r="DA421" s="636">
        <v>4.7017170795740942E-2</v>
      </c>
      <c r="DB421" s="636">
        <v>4.725802231888248E-2</v>
      </c>
      <c r="DC421" s="636">
        <v>4.7500107635023846E-2</v>
      </c>
      <c r="DD421" s="637">
        <v>4.7187815267766893E-2</v>
      </c>
      <c r="DE421" s="637">
        <v>4.6877576085807886E-2</v>
      </c>
      <c r="DF421" s="637">
        <v>4.7214103899366033E-2</v>
      </c>
      <c r="DG421" s="637">
        <v>4.75530476008338E-2</v>
      </c>
      <c r="DH421" s="637">
        <v>4.789442453354556E-2</v>
      </c>
      <c r="DI421" s="637">
        <v>4.8238252165341125E-2</v>
      </c>
      <c r="DJ421" s="637">
        <v>4.8584548089459591E-2</v>
      </c>
      <c r="DK421" s="637">
        <v>4.8857283524276499E-2</v>
      </c>
      <c r="DL421" s="637">
        <v>4.9131549993554575E-2</v>
      </c>
      <c r="DM421" s="637">
        <v>4.9407356091947172E-2</v>
      </c>
      <c r="DN421" s="637">
        <v>4.9684710462354814E-2</v>
      </c>
      <c r="DO421" s="637">
        <v>4.9963621796196005E-2</v>
      </c>
      <c r="DP421" s="636">
        <v>0</v>
      </c>
      <c r="DQ421" s="636">
        <v>0</v>
      </c>
      <c r="DR421" s="636">
        <v>0</v>
      </c>
      <c r="DS421" s="637">
        <v>0</v>
      </c>
      <c r="DT421" s="637">
        <v>0</v>
      </c>
      <c r="DU421" s="637">
        <v>0</v>
      </c>
      <c r="DV421" s="637">
        <v>0</v>
      </c>
      <c r="DW421" s="637">
        <v>0</v>
      </c>
      <c r="DX421" s="637">
        <v>0</v>
      </c>
      <c r="DY421" s="637">
        <v>0</v>
      </c>
      <c r="DZ421" s="637">
        <v>0</v>
      </c>
      <c r="EA421" s="637">
        <v>0</v>
      </c>
      <c r="EB421" s="637">
        <v>0</v>
      </c>
      <c r="EC421" s="637">
        <v>0</v>
      </c>
      <c r="ED421" s="637">
        <v>0</v>
      </c>
    </row>
    <row r="422" spans="1:134" ht="15" x14ac:dyDescent="0.25">
      <c r="A422" s="555">
        <v>110</v>
      </c>
      <c r="B422" s="555">
        <v>112</v>
      </c>
      <c r="C422" s="555" t="s">
        <v>1405</v>
      </c>
      <c r="D422" s="812">
        <v>99712</v>
      </c>
      <c r="E422" s="812">
        <v>99712</v>
      </c>
      <c r="F422" s="630" t="s">
        <v>989</v>
      </c>
      <c r="G422" s="45">
        <v>25</v>
      </c>
      <c r="H422" s="45">
        <v>15</v>
      </c>
      <c r="I422" s="45">
        <v>11</v>
      </c>
      <c r="J422" s="45">
        <v>4</v>
      </c>
      <c r="K422" s="45">
        <v>0</v>
      </c>
      <c r="L422" s="45">
        <v>0</v>
      </c>
      <c r="M422" s="45">
        <v>0</v>
      </c>
      <c r="N422" s="45">
        <v>0</v>
      </c>
      <c r="O422" s="45">
        <v>0</v>
      </c>
      <c r="P422" s="45">
        <v>0</v>
      </c>
      <c r="Q422" s="45">
        <v>0</v>
      </c>
      <c r="R422" s="45">
        <v>0</v>
      </c>
      <c r="S422" s="45">
        <v>834.49503068156923</v>
      </c>
      <c r="T422" s="45">
        <v>834.49503068156923</v>
      </c>
      <c r="U422" s="45">
        <v>1408.3846153846155</v>
      </c>
      <c r="V422" s="45">
        <v>0</v>
      </c>
      <c r="W422" s="45">
        <v>0</v>
      </c>
      <c r="X422" s="45">
        <v>1365.173957061457</v>
      </c>
      <c r="Y422" s="45">
        <v>0.34368503118503119</v>
      </c>
      <c r="Z422" s="45">
        <v>14.636824324324325</v>
      </c>
      <c r="AA422" s="45">
        <v>1.9490644490644492E-2</v>
      </c>
      <c r="AB422" s="508">
        <v>0</v>
      </c>
      <c r="AC422" s="508">
        <v>0</v>
      </c>
      <c r="AD422" s="631">
        <v>15</v>
      </c>
      <c r="AE422" s="632">
        <v>0.25203568953568956</v>
      </c>
      <c r="AF422" s="632">
        <v>10.733671171171173</v>
      </c>
      <c r="AG422" s="633">
        <v>10.985706860706863</v>
      </c>
      <c r="AH422" s="632">
        <v>1.4293139293139294E-2</v>
      </c>
      <c r="AI422" s="632">
        <v>0.31244895769366915</v>
      </c>
      <c r="AJ422" s="632">
        <v>13.306545496938888</v>
      </c>
      <c r="AK422" s="632">
        <v>13.618994454632558</v>
      </c>
      <c r="AL422" s="632">
        <v>1.7719222553516208E-2</v>
      </c>
      <c r="AM422" s="632">
        <v>0.22997100088129091</v>
      </c>
      <c r="AN422" s="632">
        <v>9.7939823796873409</v>
      </c>
      <c r="AO422" s="632">
        <v>10.023953380568631</v>
      </c>
      <c r="AP422" s="632">
        <v>1.3041833698371884E-2</v>
      </c>
      <c r="AQ422" s="632">
        <v>0</v>
      </c>
      <c r="AR422" s="632">
        <v>0</v>
      </c>
      <c r="AS422" s="632">
        <v>12.381221863267271</v>
      </c>
      <c r="AT422" s="632">
        <v>12.985368377424352</v>
      </c>
      <c r="AU422" s="632">
        <v>13.618994454632556</v>
      </c>
      <c r="AV422" s="632">
        <v>14.283538561583857</v>
      </c>
      <c r="AW422" s="632">
        <v>14.980509355509355</v>
      </c>
      <c r="AX422" s="632">
        <v>9.1463974644366264</v>
      </c>
      <c r="AY422" s="632">
        <v>9.5751272463431985</v>
      </c>
      <c r="AZ422" s="632">
        <v>10.023953380568631</v>
      </c>
      <c r="BA422" s="632">
        <v>10.493817866930918</v>
      </c>
      <c r="BB422" s="632">
        <v>10.985706860706863</v>
      </c>
      <c r="BC422" s="632">
        <v>0</v>
      </c>
      <c r="BD422" s="632">
        <v>0</v>
      </c>
      <c r="BE422" s="632">
        <v>0</v>
      </c>
      <c r="BF422" s="632">
        <v>0</v>
      </c>
      <c r="BG422" s="632">
        <v>0</v>
      </c>
      <c r="BH422" s="634">
        <v>15.181347134186941</v>
      </c>
      <c r="BI422" s="634">
        <v>15.384877465726843</v>
      </c>
      <c r="BJ422" s="634">
        <v>15.591136448122997</v>
      </c>
      <c r="BK422" s="635">
        <v>15.488631566512574</v>
      </c>
      <c r="BL422" s="635">
        <v>15.386800609525215</v>
      </c>
      <c r="BM422" s="635">
        <v>15.497260381534339</v>
      </c>
      <c r="BN422" s="635">
        <v>15.608513129389575</v>
      </c>
      <c r="BO422" s="635">
        <v>15.720564545757867</v>
      </c>
      <c r="BP422" s="635">
        <v>15.833420364173044</v>
      </c>
      <c r="BQ422" s="635">
        <v>15.947086359329209</v>
      </c>
      <c r="BR422" s="635">
        <v>16.036607322337158</v>
      </c>
      <c r="BS422" s="635">
        <v>16.126630822463007</v>
      </c>
      <c r="BT422" s="635">
        <v>16.217159680761693</v>
      </c>
      <c r="BU422" s="635">
        <v>16.3081967341245</v>
      </c>
      <c r="BV422" s="635">
        <v>16.399744835367951</v>
      </c>
      <c r="BW422" s="634">
        <v>11.132987898403758</v>
      </c>
      <c r="BX422" s="634">
        <v>11.282243474866354</v>
      </c>
      <c r="BY422" s="634">
        <v>11.433500061956867</v>
      </c>
      <c r="BZ422" s="635">
        <v>11.358329815442557</v>
      </c>
      <c r="CA422" s="635">
        <v>11.283653780318494</v>
      </c>
      <c r="CB422" s="635">
        <v>11.364657613125184</v>
      </c>
      <c r="CC422" s="635">
        <v>11.446242961552358</v>
      </c>
      <c r="CD422" s="635">
        <v>11.528414000222439</v>
      </c>
      <c r="CE422" s="635">
        <v>11.611174933726902</v>
      </c>
      <c r="CF422" s="635">
        <v>11.694529996841421</v>
      </c>
      <c r="CG422" s="635">
        <v>11.760178703047252</v>
      </c>
      <c r="CH422" s="635">
        <v>11.826195936472873</v>
      </c>
      <c r="CI422" s="635">
        <v>11.89258376589191</v>
      </c>
      <c r="CJ422" s="635">
        <v>11.959344271691304</v>
      </c>
      <c r="CK422" s="635">
        <v>12.0264795459365</v>
      </c>
      <c r="CL422" s="634">
        <v>0</v>
      </c>
      <c r="CM422" s="634">
        <v>0</v>
      </c>
      <c r="CN422" s="634">
        <v>0</v>
      </c>
      <c r="CO422" s="635">
        <v>0</v>
      </c>
      <c r="CP422" s="635">
        <v>0</v>
      </c>
      <c r="CQ422" s="635">
        <v>0</v>
      </c>
      <c r="CR422" s="635">
        <v>0</v>
      </c>
      <c r="CS422" s="635">
        <v>0</v>
      </c>
      <c r="CT422" s="635">
        <v>0</v>
      </c>
      <c r="CU422" s="635">
        <v>0</v>
      </c>
      <c r="CV422" s="635">
        <v>0</v>
      </c>
      <c r="CW422" s="635">
        <v>0</v>
      </c>
      <c r="CX422" s="635">
        <v>0</v>
      </c>
      <c r="CY422" s="635">
        <v>0</v>
      </c>
      <c r="CZ422" s="635">
        <v>0</v>
      </c>
      <c r="DA422" s="636">
        <v>1.9751947871697817E-2</v>
      </c>
      <c r="DB422" s="636">
        <v>2.0016754444089051E-2</v>
      </c>
      <c r="DC422" s="636">
        <v>2.0285111173722351E-2</v>
      </c>
      <c r="DD422" s="637">
        <v>2.0151745467749903E-2</v>
      </c>
      <c r="DE422" s="637">
        <v>2.0019256582780663E-2</v>
      </c>
      <c r="DF422" s="637">
        <v>2.016297213314382E-2</v>
      </c>
      <c r="DG422" s="637">
        <v>2.0307719398112902E-2</v>
      </c>
      <c r="DH422" s="637">
        <v>2.0453505784228297E-2</v>
      </c>
      <c r="DI422" s="637">
        <v>2.0600338751200944E-2</v>
      </c>
      <c r="DJ422" s="637">
        <v>2.0748225812294054E-2</v>
      </c>
      <c r="DK422" s="637">
        <v>2.0864698571867239E-2</v>
      </c>
      <c r="DL422" s="637">
        <v>2.0981825165837898E-2</v>
      </c>
      <c r="DM422" s="637">
        <v>2.1099609264587163E-2</v>
      </c>
      <c r="DN422" s="637">
        <v>2.1218054559100315E-2</v>
      </c>
      <c r="DO422" s="637">
        <v>2.1337164761082428E-2</v>
      </c>
      <c r="DP422" s="636">
        <v>0</v>
      </c>
      <c r="DQ422" s="636">
        <v>0</v>
      </c>
      <c r="DR422" s="636">
        <v>0</v>
      </c>
      <c r="DS422" s="637">
        <v>0</v>
      </c>
      <c r="DT422" s="637">
        <v>0</v>
      </c>
      <c r="DU422" s="637">
        <v>0</v>
      </c>
      <c r="DV422" s="637">
        <v>0</v>
      </c>
      <c r="DW422" s="637">
        <v>0</v>
      </c>
      <c r="DX422" s="637">
        <v>0</v>
      </c>
      <c r="DY422" s="637">
        <v>0</v>
      </c>
      <c r="DZ422" s="637">
        <v>0</v>
      </c>
      <c r="EA422" s="637">
        <v>0</v>
      </c>
      <c r="EB422" s="637">
        <v>0</v>
      </c>
      <c r="EC422" s="637">
        <v>0</v>
      </c>
      <c r="ED422" s="637">
        <v>0</v>
      </c>
    </row>
    <row r="423" spans="1:134" ht="15" x14ac:dyDescent="0.25">
      <c r="A423" s="555">
        <v>120</v>
      </c>
      <c r="B423" s="555">
        <v>112</v>
      </c>
      <c r="C423" s="555" t="s">
        <v>1406</v>
      </c>
      <c r="D423" s="812">
        <v>99712</v>
      </c>
      <c r="E423" s="812">
        <v>99712</v>
      </c>
      <c r="F423" s="630" t="s">
        <v>989</v>
      </c>
      <c r="G423" s="45">
        <v>9</v>
      </c>
      <c r="H423" s="45">
        <v>7</v>
      </c>
      <c r="I423" s="45">
        <v>5</v>
      </c>
      <c r="J423" s="45">
        <v>2</v>
      </c>
      <c r="K423" s="45">
        <v>0</v>
      </c>
      <c r="L423" s="45">
        <v>0</v>
      </c>
      <c r="M423" s="45">
        <v>0</v>
      </c>
      <c r="N423" s="45">
        <v>2</v>
      </c>
      <c r="O423" s="45">
        <v>0</v>
      </c>
      <c r="P423" s="45">
        <v>0</v>
      </c>
      <c r="Q423" s="45">
        <v>2</v>
      </c>
      <c r="R423" s="45">
        <v>0</v>
      </c>
      <c r="S423" s="45">
        <v>0</v>
      </c>
      <c r="T423" s="45">
        <v>0</v>
      </c>
      <c r="U423" s="45">
        <v>3223</v>
      </c>
      <c r="V423" s="45">
        <v>0</v>
      </c>
      <c r="W423" s="45">
        <v>0</v>
      </c>
      <c r="X423" s="45">
        <v>3223</v>
      </c>
      <c r="Y423" s="45">
        <v>0.1603863478863479</v>
      </c>
      <c r="Z423" s="45">
        <v>6.8305180180180178</v>
      </c>
      <c r="AA423" s="45">
        <v>9.0956340956340961E-3</v>
      </c>
      <c r="AB423" s="508">
        <v>2</v>
      </c>
      <c r="AC423" s="508">
        <v>0</v>
      </c>
      <c r="AD423" s="631">
        <v>9</v>
      </c>
      <c r="AE423" s="632">
        <v>0.11456167706167707</v>
      </c>
      <c r="AF423" s="632">
        <v>4.8789414414414409</v>
      </c>
      <c r="AG423" s="633">
        <v>4.993503118503118</v>
      </c>
      <c r="AH423" s="632">
        <v>6.4968814968814972E-3</v>
      </c>
      <c r="AI423" s="632">
        <v>0.14580951359037894</v>
      </c>
      <c r="AJ423" s="632">
        <v>6.2097212319048145</v>
      </c>
      <c r="AK423" s="632">
        <v>6.3555307454951935</v>
      </c>
      <c r="AL423" s="632">
        <v>8.2689705249742312E-3</v>
      </c>
      <c r="AM423" s="632">
        <v>0.1045322731278595</v>
      </c>
      <c r="AN423" s="632">
        <v>4.4518101725851533</v>
      </c>
      <c r="AO423" s="632">
        <v>4.5563424457130131</v>
      </c>
      <c r="AP423" s="632">
        <v>5.9281062265326744E-3</v>
      </c>
      <c r="AQ423" s="632">
        <v>1.8596827016276773</v>
      </c>
      <c r="AR423" s="632">
        <v>0</v>
      </c>
      <c r="AS423" s="632">
        <v>5.7779035361913937</v>
      </c>
      <c r="AT423" s="632">
        <v>6.0598385761313649</v>
      </c>
      <c r="AU423" s="632">
        <v>6.3555307454951935</v>
      </c>
      <c r="AV423" s="632">
        <v>6.6656513287391341</v>
      </c>
      <c r="AW423" s="632">
        <v>6.9909043659043659</v>
      </c>
      <c r="AX423" s="632">
        <v>4.1574533929257376</v>
      </c>
      <c r="AY423" s="632">
        <v>4.3523305665196341</v>
      </c>
      <c r="AZ423" s="632">
        <v>4.5563424457130131</v>
      </c>
      <c r="BA423" s="632">
        <v>4.7699172122413254</v>
      </c>
      <c r="BB423" s="632">
        <v>4.993503118503118</v>
      </c>
      <c r="BC423" s="632">
        <v>1.7292098753666085</v>
      </c>
      <c r="BD423" s="632">
        <v>1.7932600739165065</v>
      </c>
      <c r="BE423" s="632">
        <v>1.8596827016276773</v>
      </c>
      <c r="BF423" s="632">
        <v>1.9285656336395076</v>
      </c>
      <c r="BG423" s="632">
        <v>2</v>
      </c>
      <c r="BH423" s="634">
        <v>7.0846286626205721</v>
      </c>
      <c r="BI423" s="634">
        <v>7.1796094840058604</v>
      </c>
      <c r="BJ423" s="634">
        <v>7.275863675790732</v>
      </c>
      <c r="BK423" s="635">
        <v>7.228028064372535</v>
      </c>
      <c r="BL423" s="635">
        <v>7.1805069511117674</v>
      </c>
      <c r="BM423" s="635">
        <v>7.2320548447160249</v>
      </c>
      <c r="BN423" s="635">
        <v>7.2839727937151348</v>
      </c>
      <c r="BO423" s="635">
        <v>7.3362634546870051</v>
      </c>
      <c r="BP423" s="635">
        <v>7.388929503280754</v>
      </c>
      <c r="BQ423" s="635">
        <v>7.4419736343536309</v>
      </c>
      <c r="BR423" s="635">
        <v>7.4837500837573403</v>
      </c>
      <c r="BS423" s="635">
        <v>7.5257610504827364</v>
      </c>
      <c r="BT423" s="635">
        <v>7.5680078510221236</v>
      </c>
      <c r="BU423" s="635">
        <v>7.6104918092581002</v>
      </c>
      <c r="BV423" s="635">
        <v>7.6532142565050441</v>
      </c>
      <c r="BW423" s="634">
        <v>5.0604490447289798</v>
      </c>
      <c r="BX423" s="634">
        <v>5.1282924885756138</v>
      </c>
      <c r="BY423" s="634">
        <v>5.1970454827076651</v>
      </c>
      <c r="BZ423" s="635">
        <v>5.1628771888375242</v>
      </c>
      <c r="CA423" s="635">
        <v>5.1289335365084048</v>
      </c>
      <c r="CB423" s="635">
        <v>5.1657534605114463</v>
      </c>
      <c r="CC423" s="635">
        <v>5.2028377097965244</v>
      </c>
      <c r="CD423" s="635">
        <v>5.2401881819192884</v>
      </c>
      <c r="CE423" s="635">
        <v>5.2778067880576813</v>
      </c>
      <c r="CF423" s="635">
        <v>5.3156954531097353</v>
      </c>
      <c r="CG423" s="635">
        <v>5.3455357741123857</v>
      </c>
      <c r="CH423" s="635">
        <v>5.3755436074876686</v>
      </c>
      <c r="CI423" s="635">
        <v>5.4057198935872304</v>
      </c>
      <c r="CJ423" s="635">
        <v>5.4360655780414993</v>
      </c>
      <c r="CK423" s="635">
        <v>5.4665816117893167</v>
      </c>
      <c r="CL423" s="634">
        <v>2.0268132109411519</v>
      </c>
      <c r="CM423" s="634">
        <v>2.053985896022791</v>
      </c>
      <c r="CN423" s="634">
        <v>2.081522874572896</v>
      </c>
      <c r="CO423" s="635">
        <v>2.0678377749307097</v>
      </c>
      <c r="CP423" s="635">
        <v>2.0542426488143994</v>
      </c>
      <c r="CQ423" s="635">
        <v>2.0689897804889981</v>
      </c>
      <c r="CR423" s="635">
        <v>2.0838427798383585</v>
      </c>
      <c r="CS423" s="635">
        <v>2.0988024068722795</v>
      </c>
      <c r="CT423" s="635">
        <v>2.1138694270565663</v>
      </c>
      <c r="CU423" s="635">
        <v>2.1290446113522004</v>
      </c>
      <c r="CV423" s="635">
        <v>2.1409962694545368</v>
      </c>
      <c r="CW423" s="635">
        <v>2.153015019683846</v>
      </c>
      <c r="CX423" s="635">
        <v>2.1651012386701707</v>
      </c>
      <c r="CY423" s="635">
        <v>2.1772553051578134</v>
      </c>
      <c r="CZ423" s="635">
        <v>2.1894776000172045</v>
      </c>
      <c r="DA423" s="636">
        <v>9.2175756734589817E-3</v>
      </c>
      <c r="DB423" s="636">
        <v>9.3411520739082234E-3</v>
      </c>
      <c r="DC423" s="636">
        <v>9.4663852144037629E-3</v>
      </c>
      <c r="DD423" s="637">
        <v>9.4041478849499534E-3</v>
      </c>
      <c r="DE423" s="637">
        <v>9.3423197386309758E-3</v>
      </c>
      <c r="DF423" s="637">
        <v>9.4093869954671155E-3</v>
      </c>
      <c r="DG423" s="637">
        <v>9.4769357191193532E-3</v>
      </c>
      <c r="DH423" s="637">
        <v>9.5449693659732035E-3</v>
      </c>
      <c r="DI423" s="637">
        <v>9.6134914172271071E-3</v>
      </c>
      <c r="DJ423" s="637">
        <v>9.6825053790705572E-3</v>
      </c>
      <c r="DK423" s="637">
        <v>9.7368593335380449E-3</v>
      </c>
      <c r="DL423" s="637">
        <v>9.7915184107243512E-3</v>
      </c>
      <c r="DM423" s="637">
        <v>9.8464843234740088E-3</v>
      </c>
      <c r="DN423" s="637">
        <v>9.9017587942468125E-3</v>
      </c>
      <c r="DO423" s="637">
        <v>9.9573435551717979E-3</v>
      </c>
      <c r="DP423" s="636">
        <v>0</v>
      </c>
      <c r="DQ423" s="636">
        <v>0</v>
      </c>
      <c r="DR423" s="636">
        <v>0</v>
      </c>
      <c r="DS423" s="637">
        <v>0</v>
      </c>
      <c r="DT423" s="637">
        <v>0</v>
      </c>
      <c r="DU423" s="637">
        <v>0</v>
      </c>
      <c r="DV423" s="637">
        <v>0</v>
      </c>
      <c r="DW423" s="637">
        <v>0</v>
      </c>
      <c r="DX423" s="637">
        <v>0</v>
      </c>
      <c r="DY423" s="637">
        <v>0</v>
      </c>
      <c r="DZ423" s="637">
        <v>0</v>
      </c>
      <c r="EA423" s="637">
        <v>0</v>
      </c>
      <c r="EB423" s="637">
        <v>0</v>
      </c>
      <c r="EC423" s="637">
        <v>0</v>
      </c>
      <c r="ED423" s="637">
        <v>0</v>
      </c>
    </row>
    <row r="424" spans="1:134" ht="15" x14ac:dyDescent="0.25">
      <c r="A424" s="555">
        <v>111</v>
      </c>
      <c r="B424" s="555">
        <v>113</v>
      </c>
      <c r="C424" s="555" t="s">
        <v>1407</v>
      </c>
      <c r="D424" s="812">
        <v>99712</v>
      </c>
      <c r="E424" s="812">
        <v>99712</v>
      </c>
      <c r="F424" s="630" t="s">
        <v>989</v>
      </c>
      <c r="G424" s="45">
        <v>3</v>
      </c>
      <c r="H424" s="45">
        <v>1</v>
      </c>
      <c r="I424" s="45">
        <v>1</v>
      </c>
      <c r="J424" s="45">
        <v>0</v>
      </c>
      <c r="K424" s="45">
        <v>0</v>
      </c>
      <c r="L424" s="45">
        <v>10</v>
      </c>
      <c r="M424" s="45">
        <v>10</v>
      </c>
      <c r="N424" s="45">
        <v>0</v>
      </c>
      <c r="O424" s="45">
        <v>0</v>
      </c>
      <c r="P424" s="45">
        <v>0</v>
      </c>
      <c r="Q424" s="45">
        <v>10</v>
      </c>
      <c r="R424" s="45">
        <v>0</v>
      </c>
      <c r="S424" s="45">
        <v>544.6</v>
      </c>
      <c r="T424" s="45">
        <v>544.6</v>
      </c>
      <c r="U424" s="45">
        <v>0</v>
      </c>
      <c r="V424" s="45">
        <v>0</v>
      </c>
      <c r="W424" s="45">
        <v>0</v>
      </c>
      <c r="X424" s="45">
        <v>544.6</v>
      </c>
      <c r="Y424" s="45">
        <v>0</v>
      </c>
      <c r="Z424" s="45">
        <v>1</v>
      </c>
      <c r="AA424" s="45">
        <v>0</v>
      </c>
      <c r="AB424" s="508">
        <v>0</v>
      </c>
      <c r="AC424" s="508">
        <v>0</v>
      </c>
      <c r="AD424" s="631">
        <v>1</v>
      </c>
      <c r="AE424" s="632">
        <v>0</v>
      </c>
      <c r="AF424" s="632">
        <v>1</v>
      </c>
      <c r="AG424" s="633">
        <v>1</v>
      </c>
      <c r="AH424" s="632">
        <v>0</v>
      </c>
      <c r="AI424" s="632">
        <v>0</v>
      </c>
      <c r="AJ424" s="632">
        <v>0.90911424514573824</v>
      </c>
      <c r="AK424" s="632">
        <v>0.90911424514573824</v>
      </c>
      <c r="AL424" s="632">
        <v>0</v>
      </c>
      <c r="AM424" s="632">
        <v>0</v>
      </c>
      <c r="AN424" s="632">
        <v>0.91245411038790925</v>
      </c>
      <c r="AO424" s="632">
        <v>0.91245411038790925</v>
      </c>
      <c r="AP424" s="632">
        <v>0</v>
      </c>
      <c r="AQ424" s="632">
        <v>0</v>
      </c>
      <c r="AR424" s="632">
        <v>0</v>
      </c>
      <c r="AS424" s="632">
        <v>0.82648871072690544</v>
      </c>
      <c r="AT424" s="632">
        <v>0.86681754733851879</v>
      </c>
      <c r="AU424" s="632">
        <v>0.90911424514573824</v>
      </c>
      <c r="AV424" s="632">
        <v>0.95347482669745309</v>
      </c>
      <c r="AW424" s="632">
        <v>1</v>
      </c>
      <c r="AX424" s="632">
        <v>0.83257250356379087</v>
      </c>
      <c r="AY424" s="632">
        <v>0.87159864792961517</v>
      </c>
      <c r="AZ424" s="632">
        <v>0.91245411038790925</v>
      </c>
      <c r="BA424" s="632">
        <v>0.9552246387043779</v>
      </c>
      <c r="BB424" s="632">
        <v>1</v>
      </c>
      <c r="BC424" s="632">
        <v>0</v>
      </c>
      <c r="BD424" s="632">
        <v>0</v>
      </c>
      <c r="BE424" s="632">
        <v>0</v>
      </c>
      <c r="BF424" s="632">
        <v>0</v>
      </c>
      <c r="BG424" s="632">
        <v>0</v>
      </c>
      <c r="BH424" s="634">
        <v>1.0134066054705759</v>
      </c>
      <c r="BI424" s="634">
        <v>1.0269929480113955</v>
      </c>
      <c r="BJ424" s="634">
        <v>1.040761437286448</v>
      </c>
      <c r="BK424" s="635">
        <v>1.0339188874653549</v>
      </c>
      <c r="BL424" s="635">
        <v>1.0271213244071997</v>
      </c>
      <c r="BM424" s="635">
        <v>1.034494890244499</v>
      </c>
      <c r="BN424" s="635">
        <v>1.0419213899191793</v>
      </c>
      <c r="BO424" s="635">
        <v>1.0494012034361397</v>
      </c>
      <c r="BP424" s="635">
        <v>1.0569347135282832</v>
      </c>
      <c r="BQ424" s="635">
        <v>1.0645223056761002</v>
      </c>
      <c r="BR424" s="635">
        <v>1.0704981347272684</v>
      </c>
      <c r="BS424" s="635">
        <v>1.076507509841923</v>
      </c>
      <c r="BT424" s="635">
        <v>1.0825506193350853</v>
      </c>
      <c r="BU424" s="635">
        <v>1.0886276525789067</v>
      </c>
      <c r="BV424" s="635">
        <v>1.0947388000086022</v>
      </c>
      <c r="BW424" s="634">
        <v>1.0134066054705759</v>
      </c>
      <c r="BX424" s="634">
        <v>1.0269929480113955</v>
      </c>
      <c r="BY424" s="634">
        <v>1.040761437286448</v>
      </c>
      <c r="BZ424" s="635">
        <v>1.0339188874653549</v>
      </c>
      <c r="CA424" s="635">
        <v>1.0271213244071997</v>
      </c>
      <c r="CB424" s="635">
        <v>1.034494890244499</v>
      </c>
      <c r="CC424" s="635">
        <v>1.0419213899191793</v>
      </c>
      <c r="CD424" s="635">
        <v>1.0494012034361397</v>
      </c>
      <c r="CE424" s="635">
        <v>1.0569347135282832</v>
      </c>
      <c r="CF424" s="635">
        <v>1.0645223056761002</v>
      </c>
      <c r="CG424" s="635">
        <v>1.0704981347272684</v>
      </c>
      <c r="CH424" s="635">
        <v>1.076507509841923</v>
      </c>
      <c r="CI424" s="635">
        <v>1.0825506193350853</v>
      </c>
      <c r="CJ424" s="635">
        <v>1.0886276525789067</v>
      </c>
      <c r="CK424" s="635">
        <v>1.0947388000086022</v>
      </c>
      <c r="CL424" s="634">
        <v>0</v>
      </c>
      <c r="CM424" s="634">
        <v>0</v>
      </c>
      <c r="CN424" s="634">
        <v>0</v>
      </c>
      <c r="CO424" s="635">
        <v>0</v>
      </c>
      <c r="CP424" s="635">
        <v>0</v>
      </c>
      <c r="CQ424" s="635">
        <v>0</v>
      </c>
      <c r="CR424" s="635">
        <v>0</v>
      </c>
      <c r="CS424" s="635">
        <v>0</v>
      </c>
      <c r="CT424" s="635">
        <v>0</v>
      </c>
      <c r="CU424" s="635">
        <v>0</v>
      </c>
      <c r="CV424" s="635">
        <v>0</v>
      </c>
      <c r="CW424" s="635">
        <v>0</v>
      </c>
      <c r="CX424" s="635">
        <v>0</v>
      </c>
      <c r="CY424" s="635">
        <v>0</v>
      </c>
      <c r="CZ424" s="635">
        <v>0</v>
      </c>
      <c r="DA424" s="636">
        <v>0</v>
      </c>
      <c r="DB424" s="636">
        <v>0</v>
      </c>
      <c r="DC424" s="636">
        <v>0</v>
      </c>
      <c r="DD424" s="637">
        <v>0</v>
      </c>
      <c r="DE424" s="637">
        <v>0</v>
      </c>
      <c r="DF424" s="637">
        <v>0</v>
      </c>
      <c r="DG424" s="637">
        <v>0</v>
      </c>
      <c r="DH424" s="637">
        <v>0</v>
      </c>
      <c r="DI424" s="637">
        <v>0</v>
      </c>
      <c r="DJ424" s="637">
        <v>0</v>
      </c>
      <c r="DK424" s="637">
        <v>0</v>
      </c>
      <c r="DL424" s="637">
        <v>0</v>
      </c>
      <c r="DM424" s="637">
        <v>0</v>
      </c>
      <c r="DN424" s="637">
        <v>0</v>
      </c>
      <c r="DO424" s="637">
        <v>0</v>
      </c>
      <c r="DP424" s="636">
        <v>0</v>
      </c>
      <c r="DQ424" s="636">
        <v>0</v>
      </c>
      <c r="DR424" s="636">
        <v>0</v>
      </c>
      <c r="DS424" s="637">
        <v>0</v>
      </c>
      <c r="DT424" s="637">
        <v>0</v>
      </c>
      <c r="DU424" s="637">
        <v>0</v>
      </c>
      <c r="DV424" s="637">
        <v>0</v>
      </c>
      <c r="DW424" s="637">
        <v>0</v>
      </c>
      <c r="DX424" s="637">
        <v>0</v>
      </c>
      <c r="DY424" s="637">
        <v>0</v>
      </c>
      <c r="DZ424" s="637">
        <v>0</v>
      </c>
      <c r="EA424" s="637">
        <v>0</v>
      </c>
      <c r="EB424" s="637">
        <v>0</v>
      </c>
      <c r="EC424" s="637">
        <v>0</v>
      </c>
      <c r="ED424" s="637">
        <v>0</v>
      </c>
    </row>
    <row r="425" spans="1:134" ht="15" x14ac:dyDescent="0.25">
      <c r="A425" s="555">
        <v>112</v>
      </c>
      <c r="B425" s="555">
        <v>113</v>
      </c>
      <c r="C425" s="555" t="s">
        <v>1408</v>
      </c>
      <c r="D425" s="812">
        <v>99712</v>
      </c>
      <c r="E425" s="812">
        <v>99712</v>
      </c>
      <c r="F425" s="630" t="s">
        <v>989</v>
      </c>
      <c r="G425" s="45">
        <v>34</v>
      </c>
      <c r="H425" s="45">
        <v>34</v>
      </c>
      <c r="I425" s="45">
        <v>20</v>
      </c>
      <c r="J425" s="45">
        <v>14</v>
      </c>
      <c r="K425" s="45">
        <v>0</v>
      </c>
      <c r="L425" s="45">
        <v>7</v>
      </c>
      <c r="M425" s="45">
        <v>7</v>
      </c>
      <c r="N425" s="45">
        <v>0</v>
      </c>
      <c r="O425" s="45">
        <v>0</v>
      </c>
      <c r="P425" s="45">
        <v>0</v>
      </c>
      <c r="Q425" s="45">
        <v>7</v>
      </c>
      <c r="R425" s="45">
        <v>0</v>
      </c>
      <c r="S425" s="45">
        <v>617.14285714285711</v>
      </c>
      <c r="T425" s="45">
        <v>617.14285714285711</v>
      </c>
      <c r="U425" s="45">
        <v>0</v>
      </c>
      <c r="V425" s="45">
        <v>0</v>
      </c>
      <c r="W425" s="45">
        <v>0</v>
      </c>
      <c r="X425" s="45">
        <v>617.14285714285711</v>
      </c>
      <c r="Y425" s="45">
        <v>0</v>
      </c>
      <c r="Z425" s="45">
        <v>34</v>
      </c>
      <c r="AA425" s="45">
        <v>0</v>
      </c>
      <c r="AB425" s="508">
        <v>0</v>
      </c>
      <c r="AC425" s="508">
        <v>0</v>
      </c>
      <c r="AD425" s="631">
        <v>34</v>
      </c>
      <c r="AE425" s="632">
        <v>0</v>
      </c>
      <c r="AF425" s="632">
        <v>20</v>
      </c>
      <c r="AG425" s="633">
        <v>20</v>
      </c>
      <c r="AH425" s="632">
        <v>0</v>
      </c>
      <c r="AI425" s="632">
        <v>0</v>
      </c>
      <c r="AJ425" s="632">
        <v>30.909884334955098</v>
      </c>
      <c r="AK425" s="632">
        <v>30.909884334955098</v>
      </c>
      <c r="AL425" s="632">
        <v>0</v>
      </c>
      <c r="AM425" s="632">
        <v>0</v>
      </c>
      <c r="AN425" s="632">
        <v>18.249082207758185</v>
      </c>
      <c r="AO425" s="632">
        <v>18.249082207758185</v>
      </c>
      <c r="AP425" s="632">
        <v>0</v>
      </c>
      <c r="AQ425" s="632">
        <v>0</v>
      </c>
      <c r="AR425" s="632">
        <v>0</v>
      </c>
      <c r="AS425" s="632">
        <v>28.100616164714783</v>
      </c>
      <c r="AT425" s="632">
        <v>29.471796609509639</v>
      </c>
      <c r="AU425" s="632">
        <v>30.909884334955098</v>
      </c>
      <c r="AV425" s="632">
        <v>32.41814410771341</v>
      </c>
      <c r="AW425" s="632">
        <v>34</v>
      </c>
      <c r="AX425" s="632">
        <v>16.651450071275818</v>
      </c>
      <c r="AY425" s="632">
        <v>17.431972958592304</v>
      </c>
      <c r="AZ425" s="632">
        <v>18.249082207758185</v>
      </c>
      <c r="BA425" s="632">
        <v>19.104492774087557</v>
      </c>
      <c r="BB425" s="632">
        <v>20</v>
      </c>
      <c r="BC425" s="632">
        <v>0</v>
      </c>
      <c r="BD425" s="632">
        <v>0</v>
      </c>
      <c r="BE425" s="632">
        <v>0</v>
      </c>
      <c r="BF425" s="632">
        <v>0</v>
      </c>
      <c r="BG425" s="632">
        <v>0</v>
      </c>
      <c r="BH425" s="634">
        <v>34.455824585999579</v>
      </c>
      <c r="BI425" s="634">
        <v>34.917760232387451</v>
      </c>
      <c r="BJ425" s="634">
        <v>35.385888867739233</v>
      </c>
      <c r="BK425" s="635">
        <v>35.153242173822072</v>
      </c>
      <c r="BL425" s="635">
        <v>34.922125029844793</v>
      </c>
      <c r="BM425" s="635">
        <v>35.172826268312967</v>
      </c>
      <c r="BN425" s="635">
        <v>35.425327257252093</v>
      </c>
      <c r="BO425" s="635">
        <v>35.679640916828752</v>
      </c>
      <c r="BP425" s="635">
        <v>35.935780259961625</v>
      </c>
      <c r="BQ425" s="635">
        <v>36.193758392987405</v>
      </c>
      <c r="BR425" s="635">
        <v>36.396936580727129</v>
      </c>
      <c r="BS425" s="635">
        <v>36.601255334625385</v>
      </c>
      <c r="BT425" s="635">
        <v>36.806721057392906</v>
      </c>
      <c r="BU425" s="635">
        <v>37.013340187682829</v>
      </c>
      <c r="BV425" s="635">
        <v>37.221119200292478</v>
      </c>
      <c r="BW425" s="634">
        <v>20.268132109411518</v>
      </c>
      <c r="BX425" s="634">
        <v>20.53985896022791</v>
      </c>
      <c r="BY425" s="634">
        <v>20.815228745728959</v>
      </c>
      <c r="BZ425" s="635">
        <v>20.678377749307099</v>
      </c>
      <c r="CA425" s="635">
        <v>20.542426488143995</v>
      </c>
      <c r="CB425" s="635">
        <v>20.689897804889977</v>
      </c>
      <c r="CC425" s="635">
        <v>20.838427798383584</v>
      </c>
      <c r="CD425" s="635">
        <v>20.988024068722794</v>
      </c>
      <c r="CE425" s="635">
        <v>21.138694270565662</v>
      </c>
      <c r="CF425" s="635">
        <v>21.290446113522002</v>
      </c>
      <c r="CG425" s="635">
        <v>21.409962694545367</v>
      </c>
      <c r="CH425" s="635">
        <v>21.530150196838459</v>
      </c>
      <c r="CI425" s="635">
        <v>21.651012386701705</v>
      </c>
      <c r="CJ425" s="635">
        <v>21.772553051578136</v>
      </c>
      <c r="CK425" s="635">
        <v>21.894776000172044</v>
      </c>
      <c r="CL425" s="634">
        <v>0</v>
      </c>
      <c r="CM425" s="634">
        <v>0</v>
      </c>
      <c r="CN425" s="634">
        <v>0</v>
      </c>
      <c r="CO425" s="635">
        <v>0</v>
      </c>
      <c r="CP425" s="635">
        <v>0</v>
      </c>
      <c r="CQ425" s="635">
        <v>0</v>
      </c>
      <c r="CR425" s="635">
        <v>0</v>
      </c>
      <c r="CS425" s="635">
        <v>0</v>
      </c>
      <c r="CT425" s="635">
        <v>0</v>
      </c>
      <c r="CU425" s="635">
        <v>0</v>
      </c>
      <c r="CV425" s="635">
        <v>0</v>
      </c>
      <c r="CW425" s="635">
        <v>0</v>
      </c>
      <c r="CX425" s="635">
        <v>0</v>
      </c>
      <c r="CY425" s="635">
        <v>0</v>
      </c>
      <c r="CZ425" s="635">
        <v>0</v>
      </c>
      <c r="DA425" s="636">
        <v>0</v>
      </c>
      <c r="DB425" s="636">
        <v>0</v>
      </c>
      <c r="DC425" s="636">
        <v>0</v>
      </c>
      <c r="DD425" s="637">
        <v>0</v>
      </c>
      <c r="DE425" s="637">
        <v>0</v>
      </c>
      <c r="DF425" s="637">
        <v>0</v>
      </c>
      <c r="DG425" s="637">
        <v>0</v>
      </c>
      <c r="DH425" s="637">
        <v>0</v>
      </c>
      <c r="DI425" s="637">
        <v>0</v>
      </c>
      <c r="DJ425" s="637">
        <v>0</v>
      </c>
      <c r="DK425" s="637">
        <v>0</v>
      </c>
      <c r="DL425" s="637">
        <v>0</v>
      </c>
      <c r="DM425" s="637">
        <v>0</v>
      </c>
      <c r="DN425" s="637">
        <v>0</v>
      </c>
      <c r="DO425" s="637">
        <v>0</v>
      </c>
      <c r="DP425" s="636">
        <v>0</v>
      </c>
      <c r="DQ425" s="636">
        <v>0</v>
      </c>
      <c r="DR425" s="636">
        <v>0</v>
      </c>
      <c r="DS425" s="637">
        <v>0</v>
      </c>
      <c r="DT425" s="637">
        <v>0</v>
      </c>
      <c r="DU425" s="637">
        <v>0</v>
      </c>
      <c r="DV425" s="637">
        <v>0</v>
      </c>
      <c r="DW425" s="637">
        <v>0</v>
      </c>
      <c r="DX425" s="637">
        <v>0</v>
      </c>
      <c r="DY425" s="637">
        <v>0</v>
      </c>
      <c r="DZ425" s="637">
        <v>0</v>
      </c>
      <c r="EA425" s="637">
        <v>0</v>
      </c>
      <c r="EB425" s="637">
        <v>0</v>
      </c>
      <c r="EC425" s="637">
        <v>0</v>
      </c>
      <c r="ED425" s="637">
        <v>0</v>
      </c>
    </row>
    <row r="426" spans="1:134" ht="15" x14ac:dyDescent="0.25">
      <c r="A426" s="555">
        <v>163</v>
      </c>
      <c r="B426" s="555">
        <v>113</v>
      </c>
      <c r="C426" s="555" t="s">
        <v>1409</v>
      </c>
      <c r="D426" s="812">
        <v>99712</v>
      </c>
      <c r="E426" s="812">
        <v>99712</v>
      </c>
      <c r="F426" s="630" t="s">
        <v>989</v>
      </c>
      <c r="G426" s="45">
        <v>0</v>
      </c>
      <c r="H426" s="45">
        <v>2</v>
      </c>
      <c r="I426" s="45">
        <v>0</v>
      </c>
      <c r="J426" s="45">
        <v>2</v>
      </c>
      <c r="K426" s="45">
        <v>0</v>
      </c>
      <c r="L426" s="45">
        <v>13</v>
      </c>
      <c r="M426" s="45">
        <v>13</v>
      </c>
      <c r="N426" s="45">
        <v>0</v>
      </c>
      <c r="O426" s="45">
        <v>0</v>
      </c>
      <c r="P426" s="45">
        <v>0</v>
      </c>
      <c r="Q426" s="45">
        <v>13</v>
      </c>
      <c r="R426" s="45">
        <v>0</v>
      </c>
      <c r="S426" s="45">
        <v>511.23076923076923</v>
      </c>
      <c r="T426" s="45">
        <v>511.23076923076923</v>
      </c>
      <c r="U426" s="45">
        <v>0</v>
      </c>
      <c r="V426" s="45">
        <v>0</v>
      </c>
      <c r="W426" s="45">
        <v>0</v>
      </c>
      <c r="X426" s="45">
        <v>511.23076923076923</v>
      </c>
      <c r="Y426" s="45">
        <v>0</v>
      </c>
      <c r="Z426" s="45">
        <v>2</v>
      </c>
      <c r="AA426" s="45">
        <v>0</v>
      </c>
      <c r="AB426" s="508">
        <v>0</v>
      </c>
      <c r="AC426" s="508">
        <v>0</v>
      </c>
      <c r="AD426" s="631">
        <v>2</v>
      </c>
      <c r="AE426" s="632">
        <v>0</v>
      </c>
      <c r="AF426" s="632">
        <v>0</v>
      </c>
      <c r="AG426" s="633">
        <v>0</v>
      </c>
      <c r="AH426" s="632">
        <v>0</v>
      </c>
      <c r="AI426" s="632">
        <v>0</v>
      </c>
      <c r="AJ426" s="632">
        <v>1.8182284902914765</v>
      </c>
      <c r="AK426" s="632">
        <v>1.8182284902914765</v>
      </c>
      <c r="AL426" s="632">
        <v>0</v>
      </c>
      <c r="AM426" s="632">
        <v>0</v>
      </c>
      <c r="AN426" s="632">
        <v>0</v>
      </c>
      <c r="AO426" s="632">
        <v>0</v>
      </c>
      <c r="AP426" s="632">
        <v>0</v>
      </c>
      <c r="AQ426" s="632">
        <v>0</v>
      </c>
      <c r="AR426" s="632">
        <v>0</v>
      </c>
      <c r="AS426" s="632">
        <v>1.6529774214538109</v>
      </c>
      <c r="AT426" s="632">
        <v>1.7336350946770376</v>
      </c>
      <c r="AU426" s="632">
        <v>1.8182284902914765</v>
      </c>
      <c r="AV426" s="632">
        <v>1.9069496533949062</v>
      </c>
      <c r="AW426" s="632">
        <v>2</v>
      </c>
      <c r="AX426" s="632">
        <v>0</v>
      </c>
      <c r="AY426" s="632">
        <v>0</v>
      </c>
      <c r="AZ426" s="632">
        <v>0</v>
      </c>
      <c r="BA426" s="632">
        <v>0</v>
      </c>
      <c r="BB426" s="632">
        <v>0</v>
      </c>
      <c r="BC426" s="632">
        <v>0</v>
      </c>
      <c r="BD426" s="632">
        <v>0</v>
      </c>
      <c r="BE426" s="632">
        <v>0</v>
      </c>
      <c r="BF426" s="632">
        <v>0</v>
      </c>
      <c r="BG426" s="632">
        <v>0</v>
      </c>
      <c r="BH426" s="634">
        <v>2.0268132109411519</v>
      </c>
      <c r="BI426" s="634">
        <v>2.053985896022791</v>
      </c>
      <c r="BJ426" s="634">
        <v>2.081522874572896</v>
      </c>
      <c r="BK426" s="635">
        <v>2.0678377749307097</v>
      </c>
      <c r="BL426" s="635">
        <v>2.0542426488143994</v>
      </c>
      <c r="BM426" s="635">
        <v>2.0689897804889981</v>
      </c>
      <c r="BN426" s="635">
        <v>2.0838427798383585</v>
      </c>
      <c r="BO426" s="635">
        <v>2.0988024068722795</v>
      </c>
      <c r="BP426" s="635">
        <v>2.1138694270565663</v>
      </c>
      <c r="BQ426" s="635">
        <v>2.1290446113522004</v>
      </c>
      <c r="BR426" s="635">
        <v>2.1409962694545368</v>
      </c>
      <c r="BS426" s="635">
        <v>2.153015019683846</v>
      </c>
      <c r="BT426" s="635">
        <v>2.1651012386701707</v>
      </c>
      <c r="BU426" s="635">
        <v>2.1772553051578134</v>
      </c>
      <c r="BV426" s="635">
        <v>2.1894776000172045</v>
      </c>
      <c r="BW426" s="634">
        <v>0</v>
      </c>
      <c r="BX426" s="634">
        <v>0</v>
      </c>
      <c r="BY426" s="634">
        <v>0</v>
      </c>
      <c r="BZ426" s="635">
        <v>0</v>
      </c>
      <c r="CA426" s="635">
        <v>0</v>
      </c>
      <c r="CB426" s="635">
        <v>0</v>
      </c>
      <c r="CC426" s="635">
        <v>0</v>
      </c>
      <c r="CD426" s="635">
        <v>0</v>
      </c>
      <c r="CE426" s="635">
        <v>0</v>
      </c>
      <c r="CF426" s="635">
        <v>0</v>
      </c>
      <c r="CG426" s="635">
        <v>0</v>
      </c>
      <c r="CH426" s="635">
        <v>0</v>
      </c>
      <c r="CI426" s="635">
        <v>0</v>
      </c>
      <c r="CJ426" s="635">
        <v>0</v>
      </c>
      <c r="CK426" s="635">
        <v>0</v>
      </c>
      <c r="CL426" s="634">
        <v>0</v>
      </c>
      <c r="CM426" s="634">
        <v>0</v>
      </c>
      <c r="CN426" s="634">
        <v>0</v>
      </c>
      <c r="CO426" s="635">
        <v>0</v>
      </c>
      <c r="CP426" s="635">
        <v>0</v>
      </c>
      <c r="CQ426" s="635">
        <v>0</v>
      </c>
      <c r="CR426" s="635">
        <v>0</v>
      </c>
      <c r="CS426" s="635">
        <v>0</v>
      </c>
      <c r="CT426" s="635">
        <v>0</v>
      </c>
      <c r="CU426" s="635">
        <v>0</v>
      </c>
      <c r="CV426" s="635">
        <v>0</v>
      </c>
      <c r="CW426" s="635">
        <v>0</v>
      </c>
      <c r="CX426" s="635">
        <v>0</v>
      </c>
      <c r="CY426" s="635">
        <v>0</v>
      </c>
      <c r="CZ426" s="635">
        <v>0</v>
      </c>
      <c r="DA426" s="636">
        <v>0</v>
      </c>
      <c r="DB426" s="636">
        <v>0</v>
      </c>
      <c r="DC426" s="636">
        <v>0</v>
      </c>
      <c r="DD426" s="637">
        <v>0</v>
      </c>
      <c r="DE426" s="637">
        <v>0</v>
      </c>
      <c r="DF426" s="637">
        <v>0</v>
      </c>
      <c r="DG426" s="637">
        <v>0</v>
      </c>
      <c r="DH426" s="637">
        <v>0</v>
      </c>
      <c r="DI426" s="637">
        <v>0</v>
      </c>
      <c r="DJ426" s="637">
        <v>0</v>
      </c>
      <c r="DK426" s="637">
        <v>0</v>
      </c>
      <c r="DL426" s="637">
        <v>0</v>
      </c>
      <c r="DM426" s="637">
        <v>0</v>
      </c>
      <c r="DN426" s="637">
        <v>0</v>
      </c>
      <c r="DO426" s="637">
        <v>0</v>
      </c>
      <c r="DP426" s="636">
        <v>0</v>
      </c>
      <c r="DQ426" s="636">
        <v>0</v>
      </c>
      <c r="DR426" s="636">
        <v>0</v>
      </c>
      <c r="DS426" s="637">
        <v>0</v>
      </c>
      <c r="DT426" s="637">
        <v>0</v>
      </c>
      <c r="DU426" s="637">
        <v>0</v>
      </c>
      <c r="DV426" s="637">
        <v>0</v>
      </c>
      <c r="DW426" s="637">
        <v>0</v>
      </c>
      <c r="DX426" s="637">
        <v>0</v>
      </c>
      <c r="DY426" s="637">
        <v>0</v>
      </c>
      <c r="DZ426" s="637">
        <v>0</v>
      </c>
      <c r="EA426" s="637">
        <v>0</v>
      </c>
      <c r="EB426" s="637">
        <v>0</v>
      </c>
      <c r="EC426" s="637">
        <v>0</v>
      </c>
      <c r="ED426" s="637">
        <v>0</v>
      </c>
    </row>
    <row r="427" spans="1:134" ht="15" x14ac:dyDescent="0.25">
      <c r="A427" s="555">
        <v>167</v>
      </c>
      <c r="B427" s="555">
        <v>113</v>
      </c>
      <c r="C427" s="555" t="s">
        <v>1410</v>
      </c>
      <c r="D427" s="812">
        <v>99712</v>
      </c>
      <c r="E427" s="812">
        <v>99712</v>
      </c>
      <c r="F427" s="630" t="s">
        <v>989</v>
      </c>
      <c r="G427" s="45">
        <v>1</v>
      </c>
      <c r="H427" s="45">
        <v>1</v>
      </c>
      <c r="I427" s="45">
        <v>1</v>
      </c>
      <c r="J427" s="45">
        <v>0</v>
      </c>
      <c r="K427" s="45">
        <v>0</v>
      </c>
      <c r="L427" s="45">
        <v>2</v>
      </c>
      <c r="M427" s="45">
        <v>2</v>
      </c>
      <c r="N427" s="45">
        <v>1</v>
      </c>
      <c r="O427" s="45">
        <v>0</v>
      </c>
      <c r="P427" s="45">
        <v>0</v>
      </c>
      <c r="Q427" s="45">
        <v>3</v>
      </c>
      <c r="R427" s="45">
        <v>0</v>
      </c>
      <c r="S427" s="45">
        <v>614</v>
      </c>
      <c r="T427" s="45">
        <v>614</v>
      </c>
      <c r="U427" s="45">
        <v>96141</v>
      </c>
      <c r="V427" s="45">
        <v>0</v>
      </c>
      <c r="W427" s="45">
        <v>0</v>
      </c>
      <c r="X427" s="45">
        <v>32456.333333333332</v>
      </c>
      <c r="Y427" s="45">
        <v>0</v>
      </c>
      <c r="Z427" s="45">
        <v>1</v>
      </c>
      <c r="AA427" s="45">
        <v>0</v>
      </c>
      <c r="AB427" s="508">
        <v>1</v>
      </c>
      <c r="AC427" s="508">
        <v>0</v>
      </c>
      <c r="AD427" s="631">
        <v>2</v>
      </c>
      <c r="AE427" s="632">
        <v>0</v>
      </c>
      <c r="AF427" s="632">
        <v>1</v>
      </c>
      <c r="AG427" s="633">
        <v>1</v>
      </c>
      <c r="AH427" s="632">
        <v>0</v>
      </c>
      <c r="AI427" s="632">
        <v>0</v>
      </c>
      <c r="AJ427" s="632">
        <v>0.90911424514573824</v>
      </c>
      <c r="AK427" s="632">
        <v>0.90911424514573824</v>
      </c>
      <c r="AL427" s="632">
        <v>0</v>
      </c>
      <c r="AM427" s="632">
        <v>0</v>
      </c>
      <c r="AN427" s="632">
        <v>0.91245411038790925</v>
      </c>
      <c r="AO427" s="632">
        <v>0.91245411038790925</v>
      </c>
      <c r="AP427" s="632">
        <v>0</v>
      </c>
      <c r="AQ427" s="632">
        <v>0.92984135081383867</v>
      </c>
      <c r="AR427" s="632">
        <v>0</v>
      </c>
      <c r="AS427" s="632">
        <v>0.82648871072690544</v>
      </c>
      <c r="AT427" s="632">
        <v>0.86681754733851879</v>
      </c>
      <c r="AU427" s="632">
        <v>0.90911424514573824</v>
      </c>
      <c r="AV427" s="632">
        <v>0.95347482669745309</v>
      </c>
      <c r="AW427" s="632">
        <v>1</v>
      </c>
      <c r="AX427" s="632">
        <v>0.83257250356379087</v>
      </c>
      <c r="AY427" s="632">
        <v>0.87159864792961517</v>
      </c>
      <c r="AZ427" s="632">
        <v>0.91245411038790925</v>
      </c>
      <c r="BA427" s="632">
        <v>0.9552246387043779</v>
      </c>
      <c r="BB427" s="632">
        <v>1</v>
      </c>
      <c r="BC427" s="632">
        <v>0.86460493768330426</v>
      </c>
      <c r="BD427" s="632">
        <v>0.89663003695825327</v>
      </c>
      <c r="BE427" s="632">
        <v>0.92984135081383867</v>
      </c>
      <c r="BF427" s="632">
        <v>0.96428281681975381</v>
      </c>
      <c r="BG427" s="632">
        <v>1</v>
      </c>
      <c r="BH427" s="634">
        <v>1.012657774283872</v>
      </c>
      <c r="BI427" s="634">
        <v>1.0254757678175654</v>
      </c>
      <c r="BJ427" s="634">
        <v>1.0384560086201806</v>
      </c>
      <c r="BK427" s="635">
        <v>1.0316286159810726</v>
      </c>
      <c r="BL427" s="635">
        <v>1.024846110453081</v>
      </c>
      <c r="BM427" s="635">
        <v>1.032203342835426</v>
      </c>
      <c r="BN427" s="635">
        <v>1.0396133917994759</v>
      </c>
      <c r="BO427" s="635">
        <v>1.047076636508367</v>
      </c>
      <c r="BP427" s="635">
        <v>1.0545934588471966</v>
      </c>
      <c r="BQ427" s="635">
        <v>1.0621642434425633</v>
      </c>
      <c r="BR427" s="635">
        <v>1.0681268352165749</v>
      </c>
      <c r="BS427" s="635">
        <v>1.0741228987449627</v>
      </c>
      <c r="BT427" s="635">
        <v>1.0801526219256044</v>
      </c>
      <c r="BU427" s="635">
        <v>1.0862161937111663</v>
      </c>
      <c r="BV427" s="635">
        <v>1.0923138041150233</v>
      </c>
      <c r="BW427" s="634">
        <v>1.012657774283872</v>
      </c>
      <c r="BX427" s="634">
        <v>1.0254757678175654</v>
      </c>
      <c r="BY427" s="634">
        <v>1.0384560086201806</v>
      </c>
      <c r="BZ427" s="635">
        <v>1.0316286159810726</v>
      </c>
      <c r="CA427" s="635">
        <v>1.024846110453081</v>
      </c>
      <c r="CB427" s="635">
        <v>1.032203342835426</v>
      </c>
      <c r="CC427" s="635">
        <v>1.0396133917994759</v>
      </c>
      <c r="CD427" s="635">
        <v>1.047076636508367</v>
      </c>
      <c r="CE427" s="635">
        <v>1.0545934588471966</v>
      </c>
      <c r="CF427" s="635">
        <v>1.0621642434425633</v>
      </c>
      <c r="CG427" s="635">
        <v>1.0681268352165749</v>
      </c>
      <c r="CH427" s="635">
        <v>1.0741228987449627</v>
      </c>
      <c r="CI427" s="635">
        <v>1.0801526219256044</v>
      </c>
      <c r="CJ427" s="635">
        <v>1.0862161937111663</v>
      </c>
      <c r="CK427" s="635">
        <v>1.0923138041150233</v>
      </c>
      <c r="CL427" s="634">
        <v>1.012657774283872</v>
      </c>
      <c r="CM427" s="634">
        <v>1.0254757678175654</v>
      </c>
      <c r="CN427" s="634">
        <v>1.0384560086201806</v>
      </c>
      <c r="CO427" s="635">
        <v>1.0316286159810726</v>
      </c>
      <c r="CP427" s="635">
        <v>1.024846110453081</v>
      </c>
      <c r="CQ427" s="635">
        <v>1.032203342835426</v>
      </c>
      <c r="CR427" s="635">
        <v>1.0396133917994759</v>
      </c>
      <c r="CS427" s="635">
        <v>1.047076636508367</v>
      </c>
      <c r="CT427" s="635">
        <v>1.0545934588471966</v>
      </c>
      <c r="CU427" s="635">
        <v>1.0621642434425633</v>
      </c>
      <c r="CV427" s="635">
        <v>1.0681268352165749</v>
      </c>
      <c r="CW427" s="635">
        <v>1.0741228987449627</v>
      </c>
      <c r="CX427" s="635">
        <v>1.0801526219256044</v>
      </c>
      <c r="CY427" s="635">
        <v>1.0862161937111663</v>
      </c>
      <c r="CZ427" s="635">
        <v>1.0923138041150233</v>
      </c>
      <c r="DA427" s="636">
        <v>0</v>
      </c>
      <c r="DB427" s="636">
        <v>0</v>
      </c>
      <c r="DC427" s="636">
        <v>0</v>
      </c>
      <c r="DD427" s="637">
        <v>0</v>
      </c>
      <c r="DE427" s="637">
        <v>0</v>
      </c>
      <c r="DF427" s="637">
        <v>0</v>
      </c>
      <c r="DG427" s="637">
        <v>0</v>
      </c>
      <c r="DH427" s="637">
        <v>0</v>
      </c>
      <c r="DI427" s="637">
        <v>0</v>
      </c>
      <c r="DJ427" s="637">
        <v>0</v>
      </c>
      <c r="DK427" s="637">
        <v>0</v>
      </c>
      <c r="DL427" s="637">
        <v>0</v>
      </c>
      <c r="DM427" s="637">
        <v>0</v>
      </c>
      <c r="DN427" s="637">
        <v>0</v>
      </c>
      <c r="DO427" s="637">
        <v>0</v>
      </c>
      <c r="DP427" s="636">
        <v>0</v>
      </c>
      <c r="DQ427" s="636">
        <v>0</v>
      </c>
      <c r="DR427" s="636">
        <v>0</v>
      </c>
      <c r="DS427" s="637">
        <v>0</v>
      </c>
      <c r="DT427" s="637">
        <v>0</v>
      </c>
      <c r="DU427" s="637">
        <v>0</v>
      </c>
      <c r="DV427" s="637">
        <v>0</v>
      </c>
      <c r="DW427" s="637">
        <v>0</v>
      </c>
      <c r="DX427" s="637">
        <v>0</v>
      </c>
      <c r="DY427" s="637">
        <v>0</v>
      </c>
      <c r="DZ427" s="637">
        <v>0</v>
      </c>
      <c r="EA427" s="637">
        <v>0</v>
      </c>
      <c r="EB427" s="637">
        <v>0</v>
      </c>
      <c r="EC427" s="637">
        <v>0</v>
      </c>
      <c r="ED427" s="637">
        <v>0</v>
      </c>
    </row>
    <row r="428" spans="1:134" ht="15" x14ac:dyDescent="0.25">
      <c r="A428" s="555">
        <v>172</v>
      </c>
      <c r="B428" s="555">
        <v>113</v>
      </c>
      <c r="C428" s="555" t="s">
        <v>1411</v>
      </c>
      <c r="D428" s="812">
        <v>99712</v>
      </c>
      <c r="E428" s="812">
        <v>99712</v>
      </c>
      <c r="F428" s="630" t="s">
        <v>989</v>
      </c>
      <c r="G428" s="45">
        <v>3</v>
      </c>
      <c r="H428" s="45">
        <v>13</v>
      </c>
      <c r="I428" s="45">
        <v>3</v>
      </c>
      <c r="J428" s="45">
        <v>10</v>
      </c>
      <c r="K428" s="45">
        <v>0</v>
      </c>
      <c r="L428" s="45">
        <v>0</v>
      </c>
      <c r="M428" s="45">
        <v>0</v>
      </c>
      <c r="N428" s="45">
        <v>0</v>
      </c>
      <c r="O428" s="45">
        <v>0</v>
      </c>
      <c r="P428" s="45">
        <v>0</v>
      </c>
      <c r="Q428" s="45">
        <v>0</v>
      </c>
      <c r="R428" s="45">
        <v>0</v>
      </c>
      <c r="S428" s="45">
        <v>834.49503068156923</v>
      </c>
      <c r="T428" s="45">
        <v>834.49503068156923</v>
      </c>
      <c r="U428" s="45">
        <v>1408.3846153846155</v>
      </c>
      <c r="V428" s="45">
        <v>0</v>
      </c>
      <c r="W428" s="45">
        <v>0</v>
      </c>
      <c r="X428" s="45">
        <v>1365.173957061457</v>
      </c>
      <c r="Y428" s="45">
        <v>0.29786036036036034</v>
      </c>
      <c r="Z428" s="45">
        <v>12.685247747747749</v>
      </c>
      <c r="AA428" s="45">
        <v>1.6891891891891893E-2</v>
      </c>
      <c r="AB428" s="508">
        <v>0</v>
      </c>
      <c r="AC428" s="508">
        <v>0</v>
      </c>
      <c r="AD428" s="631">
        <v>13</v>
      </c>
      <c r="AE428" s="632">
        <v>6.8737006237006237E-2</v>
      </c>
      <c r="AF428" s="632">
        <v>2.9273648648648649</v>
      </c>
      <c r="AG428" s="633">
        <v>2.996101871101871</v>
      </c>
      <c r="AH428" s="632">
        <v>3.8981288981288983E-3</v>
      </c>
      <c r="AI428" s="632">
        <v>0.27078909666784656</v>
      </c>
      <c r="AJ428" s="632">
        <v>11.53233943068037</v>
      </c>
      <c r="AK428" s="632">
        <v>11.803128527348216</v>
      </c>
      <c r="AL428" s="632">
        <v>1.5356659546380713E-2</v>
      </c>
      <c r="AM428" s="632">
        <v>6.27193638767157E-2</v>
      </c>
      <c r="AN428" s="632">
        <v>2.6710861035510924</v>
      </c>
      <c r="AO428" s="632">
        <v>2.7338054674278083</v>
      </c>
      <c r="AP428" s="632">
        <v>3.5568637359196047E-3</v>
      </c>
      <c r="AQ428" s="632">
        <v>0</v>
      </c>
      <c r="AR428" s="632">
        <v>0</v>
      </c>
      <c r="AS428" s="632">
        <v>10.730392281498304</v>
      </c>
      <c r="AT428" s="632">
        <v>11.253985927101107</v>
      </c>
      <c r="AU428" s="632">
        <v>11.803128527348218</v>
      </c>
      <c r="AV428" s="632">
        <v>12.379066753372678</v>
      </c>
      <c r="AW428" s="632">
        <v>12.983108108108109</v>
      </c>
      <c r="AX428" s="632">
        <v>2.4944720357554431</v>
      </c>
      <c r="AY428" s="632">
        <v>2.6113983399117808</v>
      </c>
      <c r="AZ428" s="632">
        <v>2.7338054674278078</v>
      </c>
      <c r="BA428" s="632">
        <v>2.8619503273447955</v>
      </c>
      <c r="BB428" s="632">
        <v>2.996101871101871</v>
      </c>
      <c r="BC428" s="632">
        <v>0</v>
      </c>
      <c r="BD428" s="632">
        <v>0</v>
      </c>
      <c r="BE428" s="632">
        <v>0</v>
      </c>
      <c r="BF428" s="632">
        <v>0</v>
      </c>
      <c r="BG428" s="632">
        <v>0</v>
      </c>
      <c r="BH428" s="634">
        <v>13.147445360043649</v>
      </c>
      <c r="BI428" s="634">
        <v>13.313862755820622</v>
      </c>
      <c r="BJ428" s="634">
        <v>13.482386625430252</v>
      </c>
      <c r="BK428" s="635">
        <v>13.39374584870021</v>
      </c>
      <c r="BL428" s="635">
        <v>13.305687846186455</v>
      </c>
      <c r="BM428" s="635">
        <v>13.401207589582913</v>
      </c>
      <c r="BN428" s="635">
        <v>13.497413056369549</v>
      </c>
      <c r="BO428" s="635">
        <v>13.594309169262349</v>
      </c>
      <c r="BP428" s="635">
        <v>13.691900886316814</v>
      </c>
      <c r="BQ428" s="635">
        <v>13.79019320118166</v>
      </c>
      <c r="BR428" s="635">
        <v>13.867606174788168</v>
      </c>
      <c r="BS428" s="635">
        <v>13.94545371580031</v>
      </c>
      <c r="BT428" s="635">
        <v>14.023738263716547</v>
      </c>
      <c r="BU428" s="635">
        <v>14.102462271729772</v>
      </c>
      <c r="BV428" s="635">
        <v>14.181628206804172</v>
      </c>
      <c r="BW428" s="634">
        <v>3.034025852317765</v>
      </c>
      <c r="BX428" s="634">
        <v>3.0724298667278358</v>
      </c>
      <c r="BY428" s="634">
        <v>3.1113199904839037</v>
      </c>
      <c r="BZ428" s="635">
        <v>3.0908644266231251</v>
      </c>
      <c r="CA428" s="635">
        <v>3.0705433491199505</v>
      </c>
      <c r="CB428" s="635">
        <v>3.0925863668268256</v>
      </c>
      <c r="CC428" s="635">
        <v>3.1147876283929721</v>
      </c>
      <c r="CD428" s="635">
        <v>3.1371482698297721</v>
      </c>
      <c r="CE428" s="635">
        <v>3.1596694353038797</v>
      </c>
      <c r="CF428" s="635">
        <v>3.1823522771957671</v>
      </c>
      <c r="CG428" s="635">
        <v>3.2002168095664998</v>
      </c>
      <c r="CH428" s="635">
        <v>3.218181626723148</v>
      </c>
      <c r="CI428" s="635">
        <v>3.2362472916268952</v>
      </c>
      <c r="CJ428" s="635">
        <v>3.2544143703991777</v>
      </c>
      <c r="CK428" s="635">
        <v>3.272683432339424</v>
      </c>
      <c r="CL428" s="634">
        <v>0</v>
      </c>
      <c r="CM428" s="634">
        <v>0</v>
      </c>
      <c r="CN428" s="634">
        <v>0</v>
      </c>
      <c r="CO428" s="635">
        <v>0</v>
      </c>
      <c r="CP428" s="635">
        <v>0</v>
      </c>
      <c r="CQ428" s="635">
        <v>0</v>
      </c>
      <c r="CR428" s="635">
        <v>0</v>
      </c>
      <c r="CS428" s="635">
        <v>0</v>
      </c>
      <c r="CT428" s="635">
        <v>0</v>
      </c>
      <c r="CU428" s="635">
        <v>0</v>
      </c>
      <c r="CV428" s="635">
        <v>0</v>
      </c>
      <c r="CW428" s="635">
        <v>0</v>
      </c>
      <c r="CX428" s="635">
        <v>0</v>
      </c>
      <c r="CY428" s="635">
        <v>0</v>
      </c>
      <c r="CZ428" s="635">
        <v>0</v>
      </c>
      <c r="DA428" s="636">
        <v>1.7105705646687029E-2</v>
      </c>
      <c r="DB428" s="636">
        <v>1.7322225807729148E-2</v>
      </c>
      <c r="DC428" s="636">
        <v>1.7541486632097647E-2</v>
      </c>
      <c r="DD428" s="637">
        <v>1.7426159053734337E-2</v>
      </c>
      <c r="DE428" s="637">
        <v>1.7311589703599344E-2</v>
      </c>
      <c r="DF428" s="637">
        <v>1.7435867277625441E-2</v>
      </c>
      <c r="DG428" s="637">
        <v>1.7561037023639797E-2</v>
      </c>
      <c r="DH428" s="637">
        <v>1.7687105346425123E-2</v>
      </c>
      <c r="DI428" s="637">
        <v>1.7814078696743188E-2</v>
      </c>
      <c r="DJ428" s="637">
        <v>1.7941963571664922E-2</v>
      </c>
      <c r="DK428" s="637">
        <v>1.8042683027307011E-2</v>
      </c>
      <c r="DL428" s="637">
        <v>1.8143967884205452E-2</v>
      </c>
      <c r="DM428" s="637">
        <v>1.8245821316310886E-2</v>
      </c>
      <c r="DN428" s="637">
        <v>1.8348246515391322E-2</v>
      </c>
      <c r="DO428" s="637">
        <v>1.8451246691132153E-2</v>
      </c>
      <c r="DP428" s="636">
        <v>0</v>
      </c>
      <c r="DQ428" s="636">
        <v>0</v>
      </c>
      <c r="DR428" s="636">
        <v>0</v>
      </c>
      <c r="DS428" s="637">
        <v>0</v>
      </c>
      <c r="DT428" s="637">
        <v>0</v>
      </c>
      <c r="DU428" s="637">
        <v>0</v>
      </c>
      <c r="DV428" s="637">
        <v>0</v>
      </c>
      <c r="DW428" s="637">
        <v>0</v>
      </c>
      <c r="DX428" s="637">
        <v>0</v>
      </c>
      <c r="DY428" s="637">
        <v>0</v>
      </c>
      <c r="DZ428" s="637">
        <v>0</v>
      </c>
      <c r="EA428" s="637">
        <v>0</v>
      </c>
      <c r="EB428" s="637">
        <v>0</v>
      </c>
      <c r="EC428" s="637">
        <v>0</v>
      </c>
      <c r="ED428" s="637">
        <v>0</v>
      </c>
    </row>
    <row r="429" spans="1:134" ht="15" x14ac:dyDescent="0.25">
      <c r="A429" s="555">
        <v>106</v>
      </c>
      <c r="B429" s="555">
        <v>114</v>
      </c>
      <c r="C429" s="555" t="s">
        <v>1412</v>
      </c>
      <c r="D429" s="812">
        <v>99712</v>
      </c>
      <c r="E429" s="812">
        <v>99712</v>
      </c>
      <c r="F429" s="630" t="s">
        <v>989</v>
      </c>
      <c r="G429" s="45">
        <v>31</v>
      </c>
      <c r="H429" s="45">
        <v>21</v>
      </c>
      <c r="I429" s="45">
        <v>16</v>
      </c>
      <c r="J429" s="45">
        <v>5</v>
      </c>
      <c r="K429" s="45">
        <v>0</v>
      </c>
      <c r="L429" s="45">
        <v>0</v>
      </c>
      <c r="M429" s="45">
        <v>0</v>
      </c>
      <c r="N429" s="45">
        <v>0</v>
      </c>
      <c r="O429" s="45">
        <v>0</v>
      </c>
      <c r="P429" s="45">
        <v>0</v>
      </c>
      <c r="Q429" s="45">
        <v>0</v>
      </c>
      <c r="R429" s="45">
        <v>0</v>
      </c>
      <c r="S429" s="45">
        <v>834.49503068156923</v>
      </c>
      <c r="T429" s="45">
        <v>834.49503068156923</v>
      </c>
      <c r="U429" s="45">
        <v>1408.3846153846155</v>
      </c>
      <c r="V429" s="45">
        <v>0</v>
      </c>
      <c r="W429" s="45">
        <v>0</v>
      </c>
      <c r="X429" s="45">
        <v>1365.173957061457</v>
      </c>
      <c r="Y429" s="45">
        <v>0.48115904365904366</v>
      </c>
      <c r="Z429" s="45">
        <v>20.491554054054053</v>
      </c>
      <c r="AA429" s="45">
        <v>2.7286902286902288E-2</v>
      </c>
      <c r="AB429" s="508">
        <v>0</v>
      </c>
      <c r="AC429" s="508">
        <v>0</v>
      </c>
      <c r="AD429" s="631">
        <v>21</v>
      </c>
      <c r="AE429" s="632">
        <v>0.36659736659736658</v>
      </c>
      <c r="AF429" s="632">
        <v>15.612612612612612</v>
      </c>
      <c r="AG429" s="633">
        <v>15.979209979209978</v>
      </c>
      <c r="AH429" s="632">
        <v>2.0790020790020791E-2</v>
      </c>
      <c r="AI429" s="632">
        <v>0.4374285407711368</v>
      </c>
      <c r="AJ429" s="632">
        <v>18.629163695714443</v>
      </c>
      <c r="AK429" s="632">
        <v>19.06659223648558</v>
      </c>
      <c r="AL429" s="632">
        <v>2.480691157492269E-2</v>
      </c>
      <c r="AM429" s="632">
        <v>0.33450327400915036</v>
      </c>
      <c r="AN429" s="632">
        <v>14.245792552272492</v>
      </c>
      <c r="AO429" s="632">
        <v>14.580295826281644</v>
      </c>
      <c r="AP429" s="632">
        <v>1.8969939924904561E-2</v>
      </c>
      <c r="AQ429" s="632">
        <v>0</v>
      </c>
      <c r="AR429" s="632">
        <v>0</v>
      </c>
      <c r="AS429" s="632">
        <v>17.333710608574179</v>
      </c>
      <c r="AT429" s="632">
        <v>18.179515728394094</v>
      </c>
      <c r="AU429" s="632">
        <v>19.06659223648558</v>
      </c>
      <c r="AV429" s="632">
        <v>19.996953986217399</v>
      </c>
      <c r="AW429" s="632">
        <v>20.972713097713097</v>
      </c>
      <c r="AX429" s="632">
        <v>13.303850857362361</v>
      </c>
      <c r="AY429" s="632">
        <v>13.92745781286283</v>
      </c>
      <c r="AZ429" s="632">
        <v>14.580295826281642</v>
      </c>
      <c r="BA429" s="632">
        <v>15.263735079172241</v>
      </c>
      <c r="BB429" s="632">
        <v>15.979209979209978</v>
      </c>
      <c r="BC429" s="632">
        <v>0</v>
      </c>
      <c r="BD429" s="632">
        <v>0</v>
      </c>
      <c r="BE429" s="632">
        <v>0</v>
      </c>
      <c r="BF429" s="632">
        <v>0</v>
      </c>
      <c r="BG429" s="632">
        <v>0</v>
      </c>
      <c r="BH429" s="634">
        <v>21.253885987861718</v>
      </c>
      <c r="BI429" s="634">
        <v>21.538828452017579</v>
      </c>
      <c r="BJ429" s="634">
        <v>21.827591027372197</v>
      </c>
      <c r="BK429" s="635">
        <v>21.684084193117606</v>
      </c>
      <c r="BL429" s="635">
        <v>21.541520853335303</v>
      </c>
      <c r="BM429" s="635">
        <v>21.696164534148078</v>
      </c>
      <c r="BN429" s="635">
        <v>21.851918381145406</v>
      </c>
      <c r="BO429" s="635">
        <v>22.008790364061014</v>
      </c>
      <c r="BP429" s="635">
        <v>22.166788509842263</v>
      </c>
      <c r="BQ429" s="635">
        <v>22.325920903060894</v>
      </c>
      <c r="BR429" s="635">
        <v>22.451250251272022</v>
      </c>
      <c r="BS429" s="635">
        <v>22.57728315144821</v>
      </c>
      <c r="BT429" s="635">
        <v>22.704023553066371</v>
      </c>
      <c r="BU429" s="635">
        <v>22.831475427774301</v>
      </c>
      <c r="BV429" s="635">
        <v>22.959642769515135</v>
      </c>
      <c r="BW429" s="634">
        <v>16.193436943132735</v>
      </c>
      <c r="BX429" s="634">
        <v>16.410535963441966</v>
      </c>
      <c r="BY429" s="634">
        <v>16.630545544664528</v>
      </c>
      <c r="BZ429" s="635">
        <v>16.521207004280079</v>
      </c>
      <c r="CA429" s="635">
        <v>16.412587316826894</v>
      </c>
      <c r="CB429" s="635">
        <v>16.530411073636628</v>
      </c>
      <c r="CC429" s="635">
        <v>16.649080671348877</v>
      </c>
      <c r="CD429" s="635">
        <v>16.768602182141723</v>
      </c>
      <c r="CE429" s="635">
        <v>16.888981721784578</v>
      </c>
      <c r="CF429" s="635">
        <v>17.010225449951154</v>
      </c>
      <c r="CG429" s="635">
        <v>17.105714477159633</v>
      </c>
      <c r="CH429" s="635">
        <v>17.201739543960539</v>
      </c>
      <c r="CI429" s="635">
        <v>17.298303659479139</v>
      </c>
      <c r="CJ429" s="635">
        <v>17.3954098497328</v>
      </c>
      <c r="CK429" s="635">
        <v>17.493061157725812</v>
      </c>
      <c r="CL429" s="634">
        <v>0</v>
      </c>
      <c r="CM429" s="634">
        <v>0</v>
      </c>
      <c r="CN429" s="634">
        <v>0</v>
      </c>
      <c r="CO429" s="635">
        <v>0</v>
      </c>
      <c r="CP429" s="635">
        <v>0</v>
      </c>
      <c r="CQ429" s="635">
        <v>0</v>
      </c>
      <c r="CR429" s="635">
        <v>0</v>
      </c>
      <c r="CS429" s="635">
        <v>0</v>
      </c>
      <c r="CT429" s="635">
        <v>0</v>
      </c>
      <c r="CU429" s="635">
        <v>0</v>
      </c>
      <c r="CV429" s="635">
        <v>0</v>
      </c>
      <c r="CW429" s="635">
        <v>0</v>
      </c>
      <c r="CX429" s="635">
        <v>0</v>
      </c>
      <c r="CY429" s="635">
        <v>0</v>
      </c>
      <c r="CZ429" s="635">
        <v>0</v>
      </c>
      <c r="DA429" s="636">
        <v>2.7652727020376945E-2</v>
      </c>
      <c r="DB429" s="636">
        <v>2.8023456221724672E-2</v>
      </c>
      <c r="DC429" s="636">
        <v>2.8399155643211289E-2</v>
      </c>
      <c r="DD429" s="637">
        <v>2.8212443654849862E-2</v>
      </c>
      <c r="DE429" s="637">
        <v>2.8026959215892926E-2</v>
      </c>
      <c r="DF429" s="637">
        <v>2.8228160986401348E-2</v>
      </c>
      <c r="DG429" s="637">
        <v>2.8430807157358063E-2</v>
      </c>
      <c r="DH429" s="637">
        <v>2.8634908097919614E-2</v>
      </c>
      <c r="DI429" s="637">
        <v>2.884047425168132E-2</v>
      </c>
      <c r="DJ429" s="637">
        <v>2.9047516137211671E-2</v>
      </c>
      <c r="DK429" s="637">
        <v>2.9210578000614131E-2</v>
      </c>
      <c r="DL429" s="637">
        <v>2.9374555232173055E-2</v>
      </c>
      <c r="DM429" s="637">
        <v>2.9539452970422028E-2</v>
      </c>
      <c r="DN429" s="637">
        <v>2.9705276382740439E-2</v>
      </c>
      <c r="DO429" s="637">
        <v>2.9872030665515397E-2</v>
      </c>
      <c r="DP429" s="636">
        <v>0</v>
      </c>
      <c r="DQ429" s="636">
        <v>0</v>
      </c>
      <c r="DR429" s="636">
        <v>0</v>
      </c>
      <c r="DS429" s="637">
        <v>0</v>
      </c>
      <c r="DT429" s="637">
        <v>0</v>
      </c>
      <c r="DU429" s="637">
        <v>0</v>
      </c>
      <c r="DV429" s="637">
        <v>0</v>
      </c>
      <c r="DW429" s="637">
        <v>0</v>
      </c>
      <c r="DX429" s="637">
        <v>0</v>
      </c>
      <c r="DY429" s="637">
        <v>0</v>
      </c>
      <c r="DZ429" s="637">
        <v>0</v>
      </c>
      <c r="EA429" s="637">
        <v>0</v>
      </c>
      <c r="EB429" s="637">
        <v>0</v>
      </c>
      <c r="EC429" s="637">
        <v>0</v>
      </c>
      <c r="ED429" s="637">
        <v>0</v>
      </c>
    </row>
    <row r="430" spans="1:134" ht="15" x14ac:dyDescent="0.25">
      <c r="A430" s="555">
        <v>165</v>
      </c>
      <c r="B430" s="555">
        <v>114</v>
      </c>
      <c r="C430" s="555" t="s">
        <v>1413</v>
      </c>
      <c r="D430" s="812">
        <v>99712</v>
      </c>
      <c r="E430" s="812">
        <v>99712</v>
      </c>
      <c r="F430" s="630" t="s">
        <v>989</v>
      </c>
      <c r="G430" s="45">
        <v>0</v>
      </c>
      <c r="H430" s="45">
        <v>2</v>
      </c>
      <c r="I430" s="45">
        <v>0</v>
      </c>
      <c r="J430" s="45">
        <v>2</v>
      </c>
      <c r="K430" s="45">
        <v>0</v>
      </c>
      <c r="L430" s="45">
        <v>2</v>
      </c>
      <c r="M430" s="45">
        <v>2</v>
      </c>
      <c r="N430" s="45">
        <v>0</v>
      </c>
      <c r="O430" s="45">
        <v>0</v>
      </c>
      <c r="P430" s="45">
        <v>0</v>
      </c>
      <c r="Q430" s="45">
        <v>2</v>
      </c>
      <c r="R430" s="45">
        <v>0</v>
      </c>
      <c r="S430" s="45">
        <v>225</v>
      </c>
      <c r="T430" s="45">
        <v>225</v>
      </c>
      <c r="U430" s="45">
        <v>0</v>
      </c>
      <c r="V430" s="45">
        <v>0</v>
      </c>
      <c r="W430" s="45">
        <v>0</v>
      </c>
      <c r="X430" s="45">
        <v>225</v>
      </c>
      <c r="Y430" s="45">
        <v>0</v>
      </c>
      <c r="Z430" s="45">
        <v>2</v>
      </c>
      <c r="AA430" s="45">
        <v>0</v>
      </c>
      <c r="AB430" s="508">
        <v>0</v>
      </c>
      <c r="AC430" s="508">
        <v>0</v>
      </c>
      <c r="AD430" s="631">
        <v>2</v>
      </c>
      <c r="AE430" s="632">
        <v>0</v>
      </c>
      <c r="AF430" s="632">
        <v>0</v>
      </c>
      <c r="AG430" s="633">
        <v>0</v>
      </c>
      <c r="AH430" s="632">
        <v>0</v>
      </c>
      <c r="AI430" s="632">
        <v>0</v>
      </c>
      <c r="AJ430" s="632">
        <v>1.8182284902914765</v>
      </c>
      <c r="AK430" s="632">
        <v>1.8182284902914765</v>
      </c>
      <c r="AL430" s="632">
        <v>0</v>
      </c>
      <c r="AM430" s="632">
        <v>0</v>
      </c>
      <c r="AN430" s="632">
        <v>0</v>
      </c>
      <c r="AO430" s="632">
        <v>0</v>
      </c>
      <c r="AP430" s="632">
        <v>0</v>
      </c>
      <c r="AQ430" s="632">
        <v>0</v>
      </c>
      <c r="AR430" s="632">
        <v>0</v>
      </c>
      <c r="AS430" s="632">
        <v>1.6529774214538109</v>
      </c>
      <c r="AT430" s="632">
        <v>1.7336350946770376</v>
      </c>
      <c r="AU430" s="632">
        <v>1.8182284902914765</v>
      </c>
      <c r="AV430" s="632">
        <v>1.9069496533949062</v>
      </c>
      <c r="AW430" s="632">
        <v>2</v>
      </c>
      <c r="AX430" s="632">
        <v>0</v>
      </c>
      <c r="AY430" s="632">
        <v>0</v>
      </c>
      <c r="AZ430" s="632">
        <v>0</v>
      </c>
      <c r="BA430" s="632">
        <v>0</v>
      </c>
      <c r="BB430" s="632">
        <v>0</v>
      </c>
      <c r="BC430" s="632">
        <v>0</v>
      </c>
      <c r="BD430" s="632">
        <v>0</v>
      </c>
      <c r="BE430" s="632">
        <v>0</v>
      </c>
      <c r="BF430" s="632">
        <v>0</v>
      </c>
      <c r="BG430" s="632">
        <v>0</v>
      </c>
      <c r="BH430" s="634">
        <v>2.0268132109411519</v>
      </c>
      <c r="BI430" s="634">
        <v>2.053985896022791</v>
      </c>
      <c r="BJ430" s="634">
        <v>2.081522874572896</v>
      </c>
      <c r="BK430" s="635">
        <v>2.0678377749307097</v>
      </c>
      <c r="BL430" s="635">
        <v>2.0542426488143994</v>
      </c>
      <c r="BM430" s="635">
        <v>2.0689897804889981</v>
      </c>
      <c r="BN430" s="635">
        <v>2.0838427798383585</v>
      </c>
      <c r="BO430" s="635">
        <v>2.0988024068722795</v>
      </c>
      <c r="BP430" s="635">
        <v>2.1138694270565663</v>
      </c>
      <c r="BQ430" s="635">
        <v>2.1290446113522004</v>
      </c>
      <c r="BR430" s="635">
        <v>2.1409962694545368</v>
      </c>
      <c r="BS430" s="635">
        <v>2.153015019683846</v>
      </c>
      <c r="BT430" s="635">
        <v>2.1651012386701707</v>
      </c>
      <c r="BU430" s="635">
        <v>2.1772553051578134</v>
      </c>
      <c r="BV430" s="635">
        <v>2.1894776000172045</v>
      </c>
      <c r="BW430" s="634">
        <v>0</v>
      </c>
      <c r="BX430" s="634">
        <v>0</v>
      </c>
      <c r="BY430" s="634">
        <v>0</v>
      </c>
      <c r="BZ430" s="635">
        <v>0</v>
      </c>
      <c r="CA430" s="635">
        <v>0</v>
      </c>
      <c r="CB430" s="635">
        <v>0</v>
      </c>
      <c r="CC430" s="635">
        <v>0</v>
      </c>
      <c r="CD430" s="635">
        <v>0</v>
      </c>
      <c r="CE430" s="635">
        <v>0</v>
      </c>
      <c r="CF430" s="635">
        <v>0</v>
      </c>
      <c r="CG430" s="635">
        <v>0</v>
      </c>
      <c r="CH430" s="635">
        <v>0</v>
      </c>
      <c r="CI430" s="635">
        <v>0</v>
      </c>
      <c r="CJ430" s="635">
        <v>0</v>
      </c>
      <c r="CK430" s="635">
        <v>0</v>
      </c>
      <c r="CL430" s="634">
        <v>0</v>
      </c>
      <c r="CM430" s="634">
        <v>0</v>
      </c>
      <c r="CN430" s="634">
        <v>0</v>
      </c>
      <c r="CO430" s="635">
        <v>0</v>
      </c>
      <c r="CP430" s="635">
        <v>0</v>
      </c>
      <c r="CQ430" s="635">
        <v>0</v>
      </c>
      <c r="CR430" s="635">
        <v>0</v>
      </c>
      <c r="CS430" s="635">
        <v>0</v>
      </c>
      <c r="CT430" s="635">
        <v>0</v>
      </c>
      <c r="CU430" s="635">
        <v>0</v>
      </c>
      <c r="CV430" s="635">
        <v>0</v>
      </c>
      <c r="CW430" s="635">
        <v>0</v>
      </c>
      <c r="CX430" s="635">
        <v>0</v>
      </c>
      <c r="CY430" s="635">
        <v>0</v>
      </c>
      <c r="CZ430" s="635">
        <v>0</v>
      </c>
      <c r="DA430" s="636">
        <v>0</v>
      </c>
      <c r="DB430" s="636">
        <v>0</v>
      </c>
      <c r="DC430" s="636">
        <v>0</v>
      </c>
      <c r="DD430" s="637">
        <v>0</v>
      </c>
      <c r="DE430" s="637">
        <v>0</v>
      </c>
      <c r="DF430" s="637">
        <v>0</v>
      </c>
      <c r="DG430" s="637">
        <v>0</v>
      </c>
      <c r="DH430" s="637">
        <v>0</v>
      </c>
      <c r="DI430" s="637">
        <v>0</v>
      </c>
      <c r="DJ430" s="637">
        <v>0</v>
      </c>
      <c r="DK430" s="637">
        <v>0</v>
      </c>
      <c r="DL430" s="637">
        <v>0</v>
      </c>
      <c r="DM430" s="637">
        <v>0</v>
      </c>
      <c r="DN430" s="637">
        <v>0</v>
      </c>
      <c r="DO430" s="637">
        <v>0</v>
      </c>
      <c r="DP430" s="636">
        <v>0</v>
      </c>
      <c r="DQ430" s="636">
        <v>0</v>
      </c>
      <c r="DR430" s="636">
        <v>0</v>
      </c>
      <c r="DS430" s="637">
        <v>0</v>
      </c>
      <c r="DT430" s="637">
        <v>0</v>
      </c>
      <c r="DU430" s="637">
        <v>0</v>
      </c>
      <c r="DV430" s="637">
        <v>0</v>
      </c>
      <c r="DW430" s="637">
        <v>0</v>
      </c>
      <c r="DX430" s="637">
        <v>0</v>
      </c>
      <c r="DY430" s="637">
        <v>0</v>
      </c>
      <c r="DZ430" s="637">
        <v>0</v>
      </c>
      <c r="EA430" s="637">
        <v>0</v>
      </c>
      <c r="EB430" s="637">
        <v>0</v>
      </c>
      <c r="EC430" s="637">
        <v>0</v>
      </c>
      <c r="ED430" s="637">
        <v>0</v>
      </c>
    </row>
    <row r="431" spans="1:134" ht="15" x14ac:dyDescent="0.25">
      <c r="A431" s="555">
        <v>116</v>
      </c>
      <c r="B431" s="555">
        <v>115</v>
      </c>
      <c r="C431" s="555" t="s">
        <v>1414</v>
      </c>
      <c r="D431" s="812">
        <v>99712</v>
      </c>
      <c r="E431" s="812">
        <v>99712</v>
      </c>
      <c r="F431" s="630" t="s">
        <v>989</v>
      </c>
      <c r="G431" s="45">
        <v>8</v>
      </c>
      <c r="H431" s="45">
        <v>7</v>
      </c>
      <c r="I431" s="45">
        <v>3</v>
      </c>
      <c r="J431" s="45">
        <v>4</v>
      </c>
      <c r="K431" s="45">
        <v>0</v>
      </c>
      <c r="L431" s="45">
        <v>0</v>
      </c>
      <c r="M431" s="45">
        <v>0</v>
      </c>
      <c r="N431" s="45">
        <v>0</v>
      </c>
      <c r="O431" s="45">
        <v>0</v>
      </c>
      <c r="P431" s="45">
        <v>0</v>
      </c>
      <c r="Q431" s="45">
        <v>0</v>
      </c>
      <c r="R431" s="45">
        <v>0</v>
      </c>
      <c r="S431" s="45">
        <v>834.49503068156923</v>
      </c>
      <c r="T431" s="45">
        <v>834.49503068156923</v>
      </c>
      <c r="U431" s="45">
        <v>1408.3846153846155</v>
      </c>
      <c r="V431" s="45">
        <v>0</v>
      </c>
      <c r="W431" s="45">
        <v>0</v>
      </c>
      <c r="X431" s="45">
        <v>1365.173957061457</v>
      </c>
      <c r="Y431" s="45">
        <v>0.1603863478863479</v>
      </c>
      <c r="Z431" s="45">
        <v>6.8305180180180178</v>
      </c>
      <c r="AA431" s="45">
        <v>9.0956340956340961E-3</v>
      </c>
      <c r="AB431" s="508">
        <v>0</v>
      </c>
      <c r="AC431" s="508">
        <v>0</v>
      </c>
      <c r="AD431" s="631">
        <v>7</v>
      </c>
      <c r="AE431" s="632">
        <v>6.8737006237006251E-2</v>
      </c>
      <c r="AF431" s="632">
        <v>2.9273648648648645</v>
      </c>
      <c r="AG431" s="633">
        <v>2.9961018711018705</v>
      </c>
      <c r="AH431" s="632">
        <v>3.8981288981288983E-3</v>
      </c>
      <c r="AI431" s="632">
        <v>0.14580951359037894</v>
      </c>
      <c r="AJ431" s="632">
        <v>6.2097212319048145</v>
      </c>
      <c r="AK431" s="632">
        <v>6.3555307454951935</v>
      </c>
      <c r="AL431" s="632">
        <v>8.2689705249742312E-3</v>
      </c>
      <c r="AM431" s="632">
        <v>6.2719363876715714E-2</v>
      </c>
      <c r="AN431" s="632">
        <v>2.671086103551092</v>
      </c>
      <c r="AO431" s="632">
        <v>2.7338054674278078</v>
      </c>
      <c r="AP431" s="632">
        <v>3.5568637359196047E-3</v>
      </c>
      <c r="AQ431" s="632">
        <v>0</v>
      </c>
      <c r="AR431" s="632">
        <v>0</v>
      </c>
      <c r="AS431" s="632">
        <v>5.7779035361913937</v>
      </c>
      <c r="AT431" s="632">
        <v>6.0598385761313649</v>
      </c>
      <c r="AU431" s="632">
        <v>6.3555307454951935</v>
      </c>
      <c r="AV431" s="632">
        <v>6.6656513287391341</v>
      </c>
      <c r="AW431" s="632">
        <v>6.9909043659043659</v>
      </c>
      <c r="AX431" s="632">
        <v>2.4944720357554426</v>
      </c>
      <c r="AY431" s="632">
        <v>2.6113983399117804</v>
      </c>
      <c r="AZ431" s="632">
        <v>2.7338054674278078</v>
      </c>
      <c r="BA431" s="632">
        <v>2.861950327344795</v>
      </c>
      <c r="BB431" s="632">
        <v>2.9961018711018705</v>
      </c>
      <c r="BC431" s="632">
        <v>0</v>
      </c>
      <c r="BD431" s="632">
        <v>0</v>
      </c>
      <c r="BE431" s="632">
        <v>0</v>
      </c>
      <c r="BF431" s="632">
        <v>0</v>
      </c>
      <c r="BG431" s="632">
        <v>0</v>
      </c>
      <c r="BH431" s="634">
        <v>7.0846286626205721</v>
      </c>
      <c r="BI431" s="634">
        <v>7.1796094840058604</v>
      </c>
      <c r="BJ431" s="634">
        <v>7.275863675790732</v>
      </c>
      <c r="BK431" s="635">
        <v>7.228028064372535</v>
      </c>
      <c r="BL431" s="635">
        <v>7.1805069511117674</v>
      </c>
      <c r="BM431" s="635">
        <v>7.2320548447160249</v>
      </c>
      <c r="BN431" s="635">
        <v>7.2839727937151348</v>
      </c>
      <c r="BO431" s="635">
        <v>7.3362634546870051</v>
      </c>
      <c r="BP431" s="635">
        <v>7.388929503280754</v>
      </c>
      <c r="BQ431" s="635">
        <v>7.4419736343536309</v>
      </c>
      <c r="BR431" s="635">
        <v>7.4837500837573403</v>
      </c>
      <c r="BS431" s="635">
        <v>7.5257610504827364</v>
      </c>
      <c r="BT431" s="635">
        <v>7.5680078510221236</v>
      </c>
      <c r="BU431" s="635">
        <v>7.6104918092581002</v>
      </c>
      <c r="BV431" s="635">
        <v>7.6532142565050441</v>
      </c>
      <c r="BW431" s="634">
        <v>3.0362694268373875</v>
      </c>
      <c r="BX431" s="634">
        <v>3.0769754931453681</v>
      </c>
      <c r="BY431" s="634">
        <v>3.1182272896245991</v>
      </c>
      <c r="BZ431" s="635">
        <v>3.0977263133025144</v>
      </c>
      <c r="CA431" s="635">
        <v>3.077360121905043</v>
      </c>
      <c r="CB431" s="635">
        <v>3.0994520763068674</v>
      </c>
      <c r="CC431" s="635">
        <v>3.1217026258779148</v>
      </c>
      <c r="CD431" s="635">
        <v>3.1441129091515729</v>
      </c>
      <c r="CE431" s="635">
        <v>3.1666840728346086</v>
      </c>
      <c r="CF431" s="635">
        <v>3.1894172718658411</v>
      </c>
      <c r="CG431" s="635">
        <v>3.2073214644674315</v>
      </c>
      <c r="CH431" s="635">
        <v>3.2253261644926008</v>
      </c>
      <c r="CI431" s="635">
        <v>3.243431936152338</v>
      </c>
      <c r="CJ431" s="635">
        <v>3.2616393468248996</v>
      </c>
      <c r="CK431" s="635">
        <v>3.2799489670735902</v>
      </c>
      <c r="CL431" s="634">
        <v>0</v>
      </c>
      <c r="CM431" s="634">
        <v>0</v>
      </c>
      <c r="CN431" s="634">
        <v>0</v>
      </c>
      <c r="CO431" s="635">
        <v>0</v>
      </c>
      <c r="CP431" s="635">
        <v>0</v>
      </c>
      <c r="CQ431" s="635">
        <v>0</v>
      </c>
      <c r="CR431" s="635">
        <v>0</v>
      </c>
      <c r="CS431" s="635">
        <v>0</v>
      </c>
      <c r="CT431" s="635">
        <v>0</v>
      </c>
      <c r="CU431" s="635">
        <v>0</v>
      </c>
      <c r="CV431" s="635">
        <v>0</v>
      </c>
      <c r="CW431" s="635">
        <v>0</v>
      </c>
      <c r="CX431" s="635">
        <v>0</v>
      </c>
      <c r="CY431" s="635">
        <v>0</v>
      </c>
      <c r="CZ431" s="635">
        <v>0</v>
      </c>
      <c r="DA431" s="636">
        <v>9.2175756734589817E-3</v>
      </c>
      <c r="DB431" s="636">
        <v>9.3411520739082234E-3</v>
      </c>
      <c r="DC431" s="636">
        <v>9.4663852144037629E-3</v>
      </c>
      <c r="DD431" s="637">
        <v>9.4041478849499534E-3</v>
      </c>
      <c r="DE431" s="637">
        <v>9.3423197386309758E-3</v>
      </c>
      <c r="DF431" s="637">
        <v>9.4093869954671155E-3</v>
      </c>
      <c r="DG431" s="637">
        <v>9.4769357191193532E-3</v>
      </c>
      <c r="DH431" s="637">
        <v>9.5449693659732035E-3</v>
      </c>
      <c r="DI431" s="637">
        <v>9.6134914172271071E-3</v>
      </c>
      <c r="DJ431" s="637">
        <v>9.6825053790705572E-3</v>
      </c>
      <c r="DK431" s="637">
        <v>9.7368593335380449E-3</v>
      </c>
      <c r="DL431" s="637">
        <v>9.7915184107243512E-3</v>
      </c>
      <c r="DM431" s="637">
        <v>9.8464843234740088E-3</v>
      </c>
      <c r="DN431" s="637">
        <v>9.9017587942468125E-3</v>
      </c>
      <c r="DO431" s="637">
        <v>9.9573435551717979E-3</v>
      </c>
      <c r="DP431" s="636">
        <v>0</v>
      </c>
      <c r="DQ431" s="636">
        <v>0</v>
      </c>
      <c r="DR431" s="636">
        <v>0</v>
      </c>
      <c r="DS431" s="637">
        <v>0</v>
      </c>
      <c r="DT431" s="637">
        <v>0</v>
      </c>
      <c r="DU431" s="637">
        <v>0</v>
      </c>
      <c r="DV431" s="637">
        <v>0</v>
      </c>
      <c r="DW431" s="637">
        <v>0</v>
      </c>
      <c r="DX431" s="637">
        <v>0</v>
      </c>
      <c r="DY431" s="637">
        <v>0</v>
      </c>
      <c r="DZ431" s="637">
        <v>0</v>
      </c>
      <c r="EA431" s="637">
        <v>0</v>
      </c>
      <c r="EB431" s="637">
        <v>0</v>
      </c>
      <c r="EC431" s="637">
        <v>0</v>
      </c>
      <c r="ED431" s="637">
        <v>0</v>
      </c>
    </row>
    <row r="432" spans="1:134" ht="15" x14ac:dyDescent="0.25">
      <c r="A432" s="555">
        <v>119</v>
      </c>
      <c r="B432" s="555">
        <v>115</v>
      </c>
      <c r="C432" s="555" t="s">
        <v>1415</v>
      </c>
      <c r="D432" s="812">
        <v>99712</v>
      </c>
      <c r="E432" s="812">
        <v>99712</v>
      </c>
      <c r="F432" s="630" t="s">
        <v>989</v>
      </c>
      <c r="G432" s="45">
        <v>3</v>
      </c>
      <c r="H432" s="45">
        <v>1</v>
      </c>
      <c r="I432" s="45">
        <v>1</v>
      </c>
      <c r="J432" s="45">
        <v>0</v>
      </c>
      <c r="K432" s="45">
        <v>0</v>
      </c>
      <c r="L432" s="45">
        <v>0</v>
      </c>
      <c r="M432" s="45">
        <v>0</v>
      </c>
      <c r="N432" s="45">
        <v>0</v>
      </c>
      <c r="O432" s="45">
        <v>0</v>
      </c>
      <c r="P432" s="45">
        <v>0</v>
      </c>
      <c r="Q432" s="45">
        <v>0</v>
      </c>
      <c r="R432" s="45">
        <v>0</v>
      </c>
      <c r="S432" s="45">
        <v>834.49503068156923</v>
      </c>
      <c r="T432" s="45">
        <v>834.49503068156923</v>
      </c>
      <c r="U432" s="45">
        <v>1408.3846153846155</v>
      </c>
      <c r="V432" s="45">
        <v>0</v>
      </c>
      <c r="W432" s="45">
        <v>0</v>
      </c>
      <c r="X432" s="45">
        <v>1365.173957061457</v>
      </c>
      <c r="Y432" s="45">
        <v>2.2912335412335411E-2</v>
      </c>
      <c r="Z432" s="45">
        <v>0.97578828828828834</v>
      </c>
      <c r="AA432" s="45">
        <v>1.2993762993762994E-3</v>
      </c>
      <c r="AB432" s="508">
        <v>0</v>
      </c>
      <c r="AC432" s="508">
        <v>0</v>
      </c>
      <c r="AD432" s="631">
        <v>1</v>
      </c>
      <c r="AE432" s="632">
        <v>2.2912335412335411E-2</v>
      </c>
      <c r="AF432" s="632">
        <v>0.97578828828828834</v>
      </c>
      <c r="AG432" s="633">
        <v>0.99870062370062374</v>
      </c>
      <c r="AH432" s="632">
        <v>1.2993762993762994E-3</v>
      </c>
      <c r="AI432" s="632">
        <v>2.0829930512911272E-2</v>
      </c>
      <c r="AJ432" s="632">
        <v>0.8871030331292592</v>
      </c>
      <c r="AK432" s="632">
        <v>0.90793296364217047</v>
      </c>
      <c r="AL432" s="632">
        <v>1.1812815035677471E-3</v>
      </c>
      <c r="AM432" s="632">
        <v>2.0906454625571898E-2</v>
      </c>
      <c r="AN432" s="632">
        <v>0.89036203451703089</v>
      </c>
      <c r="AO432" s="632">
        <v>0.91126848914260283</v>
      </c>
      <c r="AP432" s="632">
        <v>1.1856212453065351E-3</v>
      </c>
      <c r="AQ432" s="632">
        <v>0</v>
      </c>
      <c r="AR432" s="632">
        <v>0</v>
      </c>
      <c r="AS432" s="632">
        <v>0.82541479088448488</v>
      </c>
      <c r="AT432" s="632">
        <v>0.86569122516162356</v>
      </c>
      <c r="AU432" s="632">
        <v>0.90793296364217047</v>
      </c>
      <c r="AV432" s="632">
        <v>0.95223590410559056</v>
      </c>
      <c r="AW432" s="632">
        <v>0.99870062370062374</v>
      </c>
      <c r="AX432" s="632">
        <v>0.83149067858514769</v>
      </c>
      <c r="AY432" s="632">
        <v>0.87046611330392698</v>
      </c>
      <c r="AZ432" s="632">
        <v>0.91126848914260272</v>
      </c>
      <c r="BA432" s="632">
        <v>0.95398344244826516</v>
      </c>
      <c r="BB432" s="632">
        <v>0.99870062370062374</v>
      </c>
      <c r="BC432" s="632">
        <v>0</v>
      </c>
      <c r="BD432" s="632">
        <v>0</v>
      </c>
      <c r="BE432" s="632">
        <v>0</v>
      </c>
      <c r="BF432" s="632">
        <v>0</v>
      </c>
      <c r="BG432" s="632">
        <v>0</v>
      </c>
      <c r="BH432" s="634">
        <v>1.0120898089457961</v>
      </c>
      <c r="BI432" s="634">
        <v>1.0256584977151229</v>
      </c>
      <c r="BJ432" s="634">
        <v>1.0394090965415332</v>
      </c>
      <c r="BK432" s="635">
        <v>1.0325754377675052</v>
      </c>
      <c r="BL432" s="635">
        <v>1.0257867073016811</v>
      </c>
      <c r="BM432" s="635">
        <v>1.0331506921022895</v>
      </c>
      <c r="BN432" s="635">
        <v>1.040567541959305</v>
      </c>
      <c r="BO432" s="635">
        <v>1.0480376363838579</v>
      </c>
      <c r="BP432" s="635">
        <v>1.0555613576115364</v>
      </c>
      <c r="BQ432" s="635">
        <v>1.0631390906219473</v>
      </c>
      <c r="BR432" s="635">
        <v>1.0691071548224773</v>
      </c>
      <c r="BS432" s="635">
        <v>1.0751087214975339</v>
      </c>
      <c r="BT432" s="635">
        <v>1.0811439787174464</v>
      </c>
      <c r="BU432" s="635">
        <v>1.0872131156083003</v>
      </c>
      <c r="BV432" s="635">
        <v>1.0933163223578635</v>
      </c>
      <c r="BW432" s="634">
        <v>1.0120898089457961</v>
      </c>
      <c r="BX432" s="634">
        <v>1.0256584977151229</v>
      </c>
      <c r="BY432" s="634">
        <v>1.0394090965415332</v>
      </c>
      <c r="BZ432" s="635">
        <v>1.0325754377675052</v>
      </c>
      <c r="CA432" s="635">
        <v>1.0257867073016811</v>
      </c>
      <c r="CB432" s="635">
        <v>1.0331506921022895</v>
      </c>
      <c r="CC432" s="635">
        <v>1.040567541959305</v>
      </c>
      <c r="CD432" s="635">
        <v>1.0480376363838579</v>
      </c>
      <c r="CE432" s="635">
        <v>1.0555613576115364</v>
      </c>
      <c r="CF432" s="635">
        <v>1.0631390906219473</v>
      </c>
      <c r="CG432" s="635">
        <v>1.0691071548224773</v>
      </c>
      <c r="CH432" s="635">
        <v>1.0751087214975339</v>
      </c>
      <c r="CI432" s="635">
        <v>1.0811439787174464</v>
      </c>
      <c r="CJ432" s="635">
        <v>1.0872131156083003</v>
      </c>
      <c r="CK432" s="635">
        <v>1.0933163223578635</v>
      </c>
      <c r="CL432" s="634">
        <v>0</v>
      </c>
      <c r="CM432" s="634">
        <v>0</v>
      </c>
      <c r="CN432" s="634">
        <v>0</v>
      </c>
      <c r="CO432" s="635">
        <v>0</v>
      </c>
      <c r="CP432" s="635">
        <v>0</v>
      </c>
      <c r="CQ432" s="635">
        <v>0</v>
      </c>
      <c r="CR432" s="635">
        <v>0</v>
      </c>
      <c r="CS432" s="635">
        <v>0</v>
      </c>
      <c r="CT432" s="635">
        <v>0</v>
      </c>
      <c r="CU432" s="635">
        <v>0</v>
      </c>
      <c r="CV432" s="635">
        <v>0</v>
      </c>
      <c r="CW432" s="635">
        <v>0</v>
      </c>
      <c r="CX432" s="635">
        <v>0</v>
      </c>
      <c r="CY432" s="635">
        <v>0</v>
      </c>
      <c r="CZ432" s="635">
        <v>0</v>
      </c>
      <c r="DA432" s="636">
        <v>1.3167965247798544E-3</v>
      </c>
      <c r="DB432" s="636">
        <v>1.3344502962726033E-3</v>
      </c>
      <c r="DC432" s="636">
        <v>1.3523407449148232E-3</v>
      </c>
      <c r="DD432" s="637">
        <v>1.3434496978499935E-3</v>
      </c>
      <c r="DE432" s="637">
        <v>1.3346171055187107E-3</v>
      </c>
      <c r="DF432" s="637">
        <v>1.3441981422095879E-3</v>
      </c>
      <c r="DG432" s="637">
        <v>1.3538479598741934E-3</v>
      </c>
      <c r="DH432" s="637">
        <v>1.3635670522818863E-3</v>
      </c>
      <c r="DI432" s="637">
        <v>1.3733559167467295E-3</v>
      </c>
      <c r="DJ432" s="637">
        <v>1.3832150541529368E-3</v>
      </c>
      <c r="DK432" s="637">
        <v>1.3909799047911492E-3</v>
      </c>
      <c r="DL432" s="637">
        <v>1.3987883443891929E-3</v>
      </c>
      <c r="DM432" s="637">
        <v>1.4066406176391441E-3</v>
      </c>
      <c r="DN432" s="637">
        <v>1.4145369706066876E-3</v>
      </c>
      <c r="DO432" s="637">
        <v>1.4224776507388284E-3</v>
      </c>
      <c r="DP432" s="636">
        <v>0</v>
      </c>
      <c r="DQ432" s="636">
        <v>0</v>
      </c>
      <c r="DR432" s="636">
        <v>0</v>
      </c>
      <c r="DS432" s="637">
        <v>0</v>
      </c>
      <c r="DT432" s="637">
        <v>0</v>
      </c>
      <c r="DU432" s="637">
        <v>0</v>
      </c>
      <c r="DV432" s="637">
        <v>0</v>
      </c>
      <c r="DW432" s="637">
        <v>0</v>
      </c>
      <c r="DX432" s="637">
        <v>0</v>
      </c>
      <c r="DY432" s="637">
        <v>0</v>
      </c>
      <c r="DZ432" s="637">
        <v>0</v>
      </c>
      <c r="EA432" s="637">
        <v>0</v>
      </c>
      <c r="EB432" s="637">
        <v>0</v>
      </c>
      <c r="EC432" s="637">
        <v>0</v>
      </c>
      <c r="ED432" s="637">
        <v>0</v>
      </c>
    </row>
    <row r="433" spans="1:134" ht="15" x14ac:dyDescent="0.25">
      <c r="A433" s="555">
        <v>99</v>
      </c>
      <c r="B433" s="555">
        <v>116</v>
      </c>
      <c r="C433" s="555" t="s">
        <v>1416</v>
      </c>
      <c r="D433" s="812">
        <v>99712</v>
      </c>
      <c r="E433" s="812">
        <v>99712</v>
      </c>
      <c r="F433" s="630" t="s">
        <v>989</v>
      </c>
      <c r="G433" s="45">
        <v>2</v>
      </c>
      <c r="H433" s="45">
        <v>8</v>
      </c>
      <c r="I433" s="45">
        <v>1</v>
      </c>
      <c r="J433" s="45">
        <v>7</v>
      </c>
      <c r="K433" s="45">
        <v>0</v>
      </c>
      <c r="L433" s="45">
        <v>0</v>
      </c>
      <c r="M433" s="45">
        <v>0</v>
      </c>
      <c r="N433" s="45">
        <v>0</v>
      </c>
      <c r="O433" s="45">
        <v>0</v>
      </c>
      <c r="P433" s="45">
        <v>0</v>
      </c>
      <c r="Q433" s="45">
        <v>0</v>
      </c>
      <c r="R433" s="45">
        <v>0</v>
      </c>
      <c r="S433" s="45">
        <v>834.49503068156923</v>
      </c>
      <c r="T433" s="45">
        <v>834.49503068156923</v>
      </c>
      <c r="U433" s="45">
        <v>1408.3846153846155</v>
      </c>
      <c r="V433" s="45">
        <v>0</v>
      </c>
      <c r="W433" s="45">
        <v>0</v>
      </c>
      <c r="X433" s="45">
        <v>1365.173957061457</v>
      </c>
      <c r="Y433" s="45">
        <v>0.18329868329868329</v>
      </c>
      <c r="Z433" s="45">
        <v>7.8063063063063067</v>
      </c>
      <c r="AA433" s="45">
        <v>1.0395010395010396E-2</v>
      </c>
      <c r="AB433" s="508">
        <v>0</v>
      </c>
      <c r="AC433" s="508">
        <v>0</v>
      </c>
      <c r="AD433" s="631">
        <v>8</v>
      </c>
      <c r="AE433" s="632">
        <v>2.2912335412335411E-2</v>
      </c>
      <c r="AF433" s="632">
        <v>0.97578828828828834</v>
      </c>
      <c r="AG433" s="633">
        <v>0.99870062370062374</v>
      </c>
      <c r="AH433" s="632">
        <v>1.2993762993762994E-3</v>
      </c>
      <c r="AI433" s="632">
        <v>0.16663944410329018</v>
      </c>
      <c r="AJ433" s="632">
        <v>7.0968242650340736</v>
      </c>
      <c r="AK433" s="632">
        <v>7.2634637091373637</v>
      </c>
      <c r="AL433" s="632">
        <v>9.4502520285419771E-3</v>
      </c>
      <c r="AM433" s="632">
        <v>2.0906454625571898E-2</v>
      </c>
      <c r="AN433" s="632">
        <v>0.89036203451703089</v>
      </c>
      <c r="AO433" s="632">
        <v>0.91126848914260283</v>
      </c>
      <c r="AP433" s="632">
        <v>1.1856212453065351E-3</v>
      </c>
      <c r="AQ433" s="632">
        <v>0</v>
      </c>
      <c r="AR433" s="632">
        <v>0</v>
      </c>
      <c r="AS433" s="632">
        <v>6.6033183270758791</v>
      </c>
      <c r="AT433" s="632">
        <v>6.9255298012929885</v>
      </c>
      <c r="AU433" s="632">
        <v>7.2634637091373637</v>
      </c>
      <c r="AV433" s="632">
        <v>7.6178872328447245</v>
      </c>
      <c r="AW433" s="632">
        <v>7.9896049896049899</v>
      </c>
      <c r="AX433" s="632">
        <v>0.83149067858514769</v>
      </c>
      <c r="AY433" s="632">
        <v>0.87046611330392698</v>
      </c>
      <c r="AZ433" s="632">
        <v>0.91126848914260272</v>
      </c>
      <c r="BA433" s="632">
        <v>0.95398344244826516</v>
      </c>
      <c r="BB433" s="632">
        <v>0.99870062370062374</v>
      </c>
      <c r="BC433" s="632">
        <v>0</v>
      </c>
      <c r="BD433" s="632">
        <v>0</v>
      </c>
      <c r="BE433" s="632">
        <v>0</v>
      </c>
      <c r="BF433" s="632">
        <v>0</v>
      </c>
      <c r="BG433" s="632">
        <v>0</v>
      </c>
      <c r="BH433" s="634">
        <v>8.0305327719125525</v>
      </c>
      <c r="BI433" s="634">
        <v>8.0716702120651274</v>
      </c>
      <c r="BJ433" s="634">
        <v>8.1130183840620731</v>
      </c>
      <c r="BK433" s="635">
        <v>8.0596788477345864</v>
      </c>
      <c r="BL433" s="635">
        <v>8.0066899954559876</v>
      </c>
      <c r="BM433" s="635">
        <v>8.0641689460117174</v>
      </c>
      <c r="BN433" s="635">
        <v>8.1220605302224129</v>
      </c>
      <c r="BO433" s="635">
        <v>8.1803677103295822</v>
      </c>
      <c r="BP433" s="635">
        <v>8.2390934698402649</v>
      </c>
      <c r="BQ433" s="635">
        <v>8.2982408136796977</v>
      </c>
      <c r="BR433" s="635">
        <v>8.3448240259464264</v>
      </c>
      <c r="BS433" s="635">
        <v>8.3916687388991225</v>
      </c>
      <c r="BT433" s="635">
        <v>8.4387764205045777</v>
      </c>
      <c r="BU433" s="635">
        <v>8.4861485469702025</v>
      </c>
      <c r="BV433" s="635">
        <v>8.5337866027902773</v>
      </c>
      <c r="BW433" s="634">
        <v>1.0038165964890691</v>
      </c>
      <c r="BX433" s="634">
        <v>1.0089587765081409</v>
      </c>
      <c r="BY433" s="634">
        <v>1.0141272980077591</v>
      </c>
      <c r="BZ433" s="635">
        <v>1.0074598559668233</v>
      </c>
      <c r="CA433" s="635">
        <v>1.0008362494319984</v>
      </c>
      <c r="CB433" s="635">
        <v>1.0080211182514647</v>
      </c>
      <c r="CC433" s="635">
        <v>1.0152575662778016</v>
      </c>
      <c r="CD433" s="635">
        <v>1.0225459637911978</v>
      </c>
      <c r="CE433" s="635">
        <v>1.0298866837300331</v>
      </c>
      <c r="CF433" s="635">
        <v>1.0372801017099622</v>
      </c>
      <c r="CG433" s="635">
        <v>1.0431030032433033</v>
      </c>
      <c r="CH433" s="635">
        <v>1.0489585923623903</v>
      </c>
      <c r="CI433" s="635">
        <v>1.0548470525630722</v>
      </c>
      <c r="CJ433" s="635">
        <v>1.0607685683712753</v>
      </c>
      <c r="CK433" s="635">
        <v>1.0667233253487847</v>
      </c>
      <c r="CL433" s="634">
        <v>0</v>
      </c>
      <c r="CM433" s="634">
        <v>0</v>
      </c>
      <c r="CN433" s="634">
        <v>0</v>
      </c>
      <c r="CO433" s="635">
        <v>0</v>
      </c>
      <c r="CP433" s="635">
        <v>0</v>
      </c>
      <c r="CQ433" s="635">
        <v>0</v>
      </c>
      <c r="CR433" s="635">
        <v>0</v>
      </c>
      <c r="CS433" s="635">
        <v>0</v>
      </c>
      <c r="CT433" s="635">
        <v>0</v>
      </c>
      <c r="CU433" s="635">
        <v>0</v>
      </c>
      <c r="CV433" s="635">
        <v>0</v>
      </c>
      <c r="CW433" s="635">
        <v>0</v>
      </c>
      <c r="CX433" s="635">
        <v>0</v>
      </c>
      <c r="CY433" s="635">
        <v>0</v>
      </c>
      <c r="CZ433" s="635">
        <v>0</v>
      </c>
      <c r="DA433" s="636">
        <v>1.0448260176831321E-2</v>
      </c>
      <c r="DB433" s="636">
        <v>1.050178273752944E-2</v>
      </c>
      <c r="DC433" s="636">
        <v>1.0555579474449744E-2</v>
      </c>
      <c r="DD433" s="637">
        <v>1.0486181170614867E-2</v>
      </c>
      <c r="DE433" s="637">
        <v>1.041723913017953E-2</v>
      </c>
      <c r="DF433" s="637">
        <v>1.0492023088748007E-2</v>
      </c>
      <c r="DG433" s="637">
        <v>1.0567343911296401E-2</v>
      </c>
      <c r="DH433" s="637">
        <v>1.0643205451899014E-2</v>
      </c>
      <c r="DI433" s="637">
        <v>1.0719611592298029E-2</v>
      </c>
      <c r="DJ433" s="637">
        <v>1.0796566242102132E-2</v>
      </c>
      <c r="DK433" s="637">
        <v>1.0857174116505891E-2</v>
      </c>
      <c r="DL433" s="637">
        <v>1.0918122220789906E-2</v>
      </c>
      <c r="DM433" s="637">
        <v>1.097941246487715E-2</v>
      </c>
      <c r="DN433" s="637">
        <v>1.1041046769412182E-2</v>
      </c>
      <c r="DO433" s="637">
        <v>1.1103027065821334E-2</v>
      </c>
      <c r="DP433" s="636">
        <v>0</v>
      </c>
      <c r="DQ433" s="636">
        <v>0</v>
      </c>
      <c r="DR433" s="636">
        <v>0</v>
      </c>
      <c r="DS433" s="637">
        <v>0</v>
      </c>
      <c r="DT433" s="637">
        <v>0</v>
      </c>
      <c r="DU433" s="637">
        <v>0</v>
      </c>
      <c r="DV433" s="637">
        <v>0</v>
      </c>
      <c r="DW433" s="637">
        <v>0</v>
      </c>
      <c r="DX433" s="637">
        <v>0</v>
      </c>
      <c r="DY433" s="637">
        <v>0</v>
      </c>
      <c r="DZ433" s="637">
        <v>0</v>
      </c>
      <c r="EA433" s="637">
        <v>0</v>
      </c>
      <c r="EB433" s="637">
        <v>0</v>
      </c>
      <c r="EC433" s="637">
        <v>0</v>
      </c>
      <c r="ED433" s="637">
        <v>0</v>
      </c>
    </row>
    <row r="434" spans="1:134" ht="15" x14ac:dyDescent="0.25">
      <c r="A434" s="555">
        <v>106</v>
      </c>
      <c r="B434" s="555">
        <v>116</v>
      </c>
      <c r="C434" s="555" t="s">
        <v>1417</v>
      </c>
      <c r="D434" s="812">
        <v>99712</v>
      </c>
      <c r="E434" s="812">
        <v>99712</v>
      </c>
      <c r="F434" s="630" t="s">
        <v>989</v>
      </c>
      <c r="G434" s="45">
        <v>0</v>
      </c>
      <c r="H434" s="45">
        <v>1</v>
      </c>
      <c r="I434" s="45">
        <v>0</v>
      </c>
      <c r="J434" s="45">
        <v>1</v>
      </c>
      <c r="K434" s="45">
        <v>0</v>
      </c>
      <c r="L434" s="45">
        <v>9</v>
      </c>
      <c r="M434" s="45">
        <v>9</v>
      </c>
      <c r="N434" s="45">
        <v>0</v>
      </c>
      <c r="O434" s="45">
        <v>0</v>
      </c>
      <c r="P434" s="45">
        <v>0</v>
      </c>
      <c r="Q434" s="45">
        <v>9</v>
      </c>
      <c r="R434" s="45">
        <v>0</v>
      </c>
      <c r="S434" s="45">
        <v>906.44444444444446</v>
      </c>
      <c r="T434" s="45">
        <v>906.44444444444446</v>
      </c>
      <c r="U434" s="45">
        <v>0</v>
      </c>
      <c r="V434" s="45">
        <v>0</v>
      </c>
      <c r="W434" s="45">
        <v>0</v>
      </c>
      <c r="X434" s="45">
        <v>906.44444444444446</v>
      </c>
      <c r="Y434" s="45">
        <v>0</v>
      </c>
      <c r="Z434" s="45">
        <v>1</v>
      </c>
      <c r="AA434" s="45">
        <v>0</v>
      </c>
      <c r="AB434" s="508">
        <v>0</v>
      </c>
      <c r="AC434" s="508">
        <v>0</v>
      </c>
      <c r="AD434" s="631">
        <v>1</v>
      </c>
      <c r="AE434" s="632">
        <v>0</v>
      </c>
      <c r="AF434" s="632">
        <v>0</v>
      </c>
      <c r="AG434" s="633">
        <v>0</v>
      </c>
      <c r="AH434" s="632">
        <v>0</v>
      </c>
      <c r="AI434" s="632">
        <v>0</v>
      </c>
      <c r="AJ434" s="632">
        <v>0.90911424514573824</v>
      </c>
      <c r="AK434" s="632">
        <v>0.90911424514573824</v>
      </c>
      <c r="AL434" s="632">
        <v>0</v>
      </c>
      <c r="AM434" s="632">
        <v>0</v>
      </c>
      <c r="AN434" s="632">
        <v>0</v>
      </c>
      <c r="AO434" s="632">
        <v>0</v>
      </c>
      <c r="AP434" s="632">
        <v>0</v>
      </c>
      <c r="AQ434" s="632">
        <v>0</v>
      </c>
      <c r="AR434" s="632">
        <v>0</v>
      </c>
      <c r="AS434" s="632">
        <v>0.82648871072690544</v>
      </c>
      <c r="AT434" s="632">
        <v>0.86681754733851879</v>
      </c>
      <c r="AU434" s="632">
        <v>0.90911424514573824</v>
      </c>
      <c r="AV434" s="632">
        <v>0.95347482669745309</v>
      </c>
      <c r="AW434" s="632">
        <v>1</v>
      </c>
      <c r="AX434" s="632">
        <v>0</v>
      </c>
      <c r="AY434" s="632">
        <v>0</v>
      </c>
      <c r="AZ434" s="632">
        <v>0</v>
      </c>
      <c r="BA434" s="632">
        <v>0</v>
      </c>
      <c r="BB434" s="632">
        <v>0</v>
      </c>
      <c r="BC434" s="632">
        <v>0</v>
      </c>
      <c r="BD434" s="632">
        <v>0</v>
      </c>
      <c r="BE434" s="632">
        <v>0</v>
      </c>
      <c r="BF434" s="632">
        <v>0</v>
      </c>
      <c r="BG434" s="632">
        <v>0</v>
      </c>
      <c r="BH434" s="634">
        <v>1.0134066054705759</v>
      </c>
      <c r="BI434" s="634">
        <v>1.0269929480113955</v>
      </c>
      <c r="BJ434" s="634">
        <v>1.040761437286448</v>
      </c>
      <c r="BK434" s="635">
        <v>1.0339188874653549</v>
      </c>
      <c r="BL434" s="635">
        <v>1.0271213244071997</v>
      </c>
      <c r="BM434" s="635">
        <v>1.034494890244499</v>
      </c>
      <c r="BN434" s="635">
        <v>1.0419213899191793</v>
      </c>
      <c r="BO434" s="635">
        <v>1.0494012034361397</v>
      </c>
      <c r="BP434" s="635">
        <v>1.0569347135282832</v>
      </c>
      <c r="BQ434" s="635">
        <v>1.0645223056761002</v>
      </c>
      <c r="BR434" s="635">
        <v>1.0704981347272684</v>
      </c>
      <c r="BS434" s="635">
        <v>1.076507509841923</v>
      </c>
      <c r="BT434" s="635">
        <v>1.0825506193350853</v>
      </c>
      <c r="BU434" s="635">
        <v>1.0886276525789067</v>
      </c>
      <c r="BV434" s="635">
        <v>1.0947388000086022</v>
      </c>
      <c r="BW434" s="634">
        <v>0</v>
      </c>
      <c r="BX434" s="634">
        <v>0</v>
      </c>
      <c r="BY434" s="634">
        <v>0</v>
      </c>
      <c r="BZ434" s="635">
        <v>0</v>
      </c>
      <c r="CA434" s="635">
        <v>0</v>
      </c>
      <c r="CB434" s="635">
        <v>0</v>
      </c>
      <c r="CC434" s="635">
        <v>0</v>
      </c>
      <c r="CD434" s="635">
        <v>0</v>
      </c>
      <c r="CE434" s="635">
        <v>0</v>
      </c>
      <c r="CF434" s="635">
        <v>0</v>
      </c>
      <c r="CG434" s="635">
        <v>0</v>
      </c>
      <c r="CH434" s="635">
        <v>0</v>
      </c>
      <c r="CI434" s="635">
        <v>0</v>
      </c>
      <c r="CJ434" s="635">
        <v>0</v>
      </c>
      <c r="CK434" s="635">
        <v>0</v>
      </c>
      <c r="CL434" s="634">
        <v>0</v>
      </c>
      <c r="CM434" s="634">
        <v>0</v>
      </c>
      <c r="CN434" s="634">
        <v>0</v>
      </c>
      <c r="CO434" s="635">
        <v>0</v>
      </c>
      <c r="CP434" s="635">
        <v>0</v>
      </c>
      <c r="CQ434" s="635">
        <v>0</v>
      </c>
      <c r="CR434" s="635">
        <v>0</v>
      </c>
      <c r="CS434" s="635">
        <v>0</v>
      </c>
      <c r="CT434" s="635">
        <v>0</v>
      </c>
      <c r="CU434" s="635">
        <v>0</v>
      </c>
      <c r="CV434" s="635">
        <v>0</v>
      </c>
      <c r="CW434" s="635">
        <v>0</v>
      </c>
      <c r="CX434" s="635">
        <v>0</v>
      </c>
      <c r="CY434" s="635">
        <v>0</v>
      </c>
      <c r="CZ434" s="635">
        <v>0</v>
      </c>
      <c r="DA434" s="636">
        <v>0</v>
      </c>
      <c r="DB434" s="636">
        <v>0</v>
      </c>
      <c r="DC434" s="636">
        <v>0</v>
      </c>
      <c r="DD434" s="637">
        <v>0</v>
      </c>
      <c r="DE434" s="637">
        <v>0</v>
      </c>
      <c r="DF434" s="637">
        <v>0</v>
      </c>
      <c r="DG434" s="637">
        <v>0</v>
      </c>
      <c r="DH434" s="637">
        <v>0</v>
      </c>
      <c r="DI434" s="637">
        <v>0</v>
      </c>
      <c r="DJ434" s="637">
        <v>0</v>
      </c>
      <c r="DK434" s="637">
        <v>0</v>
      </c>
      <c r="DL434" s="637">
        <v>0</v>
      </c>
      <c r="DM434" s="637">
        <v>0</v>
      </c>
      <c r="DN434" s="637">
        <v>0</v>
      </c>
      <c r="DO434" s="637">
        <v>0</v>
      </c>
      <c r="DP434" s="636">
        <v>0</v>
      </c>
      <c r="DQ434" s="636">
        <v>0</v>
      </c>
      <c r="DR434" s="636">
        <v>0</v>
      </c>
      <c r="DS434" s="637">
        <v>0</v>
      </c>
      <c r="DT434" s="637">
        <v>0</v>
      </c>
      <c r="DU434" s="637">
        <v>0</v>
      </c>
      <c r="DV434" s="637">
        <v>0</v>
      </c>
      <c r="DW434" s="637">
        <v>0</v>
      </c>
      <c r="DX434" s="637">
        <v>0</v>
      </c>
      <c r="DY434" s="637">
        <v>0</v>
      </c>
      <c r="DZ434" s="637">
        <v>0</v>
      </c>
      <c r="EA434" s="637">
        <v>0</v>
      </c>
      <c r="EB434" s="637">
        <v>0</v>
      </c>
      <c r="EC434" s="637">
        <v>0</v>
      </c>
      <c r="ED434" s="637">
        <v>0</v>
      </c>
    </row>
    <row r="435" spans="1:134" ht="15" x14ac:dyDescent="0.25">
      <c r="A435" s="555">
        <v>107</v>
      </c>
      <c r="B435" s="555">
        <v>116</v>
      </c>
      <c r="C435" s="555" t="s">
        <v>1418</v>
      </c>
      <c r="D435" s="812">
        <v>99712</v>
      </c>
      <c r="E435" s="812">
        <v>99712</v>
      </c>
      <c r="F435" s="630" t="s">
        <v>989</v>
      </c>
      <c r="G435" s="45">
        <v>23</v>
      </c>
      <c r="H435" s="45">
        <v>17</v>
      </c>
      <c r="I435" s="45">
        <v>14</v>
      </c>
      <c r="J435" s="45">
        <v>3</v>
      </c>
      <c r="K435" s="45">
        <v>0</v>
      </c>
      <c r="L435" s="45">
        <v>8</v>
      </c>
      <c r="M435" s="45">
        <v>8</v>
      </c>
      <c r="N435" s="45">
        <v>0</v>
      </c>
      <c r="O435" s="45">
        <v>0</v>
      </c>
      <c r="P435" s="45">
        <v>0</v>
      </c>
      <c r="Q435" s="45">
        <v>8</v>
      </c>
      <c r="R435" s="45">
        <v>0</v>
      </c>
      <c r="S435" s="45">
        <v>717</v>
      </c>
      <c r="T435" s="45">
        <v>717</v>
      </c>
      <c r="U435" s="45">
        <v>0</v>
      </c>
      <c r="V435" s="45">
        <v>0</v>
      </c>
      <c r="W435" s="45">
        <v>0</v>
      </c>
      <c r="X435" s="45">
        <v>717</v>
      </c>
      <c r="Y435" s="45">
        <v>0</v>
      </c>
      <c r="Z435" s="45">
        <v>17</v>
      </c>
      <c r="AA435" s="45">
        <v>0</v>
      </c>
      <c r="AB435" s="508">
        <v>0</v>
      </c>
      <c r="AC435" s="508">
        <v>0</v>
      </c>
      <c r="AD435" s="631">
        <v>17</v>
      </c>
      <c r="AE435" s="632">
        <v>0</v>
      </c>
      <c r="AF435" s="632">
        <v>14</v>
      </c>
      <c r="AG435" s="633">
        <v>14</v>
      </c>
      <c r="AH435" s="632">
        <v>0</v>
      </c>
      <c r="AI435" s="632">
        <v>0</v>
      </c>
      <c r="AJ435" s="632">
        <v>15.454942167477549</v>
      </c>
      <c r="AK435" s="632">
        <v>15.454942167477549</v>
      </c>
      <c r="AL435" s="632">
        <v>0</v>
      </c>
      <c r="AM435" s="632">
        <v>0</v>
      </c>
      <c r="AN435" s="632">
        <v>12.77435754543073</v>
      </c>
      <c r="AO435" s="632">
        <v>12.77435754543073</v>
      </c>
      <c r="AP435" s="632">
        <v>0</v>
      </c>
      <c r="AQ435" s="632">
        <v>0</v>
      </c>
      <c r="AR435" s="632">
        <v>0</v>
      </c>
      <c r="AS435" s="632">
        <v>14.050308082357391</v>
      </c>
      <c r="AT435" s="632">
        <v>14.735898304754819</v>
      </c>
      <c r="AU435" s="632">
        <v>15.454942167477549</v>
      </c>
      <c r="AV435" s="632">
        <v>16.209072053856705</v>
      </c>
      <c r="AW435" s="632">
        <v>17</v>
      </c>
      <c r="AX435" s="632">
        <v>11.656015049893073</v>
      </c>
      <c r="AY435" s="632">
        <v>12.202381071014612</v>
      </c>
      <c r="AZ435" s="632">
        <v>12.77435754543073</v>
      </c>
      <c r="BA435" s="632">
        <v>13.373144941861291</v>
      </c>
      <c r="BB435" s="632">
        <v>14</v>
      </c>
      <c r="BC435" s="632">
        <v>0</v>
      </c>
      <c r="BD435" s="632">
        <v>0</v>
      </c>
      <c r="BE435" s="632">
        <v>0</v>
      </c>
      <c r="BF435" s="632">
        <v>0</v>
      </c>
      <c r="BG435" s="632">
        <v>0</v>
      </c>
      <c r="BH435" s="634">
        <v>17.22791229299979</v>
      </c>
      <c r="BI435" s="634">
        <v>17.458880116193725</v>
      </c>
      <c r="BJ435" s="634">
        <v>17.692944433869616</v>
      </c>
      <c r="BK435" s="635">
        <v>17.576621086911036</v>
      </c>
      <c r="BL435" s="635">
        <v>17.461062514922396</v>
      </c>
      <c r="BM435" s="635">
        <v>17.586413134156484</v>
      </c>
      <c r="BN435" s="635">
        <v>17.712663628626046</v>
      </c>
      <c r="BO435" s="635">
        <v>17.839820458414376</v>
      </c>
      <c r="BP435" s="635">
        <v>17.967890129980812</v>
      </c>
      <c r="BQ435" s="635">
        <v>18.096879196493703</v>
      </c>
      <c r="BR435" s="635">
        <v>18.198468290363564</v>
      </c>
      <c r="BS435" s="635">
        <v>18.300627667312693</v>
      </c>
      <c r="BT435" s="635">
        <v>18.403360528696453</v>
      </c>
      <c r="BU435" s="635">
        <v>18.506670093841414</v>
      </c>
      <c r="BV435" s="635">
        <v>18.610559600146239</v>
      </c>
      <c r="BW435" s="634">
        <v>14.187692476588063</v>
      </c>
      <c r="BX435" s="634">
        <v>14.377901272159537</v>
      </c>
      <c r="BY435" s="634">
        <v>14.570660122010272</v>
      </c>
      <c r="BZ435" s="635">
        <v>14.474864424514969</v>
      </c>
      <c r="CA435" s="635">
        <v>14.379698541700797</v>
      </c>
      <c r="CB435" s="635">
        <v>14.482928463422985</v>
      </c>
      <c r="CC435" s="635">
        <v>14.58689945886851</v>
      </c>
      <c r="CD435" s="635">
        <v>14.691616848105957</v>
      </c>
      <c r="CE435" s="635">
        <v>14.797085989395963</v>
      </c>
      <c r="CF435" s="635">
        <v>14.903312279465403</v>
      </c>
      <c r="CG435" s="635">
        <v>14.986973886181758</v>
      </c>
      <c r="CH435" s="635">
        <v>15.071105137786923</v>
      </c>
      <c r="CI435" s="635">
        <v>15.155708670691196</v>
      </c>
      <c r="CJ435" s="635">
        <v>15.240787136104695</v>
      </c>
      <c r="CK435" s="635">
        <v>15.326343200120434</v>
      </c>
      <c r="CL435" s="634">
        <v>0</v>
      </c>
      <c r="CM435" s="634">
        <v>0</v>
      </c>
      <c r="CN435" s="634">
        <v>0</v>
      </c>
      <c r="CO435" s="635">
        <v>0</v>
      </c>
      <c r="CP435" s="635">
        <v>0</v>
      </c>
      <c r="CQ435" s="635">
        <v>0</v>
      </c>
      <c r="CR435" s="635">
        <v>0</v>
      </c>
      <c r="CS435" s="635">
        <v>0</v>
      </c>
      <c r="CT435" s="635">
        <v>0</v>
      </c>
      <c r="CU435" s="635">
        <v>0</v>
      </c>
      <c r="CV435" s="635">
        <v>0</v>
      </c>
      <c r="CW435" s="635">
        <v>0</v>
      </c>
      <c r="CX435" s="635">
        <v>0</v>
      </c>
      <c r="CY435" s="635">
        <v>0</v>
      </c>
      <c r="CZ435" s="635">
        <v>0</v>
      </c>
      <c r="DA435" s="636">
        <v>0</v>
      </c>
      <c r="DB435" s="636">
        <v>0</v>
      </c>
      <c r="DC435" s="636">
        <v>0</v>
      </c>
      <c r="DD435" s="637">
        <v>0</v>
      </c>
      <c r="DE435" s="637">
        <v>0</v>
      </c>
      <c r="DF435" s="637">
        <v>0</v>
      </c>
      <c r="DG435" s="637">
        <v>0</v>
      </c>
      <c r="DH435" s="637">
        <v>0</v>
      </c>
      <c r="DI435" s="637">
        <v>0</v>
      </c>
      <c r="DJ435" s="637">
        <v>0</v>
      </c>
      <c r="DK435" s="637">
        <v>0</v>
      </c>
      <c r="DL435" s="637">
        <v>0</v>
      </c>
      <c r="DM435" s="637">
        <v>0</v>
      </c>
      <c r="DN435" s="637">
        <v>0</v>
      </c>
      <c r="DO435" s="637">
        <v>0</v>
      </c>
      <c r="DP435" s="636">
        <v>0</v>
      </c>
      <c r="DQ435" s="636">
        <v>0</v>
      </c>
      <c r="DR435" s="636">
        <v>0</v>
      </c>
      <c r="DS435" s="637">
        <v>0</v>
      </c>
      <c r="DT435" s="637">
        <v>0</v>
      </c>
      <c r="DU435" s="637">
        <v>0</v>
      </c>
      <c r="DV435" s="637">
        <v>0</v>
      </c>
      <c r="DW435" s="637">
        <v>0</v>
      </c>
      <c r="DX435" s="637">
        <v>0</v>
      </c>
      <c r="DY435" s="637">
        <v>0</v>
      </c>
      <c r="DZ435" s="637">
        <v>0</v>
      </c>
      <c r="EA435" s="637">
        <v>0</v>
      </c>
      <c r="EB435" s="637">
        <v>0</v>
      </c>
      <c r="EC435" s="637">
        <v>0</v>
      </c>
      <c r="ED435" s="637">
        <v>0</v>
      </c>
    </row>
    <row r="436" spans="1:134" ht="15" x14ac:dyDescent="0.25">
      <c r="A436" s="555">
        <v>109</v>
      </c>
      <c r="B436" s="555">
        <v>116</v>
      </c>
      <c r="C436" s="555" t="s">
        <v>1419</v>
      </c>
      <c r="D436" s="812">
        <v>99712</v>
      </c>
      <c r="E436" s="812">
        <v>99712</v>
      </c>
      <c r="F436" s="630" t="s">
        <v>989</v>
      </c>
      <c r="G436" s="45">
        <v>18</v>
      </c>
      <c r="H436" s="45">
        <v>14</v>
      </c>
      <c r="I436" s="45">
        <v>11</v>
      </c>
      <c r="J436" s="45">
        <v>3</v>
      </c>
      <c r="K436" s="45">
        <v>0</v>
      </c>
      <c r="L436" s="45">
        <v>0</v>
      </c>
      <c r="M436" s="45">
        <v>0</v>
      </c>
      <c r="N436" s="45">
        <v>0</v>
      </c>
      <c r="O436" s="45">
        <v>0</v>
      </c>
      <c r="P436" s="45">
        <v>0</v>
      </c>
      <c r="Q436" s="45">
        <v>0</v>
      </c>
      <c r="R436" s="45">
        <v>0</v>
      </c>
      <c r="S436" s="45">
        <v>834.49503068156923</v>
      </c>
      <c r="T436" s="45">
        <v>834.49503068156923</v>
      </c>
      <c r="U436" s="45">
        <v>1408.3846153846155</v>
      </c>
      <c r="V436" s="45">
        <v>0</v>
      </c>
      <c r="W436" s="45">
        <v>0</v>
      </c>
      <c r="X436" s="45">
        <v>1365.173957061457</v>
      </c>
      <c r="Y436" s="45">
        <v>0.32077269577269579</v>
      </c>
      <c r="Z436" s="45">
        <v>13.661036036036036</v>
      </c>
      <c r="AA436" s="45">
        <v>1.8191268191268192E-2</v>
      </c>
      <c r="AB436" s="508">
        <v>0</v>
      </c>
      <c r="AC436" s="508">
        <v>0</v>
      </c>
      <c r="AD436" s="631">
        <v>14</v>
      </c>
      <c r="AE436" s="632">
        <v>0.25203568953568956</v>
      </c>
      <c r="AF436" s="632">
        <v>10.733671171171171</v>
      </c>
      <c r="AG436" s="633">
        <v>10.985706860706861</v>
      </c>
      <c r="AH436" s="632">
        <v>1.4293139293139292E-2</v>
      </c>
      <c r="AI436" s="632">
        <v>0.29161902718075788</v>
      </c>
      <c r="AJ436" s="632">
        <v>12.419442463809629</v>
      </c>
      <c r="AK436" s="632">
        <v>12.711061490990387</v>
      </c>
      <c r="AL436" s="632">
        <v>1.6537941049948462E-2</v>
      </c>
      <c r="AM436" s="632">
        <v>0.22997100088129091</v>
      </c>
      <c r="AN436" s="632">
        <v>9.7939823796873391</v>
      </c>
      <c r="AO436" s="632">
        <v>10.02395338056863</v>
      </c>
      <c r="AP436" s="632">
        <v>1.3041833698371882E-2</v>
      </c>
      <c r="AQ436" s="632">
        <v>0</v>
      </c>
      <c r="AR436" s="632">
        <v>0</v>
      </c>
      <c r="AS436" s="632">
        <v>11.555807072382787</v>
      </c>
      <c r="AT436" s="632">
        <v>12.11967715226273</v>
      </c>
      <c r="AU436" s="632">
        <v>12.711061490990387</v>
      </c>
      <c r="AV436" s="632">
        <v>13.331302657478268</v>
      </c>
      <c r="AW436" s="632">
        <v>13.981808731808732</v>
      </c>
      <c r="AX436" s="632">
        <v>9.1463974644366246</v>
      </c>
      <c r="AY436" s="632">
        <v>9.5751272463431967</v>
      </c>
      <c r="AZ436" s="632">
        <v>10.02395338056863</v>
      </c>
      <c r="BA436" s="632">
        <v>10.493817866930916</v>
      </c>
      <c r="BB436" s="632">
        <v>10.985706860706861</v>
      </c>
      <c r="BC436" s="632">
        <v>0</v>
      </c>
      <c r="BD436" s="632">
        <v>0</v>
      </c>
      <c r="BE436" s="632">
        <v>0</v>
      </c>
      <c r="BF436" s="632">
        <v>0</v>
      </c>
      <c r="BG436" s="632">
        <v>0</v>
      </c>
      <c r="BH436" s="634">
        <v>14.169257325241144</v>
      </c>
      <c r="BI436" s="634">
        <v>14.359218968011721</v>
      </c>
      <c r="BJ436" s="634">
        <v>14.551727351581464</v>
      </c>
      <c r="BK436" s="635">
        <v>14.45605612874507</v>
      </c>
      <c r="BL436" s="635">
        <v>14.361013902223535</v>
      </c>
      <c r="BM436" s="635">
        <v>14.46410968943205</v>
      </c>
      <c r="BN436" s="635">
        <v>14.56794558743027</v>
      </c>
      <c r="BO436" s="635">
        <v>14.67252690937401</v>
      </c>
      <c r="BP436" s="635">
        <v>14.777859006561508</v>
      </c>
      <c r="BQ436" s="635">
        <v>14.883947268707262</v>
      </c>
      <c r="BR436" s="635">
        <v>14.967500167514681</v>
      </c>
      <c r="BS436" s="635">
        <v>15.051522100965473</v>
      </c>
      <c r="BT436" s="635">
        <v>15.136015702044247</v>
      </c>
      <c r="BU436" s="635">
        <v>15.2209836185162</v>
      </c>
      <c r="BV436" s="635">
        <v>15.306428513010088</v>
      </c>
      <c r="BW436" s="634">
        <v>11.132987898403757</v>
      </c>
      <c r="BX436" s="634">
        <v>11.282243474866352</v>
      </c>
      <c r="BY436" s="634">
        <v>11.433500061956865</v>
      </c>
      <c r="BZ436" s="635">
        <v>11.358329815442556</v>
      </c>
      <c r="CA436" s="635">
        <v>11.283653780318492</v>
      </c>
      <c r="CB436" s="635">
        <v>11.364657613125182</v>
      </c>
      <c r="CC436" s="635">
        <v>11.446242961552356</v>
      </c>
      <c r="CD436" s="635">
        <v>11.528414000222437</v>
      </c>
      <c r="CE436" s="635">
        <v>11.6111749337269</v>
      </c>
      <c r="CF436" s="635">
        <v>11.694529996841419</v>
      </c>
      <c r="CG436" s="635">
        <v>11.76017870304725</v>
      </c>
      <c r="CH436" s="635">
        <v>11.826195936472871</v>
      </c>
      <c r="CI436" s="635">
        <v>11.892583765891908</v>
      </c>
      <c r="CJ436" s="635">
        <v>11.9593442716913</v>
      </c>
      <c r="CK436" s="635">
        <v>12.026479545936498</v>
      </c>
      <c r="CL436" s="634">
        <v>0</v>
      </c>
      <c r="CM436" s="634">
        <v>0</v>
      </c>
      <c r="CN436" s="634">
        <v>0</v>
      </c>
      <c r="CO436" s="635">
        <v>0</v>
      </c>
      <c r="CP436" s="635">
        <v>0</v>
      </c>
      <c r="CQ436" s="635">
        <v>0</v>
      </c>
      <c r="CR436" s="635">
        <v>0</v>
      </c>
      <c r="CS436" s="635">
        <v>0</v>
      </c>
      <c r="CT436" s="635">
        <v>0</v>
      </c>
      <c r="CU436" s="635">
        <v>0</v>
      </c>
      <c r="CV436" s="635">
        <v>0</v>
      </c>
      <c r="CW436" s="635">
        <v>0</v>
      </c>
      <c r="CX436" s="635">
        <v>0</v>
      </c>
      <c r="CY436" s="635">
        <v>0</v>
      </c>
      <c r="CZ436" s="635">
        <v>0</v>
      </c>
      <c r="DA436" s="636">
        <v>1.8435151346917963E-2</v>
      </c>
      <c r="DB436" s="636">
        <v>1.8682304147816447E-2</v>
      </c>
      <c r="DC436" s="636">
        <v>1.8932770428807526E-2</v>
      </c>
      <c r="DD436" s="637">
        <v>1.8808295769899907E-2</v>
      </c>
      <c r="DE436" s="637">
        <v>1.8684639477261952E-2</v>
      </c>
      <c r="DF436" s="637">
        <v>1.8818773990934231E-2</v>
      </c>
      <c r="DG436" s="637">
        <v>1.8953871438238706E-2</v>
      </c>
      <c r="DH436" s="637">
        <v>1.9089938731946407E-2</v>
      </c>
      <c r="DI436" s="637">
        <v>1.9226982834454214E-2</v>
      </c>
      <c r="DJ436" s="637">
        <v>1.9365010758141114E-2</v>
      </c>
      <c r="DK436" s="637">
        <v>1.947371866707609E-2</v>
      </c>
      <c r="DL436" s="637">
        <v>1.9583036821448702E-2</v>
      </c>
      <c r="DM436" s="637">
        <v>1.9692968646948018E-2</v>
      </c>
      <c r="DN436" s="637">
        <v>1.9803517588493625E-2</v>
      </c>
      <c r="DO436" s="637">
        <v>1.9914687110343596E-2</v>
      </c>
      <c r="DP436" s="636">
        <v>0</v>
      </c>
      <c r="DQ436" s="636">
        <v>0</v>
      </c>
      <c r="DR436" s="636">
        <v>0</v>
      </c>
      <c r="DS436" s="637">
        <v>0</v>
      </c>
      <c r="DT436" s="637">
        <v>0</v>
      </c>
      <c r="DU436" s="637">
        <v>0</v>
      </c>
      <c r="DV436" s="637">
        <v>0</v>
      </c>
      <c r="DW436" s="637">
        <v>0</v>
      </c>
      <c r="DX436" s="637">
        <v>0</v>
      </c>
      <c r="DY436" s="637">
        <v>0</v>
      </c>
      <c r="DZ436" s="637">
        <v>0</v>
      </c>
      <c r="EA436" s="637">
        <v>0</v>
      </c>
      <c r="EB436" s="637">
        <v>0</v>
      </c>
      <c r="EC436" s="637">
        <v>0</v>
      </c>
      <c r="ED436" s="637">
        <v>0</v>
      </c>
    </row>
    <row r="437" spans="1:134" ht="15" x14ac:dyDescent="0.25">
      <c r="A437" s="555">
        <v>110</v>
      </c>
      <c r="B437" s="555">
        <v>116</v>
      </c>
      <c r="C437" s="555" t="s">
        <v>1420</v>
      </c>
      <c r="D437" s="812">
        <v>99712</v>
      </c>
      <c r="E437" s="812">
        <v>99712</v>
      </c>
      <c r="F437" s="630" t="s">
        <v>989</v>
      </c>
      <c r="G437" s="45">
        <v>12</v>
      </c>
      <c r="H437" s="45">
        <v>7</v>
      </c>
      <c r="I437" s="45">
        <v>5</v>
      </c>
      <c r="J437" s="45">
        <v>2</v>
      </c>
      <c r="K437" s="45">
        <v>0</v>
      </c>
      <c r="L437" s="45">
        <v>12</v>
      </c>
      <c r="M437" s="45">
        <v>12</v>
      </c>
      <c r="N437" s="45">
        <v>0</v>
      </c>
      <c r="O437" s="45">
        <v>0</v>
      </c>
      <c r="P437" s="45">
        <v>0</v>
      </c>
      <c r="Q437" s="45">
        <v>12</v>
      </c>
      <c r="R437" s="45">
        <v>0</v>
      </c>
      <c r="S437" s="45">
        <v>1159.75</v>
      </c>
      <c r="T437" s="45">
        <v>1159.75</v>
      </c>
      <c r="U437" s="45">
        <v>0</v>
      </c>
      <c r="V437" s="45">
        <v>0</v>
      </c>
      <c r="W437" s="45">
        <v>0</v>
      </c>
      <c r="X437" s="45">
        <v>1159.75</v>
      </c>
      <c r="Y437" s="45">
        <v>0</v>
      </c>
      <c r="Z437" s="45">
        <v>7</v>
      </c>
      <c r="AA437" s="45">
        <v>0</v>
      </c>
      <c r="AB437" s="508">
        <v>0</v>
      </c>
      <c r="AC437" s="508">
        <v>0</v>
      </c>
      <c r="AD437" s="631">
        <v>7</v>
      </c>
      <c r="AE437" s="632">
        <v>0</v>
      </c>
      <c r="AF437" s="632">
        <v>5</v>
      </c>
      <c r="AG437" s="633">
        <v>5</v>
      </c>
      <c r="AH437" s="632">
        <v>0</v>
      </c>
      <c r="AI437" s="632">
        <v>0</v>
      </c>
      <c r="AJ437" s="632">
        <v>6.3637997160201678</v>
      </c>
      <c r="AK437" s="632">
        <v>6.3637997160201678</v>
      </c>
      <c r="AL437" s="632">
        <v>0</v>
      </c>
      <c r="AM437" s="632">
        <v>0</v>
      </c>
      <c r="AN437" s="632">
        <v>4.5622705519395463</v>
      </c>
      <c r="AO437" s="632">
        <v>4.5622705519395463</v>
      </c>
      <c r="AP437" s="632">
        <v>0</v>
      </c>
      <c r="AQ437" s="632">
        <v>0</v>
      </c>
      <c r="AR437" s="632">
        <v>0</v>
      </c>
      <c r="AS437" s="632">
        <v>5.7854209750883383</v>
      </c>
      <c r="AT437" s="632">
        <v>6.0677228313696316</v>
      </c>
      <c r="AU437" s="632">
        <v>6.3637997160201678</v>
      </c>
      <c r="AV437" s="632">
        <v>6.6743237868821721</v>
      </c>
      <c r="AW437" s="632">
        <v>7</v>
      </c>
      <c r="AX437" s="632">
        <v>4.1628625178189544</v>
      </c>
      <c r="AY437" s="632">
        <v>4.3579932396480761</v>
      </c>
      <c r="AZ437" s="632">
        <v>4.5622705519395463</v>
      </c>
      <c r="BA437" s="632">
        <v>4.7761231935218893</v>
      </c>
      <c r="BB437" s="632">
        <v>5</v>
      </c>
      <c r="BC437" s="632">
        <v>0</v>
      </c>
      <c r="BD437" s="632">
        <v>0</v>
      </c>
      <c r="BE437" s="632">
        <v>0</v>
      </c>
      <c r="BF437" s="632">
        <v>0</v>
      </c>
      <c r="BG437" s="632">
        <v>0</v>
      </c>
      <c r="BH437" s="634">
        <v>7.0938462382940317</v>
      </c>
      <c r="BI437" s="634">
        <v>7.1889506360797686</v>
      </c>
      <c r="BJ437" s="634">
        <v>7.2853300610051361</v>
      </c>
      <c r="BK437" s="635">
        <v>7.2374322122574846</v>
      </c>
      <c r="BL437" s="635">
        <v>7.1898492708503987</v>
      </c>
      <c r="BM437" s="635">
        <v>7.2414642317114923</v>
      </c>
      <c r="BN437" s="635">
        <v>7.2934497294342551</v>
      </c>
      <c r="BO437" s="635">
        <v>7.3458084240529784</v>
      </c>
      <c r="BP437" s="635">
        <v>7.3985429946979817</v>
      </c>
      <c r="BQ437" s="635">
        <v>7.4516561397327017</v>
      </c>
      <c r="BR437" s="635">
        <v>7.493486943090879</v>
      </c>
      <c r="BS437" s="635">
        <v>7.5355525688934613</v>
      </c>
      <c r="BT437" s="635">
        <v>7.5778543353455978</v>
      </c>
      <c r="BU437" s="635">
        <v>7.6203935680523474</v>
      </c>
      <c r="BV437" s="635">
        <v>7.6631716000602168</v>
      </c>
      <c r="BW437" s="634">
        <v>5.0670330273528794</v>
      </c>
      <c r="BX437" s="634">
        <v>5.1349647400569776</v>
      </c>
      <c r="BY437" s="634">
        <v>5.2038071864322397</v>
      </c>
      <c r="BZ437" s="635">
        <v>5.1695944373267748</v>
      </c>
      <c r="CA437" s="635">
        <v>5.1356066220359988</v>
      </c>
      <c r="CB437" s="635">
        <v>5.1724744512224943</v>
      </c>
      <c r="CC437" s="635">
        <v>5.2096069495958961</v>
      </c>
      <c r="CD437" s="635">
        <v>5.2470060171806985</v>
      </c>
      <c r="CE437" s="635">
        <v>5.2846735676414154</v>
      </c>
      <c r="CF437" s="635">
        <v>5.3226115283805004</v>
      </c>
      <c r="CG437" s="635">
        <v>5.3524906736363418</v>
      </c>
      <c r="CH437" s="635">
        <v>5.3825375492096148</v>
      </c>
      <c r="CI437" s="635">
        <v>5.4127530966754263</v>
      </c>
      <c r="CJ437" s="635">
        <v>5.443138262894534</v>
      </c>
      <c r="CK437" s="635">
        <v>5.473694000043011</v>
      </c>
      <c r="CL437" s="634">
        <v>0</v>
      </c>
      <c r="CM437" s="634">
        <v>0</v>
      </c>
      <c r="CN437" s="634">
        <v>0</v>
      </c>
      <c r="CO437" s="635">
        <v>0</v>
      </c>
      <c r="CP437" s="635">
        <v>0</v>
      </c>
      <c r="CQ437" s="635">
        <v>0</v>
      </c>
      <c r="CR437" s="635">
        <v>0</v>
      </c>
      <c r="CS437" s="635">
        <v>0</v>
      </c>
      <c r="CT437" s="635">
        <v>0</v>
      </c>
      <c r="CU437" s="635">
        <v>0</v>
      </c>
      <c r="CV437" s="635">
        <v>0</v>
      </c>
      <c r="CW437" s="635">
        <v>0</v>
      </c>
      <c r="CX437" s="635">
        <v>0</v>
      </c>
      <c r="CY437" s="635">
        <v>0</v>
      </c>
      <c r="CZ437" s="635">
        <v>0</v>
      </c>
      <c r="DA437" s="636">
        <v>0</v>
      </c>
      <c r="DB437" s="636">
        <v>0</v>
      </c>
      <c r="DC437" s="636">
        <v>0</v>
      </c>
      <c r="DD437" s="637">
        <v>0</v>
      </c>
      <c r="DE437" s="637">
        <v>0</v>
      </c>
      <c r="DF437" s="637">
        <v>0</v>
      </c>
      <c r="DG437" s="637">
        <v>0</v>
      </c>
      <c r="DH437" s="637">
        <v>0</v>
      </c>
      <c r="DI437" s="637">
        <v>0</v>
      </c>
      <c r="DJ437" s="637">
        <v>0</v>
      </c>
      <c r="DK437" s="637">
        <v>0</v>
      </c>
      <c r="DL437" s="637">
        <v>0</v>
      </c>
      <c r="DM437" s="637">
        <v>0</v>
      </c>
      <c r="DN437" s="637">
        <v>0</v>
      </c>
      <c r="DO437" s="637">
        <v>0</v>
      </c>
      <c r="DP437" s="636">
        <v>0</v>
      </c>
      <c r="DQ437" s="636">
        <v>0</v>
      </c>
      <c r="DR437" s="636">
        <v>0</v>
      </c>
      <c r="DS437" s="637">
        <v>0</v>
      </c>
      <c r="DT437" s="637">
        <v>0</v>
      </c>
      <c r="DU437" s="637">
        <v>0</v>
      </c>
      <c r="DV437" s="637">
        <v>0</v>
      </c>
      <c r="DW437" s="637">
        <v>0</v>
      </c>
      <c r="DX437" s="637">
        <v>0</v>
      </c>
      <c r="DY437" s="637">
        <v>0</v>
      </c>
      <c r="DZ437" s="637">
        <v>0</v>
      </c>
      <c r="EA437" s="637">
        <v>0</v>
      </c>
      <c r="EB437" s="637">
        <v>0</v>
      </c>
      <c r="EC437" s="637">
        <v>0</v>
      </c>
      <c r="ED437" s="637">
        <v>0</v>
      </c>
    </row>
    <row r="438" spans="1:134" ht="15" x14ac:dyDescent="0.25">
      <c r="A438" s="555">
        <v>118</v>
      </c>
      <c r="B438" s="555">
        <v>116</v>
      </c>
      <c r="C438" s="555" t="s">
        <v>1421</v>
      </c>
      <c r="D438" s="812">
        <v>99712</v>
      </c>
      <c r="E438" s="812">
        <v>99712</v>
      </c>
      <c r="F438" s="630" t="s">
        <v>989</v>
      </c>
      <c r="G438" s="45">
        <v>0</v>
      </c>
      <c r="H438" s="45">
        <v>1</v>
      </c>
      <c r="I438" s="45">
        <v>0</v>
      </c>
      <c r="J438" s="45">
        <v>1</v>
      </c>
      <c r="K438" s="45">
        <v>0</v>
      </c>
      <c r="L438" s="45">
        <v>1</v>
      </c>
      <c r="M438" s="45">
        <v>1</v>
      </c>
      <c r="N438" s="45">
        <v>1</v>
      </c>
      <c r="O438" s="45">
        <v>0</v>
      </c>
      <c r="P438" s="45">
        <v>0</v>
      </c>
      <c r="Q438" s="45">
        <v>2</v>
      </c>
      <c r="R438" s="45">
        <v>0</v>
      </c>
      <c r="S438" s="45">
        <v>1035</v>
      </c>
      <c r="T438" s="45">
        <v>1035</v>
      </c>
      <c r="U438" s="45">
        <v>15009</v>
      </c>
      <c r="V438" s="45">
        <v>0</v>
      </c>
      <c r="W438" s="45">
        <v>0</v>
      </c>
      <c r="X438" s="45">
        <v>8022</v>
      </c>
      <c r="Y438" s="45">
        <v>0</v>
      </c>
      <c r="Z438" s="45">
        <v>1</v>
      </c>
      <c r="AA438" s="45">
        <v>0</v>
      </c>
      <c r="AB438" s="508">
        <v>1</v>
      </c>
      <c r="AC438" s="508">
        <v>0</v>
      </c>
      <c r="AD438" s="631">
        <v>2</v>
      </c>
      <c r="AE438" s="632">
        <v>0</v>
      </c>
      <c r="AF438" s="632">
        <v>0</v>
      </c>
      <c r="AG438" s="633">
        <v>0</v>
      </c>
      <c r="AH438" s="632">
        <v>0</v>
      </c>
      <c r="AI438" s="632">
        <v>0</v>
      </c>
      <c r="AJ438" s="632">
        <v>0.90911424514573824</v>
      </c>
      <c r="AK438" s="632">
        <v>0.90911424514573824</v>
      </c>
      <c r="AL438" s="632">
        <v>0</v>
      </c>
      <c r="AM438" s="632">
        <v>0</v>
      </c>
      <c r="AN438" s="632">
        <v>0</v>
      </c>
      <c r="AO438" s="632">
        <v>0</v>
      </c>
      <c r="AP438" s="632">
        <v>0</v>
      </c>
      <c r="AQ438" s="632">
        <v>0.92984135081383867</v>
      </c>
      <c r="AR438" s="632">
        <v>0</v>
      </c>
      <c r="AS438" s="632">
        <v>0.82648871072690544</v>
      </c>
      <c r="AT438" s="632">
        <v>0.86681754733851879</v>
      </c>
      <c r="AU438" s="632">
        <v>0.90911424514573824</v>
      </c>
      <c r="AV438" s="632">
        <v>0.95347482669745309</v>
      </c>
      <c r="AW438" s="632">
        <v>1</v>
      </c>
      <c r="AX438" s="632">
        <v>0</v>
      </c>
      <c r="AY438" s="632">
        <v>0</v>
      </c>
      <c r="AZ438" s="632">
        <v>0</v>
      </c>
      <c r="BA438" s="632">
        <v>0</v>
      </c>
      <c r="BB438" s="632">
        <v>0</v>
      </c>
      <c r="BC438" s="632">
        <v>0.86460493768330426</v>
      </c>
      <c r="BD438" s="632">
        <v>0.89663003695825327</v>
      </c>
      <c r="BE438" s="632">
        <v>0.92984135081383867</v>
      </c>
      <c r="BF438" s="632">
        <v>0.96428281681975381</v>
      </c>
      <c r="BG438" s="632">
        <v>1</v>
      </c>
      <c r="BH438" s="634">
        <v>1.0134066054705759</v>
      </c>
      <c r="BI438" s="634">
        <v>1.0269929480113955</v>
      </c>
      <c r="BJ438" s="634">
        <v>1.040761437286448</v>
      </c>
      <c r="BK438" s="635">
        <v>1.0339188874653549</v>
      </c>
      <c r="BL438" s="635">
        <v>1.0271213244071997</v>
      </c>
      <c r="BM438" s="635">
        <v>1.034494890244499</v>
      </c>
      <c r="BN438" s="635">
        <v>1.0419213899191793</v>
      </c>
      <c r="BO438" s="635">
        <v>1.0494012034361397</v>
      </c>
      <c r="BP438" s="635">
        <v>1.0569347135282832</v>
      </c>
      <c r="BQ438" s="635">
        <v>1.0645223056761002</v>
      </c>
      <c r="BR438" s="635">
        <v>1.0704981347272684</v>
      </c>
      <c r="BS438" s="635">
        <v>1.076507509841923</v>
      </c>
      <c r="BT438" s="635">
        <v>1.0825506193350853</v>
      </c>
      <c r="BU438" s="635">
        <v>1.0886276525789067</v>
      </c>
      <c r="BV438" s="635">
        <v>1.0947388000086022</v>
      </c>
      <c r="BW438" s="634">
        <v>0</v>
      </c>
      <c r="BX438" s="634">
        <v>0</v>
      </c>
      <c r="BY438" s="634">
        <v>0</v>
      </c>
      <c r="BZ438" s="635">
        <v>0</v>
      </c>
      <c r="CA438" s="635">
        <v>0</v>
      </c>
      <c r="CB438" s="635">
        <v>0</v>
      </c>
      <c r="CC438" s="635">
        <v>0</v>
      </c>
      <c r="CD438" s="635">
        <v>0</v>
      </c>
      <c r="CE438" s="635">
        <v>0</v>
      </c>
      <c r="CF438" s="635">
        <v>0</v>
      </c>
      <c r="CG438" s="635">
        <v>0</v>
      </c>
      <c r="CH438" s="635">
        <v>0</v>
      </c>
      <c r="CI438" s="635">
        <v>0</v>
      </c>
      <c r="CJ438" s="635">
        <v>0</v>
      </c>
      <c r="CK438" s="635">
        <v>0</v>
      </c>
      <c r="CL438" s="634">
        <v>1.0134066054705759</v>
      </c>
      <c r="CM438" s="634">
        <v>1.0269929480113955</v>
      </c>
      <c r="CN438" s="634">
        <v>1.040761437286448</v>
      </c>
      <c r="CO438" s="635">
        <v>1.0339188874653549</v>
      </c>
      <c r="CP438" s="635">
        <v>1.0271213244071997</v>
      </c>
      <c r="CQ438" s="635">
        <v>1.034494890244499</v>
      </c>
      <c r="CR438" s="635">
        <v>1.0419213899191793</v>
      </c>
      <c r="CS438" s="635">
        <v>1.0494012034361397</v>
      </c>
      <c r="CT438" s="635">
        <v>1.0569347135282832</v>
      </c>
      <c r="CU438" s="635">
        <v>1.0645223056761002</v>
      </c>
      <c r="CV438" s="635">
        <v>1.0704981347272684</v>
      </c>
      <c r="CW438" s="635">
        <v>1.076507509841923</v>
      </c>
      <c r="CX438" s="635">
        <v>1.0825506193350853</v>
      </c>
      <c r="CY438" s="635">
        <v>1.0886276525789067</v>
      </c>
      <c r="CZ438" s="635">
        <v>1.0947388000086022</v>
      </c>
      <c r="DA438" s="636">
        <v>0</v>
      </c>
      <c r="DB438" s="636">
        <v>0</v>
      </c>
      <c r="DC438" s="636">
        <v>0</v>
      </c>
      <c r="DD438" s="637">
        <v>0</v>
      </c>
      <c r="DE438" s="637">
        <v>0</v>
      </c>
      <c r="DF438" s="637">
        <v>0</v>
      </c>
      <c r="DG438" s="637">
        <v>0</v>
      </c>
      <c r="DH438" s="637">
        <v>0</v>
      </c>
      <c r="DI438" s="637">
        <v>0</v>
      </c>
      <c r="DJ438" s="637">
        <v>0</v>
      </c>
      <c r="DK438" s="637">
        <v>0</v>
      </c>
      <c r="DL438" s="637">
        <v>0</v>
      </c>
      <c r="DM438" s="637">
        <v>0</v>
      </c>
      <c r="DN438" s="637">
        <v>0</v>
      </c>
      <c r="DO438" s="637">
        <v>0</v>
      </c>
      <c r="DP438" s="636">
        <v>0</v>
      </c>
      <c r="DQ438" s="636">
        <v>0</v>
      </c>
      <c r="DR438" s="636">
        <v>0</v>
      </c>
      <c r="DS438" s="637">
        <v>0</v>
      </c>
      <c r="DT438" s="637">
        <v>0</v>
      </c>
      <c r="DU438" s="637">
        <v>0</v>
      </c>
      <c r="DV438" s="637">
        <v>0</v>
      </c>
      <c r="DW438" s="637">
        <v>0</v>
      </c>
      <c r="DX438" s="637">
        <v>0</v>
      </c>
      <c r="DY438" s="637">
        <v>0</v>
      </c>
      <c r="DZ438" s="637">
        <v>0</v>
      </c>
      <c r="EA438" s="637">
        <v>0</v>
      </c>
      <c r="EB438" s="637">
        <v>0</v>
      </c>
      <c r="EC438" s="637">
        <v>0</v>
      </c>
      <c r="ED438" s="637">
        <v>0</v>
      </c>
    </row>
    <row r="439" spans="1:134" ht="15" x14ac:dyDescent="0.25">
      <c r="A439" s="555">
        <v>119</v>
      </c>
      <c r="B439" s="555">
        <v>116</v>
      </c>
      <c r="C439" s="555" t="s">
        <v>1422</v>
      </c>
      <c r="D439" s="812">
        <v>99712</v>
      </c>
      <c r="E439" s="812">
        <v>99712</v>
      </c>
      <c r="F439" s="630" t="s">
        <v>989</v>
      </c>
      <c r="G439" s="45">
        <v>0</v>
      </c>
      <c r="H439" s="45">
        <v>2</v>
      </c>
      <c r="I439" s="45">
        <v>0</v>
      </c>
      <c r="J439" s="45">
        <v>2</v>
      </c>
      <c r="K439" s="45">
        <v>0</v>
      </c>
      <c r="L439" s="45">
        <v>0</v>
      </c>
      <c r="M439" s="45">
        <v>0</v>
      </c>
      <c r="N439" s="45">
        <v>0</v>
      </c>
      <c r="O439" s="45">
        <v>0</v>
      </c>
      <c r="P439" s="45">
        <v>0</v>
      </c>
      <c r="Q439" s="45">
        <v>0</v>
      </c>
      <c r="R439" s="45">
        <v>0</v>
      </c>
      <c r="S439" s="45">
        <v>834.49503068156923</v>
      </c>
      <c r="T439" s="45">
        <v>834.49503068156923</v>
      </c>
      <c r="U439" s="45">
        <v>1408.3846153846155</v>
      </c>
      <c r="V439" s="45">
        <v>0</v>
      </c>
      <c r="W439" s="45">
        <v>0</v>
      </c>
      <c r="X439" s="45">
        <v>1365.173957061457</v>
      </c>
      <c r="Y439" s="45">
        <v>4.5824670824670823E-2</v>
      </c>
      <c r="Z439" s="45">
        <v>1.9515765765765767</v>
      </c>
      <c r="AA439" s="45">
        <v>2.5987525987525989E-3</v>
      </c>
      <c r="AB439" s="508">
        <v>0</v>
      </c>
      <c r="AC439" s="508">
        <v>0</v>
      </c>
      <c r="AD439" s="631">
        <v>2</v>
      </c>
      <c r="AE439" s="632">
        <v>0</v>
      </c>
      <c r="AF439" s="632">
        <v>0</v>
      </c>
      <c r="AG439" s="633">
        <v>0</v>
      </c>
      <c r="AH439" s="632">
        <v>0</v>
      </c>
      <c r="AI439" s="632">
        <v>4.1659861025822545E-2</v>
      </c>
      <c r="AJ439" s="632">
        <v>1.7742060662585184</v>
      </c>
      <c r="AK439" s="632">
        <v>1.8158659272843409</v>
      </c>
      <c r="AL439" s="632">
        <v>2.3625630071354943E-3</v>
      </c>
      <c r="AM439" s="632">
        <v>0</v>
      </c>
      <c r="AN439" s="632">
        <v>0</v>
      </c>
      <c r="AO439" s="632">
        <v>0</v>
      </c>
      <c r="AP439" s="632">
        <v>0</v>
      </c>
      <c r="AQ439" s="632">
        <v>0</v>
      </c>
      <c r="AR439" s="632">
        <v>0</v>
      </c>
      <c r="AS439" s="632">
        <v>1.6508295817689698</v>
      </c>
      <c r="AT439" s="632">
        <v>1.7313824503232471</v>
      </c>
      <c r="AU439" s="632">
        <v>1.8158659272843409</v>
      </c>
      <c r="AV439" s="632">
        <v>1.9044718082111811</v>
      </c>
      <c r="AW439" s="632">
        <v>1.9974012474012475</v>
      </c>
      <c r="AX439" s="632">
        <v>0</v>
      </c>
      <c r="AY439" s="632">
        <v>0</v>
      </c>
      <c r="AZ439" s="632">
        <v>0</v>
      </c>
      <c r="BA439" s="632">
        <v>0</v>
      </c>
      <c r="BB439" s="632">
        <v>0</v>
      </c>
      <c r="BC439" s="632">
        <v>0</v>
      </c>
      <c r="BD439" s="632">
        <v>0</v>
      </c>
      <c r="BE439" s="632">
        <v>0</v>
      </c>
      <c r="BF439" s="632">
        <v>0</v>
      </c>
      <c r="BG439" s="632">
        <v>0</v>
      </c>
      <c r="BH439" s="634">
        <v>2.0241796178915923</v>
      </c>
      <c r="BI439" s="634">
        <v>2.0513169954302457</v>
      </c>
      <c r="BJ439" s="634">
        <v>2.0788181930830665</v>
      </c>
      <c r="BK439" s="635">
        <v>2.0651508755350103</v>
      </c>
      <c r="BL439" s="635">
        <v>2.0515734146033622</v>
      </c>
      <c r="BM439" s="635">
        <v>2.066301384204579</v>
      </c>
      <c r="BN439" s="635">
        <v>2.08113508391861</v>
      </c>
      <c r="BO439" s="635">
        <v>2.0960752727677159</v>
      </c>
      <c r="BP439" s="635">
        <v>2.1111227152230727</v>
      </c>
      <c r="BQ439" s="635">
        <v>2.1262781812438947</v>
      </c>
      <c r="BR439" s="635">
        <v>2.1382143096449546</v>
      </c>
      <c r="BS439" s="635">
        <v>2.1502174429950678</v>
      </c>
      <c r="BT439" s="635">
        <v>2.1622879574348928</v>
      </c>
      <c r="BU439" s="635">
        <v>2.1744262312166005</v>
      </c>
      <c r="BV439" s="635">
        <v>2.1866326447157269</v>
      </c>
      <c r="BW439" s="634">
        <v>0</v>
      </c>
      <c r="BX439" s="634">
        <v>0</v>
      </c>
      <c r="BY439" s="634">
        <v>0</v>
      </c>
      <c r="BZ439" s="635">
        <v>0</v>
      </c>
      <c r="CA439" s="635">
        <v>0</v>
      </c>
      <c r="CB439" s="635">
        <v>0</v>
      </c>
      <c r="CC439" s="635">
        <v>0</v>
      </c>
      <c r="CD439" s="635">
        <v>0</v>
      </c>
      <c r="CE439" s="635">
        <v>0</v>
      </c>
      <c r="CF439" s="635">
        <v>0</v>
      </c>
      <c r="CG439" s="635">
        <v>0</v>
      </c>
      <c r="CH439" s="635">
        <v>0</v>
      </c>
      <c r="CI439" s="635">
        <v>0</v>
      </c>
      <c r="CJ439" s="635">
        <v>0</v>
      </c>
      <c r="CK439" s="635">
        <v>0</v>
      </c>
      <c r="CL439" s="634">
        <v>0</v>
      </c>
      <c r="CM439" s="634">
        <v>0</v>
      </c>
      <c r="CN439" s="634">
        <v>0</v>
      </c>
      <c r="CO439" s="635">
        <v>0</v>
      </c>
      <c r="CP439" s="635">
        <v>0</v>
      </c>
      <c r="CQ439" s="635">
        <v>0</v>
      </c>
      <c r="CR439" s="635">
        <v>0</v>
      </c>
      <c r="CS439" s="635">
        <v>0</v>
      </c>
      <c r="CT439" s="635">
        <v>0</v>
      </c>
      <c r="CU439" s="635">
        <v>0</v>
      </c>
      <c r="CV439" s="635">
        <v>0</v>
      </c>
      <c r="CW439" s="635">
        <v>0</v>
      </c>
      <c r="CX439" s="635">
        <v>0</v>
      </c>
      <c r="CY439" s="635">
        <v>0</v>
      </c>
      <c r="CZ439" s="635">
        <v>0</v>
      </c>
      <c r="DA439" s="636">
        <v>2.6335930495597088E-3</v>
      </c>
      <c r="DB439" s="636">
        <v>2.6689005925452066E-3</v>
      </c>
      <c r="DC439" s="636">
        <v>2.7046814898296465E-3</v>
      </c>
      <c r="DD439" s="637">
        <v>2.6868993956999871E-3</v>
      </c>
      <c r="DE439" s="637">
        <v>2.6692342110374214E-3</v>
      </c>
      <c r="DF439" s="637">
        <v>2.6883962844191757E-3</v>
      </c>
      <c r="DG439" s="637">
        <v>2.7076959197483868E-3</v>
      </c>
      <c r="DH439" s="637">
        <v>2.7271341045637726E-3</v>
      </c>
      <c r="DI439" s="637">
        <v>2.7467118334934589E-3</v>
      </c>
      <c r="DJ439" s="637">
        <v>2.7664301083058737E-3</v>
      </c>
      <c r="DK439" s="637">
        <v>2.7819598095822984E-3</v>
      </c>
      <c r="DL439" s="637">
        <v>2.7975766887783859E-3</v>
      </c>
      <c r="DM439" s="637">
        <v>2.8132812352782881E-3</v>
      </c>
      <c r="DN439" s="637">
        <v>2.8290739412133751E-3</v>
      </c>
      <c r="DO439" s="637">
        <v>2.8449553014776568E-3</v>
      </c>
      <c r="DP439" s="636">
        <v>0</v>
      </c>
      <c r="DQ439" s="636">
        <v>0</v>
      </c>
      <c r="DR439" s="636">
        <v>0</v>
      </c>
      <c r="DS439" s="637">
        <v>0</v>
      </c>
      <c r="DT439" s="637">
        <v>0</v>
      </c>
      <c r="DU439" s="637">
        <v>0</v>
      </c>
      <c r="DV439" s="637">
        <v>0</v>
      </c>
      <c r="DW439" s="637">
        <v>0</v>
      </c>
      <c r="DX439" s="637">
        <v>0</v>
      </c>
      <c r="DY439" s="637">
        <v>0</v>
      </c>
      <c r="DZ439" s="637">
        <v>0</v>
      </c>
      <c r="EA439" s="637">
        <v>0</v>
      </c>
      <c r="EB439" s="637">
        <v>0</v>
      </c>
      <c r="EC439" s="637">
        <v>0</v>
      </c>
      <c r="ED439" s="637">
        <v>0</v>
      </c>
    </row>
    <row r="440" spans="1:134" ht="15" x14ac:dyDescent="0.25">
      <c r="A440" s="555">
        <v>104</v>
      </c>
      <c r="B440" s="555">
        <v>117</v>
      </c>
      <c r="C440" s="555" t="s">
        <v>1423</v>
      </c>
      <c r="D440" s="812">
        <v>99712</v>
      </c>
      <c r="E440" s="812">
        <v>99712</v>
      </c>
      <c r="F440" s="630" t="s">
        <v>989</v>
      </c>
      <c r="G440" s="45">
        <v>6</v>
      </c>
      <c r="H440" s="45">
        <v>4</v>
      </c>
      <c r="I440" s="45">
        <v>3</v>
      </c>
      <c r="J440" s="45">
        <v>1</v>
      </c>
      <c r="K440" s="45">
        <v>0</v>
      </c>
      <c r="L440" s="45">
        <v>0</v>
      </c>
      <c r="M440" s="45">
        <v>0</v>
      </c>
      <c r="N440" s="45">
        <v>0</v>
      </c>
      <c r="O440" s="45">
        <v>0</v>
      </c>
      <c r="P440" s="45">
        <v>0</v>
      </c>
      <c r="Q440" s="45">
        <v>0</v>
      </c>
      <c r="R440" s="45">
        <v>0</v>
      </c>
      <c r="S440" s="45">
        <v>834.49503068156923</v>
      </c>
      <c r="T440" s="45">
        <v>834.49503068156923</v>
      </c>
      <c r="U440" s="45">
        <v>1408.3846153846155</v>
      </c>
      <c r="V440" s="45">
        <v>0</v>
      </c>
      <c r="W440" s="45">
        <v>0</v>
      </c>
      <c r="X440" s="45">
        <v>1365.173957061457</v>
      </c>
      <c r="Y440" s="45">
        <v>9.1649341649341645E-2</v>
      </c>
      <c r="Z440" s="45">
        <v>3.9031531531531534</v>
      </c>
      <c r="AA440" s="45">
        <v>5.1975051975051978E-3</v>
      </c>
      <c r="AB440" s="508">
        <v>0</v>
      </c>
      <c r="AC440" s="508">
        <v>0</v>
      </c>
      <c r="AD440" s="631">
        <v>4</v>
      </c>
      <c r="AE440" s="632">
        <v>6.8737006237006237E-2</v>
      </c>
      <c r="AF440" s="632">
        <v>2.9273648648648649</v>
      </c>
      <c r="AG440" s="633">
        <v>2.996101871101871</v>
      </c>
      <c r="AH440" s="632">
        <v>3.8981288981288983E-3</v>
      </c>
      <c r="AI440" s="632">
        <v>8.331972205164509E-2</v>
      </c>
      <c r="AJ440" s="632">
        <v>3.5484121325170368</v>
      </c>
      <c r="AK440" s="632">
        <v>3.6317318545686819</v>
      </c>
      <c r="AL440" s="632">
        <v>4.7251260142709885E-3</v>
      </c>
      <c r="AM440" s="632">
        <v>6.27193638767157E-2</v>
      </c>
      <c r="AN440" s="632">
        <v>2.6710861035510924</v>
      </c>
      <c r="AO440" s="632">
        <v>2.7338054674278083</v>
      </c>
      <c r="AP440" s="632">
        <v>3.5568637359196047E-3</v>
      </c>
      <c r="AQ440" s="632">
        <v>0</v>
      </c>
      <c r="AR440" s="632">
        <v>0</v>
      </c>
      <c r="AS440" s="632">
        <v>3.3016591635379395</v>
      </c>
      <c r="AT440" s="632">
        <v>3.4627649006464942</v>
      </c>
      <c r="AU440" s="632">
        <v>3.6317318545686819</v>
      </c>
      <c r="AV440" s="632">
        <v>3.8089436164223622</v>
      </c>
      <c r="AW440" s="632">
        <v>3.9948024948024949</v>
      </c>
      <c r="AX440" s="632">
        <v>2.4944720357554431</v>
      </c>
      <c r="AY440" s="632">
        <v>2.6113983399117808</v>
      </c>
      <c r="AZ440" s="632">
        <v>2.7338054674278078</v>
      </c>
      <c r="BA440" s="632">
        <v>2.8619503273447955</v>
      </c>
      <c r="BB440" s="632">
        <v>2.996101871101871</v>
      </c>
      <c r="BC440" s="632">
        <v>0</v>
      </c>
      <c r="BD440" s="632">
        <v>0</v>
      </c>
      <c r="BE440" s="632">
        <v>0</v>
      </c>
      <c r="BF440" s="632">
        <v>0</v>
      </c>
      <c r="BG440" s="632">
        <v>0</v>
      </c>
      <c r="BH440" s="634">
        <v>4.0483592357831846</v>
      </c>
      <c r="BI440" s="634">
        <v>4.1026339908604914</v>
      </c>
      <c r="BJ440" s="634">
        <v>4.157636386166133</v>
      </c>
      <c r="BK440" s="635">
        <v>4.1303017510700206</v>
      </c>
      <c r="BL440" s="635">
        <v>4.1031468292067244</v>
      </c>
      <c r="BM440" s="635">
        <v>4.132602768409158</v>
      </c>
      <c r="BN440" s="635">
        <v>4.16227016783722</v>
      </c>
      <c r="BO440" s="635">
        <v>4.1921505455354318</v>
      </c>
      <c r="BP440" s="635">
        <v>4.2222454304461454</v>
      </c>
      <c r="BQ440" s="635">
        <v>4.2525563624877893</v>
      </c>
      <c r="BR440" s="635">
        <v>4.2764286192899092</v>
      </c>
      <c r="BS440" s="635">
        <v>4.3004348859901356</v>
      </c>
      <c r="BT440" s="635">
        <v>4.3245759148697855</v>
      </c>
      <c r="BU440" s="635">
        <v>4.348852462433201</v>
      </c>
      <c r="BV440" s="635">
        <v>4.3732652894314539</v>
      </c>
      <c r="BW440" s="634">
        <v>3.036269426837388</v>
      </c>
      <c r="BX440" s="634">
        <v>3.0769754931453686</v>
      </c>
      <c r="BY440" s="634">
        <v>3.1182272896245995</v>
      </c>
      <c r="BZ440" s="635">
        <v>3.0977263133025148</v>
      </c>
      <c r="CA440" s="635">
        <v>3.0773601219050435</v>
      </c>
      <c r="CB440" s="635">
        <v>3.0994520763068678</v>
      </c>
      <c r="CC440" s="635">
        <v>3.1217026258779152</v>
      </c>
      <c r="CD440" s="635">
        <v>3.1441129091515734</v>
      </c>
      <c r="CE440" s="635">
        <v>3.1666840728346091</v>
      </c>
      <c r="CF440" s="635">
        <v>3.1894172718658416</v>
      </c>
      <c r="CG440" s="635">
        <v>3.2073214644674319</v>
      </c>
      <c r="CH440" s="635">
        <v>3.2253261644926012</v>
      </c>
      <c r="CI440" s="635">
        <v>3.2434319361523385</v>
      </c>
      <c r="CJ440" s="635">
        <v>3.2616393468249001</v>
      </c>
      <c r="CK440" s="635">
        <v>3.2799489670735906</v>
      </c>
      <c r="CL440" s="634">
        <v>0</v>
      </c>
      <c r="CM440" s="634">
        <v>0</v>
      </c>
      <c r="CN440" s="634">
        <v>0</v>
      </c>
      <c r="CO440" s="635">
        <v>0</v>
      </c>
      <c r="CP440" s="635">
        <v>0</v>
      </c>
      <c r="CQ440" s="635">
        <v>0</v>
      </c>
      <c r="CR440" s="635">
        <v>0</v>
      </c>
      <c r="CS440" s="635">
        <v>0</v>
      </c>
      <c r="CT440" s="635">
        <v>0</v>
      </c>
      <c r="CU440" s="635">
        <v>0</v>
      </c>
      <c r="CV440" s="635">
        <v>0</v>
      </c>
      <c r="CW440" s="635">
        <v>0</v>
      </c>
      <c r="CX440" s="635">
        <v>0</v>
      </c>
      <c r="CY440" s="635">
        <v>0</v>
      </c>
      <c r="CZ440" s="635">
        <v>0</v>
      </c>
      <c r="DA440" s="636">
        <v>5.2671860991194176E-3</v>
      </c>
      <c r="DB440" s="636">
        <v>5.3378011850904131E-3</v>
      </c>
      <c r="DC440" s="636">
        <v>5.4093629796592929E-3</v>
      </c>
      <c r="DD440" s="637">
        <v>5.3737987913999741E-3</v>
      </c>
      <c r="DE440" s="637">
        <v>5.3384684220748428E-3</v>
      </c>
      <c r="DF440" s="637">
        <v>5.3767925688383515E-3</v>
      </c>
      <c r="DG440" s="637">
        <v>5.4153918394967736E-3</v>
      </c>
      <c r="DH440" s="637">
        <v>5.4542682091275451E-3</v>
      </c>
      <c r="DI440" s="637">
        <v>5.4934236669869178E-3</v>
      </c>
      <c r="DJ440" s="637">
        <v>5.5328602166117473E-3</v>
      </c>
      <c r="DK440" s="637">
        <v>5.5639196191645968E-3</v>
      </c>
      <c r="DL440" s="637">
        <v>5.5951533775567717E-3</v>
      </c>
      <c r="DM440" s="637">
        <v>5.6265624705565762E-3</v>
      </c>
      <c r="DN440" s="637">
        <v>5.6581478824267502E-3</v>
      </c>
      <c r="DO440" s="637">
        <v>5.6899106029553136E-3</v>
      </c>
      <c r="DP440" s="636">
        <v>0</v>
      </c>
      <c r="DQ440" s="636">
        <v>0</v>
      </c>
      <c r="DR440" s="636">
        <v>0</v>
      </c>
      <c r="DS440" s="637">
        <v>0</v>
      </c>
      <c r="DT440" s="637">
        <v>0</v>
      </c>
      <c r="DU440" s="637">
        <v>0</v>
      </c>
      <c r="DV440" s="637">
        <v>0</v>
      </c>
      <c r="DW440" s="637">
        <v>0</v>
      </c>
      <c r="DX440" s="637">
        <v>0</v>
      </c>
      <c r="DY440" s="637">
        <v>0</v>
      </c>
      <c r="DZ440" s="637">
        <v>0</v>
      </c>
      <c r="EA440" s="637">
        <v>0</v>
      </c>
      <c r="EB440" s="637">
        <v>0</v>
      </c>
      <c r="EC440" s="637">
        <v>0</v>
      </c>
      <c r="ED440" s="637">
        <v>0</v>
      </c>
    </row>
    <row r="441" spans="1:134" ht="15" x14ac:dyDescent="0.25">
      <c r="A441" s="555">
        <v>106</v>
      </c>
      <c r="B441" s="555">
        <v>117</v>
      </c>
      <c r="C441" s="555" t="s">
        <v>1424</v>
      </c>
      <c r="D441" s="812">
        <v>99712</v>
      </c>
      <c r="E441" s="812">
        <v>99712</v>
      </c>
      <c r="F441" s="630" t="s">
        <v>989</v>
      </c>
      <c r="G441" s="45">
        <v>0</v>
      </c>
      <c r="H441" s="45">
        <v>1</v>
      </c>
      <c r="I441" s="45">
        <v>0</v>
      </c>
      <c r="J441" s="45">
        <v>1</v>
      </c>
      <c r="K441" s="45">
        <v>0</v>
      </c>
      <c r="L441" s="45">
        <v>2</v>
      </c>
      <c r="M441" s="45">
        <v>2</v>
      </c>
      <c r="N441" s="45">
        <v>0</v>
      </c>
      <c r="O441" s="45">
        <v>0</v>
      </c>
      <c r="P441" s="45">
        <v>0</v>
      </c>
      <c r="Q441" s="45">
        <v>2</v>
      </c>
      <c r="R441" s="45">
        <v>0</v>
      </c>
      <c r="S441" s="45">
        <v>368</v>
      </c>
      <c r="T441" s="45">
        <v>368</v>
      </c>
      <c r="U441" s="45">
        <v>0</v>
      </c>
      <c r="V441" s="45">
        <v>0</v>
      </c>
      <c r="W441" s="45">
        <v>0</v>
      </c>
      <c r="X441" s="45">
        <v>368</v>
      </c>
      <c r="Y441" s="45">
        <v>0</v>
      </c>
      <c r="Z441" s="45">
        <v>1</v>
      </c>
      <c r="AA441" s="45">
        <v>0</v>
      </c>
      <c r="AB441" s="508">
        <v>0</v>
      </c>
      <c r="AC441" s="508">
        <v>0</v>
      </c>
      <c r="AD441" s="631">
        <v>1</v>
      </c>
      <c r="AE441" s="632">
        <v>0</v>
      </c>
      <c r="AF441" s="632">
        <v>0</v>
      </c>
      <c r="AG441" s="633">
        <v>0</v>
      </c>
      <c r="AH441" s="632">
        <v>0</v>
      </c>
      <c r="AI441" s="632">
        <v>0</v>
      </c>
      <c r="AJ441" s="632">
        <v>0.90911424514573824</v>
      </c>
      <c r="AK441" s="632">
        <v>0.90911424514573824</v>
      </c>
      <c r="AL441" s="632">
        <v>0</v>
      </c>
      <c r="AM441" s="632">
        <v>0</v>
      </c>
      <c r="AN441" s="632">
        <v>0</v>
      </c>
      <c r="AO441" s="632">
        <v>0</v>
      </c>
      <c r="AP441" s="632">
        <v>0</v>
      </c>
      <c r="AQ441" s="632">
        <v>0</v>
      </c>
      <c r="AR441" s="632">
        <v>0</v>
      </c>
      <c r="AS441" s="632">
        <v>0.82648871072690544</v>
      </c>
      <c r="AT441" s="632">
        <v>0.86681754733851879</v>
      </c>
      <c r="AU441" s="632">
        <v>0.90911424514573824</v>
      </c>
      <c r="AV441" s="632">
        <v>0.95347482669745309</v>
      </c>
      <c r="AW441" s="632">
        <v>1</v>
      </c>
      <c r="AX441" s="632">
        <v>0</v>
      </c>
      <c r="AY441" s="632">
        <v>0</v>
      </c>
      <c r="AZ441" s="632">
        <v>0</v>
      </c>
      <c r="BA441" s="632">
        <v>0</v>
      </c>
      <c r="BB441" s="632">
        <v>0</v>
      </c>
      <c r="BC441" s="632">
        <v>0</v>
      </c>
      <c r="BD441" s="632">
        <v>0</v>
      </c>
      <c r="BE441" s="632">
        <v>0</v>
      </c>
      <c r="BF441" s="632">
        <v>0</v>
      </c>
      <c r="BG441" s="632">
        <v>0</v>
      </c>
      <c r="BH441" s="634">
        <v>1.0134066054705759</v>
      </c>
      <c r="BI441" s="634">
        <v>1.0269929480113955</v>
      </c>
      <c r="BJ441" s="634">
        <v>1.040761437286448</v>
      </c>
      <c r="BK441" s="635">
        <v>1.0339188874653549</v>
      </c>
      <c r="BL441" s="635">
        <v>1.0271213244071997</v>
      </c>
      <c r="BM441" s="635">
        <v>1.034494890244499</v>
      </c>
      <c r="BN441" s="635">
        <v>1.0419213899191793</v>
      </c>
      <c r="BO441" s="635">
        <v>1.0494012034361397</v>
      </c>
      <c r="BP441" s="635">
        <v>1.0569347135282832</v>
      </c>
      <c r="BQ441" s="635">
        <v>1.0645223056761002</v>
      </c>
      <c r="BR441" s="635">
        <v>1.0704981347272684</v>
      </c>
      <c r="BS441" s="635">
        <v>1.076507509841923</v>
      </c>
      <c r="BT441" s="635">
        <v>1.0825506193350853</v>
      </c>
      <c r="BU441" s="635">
        <v>1.0886276525789067</v>
      </c>
      <c r="BV441" s="635">
        <v>1.0947388000086022</v>
      </c>
      <c r="BW441" s="634">
        <v>0</v>
      </c>
      <c r="BX441" s="634">
        <v>0</v>
      </c>
      <c r="BY441" s="634">
        <v>0</v>
      </c>
      <c r="BZ441" s="635">
        <v>0</v>
      </c>
      <c r="CA441" s="635">
        <v>0</v>
      </c>
      <c r="CB441" s="635">
        <v>0</v>
      </c>
      <c r="CC441" s="635">
        <v>0</v>
      </c>
      <c r="CD441" s="635">
        <v>0</v>
      </c>
      <c r="CE441" s="635">
        <v>0</v>
      </c>
      <c r="CF441" s="635">
        <v>0</v>
      </c>
      <c r="CG441" s="635">
        <v>0</v>
      </c>
      <c r="CH441" s="635">
        <v>0</v>
      </c>
      <c r="CI441" s="635">
        <v>0</v>
      </c>
      <c r="CJ441" s="635">
        <v>0</v>
      </c>
      <c r="CK441" s="635">
        <v>0</v>
      </c>
      <c r="CL441" s="634">
        <v>0</v>
      </c>
      <c r="CM441" s="634">
        <v>0</v>
      </c>
      <c r="CN441" s="634">
        <v>0</v>
      </c>
      <c r="CO441" s="635">
        <v>0</v>
      </c>
      <c r="CP441" s="635">
        <v>0</v>
      </c>
      <c r="CQ441" s="635">
        <v>0</v>
      </c>
      <c r="CR441" s="635">
        <v>0</v>
      </c>
      <c r="CS441" s="635">
        <v>0</v>
      </c>
      <c r="CT441" s="635">
        <v>0</v>
      </c>
      <c r="CU441" s="635">
        <v>0</v>
      </c>
      <c r="CV441" s="635">
        <v>0</v>
      </c>
      <c r="CW441" s="635">
        <v>0</v>
      </c>
      <c r="CX441" s="635">
        <v>0</v>
      </c>
      <c r="CY441" s="635">
        <v>0</v>
      </c>
      <c r="CZ441" s="635">
        <v>0</v>
      </c>
      <c r="DA441" s="636">
        <v>0</v>
      </c>
      <c r="DB441" s="636">
        <v>0</v>
      </c>
      <c r="DC441" s="636">
        <v>0</v>
      </c>
      <c r="DD441" s="637">
        <v>0</v>
      </c>
      <c r="DE441" s="637">
        <v>0</v>
      </c>
      <c r="DF441" s="637">
        <v>0</v>
      </c>
      <c r="DG441" s="637">
        <v>0</v>
      </c>
      <c r="DH441" s="637">
        <v>0</v>
      </c>
      <c r="DI441" s="637">
        <v>0</v>
      </c>
      <c r="DJ441" s="637">
        <v>0</v>
      </c>
      <c r="DK441" s="637">
        <v>0</v>
      </c>
      <c r="DL441" s="637">
        <v>0</v>
      </c>
      <c r="DM441" s="637">
        <v>0</v>
      </c>
      <c r="DN441" s="637">
        <v>0</v>
      </c>
      <c r="DO441" s="637">
        <v>0</v>
      </c>
      <c r="DP441" s="636">
        <v>0</v>
      </c>
      <c r="DQ441" s="636">
        <v>0</v>
      </c>
      <c r="DR441" s="636">
        <v>0</v>
      </c>
      <c r="DS441" s="637">
        <v>0</v>
      </c>
      <c r="DT441" s="637">
        <v>0</v>
      </c>
      <c r="DU441" s="637">
        <v>0</v>
      </c>
      <c r="DV441" s="637">
        <v>0</v>
      </c>
      <c r="DW441" s="637">
        <v>0</v>
      </c>
      <c r="DX441" s="637">
        <v>0</v>
      </c>
      <c r="DY441" s="637">
        <v>0</v>
      </c>
      <c r="DZ441" s="637">
        <v>0</v>
      </c>
      <c r="EA441" s="637">
        <v>0</v>
      </c>
      <c r="EB441" s="637">
        <v>0</v>
      </c>
      <c r="EC441" s="637">
        <v>0</v>
      </c>
      <c r="ED441" s="637">
        <v>0</v>
      </c>
    </row>
    <row r="442" spans="1:134" ht="15" x14ac:dyDescent="0.25">
      <c r="A442" s="555">
        <v>111</v>
      </c>
      <c r="B442" s="555">
        <v>117</v>
      </c>
      <c r="C442" s="555" t="s">
        <v>1425</v>
      </c>
      <c r="D442" s="812">
        <v>99712</v>
      </c>
      <c r="E442" s="812">
        <v>99712</v>
      </c>
      <c r="F442" s="630" t="s">
        <v>989</v>
      </c>
      <c r="G442" s="45">
        <v>8</v>
      </c>
      <c r="H442" s="45">
        <v>5</v>
      </c>
      <c r="I442" s="45">
        <v>2</v>
      </c>
      <c r="J442" s="45">
        <v>3</v>
      </c>
      <c r="K442" s="45">
        <v>0</v>
      </c>
      <c r="L442" s="45">
        <v>17</v>
      </c>
      <c r="M442" s="45">
        <v>17</v>
      </c>
      <c r="N442" s="45">
        <v>0</v>
      </c>
      <c r="O442" s="45">
        <v>0</v>
      </c>
      <c r="P442" s="45">
        <v>0</v>
      </c>
      <c r="Q442" s="45">
        <v>17</v>
      </c>
      <c r="R442" s="45">
        <v>0</v>
      </c>
      <c r="S442" s="45">
        <v>1372.3529411764705</v>
      </c>
      <c r="T442" s="45">
        <v>1372.3529411764705</v>
      </c>
      <c r="U442" s="45">
        <v>0</v>
      </c>
      <c r="V442" s="45">
        <v>0</v>
      </c>
      <c r="W442" s="45">
        <v>0</v>
      </c>
      <c r="X442" s="45">
        <v>1372.3529411764705</v>
      </c>
      <c r="Y442" s="45">
        <v>0</v>
      </c>
      <c r="Z442" s="45">
        <v>5</v>
      </c>
      <c r="AA442" s="45">
        <v>0</v>
      </c>
      <c r="AB442" s="508">
        <v>0</v>
      </c>
      <c r="AC442" s="508">
        <v>0</v>
      </c>
      <c r="AD442" s="631">
        <v>5</v>
      </c>
      <c r="AE442" s="632">
        <v>0</v>
      </c>
      <c r="AF442" s="632">
        <v>2</v>
      </c>
      <c r="AG442" s="633">
        <v>2</v>
      </c>
      <c r="AH442" s="632">
        <v>0</v>
      </c>
      <c r="AI442" s="632">
        <v>0</v>
      </c>
      <c r="AJ442" s="632">
        <v>4.5455712257286907</v>
      </c>
      <c r="AK442" s="632">
        <v>4.5455712257286907</v>
      </c>
      <c r="AL442" s="632">
        <v>0</v>
      </c>
      <c r="AM442" s="632">
        <v>0</v>
      </c>
      <c r="AN442" s="632">
        <v>1.8249082207758185</v>
      </c>
      <c r="AO442" s="632">
        <v>1.8249082207758185</v>
      </c>
      <c r="AP442" s="632">
        <v>0</v>
      </c>
      <c r="AQ442" s="632">
        <v>0</v>
      </c>
      <c r="AR442" s="632">
        <v>0</v>
      </c>
      <c r="AS442" s="632">
        <v>4.132443553634527</v>
      </c>
      <c r="AT442" s="632">
        <v>4.3340877366925934</v>
      </c>
      <c r="AU442" s="632">
        <v>4.5455712257286907</v>
      </c>
      <c r="AV442" s="632">
        <v>4.7673741334872659</v>
      </c>
      <c r="AW442" s="632">
        <v>5</v>
      </c>
      <c r="AX442" s="632">
        <v>1.6651450071275817</v>
      </c>
      <c r="AY442" s="632">
        <v>1.7431972958592303</v>
      </c>
      <c r="AZ442" s="632">
        <v>1.8249082207758185</v>
      </c>
      <c r="BA442" s="632">
        <v>1.9104492774087558</v>
      </c>
      <c r="BB442" s="632">
        <v>2</v>
      </c>
      <c r="BC442" s="632">
        <v>0</v>
      </c>
      <c r="BD442" s="632">
        <v>0</v>
      </c>
      <c r="BE442" s="632">
        <v>0</v>
      </c>
      <c r="BF442" s="632">
        <v>0</v>
      </c>
      <c r="BG442" s="632">
        <v>0</v>
      </c>
      <c r="BH442" s="634">
        <v>5.0670330273528794</v>
      </c>
      <c r="BI442" s="634">
        <v>5.1349647400569776</v>
      </c>
      <c r="BJ442" s="634">
        <v>5.2038071864322397</v>
      </c>
      <c r="BK442" s="635">
        <v>5.1695944373267748</v>
      </c>
      <c r="BL442" s="635">
        <v>5.1356066220359988</v>
      </c>
      <c r="BM442" s="635">
        <v>5.1724744512224943</v>
      </c>
      <c r="BN442" s="635">
        <v>5.2096069495958961</v>
      </c>
      <c r="BO442" s="635">
        <v>5.2470060171806985</v>
      </c>
      <c r="BP442" s="635">
        <v>5.2846735676414154</v>
      </c>
      <c r="BQ442" s="635">
        <v>5.3226115283805004</v>
      </c>
      <c r="BR442" s="635">
        <v>5.3524906736363418</v>
      </c>
      <c r="BS442" s="635">
        <v>5.3825375492096148</v>
      </c>
      <c r="BT442" s="635">
        <v>5.4127530966754263</v>
      </c>
      <c r="BU442" s="635">
        <v>5.443138262894534</v>
      </c>
      <c r="BV442" s="635">
        <v>5.473694000043011</v>
      </c>
      <c r="BW442" s="634">
        <v>2.0268132109411519</v>
      </c>
      <c r="BX442" s="634">
        <v>2.053985896022791</v>
      </c>
      <c r="BY442" s="634">
        <v>2.081522874572896</v>
      </c>
      <c r="BZ442" s="635">
        <v>2.0678377749307097</v>
      </c>
      <c r="CA442" s="635">
        <v>2.0542426488143994</v>
      </c>
      <c r="CB442" s="635">
        <v>2.0689897804889981</v>
      </c>
      <c r="CC442" s="635">
        <v>2.0838427798383585</v>
      </c>
      <c r="CD442" s="635">
        <v>2.0988024068722795</v>
      </c>
      <c r="CE442" s="635">
        <v>2.1138694270565663</v>
      </c>
      <c r="CF442" s="635">
        <v>2.1290446113522004</v>
      </c>
      <c r="CG442" s="635">
        <v>2.1409962694545368</v>
      </c>
      <c r="CH442" s="635">
        <v>2.153015019683846</v>
      </c>
      <c r="CI442" s="635">
        <v>2.1651012386701707</v>
      </c>
      <c r="CJ442" s="635">
        <v>2.1772553051578134</v>
      </c>
      <c r="CK442" s="635">
        <v>2.1894776000172045</v>
      </c>
      <c r="CL442" s="634">
        <v>0</v>
      </c>
      <c r="CM442" s="634">
        <v>0</v>
      </c>
      <c r="CN442" s="634">
        <v>0</v>
      </c>
      <c r="CO442" s="635">
        <v>0</v>
      </c>
      <c r="CP442" s="635">
        <v>0</v>
      </c>
      <c r="CQ442" s="635">
        <v>0</v>
      </c>
      <c r="CR442" s="635">
        <v>0</v>
      </c>
      <c r="CS442" s="635">
        <v>0</v>
      </c>
      <c r="CT442" s="635">
        <v>0</v>
      </c>
      <c r="CU442" s="635">
        <v>0</v>
      </c>
      <c r="CV442" s="635">
        <v>0</v>
      </c>
      <c r="CW442" s="635">
        <v>0</v>
      </c>
      <c r="CX442" s="635">
        <v>0</v>
      </c>
      <c r="CY442" s="635">
        <v>0</v>
      </c>
      <c r="CZ442" s="635">
        <v>0</v>
      </c>
      <c r="DA442" s="636">
        <v>0</v>
      </c>
      <c r="DB442" s="636">
        <v>0</v>
      </c>
      <c r="DC442" s="636">
        <v>0</v>
      </c>
      <c r="DD442" s="637">
        <v>0</v>
      </c>
      <c r="DE442" s="637">
        <v>0</v>
      </c>
      <c r="DF442" s="637">
        <v>0</v>
      </c>
      <c r="DG442" s="637">
        <v>0</v>
      </c>
      <c r="DH442" s="637">
        <v>0</v>
      </c>
      <c r="DI442" s="637">
        <v>0</v>
      </c>
      <c r="DJ442" s="637">
        <v>0</v>
      </c>
      <c r="DK442" s="637">
        <v>0</v>
      </c>
      <c r="DL442" s="637">
        <v>0</v>
      </c>
      <c r="DM442" s="637">
        <v>0</v>
      </c>
      <c r="DN442" s="637">
        <v>0</v>
      </c>
      <c r="DO442" s="637">
        <v>0</v>
      </c>
      <c r="DP442" s="636">
        <v>0</v>
      </c>
      <c r="DQ442" s="636">
        <v>0</v>
      </c>
      <c r="DR442" s="636">
        <v>0</v>
      </c>
      <c r="DS442" s="637">
        <v>0</v>
      </c>
      <c r="DT442" s="637">
        <v>0</v>
      </c>
      <c r="DU442" s="637">
        <v>0</v>
      </c>
      <c r="DV442" s="637">
        <v>0</v>
      </c>
      <c r="DW442" s="637">
        <v>0</v>
      </c>
      <c r="DX442" s="637">
        <v>0</v>
      </c>
      <c r="DY442" s="637">
        <v>0</v>
      </c>
      <c r="DZ442" s="637">
        <v>0</v>
      </c>
      <c r="EA442" s="637">
        <v>0</v>
      </c>
      <c r="EB442" s="637">
        <v>0</v>
      </c>
      <c r="EC442" s="637">
        <v>0</v>
      </c>
      <c r="ED442" s="637">
        <v>0</v>
      </c>
    </row>
    <row r="443" spans="1:134" ht="15" x14ac:dyDescent="0.25">
      <c r="A443" s="555">
        <v>112</v>
      </c>
      <c r="B443" s="555">
        <v>117</v>
      </c>
      <c r="C443" s="555" t="s">
        <v>1426</v>
      </c>
      <c r="D443" s="812">
        <v>99712</v>
      </c>
      <c r="E443" s="812">
        <v>99712</v>
      </c>
      <c r="F443" s="630" t="s">
        <v>989</v>
      </c>
      <c r="G443" s="45">
        <v>16</v>
      </c>
      <c r="H443" s="45">
        <v>10</v>
      </c>
      <c r="I443" s="45">
        <v>5</v>
      </c>
      <c r="J443" s="45">
        <v>5</v>
      </c>
      <c r="K443" s="45">
        <v>0</v>
      </c>
      <c r="L443" s="45">
        <v>27</v>
      </c>
      <c r="M443" s="45">
        <v>27</v>
      </c>
      <c r="N443" s="45">
        <v>0</v>
      </c>
      <c r="O443" s="45">
        <v>0</v>
      </c>
      <c r="P443" s="45">
        <v>0</v>
      </c>
      <c r="Q443" s="45">
        <v>27</v>
      </c>
      <c r="R443" s="45">
        <v>0</v>
      </c>
      <c r="S443" s="45">
        <v>1340.4444444444443</v>
      </c>
      <c r="T443" s="45">
        <v>1340.4444444444443</v>
      </c>
      <c r="U443" s="45">
        <v>0</v>
      </c>
      <c r="V443" s="45">
        <v>0</v>
      </c>
      <c r="W443" s="45">
        <v>0</v>
      </c>
      <c r="X443" s="45">
        <v>1340.4444444444443</v>
      </c>
      <c r="Y443" s="45">
        <v>0</v>
      </c>
      <c r="Z443" s="45">
        <v>10</v>
      </c>
      <c r="AA443" s="45">
        <v>0</v>
      </c>
      <c r="AB443" s="508">
        <v>0</v>
      </c>
      <c r="AC443" s="508">
        <v>0</v>
      </c>
      <c r="AD443" s="631">
        <v>10</v>
      </c>
      <c r="AE443" s="632">
        <v>0</v>
      </c>
      <c r="AF443" s="632">
        <v>5</v>
      </c>
      <c r="AG443" s="633">
        <v>5</v>
      </c>
      <c r="AH443" s="632">
        <v>0</v>
      </c>
      <c r="AI443" s="632">
        <v>0</v>
      </c>
      <c r="AJ443" s="632">
        <v>9.0911424514573813</v>
      </c>
      <c r="AK443" s="632">
        <v>9.0911424514573813</v>
      </c>
      <c r="AL443" s="632">
        <v>0</v>
      </c>
      <c r="AM443" s="632">
        <v>0</v>
      </c>
      <c r="AN443" s="632">
        <v>4.5622705519395463</v>
      </c>
      <c r="AO443" s="632">
        <v>4.5622705519395463</v>
      </c>
      <c r="AP443" s="632">
        <v>0</v>
      </c>
      <c r="AQ443" s="632">
        <v>0</v>
      </c>
      <c r="AR443" s="632">
        <v>0</v>
      </c>
      <c r="AS443" s="632">
        <v>8.264887107269054</v>
      </c>
      <c r="AT443" s="632">
        <v>8.6681754733851868</v>
      </c>
      <c r="AU443" s="632">
        <v>9.0911424514573813</v>
      </c>
      <c r="AV443" s="632">
        <v>9.5347482669745318</v>
      </c>
      <c r="AW443" s="632">
        <v>10</v>
      </c>
      <c r="AX443" s="632">
        <v>4.1628625178189544</v>
      </c>
      <c r="AY443" s="632">
        <v>4.3579932396480761</v>
      </c>
      <c r="AZ443" s="632">
        <v>4.5622705519395463</v>
      </c>
      <c r="BA443" s="632">
        <v>4.7761231935218893</v>
      </c>
      <c r="BB443" s="632">
        <v>5</v>
      </c>
      <c r="BC443" s="632">
        <v>0</v>
      </c>
      <c r="BD443" s="632">
        <v>0</v>
      </c>
      <c r="BE443" s="632">
        <v>0</v>
      </c>
      <c r="BF443" s="632">
        <v>0</v>
      </c>
      <c r="BG443" s="632">
        <v>0</v>
      </c>
      <c r="BH443" s="634">
        <v>10.134066054705759</v>
      </c>
      <c r="BI443" s="634">
        <v>10.269929480113955</v>
      </c>
      <c r="BJ443" s="634">
        <v>10.407614372864479</v>
      </c>
      <c r="BK443" s="635">
        <v>10.33918887465355</v>
      </c>
      <c r="BL443" s="635">
        <v>10.271213244071998</v>
      </c>
      <c r="BM443" s="635">
        <v>10.344948902444989</v>
      </c>
      <c r="BN443" s="635">
        <v>10.419213899191792</v>
      </c>
      <c r="BO443" s="635">
        <v>10.494012034361397</v>
      </c>
      <c r="BP443" s="635">
        <v>10.569347135282831</v>
      </c>
      <c r="BQ443" s="635">
        <v>10.645223056761001</v>
      </c>
      <c r="BR443" s="635">
        <v>10.704981347272684</v>
      </c>
      <c r="BS443" s="635">
        <v>10.76507509841923</v>
      </c>
      <c r="BT443" s="635">
        <v>10.825506193350853</v>
      </c>
      <c r="BU443" s="635">
        <v>10.886276525789068</v>
      </c>
      <c r="BV443" s="635">
        <v>10.947388000086022</v>
      </c>
      <c r="BW443" s="634">
        <v>5.0670330273528794</v>
      </c>
      <c r="BX443" s="634">
        <v>5.1349647400569776</v>
      </c>
      <c r="BY443" s="634">
        <v>5.2038071864322397</v>
      </c>
      <c r="BZ443" s="635">
        <v>5.1695944373267748</v>
      </c>
      <c r="CA443" s="635">
        <v>5.1356066220359988</v>
      </c>
      <c r="CB443" s="635">
        <v>5.1724744512224943</v>
      </c>
      <c r="CC443" s="635">
        <v>5.2096069495958961</v>
      </c>
      <c r="CD443" s="635">
        <v>5.2470060171806985</v>
      </c>
      <c r="CE443" s="635">
        <v>5.2846735676414154</v>
      </c>
      <c r="CF443" s="635">
        <v>5.3226115283805004</v>
      </c>
      <c r="CG443" s="635">
        <v>5.3524906736363418</v>
      </c>
      <c r="CH443" s="635">
        <v>5.3825375492096148</v>
      </c>
      <c r="CI443" s="635">
        <v>5.4127530966754263</v>
      </c>
      <c r="CJ443" s="635">
        <v>5.443138262894534</v>
      </c>
      <c r="CK443" s="635">
        <v>5.473694000043011</v>
      </c>
      <c r="CL443" s="634">
        <v>0</v>
      </c>
      <c r="CM443" s="634">
        <v>0</v>
      </c>
      <c r="CN443" s="634">
        <v>0</v>
      </c>
      <c r="CO443" s="635">
        <v>0</v>
      </c>
      <c r="CP443" s="635">
        <v>0</v>
      </c>
      <c r="CQ443" s="635">
        <v>0</v>
      </c>
      <c r="CR443" s="635">
        <v>0</v>
      </c>
      <c r="CS443" s="635">
        <v>0</v>
      </c>
      <c r="CT443" s="635">
        <v>0</v>
      </c>
      <c r="CU443" s="635">
        <v>0</v>
      </c>
      <c r="CV443" s="635">
        <v>0</v>
      </c>
      <c r="CW443" s="635">
        <v>0</v>
      </c>
      <c r="CX443" s="635">
        <v>0</v>
      </c>
      <c r="CY443" s="635">
        <v>0</v>
      </c>
      <c r="CZ443" s="635">
        <v>0</v>
      </c>
      <c r="DA443" s="636">
        <v>0</v>
      </c>
      <c r="DB443" s="636">
        <v>0</v>
      </c>
      <c r="DC443" s="636">
        <v>0</v>
      </c>
      <c r="DD443" s="637">
        <v>0</v>
      </c>
      <c r="DE443" s="637">
        <v>0</v>
      </c>
      <c r="DF443" s="637">
        <v>0</v>
      </c>
      <c r="DG443" s="637">
        <v>0</v>
      </c>
      <c r="DH443" s="637">
        <v>0</v>
      </c>
      <c r="DI443" s="637">
        <v>0</v>
      </c>
      <c r="DJ443" s="637">
        <v>0</v>
      </c>
      <c r="DK443" s="637">
        <v>0</v>
      </c>
      <c r="DL443" s="637">
        <v>0</v>
      </c>
      <c r="DM443" s="637">
        <v>0</v>
      </c>
      <c r="DN443" s="637">
        <v>0</v>
      </c>
      <c r="DO443" s="637">
        <v>0</v>
      </c>
      <c r="DP443" s="636">
        <v>0</v>
      </c>
      <c r="DQ443" s="636">
        <v>0</v>
      </c>
      <c r="DR443" s="636">
        <v>0</v>
      </c>
      <c r="DS443" s="637">
        <v>0</v>
      </c>
      <c r="DT443" s="637">
        <v>0</v>
      </c>
      <c r="DU443" s="637">
        <v>0</v>
      </c>
      <c r="DV443" s="637">
        <v>0</v>
      </c>
      <c r="DW443" s="637">
        <v>0</v>
      </c>
      <c r="DX443" s="637">
        <v>0</v>
      </c>
      <c r="DY443" s="637">
        <v>0</v>
      </c>
      <c r="DZ443" s="637">
        <v>0</v>
      </c>
      <c r="EA443" s="637">
        <v>0</v>
      </c>
      <c r="EB443" s="637">
        <v>0</v>
      </c>
      <c r="EC443" s="637">
        <v>0</v>
      </c>
      <c r="ED443" s="637">
        <v>0</v>
      </c>
    </row>
    <row r="444" spans="1:134" ht="15" x14ac:dyDescent="0.25">
      <c r="A444" s="555">
        <v>117</v>
      </c>
      <c r="B444" s="555">
        <v>117</v>
      </c>
      <c r="C444" s="555" t="s">
        <v>1427</v>
      </c>
      <c r="D444" s="812">
        <v>99712</v>
      </c>
      <c r="E444" s="812">
        <v>99712</v>
      </c>
      <c r="F444" s="630" t="s">
        <v>989</v>
      </c>
      <c r="G444" s="45">
        <v>14</v>
      </c>
      <c r="H444" s="45">
        <v>10</v>
      </c>
      <c r="I444" s="45">
        <v>7</v>
      </c>
      <c r="J444" s="45">
        <v>3</v>
      </c>
      <c r="K444" s="45">
        <v>0</v>
      </c>
      <c r="L444" s="45">
        <v>1</v>
      </c>
      <c r="M444" s="45">
        <v>1</v>
      </c>
      <c r="N444" s="45">
        <v>2</v>
      </c>
      <c r="O444" s="45">
        <v>0</v>
      </c>
      <c r="P444" s="45">
        <v>0</v>
      </c>
      <c r="Q444" s="45">
        <v>3</v>
      </c>
      <c r="R444" s="45">
        <v>0</v>
      </c>
      <c r="S444" s="45">
        <v>576</v>
      </c>
      <c r="T444" s="45">
        <v>576</v>
      </c>
      <c r="U444" s="45">
        <v>11680</v>
      </c>
      <c r="V444" s="45">
        <v>0</v>
      </c>
      <c r="W444" s="45">
        <v>0</v>
      </c>
      <c r="X444" s="45">
        <v>7978.666666666667</v>
      </c>
      <c r="Y444" s="45">
        <v>0</v>
      </c>
      <c r="Z444" s="45">
        <v>10</v>
      </c>
      <c r="AA444" s="45">
        <v>0</v>
      </c>
      <c r="AB444" s="508">
        <v>2</v>
      </c>
      <c r="AC444" s="508">
        <v>0</v>
      </c>
      <c r="AD444" s="631">
        <v>12</v>
      </c>
      <c r="AE444" s="632">
        <v>0</v>
      </c>
      <c r="AF444" s="632">
        <v>7</v>
      </c>
      <c r="AG444" s="633">
        <v>7</v>
      </c>
      <c r="AH444" s="632">
        <v>0</v>
      </c>
      <c r="AI444" s="632">
        <v>0</v>
      </c>
      <c r="AJ444" s="632">
        <v>9.0911424514573813</v>
      </c>
      <c r="AK444" s="632">
        <v>9.0911424514573813</v>
      </c>
      <c r="AL444" s="632">
        <v>0</v>
      </c>
      <c r="AM444" s="632">
        <v>0</v>
      </c>
      <c r="AN444" s="632">
        <v>6.387178772715365</v>
      </c>
      <c r="AO444" s="632">
        <v>6.387178772715365</v>
      </c>
      <c r="AP444" s="632">
        <v>0</v>
      </c>
      <c r="AQ444" s="632">
        <v>1.8596827016276773</v>
      </c>
      <c r="AR444" s="632">
        <v>0</v>
      </c>
      <c r="AS444" s="632">
        <v>8.264887107269054</v>
      </c>
      <c r="AT444" s="632">
        <v>8.6681754733851868</v>
      </c>
      <c r="AU444" s="632">
        <v>9.0911424514573813</v>
      </c>
      <c r="AV444" s="632">
        <v>9.5347482669745318</v>
      </c>
      <c r="AW444" s="632">
        <v>10</v>
      </c>
      <c r="AX444" s="632">
        <v>5.8280075249465364</v>
      </c>
      <c r="AY444" s="632">
        <v>6.1011905355073059</v>
      </c>
      <c r="AZ444" s="632">
        <v>6.387178772715365</v>
      </c>
      <c r="BA444" s="632">
        <v>6.6865724709306456</v>
      </c>
      <c r="BB444" s="632">
        <v>7</v>
      </c>
      <c r="BC444" s="632">
        <v>1.7292098753666085</v>
      </c>
      <c r="BD444" s="632">
        <v>1.7932600739165065</v>
      </c>
      <c r="BE444" s="632">
        <v>1.8596827016276773</v>
      </c>
      <c r="BF444" s="632">
        <v>1.9285656336395076</v>
      </c>
      <c r="BG444" s="632">
        <v>2</v>
      </c>
      <c r="BH444" s="634">
        <v>10.134066054705759</v>
      </c>
      <c r="BI444" s="634">
        <v>10.269929480113955</v>
      </c>
      <c r="BJ444" s="634">
        <v>10.407614372864479</v>
      </c>
      <c r="BK444" s="635">
        <v>10.33918887465355</v>
      </c>
      <c r="BL444" s="635">
        <v>10.271213244071998</v>
      </c>
      <c r="BM444" s="635">
        <v>10.344948902444989</v>
      </c>
      <c r="BN444" s="635">
        <v>10.419213899191792</v>
      </c>
      <c r="BO444" s="635">
        <v>10.494012034361397</v>
      </c>
      <c r="BP444" s="635">
        <v>10.569347135282831</v>
      </c>
      <c r="BQ444" s="635">
        <v>10.645223056761001</v>
      </c>
      <c r="BR444" s="635">
        <v>10.704981347272684</v>
      </c>
      <c r="BS444" s="635">
        <v>10.76507509841923</v>
      </c>
      <c r="BT444" s="635">
        <v>10.825506193350853</v>
      </c>
      <c r="BU444" s="635">
        <v>10.886276525789068</v>
      </c>
      <c r="BV444" s="635">
        <v>10.947388000086022</v>
      </c>
      <c r="BW444" s="634">
        <v>7.0938462382940317</v>
      </c>
      <c r="BX444" s="634">
        <v>7.1889506360797686</v>
      </c>
      <c r="BY444" s="634">
        <v>7.2853300610051361</v>
      </c>
      <c r="BZ444" s="635">
        <v>7.2374322122574846</v>
      </c>
      <c r="CA444" s="635">
        <v>7.1898492708503987</v>
      </c>
      <c r="CB444" s="635">
        <v>7.2414642317114923</v>
      </c>
      <c r="CC444" s="635">
        <v>7.2934497294342551</v>
      </c>
      <c r="CD444" s="635">
        <v>7.3458084240529784</v>
      </c>
      <c r="CE444" s="635">
        <v>7.3985429946979817</v>
      </c>
      <c r="CF444" s="635">
        <v>7.4516561397327017</v>
      </c>
      <c r="CG444" s="635">
        <v>7.493486943090879</v>
      </c>
      <c r="CH444" s="635">
        <v>7.5355525688934613</v>
      </c>
      <c r="CI444" s="635">
        <v>7.5778543353455978</v>
      </c>
      <c r="CJ444" s="635">
        <v>7.6203935680523474</v>
      </c>
      <c r="CK444" s="635">
        <v>7.6631716000602168</v>
      </c>
      <c r="CL444" s="634">
        <v>2.0268132109411519</v>
      </c>
      <c r="CM444" s="634">
        <v>2.053985896022791</v>
      </c>
      <c r="CN444" s="634">
        <v>2.081522874572896</v>
      </c>
      <c r="CO444" s="635">
        <v>2.0678377749307097</v>
      </c>
      <c r="CP444" s="635">
        <v>2.0542426488143994</v>
      </c>
      <c r="CQ444" s="635">
        <v>2.0689897804889981</v>
      </c>
      <c r="CR444" s="635">
        <v>2.0838427798383585</v>
      </c>
      <c r="CS444" s="635">
        <v>2.0988024068722795</v>
      </c>
      <c r="CT444" s="635">
        <v>2.1138694270565663</v>
      </c>
      <c r="CU444" s="635">
        <v>2.1290446113522004</v>
      </c>
      <c r="CV444" s="635">
        <v>2.1409962694545368</v>
      </c>
      <c r="CW444" s="635">
        <v>2.153015019683846</v>
      </c>
      <c r="CX444" s="635">
        <v>2.1651012386701707</v>
      </c>
      <c r="CY444" s="635">
        <v>2.1772553051578134</v>
      </c>
      <c r="CZ444" s="635">
        <v>2.1894776000172045</v>
      </c>
      <c r="DA444" s="636">
        <v>0</v>
      </c>
      <c r="DB444" s="636">
        <v>0</v>
      </c>
      <c r="DC444" s="636">
        <v>0</v>
      </c>
      <c r="DD444" s="637">
        <v>0</v>
      </c>
      <c r="DE444" s="637">
        <v>0</v>
      </c>
      <c r="DF444" s="637">
        <v>0</v>
      </c>
      <c r="DG444" s="637">
        <v>0</v>
      </c>
      <c r="DH444" s="637">
        <v>0</v>
      </c>
      <c r="DI444" s="637">
        <v>0</v>
      </c>
      <c r="DJ444" s="637">
        <v>0</v>
      </c>
      <c r="DK444" s="637">
        <v>0</v>
      </c>
      <c r="DL444" s="637">
        <v>0</v>
      </c>
      <c r="DM444" s="637">
        <v>0</v>
      </c>
      <c r="DN444" s="637">
        <v>0</v>
      </c>
      <c r="DO444" s="637">
        <v>0</v>
      </c>
      <c r="DP444" s="636">
        <v>0</v>
      </c>
      <c r="DQ444" s="636">
        <v>0</v>
      </c>
      <c r="DR444" s="636">
        <v>0</v>
      </c>
      <c r="DS444" s="637">
        <v>0</v>
      </c>
      <c r="DT444" s="637">
        <v>0</v>
      </c>
      <c r="DU444" s="637">
        <v>0</v>
      </c>
      <c r="DV444" s="637">
        <v>0</v>
      </c>
      <c r="DW444" s="637">
        <v>0</v>
      </c>
      <c r="DX444" s="637">
        <v>0</v>
      </c>
      <c r="DY444" s="637">
        <v>0</v>
      </c>
      <c r="DZ444" s="637">
        <v>0</v>
      </c>
      <c r="EA444" s="637">
        <v>0</v>
      </c>
      <c r="EB444" s="637">
        <v>0</v>
      </c>
      <c r="EC444" s="637">
        <v>0</v>
      </c>
      <c r="ED444" s="637">
        <v>0</v>
      </c>
    </row>
    <row r="445" spans="1:134" ht="15" x14ac:dyDescent="0.25">
      <c r="A445" s="555">
        <v>111</v>
      </c>
      <c r="B445" s="555">
        <v>118</v>
      </c>
      <c r="C445" s="555" t="s">
        <v>1428</v>
      </c>
      <c r="D445" s="812">
        <v>99712</v>
      </c>
      <c r="E445" s="812">
        <v>99712</v>
      </c>
      <c r="F445" s="630" t="s">
        <v>989</v>
      </c>
      <c r="G445" s="45">
        <v>0</v>
      </c>
      <c r="H445" s="45">
        <v>1</v>
      </c>
      <c r="I445" s="45">
        <v>0</v>
      </c>
      <c r="J445" s="45">
        <v>1</v>
      </c>
      <c r="K445" s="45">
        <v>0</v>
      </c>
      <c r="L445" s="45">
        <v>0</v>
      </c>
      <c r="M445" s="45">
        <v>0</v>
      </c>
      <c r="N445" s="45">
        <v>0</v>
      </c>
      <c r="O445" s="45">
        <v>0</v>
      </c>
      <c r="P445" s="45">
        <v>0</v>
      </c>
      <c r="Q445" s="45">
        <v>0</v>
      </c>
      <c r="R445" s="45">
        <v>0</v>
      </c>
      <c r="S445" s="45">
        <v>834.49503068156923</v>
      </c>
      <c r="T445" s="45">
        <v>834.49503068156923</v>
      </c>
      <c r="U445" s="45">
        <v>1408.3846153846155</v>
      </c>
      <c r="V445" s="45">
        <v>0</v>
      </c>
      <c r="W445" s="45">
        <v>0</v>
      </c>
      <c r="X445" s="45">
        <v>1365.173957061457</v>
      </c>
      <c r="Y445" s="45">
        <v>2.2912335412335411E-2</v>
      </c>
      <c r="Z445" s="45">
        <v>0.97578828828828834</v>
      </c>
      <c r="AA445" s="45">
        <v>1.2993762993762994E-3</v>
      </c>
      <c r="AB445" s="508">
        <v>0</v>
      </c>
      <c r="AC445" s="508">
        <v>0</v>
      </c>
      <c r="AD445" s="631">
        <v>1</v>
      </c>
      <c r="AE445" s="632">
        <v>0</v>
      </c>
      <c r="AF445" s="632">
        <v>0</v>
      </c>
      <c r="AG445" s="633">
        <v>0</v>
      </c>
      <c r="AH445" s="632">
        <v>0</v>
      </c>
      <c r="AI445" s="632">
        <v>2.0829930512911272E-2</v>
      </c>
      <c r="AJ445" s="632">
        <v>0.8871030331292592</v>
      </c>
      <c r="AK445" s="632">
        <v>0.90793296364217047</v>
      </c>
      <c r="AL445" s="632">
        <v>1.1812815035677471E-3</v>
      </c>
      <c r="AM445" s="632">
        <v>0</v>
      </c>
      <c r="AN445" s="632">
        <v>0</v>
      </c>
      <c r="AO445" s="632">
        <v>0</v>
      </c>
      <c r="AP445" s="632">
        <v>0</v>
      </c>
      <c r="AQ445" s="632">
        <v>0</v>
      </c>
      <c r="AR445" s="632">
        <v>0</v>
      </c>
      <c r="AS445" s="632">
        <v>0.82541479088448488</v>
      </c>
      <c r="AT445" s="632">
        <v>0.86569122516162356</v>
      </c>
      <c r="AU445" s="632">
        <v>0.90793296364217047</v>
      </c>
      <c r="AV445" s="632">
        <v>0.95223590410559056</v>
      </c>
      <c r="AW445" s="632">
        <v>0.99870062370062374</v>
      </c>
      <c r="AX445" s="632">
        <v>0</v>
      </c>
      <c r="AY445" s="632">
        <v>0</v>
      </c>
      <c r="AZ445" s="632">
        <v>0</v>
      </c>
      <c r="BA445" s="632">
        <v>0</v>
      </c>
      <c r="BB445" s="632">
        <v>0</v>
      </c>
      <c r="BC445" s="632">
        <v>0</v>
      </c>
      <c r="BD445" s="632">
        <v>0</v>
      </c>
      <c r="BE445" s="632">
        <v>0</v>
      </c>
      <c r="BF445" s="632">
        <v>0</v>
      </c>
      <c r="BG445" s="632">
        <v>0</v>
      </c>
      <c r="BH445" s="634">
        <v>1.0120898089457961</v>
      </c>
      <c r="BI445" s="634">
        <v>1.0256584977151229</v>
      </c>
      <c r="BJ445" s="634">
        <v>1.0394090965415332</v>
      </c>
      <c r="BK445" s="635">
        <v>1.0325754377675052</v>
      </c>
      <c r="BL445" s="635">
        <v>1.0257867073016811</v>
      </c>
      <c r="BM445" s="635">
        <v>1.0331506921022895</v>
      </c>
      <c r="BN445" s="635">
        <v>1.040567541959305</v>
      </c>
      <c r="BO445" s="635">
        <v>1.0480376363838579</v>
      </c>
      <c r="BP445" s="635">
        <v>1.0555613576115364</v>
      </c>
      <c r="BQ445" s="635">
        <v>1.0631390906219473</v>
      </c>
      <c r="BR445" s="635">
        <v>1.0691071548224773</v>
      </c>
      <c r="BS445" s="635">
        <v>1.0751087214975339</v>
      </c>
      <c r="BT445" s="635">
        <v>1.0811439787174464</v>
      </c>
      <c r="BU445" s="635">
        <v>1.0872131156083003</v>
      </c>
      <c r="BV445" s="635">
        <v>1.0933163223578635</v>
      </c>
      <c r="BW445" s="634">
        <v>0</v>
      </c>
      <c r="BX445" s="634">
        <v>0</v>
      </c>
      <c r="BY445" s="634">
        <v>0</v>
      </c>
      <c r="BZ445" s="635">
        <v>0</v>
      </c>
      <c r="CA445" s="635">
        <v>0</v>
      </c>
      <c r="CB445" s="635">
        <v>0</v>
      </c>
      <c r="CC445" s="635">
        <v>0</v>
      </c>
      <c r="CD445" s="635">
        <v>0</v>
      </c>
      <c r="CE445" s="635">
        <v>0</v>
      </c>
      <c r="CF445" s="635">
        <v>0</v>
      </c>
      <c r="CG445" s="635">
        <v>0</v>
      </c>
      <c r="CH445" s="635">
        <v>0</v>
      </c>
      <c r="CI445" s="635">
        <v>0</v>
      </c>
      <c r="CJ445" s="635">
        <v>0</v>
      </c>
      <c r="CK445" s="635">
        <v>0</v>
      </c>
      <c r="CL445" s="634">
        <v>0</v>
      </c>
      <c r="CM445" s="634">
        <v>0</v>
      </c>
      <c r="CN445" s="634">
        <v>0</v>
      </c>
      <c r="CO445" s="635">
        <v>0</v>
      </c>
      <c r="CP445" s="635">
        <v>0</v>
      </c>
      <c r="CQ445" s="635">
        <v>0</v>
      </c>
      <c r="CR445" s="635">
        <v>0</v>
      </c>
      <c r="CS445" s="635">
        <v>0</v>
      </c>
      <c r="CT445" s="635">
        <v>0</v>
      </c>
      <c r="CU445" s="635">
        <v>0</v>
      </c>
      <c r="CV445" s="635">
        <v>0</v>
      </c>
      <c r="CW445" s="635">
        <v>0</v>
      </c>
      <c r="CX445" s="635">
        <v>0</v>
      </c>
      <c r="CY445" s="635">
        <v>0</v>
      </c>
      <c r="CZ445" s="635">
        <v>0</v>
      </c>
      <c r="DA445" s="636">
        <v>1.3167965247798544E-3</v>
      </c>
      <c r="DB445" s="636">
        <v>1.3344502962726033E-3</v>
      </c>
      <c r="DC445" s="636">
        <v>1.3523407449148232E-3</v>
      </c>
      <c r="DD445" s="637">
        <v>1.3434496978499935E-3</v>
      </c>
      <c r="DE445" s="637">
        <v>1.3346171055187107E-3</v>
      </c>
      <c r="DF445" s="637">
        <v>1.3441981422095879E-3</v>
      </c>
      <c r="DG445" s="637">
        <v>1.3538479598741934E-3</v>
      </c>
      <c r="DH445" s="637">
        <v>1.3635670522818863E-3</v>
      </c>
      <c r="DI445" s="637">
        <v>1.3733559167467295E-3</v>
      </c>
      <c r="DJ445" s="637">
        <v>1.3832150541529368E-3</v>
      </c>
      <c r="DK445" s="637">
        <v>1.3909799047911492E-3</v>
      </c>
      <c r="DL445" s="637">
        <v>1.3987883443891929E-3</v>
      </c>
      <c r="DM445" s="637">
        <v>1.4066406176391441E-3</v>
      </c>
      <c r="DN445" s="637">
        <v>1.4145369706066876E-3</v>
      </c>
      <c r="DO445" s="637">
        <v>1.4224776507388284E-3</v>
      </c>
      <c r="DP445" s="636">
        <v>0</v>
      </c>
      <c r="DQ445" s="636">
        <v>0</v>
      </c>
      <c r="DR445" s="636">
        <v>0</v>
      </c>
      <c r="DS445" s="637">
        <v>0</v>
      </c>
      <c r="DT445" s="637">
        <v>0</v>
      </c>
      <c r="DU445" s="637">
        <v>0</v>
      </c>
      <c r="DV445" s="637">
        <v>0</v>
      </c>
      <c r="DW445" s="637">
        <v>0</v>
      </c>
      <c r="DX445" s="637">
        <v>0</v>
      </c>
      <c r="DY445" s="637">
        <v>0</v>
      </c>
      <c r="DZ445" s="637">
        <v>0</v>
      </c>
      <c r="EA445" s="637">
        <v>0</v>
      </c>
      <c r="EB445" s="637">
        <v>0</v>
      </c>
      <c r="EC445" s="637">
        <v>0</v>
      </c>
      <c r="ED445" s="637">
        <v>0</v>
      </c>
    </row>
    <row r="446" spans="1:134" ht="15" x14ac:dyDescent="0.25">
      <c r="A446" s="555">
        <v>119</v>
      </c>
      <c r="B446" s="555">
        <v>119</v>
      </c>
      <c r="C446" s="555" t="s">
        <v>1429</v>
      </c>
      <c r="D446" s="812">
        <v>99712</v>
      </c>
      <c r="E446" s="812">
        <v>99712</v>
      </c>
      <c r="F446" s="630" t="s">
        <v>989</v>
      </c>
      <c r="G446" s="45">
        <v>0</v>
      </c>
      <c r="H446" s="45">
        <v>1</v>
      </c>
      <c r="I446" s="45">
        <v>0</v>
      </c>
      <c r="J446" s="45">
        <v>1</v>
      </c>
      <c r="K446" s="45">
        <v>0</v>
      </c>
      <c r="L446" s="45">
        <v>6</v>
      </c>
      <c r="M446" s="45">
        <v>6</v>
      </c>
      <c r="N446" s="45">
        <v>0</v>
      </c>
      <c r="O446" s="45">
        <v>0</v>
      </c>
      <c r="P446" s="45">
        <v>0</v>
      </c>
      <c r="Q446" s="45">
        <v>6</v>
      </c>
      <c r="R446" s="45">
        <v>0</v>
      </c>
      <c r="S446" s="45">
        <v>1134.8333333333333</v>
      </c>
      <c r="T446" s="45">
        <v>1134.8333333333333</v>
      </c>
      <c r="U446" s="45">
        <v>0</v>
      </c>
      <c r="V446" s="45">
        <v>0</v>
      </c>
      <c r="W446" s="45">
        <v>0</v>
      </c>
      <c r="X446" s="45">
        <v>1134.8333333333333</v>
      </c>
      <c r="Y446" s="45">
        <v>0</v>
      </c>
      <c r="Z446" s="45">
        <v>1</v>
      </c>
      <c r="AA446" s="45">
        <v>0</v>
      </c>
      <c r="AB446" s="508">
        <v>0</v>
      </c>
      <c r="AC446" s="508">
        <v>0</v>
      </c>
      <c r="AD446" s="631">
        <v>1</v>
      </c>
      <c r="AE446" s="632">
        <v>0</v>
      </c>
      <c r="AF446" s="632">
        <v>0</v>
      </c>
      <c r="AG446" s="633">
        <v>0</v>
      </c>
      <c r="AH446" s="632">
        <v>0</v>
      </c>
      <c r="AI446" s="632">
        <v>0</v>
      </c>
      <c r="AJ446" s="632">
        <v>0.90911424514573824</v>
      </c>
      <c r="AK446" s="632">
        <v>0.90911424514573824</v>
      </c>
      <c r="AL446" s="632">
        <v>0</v>
      </c>
      <c r="AM446" s="632">
        <v>0</v>
      </c>
      <c r="AN446" s="632">
        <v>0</v>
      </c>
      <c r="AO446" s="632">
        <v>0</v>
      </c>
      <c r="AP446" s="632">
        <v>0</v>
      </c>
      <c r="AQ446" s="632">
        <v>0</v>
      </c>
      <c r="AR446" s="632">
        <v>0</v>
      </c>
      <c r="AS446" s="632">
        <v>0.82648871072690544</v>
      </c>
      <c r="AT446" s="632">
        <v>0.86681754733851879</v>
      </c>
      <c r="AU446" s="632">
        <v>0.90911424514573824</v>
      </c>
      <c r="AV446" s="632">
        <v>0.95347482669745309</v>
      </c>
      <c r="AW446" s="632">
        <v>1</v>
      </c>
      <c r="AX446" s="632">
        <v>0</v>
      </c>
      <c r="AY446" s="632">
        <v>0</v>
      </c>
      <c r="AZ446" s="632">
        <v>0</v>
      </c>
      <c r="BA446" s="632">
        <v>0</v>
      </c>
      <c r="BB446" s="632">
        <v>0</v>
      </c>
      <c r="BC446" s="632">
        <v>0</v>
      </c>
      <c r="BD446" s="632">
        <v>0</v>
      </c>
      <c r="BE446" s="632">
        <v>0</v>
      </c>
      <c r="BF446" s="632">
        <v>0</v>
      </c>
      <c r="BG446" s="632">
        <v>0</v>
      </c>
      <c r="BH446" s="634">
        <v>1.0134066054705759</v>
      </c>
      <c r="BI446" s="634">
        <v>1.0269929480113955</v>
      </c>
      <c r="BJ446" s="634">
        <v>1.040761437286448</v>
      </c>
      <c r="BK446" s="635">
        <v>1.0339188874653549</v>
      </c>
      <c r="BL446" s="635">
        <v>1.0271213244071997</v>
      </c>
      <c r="BM446" s="635">
        <v>1.034494890244499</v>
      </c>
      <c r="BN446" s="635">
        <v>1.0419213899191793</v>
      </c>
      <c r="BO446" s="635">
        <v>1.0494012034361397</v>
      </c>
      <c r="BP446" s="635">
        <v>1.0569347135282832</v>
      </c>
      <c r="BQ446" s="635">
        <v>1.0645223056761002</v>
      </c>
      <c r="BR446" s="635">
        <v>1.0704981347272684</v>
      </c>
      <c r="BS446" s="635">
        <v>1.076507509841923</v>
      </c>
      <c r="BT446" s="635">
        <v>1.0825506193350853</v>
      </c>
      <c r="BU446" s="635">
        <v>1.0886276525789067</v>
      </c>
      <c r="BV446" s="635">
        <v>1.0947388000086022</v>
      </c>
      <c r="BW446" s="634">
        <v>0</v>
      </c>
      <c r="BX446" s="634">
        <v>0</v>
      </c>
      <c r="BY446" s="634">
        <v>0</v>
      </c>
      <c r="BZ446" s="635">
        <v>0</v>
      </c>
      <c r="CA446" s="635">
        <v>0</v>
      </c>
      <c r="CB446" s="635">
        <v>0</v>
      </c>
      <c r="CC446" s="635">
        <v>0</v>
      </c>
      <c r="CD446" s="635">
        <v>0</v>
      </c>
      <c r="CE446" s="635">
        <v>0</v>
      </c>
      <c r="CF446" s="635">
        <v>0</v>
      </c>
      <c r="CG446" s="635">
        <v>0</v>
      </c>
      <c r="CH446" s="635">
        <v>0</v>
      </c>
      <c r="CI446" s="635">
        <v>0</v>
      </c>
      <c r="CJ446" s="635">
        <v>0</v>
      </c>
      <c r="CK446" s="635">
        <v>0</v>
      </c>
      <c r="CL446" s="634">
        <v>0</v>
      </c>
      <c r="CM446" s="634">
        <v>0</v>
      </c>
      <c r="CN446" s="634">
        <v>0</v>
      </c>
      <c r="CO446" s="635">
        <v>0</v>
      </c>
      <c r="CP446" s="635">
        <v>0</v>
      </c>
      <c r="CQ446" s="635">
        <v>0</v>
      </c>
      <c r="CR446" s="635">
        <v>0</v>
      </c>
      <c r="CS446" s="635">
        <v>0</v>
      </c>
      <c r="CT446" s="635">
        <v>0</v>
      </c>
      <c r="CU446" s="635">
        <v>0</v>
      </c>
      <c r="CV446" s="635">
        <v>0</v>
      </c>
      <c r="CW446" s="635">
        <v>0</v>
      </c>
      <c r="CX446" s="635">
        <v>0</v>
      </c>
      <c r="CY446" s="635">
        <v>0</v>
      </c>
      <c r="CZ446" s="635">
        <v>0</v>
      </c>
      <c r="DA446" s="636">
        <v>0</v>
      </c>
      <c r="DB446" s="636">
        <v>0</v>
      </c>
      <c r="DC446" s="636">
        <v>0</v>
      </c>
      <c r="DD446" s="637">
        <v>0</v>
      </c>
      <c r="DE446" s="637">
        <v>0</v>
      </c>
      <c r="DF446" s="637">
        <v>0</v>
      </c>
      <c r="DG446" s="637">
        <v>0</v>
      </c>
      <c r="DH446" s="637">
        <v>0</v>
      </c>
      <c r="DI446" s="637">
        <v>0</v>
      </c>
      <c r="DJ446" s="637">
        <v>0</v>
      </c>
      <c r="DK446" s="637">
        <v>0</v>
      </c>
      <c r="DL446" s="637">
        <v>0</v>
      </c>
      <c r="DM446" s="637">
        <v>0</v>
      </c>
      <c r="DN446" s="637">
        <v>0</v>
      </c>
      <c r="DO446" s="637">
        <v>0</v>
      </c>
      <c r="DP446" s="636">
        <v>0</v>
      </c>
      <c r="DQ446" s="636">
        <v>0</v>
      </c>
      <c r="DR446" s="636">
        <v>0</v>
      </c>
      <c r="DS446" s="637">
        <v>0</v>
      </c>
      <c r="DT446" s="637">
        <v>0</v>
      </c>
      <c r="DU446" s="637">
        <v>0</v>
      </c>
      <c r="DV446" s="637">
        <v>0</v>
      </c>
      <c r="DW446" s="637">
        <v>0</v>
      </c>
      <c r="DX446" s="637">
        <v>0</v>
      </c>
      <c r="DY446" s="637">
        <v>0</v>
      </c>
      <c r="DZ446" s="637">
        <v>0</v>
      </c>
      <c r="EA446" s="637">
        <v>0</v>
      </c>
      <c r="EB446" s="637">
        <v>0</v>
      </c>
      <c r="EC446" s="637">
        <v>0</v>
      </c>
      <c r="ED446" s="637">
        <v>0</v>
      </c>
    </row>
    <row r="447" spans="1:134" ht="15" x14ac:dyDescent="0.25">
      <c r="A447" s="555">
        <v>112</v>
      </c>
      <c r="B447" s="555">
        <v>120</v>
      </c>
      <c r="C447" s="555" t="s">
        <v>1430</v>
      </c>
      <c r="D447" s="812">
        <v>99712</v>
      </c>
      <c r="E447" s="812">
        <v>99712</v>
      </c>
      <c r="F447" s="630" t="s">
        <v>989</v>
      </c>
      <c r="G447" s="45">
        <v>218</v>
      </c>
      <c r="H447" s="45">
        <v>141</v>
      </c>
      <c r="I447" s="45">
        <v>96</v>
      </c>
      <c r="J447" s="45">
        <v>45</v>
      </c>
      <c r="K447" s="45">
        <v>0</v>
      </c>
      <c r="L447" s="45">
        <v>0</v>
      </c>
      <c r="M447" s="45">
        <v>0</v>
      </c>
      <c r="N447" s="45">
        <v>0</v>
      </c>
      <c r="O447" s="45">
        <v>0</v>
      </c>
      <c r="P447" s="45">
        <v>0</v>
      </c>
      <c r="Q447" s="45">
        <v>0</v>
      </c>
      <c r="R447" s="45">
        <v>0</v>
      </c>
      <c r="S447" s="45">
        <v>834.49503068156923</v>
      </c>
      <c r="T447" s="45">
        <v>834.49503068156923</v>
      </c>
      <c r="U447" s="45">
        <v>1408.3846153846155</v>
      </c>
      <c r="V447" s="45">
        <v>0</v>
      </c>
      <c r="W447" s="45">
        <v>0</v>
      </c>
      <c r="X447" s="45">
        <v>1365.173957061457</v>
      </c>
      <c r="Y447" s="45">
        <v>3.2306392931392933</v>
      </c>
      <c r="Z447" s="45">
        <v>137.58614864864865</v>
      </c>
      <c r="AA447" s="45">
        <v>0.18321205821205822</v>
      </c>
      <c r="AB447" s="508">
        <v>0</v>
      </c>
      <c r="AC447" s="508">
        <v>0</v>
      </c>
      <c r="AD447" s="631">
        <v>141</v>
      </c>
      <c r="AE447" s="632">
        <v>2.1995841995841996</v>
      </c>
      <c r="AF447" s="632">
        <v>93.675675675675677</v>
      </c>
      <c r="AG447" s="633">
        <v>95.875259875259871</v>
      </c>
      <c r="AH447" s="632">
        <v>0.12474012474012475</v>
      </c>
      <c r="AI447" s="632">
        <v>2.9370202023204901</v>
      </c>
      <c r="AJ447" s="632">
        <v>125.08152767122554</v>
      </c>
      <c r="AK447" s="632">
        <v>128.01854787354603</v>
      </c>
      <c r="AL447" s="632">
        <v>0.16656069200305235</v>
      </c>
      <c r="AM447" s="632">
        <v>2.0070196440549024</v>
      </c>
      <c r="AN447" s="632">
        <v>85.474755313634958</v>
      </c>
      <c r="AO447" s="632">
        <v>87.481774957689865</v>
      </c>
      <c r="AP447" s="632">
        <v>0.11381963954942735</v>
      </c>
      <c r="AQ447" s="632">
        <v>0</v>
      </c>
      <c r="AR447" s="632">
        <v>0</v>
      </c>
      <c r="AS447" s="632">
        <v>116.38348551471235</v>
      </c>
      <c r="AT447" s="632">
        <v>122.06246274778891</v>
      </c>
      <c r="AU447" s="632">
        <v>128.01854787354603</v>
      </c>
      <c r="AV447" s="632">
        <v>134.26526247888825</v>
      </c>
      <c r="AW447" s="632">
        <v>140.81678794178794</v>
      </c>
      <c r="AX447" s="632">
        <v>79.823105144174178</v>
      </c>
      <c r="AY447" s="632">
        <v>83.564746877176987</v>
      </c>
      <c r="AZ447" s="632">
        <v>87.481774957689851</v>
      </c>
      <c r="BA447" s="632">
        <v>91.582410475033456</v>
      </c>
      <c r="BB447" s="632">
        <v>95.875259875259871</v>
      </c>
      <c r="BC447" s="632">
        <v>0</v>
      </c>
      <c r="BD447" s="632">
        <v>0</v>
      </c>
      <c r="BE447" s="632">
        <v>0</v>
      </c>
      <c r="BF447" s="632">
        <v>0</v>
      </c>
      <c r="BG447" s="632">
        <v>0</v>
      </c>
      <c r="BH447" s="634">
        <v>142.70466306135725</v>
      </c>
      <c r="BI447" s="634">
        <v>144.61784817783231</v>
      </c>
      <c r="BJ447" s="634">
        <v>146.55668261235618</v>
      </c>
      <c r="BK447" s="635">
        <v>145.59313672521822</v>
      </c>
      <c r="BL447" s="635">
        <v>144.63592572953704</v>
      </c>
      <c r="BM447" s="635">
        <v>145.67424758642281</v>
      </c>
      <c r="BN447" s="635">
        <v>146.72002341626202</v>
      </c>
      <c r="BO447" s="635">
        <v>147.77330673012398</v>
      </c>
      <c r="BP447" s="635">
        <v>148.83415142322664</v>
      </c>
      <c r="BQ447" s="635">
        <v>149.90261177769457</v>
      </c>
      <c r="BR447" s="635">
        <v>150.74410882996929</v>
      </c>
      <c r="BS447" s="635">
        <v>151.59032973115228</v>
      </c>
      <c r="BT447" s="635">
        <v>152.44130099915992</v>
      </c>
      <c r="BU447" s="635">
        <v>153.29704930077031</v>
      </c>
      <c r="BV447" s="635">
        <v>154.15760145245875</v>
      </c>
      <c r="BW447" s="634">
        <v>97.160621658796416</v>
      </c>
      <c r="BX447" s="634">
        <v>98.463215780651794</v>
      </c>
      <c r="BY447" s="634">
        <v>99.783273267987184</v>
      </c>
      <c r="BZ447" s="635">
        <v>99.127242025680474</v>
      </c>
      <c r="CA447" s="635">
        <v>98.475523900961392</v>
      </c>
      <c r="CB447" s="635">
        <v>99.18246644181977</v>
      </c>
      <c r="CC447" s="635">
        <v>99.894484028093288</v>
      </c>
      <c r="CD447" s="635">
        <v>100.61161309285035</v>
      </c>
      <c r="CE447" s="635">
        <v>101.33389033070749</v>
      </c>
      <c r="CF447" s="635">
        <v>102.06135269970693</v>
      </c>
      <c r="CG447" s="635">
        <v>102.63428686295782</v>
      </c>
      <c r="CH447" s="635">
        <v>103.21043726376324</v>
      </c>
      <c r="CI447" s="635">
        <v>103.78982195687483</v>
      </c>
      <c r="CJ447" s="635">
        <v>104.3724590983968</v>
      </c>
      <c r="CK447" s="635">
        <v>104.9583669463549</v>
      </c>
      <c r="CL447" s="634">
        <v>0</v>
      </c>
      <c r="CM447" s="634">
        <v>0</v>
      </c>
      <c r="CN447" s="634">
        <v>0</v>
      </c>
      <c r="CO447" s="635">
        <v>0</v>
      </c>
      <c r="CP447" s="635">
        <v>0</v>
      </c>
      <c r="CQ447" s="635">
        <v>0</v>
      </c>
      <c r="CR447" s="635">
        <v>0</v>
      </c>
      <c r="CS447" s="635">
        <v>0</v>
      </c>
      <c r="CT447" s="635">
        <v>0</v>
      </c>
      <c r="CU447" s="635">
        <v>0</v>
      </c>
      <c r="CV447" s="635">
        <v>0</v>
      </c>
      <c r="CW447" s="635">
        <v>0</v>
      </c>
      <c r="CX447" s="635">
        <v>0</v>
      </c>
      <c r="CY447" s="635">
        <v>0</v>
      </c>
      <c r="CZ447" s="635">
        <v>0</v>
      </c>
      <c r="DA447" s="636">
        <v>0.18566830999395947</v>
      </c>
      <c r="DB447" s="636">
        <v>0.18815749177443708</v>
      </c>
      <c r="DC447" s="636">
        <v>0.19068004503299008</v>
      </c>
      <c r="DD447" s="637">
        <v>0.18942640739684907</v>
      </c>
      <c r="DE447" s="637">
        <v>0.18818101187813821</v>
      </c>
      <c r="DF447" s="637">
        <v>0.18953193805155191</v>
      </c>
      <c r="DG447" s="637">
        <v>0.19089256234226126</v>
      </c>
      <c r="DH447" s="637">
        <v>0.19226295437174598</v>
      </c>
      <c r="DI447" s="637">
        <v>0.19364318426128885</v>
      </c>
      <c r="DJ447" s="637">
        <v>0.19503332263556408</v>
      </c>
      <c r="DK447" s="637">
        <v>0.19612816657555202</v>
      </c>
      <c r="DL447" s="637">
        <v>0.19722915655887621</v>
      </c>
      <c r="DM447" s="637">
        <v>0.19833632708711932</v>
      </c>
      <c r="DN447" s="637">
        <v>0.19944971285554294</v>
      </c>
      <c r="DO447" s="637">
        <v>0.20056934875417479</v>
      </c>
      <c r="DP447" s="636">
        <v>0</v>
      </c>
      <c r="DQ447" s="636">
        <v>0</v>
      </c>
      <c r="DR447" s="636">
        <v>0</v>
      </c>
      <c r="DS447" s="637">
        <v>0</v>
      </c>
      <c r="DT447" s="637">
        <v>0</v>
      </c>
      <c r="DU447" s="637">
        <v>0</v>
      </c>
      <c r="DV447" s="637">
        <v>0</v>
      </c>
      <c r="DW447" s="637">
        <v>0</v>
      </c>
      <c r="DX447" s="637">
        <v>0</v>
      </c>
      <c r="DY447" s="637">
        <v>0</v>
      </c>
      <c r="DZ447" s="637">
        <v>0</v>
      </c>
      <c r="EA447" s="637">
        <v>0</v>
      </c>
      <c r="EB447" s="637">
        <v>0</v>
      </c>
      <c r="EC447" s="637">
        <v>0</v>
      </c>
      <c r="ED447" s="637">
        <v>0</v>
      </c>
    </row>
    <row r="448" spans="1:134" ht="15" x14ac:dyDescent="0.25">
      <c r="A448" s="555">
        <v>122</v>
      </c>
      <c r="B448" s="555">
        <v>120</v>
      </c>
      <c r="C448" s="555" t="s">
        <v>1431</v>
      </c>
      <c r="D448" s="812">
        <v>99712</v>
      </c>
      <c r="E448" s="812">
        <v>99712</v>
      </c>
      <c r="F448" s="630" t="s">
        <v>989</v>
      </c>
      <c r="G448" s="45">
        <v>3</v>
      </c>
      <c r="H448" s="45">
        <v>1</v>
      </c>
      <c r="I448" s="45">
        <v>1</v>
      </c>
      <c r="J448" s="45">
        <v>0</v>
      </c>
      <c r="K448" s="45">
        <v>0</v>
      </c>
      <c r="L448" s="45">
        <v>1</v>
      </c>
      <c r="M448" s="45">
        <v>1</v>
      </c>
      <c r="N448" s="45">
        <v>0</v>
      </c>
      <c r="O448" s="45">
        <v>0</v>
      </c>
      <c r="P448" s="45">
        <v>0</v>
      </c>
      <c r="Q448" s="45">
        <v>1</v>
      </c>
      <c r="R448" s="45">
        <v>0</v>
      </c>
      <c r="S448" s="45">
        <v>2080</v>
      </c>
      <c r="T448" s="45">
        <v>2080</v>
      </c>
      <c r="U448" s="45">
        <v>0</v>
      </c>
      <c r="V448" s="45">
        <v>0</v>
      </c>
      <c r="W448" s="45">
        <v>0</v>
      </c>
      <c r="X448" s="45">
        <v>2080</v>
      </c>
      <c r="Y448" s="45">
        <v>0</v>
      </c>
      <c r="Z448" s="45">
        <v>1</v>
      </c>
      <c r="AA448" s="45">
        <v>0</v>
      </c>
      <c r="AB448" s="508">
        <v>0</v>
      </c>
      <c r="AC448" s="508">
        <v>0</v>
      </c>
      <c r="AD448" s="631">
        <v>1</v>
      </c>
      <c r="AE448" s="632">
        <v>0</v>
      </c>
      <c r="AF448" s="632">
        <v>1</v>
      </c>
      <c r="AG448" s="633">
        <v>1</v>
      </c>
      <c r="AH448" s="632">
        <v>0</v>
      </c>
      <c r="AI448" s="632">
        <v>0</v>
      </c>
      <c r="AJ448" s="632">
        <v>0.90911424514573824</v>
      </c>
      <c r="AK448" s="632">
        <v>0.90911424514573824</v>
      </c>
      <c r="AL448" s="632">
        <v>0</v>
      </c>
      <c r="AM448" s="632">
        <v>0</v>
      </c>
      <c r="AN448" s="632">
        <v>0.91245411038790925</v>
      </c>
      <c r="AO448" s="632">
        <v>0.91245411038790925</v>
      </c>
      <c r="AP448" s="632">
        <v>0</v>
      </c>
      <c r="AQ448" s="632">
        <v>0</v>
      </c>
      <c r="AR448" s="632">
        <v>0</v>
      </c>
      <c r="AS448" s="632">
        <v>0.82648871072690544</v>
      </c>
      <c r="AT448" s="632">
        <v>0.86681754733851879</v>
      </c>
      <c r="AU448" s="632">
        <v>0.90911424514573824</v>
      </c>
      <c r="AV448" s="632">
        <v>0.95347482669745309</v>
      </c>
      <c r="AW448" s="632">
        <v>1</v>
      </c>
      <c r="AX448" s="632">
        <v>0.83257250356379087</v>
      </c>
      <c r="AY448" s="632">
        <v>0.87159864792961517</v>
      </c>
      <c r="AZ448" s="632">
        <v>0.91245411038790925</v>
      </c>
      <c r="BA448" s="632">
        <v>0.9552246387043779</v>
      </c>
      <c r="BB448" s="632">
        <v>1</v>
      </c>
      <c r="BC448" s="632">
        <v>0</v>
      </c>
      <c r="BD448" s="632">
        <v>0</v>
      </c>
      <c r="BE448" s="632">
        <v>0</v>
      </c>
      <c r="BF448" s="632">
        <v>0</v>
      </c>
      <c r="BG448" s="632">
        <v>0</v>
      </c>
      <c r="BH448" s="634">
        <v>1.0134066054705759</v>
      </c>
      <c r="BI448" s="634">
        <v>1.0269929480113955</v>
      </c>
      <c r="BJ448" s="634">
        <v>1.040761437286448</v>
      </c>
      <c r="BK448" s="635">
        <v>1.0339188874653549</v>
      </c>
      <c r="BL448" s="635">
        <v>1.0271213244071997</v>
      </c>
      <c r="BM448" s="635">
        <v>1.034494890244499</v>
      </c>
      <c r="BN448" s="635">
        <v>1.0419213899191793</v>
      </c>
      <c r="BO448" s="635">
        <v>1.0494012034361397</v>
      </c>
      <c r="BP448" s="635">
        <v>1.0569347135282832</v>
      </c>
      <c r="BQ448" s="635">
        <v>1.0645223056761002</v>
      </c>
      <c r="BR448" s="635">
        <v>1.0704981347272684</v>
      </c>
      <c r="BS448" s="635">
        <v>1.076507509841923</v>
      </c>
      <c r="BT448" s="635">
        <v>1.0825506193350853</v>
      </c>
      <c r="BU448" s="635">
        <v>1.0886276525789067</v>
      </c>
      <c r="BV448" s="635">
        <v>1.0947388000086022</v>
      </c>
      <c r="BW448" s="634">
        <v>1.0134066054705759</v>
      </c>
      <c r="BX448" s="634">
        <v>1.0269929480113955</v>
      </c>
      <c r="BY448" s="634">
        <v>1.040761437286448</v>
      </c>
      <c r="BZ448" s="635">
        <v>1.0339188874653549</v>
      </c>
      <c r="CA448" s="635">
        <v>1.0271213244071997</v>
      </c>
      <c r="CB448" s="635">
        <v>1.034494890244499</v>
      </c>
      <c r="CC448" s="635">
        <v>1.0419213899191793</v>
      </c>
      <c r="CD448" s="635">
        <v>1.0494012034361397</v>
      </c>
      <c r="CE448" s="635">
        <v>1.0569347135282832</v>
      </c>
      <c r="CF448" s="635">
        <v>1.0645223056761002</v>
      </c>
      <c r="CG448" s="635">
        <v>1.0704981347272684</v>
      </c>
      <c r="CH448" s="635">
        <v>1.076507509841923</v>
      </c>
      <c r="CI448" s="635">
        <v>1.0825506193350853</v>
      </c>
      <c r="CJ448" s="635">
        <v>1.0886276525789067</v>
      </c>
      <c r="CK448" s="635">
        <v>1.0947388000086022</v>
      </c>
      <c r="CL448" s="634">
        <v>0</v>
      </c>
      <c r="CM448" s="634">
        <v>0</v>
      </c>
      <c r="CN448" s="634">
        <v>0</v>
      </c>
      <c r="CO448" s="635">
        <v>0</v>
      </c>
      <c r="CP448" s="635">
        <v>0</v>
      </c>
      <c r="CQ448" s="635">
        <v>0</v>
      </c>
      <c r="CR448" s="635">
        <v>0</v>
      </c>
      <c r="CS448" s="635">
        <v>0</v>
      </c>
      <c r="CT448" s="635">
        <v>0</v>
      </c>
      <c r="CU448" s="635">
        <v>0</v>
      </c>
      <c r="CV448" s="635">
        <v>0</v>
      </c>
      <c r="CW448" s="635">
        <v>0</v>
      </c>
      <c r="CX448" s="635">
        <v>0</v>
      </c>
      <c r="CY448" s="635">
        <v>0</v>
      </c>
      <c r="CZ448" s="635">
        <v>0</v>
      </c>
      <c r="DA448" s="636">
        <v>0</v>
      </c>
      <c r="DB448" s="636">
        <v>0</v>
      </c>
      <c r="DC448" s="636">
        <v>0</v>
      </c>
      <c r="DD448" s="637">
        <v>0</v>
      </c>
      <c r="DE448" s="637">
        <v>0</v>
      </c>
      <c r="DF448" s="637">
        <v>0</v>
      </c>
      <c r="DG448" s="637">
        <v>0</v>
      </c>
      <c r="DH448" s="637">
        <v>0</v>
      </c>
      <c r="DI448" s="637">
        <v>0</v>
      </c>
      <c r="DJ448" s="637">
        <v>0</v>
      </c>
      <c r="DK448" s="637">
        <v>0</v>
      </c>
      <c r="DL448" s="637">
        <v>0</v>
      </c>
      <c r="DM448" s="637">
        <v>0</v>
      </c>
      <c r="DN448" s="637">
        <v>0</v>
      </c>
      <c r="DO448" s="637">
        <v>0</v>
      </c>
      <c r="DP448" s="636">
        <v>0</v>
      </c>
      <c r="DQ448" s="636">
        <v>0</v>
      </c>
      <c r="DR448" s="636">
        <v>0</v>
      </c>
      <c r="DS448" s="637">
        <v>0</v>
      </c>
      <c r="DT448" s="637">
        <v>0</v>
      </c>
      <c r="DU448" s="637">
        <v>0</v>
      </c>
      <c r="DV448" s="637">
        <v>0</v>
      </c>
      <c r="DW448" s="637">
        <v>0</v>
      </c>
      <c r="DX448" s="637">
        <v>0</v>
      </c>
      <c r="DY448" s="637">
        <v>0</v>
      </c>
      <c r="DZ448" s="637">
        <v>0</v>
      </c>
      <c r="EA448" s="637">
        <v>0</v>
      </c>
      <c r="EB448" s="637">
        <v>0</v>
      </c>
      <c r="EC448" s="637">
        <v>0</v>
      </c>
      <c r="ED448" s="637">
        <v>0</v>
      </c>
    </row>
    <row r="449" spans="1:135" ht="15" x14ac:dyDescent="0.25">
      <c r="A449" s="555">
        <v>138</v>
      </c>
      <c r="B449" s="555">
        <v>121</v>
      </c>
      <c r="C449" s="555" t="s">
        <v>1432</v>
      </c>
      <c r="D449" s="812">
        <v>99712</v>
      </c>
      <c r="E449" s="812">
        <v>99712</v>
      </c>
      <c r="F449" s="630" t="s">
        <v>989</v>
      </c>
      <c r="G449" s="45">
        <v>28</v>
      </c>
      <c r="H449" s="45">
        <v>29</v>
      </c>
      <c r="I449" s="45">
        <v>12</v>
      </c>
      <c r="J449" s="45">
        <v>17</v>
      </c>
      <c r="K449" s="45">
        <v>0</v>
      </c>
      <c r="L449" s="45">
        <v>0</v>
      </c>
      <c r="M449" s="45">
        <v>0</v>
      </c>
      <c r="N449" s="45">
        <v>0</v>
      </c>
      <c r="O449" s="45">
        <v>0</v>
      </c>
      <c r="P449" s="45">
        <v>0</v>
      </c>
      <c r="Q449" s="45">
        <v>0</v>
      </c>
      <c r="R449" s="45">
        <v>0</v>
      </c>
      <c r="S449" s="45">
        <v>834.49503068156923</v>
      </c>
      <c r="T449" s="45">
        <v>834.49503068156923</v>
      </c>
      <c r="U449" s="45">
        <v>1408.3846153846155</v>
      </c>
      <c r="V449" s="45">
        <v>0</v>
      </c>
      <c r="W449" s="45">
        <v>0</v>
      </c>
      <c r="X449" s="45">
        <v>1365.173957061457</v>
      </c>
      <c r="Y449" s="45">
        <v>0.66445772695772698</v>
      </c>
      <c r="Z449" s="45">
        <v>28.29786036036036</v>
      </c>
      <c r="AA449" s="45">
        <v>3.7681912681912684E-2</v>
      </c>
      <c r="AB449" s="508">
        <v>0</v>
      </c>
      <c r="AC449" s="508">
        <v>0</v>
      </c>
      <c r="AD449" s="631">
        <v>29</v>
      </c>
      <c r="AE449" s="632">
        <v>0.27494802494802495</v>
      </c>
      <c r="AF449" s="632">
        <v>11.70945945945946</v>
      </c>
      <c r="AG449" s="633">
        <v>11.984407484407484</v>
      </c>
      <c r="AH449" s="632">
        <v>1.5592515592515595E-2</v>
      </c>
      <c r="AI449" s="632">
        <v>0.60406798487442703</v>
      </c>
      <c r="AJ449" s="632">
        <v>25.725987960748515</v>
      </c>
      <c r="AK449" s="632">
        <v>26.330055945622941</v>
      </c>
      <c r="AL449" s="632">
        <v>3.4257163603464667E-2</v>
      </c>
      <c r="AM449" s="632">
        <v>0.2508774555068628</v>
      </c>
      <c r="AN449" s="632">
        <v>10.68434441420437</v>
      </c>
      <c r="AO449" s="632">
        <v>10.935221869711233</v>
      </c>
      <c r="AP449" s="632">
        <v>1.4227454943678421E-2</v>
      </c>
      <c r="AQ449" s="632">
        <v>0</v>
      </c>
      <c r="AR449" s="632">
        <v>0</v>
      </c>
      <c r="AS449" s="632">
        <v>23.937028935650062</v>
      </c>
      <c r="AT449" s="632">
        <v>25.105045529687086</v>
      </c>
      <c r="AU449" s="632">
        <v>26.330055945622945</v>
      </c>
      <c r="AV449" s="632">
        <v>27.614841219062125</v>
      </c>
      <c r="AW449" s="632">
        <v>28.962318087318089</v>
      </c>
      <c r="AX449" s="632">
        <v>9.9778881430217723</v>
      </c>
      <c r="AY449" s="632">
        <v>10.445593359647123</v>
      </c>
      <c r="AZ449" s="632">
        <v>10.935221869711231</v>
      </c>
      <c r="BA449" s="632">
        <v>11.447801309379182</v>
      </c>
      <c r="BB449" s="632">
        <v>11.984407484407484</v>
      </c>
      <c r="BC449" s="632">
        <v>0</v>
      </c>
      <c r="BD449" s="632">
        <v>0</v>
      </c>
      <c r="BE449" s="632">
        <v>0</v>
      </c>
      <c r="BF449" s="632">
        <v>0</v>
      </c>
      <c r="BG449" s="632">
        <v>0</v>
      </c>
      <c r="BH449" s="634">
        <v>29.350604459428087</v>
      </c>
      <c r="BI449" s="634">
        <v>29.744096433738566</v>
      </c>
      <c r="BJ449" s="634">
        <v>30.142863799704465</v>
      </c>
      <c r="BK449" s="635">
        <v>29.944687695257649</v>
      </c>
      <c r="BL449" s="635">
        <v>29.747814511748754</v>
      </c>
      <c r="BM449" s="635">
        <v>29.961370070966392</v>
      </c>
      <c r="BN449" s="635">
        <v>30.176458716819848</v>
      </c>
      <c r="BO449" s="635">
        <v>30.393091455131881</v>
      </c>
      <c r="BP449" s="635">
        <v>30.611279370734557</v>
      </c>
      <c r="BQ449" s="635">
        <v>30.831033628036472</v>
      </c>
      <c r="BR449" s="635">
        <v>31.004107489851844</v>
      </c>
      <c r="BS449" s="635">
        <v>31.178152923428481</v>
      </c>
      <c r="BT449" s="635">
        <v>31.353175382805944</v>
      </c>
      <c r="BU449" s="635">
        <v>31.529180352640704</v>
      </c>
      <c r="BV449" s="635">
        <v>31.706173348378044</v>
      </c>
      <c r="BW449" s="634">
        <v>12.145077707349552</v>
      </c>
      <c r="BX449" s="634">
        <v>12.307901972581474</v>
      </c>
      <c r="BY449" s="634">
        <v>12.472909158498398</v>
      </c>
      <c r="BZ449" s="635">
        <v>12.390905253210059</v>
      </c>
      <c r="CA449" s="635">
        <v>12.309440487620174</v>
      </c>
      <c r="CB449" s="635">
        <v>12.397808305227471</v>
      </c>
      <c r="CC449" s="635">
        <v>12.486810503511661</v>
      </c>
      <c r="CD449" s="635">
        <v>12.576451636606294</v>
      </c>
      <c r="CE449" s="635">
        <v>12.666736291338436</v>
      </c>
      <c r="CF449" s="635">
        <v>12.757669087463366</v>
      </c>
      <c r="CG449" s="635">
        <v>12.829285857869728</v>
      </c>
      <c r="CH449" s="635">
        <v>12.901304657970405</v>
      </c>
      <c r="CI449" s="635">
        <v>12.973727744609354</v>
      </c>
      <c r="CJ449" s="635">
        <v>13.0465573872996</v>
      </c>
      <c r="CK449" s="635">
        <v>13.119795868294363</v>
      </c>
      <c r="CL449" s="634">
        <v>0</v>
      </c>
      <c r="CM449" s="634">
        <v>0</v>
      </c>
      <c r="CN449" s="634">
        <v>0</v>
      </c>
      <c r="CO449" s="635">
        <v>0</v>
      </c>
      <c r="CP449" s="635">
        <v>0</v>
      </c>
      <c r="CQ449" s="635">
        <v>0</v>
      </c>
      <c r="CR449" s="635">
        <v>0</v>
      </c>
      <c r="CS449" s="635">
        <v>0</v>
      </c>
      <c r="CT449" s="635">
        <v>0</v>
      </c>
      <c r="CU449" s="635">
        <v>0</v>
      </c>
      <c r="CV449" s="635">
        <v>0</v>
      </c>
      <c r="CW449" s="635">
        <v>0</v>
      </c>
      <c r="CX449" s="635">
        <v>0</v>
      </c>
      <c r="CY449" s="635">
        <v>0</v>
      </c>
      <c r="CZ449" s="635">
        <v>0</v>
      </c>
      <c r="DA449" s="636">
        <v>3.818709921861578E-2</v>
      </c>
      <c r="DB449" s="636">
        <v>3.8699058591905498E-2</v>
      </c>
      <c r="DC449" s="636">
        <v>3.9217881602529876E-2</v>
      </c>
      <c r="DD449" s="637">
        <v>3.896004123764981E-2</v>
      </c>
      <c r="DE449" s="637">
        <v>3.8703896060042611E-2</v>
      </c>
      <c r="DF449" s="637">
        <v>3.8981746124078051E-2</v>
      </c>
      <c r="DG449" s="637">
        <v>3.9261590836351612E-2</v>
      </c>
      <c r="DH449" s="637">
        <v>3.9543444516174704E-2</v>
      </c>
      <c r="DI449" s="637">
        <v>3.9827321585655155E-2</v>
      </c>
      <c r="DJ449" s="637">
        <v>4.0113236570435168E-2</v>
      </c>
      <c r="DK449" s="637">
        <v>4.0338417238943325E-2</v>
      </c>
      <c r="DL449" s="637">
        <v>4.05648619872866E-2</v>
      </c>
      <c r="DM449" s="637">
        <v>4.0792577911535184E-2</v>
      </c>
      <c r="DN449" s="637">
        <v>4.1021572147593943E-2</v>
      </c>
      <c r="DO449" s="637">
        <v>4.1251851871426021E-2</v>
      </c>
      <c r="DP449" s="636">
        <v>0</v>
      </c>
      <c r="DQ449" s="636">
        <v>0</v>
      </c>
      <c r="DR449" s="636">
        <v>0</v>
      </c>
      <c r="DS449" s="637">
        <v>0</v>
      </c>
      <c r="DT449" s="637">
        <v>0</v>
      </c>
      <c r="DU449" s="637">
        <v>0</v>
      </c>
      <c r="DV449" s="637">
        <v>0</v>
      </c>
      <c r="DW449" s="637">
        <v>0</v>
      </c>
      <c r="DX449" s="637">
        <v>0</v>
      </c>
      <c r="DY449" s="637">
        <v>0</v>
      </c>
      <c r="DZ449" s="637">
        <v>0</v>
      </c>
      <c r="EA449" s="637">
        <v>0</v>
      </c>
      <c r="EB449" s="637">
        <v>0</v>
      </c>
      <c r="EC449" s="637">
        <v>0</v>
      </c>
      <c r="ED449" s="637">
        <v>0</v>
      </c>
    </row>
    <row r="450" spans="1:135" ht="15" x14ac:dyDescent="0.25">
      <c r="A450" s="555">
        <v>160</v>
      </c>
      <c r="B450" s="555">
        <v>121</v>
      </c>
      <c r="C450" s="555" t="s">
        <v>1433</v>
      </c>
      <c r="D450" s="812">
        <v>99712</v>
      </c>
      <c r="E450" s="812">
        <v>99712</v>
      </c>
      <c r="F450" s="630" t="s">
        <v>989</v>
      </c>
      <c r="G450" s="45">
        <v>8</v>
      </c>
      <c r="H450" s="45">
        <v>13</v>
      </c>
      <c r="I450" s="45">
        <v>5</v>
      </c>
      <c r="J450" s="45">
        <v>8</v>
      </c>
      <c r="K450" s="45">
        <v>0</v>
      </c>
      <c r="L450" s="45">
        <v>0</v>
      </c>
      <c r="M450" s="45">
        <v>0</v>
      </c>
      <c r="N450" s="45">
        <v>0</v>
      </c>
      <c r="O450" s="45">
        <v>0</v>
      </c>
      <c r="P450" s="45">
        <v>0</v>
      </c>
      <c r="Q450" s="45">
        <v>0</v>
      </c>
      <c r="R450" s="45">
        <v>0</v>
      </c>
      <c r="S450" s="45">
        <v>834.49503068156923</v>
      </c>
      <c r="T450" s="45">
        <v>834.49503068156923</v>
      </c>
      <c r="U450" s="45">
        <v>1408.3846153846155</v>
      </c>
      <c r="V450" s="45">
        <v>0</v>
      </c>
      <c r="W450" s="45">
        <v>0</v>
      </c>
      <c r="X450" s="45">
        <v>1365.173957061457</v>
      </c>
      <c r="Y450" s="45">
        <v>0.29786036036036034</v>
      </c>
      <c r="Z450" s="45">
        <v>12.685247747747749</v>
      </c>
      <c r="AA450" s="45">
        <v>1.6891891891891893E-2</v>
      </c>
      <c r="AB450" s="508">
        <v>0</v>
      </c>
      <c r="AC450" s="508">
        <v>0</v>
      </c>
      <c r="AD450" s="631">
        <v>13</v>
      </c>
      <c r="AE450" s="632">
        <v>0.11456167706167705</v>
      </c>
      <c r="AF450" s="632">
        <v>4.8789414414414418</v>
      </c>
      <c r="AG450" s="633">
        <v>4.9935031185031189</v>
      </c>
      <c r="AH450" s="632">
        <v>6.4968814968814964E-3</v>
      </c>
      <c r="AI450" s="632">
        <v>0.27078909666784656</v>
      </c>
      <c r="AJ450" s="632">
        <v>11.53233943068037</v>
      </c>
      <c r="AK450" s="632">
        <v>11.803128527348216</v>
      </c>
      <c r="AL450" s="632">
        <v>1.5356659546380713E-2</v>
      </c>
      <c r="AM450" s="632">
        <v>0.10453227312785948</v>
      </c>
      <c r="AN450" s="632">
        <v>4.4518101725851542</v>
      </c>
      <c r="AO450" s="632">
        <v>4.5563424457130139</v>
      </c>
      <c r="AP450" s="632">
        <v>5.9281062265326744E-3</v>
      </c>
      <c r="AQ450" s="632">
        <v>0</v>
      </c>
      <c r="AR450" s="632">
        <v>0</v>
      </c>
      <c r="AS450" s="632">
        <v>10.730392281498304</v>
      </c>
      <c r="AT450" s="632">
        <v>11.253985927101107</v>
      </c>
      <c r="AU450" s="632">
        <v>11.803128527348218</v>
      </c>
      <c r="AV450" s="632">
        <v>12.379066753372678</v>
      </c>
      <c r="AW450" s="632">
        <v>12.983108108108109</v>
      </c>
      <c r="AX450" s="632">
        <v>4.1574533929257385</v>
      </c>
      <c r="AY450" s="632">
        <v>4.352330566519635</v>
      </c>
      <c r="AZ450" s="632">
        <v>4.5563424457130139</v>
      </c>
      <c r="BA450" s="632">
        <v>4.7699172122413263</v>
      </c>
      <c r="BB450" s="632">
        <v>4.9935031185031189</v>
      </c>
      <c r="BC450" s="632">
        <v>0</v>
      </c>
      <c r="BD450" s="632">
        <v>0</v>
      </c>
      <c r="BE450" s="632">
        <v>0</v>
      </c>
      <c r="BF450" s="632">
        <v>0</v>
      </c>
      <c r="BG450" s="632">
        <v>0</v>
      </c>
      <c r="BH450" s="634">
        <v>13.157167516295349</v>
      </c>
      <c r="BI450" s="634">
        <v>13.333560470296598</v>
      </c>
      <c r="BJ450" s="634">
        <v>13.512318255039931</v>
      </c>
      <c r="BK450" s="635">
        <v>13.423480690977565</v>
      </c>
      <c r="BL450" s="635">
        <v>13.335227194921854</v>
      </c>
      <c r="BM450" s="635">
        <v>13.430958997329761</v>
      </c>
      <c r="BN450" s="635">
        <v>13.527378045470966</v>
      </c>
      <c r="BO450" s="635">
        <v>13.624489272990152</v>
      </c>
      <c r="BP450" s="635">
        <v>13.722297648949972</v>
      </c>
      <c r="BQ450" s="635">
        <v>13.820808178085313</v>
      </c>
      <c r="BR450" s="635">
        <v>13.898393012692203</v>
      </c>
      <c r="BS450" s="635">
        <v>13.976413379467939</v>
      </c>
      <c r="BT450" s="635">
        <v>14.054871723326801</v>
      </c>
      <c r="BU450" s="635">
        <v>14.1337705029079</v>
      </c>
      <c r="BV450" s="635">
        <v>14.213112190652225</v>
      </c>
      <c r="BW450" s="634">
        <v>5.0604490447289807</v>
      </c>
      <c r="BX450" s="634">
        <v>5.1282924885756147</v>
      </c>
      <c r="BY450" s="634">
        <v>5.197045482707666</v>
      </c>
      <c r="BZ450" s="635">
        <v>5.1628771888375251</v>
      </c>
      <c r="CA450" s="635">
        <v>5.1289335365084057</v>
      </c>
      <c r="CB450" s="635">
        <v>5.1657534605114472</v>
      </c>
      <c r="CC450" s="635">
        <v>5.2028377097965253</v>
      </c>
      <c r="CD450" s="635">
        <v>5.2401881819192893</v>
      </c>
      <c r="CE450" s="635">
        <v>5.2778067880576822</v>
      </c>
      <c r="CF450" s="635">
        <v>5.3156954531097362</v>
      </c>
      <c r="CG450" s="635">
        <v>5.3455357741123866</v>
      </c>
      <c r="CH450" s="635">
        <v>5.3755436074876695</v>
      </c>
      <c r="CI450" s="635">
        <v>5.4057198935872313</v>
      </c>
      <c r="CJ450" s="635">
        <v>5.436065578041501</v>
      </c>
      <c r="CK450" s="635">
        <v>5.4665816117893176</v>
      </c>
      <c r="CL450" s="634">
        <v>0</v>
      </c>
      <c r="CM450" s="634">
        <v>0</v>
      </c>
      <c r="CN450" s="634">
        <v>0</v>
      </c>
      <c r="CO450" s="635">
        <v>0</v>
      </c>
      <c r="CP450" s="635">
        <v>0</v>
      </c>
      <c r="CQ450" s="635">
        <v>0</v>
      </c>
      <c r="CR450" s="635">
        <v>0</v>
      </c>
      <c r="CS450" s="635">
        <v>0</v>
      </c>
      <c r="CT450" s="635">
        <v>0</v>
      </c>
      <c r="CU450" s="635">
        <v>0</v>
      </c>
      <c r="CV450" s="635">
        <v>0</v>
      </c>
      <c r="CW450" s="635">
        <v>0</v>
      </c>
      <c r="CX450" s="635">
        <v>0</v>
      </c>
      <c r="CY450" s="635">
        <v>0</v>
      </c>
      <c r="CZ450" s="635">
        <v>0</v>
      </c>
      <c r="DA450" s="636">
        <v>1.7118354822138106E-2</v>
      </c>
      <c r="DB450" s="636">
        <v>1.7347853851543846E-2</v>
      </c>
      <c r="DC450" s="636">
        <v>1.7580429683892704E-2</v>
      </c>
      <c r="DD450" s="637">
        <v>1.7464846072049917E-2</v>
      </c>
      <c r="DE450" s="637">
        <v>1.7350022371743243E-2</v>
      </c>
      <c r="DF450" s="637">
        <v>1.7474575848724645E-2</v>
      </c>
      <c r="DG450" s="637">
        <v>1.7600023478364517E-2</v>
      </c>
      <c r="DH450" s="637">
        <v>1.7726371679664524E-2</v>
      </c>
      <c r="DI450" s="637">
        <v>1.7853626917707487E-2</v>
      </c>
      <c r="DJ450" s="637">
        <v>1.7981795703988182E-2</v>
      </c>
      <c r="DK450" s="637">
        <v>1.8082738762284941E-2</v>
      </c>
      <c r="DL450" s="637">
        <v>1.8184248477059513E-2</v>
      </c>
      <c r="DM450" s="637">
        <v>1.8286328029308876E-2</v>
      </c>
      <c r="DN450" s="637">
        <v>1.8388980617886942E-2</v>
      </c>
      <c r="DO450" s="637">
        <v>1.849220945960477E-2</v>
      </c>
      <c r="DP450" s="636">
        <v>0</v>
      </c>
      <c r="DQ450" s="636">
        <v>0</v>
      </c>
      <c r="DR450" s="636">
        <v>0</v>
      </c>
      <c r="DS450" s="637">
        <v>0</v>
      </c>
      <c r="DT450" s="637">
        <v>0</v>
      </c>
      <c r="DU450" s="637">
        <v>0</v>
      </c>
      <c r="DV450" s="637">
        <v>0</v>
      </c>
      <c r="DW450" s="637">
        <v>0</v>
      </c>
      <c r="DX450" s="637">
        <v>0</v>
      </c>
      <c r="DY450" s="637">
        <v>0</v>
      </c>
      <c r="DZ450" s="637">
        <v>0</v>
      </c>
      <c r="EA450" s="637">
        <v>0</v>
      </c>
      <c r="EB450" s="637">
        <v>0</v>
      </c>
      <c r="EC450" s="637">
        <v>0</v>
      </c>
      <c r="ED450" s="637">
        <v>0</v>
      </c>
    </row>
    <row r="451" spans="1:135" ht="15" x14ac:dyDescent="0.25">
      <c r="A451" s="555">
        <v>103</v>
      </c>
      <c r="B451" s="555">
        <v>122</v>
      </c>
      <c r="C451" s="555" t="s">
        <v>1434</v>
      </c>
      <c r="D451" s="812">
        <v>99712</v>
      </c>
      <c r="E451" s="812">
        <v>99712</v>
      </c>
      <c r="F451" s="630" t="s">
        <v>989</v>
      </c>
      <c r="G451" s="45">
        <v>0</v>
      </c>
      <c r="H451" s="45">
        <v>1</v>
      </c>
      <c r="I451" s="45">
        <v>0</v>
      </c>
      <c r="J451" s="45">
        <v>1</v>
      </c>
      <c r="K451" s="45">
        <v>0</v>
      </c>
      <c r="L451" s="45">
        <v>0</v>
      </c>
      <c r="M451" s="45">
        <v>0</v>
      </c>
      <c r="N451" s="45">
        <v>0</v>
      </c>
      <c r="O451" s="45">
        <v>0</v>
      </c>
      <c r="P451" s="45">
        <v>0</v>
      </c>
      <c r="Q451" s="45">
        <v>0</v>
      </c>
      <c r="R451" s="45">
        <v>0</v>
      </c>
      <c r="S451" s="45">
        <v>834.49503068156923</v>
      </c>
      <c r="T451" s="45">
        <v>834.49503068156923</v>
      </c>
      <c r="U451" s="45">
        <v>1408.3846153846155</v>
      </c>
      <c r="V451" s="45">
        <v>0</v>
      </c>
      <c r="W451" s="45">
        <v>0</v>
      </c>
      <c r="X451" s="45">
        <v>1365.173957061457</v>
      </c>
      <c r="Y451" s="45">
        <v>2.2912335412335411E-2</v>
      </c>
      <c r="Z451" s="45">
        <v>0.97578828828828834</v>
      </c>
      <c r="AA451" s="45">
        <v>1.2993762993762994E-3</v>
      </c>
      <c r="AB451" s="508">
        <v>0</v>
      </c>
      <c r="AC451" s="508">
        <v>0</v>
      </c>
      <c r="AD451" s="631">
        <v>1</v>
      </c>
      <c r="AE451" s="632">
        <v>0</v>
      </c>
      <c r="AF451" s="632">
        <v>0</v>
      </c>
      <c r="AG451" s="633">
        <v>0</v>
      </c>
      <c r="AH451" s="632">
        <v>0</v>
      </c>
      <c r="AI451" s="632">
        <v>2.0829930512911272E-2</v>
      </c>
      <c r="AJ451" s="632">
        <v>0.8871030331292592</v>
      </c>
      <c r="AK451" s="632">
        <v>0.90793296364217047</v>
      </c>
      <c r="AL451" s="632">
        <v>1.1812815035677471E-3</v>
      </c>
      <c r="AM451" s="632">
        <v>0</v>
      </c>
      <c r="AN451" s="632">
        <v>0</v>
      </c>
      <c r="AO451" s="632">
        <v>0</v>
      </c>
      <c r="AP451" s="632">
        <v>0</v>
      </c>
      <c r="AQ451" s="632">
        <v>0</v>
      </c>
      <c r="AR451" s="632">
        <v>0</v>
      </c>
      <c r="AS451" s="632">
        <v>0.82541479088448488</v>
      </c>
      <c r="AT451" s="632">
        <v>0.86569122516162356</v>
      </c>
      <c r="AU451" s="632">
        <v>0.90793296364217047</v>
      </c>
      <c r="AV451" s="632">
        <v>0.95223590410559056</v>
      </c>
      <c r="AW451" s="632">
        <v>0.99870062370062374</v>
      </c>
      <c r="AX451" s="632">
        <v>0</v>
      </c>
      <c r="AY451" s="632">
        <v>0</v>
      </c>
      <c r="AZ451" s="632">
        <v>0</v>
      </c>
      <c r="BA451" s="632">
        <v>0</v>
      </c>
      <c r="BB451" s="632">
        <v>0</v>
      </c>
      <c r="BC451" s="632">
        <v>0</v>
      </c>
      <c r="BD451" s="632">
        <v>0</v>
      </c>
      <c r="BE451" s="632">
        <v>0</v>
      </c>
      <c r="BF451" s="632">
        <v>0</v>
      </c>
      <c r="BG451" s="632">
        <v>0</v>
      </c>
      <c r="BH451" s="634">
        <v>1.0120898089457961</v>
      </c>
      <c r="BI451" s="634">
        <v>1.0256584977151229</v>
      </c>
      <c r="BJ451" s="634">
        <v>1.0394090965415332</v>
      </c>
      <c r="BK451" s="635">
        <v>1.0325754377675052</v>
      </c>
      <c r="BL451" s="635">
        <v>1.0257867073016811</v>
      </c>
      <c r="BM451" s="635">
        <v>1.0331506921022895</v>
      </c>
      <c r="BN451" s="635">
        <v>1.040567541959305</v>
      </c>
      <c r="BO451" s="635">
        <v>1.0480376363838579</v>
      </c>
      <c r="BP451" s="635">
        <v>1.0555613576115364</v>
      </c>
      <c r="BQ451" s="635">
        <v>1.0631390906219473</v>
      </c>
      <c r="BR451" s="635">
        <v>1.0691071548224773</v>
      </c>
      <c r="BS451" s="635">
        <v>1.0751087214975339</v>
      </c>
      <c r="BT451" s="635">
        <v>1.0811439787174464</v>
      </c>
      <c r="BU451" s="635">
        <v>1.0872131156083003</v>
      </c>
      <c r="BV451" s="635">
        <v>1.0933163223578635</v>
      </c>
      <c r="BW451" s="634">
        <v>0</v>
      </c>
      <c r="BX451" s="634">
        <v>0</v>
      </c>
      <c r="BY451" s="634">
        <v>0</v>
      </c>
      <c r="BZ451" s="635">
        <v>0</v>
      </c>
      <c r="CA451" s="635">
        <v>0</v>
      </c>
      <c r="CB451" s="635">
        <v>0</v>
      </c>
      <c r="CC451" s="635">
        <v>0</v>
      </c>
      <c r="CD451" s="635">
        <v>0</v>
      </c>
      <c r="CE451" s="635">
        <v>0</v>
      </c>
      <c r="CF451" s="635">
        <v>0</v>
      </c>
      <c r="CG451" s="635">
        <v>0</v>
      </c>
      <c r="CH451" s="635">
        <v>0</v>
      </c>
      <c r="CI451" s="635">
        <v>0</v>
      </c>
      <c r="CJ451" s="635">
        <v>0</v>
      </c>
      <c r="CK451" s="635">
        <v>0</v>
      </c>
      <c r="CL451" s="634">
        <v>0</v>
      </c>
      <c r="CM451" s="634">
        <v>0</v>
      </c>
      <c r="CN451" s="634">
        <v>0</v>
      </c>
      <c r="CO451" s="635">
        <v>0</v>
      </c>
      <c r="CP451" s="635">
        <v>0</v>
      </c>
      <c r="CQ451" s="635">
        <v>0</v>
      </c>
      <c r="CR451" s="635">
        <v>0</v>
      </c>
      <c r="CS451" s="635">
        <v>0</v>
      </c>
      <c r="CT451" s="635">
        <v>0</v>
      </c>
      <c r="CU451" s="635">
        <v>0</v>
      </c>
      <c r="CV451" s="635">
        <v>0</v>
      </c>
      <c r="CW451" s="635">
        <v>0</v>
      </c>
      <c r="CX451" s="635">
        <v>0</v>
      </c>
      <c r="CY451" s="635">
        <v>0</v>
      </c>
      <c r="CZ451" s="635">
        <v>0</v>
      </c>
      <c r="DA451" s="636">
        <v>1.3167965247798544E-3</v>
      </c>
      <c r="DB451" s="636">
        <v>1.3344502962726033E-3</v>
      </c>
      <c r="DC451" s="636">
        <v>1.3523407449148232E-3</v>
      </c>
      <c r="DD451" s="637">
        <v>1.3434496978499935E-3</v>
      </c>
      <c r="DE451" s="637">
        <v>1.3346171055187107E-3</v>
      </c>
      <c r="DF451" s="637">
        <v>1.3441981422095879E-3</v>
      </c>
      <c r="DG451" s="637">
        <v>1.3538479598741934E-3</v>
      </c>
      <c r="DH451" s="637">
        <v>1.3635670522818863E-3</v>
      </c>
      <c r="DI451" s="637">
        <v>1.3733559167467295E-3</v>
      </c>
      <c r="DJ451" s="637">
        <v>1.3832150541529368E-3</v>
      </c>
      <c r="DK451" s="637">
        <v>1.3909799047911492E-3</v>
      </c>
      <c r="DL451" s="637">
        <v>1.3987883443891929E-3</v>
      </c>
      <c r="DM451" s="637">
        <v>1.4066406176391441E-3</v>
      </c>
      <c r="DN451" s="637">
        <v>1.4145369706066876E-3</v>
      </c>
      <c r="DO451" s="637">
        <v>1.4224776507388284E-3</v>
      </c>
      <c r="DP451" s="636">
        <v>0</v>
      </c>
      <c r="DQ451" s="636">
        <v>0</v>
      </c>
      <c r="DR451" s="636">
        <v>0</v>
      </c>
      <c r="DS451" s="637">
        <v>0</v>
      </c>
      <c r="DT451" s="637">
        <v>0</v>
      </c>
      <c r="DU451" s="637">
        <v>0</v>
      </c>
      <c r="DV451" s="637">
        <v>0</v>
      </c>
      <c r="DW451" s="637">
        <v>0</v>
      </c>
      <c r="DX451" s="637">
        <v>0</v>
      </c>
      <c r="DY451" s="637">
        <v>0</v>
      </c>
      <c r="DZ451" s="637">
        <v>0</v>
      </c>
      <c r="EA451" s="637">
        <v>0</v>
      </c>
      <c r="EB451" s="637">
        <v>0</v>
      </c>
      <c r="EC451" s="637">
        <v>0</v>
      </c>
      <c r="ED451" s="637">
        <v>0</v>
      </c>
    </row>
    <row r="452" spans="1:135" ht="15" x14ac:dyDescent="0.25">
      <c r="A452" s="555">
        <v>99</v>
      </c>
      <c r="B452" s="555">
        <v>123</v>
      </c>
      <c r="C452" s="555" t="s">
        <v>1435</v>
      </c>
      <c r="D452" s="812">
        <v>99712</v>
      </c>
      <c r="E452" s="812">
        <v>99712</v>
      </c>
      <c r="F452" s="630" t="s">
        <v>989</v>
      </c>
      <c r="G452" s="45">
        <v>0</v>
      </c>
      <c r="H452" s="45">
        <v>1</v>
      </c>
      <c r="I452" s="45">
        <v>0</v>
      </c>
      <c r="J452" s="45">
        <v>1</v>
      </c>
      <c r="K452" s="45">
        <v>0</v>
      </c>
      <c r="L452" s="45">
        <v>0</v>
      </c>
      <c r="M452" s="45">
        <v>0</v>
      </c>
      <c r="N452" s="45">
        <v>0</v>
      </c>
      <c r="O452" s="45">
        <v>0</v>
      </c>
      <c r="P452" s="45">
        <v>0</v>
      </c>
      <c r="Q452" s="45">
        <v>0</v>
      </c>
      <c r="R452" s="45">
        <v>0</v>
      </c>
      <c r="S452" s="45">
        <v>834.49503068156923</v>
      </c>
      <c r="T452" s="45">
        <v>834.49503068156923</v>
      </c>
      <c r="U452" s="45">
        <v>1408.3846153846155</v>
      </c>
      <c r="V452" s="45">
        <v>0</v>
      </c>
      <c r="W452" s="45">
        <v>0</v>
      </c>
      <c r="X452" s="45">
        <v>1365.173957061457</v>
      </c>
      <c r="Y452" s="45">
        <v>2.2912335412335411E-2</v>
      </c>
      <c r="Z452" s="45">
        <v>0.97578828828828834</v>
      </c>
      <c r="AA452" s="45">
        <v>1.2993762993762994E-3</v>
      </c>
      <c r="AB452" s="508">
        <v>0</v>
      </c>
      <c r="AC452" s="508">
        <v>0</v>
      </c>
      <c r="AD452" s="631">
        <v>1</v>
      </c>
      <c r="AE452" s="632">
        <v>0</v>
      </c>
      <c r="AF452" s="632">
        <v>0</v>
      </c>
      <c r="AG452" s="633">
        <v>0</v>
      </c>
      <c r="AH452" s="632">
        <v>0</v>
      </c>
      <c r="AI452" s="632">
        <v>2.0829930512911272E-2</v>
      </c>
      <c r="AJ452" s="632">
        <v>0.8871030331292592</v>
      </c>
      <c r="AK452" s="632">
        <v>0.90793296364217047</v>
      </c>
      <c r="AL452" s="632">
        <v>1.1812815035677471E-3</v>
      </c>
      <c r="AM452" s="632">
        <v>0</v>
      </c>
      <c r="AN452" s="632">
        <v>0</v>
      </c>
      <c r="AO452" s="632">
        <v>0</v>
      </c>
      <c r="AP452" s="632">
        <v>0</v>
      </c>
      <c r="AQ452" s="632">
        <v>0</v>
      </c>
      <c r="AR452" s="632">
        <v>0</v>
      </c>
      <c r="AS452" s="632">
        <v>0.82541479088448488</v>
      </c>
      <c r="AT452" s="632">
        <v>0.86569122516162356</v>
      </c>
      <c r="AU452" s="632">
        <v>0.90793296364217047</v>
      </c>
      <c r="AV452" s="632">
        <v>0.95223590410559056</v>
      </c>
      <c r="AW452" s="632">
        <v>0.99870062370062374</v>
      </c>
      <c r="AX452" s="632">
        <v>0</v>
      </c>
      <c r="AY452" s="632">
        <v>0</v>
      </c>
      <c r="AZ452" s="632">
        <v>0</v>
      </c>
      <c r="BA452" s="632">
        <v>0</v>
      </c>
      <c r="BB452" s="632">
        <v>0</v>
      </c>
      <c r="BC452" s="632">
        <v>0</v>
      </c>
      <c r="BD452" s="632">
        <v>0</v>
      </c>
      <c r="BE452" s="632">
        <v>0</v>
      </c>
      <c r="BF452" s="632">
        <v>0</v>
      </c>
      <c r="BG452" s="632">
        <v>0</v>
      </c>
      <c r="BH452" s="634">
        <v>1.0120898089457961</v>
      </c>
      <c r="BI452" s="634">
        <v>1.0256584977151229</v>
      </c>
      <c r="BJ452" s="634">
        <v>1.0394090965415332</v>
      </c>
      <c r="BK452" s="635">
        <v>1.0325754377675052</v>
      </c>
      <c r="BL452" s="635">
        <v>1.0257867073016811</v>
      </c>
      <c r="BM452" s="635">
        <v>1.0331506921022895</v>
      </c>
      <c r="BN452" s="635">
        <v>1.040567541959305</v>
      </c>
      <c r="BO452" s="635">
        <v>1.0480376363838579</v>
      </c>
      <c r="BP452" s="635">
        <v>1.0555613576115364</v>
      </c>
      <c r="BQ452" s="635">
        <v>1.0631390906219473</v>
      </c>
      <c r="BR452" s="635">
        <v>1.0691071548224773</v>
      </c>
      <c r="BS452" s="635">
        <v>1.0751087214975339</v>
      </c>
      <c r="BT452" s="635">
        <v>1.0811439787174464</v>
      </c>
      <c r="BU452" s="635">
        <v>1.0872131156083003</v>
      </c>
      <c r="BV452" s="635">
        <v>1.0933163223578635</v>
      </c>
      <c r="BW452" s="634">
        <v>0</v>
      </c>
      <c r="BX452" s="634">
        <v>0</v>
      </c>
      <c r="BY452" s="634">
        <v>0</v>
      </c>
      <c r="BZ452" s="635">
        <v>0</v>
      </c>
      <c r="CA452" s="635">
        <v>0</v>
      </c>
      <c r="CB452" s="635">
        <v>0</v>
      </c>
      <c r="CC452" s="635">
        <v>0</v>
      </c>
      <c r="CD452" s="635">
        <v>0</v>
      </c>
      <c r="CE452" s="635">
        <v>0</v>
      </c>
      <c r="CF452" s="635">
        <v>0</v>
      </c>
      <c r="CG452" s="635">
        <v>0</v>
      </c>
      <c r="CH452" s="635">
        <v>0</v>
      </c>
      <c r="CI452" s="635">
        <v>0</v>
      </c>
      <c r="CJ452" s="635">
        <v>0</v>
      </c>
      <c r="CK452" s="635">
        <v>0</v>
      </c>
      <c r="CL452" s="634">
        <v>0</v>
      </c>
      <c r="CM452" s="634">
        <v>0</v>
      </c>
      <c r="CN452" s="634">
        <v>0</v>
      </c>
      <c r="CO452" s="635">
        <v>0</v>
      </c>
      <c r="CP452" s="635">
        <v>0</v>
      </c>
      <c r="CQ452" s="635">
        <v>0</v>
      </c>
      <c r="CR452" s="635">
        <v>0</v>
      </c>
      <c r="CS452" s="635">
        <v>0</v>
      </c>
      <c r="CT452" s="635">
        <v>0</v>
      </c>
      <c r="CU452" s="635">
        <v>0</v>
      </c>
      <c r="CV452" s="635">
        <v>0</v>
      </c>
      <c r="CW452" s="635">
        <v>0</v>
      </c>
      <c r="CX452" s="635">
        <v>0</v>
      </c>
      <c r="CY452" s="635">
        <v>0</v>
      </c>
      <c r="CZ452" s="635">
        <v>0</v>
      </c>
      <c r="DA452" s="636">
        <v>1.3167965247798544E-3</v>
      </c>
      <c r="DB452" s="636">
        <v>1.3344502962726033E-3</v>
      </c>
      <c r="DC452" s="636">
        <v>1.3523407449148232E-3</v>
      </c>
      <c r="DD452" s="637">
        <v>1.3434496978499935E-3</v>
      </c>
      <c r="DE452" s="637">
        <v>1.3346171055187107E-3</v>
      </c>
      <c r="DF452" s="637">
        <v>1.3441981422095879E-3</v>
      </c>
      <c r="DG452" s="637">
        <v>1.3538479598741934E-3</v>
      </c>
      <c r="DH452" s="637">
        <v>1.3635670522818863E-3</v>
      </c>
      <c r="DI452" s="637">
        <v>1.3733559167467295E-3</v>
      </c>
      <c r="DJ452" s="637">
        <v>1.3832150541529368E-3</v>
      </c>
      <c r="DK452" s="637">
        <v>1.3909799047911492E-3</v>
      </c>
      <c r="DL452" s="637">
        <v>1.3987883443891929E-3</v>
      </c>
      <c r="DM452" s="637">
        <v>1.4066406176391441E-3</v>
      </c>
      <c r="DN452" s="637">
        <v>1.4145369706066876E-3</v>
      </c>
      <c r="DO452" s="637">
        <v>1.4224776507388284E-3</v>
      </c>
      <c r="DP452" s="636">
        <v>0</v>
      </c>
      <c r="DQ452" s="636">
        <v>0</v>
      </c>
      <c r="DR452" s="636">
        <v>0</v>
      </c>
      <c r="DS452" s="637">
        <v>0</v>
      </c>
      <c r="DT452" s="637">
        <v>0</v>
      </c>
      <c r="DU452" s="637">
        <v>0</v>
      </c>
      <c r="DV452" s="637">
        <v>0</v>
      </c>
      <c r="DW452" s="637">
        <v>0</v>
      </c>
      <c r="DX452" s="637">
        <v>0</v>
      </c>
      <c r="DY452" s="637">
        <v>0</v>
      </c>
      <c r="DZ452" s="637">
        <v>0</v>
      </c>
      <c r="EA452" s="637">
        <v>0</v>
      </c>
      <c r="EB452" s="637">
        <v>0</v>
      </c>
      <c r="EC452" s="637">
        <v>0</v>
      </c>
      <c r="ED452" s="637">
        <v>0</v>
      </c>
    </row>
    <row r="453" spans="1:135" ht="15" x14ac:dyDescent="0.25">
      <c r="A453" s="555">
        <v>126</v>
      </c>
      <c r="B453" s="555">
        <v>124</v>
      </c>
      <c r="C453" s="555" t="s">
        <v>1436</v>
      </c>
      <c r="D453" s="812">
        <v>99712</v>
      </c>
      <c r="E453" s="812">
        <v>99712</v>
      </c>
      <c r="F453" s="630" t="s">
        <v>989</v>
      </c>
      <c r="G453" s="45">
        <v>1</v>
      </c>
      <c r="H453" s="45">
        <v>1</v>
      </c>
      <c r="I453" s="45">
        <v>1</v>
      </c>
      <c r="J453" s="45">
        <v>0</v>
      </c>
      <c r="K453" s="45">
        <v>0</v>
      </c>
      <c r="L453" s="45">
        <v>2</v>
      </c>
      <c r="M453" s="45">
        <v>2</v>
      </c>
      <c r="N453" s="45">
        <v>0</v>
      </c>
      <c r="O453" s="45">
        <v>0</v>
      </c>
      <c r="P453" s="45">
        <v>0</v>
      </c>
      <c r="Q453" s="45">
        <v>2</v>
      </c>
      <c r="R453" s="45">
        <v>0</v>
      </c>
      <c r="S453" s="45">
        <v>496</v>
      </c>
      <c r="T453" s="45">
        <v>496</v>
      </c>
      <c r="U453" s="45">
        <v>0</v>
      </c>
      <c r="V453" s="45">
        <v>0</v>
      </c>
      <c r="W453" s="45">
        <v>0</v>
      </c>
      <c r="X453" s="45">
        <v>496</v>
      </c>
      <c r="Y453" s="45">
        <v>0</v>
      </c>
      <c r="Z453" s="45">
        <v>1</v>
      </c>
      <c r="AA453" s="45">
        <v>0</v>
      </c>
      <c r="AB453" s="508">
        <v>0</v>
      </c>
      <c r="AC453" s="508">
        <v>0</v>
      </c>
      <c r="AD453" s="631">
        <v>1</v>
      </c>
      <c r="AE453" s="632">
        <v>0</v>
      </c>
      <c r="AF453" s="632">
        <v>1</v>
      </c>
      <c r="AG453" s="633">
        <v>1</v>
      </c>
      <c r="AH453" s="632">
        <v>0</v>
      </c>
      <c r="AI453" s="632">
        <v>0</v>
      </c>
      <c r="AJ453" s="632">
        <v>0.90911424514573824</v>
      </c>
      <c r="AK453" s="632">
        <v>0.90911424514573824</v>
      </c>
      <c r="AL453" s="632">
        <v>0</v>
      </c>
      <c r="AM453" s="632">
        <v>0</v>
      </c>
      <c r="AN453" s="632">
        <v>0.91245411038790925</v>
      </c>
      <c r="AO453" s="632">
        <v>0.91245411038790925</v>
      </c>
      <c r="AP453" s="632">
        <v>0</v>
      </c>
      <c r="AQ453" s="632">
        <v>0</v>
      </c>
      <c r="AR453" s="632">
        <v>0</v>
      </c>
      <c r="AS453" s="632">
        <v>0.82648871072690544</v>
      </c>
      <c r="AT453" s="632">
        <v>0.86681754733851879</v>
      </c>
      <c r="AU453" s="632">
        <v>0.90911424514573824</v>
      </c>
      <c r="AV453" s="632">
        <v>0.95347482669745309</v>
      </c>
      <c r="AW453" s="632">
        <v>1</v>
      </c>
      <c r="AX453" s="632">
        <v>0.83257250356379087</v>
      </c>
      <c r="AY453" s="632">
        <v>0.87159864792961517</v>
      </c>
      <c r="AZ453" s="632">
        <v>0.91245411038790925</v>
      </c>
      <c r="BA453" s="632">
        <v>0.9552246387043779</v>
      </c>
      <c r="BB453" s="632">
        <v>1</v>
      </c>
      <c r="BC453" s="632">
        <v>0</v>
      </c>
      <c r="BD453" s="632">
        <v>0</v>
      </c>
      <c r="BE453" s="632">
        <v>0</v>
      </c>
      <c r="BF453" s="632">
        <v>0</v>
      </c>
      <c r="BG453" s="632">
        <v>0</v>
      </c>
      <c r="BH453" s="634">
        <v>1.0134066054705759</v>
      </c>
      <c r="BI453" s="634">
        <v>1.0269929480113955</v>
      </c>
      <c r="BJ453" s="634">
        <v>1.040761437286448</v>
      </c>
      <c r="BK453" s="635">
        <v>1.0339188874653549</v>
      </c>
      <c r="BL453" s="635">
        <v>1.0271213244071997</v>
      </c>
      <c r="BM453" s="635">
        <v>1.034494890244499</v>
      </c>
      <c r="BN453" s="635">
        <v>1.0419213899191793</v>
      </c>
      <c r="BO453" s="635">
        <v>1.0494012034361397</v>
      </c>
      <c r="BP453" s="635">
        <v>1.0569347135282832</v>
      </c>
      <c r="BQ453" s="635">
        <v>1.0645223056761002</v>
      </c>
      <c r="BR453" s="635">
        <v>1.0704981347272684</v>
      </c>
      <c r="BS453" s="635">
        <v>1.076507509841923</v>
      </c>
      <c r="BT453" s="635">
        <v>1.0825506193350853</v>
      </c>
      <c r="BU453" s="635">
        <v>1.0886276525789067</v>
      </c>
      <c r="BV453" s="635">
        <v>1.0947388000086022</v>
      </c>
      <c r="BW453" s="634">
        <v>1.0134066054705759</v>
      </c>
      <c r="BX453" s="634">
        <v>1.0269929480113955</v>
      </c>
      <c r="BY453" s="634">
        <v>1.040761437286448</v>
      </c>
      <c r="BZ453" s="635">
        <v>1.0339188874653549</v>
      </c>
      <c r="CA453" s="635">
        <v>1.0271213244071997</v>
      </c>
      <c r="CB453" s="635">
        <v>1.034494890244499</v>
      </c>
      <c r="CC453" s="635">
        <v>1.0419213899191793</v>
      </c>
      <c r="CD453" s="635">
        <v>1.0494012034361397</v>
      </c>
      <c r="CE453" s="635">
        <v>1.0569347135282832</v>
      </c>
      <c r="CF453" s="635">
        <v>1.0645223056761002</v>
      </c>
      <c r="CG453" s="635">
        <v>1.0704981347272684</v>
      </c>
      <c r="CH453" s="635">
        <v>1.076507509841923</v>
      </c>
      <c r="CI453" s="635">
        <v>1.0825506193350853</v>
      </c>
      <c r="CJ453" s="635">
        <v>1.0886276525789067</v>
      </c>
      <c r="CK453" s="635">
        <v>1.0947388000086022</v>
      </c>
      <c r="CL453" s="634">
        <v>0</v>
      </c>
      <c r="CM453" s="634">
        <v>0</v>
      </c>
      <c r="CN453" s="634">
        <v>0</v>
      </c>
      <c r="CO453" s="635">
        <v>0</v>
      </c>
      <c r="CP453" s="635">
        <v>0</v>
      </c>
      <c r="CQ453" s="635">
        <v>0</v>
      </c>
      <c r="CR453" s="635">
        <v>0</v>
      </c>
      <c r="CS453" s="635">
        <v>0</v>
      </c>
      <c r="CT453" s="635">
        <v>0</v>
      </c>
      <c r="CU453" s="635">
        <v>0</v>
      </c>
      <c r="CV453" s="635">
        <v>0</v>
      </c>
      <c r="CW453" s="635">
        <v>0</v>
      </c>
      <c r="CX453" s="635">
        <v>0</v>
      </c>
      <c r="CY453" s="635">
        <v>0</v>
      </c>
      <c r="CZ453" s="635">
        <v>0</v>
      </c>
      <c r="DA453" s="636">
        <v>0</v>
      </c>
      <c r="DB453" s="636">
        <v>0</v>
      </c>
      <c r="DC453" s="636">
        <v>0</v>
      </c>
      <c r="DD453" s="637">
        <v>0</v>
      </c>
      <c r="DE453" s="637">
        <v>0</v>
      </c>
      <c r="DF453" s="637">
        <v>0</v>
      </c>
      <c r="DG453" s="637">
        <v>0</v>
      </c>
      <c r="DH453" s="637">
        <v>0</v>
      </c>
      <c r="DI453" s="637">
        <v>0</v>
      </c>
      <c r="DJ453" s="637">
        <v>0</v>
      </c>
      <c r="DK453" s="637">
        <v>0</v>
      </c>
      <c r="DL453" s="637">
        <v>0</v>
      </c>
      <c r="DM453" s="637">
        <v>0</v>
      </c>
      <c r="DN453" s="637">
        <v>0</v>
      </c>
      <c r="DO453" s="637">
        <v>0</v>
      </c>
      <c r="DP453" s="636">
        <v>0</v>
      </c>
      <c r="DQ453" s="636">
        <v>0</v>
      </c>
      <c r="DR453" s="636">
        <v>0</v>
      </c>
      <c r="DS453" s="637">
        <v>0</v>
      </c>
      <c r="DT453" s="637">
        <v>0</v>
      </c>
      <c r="DU453" s="637">
        <v>0</v>
      </c>
      <c r="DV453" s="637">
        <v>0</v>
      </c>
      <c r="DW453" s="637">
        <v>0</v>
      </c>
      <c r="DX453" s="637">
        <v>0</v>
      </c>
      <c r="DY453" s="637">
        <v>0</v>
      </c>
      <c r="DZ453" s="637">
        <v>0</v>
      </c>
      <c r="EA453" s="637">
        <v>0</v>
      </c>
      <c r="EB453" s="637">
        <v>0</v>
      </c>
      <c r="EC453" s="637">
        <v>0</v>
      </c>
      <c r="ED453" s="637">
        <v>0</v>
      </c>
    </row>
    <row r="454" spans="1:135" ht="15" x14ac:dyDescent="0.25">
      <c r="A454" s="555">
        <v>127</v>
      </c>
      <c r="B454" s="555">
        <v>124</v>
      </c>
      <c r="C454" s="555" t="s">
        <v>1437</v>
      </c>
      <c r="D454" s="812">
        <v>99712</v>
      </c>
      <c r="E454" s="812">
        <v>99712</v>
      </c>
      <c r="F454" s="630" t="s">
        <v>989</v>
      </c>
      <c r="G454" s="45">
        <v>4</v>
      </c>
      <c r="H454" s="45">
        <v>1</v>
      </c>
      <c r="I454" s="45">
        <v>1</v>
      </c>
      <c r="J454" s="45">
        <v>0</v>
      </c>
      <c r="K454" s="45">
        <v>0</v>
      </c>
      <c r="L454" s="45">
        <v>1</v>
      </c>
      <c r="M454" s="45">
        <v>1</v>
      </c>
      <c r="N454" s="45">
        <v>0</v>
      </c>
      <c r="O454" s="45">
        <v>0</v>
      </c>
      <c r="P454" s="45">
        <v>0</v>
      </c>
      <c r="Q454" s="45">
        <v>1</v>
      </c>
      <c r="R454" s="45">
        <v>0</v>
      </c>
      <c r="S454" s="45">
        <v>1620</v>
      </c>
      <c r="T454" s="45">
        <v>1620</v>
      </c>
      <c r="U454" s="45">
        <v>0</v>
      </c>
      <c r="V454" s="45">
        <v>0</v>
      </c>
      <c r="W454" s="45">
        <v>0</v>
      </c>
      <c r="X454" s="45">
        <v>1620</v>
      </c>
      <c r="Y454" s="45">
        <v>0</v>
      </c>
      <c r="Z454" s="45">
        <v>1</v>
      </c>
      <c r="AA454" s="45">
        <v>0</v>
      </c>
      <c r="AB454" s="508">
        <v>0</v>
      </c>
      <c r="AC454" s="508">
        <v>0</v>
      </c>
      <c r="AD454" s="631">
        <v>1</v>
      </c>
      <c r="AE454" s="632">
        <v>0</v>
      </c>
      <c r="AF454" s="632">
        <v>1</v>
      </c>
      <c r="AG454" s="633">
        <v>1</v>
      </c>
      <c r="AH454" s="632">
        <v>0</v>
      </c>
      <c r="AI454" s="632">
        <v>0</v>
      </c>
      <c r="AJ454" s="632">
        <v>0.90911424514573824</v>
      </c>
      <c r="AK454" s="632">
        <v>0.90911424514573824</v>
      </c>
      <c r="AL454" s="632">
        <v>0</v>
      </c>
      <c r="AM454" s="632">
        <v>0</v>
      </c>
      <c r="AN454" s="632">
        <v>0.91245411038790925</v>
      </c>
      <c r="AO454" s="632">
        <v>0.91245411038790925</v>
      </c>
      <c r="AP454" s="632">
        <v>0</v>
      </c>
      <c r="AQ454" s="632">
        <v>0</v>
      </c>
      <c r="AR454" s="632">
        <v>0</v>
      </c>
      <c r="AS454" s="632">
        <v>0.82648871072690544</v>
      </c>
      <c r="AT454" s="632">
        <v>0.86681754733851879</v>
      </c>
      <c r="AU454" s="632">
        <v>0.90911424514573824</v>
      </c>
      <c r="AV454" s="632">
        <v>0.95347482669745309</v>
      </c>
      <c r="AW454" s="632">
        <v>1</v>
      </c>
      <c r="AX454" s="632">
        <v>0.83257250356379087</v>
      </c>
      <c r="AY454" s="632">
        <v>0.87159864792961517</v>
      </c>
      <c r="AZ454" s="632">
        <v>0.91245411038790925</v>
      </c>
      <c r="BA454" s="632">
        <v>0.9552246387043779</v>
      </c>
      <c r="BB454" s="632">
        <v>1</v>
      </c>
      <c r="BC454" s="632">
        <v>0</v>
      </c>
      <c r="BD454" s="632">
        <v>0</v>
      </c>
      <c r="BE454" s="632">
        <v>0</v>
      </c>
      <c r="BF454" s="632">
        <v>0</v>
      </c>
      <c r="BG454" s="632">
        <v>0</v>
      </c>
      <c r="BH454" s="634">
        <v>1.0134066054705759</v>
      </c>
      <c r="BI454" s="634">
        <v>1.0269929480113955</v>
      </c>
      <c r="BJ454" s="634">
        <v>1.040761437286448</v>
      </c>
      <c r="BK454" s="635">
        <v>1.0339188874653549</v>
      </c>
      <c r="BL454" s="635">
        <v>1.0271213244071997</v>
      </c>
      <c r="BM454" s="635">
        <v>1.034494890244499</v>
      </c>
      <c r="BN454" s="635">
        <v>1.0419213899191793</v>
      </c>
      <c r="BO454" s="635">
        <v>1.0494012034361397</v>
      </c>
      <c r="BP454" s="635">
        <v>1.0569347135282832</v>
      </c>
      <c r="BQ454" s="635">
        <v>1.0645223056761002</v>
      </c>
      <c r="BR454" s="635">
        <v>1.0704981347272684</v>
      </c>
      <c r="BS454" s="635">
        <v>1.076507509841923</v>
      </c>
      <c r="BT454" s="635">
        <v>1.0825506193350853</v>
      </c>
      <c r="BU454" s="635">
        <v>1.0886276525789067</v>
      </c>
      <c r="BV454" s="635">
        <v>1.0947388000086022</v>
      </c>
      <c r="BW454" s="634">
        <v>1.0134066054705759</v>
      </c>
      <c r="BX454" s="634">
        <v>1.0269929480113955</v>
      </c>
      <c r="BY454" s="634">
        <v>1.040761437286448</v>
      </c>
      <c r="BZ454" s="635">
        <v>1.0339188874653549</v>
      </c>
      <c r="CA454" s="635">
        <v>1.0271213244071997</v>
      </c>
      <c r="CB454" s="635">
        <v>1.034494890244499</v>
      </c>
      <c r="CC454" s="635">
        <v>1.0419213899191793</v>
      </c>
      <c r="CD454" s="635">
        <v>1.0494012034361397</v>
      </c>
      <c r="CE454" s="635">
        <v>1.0569347135282832</v>
      </c>
      <c r="CF454" s="635">
        <v>1.0645223056761002</v>
      </c>
      <c r="CG454" s="635">
        <v>1.0704981347272684</v>
      </c>
      <c r="CH454" s="635">
        <v>1.076507509841923</v>
      </c>
      <c r="CI454" s="635">
        <v>1.0825506193350853</v>
      </c>
      <c r="CJ454" s="635">
        <v>1.0886276525789067</v>
      </c>
      <c r="CK454" s="635">
        <v>1.0947388000086022</v>
      </c>
      <c r="CL454" s="634">
        <v>0</v>
      </c>
      <c r="CM454" s="634">
        <v>0</v>
      </c>
      <c r="CN454" s="634">
        <v>0</v>
      </c>
      <c r="CO454" s="635">
        <v>0</v>
      </c>
      <c r="CP454" s="635">
        <v>0</v>
      </c>
      <c r="CQ454" s="635">
        <v>0</v>
      </c>
      <c r="CR454" s="635">
        <v>0</v>
      </c>
      <c r="CS454" s="635">
        <v>0</v>
      </c>
      <c r="CT454" s="635">
        <v>0</v>
      </c>
      <c r="CU454" s="635">
        <v>0</v>
      </c>
      <c r="CV454" s="635">
        <v>0</v>
      </c>
      <c r="CW454" s="635">
        <v>0</v>
      </c>
      <c r="CX454" s="635">
        <v>0</v>
      </c>
      <c r="CY454" s="635">
        <v>0</v>
      </c>
      <c r="CZ454" s="635">
        <v>0</v>
      </c>
      <c r="DA454" s="636">
        <v>0</v>
      </c>
      <c r="DB454" s="636">
        <v>0</v>
      </c>
      <c r="DC454" s="636">
        <v>0</v>
      </c>
      <c r="DD454" s="637">
        <v>0</v>
      </c>
      <c r="DE454" s="637">
        <v>0</v>
      </c>
      <c r="DF454" s="637">
        <v>0</v>
      </c>
      <c r="DG454" s="637">
        <v>0</v>
      </c>
      <c r="DH454" s="637">
        <v>0</v>
      </c>
      <c r="DI454" s="637">
        <v>0</v>
      </c>
      <c r="DJ454" s="637">
        <v>0</v>
      </c>
      <c r="DK454" s="637">
        <v>0</v>
      </c>
      <c r="DL454" s="637">
        <v>0</v>
      </c>
      <c r="DM454" s="637">
        <v>0</v>
      </c>
      <c r="DN454" s="637">
        <v>0</v>
      </c>
      <c r="DO454" s="637">
        <v>0</v>
      </c>
      <c r="DP454" s="636">
        <v>0</v>
      </c>
      <c r="DQ454" s="636">
        <v>0</v>
      </c>
      <c r="DR454" s="636">
        <v>0</v>
      </c>
      <c r="DS454" s="637">
        <v>0</v>
      </c>
      <c r="DT454" s="637">
        <v>0</v>
      </c>
      <c r="DU454" s="637">
        <v>0</v>
      </c>
      <c r="DV454" s="637">
        <v>0</v>
      </c>
      <c r="DW454" s="637">
        <v>0</v>
      </c>
      <c r="DX454" s="637">
        <v>0</v>
      </c>
      <c r="DY454" s="637">
        <v>0</v>
      </c>
      <c r="DZ454" s="637">
        <v>0</v>
      </c>
      <c r="EA454" s="637">
        <v>0</v>
      </c>
      <c r="EB454" s="637">
        <v>0</v>
      </c>
      <c r="EC454" s="637">
        <v>0</v>
      </c>
      <c r="ED454" s="637">
        <v>0</v>
      </c>
    </row>
    <row r="455" spans="1:135" ht="15" x14ac:dyDescent="0.25">
      <c r="A455" s="555">
        <v>122</v>
      </c>
      <c r="B455" s="555">
        <v>125</v>
      </c>
      <c r="C455" s="555" t="s">
        <v>1438</v>
      </c>
      <c r="D455" s="812">
        <v>99712</v>
      </c>
      <c r="E455" s="812">
        <v>99712</v>
      </c>
      <c r="F455" s="630" t="s">
        <v>989</v>
      </c>
      <c r="G455" s="45">
        <v>8</v>
      </c>
      <c r="H455" s="45">
        <v>5</v>
      </c>
      <c r="I455" s="45">
        <v>3</v>
      </c>
      <c r="J455" s="45">
        <v>2</v>
      </c>
      <c r="K455" s="45">
        <v>0</v>
      </c>
      <c r="L455" s="45">
        <v>0</v>
      </c>
      <c r="M455" s="45">
        <v>0</v>
      </c>
      <c r="N455" s="45">
        <v>0</v>
      </c>
      <c r="O455" s="45">
        <v>0</v>
      </c>
      <c r="P455" s="45">
        <v>0</v>
      </c>
      <c r="Q455" s="45">
        <v>0</v>
      </c>
      <c r="R455" s="45">
        <v>0</v>
      </c>
      <c r="S455" s="45">
        <v>834.49503068156923</v>
      </c>
      <c r="T455" s="45">
        <v>834.49503068156923</v>
      </c>
      <c r="U455" s="45">
        <v>1408.3846153846155</v>
      </c>
      <c r="V455" s="45">
        <v>0</v>
      </c>
      <c r="W455" s="45">
        <v>0</v>
      </c>
      <c r="X455" s="45">
        <v>1365.173957061457</v>
      </c>
      <c r="Y455" s="45">
        <v>0.11456167706167707</v>
      </c>
      <c r="Z455" s="45">
        <v>4.8789414414414418</v>
      </c>
      <c r="AA455" s="45">
        <v>6.4968814968814972E-3</v>
      </c>
      <c r="AB455" s="508">
        <v>0</v>
      </c>
      <c r="AC455" s="508">
        <v>0</v>
      </c>
      <c r="AD455" s="631">
        <v>5</v>
      </c>
      <c r="AE455" s="632">
        <v>6.8737006237006237E-2</v>
      </c>
      <c r="AF455" s="632">
        <v>2.9273648648648654</v>
      </c>
      <c r="AG455" s="633">
        <v>2.9961018711018714</v>
      </c>
      <c r="AH455" s="632">
        <v>3.8981288981288983E-3</v>
      </c>
      <c r="AI455" s="632">
        <v>0.10414965256455638</v>
      </c>
      <c r="AJ455" s="632">
        <v>4.4355151656462963</v>
      </c>
      <c r="AK455" s="632">
        <v>4.539664818210853</v>
      </c>
      <c r="AL455" s="632">
        <v>5.9064075178387361E-3</v>
      </c>
      <c r="AM455" s="632">
        <v>6.27193638767157E-2</v>
      </c>
      <c r="AN455" s="632">
        <v>2.6710861035510929</v>
      </c>
      <c r="AO455" s="632">
        <v>2.7338054674278087</v>
      </c>
      <c r="AP455" s="632">
        <v>3.5568637359196047E-3</v>
      </c>
      <c r="AQ455" s="632">
        <v>0</v>
      </c>
      <c r="AR455" s="632">
        <v>0</v>
      </c>
      <c r="AS455" s="632">
        <v>4.127073954422424</v>
      </c>
      <c r="AT455" s="632">
        <v>4.3284561258081187</v>
      </c>
      <c r="AU455" s="632">
        <v>4.539664818210853</v>
      </c>
      <c r="AV455" s="632">
        <v>4.7611795205279535</v>
      </c>
      <c r="AW455" s="632">
        <v>4.9935031185031189</v>
      </c>
      <c r="AX455" s="632">
        <v>2.4944720357554431</v>
      </c>
      <c r="AY455" s="632">
        <v>2.6113983399117813</v>
      </c>
      <c r="AZ455" s="632">
        <v>2.7338054674278083</v>
      </c>
      <c r="BA455" s="632">
        <v>2.8619503273447959</v>
      </c>
      <c r="BB455" s="632">
        <v>2.9961018711018714</v>
      </c>
      <c r="BC455" s="632">
        <v>0</v>
      </c>
      <c r="BD455" s="632">
        <v>0</v>
      </c>
      <c r="BE455" s="632">
        <v>0</v>
      </c>
      <c r="BF455" s="632">
        <v>0</v>
      </c>
      <c r="BG455" s="632">
        <v>0</v>
      </c>
      <c r="BH455" s="634">
        <v>5.0604490447289807</v>
      </c>
      <c r="BI455" s="634">
        <v>5.1282924885756147</v>
      </c>
      <c r="BJ455" s="634">
        <v>5.197045482707666</v>
      </c>
      <c r="BK455" s="635">
        <v>5.1628771888375251</v>
      </c>
      <c r="BL455" s="635">
        <v>5.1289335365084057</v>
      </c>
      <c r="BM455" s="635">
        <v>5.1657534605114472</v>
      </c>
      <c r="BN455" s="635">
        <v>5.2028377097965253</v>
      </c>
      <c r="BO455" s="635">
        <v>5.2401881819192893</v>
      </c>
      <c r="BP455" s="635">
        <v>5.2778067880576822</v>
      </c>
      <c r="BQ455" s="635">
        <v>5.3156954531097362</v>
      </c>
      <c r="BR455" s="635">
        <v>5.3455357741123866</v>
      </c>
      <c r="BS455" s="635">
        <v>5.3755436074876695</v>
      </c>
      <c r="BT455" s="635">
        <v>5.4057198935872313</v>
      </c>
      <c r="BU455" s="635">
        <v>5.436065578041501</v>
      </c>
      <c r="BV455" s="635">
        <v>5.4665816117893176</v>
      </c>
      <c r="BW455" s="634">
        <v>3.0362694268373884</v>
      </c>
      <c r="BX455" s="634">
        <v>3.076975493145369</v>
      </c>
      <c r="BY455" s="634">
        <v>3.1182272896245999</v>
      </c>
      <c r="BZ455" s="635">
        <v>3.0977263133025152</v>
      </c>
      <c r="CA455" s="635">
        <v>3.0773601219050439</v>
      </c>
      <c r="CB455" s="635">
        <v>3.0994520763068683</v>
      </c>
      <c r="CC455" s="635">
        <v>3.1217026258779157</v>
      </c>
      <c r="CD455" s="635">
        <v>3.1441129091515738</v>
      </c>
      <c r="CE455" s="635">
        <v>3.1666840728346095</v>
      </c>
      <c r="CF455" s="635">
        <v>3.189417271865842</v>
      </c>
      <c r="CG455" s="635">
        <v>3.2073214644674324</v>
      </c>
      <c r="CH455" s="635">
        <v>3.2253261644926017</v>
      </c>
      <c r="CI455" s="635">
        <v>3.2434319361523389</v>
      </c>
      <c r="CJ455" s="635">
        <v>3.2616393468249005</v>
      </c>
      <c r="CK455" s="635">
        <v>3.2799489670735911</v>
      </c>
      <c r="CL455" s="634">
        <v>0</v>
      </c>
      <c r="CM455" s="634">
        <v>0</v>
      </c>
      <c r="CN455" s="634">
        <v>0</v>
      </c>
      <c r="CO455" s="635">
        <v>0</v>
      </c>
      <c r="CP455" s="635">
        <v>0</v>
      </c>
      <c r="CQ455" s="635">
        <v>0</v>
      </c>
      <c r="CR455" s="635">
        <v>0</v>
      </c>
      <c r="CS455" s="635">
        <v>0</v>
      </c>
      <c r="CT455" s="635">
        <v>0</v>
      </c>
      <c r="CU455" s="635">
        <v>0</v>
      </c>
      <c r="CV455" s="635">
        <v>0</v>
      </c>
      <c r="CW455" s="635">
        <v>0</v>
      </c>
      <c r="CX455" s="635">
        <v>0</v>
      </c>
      <c r="CY455" s="635">
        <v>0</v>
      </c>
      <c r="CZ455" s="635">
        <v>0</v>
      </c>
      <c r="DA455" s="636">
        <v>6.583982623899272E-3</v>
      </c>
      <c r="DB455" s="636">
        <v>6.6722514813630169E-3</v>
      </c>
      <c r="DC455" s="636">
        <v>6.7617037245741168E-3</v>
      </c>
      <c r="DD455" s="637">
        <v>6.7172484892499681E-3</v>
      </c>
      <c r="DE455" s="637">
        <v>6.6730855275935544E-3</v>
      </c>
      <c r="DF455" s="637">
        <v>6.7209907110479406E-3</v>
      </c>
      <c r="DG455" s="637">
        <v>6.7692397993709677E-3</v>
      </c>
      <c r="DH455" s="637">
        <v>6.8178352614094318E-3</v>
      </c>
      <c r="DI455" s="637">
        <v>6.8667795837336482E-3</v>
      </c>
      <c r="DJ455" s="637">
        <v>6.9160752707646848E-3</v>
      </c>
      <c r="DK455" s="637">
        <v>6.9548995239557465E-3</v>
      </c>
      <c r="DL455" s="637">
        <v>6.9939417219459657E-3</v>
      </c>
      <c r="DM455" s="637">
        <v>7.0332030881957216E-3</v>
      </c>
      <c r="DN455" s="637">
        <v>7.0726848530334382E-3</v>
      </c>
      <c r="DO455" s="637">
        <v>7.112388253694142E-3</v>
      </c>
      <c r="DP455" s="636">
        <v>0</v>
      </c>
      <c r="DQ455" s="636">
        <v>0</v>
      </c>
      <c r="DR455" s="636">
        <v>0</v>
      </c>
      <c r="DS455" s="637">
        <v>0</v>
      </c>
      <c r="DT455" s="637">
        <v>0</v>
      </c>
      <c r="DU455" s="637">
        <v>0</v>
      </c>
      <c r="DV455" s="637">
        <v>0</v>
      </c>
      <c r="DW455" s="637">
        <v>0</v>
      </c>
      <c r="DX455" s="637">
        <v>0</v>
      </c>
      <c r="DY455" s="637">
        <v>0</v>
      </c>
      <c r="DZ455" s="637">
        <v>0</v>
      </c>
      <c r="EA455" s="637">
        <v>0</v>
      </c>
      <c r="EB455" s="637">
        <v>0</v>
      </c>
      <c r="EC455" s="637">
        <v>0</v>
      </c>
      <c r="ED455" s="637">
        <v>0</v>
      </c>
    </row>
    <row r="456" spans="1:135" ht="15" x14ac:dyDescent="0.25">
      <c r="A456" s="555">
        <v>128</v>
      </c>
      <c r="B456" s="555">
        <v>125</v>
      </c>
      <c r="C456" s="555" t="s">
        <v>1439</v>
      </c>
      <c r="D456" s="812">
        <v>99712</v>
      </c>
      <c r="E456" s="812">
        <v>99712</v>
      </c>
      <c r="F456" s="630" t="s">
        <v>989</v>
      </c>
      <c r="G456" s="45">
        <v>2</v>
      </c>
      <c r="H456" s="45">
        <v>1</v>
      </c>
      <c r="I456" s="45">
        <v>1</v>
      </c>
      <c r="J456" s="45">
        <v>0</v>
      </c>
      <c r="K456" s="45">
        <v>0</v>
      </c>
      <c r="L456" s="45">
        <v>22</v>
      </c>
      <c r="M456" s="45">
        <v>22</v>
      </c>
      <c r="N456" s="45">
        <v>0</v>
      </c>
      <c r="O456" s="45">
        <v>0</v>
      </c>
      <c r="P456" s="45">
        <v>0</v>
      </c>
      <c r="Q456" s="45">
        <v>22</v>
      </c>
      <c r="R456" s="45">
        <v>0</v>
      </c>
      <c r="S456" s="45">
        <v>816.09090909090912</v>
      </c>
      <c r="T456" s="45">
        <v>816.09090909090912</v>
      </c>
      <c r="U456" s="45">
        <v>0</v>
      </c>
      <c r="V456" s="45">
        <v>0</v>
      </c>
      <c r="W456" s="45">
        <v>0</v>
      </c>
      <c r="X456" s="45">
        <v>816.09090909090912</v>
      </c>
      <c r="Y456" s="45">
        <v>0</v>
      </c>
      <c r="Z456" s="45">
        <v>1</v>
      </c>
      <c r="AA456" s="45">
        <v>0</v>
      </c>
      <c r="AB456" s="508">
        <v>0</v>
      </c>
      <c r="AC456" s="508">
        <v>0</v>
      </c>
      <c r="AD456" s="631">
        <v>1</v>
      </c>
      <c r="AE456" s="632">
        <v>0</v>
      </c>
      <c r="AF456" s="632">
        <v>1</v>
      </c>
      <c r="AG456" s="633">
        <v>1</v>
      </c>
      <c r="AH456" s="632">
        <v>0</v>
      </c>
      <c r="AI456" s="632">
        <v>0</v>
      </c>
      <c r="AJ456" s="632">
        <v>0.90911424514573824</v>
      </c>
      <c r="AK456" s="632">
        <v>0.90911424514573824</v>
      </c>
      <c r="AL456" s="632">
        <v>0</v>
      </c>
      <c r="AM456" s="632">
        <v>0</v>
      </c>
      <c r="AN456" s="632">
        <v>0.91245411038790925</v>
      </c>
      <c r="AO456" s="632">
        <v>0.91245411038790925</v>
      </c>
      <c r="AP456" s="632">
        <v>0</v>
      </c>
      <c r="AQ456" s="632">
        <v>0</v>
      </c>
      <c r="AR456" s="632">
        <v>0</v>
      </c>
      <c r="AS456" s="632">
        <v>0.82648871072690544</v>
      </c>
      <c r="AT456" s="632">
        <v>0.86681754733851879</v>
      </c>
      <c r="AU456" s="632">
        <v>0.90911424514573824</v>
      </c>
      <c r="AV456" s="632">
        <v>0.95347482669745309</v>
      </c>
      <c r="AW456" s="632">
        <v>1</v>
      </c>
      <c r="AX456" s="632">
        <v>0.83257250356379087</v>
      </c>
      <c r="AY456" s="632">
        <v>0.87159864792961517</v>
      </c>
      <c r="AZ456" s="632">
        <v>0.91245411038790925</v>
      </c>
      <c r="BA456" s="632">
        <v>0.9552246387043779</v>
      </c>
      <c r="BB456" s="632">
        <v>1</v>
      </c>
      <c r="BC456" s="632">
        <v>0</v>
      </c>
      <c r="BD456" s="632">
        <v>0</v>
      </c>
      <c r="BE456" s="632">
        <v>0</v>
      </c>
      <c r="BF456" s="632">
        <v>0</v>
      </c>
      <c r="BG456" s="632">
        <v>0</v>
      </c>
      <c r="BH456" s="634">
        <v>1.0134066054705759</v>
      </c>
      <c r="BI456" s="634">
        <v>1.0269929480113955</v>
      </c>
      <c r="BJ456" s="634">
        <v>1.040761437286448</v>
      </c>
      <c r="BK456" s="635">
        <v>1.0339188874653549</v>
      </c>
      <c r="BL456" s="635">
        <v>1.0271213244071997</v>
      </c>
      <c r="BM456" s="635">
        <v>1.034494890244499</v>
      </c>
      <c r="BN456" s="635">
        <v>1.0419213899191793</v>
      </c>
      <c r="BO456" s="635">
        <v>1.0494012034361397</v>
      </c>
      <c r="BP456" s="635">
        <v>1.0569347135282832</v>
      </c>
      <c r="BQ456" s="635">
        <v>1.0645223056761002</v>
      </c>
      <c r="BR456" s="635">
        <v>1.0704981347272684</v>
      </c>
      <c r="BS456" s="635">
        <v>1.076507509841923</v>
      </c>
      <c r="BT456" s="635">
        <v>1.0825506193350853</v>
      </c>
      <c r="BU456" s="635">
        <v>1.0886276525789067</v>
      </c>
      <c r="BV456" s="635">
        <v>1.0947388000086022</v>
      </c>
      <c r="BW456" s="634">
        <v>1.0134066054705759</v>
      </c>
      <c r="BX456" s="634">
        <v>1.0269929480113955</v>
      </c>
      <c r="BY456" s="634">
        <v>1.040761437286448</v>
      </c>
      <c r="BZ456" s="635">
        <v>1.0339188874653549</v>
      </c>
      <c r="CA456" s="635">
        <v>1.0271213244071997</v>
      </c>
      <c r="CB456" s="635">
        <v>1.034494890244499</v>
      </c>
      <c r="CC456" s="635">
        <v>1.0419213899191793</v>
      </c>
      <c r="CD456" s="635">
        <v>1.0494012034361397</v>
      </c>
      <c r="CE456" s="635">
        <v>1.0569347135282832</v>
      </c>
      <c r="CF456" s="635">
        <v>1.0645223056761002</v>
      </c>
      <c r="CG456" s="635">
        <v>1.0704981347272684</v>
      </c>
      <c r="CH456" s="635">
        <v>1.076507509841923</v>
      </c>
      <c r="CI456" s="635">
        <v>1.0825506193350853</v>
      </c>
      <c r="CJ456" s="635">
        <v>1.0886276525789067</v>
      </c>
      <c r="CK456" s="635">
        <v>1.0947388000086022</v>
      </c>
      <c r="CL456" s="634">
        <v>0</v>
      </c>
      <c r="CM456" s="634">
        <v>0</v>
      </c>
      <c r="CN456" s="634">
        <v>0</v>
      </c>
      <c r="CO456" s="635">
        <v>0</v>
      </c>
      <c r="CP456" s="635">
        <v>0</v>
      </c>
      <c r="CQ456" s="635">
        <v>0</v>
      </c>
      <c r="CR456" s="635">
        <v>0</v>
      </c>
      <c r="CS456" s="635">
        <v>0</v>
      </c>
      <c r="CT456" s="635">
        <v>0</v>
      </c>
      <c r="CU456" s="635">
        <v>0</v>
      </c>
      <c r="CV456" s="635">
        <v>0</v>
      </c>
      <c r="CW456" s="635">
        <v>0</v>
      </c>
      <c r="CX456" s="635">
        <v>0</v>
      </c>
      <c r="CY456" s="635">
        <v>0</v>
      </c>
      <c r="CZ456" s="635">
        <v>0</v>
      </c>
      <c r="DA456" s="636">
        <v>0</v>
      </c>
      <c r="DB456" s="636">
        <v>0</v>
      </c>
      <c r="DC456" s="636">
        <v>0</v>
      </c>
      <c r="DD456" s="637">
        <v>0</v>
      </c>
      <c r="DE456" s="637">
        <v>0</v>
      </c>
      <c r="DF456" s="637">
        <v>0</v>
      </c>
      <c r="DG456" s="637">
        <v>0</v>
      </c>
      <c r="DH456" s="637">
        <v>0</v>
      </c>
      <c r="DI456" s="637">
        <v>0</v>
      </c>
      <c r="DJ456" s="637">
        <v>0</v>
      </c>
      <c r="DK456" s="637">
        <v>0</v>
      </c>
      <c r="DL456" s="637">
        <v>0</v>
      </c>
      <c r="DM456" s="637">
        <v>0</v>
      </c>
      <c r="DN456" s="637">
        <v>0</v>
      </c>
      <c r="DO456" s="637">
        <v>0</v>
      </c>
      <c r="DP456" s="636">
        <v>0</v>
      </c>
      <c r="DQ456" s="636">
        <v>0</v>
      </c>
      <c r="DR456" s="636">
        <v>0</v>
      </c>
      <c r="DS456" s="637">
        <v>0</v>
      </c>
      <c r="DT456" s="637">
        <v>0</v>
      </c>
      <c r="DU456" s="637">
        <v>0</v>
      </c>
      <c r="DV456" s="637">
        <v>0</v>
      </c>
      <c r="DW456" s="637">
        <v>0</v>
      </c>
      <c r="DX456" s="637">
        <v>0</v>
      </c>
      <c r="DY456" s="637">
        <v>0</v>
      </c>
      <c r="DZ456" s="637">
        <v>0</v>
      </c>
      <c r="EA456" s="637">
        <v>0</v>
      </c>
      <c r="EB456" s="637">
        <v>0</v>
      </c>
      <c r="EC456" s="637">
        <v>0</v>
      </c>
      <c r="ED456" s="637">
        <v>0</v>
      </c>
    </row>
    <row r="457" spans="1:135" ht="15" x14ac:dyDescent="0.25">
      <c r="A457" s="555">
        <v>130</v>
      </c>
      <c r="B457" s="555">
        <v>125</v>
      </c>
      <c r="C457" s="555" t="s">
        <v>1440</v>
      </c>
      <c r="D457" s="812">
        <v>99712</v>
      </c>
      <c r="E457" s="812">
        <v>99712</v>
      </c>
      <c r="F457" s="630" t="s">
        <v>989</v>
      </c>
      <c r="G457" s="45">
        <v>1</v>
      </c>
      <c r="H457" s="45">
        <v>1</v>
      </c>
      <c r="I457" s="45">
        <v>1</v>
      </c>
      <c r="J457" s="45">
        <v>0</v>
      </c>
      <c r="K457" s="45">
        <v>0</v>
      </c>
      <c r="L457" s="45">
        <v>0</v>
      </c>
      <c r="M457" s="45">
        <v>0</v>
      </c>
      <c r="N457" s="45">
        <v>0</v>
      </c>
      <c r="O457" s="45">
        <v>0</v>
      </c>
      <c r="P457" s="45">
        <v>0</v>
      </c>
      <c r="Q457" s="45">
        <v>0</v>
      </c>
      <c r="R457" s="45">
        <v>0</v>
      </c>
      <c r="S457" s="45">
        <v>834.49503068156923</v>
      </c>
      <c r="T457" s="45">
        <v>834.49503068156923</v>
      </c>
      <c r="U457" s="45">
        <v>1408.3846153846155</v>
      </c>
      <c r="V457" s="45">
        <v>0</v>
      </c>
      <c r="W457" s="45">
        <v>0</v>
      </c>
      <c r="X457" s="45">
        <v>1365.173957061457</v>
      </c>
      <c r="Y457" s="45">
        <v>2.2912335412335411E-2</v>
      </c>
      <c r="Z457" s="45">
        <v>0.97578828828828834</v>
      </c>
      <c r="AA457" s="45">
        <v>1.2993762993762994E-3</v>
      </c>
      <c r="AB457" s="508">
        <v>0</v>
      </c>
      <c r="AC457" s="508">
        <v>0</v>
      </c>
      <c r="AD457" s="631">
        <v>1</v>
      </c>
      <c r="AE457" s="632">
        <v>2.2912335412335411E-2</v>
      </c>
      <c r="AF457" s="632">
        <v>0.97578828828828834</v>
      </c>
      <c r="AG457" s="633">
        <v>0.99870062370062374</v>
      </c>
      <c r="AH457" s="632">
        <v>1.2993762993762994E-3</v>
      </c>
      <c r="AI457" s="632">
        <v>2.0829930512911272E-2</v>
      </c>
      <c r="AJ457" s="632">
        <v>0.8871030331292592</v>
      </c>
      <c r="AK457" s="632">
        <v>0.90793296364217047</v>
      </c>
      <c r="AL457" s="632">
        <v>1.1812815035677471E-3</v>
      </c>
      <c r="AM457" s="632">
        <v>2.0906454625571898E-2</v>
      </c>
      <c r="AN457" s="632">
        <v>0.89036203451703089</v>
      </c>
      <c r="AO457" s="632">
        <v>0.91126848914260283</v>
      </c>
      <c r="AP457" s="632">
        <v>1.1856212453065351E-3</v>
      </c>
      <c r="AQ457" s="632">
        <v>0</v>
      </c>
      <c r="AR457" s="632">
        <v>0</v>
      </c>
      <c r="AS457" s="632">
        <v>0.82541479088448488</v>
      </c>
      <c r="AT457" s="632">
        <v>0.86569122516162356</v>
      </c>
      <c r="AU457" s="632">
        <v>0.90793296364217047</v>
      </c>
      <c r="AV457" s="632">
        <v>0.95223590410559056</v>
      </c>
      <c r="AW457" s="632">
        <v>0.99870062370062374</v>
      </c>
      <c r="AX457" s="632">
        <v>0.83149067858514769</v>
      </c>
      <c r="AY457" s="632">
        <v>0.87046611330392698</v>
      </c>
      <c r="AZ457" s="632">
        <v>0.91126848914260272</v>
      </c>
      <c r="BA457" s="632">
        <v>0.95398344244826516</v>
      </c>
      <c r="BB457" s="632">
        <v>0.99870062370062374</v>
      </c>
      <c r="BC457" s="632">
        <v>0</v>
      </c>
      <c r="BD457" s="632">
        <v>0</v>
      </c>
      <c r="BE457" s="632">
        <v>0</v>
      </c>
      <c r="BF457" s="632">
        <v>0</v>
      </c>
      <c r="BG457" s="632">
        <v>0</v>
      </c>
      <c r="BH457" s="634">
        <v>1.0120898089457961</v>
      </c>
      <c r="BI457" s="634">
        <v>1.0256584977151229</v>
      </c>
      <c r="BJ457" s="634">
        <v>1.0394090965415332</v>
      </c>
      <c r="BK457" s="635">
        <v>1.0325754377675052</v>
      </c>
      <c r="BL457" s="635">
        <v>1.0257867073016811</v>
      </c>
      <c r="BM457" s="635">
        <v>1.0331506921022895</v>
      </c>
      <c r="BN457" s="635">
        <v>1.040567541959305</v>
      </c>
      <c r="BO457" s="635">
        <v>1.0480376363838579</v>
      </c>
      <c r="BP457" s="635">
        <v>1.0555613576115364</v>
      </c>
      <c r="BQ457" s="635">
        <v>1.0631390906219473</v>
      </c>
      <c r="BR457" s="635">
        <v>1.0691071548224773</v>
      </c>
      <c r="BS457" s="635">
        <v>1.0751087214975339</v>
      </c>
      <c r="BT457" s="635">
        <v>1.0811439787174464</v>
      </c>
      <c r="BU457" s="635">
        <v>1.0872131156083003</v>
      </c>
      <c r="BV457" s="635">
        <v>1.0933163223578635</v>
      </c>
      <c r="BW457" s="634">
        <v>1.0120898089457961</v>
      </c>
      <c r="BX457" s="634">
        <v>1.0256584977151229</v>
      </c>
      <c r="BY457" s="634">
        <v>1.0394090965415332</v>
      </c>
      <c r="BZ457" s="635">
        <v>1.0325754377675052</v>
      </c>
      <c r="CA457" s="635">
        <v>1.0257867073016811</v>
      </c>
      <c r="CB457" s="635">
        <v>1.0331506921022895</v>
      </c>
      <c r="CC457" s="635">
        <v>1.040567541959305</v>
      </c>
      <c r="CD457" s="635">
        <v>1.0480376363838579</v>
      </c>
      <c r="CE457" s="635">
        <v>1.0555613576115364</v>
      </c>
      <c r="CF457" s="635">
        <v>1.0631390906219473</v>
      </c>
      <c r="CG457" s="635">
        <v>1.0691071548224773</v>
      </c>
      <c r="CH457" s="635">
        <v>1.0751087214975339</v>
      </c>
      <c r="CI457" s="635">
        <v>1.0811439787174464</v>
      </c>
      <c r="CJ457" s="635">
        <v>1.0872131156083003</v>
      </c>
      <c r="CK457" s="635">
        <v>1.0933163223578635</v>
      </c>
      <c r="CL457" s="634">
        <v>0</v>
      </c>
      <c r="CM457" s="634">
        <v>0</v>
      </c>
      <c r="CN457" s="634">
        <v>0</v>
      </c>
      <c r="CO457" s="635">
        <v>0</v>
      </c>
      <c r="CP457" s="635">
        <v>0</v>
      </c>
      <c r="CQ457" s="635">
        <v>0</v>
      </c>
      <c r="CR457" s="635">
        <v>0</v>
      </c>
      <c r="CS457" s="635">
        <v>0</v>
      </c>
      <c r="CT457" s="635">
        <v>0</v>
      </c>
      <c r="CU457" s="635">
        <v>0</v>
      </c>
      <c r="CV457" s="635">
        <v>0</v>
      </c>
      <c r="CW457" s="635">
        <v>0</v>
      </c>
      <c r="CX457" s="635">
        <v>0</v>
      </c>
      <c r="CY457" s="635">
        <v>0</v>
      </c>
      <c r="CZ457" s="635">
        <v>0</v>
      </c>
      <c r="DA457" s="636">
        <v>1.3167965247798544E-3</v>
      </c>
      <c r="DB457" s="636">
        <v>1.3344502962726033E-3</v>
      </c>
      <c r="DC457" s="636">
        <v>1.3523407449148232E-3</v>
      </c>
      <c r="DD457" s="637">
        <v>1.3434496978499935E-3</v>
      </c>
      <c r="DE457" s="637">
        <v>1.3346171055187107E-3</v>
      </c>
      <c r="DF457" s="637">
        <v>1.3441981422095879E-3</v>
      </c>
      <c r="DG457" s="637">
        <v>1.3538479598741934E-3</v>
      </c>
      <c r="DH457" s="637">
        <v>1.3635670522818863E-3</v>
      </c>
      <c r="DI457" s="637">
        <v>1.3733559167467295E-3</v>
      </c>
      <c r="DJ457" s="637">
        <v>1.3832150541529368E-3</v>
      </c>
      <c r="DK457" s="637">
        <v>1.3909799047911492E-3</v>
      </c>
      <c r="DL457" s="637">
        <v>1.3987883443891929E-3</v>
      </c>
      <c r="DM457" s="637">
        <v>1.4066406176391441E-3</v>
      </c>
      <c r="DN457" s="637">
        <v>1.4145369706066876E-3</v>
      </c>
      <c r="DO457" s="637">
        <v>1.4224776507388284E-3</v>
      </c>
      <c r="DP457" s="636">
        <v>0</v>
      </c>
      <c r="DQ457" s="636">
        <v>0</v>
      </c>
      <c r="DR457" s="636">
        <v>0</v>
      </c>
      <c r="DS457" s="637">
        <v>0</v>
      </c>
      <c r="DT457" s="637">
        <v>0</v>
      </c>
      <c r="DU457" s="637">
        <v>0</v>
      </c>
      <c r="DV457" s="637">
        <v>0</v>
      </c>
      <c r="DW457" s="637">
        <v>0</v>
      </c>
      <c r="DX457" s="637">
        <v>0</v>
      </c>
      <c r="DY457" s="637">
        <v>0</v>
      </c>
      <c r="DZ457" s="637">
        <v>0</v>
      </c>
      <c r="EA457" s="637">
        <v>0</v>
      </c>
      <c r="EB457" s="637">
        <v>0</v>
      </c>
      <c r="EC457" s="637">
        <v>0</v>
      </c>
      <c r="ED457" s="637">
        <v>0</v>
      </c>
    </row>
    <row r="458" spans="1:135" ht="15" x14ac:dyDescent="0.25">
      <c r="A458" s="555">
        <v>135</v>
      </c>
      <c r="B458" s="555">
        <v>129</v>
      </c>
      <c r="C458" s="555" t="s">
        <v>1441</v>
      </c>
      <c r="D458" s="812">
        <v>99712</v>
      </c>
      <c r="E458" s="812">
        <v>99712</v>
      </c>
      <c r="F458" s="630" t="s">
        <v>989</v>
      </c>
      <c r="G458" s="45">
        <v>20</v>
      </c>
      <c r="H458" s="45">
        <v>30</v>
      </c>
      <c r="I458" s="45">
        <v>13</v>
      </c>
      <c r="J458" s="45">
        <v>17</v>
      </c>
      <c r="K458" s="45">
        <v>0</v>
      </c>
      <c r="L458" s="45">
        <v>0</v>
      </c>
      <c r="M458" s="45">
        <v>0</v>
      </c>
      <c r="N458" s="45">
        <v>0</v>
      </c>
      <c r="O458" s="45">
        <v>0</v>
      </c>
      <c r="P458" s="45">
        <v>0</v>
      </c>
      <c r="Q458" s="45">
        <v>0</v>
      </c>
      <c r="R458" s="45">
        <v>0</v>
      </c>
      <c r="S458" s="45">
        <v>834.49503068156923</v>
      </c>
      <c r="T458" s="45">
        <v>834.49503068156923</v>
      </c>
      <c r="U458" s="45">
        <v>1408.3846153846155</v>
      </c>
      <c r="V458" s="45">
        <v>0</v>
      </c>
      <c r="W458" s="45">
        <v>0</v>
      </c>
      <c r="X458" s="45">
        <v>1365.173957061457</v>
      </c>
      <c r="Y458" s="45">
        <v>0.68737006237006237</v>
      </c>
      <c r="Z458" s="45">
        <v>29.273648648648649</v>
      </c>
      <c r="AA458" s="45">
        <v>3.8981288981288983E-2</v>
      </c>
      <c r="AB458" s="508">
        <v>0</v>
      </c>
      <c r="AC458" s="508">
        <v>0</v>
      </c>
      <c r="AD458" s="631">
        <v>30</v>
      </c>
      <c r="AE458" s="632">
        <v>0.29786036036036034</v>
      </c>
      <c r="AF458" s="632">
        <v>12.685247747747749</v>
      </c>
      <c r="AG458" s="633">
        <v>12.983108108108109</v>
      </c>
      <c r="AH458" s="632">
        <v>1.6891891891891893E-2</v>
      </c>
      <c r="AI458" s="632">
        <v>0.6248979153873383</v>
      </c>
      <c r="AJ458" s="632">
        <v>26.613090993877776</v>
      </c>
      <c r="AK458" s="632">
        <v>27.237988909265116</v>
      </c>
      <c r="AL458" s="632">
        <v>3.5438445107032417E-2</v>
      </c>
      <c r="AM458" s="632">
        <v>0.27178391013243469</v>
      </c>
      <c r="AN458" s="632">
        <v>11.574706448721402</v>
      </c>
      <c r="AO458" s="632">
        <v>11.846490358853837</v>
      </c>
      <c r="AP458" s="632">
        <v>1.5413076188984954E-2</v>
      </c>
      <c r="AQ458" s="632">
        <v>0</v>
      </c>
      <c r="AR458" s="632">
        <v>0</v>
      </c>
      <c r="AS458" s="632">
        <v>24.762443726534542</v>
      </c>
      <c r="AT458" s="632">
        <v>25.970736754848705</v>
      </c>
      <c r="AU458" s="632">
        <v>27.237988909265113</v>
      </c>
      <c r="AV458" s="632">
        <v>28.567077123167714</v>
      </c>
      <c r="AW458" s="632">
        <v>29.96101871101871</v>
      </c>
      <c r="AX458" s="632">
        <v>10.80937882160692</v>
      </c>
      <c r="AY458" s="632">
        <v>11.316059472951052</v>
      </c>
      <c r="AZ458" s="632">
        <v>11.846490358853837</v>
      </c>
      <c r="BA458" s="632">
        <v>12.401784751827448</v>
      </c>
      <c r="BB458" s="632">
        <v>12.983108108108109</v>
      </c>
      <c r="BC458" s="632">
        <v>0</v>
      </c>
      <c r="BD458" s="632">
        <v>0</v>
      </c>
      <c r="BE458" s="632">
        <v>0</v>
      </c>
      <c r="BF458" s="632">
        <v>0</v>
      </c>
      <c r="BG458" s="632">
        <v>0</v>
      </c>
      <c r="BH458" s="634">
        <v>30.362694268373883</v>
      </c>
      <c r="BI458" s="634">
        <v>30.769754931453686</v>
      </c>
      <c r="BJ458" s="634">
        <v>31.182272896245994</v>
      </c>
      <c r="BK458" s="635">
        <v>30.977263133025147</v>
      </c>
      <c r="BL458" s="635">
        <v>30.77360121905043</v>
      </c>
      <c r="BM458" s="635">
        <v>30.994520763068678</v>
      </c>
      <c r="BN458" s="635">
        <v>31.21702625877915</v>
      </c>
      <c r="BO458" s="635">
        <v>31.441129091515734</v>
      </c>
      <c r="BP458" s="635">
        <v>31.666840728346088</v>
      </c>
      <c r="BQ458" s="635">
        <v>31.894172718658417</v>
      </c>
      <c r="BR458" s="635">
        <v>32.073214644674316</v>
      </c>
      <c r="BS458" s="635">
        <v>32.253261644926013</v>
      </c>
      <c r="BT458" s="635">
        <v>32.434319361523386</v>
      </c>
      <c r="BU458" s="635">
        <v>32.616393468249001</v>
      </c>
      <c r="BV458" s="635">
        <v>32.799489670735902</v>
      </c>
      <c r="BW458" s="634">
        <v>13.157167516295349</v>
      </c>
      <c r="BX458" s="634">
        <v>13.333560470296598</v>
      </c>
      <c r="BY458" s="634">
        <v>13.512318255039931</v>
      </c>
      <c r="BZ458" s="635">
        <v>13.423480690977565</v>
      </c>
      <c r="CA458" s="635">
        <v>13.335227194921854</v>
      </c>
      <c r="CB458" s="635">
        <v>13.430958997329761</v>
      </c>
      <c r="CC458" s="635">
        <v>13.527378045470966</v>
      </c>
      <c r="CD458" s="635">
        <v>13.624489272990152</v>
      </c>
      <c r="CE458" s="635">
        <v>13.722297648949972</v>
      </c>
      <c r="CF458" s="635">
        <v>13.820808178085313</v>
      </c>
      <c r="CG458" s="635">
        <v>13.898393012692203</v>
      </c>
      <c r="CH458" s="635">
        <v>13.976413379467939</v>
      </c>
      <c r="CI458" s="635">
        <v>14.054871723326801</v>
      </c>
      <c r="CJ458" s="635">
        <v>14.1337705029079</v>
      </c>
      <c r="CK458" s="635">
        <v>14.213112190652225</v>
      </c>
      <c r="CL458" s="634">
        <v>0</v>
      </c>
      <c r="CM458" s="634">
        <v>0</v>
      </c>
      <c r="CN458" s="634">
        <v>0</v>
      </c>
      <c r="CO458" s="635">
        <v>0</v>
      </c>
      <c r="CP458" s="635">
        <v>0</v>
      </c>
      <c r="CQ458" s="635">
        <v>0</v>
      </c>
      <c r="CR458" s="635">
        <v>0</v>
      </c>
      <c r="CS458" s="635">
        <v>0</v>
      </c>
      <c r="CT458" s="635">
        <v>0</v>
      </c>
      <c r="CU458" s="635">
        <v>0</v>
      </c>
      <c r="CV458" s="635">
        <v>0</v>
      </c>
      <c r="CW458" s="635">
        <v>0</v>
      </c>
      <c r="CX458" s="635">
        <v>0</v>
      </c>
      <c r="CY458" s="635">
        <v>0</v>
      </c>
      <c r="CZ458" s="635">
        <v>0</v>
      </c>
      <c r="DA458" s="636">
        <v>3.9503895743395634E-2</v>
      </c>
      <c r="DB458" s="636">
        <v>4.0033508888178103E-2</v>
      </c>
      <c r="DC458" s="636">
        <v>4.0570222347444701E-2</v>
      </c>
      <c r="DD458" s="637">
        <v>4.0303490935499807E-2</v>
      </c>
      <c r="DE458" s="637">
        <v>4.0038513165561326E-2</v>
      </c>
      <c r="DF458" s="637">
        <v>4.032594426628764E-2</v>
      </c>
      <c r="DG458" s="637">
        <v>4.0615438796225804E-2</v>
      </c>
      <c r="DH458" s="637">
        <v>4.0907011568456594E-2</v>
      </c>
      <c r="DI458" s="637">
        <v>4.1200677502401889E-2</v>
      </c>
      <c r="DJ458" s="637">
        <v>4.1496451624588107E-2</v>
      </c>
      <c r="DK458" s="637">
        <v>4.1729397143734477E-2</v>
      </c>
      <c r="DL458" s="637">
        <v>4.1963650331675796E-2</v>
      </c>
      <c r="DM458" s="637">
        <v>4.2199218529174326E-2</v>
      </c>
      <c r="DN458" s="637">
        <v>4.2436109118200629E-2</v>
      </c>
      <c r="DO458" s="637">
        <v>4.2674329522164857E-2</v>
      </c>
      <c r="DP458" s="636">
        <v>0</v>
      </c>
      <c r="DQ458" s="636">
        <v>0</v>
      </c>
      <c r="DR458" s="636">
        <v>0</v>
      </c>
      <c r="DS458" s="637">
        <v>0</v>
      </c>
      <c r="DT458" s="637">
        <v>0</v>
      </c>
      <c r="DU458" s="637">
        <v>0</v>
      </c>
      <c r="DV458" s="637">
        <v>0</v>
      </c>
      <c r="DW458" s="637">
        <v>0</v>
      </c>
      <c r="DX458" s="637">
        <v>0</v>
      </c>
      <c r="DY458" s="637">
        <v>0</v>
      </c>
      <c r="DZ458" s="637">
        <v>0</v>
      </c>
      <c r="EA458" s="637">
        <v>0</v>
      </c>
      <c r="EB458" s="637">
        <v>0</v>
      </c>
      <c r="EC458" s="637">
        <v>0</v>
      </c>
      <c r="ED458" s="637">
        <v>0</v>
      </c>
    </row>
    <row r="459" spans="1:135" ht="15" x14ac:dyDescent="0.25">
      <c r="A459" s="639">
        <v>157</v>
      </c>
      <c r="B459" s="639">
        <v>134</v>
      </c>
      <c r="C459" s="639" t="s">
        <v>1442</v>
      </c>
      <c r="D459" s="813">
        <v>99712</v>
      </c>
      <c r="E459" s="813">
        <v>99712</v>
      </c>
      <c r="F459" s="640" t="s">
        <v>989</v>
      </c>
      <c r="G459" s="88">
        <v>2</v>
      </c>
      <c r="H459" s="88">
        <v>2</v>
      </c>
      <c r="I459" s="88">
        <v>1</v>
      </c>
      <c r="J459" s="88">
        <v>1</v>
      </c>
      <c r="K459" s="88">
        <v>0</v>
      </c>
      <c r="L459" s="88">
        <v>0</v>
      </c>
      <c r="M459" s="88">
        <v>0</v>
      </c>
      <c r="N459" s="88">
        <v>0</v>
      </c>
      <c r="O459" s="88">
        <v>0</v>
      </c>
      <c r="P459" s="88">
        <v>0</v>
      </c>
      <c r="Q459" s="88">
        <v>0</v>
      </c>
      <c r="R459" s="88">
        <v>0</v>
      </c>
      <c r="S459" s="88">
        <v>834.49503068156923</v>
      </c>
      <c r="T459" s="88">
        <v>834.49503068156923</v>
      </c>
      <c r="U459" s="88">
        <v>1408.3846153846155</v>
      </c>
      <c r="V459" s="88">
        <v>0</v>
      </c>
      <c r="W459" s="88">
        <v>0</v>
      </c>
      <c r="X459" s="88">
        <v>1365.173957061457</v>
      </c>
      <c r="Y459" s="88">
        <v>4.5824670824670823E-2</v>
      </c>
      <c r="Z459" s="88">
        <v>1.9515765765765767</v>
      </c>
      <c r="AA459" s="88">
        <v>2.5987525987525989E-3</v>
      </c>
      <c r="AB459" s="528">
        <v>0</v>
      </c>
      <c r="AC459" s="528">
        <v>0</v>
      </c>
      <c r="AD459" s="641">
        <v>2</v>
      </c>
      <c r="AE459" s="642">
        <v>2.2912335412335411E-2</v>
      </c>
      <c r="AF459" s="642">
        <v>0.97578828828828834</v>
      </c>
      <c r="AG459" s="643">
        <v>0.99870062370062374</v>
      </c>
      <c r="AH459" s="642">
        <v>1.2993762993762994E-3</v>
      </c>
      <c r="AI459" s="642">
        <v>4.1659861025822545E-2</v>
      </c>
      <c r="AJ459" s="642">
        <v>1.7742060662585184</v>
      </c>
      <c r="AK459" s="642">
        <v>1.8158659272843409</v>
      </c>
      <c r="AL459" s="642">
        <v>2.3625630071354943E-3</v>
      </c>
      <c r="AM459" s="642">
        <v>2.0906454625571898E-2</v>
      </c>
      <c r="AN459" s="642">
        <v>0.89036203451703089</v>
      </c>
      <c r="AO459" s="642">
        <v>0.91126848914260283</v>
      </c>
      <c r="AP459" s="642">
        <v>1.1856212453065351E-3</v>
      </c>
      <c r="AQ459" s="642">
        <v>0</v>
      </c>
      <c r="AR459" s="642">
        <v>0</v>
      </c>
      <c r="AS459" s="642">
        <v>1.6508295817689698</v>
      </c>
      <c r="AT459" s="642">
        <v>1.7313824503232471</v>
      </c>
      <c r="AU459" s="642">
        <v>1.8158659272843409</v>
      </c>
      <c r="AV459" s="642">
        <v>1.9044718082111811</v>
      </c>
      <c r="AW459" s="642">
        <v>1.9974012474012475</v>
      </c>
      <c r="AX459" s="642">
        <v>0.83149067858514769</v>
      </c>
      <c r="AY459" s="642">
        <v>0.87046611330392698</v>
      </c>
      <c r="AZ459" s="642">
        <v>0.91126848914260272</v>
      </c>
      <c r="BA459" s="642">
        <v>0.95398344244826516</v>
      </c>
      <c r="BB459" s="642">
        <v>0.99870062370062374</v>
      </c>
      <c r="BC459" s="642">
        <v>0</v>
      </c>
      <c r="BD459" s="642">
        <v>0</v>
      </c>
      <c r="BE459" s="642">
        <v>0</v>
      </c>
      <c r="BF459" s="642">
        <v>0</v>
      </c>
      <c r="BG459" s="642">
        <v>0</v>
      </c>
      <c r="BH459" s="644">
        <v>2.0241796178915923</v>
      </c>
      <c r="BI459" s="644">
        <v>2.0513169954302457</v>
      </c>
      <c r="BJ459" s="644">
        <v>2.0788181930830665</v>
      </c>
      <c r="BK459" s="645">
        <v>2.0651508755350103</v>
      </c>
      <c r="BL459" s="645">
        <v>2.0515734146033622</v>
      </c>
      <c r="BM459" s="645">
        <v>2.066301384204579</v>
      </c>
      <c r="BN459" s="645">
        <v>2.08113508391861</v>
      </c>
      <c r="BO459" s="645">
        <v>2.0960752727677159</v>
      </c>
      <c r="BP459" s="645">
        <v>2.1111227152230727</v>
      </c>
      <c r="BQ459" s="645">
        <v>2.1262781812438947</v>
      </c>
      <c r="BR459" s="645">
        <v>2.1382143096449546</v>
      </c>
      <c r="BS459" s="645">
        <v>2.1502174429950678</v>
      </c>
      <c r="BT459" s="645">
        <v>2.1622879574348928</v>
      </c>
      <c r="BU459" s="645">
        <v>2.1744262312166005</v>
      </c>
      <c r="BV459" s="645">
        <v>2.1866326447157269</v>
      </c>
      <c r="BW459" s="644">
        <v>1.0120898089457961</v>
      </c>
      <c r="BX459" s="644">
        <v>1.0256584977151229</v>
      </c>
      <c r="BY459" s="644">
        <v>1.0394090965415332</v>
      </c>
      <c r="BZ459" s="645">
        <v>1.0325754377675052</v>
      </c>
      <c r="CA459" s="645">
        <v>1.0257867073016811</v>
      </c>
      <c r="CB459" s="645">
        <v>1.0331506921022895</v>
      </c>
      <c r="CC459" s="645">
        <v>1.040567541959305</v>
      </c>
      <c r="CD459" s="645">
        <v>1.0480376363838579</v>
      </c>
      <c r="CE459" s="645">
        <v>1.0555613576115364</v>
      </c>
      <c r="CF459" s="645">
        <v>1.0631390906219473</v>
      </c>
      <c r="CG459" s="645">
        <v>1.0691071548224773</v>
      </c>
      <c r="CH459" s="645">
        <v>1.0751087214975339</v>
      </c>
      <c r="CI459" s="645">
        <v>1.0811439787174464</v>
      </c>
      <c r="CJ459" s="645">
        <v>1.0872131156083003</v>
      </c>
      <c r="CK459" s="645">
        <v>1.0933163223578635</v>
      </c>
      <c r="CL459" s="644">
        <v>0</v>
      </c>
      <c r="CM459" s="644">
        <v>0</v>
      </c>
      <c r="CN459" s="644">
        <v>0</v>
      </c>
      <c r="CO459" s="645">
        <v>0</v>
      </c>
      <c r="CP459" s="645">
        <v>0</v>
      </c>
      <c r="CQ459" s="645">
        <v>0</v>
      </c>
      <c r="CR459" s="645">
        <v>0</v>
      </c>
      <c r="CS459" s="645">
        <v>0</v>
      </c>
      <c r="CT459" s="645">
        <v>0</v>
      </c>
      <c r="CU459" s="645">
        <v>0</v>
      </c>
      <c r="CV459" s="645">
        <v>0</v>
      </c>
      <c r="CW459" s="645">
        <v>0</v>
      </c>
      <c r="CX459" s="645">
        <v>0</v>
      </c>
      <c r="CY459" s="645">
        <v>0</v>
      </c>
      <c r="CZ459" s="645">
        <v>0</v>
      </c>
      <c r="DA459" s="646">
        <v>2.6335930495597088E-3</v>
      </c>
      <c r="DB459" s="646">
        <v>2.6689005925452066E-3</v>
      </c>
      <c r="DC459" s="646">
        <v>2.7046814898296465E-3</v>
      </c>
      <c r="DD459" s="647">
        <v>2.6868993956999871E-3</v>
      </c>
      <c r="DE459" s="647">
        <v>2.6692342110374214E-3</v>
      </c>
      <c r="DF459" s="647">
        <v>2.6883962844191757E-3</v>
      </c>
      <c r="DG459" s="647">
        <v>2.7076959197483868E-3</v>
      </c>
      <c r="DH459" s="647">
        <v>2.7271341045637726E-3</v>
      </c>
      <c r="DI459" s="647">
        <v>2.7467118334934589E-3</v>
      </c>
      <c r="DJ459" s="647">
        <v>2.7664301083058737E-3</v>
      </c>
      <c r="DK459" s="647">
        <v>2.7819598095822984E-3</v>
      </c>
      <c r="DL459" s="647">
        <v>2.7975766887783859E-3</v>
      </c>
      <c r="DM459" s="647">
        <v>2.8132812352782881E-3</v>
      </c>
      <c r="DN459" s="647">
        <v>2.8290739412133751E-3</v>
      </c>
      <c r="DO459" s="647">
        <v>2.8449553014776568E-3</v>
      </c>
      <c r="DP459" s="646">
        <v>0</v>
      </c>
      <c r="DQ459" s="646">
        <v>0</v>
      </c>
      <c r="DR459" s="646">
        <v>0</v>
      </c>
      <c r="DS459" s="647">
        <v>0</v>
      </c>
      <c r="DT459" s="647">
        <v>0</v>
      </c>
      <c r="DU459" s="647">
        <v>0</v>
      </c>
      <c r="DV459" s="647">
        <v>0</v>
      </c>
      <c r="DW459" s="647">
        <v>0</v>
      </c>
      <c r="DX459" s="647">
        <v>0</v>
      </c>
      <c r="DY459" s="647">
        <v>0</v>
      </c>
      <c r="DZ459" s="647">
        <v>0</v>
      </c>
      <c r="EA459" s="647">
        <v>0</v>
      </c>
      <c r="EB459" s="647">
        <v>0</v>
      </c>
      <c r="EC459" s="647">
        <v>0</v>
      </c>
      <c r="ED459" s="647">
        <v>0</v>
      </c>
    </row>
    <row r="460" spans="1:135" ht="15" x14ac:dyDescent="0.25">
      <c r="A460"/>
      <c r="B460"/>
      <c r="C460" s="810" t="s">
        <v>341</v>
      </c>
      <c r="D460" s="810"/>
      <c r="E460" s="810"/>
      <c r="F460" s="822">
        <v>244</v>
      </c>
      <c r="G460" s="87">
        <v>97581</v>
      </c>
      <c r="H460" s="87">
        <v>41783</v>
      </c>
      <c r="I460" s="87">
        <v>36441</v>
      </c>
      <c r="J460" s="87">
        <v>5342</v>
      </c>
      <c r="K460" s="87">
        <v>529</v>
      </c>
      <c r="L460" s="87">
        <v>22529</v>
      </c>
      <c r="M460" s="87">
        <v>23058</v>
      </c>
      <c r="N460" s="87">
        <v>1668</v>
      </c>
      <c r="O460" s="87">
        <v>30</v>
      </c>
      <c r="P460" s="87">
        <v>45</v>
      </c>
      <c r="Q460" s="87">
        <v>24801</v>
      </c>
      <c r="R460" s="87">
        <v>8059.2098298676747</v>
      </c>
      <c r="S460" s="87">
        <v>2191.4200807847665</v>
      </c>
      <c r="T460" s="87">
        <v>2273.1421409939667</v>
      </c>
      <c r="U460" s="87">
        <v>9867.815347721822</v>
      </c>
      <c r="V460" s="87">
        <v>4421.5</v>
      </c>
      <c r="W460" s="87">
        <v>22620.711111111112</v>
      </c>
      <c r="X460" s="87">
        <v>2796.2527475896877</v>
      </c>
      <c r="Y460" s="87">
        <v>1723.0790522968232</v>
      </c>
      <c r="Z460" s="87">
        <v>39958.78813928843</v>
      </c>
      <c r="AA460" s="87">
        <v>101.13280841474675</v>
      </c>
      <c r="AB460" s="648">
        <v>1668</v>
      </c>
      <c r="AC460" s="648">
        <v>45</v>
      </c>
      <c r="AD460" s="649">
        <v>43496</v>
      </c>
      <c r="AE460" s="87">
        <v>1455.6729814296343</v>
      </c>
      <c r="AF460" s="87">
        <v>34899.769602710629</v>
      </c>
      <c r="AG460" s="650">
        <v>36355.442584140263</v>
      </c>
      <c r="AH460" s="87">
        <v>85.557415859728692</v>
      </c>
      <c r="AI460" s="87">
        <v>1643.9067438153506</v>
      </c>
      <c r="AJ460" s="87">
        <v>38014.835934217743</v>
      </c>
      <c r="AK460" s="87">
        <v>39658.742678033093</v>
      </c>
      <c r="AL460" s="87">
        <v>99.92567161211872</v>
      </c>
      <c r="AM460" s="87">
        <v>1398.3635072844274</v>
      </c>
      <c r="AN460" s="87">
        <v>33353.505137145046</v>
      </c>
      <c r="AO460" s="87">
        <v>34751.868644429473</v>
      </c>
      <c r="AP460" s="87">
        <v>84.779842969035542</v>
      </c>
      <c r="AQ460" s="87">
        <v>1617.0074941395769</v>
      </c>
      <c r="AR460" s="87">
        <v>44.767575530227653</v>
      </c>
      <c r="AS460" s="87">
        <v>37787.114195794493</v>
      </c>
      <c r="AT460" s="87">
        <v>38704.569597861955</v>
      </c>
      <c r="AU460" s="87">
        <v>39658.742678033064</v>
      </c>
      <c r="AV460" s="87">
        <v>40650.774187393195</v>
      </c>
      <c r="AW460" s="87">
        <v>41681.867191585196</v>
      </c>
      <c r="AX460" s="87">
        <v>33274.729572709875</v>
      </c>
      <c r="AY460" s="87">
        <v>33997.809701671242</v>
      </c>
      <c r="AZ460" s="87">
        <v>34751.86864442948</v>
      </c>
      <c r="BA460" s="87">
        <v>35537.520282353558</v>
      </c>
      <c r="BB460" s="87">
        <v>36355.442584140248</v>
      </c>
      <c r="BC460" s="87">
        <v>1568.4694983924705</v>
      </c>
      <c r="BD460" s="87">
        <v>1592.4401435542591</v>
      </c>
      <c r="BE460" s="87">
        <v>1617.0074941395769</v>
      </c>
      <c r="BF460" s="87">
        <v>1642.1883466948743</v>
      </c>
      <c r="BG460" s="87">
        <v>1668</v>
      </c>
      <c r="BH460" s="87">
        <v>42184.122437038641</v>
      </c>
      <c r="BI460" s="87">
        <v>42693.961884089709</v>
      </c>
      <c r="BJ460" s="87">
        <v>43211.520118765708</v>
      </c>
      <c r="BK460" s="376">
        <v>43492.345704192732</v>
      </c>
      <c r="BL460" s="376">
        <v>43773.504408190929</v>
      </c>
      <c r="BM460" s="376">
        <v>44159.597672946467</v>
      </c>
      <c r="BN460" s="376">
        <v>44546.082902874114</v>
      </c>
      <c r="BO460" s="376">
        <v>44993.443877491911</v>
      </c>
      <c r="BP460" s="376">
        <v>45441.202465212598</v>
      </c>
      <c r="BQ460" s="376">
        <v>46584.052600311741</v>
      </c>
      <c r="BR460" s="376">
        <v>47922.989982291612</v>
      </c>
      <c r="BS460" s="376">
        <v>48535.96006654713</v>
      </c>
      <c r="BT460" s="376">
        <v>48892.88790105837</v>
      </c>
      <c r="BU460" s="376">
        <v>49261.178770593287</v>
      </c>
      <c r="BV460" s="376">
        <v>49637.500534491941</v>
      </c>
      <c r="BW460" s="87">
        <v>36799.021318671854</v>
      </c>
      <c r="BX460" s="87">
        <v>37249.374060835311</v>
      </c>
      <c r="BY460" s="87">
        <v>37706.621947830106</v>
      </c>
      <c r="BZ460" s="376">
        <v>37965.816543091001</v>
      </c>
      <c r="CA460" s="376">
        <v>38225.260139804341</v>
      </c>
      <c r="CB460" s="376">
        <v>38563.140846596994</v>
      </c>
      <c r="CC460" s="376">
        <v>38901.314541849613</v>
      </c>
      <c r="CD460" s="376">
        <v>39293.983461666619</v>
      </c>
      <c r="CE460" s="376">
        <v>39686.94959169237</v>
      </c>
      <c r="CF460" s="376">
        <v>40702.763153235588</v>
      </c>
      <c r="CG460" s="376">
        <v>41896.074779974522</v>
      </c>
      <c r="CH460" s="376">
        <v>42438.773177208932</v>
      </c>
      <c r="CI460" s="376">
        <v>42751.981926971814</v>
      </c>
      <c r="CJ460" s="376">
        <v>43075.336327126483</v>
      </c>
      <c r="CK460" s="376">
        <v>43405.850066937506</v>
      </c>
      <c r="CL460" s="87">
        <v>1692.4690545722417</v>
      </c>
      <c r="CM460" s="87">
        <v>1717.3556270726835</v>
      </c>
      <c r="CN460" s="87">
        <v>1742.6675394014253</v>
      </c>
      <c r="CO460" s="376">
        <v>1777.5515002930695</v>
      </c>
      <c r="CP460" s="376">
        <v>1812.4395742072984</v>
      </c>
      <c r="CQ460" s="376">
        <v>1848.6232775335832</v>
      </c>
      <c r="CR460" s="376">
        <v>1884.811820462779</v>
      </c>
      <c r="CS460" s="376">
        <v>1927.4940447495592</v>
      </c>
      <c r="CT460" s="376">
        <v>1970.181178374379</v>
      </c>
      <c r="CU460" s="376">
        <v>2087.3064149296451</v>
      </c>
      <c r="CV460" s="376">
        <v>2226.5729593863289</v>
      </c>
      <c r="CW460" s="376">
        <v>2288.0316851931607</v>
      </c>
      <c r="CX460" s="376">
        <v>2322.0329058786269</v>
      </c>
      <c r="CY460" s="376">
        <v>2357.2278135108163</v>
      </c>
      <c r="CZ460" s="376">
        <v>2393.2592498847657</v>
      </c>
      <c r="DA460" s="87">
        <v>102.43246808374707</v>
      </c>
      <c r="DB460" s="87">
        <v>103.74927950089808</v>
      </c>
      <c r="DC460" s="87">
        <v>105.08347126371459</v>
      </c>
      <c r="DD460" s="376">
        <v>105.85634389860192</v>
      </c>
      <c r="DE460" s="376">
        <v>106.62940022828539</v>
      </c>
      <c r="DF460" s="376">
        <v>107.46032163789667</v>
      </c>
      <c r="DG460" s="376">
        <v>108.29145919265447</v>
      </c>
      <c r="DH460" s="376">
        <v>109.26891026941541</v>
      </c>
      <c r="DI460" s="376">
        <v>110.24658060581602</v>
      </c>
      <c r="DJ460" s="376">
        <v>112.90266581827041</v>
      </c>
      <c r="DK460" s="376">
        <v>116.05469719975815</v>
      </c>
      <c r="DL460" s="376">
        <v>117.45251618581557</v>
      </c>
      <c r="DM460" s="376">
        <v>118.23133759751533</v>
      </c>
      <c r="DN460" s="376">
        <v>119.037140853209</v>
      </c>
      <c r="DO460" s="376">
        <v>119.86187373363805</v>
      </c>
      <c r="DP460" s="87">
        <v>45.541755641191791</v>
      </c>
      <c r="DQ460" s="87">
        <v>46.090498420310297</v>
      </c>
      <c r="DR460" s="87">
        <v>46.646320809758933</v>
      </c>
      <c r="DS460" s="376">
        <v>47.002444682383391</v>
      </c>
      <c r="DT460" s="376">
        <v>47.358568555007864</v>
      </c>
      <c r="DU460" s="376">
        <v>47.714692427632336</v>
      </c>
      <c r="DV460" s="376">
        <v>48.070816300256794</v>
      </c>
      <c r="DW460" s="376">
        <v>48.491909422126056</v>
      </c>
      <c r="DX460" s="376">
        <v>48.913002543995326</v>
      </c>
      <c r="DY460" s="376">
        <v>50.080393562373601</v>
      </c>
      <c r="DZ460" s="376">
        <v>51.471260056191007</v>
      </c>
      <c r="EA460" s="376">
        <v>52.081962150217983</v>
      </c>
      <c r="EB460" s="376">
        <v>52.417332919649354</v>
      </c>
      <c r="EC460" s="376">
        <v>52.764640994836633</v>
      </c>
      <c r="ED460" s="376">
        <v>53.120305184053088</v>
      </c>
    </row>
    <row r="461" spans="1:135" ht="15" x14ac:dyDescent="0.25">
      <c r="Z461" s="87">
        <v>41783</v>
      </c>
      <c r="AD461" s="651"/>
      <c r="AG461" s="87">
        <v>36440.999999999993</v>
      </c>
      <c r="AO461" s="651"/>
      <c r="BV461" s="652">
        <v>1.1487098902807538</v>
      </c>
      <c r="CK461" s="652">
        <v>1.1511466109850068</v>
      </c>
      <c r="CZ461" s="652">
        <v>1.3733309399375206</v>
      </c>
      <c r="DO461" s="652">
        <v>1.1406348904561403</v>
      </c>
      <c r="ED461" s="652">
        <v>1.1387887460770481</v>
      </c>
      <c r="EE461" s="167"/>
    </row>
    <row r="462" spans="1:135" ht="15" x14ac:dyDescent="0.25">
      <c r="C462" s="653" t="s">
        <v>1443</v>
      </c>
      <c r="G462" s="87">
        <v>85961</v>
      </c>
      <c r="H462" s="87">
        <v>35685</v>
      </c>
      <c r="I462" s="87">
        <v>32093</v>
      </c>
      <c r="J462" s="87">
        <v>3592</v>
      </c>
      <c r="K462" s="87">
        <v>511</v>
      </c>
      <c r="L462" s="87">
        <v>20198</v>
      </c>
      <c r="M462" s="87">
        <v>20709</v>
      </c>
      <c r="N462" s="87">
        <v>1609</v>
      </c>
      <c r="O462" s="87">
        <v>30</v>
      </c>
      <c r="P462" s="87">
        <v>45</v>
      </c>
      <c r="Q462" s="87">
        <v>22393</v>
      </c>
      <c r="R462" s="87">
        <v>774104.65070895897</v>
      </c>
      <c r="S462" s="87">
        <v>496285.48631449911</v>
      </c>
      <c r="T462" s="87">
        <v>506880.16903114202</v>
      </c>
      <c r="U462" s="87">
        <v>1038454.0093164516</v>
      </c>
      <c r="V462" s="87">
        <v>42947.482758620688</v>
      </c>
      <c r="W462" s="87">
        <v>57842.808270676687</v>
      </c>
      <c r="X462" s="87">
        <v>681270.88641935075</v>
      </c>
      <c r="Y462" s="87">
        <v>1614.7303807280366</v>
      </c>
      <c r="Z462" s="87">
        <v>33973.070022915424</v>
      </c>
      <c r="AA462" s="87">
        <v>97.199596356534698</v>
      </c>
      <c r="AB462" s="87">
        <v>1609</v>
      </c>
      <c r="AC462" s="87">
        <v>45</v>
      </c>
      <c r="AD462" s="87">
        <v>37339</v>
      </c>
      <c r="AE462" s="87">
        <v>1375.7899408732408</v>
      </c>
      <c r="AF462" s="87">
        <v>30634.166936406324</v>
      </c>
      <c r="AG462" s="87">
        <v>32009.956877279561</v>
      </c>
      <c r="AH462" s="87">
        <v>83.043122720435534</v>
      </c>
      <c r="AI462" s="87">
        <v>1539.7239581564361</v>
      </c>
      <c r="AJ462" s="87">
        <v>32299.303057306934</v>
      </c>
      <c r="AK462" s="87">
        <v>33839.027015463354</v>
      </c>
      <c r="AL462" s="87">
        <v>96.069119500122966</v>
      </c>
      <c r="AM462" s="87">
        <v>1320.487652482529</v>
      </c>
      <c r="AN462" s="87">
        <v>29225.099575527911</v>
      </c>
      <c r="AO462" s="87">
        <v>30545.587228010445</v>
      </c>
      <c r="AP462" s="87">
        <v>82.243376244827985</v>
      </c>
      <c r="AQ462" s="87">
        <v>1561.484430255754</v>
      </c>
      <c r="AR462" s="87">
        <v>44.767575530227653</v>
      </c>
      <c r="AS462" s="87">
        <v>32202.168529267714</v>
      </c>
      <c r="AT462" s="87">
        <v>33007.122377380947</v>
      </c>
      <c r="AU462" s="87">
        <v>33839.027015463354</v>
      </c>
      <c r="AV462" s="87">
        <v>34698.900101202169</v>
      </c>
      <c r="AW462" s="87">
        <v>35587.800403643458</v>
      </c>
      <c r="AX462" s="87">
        <v>29172.306855156905</v>
      </c>
      <c r="AY462" s="87">
        <v>29847.960737788013</v>
      </c>
      <c r="AZ462" s="87">
        <v>30545.587228010441</v>
      </c>
      <c r="BA462" s="87">
        <v>31265.978412635606</v>
      </c>
      <c r="BB462" s="87">
        <v>32009.956877279561</v>
      </c>
      <c r="BC462" s="87">
        <v>1516.2064183560797</v>
      </c>
      <c r="BD462" s="87">
        <v>1538.5732906351541</v>
      </c>
      <c r="BE462" s="87">
        <v>1561.484430255754</v>
      </c>
      <c r="BF462" s="87">
        <v>1584.9548493321872</v>
      </c>
      <c r="BG462" s="87">
        <v>1609</v>
      </c>
      <c r="BH462" s="87">
        <v>36031.408028875012</v>
      </c>
      <c r="BI462" s="87">
        <v>36481.925371155972</v>
      </c>
      <c r="BJ462" s="87">
        <v>36939.478074157225</v>
      </c>
      <c r="BK462" s="87">
        <v>37231.887346153853</v>
      </c>
      <c r="BL462" s="87">
        <v>37524.431438708038</v>
      </c>
      <c r="BM462" s="87">
        <v>37859.444901676361</v>
      </c>
      <c r="BN462" s="87">
        <v>38194.617001741535</v>
      </c>
      <c r="BO462" s="87">
        <v>38587.040628010123</v>
      </c>
      <c r="BP462" s="87">
        <v>38979.625177219874</v>
      </c>
      <c r="BQ462" s="87">
        <v>40028.131169260756</v>
      </c>
      <c r="BR462" s="87">
        <v>41268.171006382319</v>
      </c>
      <c r="BS462" s="87">
        <v>41822.794088063529</v>
      </c>
      <c r="BT462" s="87">
        <v>42135.589280588676</v>
      </c>
      <c r="BU462" s="87">
        <v>42458.975248070703</v>
      </c>
      <c r="BV462" s="87">
        <v>42789.805828501587</v>
      </c>
      <c r="BW462" s="87">
        <v>32410.710036832301</v>
      </c>
      <c r="BX462" s="87">
        <v>32817.725965581965</v>
      </c>
      <c r="BY462" s="87">
        <v>33231.118725223052</v>
      </c>
      <c r="BZ462" s="87">
        <v>33493.374682769812</v>
      </c>
      <c r="CA462" s="87">
        <v>33755.751059495109</v>
      </c>
      <c r="CB462" s="87">
        <v>34056.060276680357</v>
      </c>
      <c r="CC462" s="87">
        <v>34356.51118552783</v>
      </c>
      <c r="CD462" s="87">
        <v>34708.295464717623</v>
      </c>
      <c r="CE462" s="654">
        <v>35060.223477242536</v>
      </c>
      <c r="CF462" s="87">
        <v>36000.27472521396</v>
      </c>
      <c r="CG462" s="87">
        <v>37112.079106293444</v>
      </c>
      <c r="CH462" s="87">
        <v>37609.312739387911</v>
      </c>
      <c r="CI462" s="87">
        <v>37889.714056929617</v>
      </c>
      <c r="CJ462" s="87">
        <v>38179.611109584381</v>
      </c>
      <c r="CK462" s="87">
        <v>38476.182928384085</v>
      </c>
      <c r="CL462" s="87">
        <v>1632.7483813699484</v>
      </c>
      <c r="CM462" s="87">
        <v>1656.9045855039067</v>
      </c>
      <c r="CN462" s="87">
        <v>1681.476291599585</v>
      </c>
      <c r="CO462" s="87">
        <v>1716.4263708145834</v>
      </c>
      <c r="CP462" s="87">
        <v>1751.3788179209994</v>
      </c>
      <c r="CQ462" s="87">
        <v>1787.0771665394652</v>
      </c>
      <c r="CR462" s="87">
        <v>1822.7783013459384</v>
      </c>
      <c r="CS462" s="87">
        <v>1864.9346867863435</v>
      </c>
      <c r="CT462" s="87">
        <v>1907.0938985616808</v>
      </c>
      <c r="CU462" s="87">
        <v>2023.27142066294</v>
      </c>
      <c r="CV462" s="87">
        <v>2161.5276976038731</v>
      </c>
      <c r="CW462" s="87">
        <v>2222.4115039263284</v>
      </c>
      <c r="CX462" s="87">
        <v>2255.9905963857627</v>
      </c>
      <c r="CY462" s="87">
        <v>2290.7553786407575</v>
      </c>
      <c r="CZ462" s="87">
        <v>2326.3506894522206</v>
      </c>
      <c r="DA462" s="87">
        <v>98.468818497451934</v>
      </c>
      <c r="DB462" s="87">
        <v>99.754906666117947</v>
      </c>
      <c r="DC462" s="87">
        <v>101.05808637483767</v>
      </c>
      <c r="DD462" s="87">
        <v>101.84549135884315</v>
      </c>
      <c r="DE462" s="87">
        <v>102.63292509851692</v>
      </c>
      <c r="DF462" s="87">
        <v>103.42941706454246</v>
      </c>
      <c r="DG462" s="87">
        <v>104.22594286602906</v>
      </c>
      <c r="DH462" s="87">
        <v>105.16695043854551</v>
      </c>
      <c r="DI462" s="87">
        <v>106.1079923340673</v>
      </c>
      <c r="DJ462" s="87">
        <v>108.70833084137864</v>
      </c>
      <c r="DK462" s="87">
        <v>111.80449749840577</v>
      </c>
      <c r="DL462" s="87">
        <v>113.16612734543388</v>
      </c>
      <c r="DM462" s="87">
        <v>113.91562800703515</v>
      </c>
      <c r="DN462" s="87">
        <v>114.69169085146456</v>
      </c>
      <c r="DO462" s="87">
        <v>115.48635385084822</v>
      </c>
      <c r="DP462" s="87">
        <v>45.541755641191791</v>
      </c>
      <c r="DQ462" s="87">
        <v>46.090498420310297</v>
      </c>
      <c r="DR462" s="87">
        <v>46.646320809758933</v>
      </c>
      <c r="DS462" s="87">
        <v>47.002444682383391</v>
      </c>
      <c r="DT462" s="87">
        <v>47.358568555007864</v>
      </c>
      <c r="DU462" s="87">
        <v>47.714692427632336</v>
      </c>
      <c r="DV462" s="87">
        <v>48.070816300256794</v>
      </c>
      <c r="DW462" s="87">
        <v>48.491909422126056</v>
      </c>
      <c r="DX462" s="87">
        <v>48.913002543995326</v>
      </c>
      <c r="DY462" s="87">
        <v>50.080393562373601</v>
      </c>
      <c r="DZ462" s="87">
        <v>51.471260056191007</v>
      </c>
      <c r="EA462" s="87">
        <v>52.081962150217983</v>
      </c>
      <c r="EB462" s="87">
        <v>52.417332919649354</v>
      </c>
      <c r="EC462" s="87">
        <v>52.764640994836633</v>
      </c>
      <c r="ED462" s="87">
        <v>53.120305184053088</v>
      </c>
    </row>
  </sheetData>
  <mergeCells count="20">
    <mergeCell ref="DA4:DO4"/>
    <mergeCell ref="DP4:ED4"/>
    <mergeCell ref="AM4:AP4"/>
    <mergeCell ref="AQ4:AR4"/>
    <mergeCell ref="AS4:AW4"/>
    <mergeCell ref="AX4:BB4"/>
    <mergeCell ref="BC4:BG4"/>
    <mergeCell ref="BH4:BV4"/>
    <mergeCell ref="A1:X1"/>
    <mergeCell ref="AI1:AR1"/>
    <mergeCell ref="AS1:BG1"/>
    <mergeCell ref="BH1:CZ1"/>
    <mergeCell ref="G4:J4"/>
    <mergeCell ref="K4:Q4"/>
    <mergeCell ref="R4:X4"/>
    <mergeCell ref="Y4:AD4"/>
    <mergeCell ref="AE4:AH4"/>
    <mergeCell ref="AI4:AL4"/>
    <mergeCell ref="BW4:CK4"/>
    <mergeCell ref="CL4:CZ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45"/>
  <sheetViews>
    <sheetView topLeftCell="A51" zoomScale="84" zoomScaleNormal="84" workbookViewId="0">
      <selection activeCell="D94" sqref="D94:N94"/>
    </sheetView>
  </sheetViews>
  <sheetFormatPr defaultColWidth="9.140625" defaultRowHeight="15" x14ac:dyDescent="0.25"/>
  <cols>
    <col min="1" max="1" width="48.85546875" customWidth="1"/>
    <col min="2" max="2" width="14.7109375" customWidth="1"/>
    <col min="3" max="4" width="11.85546875" customWidth="1"/>
    <col min="5" max="5" width="53.140625" customWidth="1"/>
    <col min="6" max="6" width="13.7109375" customWidth="1"/>
    <col min="7" max="7" width="12.5703125" customWidth="1"/>
    <col min="8" max="9" width="9.140625" customWidth="1"/>
    <col min="15" max="15" width="93.28515625" customWidth="1"/>
  </cols>
  <sheetData>
    <row r="1" spans="1:14" ht="15.75" x14ac:dyDescent="0.25">
      <c r="A1" s="872" t="s">
        <v>1444</v>
      </c>
      <c r="B1" s="872"/>
      <c r="C1" s="872"/>
      <c r="D1" s="872"/>
      <c r="E1" s="872"/>
      <c r="F1" s="14"/>
    </row>
    <row r="2" spans="1:14" ht="16.5" thickBot="1" x14ac:dyDescent="0.3">
      <c r="A2" s="6" t="s">
        <v>1445</v>
      </c>
      <c r="B2" s="6"/>
      <c r="C2" s="6" t="s">
        <v>1446</v>
      </c>
      <c r="D2" s="6" t="s">
        <v>1447</v>
      </c>
      <c r="E2" s="6" t="s">
        <v>751</v>
      </c>
      <c r="G2" s="873" t="s">
        <v>1448</v>
      </c>
      <c r="H2" s="873"/>
      <c r="I2" s="873"/>
      <c r="J2" s="873"/>
      <c r="K2" s="873"/>
      <c r="L2" s="873"/>
      <c r="M2" s="873"/>
      <c r="N2" s="873"/>
    </row>
    <row r="3" spans="1:14" ht="15.75" thickTop="1" x14ac:dyDescent="0.25">
      <c r="A3" s="812" t="s">
        <v>1449</v>
      </c>
      <c r="B3" s="812"/>
      <c r="C3" s="15">
        <v>17.3</v>
      </c>
      <c r="D3" t="s">
        <v>1450</v>
      </c>
      <c r="E3" t="s">
        <v>1451</v>
      </c>
      <c r="H3" s="16" t="s">
        <v>1452</v>
      </c>
      <c r="I3" s="17">
        <v>5.63</v>
      </c>
      <c r="J3" s="18" t="s">
        <v>1453</v>
      </c>
    </row>
    <row r="4" spans="1:14" x14ac:dyDescent="0.25">
      <c r="A4" s="812" t="s">
        <v>1454</v>
      </c>
      <c r="B4" s="812"/>
      <c r="C4" s="19">
        <v>16.527501810052286</v>
      </c>
      <c r="D4" t="s">
        <v>1450</v>
      </c>
      <c r="E4" t="s">
        <v>1455</v>
      </c>
      <c r="H4" s="16" t="s">
        <v>1456</v>
      </c>
      <c r="I4" s="20">
        <f>90690/14274</f>
        <v>6.3535098781000423</v>
      </c>
      <c r="J4" s="18" t="s">
        <v>1453</v>
      </c>
      <c r="N4" s="21" t="s">
        <v>1457</v>
      </c>
    </row>
    <row r="5" spans="1:14" x14ac:dyDescent="0.25">
      <c r="A5" s="812" t="s">
        <v>1458</v>
      </c>
      <c r="B5" s="812"/>
      <c r="C5" s="19">
        <v>13.772918175043571</v>
      </c>
      <c r="D5" t="s">
        <v>1450</v>
      </c>
      <c r="E5" t="s">
        <v>1455</v>
      </c>
      <c r="H5" s="22"/>
      <c r="I5" s="22"/>
      <c r="J5" s="22"/>
      <c r="K5" s="22"/>
      <c r="L5" s="23" t="s">
        <v>1459</v>
      </c>
      <c r="M5" s="23" t="s">
        <v>1460</v>
      </c>
      <c r="N5" s="23" t="s">
        <v>1461</v>
      </c>
    </row>
    <row r="6" spans="1:14" x14ac:dyDescent="0.25">
      <c r="A6" s="812" t="s">
        <v>1462</v>
      </c>
      <c r="B6" s="812"/>
      <c r="C6" s="19">
        <v>12.109899970363385</v>
      </c>
      <c r="D6" t="s">
        <v>1450</v>
      </c>
      <c r="E6" t="s">
        <v>1455</v>
      </c>
      <c r="H6" s="16" t="s">
        <v>1463</v>
      </c>
      <c r="I6" s="24">
        <v>14274</v>
      </c>
      <c r="J6" s="18" t="s">
        <v>1464</v>
      </c>
      <c r="K6" s="22"/>
      <c r="L6" s="21">
        <v>1</v>
      </c>
      <c r="M6" s="25">
        <v>73.946236559139791</v>
      </c>
      <c r="N6" s="26">
        <v>1.9237725625309692</v>
      </c>
    </row>
    <row r="7" spans="1:14" x14ac:dyDescent="0.25">
      <c r="A7" s="812" t="s">
        <v>1465</v>
      </c>
      <c r="B7" s="812"/>
      <c r="C7" s="19">
        <v>12.141821186058127</v>
      </c>
      <c r="D7" t="s">
        <v>1450</v>
      </c>
      <c r="E7" t="s">
        <v>1455</v>
      </c>
      <c r="H7" s="16" t="s">
        <v>1466</v>
      </c>
      <c r="I7" s="27">
        <v>63.084095063985373</v>
      </c>
      <c r="J7" s="22"/>
      <c r="K7" s="22"/>
      <c r="L7" s="21">
        <v>2</v>
      </c>
      <c r="M7" s="25">
        <v>69.470588235294116</v>
      </c>
      <c r="N7" s="26">
        <v>1.807334866096399</v>
      </c>
    </row>
    <row r="8" spans="1:14" x14ac:dyDescent="0.25">
      <c r="A8" s="812" t="s">
        <v>1467</v>
      </c>
      <c r="B8" s="812"/>
      <c r="C8" s="19">
        <v>12.07221084835353</v>
      </c>
      <c r="D8" t="s">
        <v>1450</v>
      </c>
      <c r="E8" t="s">
        <v>1455</v>
      </c>
      <c r="H8" s="16" t="s">
        <v>1468</v>
      </c>
      <c r="I8" s="28">
        <v>13.881967213114756</v>
      </c>
      <c r="J8" s="22"/>
      <c r="K8" s="22"/>
      <c r="L8" s="21">
        <v>3</v>
      </c>
      <c r="M8" s="25">
        <v>59.827956989247312</v>
      </c>
      <c r="N8" s="26">
        <v>1.5564738313105004</v>
      </c>
    </row>
    <row r="9" spans="1:14" x14ac:dyDescent="0.25">
      <c r="A9" s="812" t="s">
        <v>1469</v>
      </c>
      <c r="B9" s="812"/>
      <c r="C9" s="29">
        <v>125000</v>
      </c>
      <c r="D9" t="s">
        <v>230</v>
      </c>
      <c r="E9" t="s">
        <v>1470</v>
      </c>
      <c r="H9" s="16" t="s">
        <v>1471</v>
      </c>
      <c r="I9" s="30">
        <v>38.438138686131403</v>
      </c>
      <c r="J9" s="22"/>
      <c r="K9" s="22"/>
      <c r="L9" s="21">
        <v>4</v>
      </c>
      <c r="M9" s="25">
        <v>32.068888888888885</v>
      </c>
      <c r="N9" s="26">
        <v>0.83429869356445807</v>
      </c>
    </row>
    <row r="10" spans="1:14" x14ac:dyDescent="0.25">
      <c r="A10" s="812" t="s">
        <v>1472</v>
      </c>
      <c r="C10" s="29">
        <v>138500</v>
      </c>
      <c r="D10" t="s">
        <v>230</v>
      </c>
      <c r="E10" t="s">
        <v>1473</v>
      </c>
      <c r="H10" s="22"/>
      <c r="I10" s="22"/>
      <c r="J10" s="22"/>
      <c r="K10" s="22"/>
      <c r="L10" s="21">
        <v>5</v>
      </c>
      <c r="M10" s="25">
        <v>14.520430107526881</v>
      </c>
      <c r="N10" s="26">
        <v>0.37776101038851539</v>
      </c>
    </row>
    <row r="11" spans="1:14" x14ac:dyDescent="0.25">
      <c r="A11" s="812" t="s">
        <v>1474</v>
      </c>
      <c r="B11" s="812"/>
      <c r="C11" s="29">
        <v>135000</v>
      </c>
      <c r="D11" t="s">
        <v>230</v>
      </c>
      <c r="E11" s="31" t="s">
        <v>1475</v>
      </c>
      <c r="H11" s="32" t="s">
        <v>1476</v>
      </c>
      <c r="I11" s="22"/>
      <c r="J11" s="22"/>
      <c r="K11" s="22"/>
      <c r="L11" s="21">
        <v>6</v>
      </c>
      <c r="M11" s="25">
        <v>6.0477777777777773</v>
      </c>
      <c r="N11" s="26">
        <v>0.15733794570963017</v>
      </c>
    </row>
    <row r="12" spans="1:14" x14ac:dyDescent="0.25">
      <c r="A12" s="812" t="s">
        <v>1477</v>
      </c>
      <c r="B12" s="812"/>
      <c r="C12" s="29">
        <v>136995</v>
      </c>
      <c r="D12" t="s">
        <v>230</v>
      </c>
      <c r="E12" t="s">
        <v>1478</v>
      </c>
      <c r="H12" s="22"/>
      <c r="I12" s="33" t="s">
        <v>283</v>
      </c>
      <c r="J12" s="34" t="s">
        <v>1479</v>
      </c>
      <c r="K12" s="21"/>
      <c r="L12" s="21">
        <v>7</v>
      </c>
      <c r="M12" s="25">
        <v>4.2473118279569899</v>
      </c>
      <c r="N12" s="26">
        <v>0.11049733345931843</v>
      </c>
    </row>
    <row r="13" spans="1:14" x14ac:dyDescent="0.25">
      <c r="A13" s="812" t="s">
        <v>1480</v>
      </c>
      <c r="B13" s="812"/>
      <c r="C13" s="29">
        <v>135000</v>
      </c>
      <c r="D13" t="s">
        <v>230</v>
      </c>
      <c r="E13" s="31" t="s">
        <v>1481</v>
      </c>
      <c r="H13" s="35" t="s">
        <v>1452</v>
      </c>
      <c r="I13" s="36">
        <v>355.16345521023766</v>
      </c>
      <c r="J13" s="37">
        <v>78.155475409836072</v>
      </c>
      <c r="K13" s="38"/>
      <c r="L13" s="21">
        <v>8</v>
      </c>
      <c r="M13" s="25">
        <v>9.1344086021505362</v>
      </c>
      <c r="N13" s="26">
        <v>0.23763920195871135</v>
      </c>
    </row>
    <row r="14" spans="1:14" x14ac:dyDescent="0.25">
      <c r="A14" s="812" t="s">
        <v>1482</v>
      </c>
      <c r="B14" s="812"/>
      <c r="C14" s="29">
        <v>91333</v>
      </c>
      <c r="D14" t="s">
        <v>230</v>
      </c>
      <c r="E14" s="31" t="s">
        <v>1475</v>
      </c>
      <c r="H14" s="35" t="s">
        <v>1456</v>
      </c>
      <c r="I14" s="36">
        <v>400.80542114003316</v>
      </c>
      <c r="J14" s="37">
        <v>88.199215815985511</v>
      </c>
      <c r="K14" s="38"/>
      <c r="L14" s="21">
        <v>9</v>
      </c>
      <c r="M14" s="25">
        <v>17.731111111111112</v>
      </c>
      <c r="N14" s="26">
        <v>0.46128953474816797</v>
      </c>
    </row>
    <row r="15" spans="1:14" x14ac:dyDescent="0.25">
      <c r="A15" s="812" t="s">
        <v>124</v>
      </c>
      <c r="B15" s="812"/>
      <c r="C15" s="29">
        <v>1015</v>
      </c>
      <c r="D15" t="s">
        <v>1483</v>
      </c>
      <c r="E15" s="31" t="s">
        <v>1484</v>
      </c>
      <c r="H15" s="22"/>
      <c r="I15" s="22"/>
      <c r="J15" s="22"/>
      <c r="K15" s="22"/>
      <c r="L15" s="21">
        <v>10</v>
      </c>
      <c r="M15" s="25">
        <v>42.064516129032256</v>
      </c>
      <c r="N15" s="26">
        <v>1.094343211374313</v>
      </c>
    </row>
    <row r="16" spans="1:14" x14ac:dyDescent="0.25">
      <c r="A16" s="812" t="s">
        <v>1485</v>
      </c>
      <c r="B16" s="812"/>
      <c r="C16" s="15">
        <v>15.2</v>
      </c>
      <c r="D16" s="39" t="s">
        <v>1450</v>
      </c>
      <c r="E16" t="s">
        <v>1475</v>
      </c>
      <c r="H16" s="40" t="s">
        <v>1486</v>
      </c>
      <c r="I16" s="41">
        <v>182</v>
      </c>
      <c r="J16" s="42">
        <v>183</v>
      </c>
      <c r="K16" s="22"/>
      <c r="L16" s="21">
        <v>11</v>
      </c>
      <c r="M16" s="25">
        <v>64.677777777777777</v>
      </c>
      <c r="N16" s="26">
        <v>1.6826459341829088</v>
      </c>
    </row>
    <row r="17" spans="1:14" x14ac:dyDescent="0.25">
      <c r="A17" s="812" t="s">
        <v>1487</v>
      </c>
      <c r="B17" s="812"/>
      <c r="C17" s="29">
        <v>3413</v>
      </c>
      <c r="D17" s="43" t="s">
        <v>1488</v>
      </c>
      <c r="E17" t="s">
        <v>1475</v>
      </c>
      <c r="H17" s="22"/>
      <c r="I17" s="22"/>
      <c r="J17" s="22"/>
      <c r="K17" s="22"/>
      <c r="L17" s="21">
        <v>12</v>
      </c>
      <c r="M17" s="25">
        <v>69.118279569892479</v>
      </c>
      <c r="N17" s="26">
        <v>1.7981692644974654</v>
      </c>
    </row>
    <row r="18" spans="1:14" x14ac:dyDescent="0.25">
      <c r="A18" s="44" t="s">
        <v>1489</v>
      </c>
      <c r="B18" s="44"/>
      <c r="C18" s="812"/>
      <c r="D18" s="43"/>
      <c r="F18" s="45"/>
      <c r="H18" s="16" t="s">
        <v>1490</v>
      </c>
      <c r="I18" s="24">
        <v>33441</v>
      </c>
      <c r="J18" s="32" t="s">
        <v>1491</v>
      </c>
      <c r="K18" s="22"/>
      <c r="L18" s="22"/>
      <c r="M18" s="46">
        <v>462.85528357579585</v>
      </c>
      <c r="N18" s="46">
        <v>12.041563389821357</v>
      </c>
    </row>
    <row r="19" spans="1:14" x14ac:dyDescent="0.25">
      <c r="A19" s="1" t="s">
        <v>1492</v>
      </c>
      <c r="B19" s="1"/>
      <c r="C19" s="47">
        <v>1.6827555429317793</v>
      </c>
      <c r="D19" s="48" t="s">
        <v>1493</v>
      </c>
      <c r="H19" s="16" t="s">
        <v>1494</v>
      </c>
      <c r="I19" s="24">
        <v>25130</v>
      </c>
      <c r="J19" s="32" t="s">
        <v>1495</v>
      </c>
    </row>
    <row r="21" spans="1:14" ht="15.75" x14ac:dyDescent="0.25">
      <c r="A21" s="872" t="s">
        <v>1496</v>
      </c>
      <c r="B21" s="872"/>
      <c r="C21" s="872"/>
      <c r="D21" s="872"/>
      <c r="E21" s="872"/>
      <c r="F21" s="14"/>
    </row>
    <row r="23" spans="1:14" ht="15.75" thickBot="1" x14ac:dyDescent="0.3">
      <c r="A23" s="6" t="s">
        <v>1445</v>
      </c>
      <c r="B23" s="6"/>
      <c r="C23" s="6" t="s">
        <v>1497</v>
      </c>
      <c r="D23" s="6" t="s">
        <v>1447</v>
      </c>
      <c r="E23" s="6" t="s">
        <v>122</v>
      </c>
      <c r="H23" s="49"/>
      <c r="I23" s="49"/>
      <c r="J23" s="50" t="s">
        <v>1498</v>
      </c>
      <c r="K23" s="49"/>
      <c r="L23" s="49"/>
    </row>
    <row r="24" spans="1:14" ht="15.75" thickTop="1" x14ac:dyDescent="0.25">
      <c r="A24" t="str">
        <f>A4</f>
        <v>Fairbanks Wood - Oven Dry, 0% Moisture</v>
      </c>
      <c r="C24" s="51">
        <v>200</v>
      </c>
      <c r="D24" t="s">
        <v>1499</v>
      </c>
      <c r="E24" s="31" t="s">
        <v>1484</v>
      </c>
      <c r="I24" s="1" t="s">
        <v>1500</v>
      </c>
      <c r="J24" s="52">
        <v>0.98</v>
      </c>
    </row>
    <row r="25" spans="1:14" x14ac:dyDescent="0.25">
      <c r="A25" t="str">
        <f>A11</f>
        <v>Fuel Oil #1/#2 Weighted (76% #2 24% #1)*</v>
      </c>
      <c r="C25" s="53">
        <v>2.7</v>
      </c>
      <c r="D25" t="s">
        <v>1501</v>
      </c>
      <c r="E25" s="31" t="s">
        <v>1484</v>
      </c>
      <c r="I25" s="1" t="s">
        <v>1502</v>
      </c>
      <c r="J25" s="52">
        <f>1-J24</f>
        <v>2.0000000000000018E-2</v>
      </c>
    </row>
    <row r="26" spans="1:14" x14ac:dyDescent="0.25">
      <c r="A26" t="str">
        <f>A13</f>
        <v>Kerosene</v>
      </c>
      <c r="C26" s="53">
        <f>C25</f>
        <v>2.7</v>
      </c>
      <c r="D26" t="s">
        <v>1501</v>
      </c>
      <c r="E26" t="s">
        <v>1503</v>
      </c>
    </row>
    <row r="27" spans="1:14" x14ac:dyDescent="0.25">
      <c r="A27" t="str">
        <f>A14</f>
        <v>Propane</v>
      </c>
      <c r="C27" s="53">
        <v>2.74</v>
      </c>
      <c r="D27" t="s">
        <v>1501</v>
      </c>
      <c r="E27" s="31" t="s">
        <v>1484</v>
      </c>
    </row>
    <row r="28" spans="1:14" x14ac:dyDescent="0.25">
      <c r="A28" t="str">
        <f>A15</f>
        <v>Natural Gas</v>
      </c>
      <c r="C28" s="54">
        <v>2.335</v>
      </c>
      <c r="D28" t="s">
        <v>1504</v>
      </c>
      <c r="E28" s="31" t="s">
        <v>1484</v>
      </c>
    </row>
    <row r="29" spans="1:14" x14ac:dyDescent="0.25">
      <c r="A29" t="str">
        <f>A16</f>
        <v>Coal</v>
      </c>
    </row>
    <row r="30" spans="1:14" x14ac:dyDescent="0.25">
      <c r="A30" t="str">
        <f>A17</f>
        <v>Electric</v>
      </c>
      <c r="C30" s="54">
        <v>0.18026</v>
      </c>
      <c r="D30" s="43" t="s">
        <v>1505</v>
      </c>
    </row>
    <row r="33" spans="1:15" ht="15.75" x14ac:dyDescent="0.25">
      <c r="A33" s="831" t="s">
        <v>1506</v>
      </c>
      <c r="B33" s="831"/>
      <c r="C33" s="831"/>
      <c r="D33" s="831"/>
      <c r="E33" s="831"/>
      <c r="F33" s="831"/>
      <c r="G33" s="831"/>
      <c r="H33" s="831"/>
      <c r="I33" s="831"/>
      <c r="J33" s="831"/>
      <c r="K33" s="831"/>
      <c r="L33" s="831"/>
      <c r="M33" s="831"/>
      <c r="N33" s="831"/>
      <c r="O33" s="831"/>
    </row>
    <row r="35" spans="1:15" x14ac:dyDescent="0.25">
      <c r="D35" s="812" t="s">
        <v>1507</v>
      </c>
      <c r="E35" s="812"/>
      <c r="F35" s="812" t="s">
        <v>131</v>
      </c>
      <c r="H35" s="840" t="s">
        <v>1508</v>
      </c>
      <c r="I35" s="840"/>
      <c r="J35" s="840"/>
      <c r="K35" s="840"/>
      <c r="L35" s="840"/>
      <c r="M35" s="840"/>
      <c r="N35" s="840"/>
    </row>
    <row r="36" spans="1:15" ht="15.75" thickBot="1" x14ac:dyDescent="0.3">
      <c r="A36" s="49" t="s">
        <v>1509</v>
      </c>
      <c r="B36" s="6" t="s">
        <v>1510</v>
      </c>
      <c r="C36" s="6" t="s">
        <v>130</v>
      </c>
      <c r="D36" s="6" t="s">
        <v>290</v>
      </c>
      <c r="E36" s="6" t="s">
        <v>1511</v>
      </c>
      <c r="F36" s="6" t="s">
        <v>1512</v>
      </c>
      <c r="G36" s="49"/>
      <c r="H36" s="6" t="s">
        <v>201</v>
      </c>
      <c r="I36" s="6" t="s">
        <v>202</v>
      </c>
      <c r="J36" s="6" t="s">
        <v>132</v>
      </c>
      <c r="K36" s="6" t="s">
        <v>203</v>
      </c>
      <c r="L36" s="6" t="s">
        <v>204</v>
      </c>
      <c r="M36" s="6" t="s">
        <v>205</v>
      </c>
      <c r="N36" s="6" t="s">
        <v>206</v>
      </c>
      <c r="O36" s="49" t="s">
        <v>1513</v>
      </c>
    </row>
    <row r="37" spans="1:15" ht="15.75" thickTop="1" x14ac:dyDescent="0.25">
      <c r="A37" t="s">
        <v>1514</v>
      </c>
      <c r="B37" s="55" t="s">
        <v>137</v>
      </c>
      <c r="C37" s="812">
        <v>2104008100</v>
      </c>
      <c r="D37" s="56">
        <v>7.0000000000000007E-2</v>
      </c>
      <c r="E37" t="s">
        <v>1515</v>
      </c>
      <c r="F37" s="38">
        <f>L37*947.8171*453600/10^6</f>
        <v>859.85967312000002</v>
      </c>
      <c r="H37" s="9">
        <v>13.236994219653178</v>
      </c>
      <c r="I37" s="9">
        <v>0.15028901734104047</v>
      </c>
      <c r="J37" s="9">
        <v>2.3121387283236993E-2</v>
      </c>
      <c r="K37" s="9">
        <v>2</v>
      </c>
      <c r="L37" s="9">
        <v>2</v>
      </c>
      <c r="M37" s="9">
        <v>0.10404624277456648</v>
      </c>
      <c r="N37" s="9">
        <v>14.60115606936416</v>
      </c>
      <c r="O37" t="s">
        <v>1516</v>
      </c>
    </row>
    <row r="38" spans="1:15" ht="15" customHeight="1" x14ac:dyDescent="0.25">
      <c r="A38" t="s">
        <v>1517</v>
      </c>
      <c r="B38" s="55" t="s">
        <v>138</v>
      </c>
      <c r="C38" s="812">
        <v>2104008210</v>
      </c>
      <c r="D38" s="56">
        <v>0.4</v>
      </c>
      <c r="E38" t="s">
        <v>1515</v>
      </c>
      <c r="F38" s="38">
        <f t="shared" ref="F38:F49" si="0">L38*947.8171*453600/10^6</f>
        <v>760.45393056277464</v>
      </c>
      <c r="H38" s="5">
        <v>3.0635838150289016</v>
      </c>
      <c r="I38" s="5">
        <v>0.16184971098265893</v>
      </c>
      <c r="J38" s="5">
        <v>2.3121387283236993E-2</v>
      </c>
      <c r="K38" s="5">
        <v>1.7687861271676302</v>
      </c>
      <c r="L38" s="5">
        <v>1.7687861271676302</v>
      </c>
      <c r="M38" s="5">
        <v>9.8265895953757218E-2</v>
      </c>
      <c r="N38" s="5">
        <v>13.341040462427745</v>
      </c>
      <c r="O38" t="s">
        <v>1518</v>
      </c>
    </row>
    <row r="39" spans="1:15" x14ac:dyDescent="0.25">
      <c r="A39" t="s">
        <v>1519</v>
      </c>
      <c r="B39" s="55" t="s">
        <v>139</v>
      </c>
      <c r="C39" s="812">
        <v>2104008220</v>
      </c>
      <c r="D39" s="56">
        <v>0.66</v>
      </c>
      <c r="E39" t="s">
        <v>1515</v>
      </c>
      <c r="F39" s="38">
        <f t="shared" si="0"/>
        <v>298.21722767167626</v>
      </c>
      <c r="H39" s="5">
        <v>0.69364161849710981</v>
      </c>
      <c r="I39" s="5">
        <v>0.11560693641618497</v>
      </c>
      <c r="J39" s="5">
        <v>2.3121387283236993E-2</v>
      </c>
      <c r="K39" s="5">
        <v>0.69364161849710981</v>
      </c>
      <c r="L39" s="5">
        <v>0.69364161849710981</v>
      </c>
      <c r="M39" s="5">
        <v>5.2023121387283239E-2</v>
      </c>
      <c r="N39" s="5">
        <v>8.1387283236994215</v>
      </c>
      <c r="O39" t="s">
        <v>1520</v>
      </c>
    </row>
    <row r="40" spans="1:15" x14ac:dyDescent="0.25">
      <c r="A40" t="s">
        <v>1521</v>
      </c>
      <c r="B40" s="55" t="s">
        <v>140</v>
      </c>
      <c r="C40" s="812">
        <v>2104008230</v>
      </c>
      <c r="D40" s="56">
        <v>0.7</v>
      </c>
      <c r="E40" t="s">
        <v>1515</v>
      </c>
      <c r="F40" s="38">
        <f t="shared" si="0"/>
        <v>323.06866331098263</v>
      </c>
      <c r="H40" s="5">
        <v>0.86705202312138729</v>
      </c>
      <c r="I40" s="5">
        <v>0.11560693641618497</v>
      </c>
      <c r="J40" s="5">
        <v>2.3121387283236993E-2</v>
      </c>
      <c r="K40" s="5">
        <v>0.75144508670520227</v>
      </c>
      <c r="L40" s="5">
        <v>0.75144508670520227</v>
      </c>
      <c r="M40" s="5">
        <v>5.2023121387283239E-2</v>
      </c>
      <c r="N40" s="5">
        <v>6.1849710982658959</v>
      </c>
      <c r="O40" t="s">
        <v>1522</v>
      </c>
    </row>
    <row r="41" spans="1:15" x14ac:dyDescent="0.25">
      <c r="A41" t="s">
        <v>1523</v>
      </c>
      <c r="B41" s="55" t="s">
        <v>141</v>
      </c>
      <c r="C41" s="812">
        <v>2104008310</v>
      </c>
      <c r="D41" s="56">
        <v>0.54</v>
      </c>
      <c r="E41" t="s">
        <v>1524</v>
      </c>
      <c r="F41" s="38">
        <f t="shared" si="0"/>
        <v>301.74686180116254</v>
      </c>
      <c r="H41" s="5">
        <v>3.0635838150289016</v>
      </c>
      <c r="I41" s="775">
        <v>8.3938880536453639E-2</v>
      </c>
      <c r="J41" s="5">
        <v>2.3121387283236993E-2</v>
      </c>
      <c r="K41" s="778">
        <v>0.70185140955913039</v>
      </c>
      <c r="L41" s="778">
        <v>0.70185140955913039</v>
      </c>
      <c r="M41" s="779">
        <v>2.2949626892147957E-2</v>
      </c>
      <c r="N41" s="775">
        <v>7.0040833351833571</v>
      </c>
      <c r="O41" s="756" t="s">
        <v>1525</v>
      </c>
    </row>
    <row r="42" spans="1:15" x14ac:dyDescent="0.25">
      <c r="A42" t="s">
        <v>1526</v>
      </c>
      <c r="B42" s="55" t="s">
        <v>142</v>
      </c>
      <c r="C42" s="812">
        <v>2104008320</v>
      </c>
      <c r="D42" s="56">
        <v>0.68</v>
      </c>
      <c r="E42" t="s">
        <v>1524</v>
      </c>
      <c r="F42" s="38">
        <f t="shared" si="0"/>
        <v>196.95074035379199</v>
      </c>
      <c r="H42" s="5">
        <v>0.69364161849710981</v>
      </c>
      <c r="I42" s="775">
        <v>9.2996510765176413E-2</v>
      </c>
      <c r="J42" s="5">
        <v>2.3121387283236993E-2</v>
      </c>
      <c r="K42" s="778">
        <v>0.45809972606147792</v>
      </c>
      <c r="L42" s="778">
        <v>0.45809972606147792</v>
      </c>
      <c r="M42" s="779">
        <v>1.4435938518844138E-2</v>
      </c>
      <c r="N42" s="775">
        <v>7.1468756353823277</v>
      </c>
      <c r="O42" s="756" t="s">
        <v>1527</v>
      </c>
    </row>
    <row r="43" spans="1:15" x14ac:dyDescent="0.25">
      <c r="A43" t="s">
        <v>1528</v>
      </c>
      <c r="B43" s="55" t="s">
        <v>143</v>
      </c>
      <c r="C43" s="812">
        <v>2104008330</v>
      </c>
      <c r="D43" s="56">
        <v>0.72</v>
      </c>
      <c r="E43" t="s">
        <v>1524</v>
      </c>
      <c r="F43" s="38">
        <f t="shared" si="0"/>
        <v>218.5343831322898</v>
      </c>
      <c r="H43" s="5">
        <v>0.86705202312138729</v>
      </c>
      <c r="I43" s="775">
        <v>9.2996510765176413E-2</v>
      </c>
      <c r="J43" s="5">
        <v>2.3121387283236993E-2</v>
      </c>
      <c r="K43" s="778">
        <v>0.50830243576684553</v>
      </c>
      <c r="L43" s="778">
        <v>0.50830243576684553</v>
      </c>
      <c r="M43" s="779">
        <v>1.4435938518844138E-2</v>
      </c>
      <c r="N43" s="775">
        <v>7.1468756353823277</v>
      </c>
      <c r="O43" s="756" t="s">
        <v>1529</v>
      </c>
    </row>
    <row r="44" spans="1:15" x14ac:dyDescent="0.25">
      <c r="A44" t="s">
        <v>1530</v>
      </c>
      <c r="B44" s="55" t="s">
        <v>144</v>
      </c>
      <c r="C44" s="812">
        <v>2104008410</v>
      </c>
      <c r="D44" s="56">
        <v>0.56000000000000005</v>
      </c>
      <c r="E44" t="s">
        <v>1531</v>
      </c>
      <c r="F44" s="38">
        <f t="shared" si="0"/>
        <v>76.998467817053225</v>
      </c>
      <c r="H44" s="5">
        <v>0.13872832369942195</v>
      </c>
      <c r="I44" s="775">
        <v>0.24226286864265861</v>
      </c>
      <c r="J44" s="777">
        <v>1.9361667823589102E-2</v>
      </c>
      <c r="K44" s="775">
        <v>0.17909542736819919</v>
      </c>
      <c r="L44" s="775">
        <v>0.17909542736819919</v>
      </c>
      <c r="M44" s="775">
        <v>4.3491146348737025E-3</v>
      </c>
      <c r="N44" s="775">
        <v>0.6009377650746468</v>
      </c>
      <c r="O44" s="756" t="s">
        <v>1532</v>
      </c>
    </row>
    <row r="45" spans="1:15" x14ac:dyDescent="0.25">
      <c r="A45" t="s">
        <v>1533</v>
      </c>
      <c r="B45" s="55" t="s">
        <v>145</v>
      </c>
      <c r="C45" s="812">
        <v>2104008420</v>
      </c>
      <c r="D45" s="56">
        <v>0.78</v>
      </c>
      <c r="E45" t="s">
        <v>1534</v>
      </c>
      <c r="F45" s="38">
        <f t="shared" si="0"/>
        <v>76.998467817053225</v>
      </c>
      <c r="H45" s="5">
        <v>0.13872832369942195</v>
      </c>
      <c r="I45" s="775">
        <v>0.24226286864265861</v>
      </c>
      <c r="J45" s="777">
        <v>1.9361667823589102E-2</v>
      </c>
      <c r="K45" s="775">
        <v>0.17909542736819919</v>
      </c>
      <c r="L45" s="775">
        <v>0.17909542736819919</v>
      </c>
      <c r="M45" s="775">
        <v>4.3491146348737025E-3</v>
      </c>
      <c r="N45" s="775">
        <v>0.6009377650746468</v>
      </c>
      <c r="O45" s="756" t="s">
        <v>1532</v>
      </c>
    </row>
    <row r="46" spans="1:15" x14ac:dyDescent="0.25">
      <c r="A46" t="s">
        <v>1535</v>
      </c>
      <c r="B46" s="55" t="s">
        <v>146</v>
      </c>
      <c r="C46" s="812">
        <v>2104008610</v>
      </c>
      <c r="D46" s="56">
        <v>0.43</v>
      </c>
      <c r="E46" t="s">
        <v>1536</v>
      </c>
      <c r="F46" s="38">
        <f t="shared" si="0"/>
        <v>245.28744914903737</v>
      </c>
      <c r="H46" s="57">
        <v>2.6242774566473992</v>
      </c>
      <c r="I46" s="776">
        <v>9.3221590153625633E-2</v>
      </c>
      <c r="J46" s="57">
        <v>2.3121387283236997E-2</v>
      </c>
      <c r="K46" s="775">
        <v>0.57052902192519883</v>
      </c>
      <c r="L46" s="775">
        <v>0.57052902192519883</v>
      </c>
      <c r="M46" s="775">
        <v>1.4090090727345279E-2</v>
      </c>
      <c r="N46" s="776">
        <v>3.5011945946243972</v>
      </c>
      <c r="O46" t="s">
        <v>1537</v>
      </c>
    </row>
    <row r="47" spans="1:15" x14ac:dyDescent="0.25">
      <c r="A47" t="s">
        <v>1538</v>
      </c>
      <c r="B47" s="55" t="s">
        <v>1539</v>
      </c>
      <c r="C47" s="812">
        <v>2104008610</v>
      </c>
      <c r="D47" s="56">
        <v>0.43</v>
      </c>
      <c r="E47" t="s">
        <v>1536</v>
      </c>
      <c r="F47" s="38">
        <f t="shared" si="0"/>
        <v>274.50872631481133</v>
      </c>
      <c r="H47" s="57">
        <v>3.0635838150289016</v>
      </c>
      <c r="I47" s="776">
        <v>8.5312348847689498E-2</v>
      </c>
      <c r="J47" s="57">
        <v>2.3121387283236993E-2</v>
      </c>
      <c r="K47" s="778">
        <v>0.63849657076894117</v>
      </c>
      <c r="L47" s="778">
        <v>0.63849657076894117</v>
      </c>
      <c r="M47" s="779">
        <v>1.5797910839809734E-2</v>
      </c>
      <c r="N47" s="776">
        <v>3.1964903472506632</v>
      </c>
      <c r="O47" s="756" t="s">
        <v>1540</v>
      </c>
    </row>
    <row r="48" spans="1:15" x14ac:dyDescent="0.25">
      <c r="A48" t="s">
        <v>1541</v>
      </c>
      <c r="B48" t="s">
        <v>1542</v>
      </c>
      <c r="C48" s="812">
        <v>2104008610</v>
      </c>
      <c r="D48" s="56">
        <v>0.43</v>
      </c>
      <c r="E48" t="s">
        <v>1536</v>
      </c>
      <c r="F48" s="38">
        <f t="shared" si="0"/>
        <v>241.87417626421546</v>
      </c>
      <c r="H48" s="57">
        <v>0.69364161849710981</v>
      </c>
      <c r="I48" s="776">
        <v>0.12485855537737023</v>
      </c>
      <c r="J48" s="57">
        <v>2.3121387283236993E-2</v>
      </c>
      <c r="K48" s="778">
        <v>0.56258988257136255</v>
      </c>
      <c r="L48" s="778">
        <v>0.56258988257136255</v>
      </c>
      <c r="M48" s="779">
        <v>7.2588102774874515E-3</v>
      </c>
      <c r="N48" s="776">
        <v>6.2110058976074933</v>
      </c>
      <c r="O48" s="756" t="s">
        <v>1543</v>
      </c>
    </row>
    <row r="49" spans="1:15" x14ac:dyDescent="0.25">
      <c r="A49" t="s">
        <v>1544</v>
      </c>
      <c r="B49" t="s">
        <v>1545</v>
      </c>
      <c r="C49" s="812">
        <v>2104008640</v>
      </c>
      <c r="D49" s="56">
        <v>0.43</v>
      </c>
      <c r="E49" t="s">
        <v>1536</v>
      </c>
      <c r="F49" s="38">
        <f t="shared" si="0"/>
        <v>128.40234048594152</v>
      </c>
      <c r="H49" s="57">
        <v>0.86705202312138729</v>
      </c>
      <c r="I49" s="776">
        <v>0.12485855537737023</v>
      </c>
      <c r="J49" s="57">
        <v>2.3121387283236993E-2</v>
      </c>
      <c r="K49" s="778">
        <v>0.29865882655022946</v>
      </c>
      <c r="L49" s="778">
        <v>0.29865882655022946</v>
      </c>
      <c r="M49" s="779">
        <v>7.2588102774874515E-3</v>
      </c>
      <c r="N49" s="776">
        <v>4.7200115841193302</v>
      </c>
      <c r="O49" s="756" t="s">
        <v>1543</v>
      </c>
    </row>
    <row r="50" spans="1:15" x14ac:dyDescent="0.25">
      <c r="A50" t="s">
        <v>1546</v>
      </c>
      <c r="D50" s="56">
        <v>0.85</v>
      </c>
      <c r="E50" t="s">
        <v>1547</v>
      </c>
      <c r="J50" s="57">
        <v>2.3121387283236993E-2</v>
      </c>
      <c r="K50" s="5">
        <v>0.32369942196531787</v>
      </c>
      <c r="L50" s="5">
        <v>0.32369942196531787</v>
      </c>
      <c r="N50" s="5">
        <v>8.6127167630057802</v>
      </c>
      <c r="O50" t="s">
        <v>1548</v>
      </c>
    </row>
    <row r="51" spans="1:15" x14ac:dyDescent="0.25">
      <c r="C51" s="812"/>
      <c r="D51" s="812"/>
      <c r="F51" s="38"/>
      <c r="G51" s="38"/>
      <c r="H51" s="38"/>
      <c r="I51" s="38"/>
      <c r="J51" s="38"/>
      <c r="K51" s="5">
        <f>K47*C$4/C$6</f>
        <v>0.87141539194556972</v>
      </c>
    </row>
    <row r="52" spans="1:15" x14ac:dyDescent="0.25">
      <c r="D52" s="812" t="s">
        <v>1507</v>
      </c>
      <c r="E52" s="812" t="s">
        <v>290</v>
      </c>
      <c r="G52" s="812" t="s">
        <v>1549</v>
      </c>
      <c r="H52" s="845" t="s">
        <v>1550</v>
      </c>
      <c r="I52" s="845"/>
      <c r="J52" s="845"/>
      <c r="K52" s="845"/>
      <c r="L52" s="845"/>
      <c r="M52" s="845"/>
      <c r="N52" s="845"/>
    </row>
    <row r="53" spans="1:15" ht="15.75" thickBot="1" x14ac:dyDescent="0.3">
      <c r="A53" s="49" t="s">
        <v>1551</v>
      </c>
      <c r="B53" s="6" t="s">
        <v>1510</v>
      </c>
      <c r="C53" s="6" t="s">
        <v>130</v>
      </c>
      <c r="D53" s="6" t="s">
        <v>290</v>
      </c>
      <c r="E53" s="6" t="s">
        <v>122</v>
      </c>
      <c r="F53" s="6" t="s">
        <v>1445</v>
      </c>
      <c r="G53" s="6" t="s">
        <v>1447</v>
      </c>
      <c r="H53" s="6" t="s">
        <v>201</v>
      </c>
      <c r="I53" s="6" t="s">
        <v>202</v>
      </c>
      <c r="J53" s="6" t="s">
        <v>132</v>
      </c>
      <c r="K53" s="6" t="s">
        <v>203</v>
      </c>
      <c r="L53" s="6" t="s">
        <v>204</v>
      </c>
      <c r="M53" s="6" t="s">
        <v>205</v>
      </c>
      <c r="N53" s="6" t="s">
        <v>206</v>
      </c>
      <c r="O53" s="49" t="s">
        <v>1513</v>
      </c>
    </row>
    <row r="54" spans="1:15" ht="15.75" thickTop="1" x14ac:dyDescent="0.25">
      <c r="A54" t="s">
        <v>1552</v>
      </c>
      <c r="B54" s="55" t="s">
        <v>568</v>
      </c>
      <c r="C54" s="812">
        <v>2104004000</v>
      </c>
      <c r="D54" s="56">
        <v>0.81</v>
      </c>
      <c r="E54" t="s">
        <v>1553</v>
      </c>
      <c r="F54" s="812" t="s">
        <v>1554</v>
      </c>
      <c r="G54" s="812" t="s">
        <v>1555</v>
      </c>
      <c r="H54" s="58">
        <v>5.3125436895281979E-3</v>
      </c>
      <c r="I54" s="780">
        <v>8.3237866177467576E-2</v>
      </c>
      <c r="J54" s="780">
        <v>0.21535233209383497</v>
      </c>
      <c r="K54" s="780">
        <v>3.4020926230572584E-3</v>
      </c>
      <c r="L54" s="780">
        <v>3.4020926230572584E-3</v>
      </c>
      <c r="M54" s="780">
        <v>1.8252226922702193E-4</v>
      </c>
      <c r="N54" s="780">
        <v>3.3368858477819943E-3</v>
      </c>
      <c r="O54" s="756" t="s">
        <v>1556</v>
      </c>
    </row>
    <row r="55" spans="1:15" x14ac:dyDescent="0.25">
      <c r="A55" t="s">
        <v>1557</v>
      </c>
      <c r="B55" s="55" t="s">
        <v>1558</v>
      </c>
      <c r="C55" s="812">
        <v>2104004000</v>
      </c>
      <c r="D55" s="56">
        <v>0.81</v>
      </c>
      <c r="E55" t="s">
        <v>1553</v>
      </c>
      <c r="F55" s="812" t="s">
        <v>1469</v>
      </c>
      <c r="G55" s="812" t="s">
        <v>1555</v>
      </c>
      <c r="H55" s="58">
        <v>5.703999999999999E-3</v>
      </c>
      <c r="I55" s="780">
        <v>8.9371272298833668E-2</v>
      </c>
      <c r="J55" s="780">
        <v>0.1017856</v>
      </c>
      <c r="K55" s="780">
        <v>3.6527767969550548E-3</v>
      </c>
      <c r="L55" s="780">
        <v>3.6527767969550548E-3</v>
      </c>
      <c r="M55" s="780">
        <v>1.9597147515663872E-4</v>
      </c>
      <c r="N55" s="780">
        <v>3.582765241680083E-3</v>
      </c>
      <c r="O55" s="756" t="s">
        <v>1556</v>
      </c>
    </row>
    <row r="56" spans="1:15" x14ac:dyDescent="0.25">
      <c r="A56" t="s">
        <v>1559</v>
      </c>
      <c r="B56" s="55" t="s">
        <v>1560</v>
      </c>
      <c r="C56" s="812">
        <v>2104004000</v>
      </c>
      <c r="D56" s="56">
        <v>0.81</v>
      </c>
      <c r="E56" t="s">
        <v>1553</v>
      </c>
      <c r="F56" s="812" t="s">
        <v>1472</v>
      </c>
      <c r="G56" s="812" t="s">
        <v>1555</v>
      </c>
      <c r="H56" s="58">
        <v>5.1480144404332118E-3</v>
      </c>
      <c r="I56" s="780">
        <v>8.0659993049488871E-2</v>
      </c>
      <c r="J56" s="780">
        <v>0.26308447653429601</v>
      </c>
      <c r="K56" s="780">
        <v>3.2967299611507714E-3</v>
      </c>
      <c r="L56" s="780">
        <v>3.2967299611507714E-3</v>
      </c>
      <c r="M56" s="780">
        <v>1.7686956241573892E-4</v>
      </c>
      <c r="N56" s="780">
        <v>3.2335426368953818E-3</v>
      </c>
      <c r="O56" s="756" t="s">
        <v>1556</v>
      </c>
    </row>
    <row r="57" spans="1:15" x14ac:dyDescent="0.25">
      <c r="A57" t="s">
        <v>1561</v>
      </c>
      <c r="B57" s="55" t="s">
        <v>148</v>
      </c>
      <c r="C57" s="812" t="s">
        <v>1562</v>
      </c>
      <c r="D57" s="56">
        <v>0.81</v>
      </c>
      <c r="E57" t="s">
        <v>1553</v>
      </c>
      <c r="F57" s="812" t="s">
        <v>1472</v>
      </c>
      <c r="G57" s="812" t="s">
        <v>1555</v>
      </c>
      <c r="H57" s="58">
        <v>5.1480144404332118E-3</v>
      </c>
      <c r="I57" s="58">
        <v>0.1299638989169675</v>
      </c>
      <c r="J57" s="780">
        <v>9.1864259927797828E-2</v>
      </c>
      <c r="K57" s="780">
        <v>3.2967299611507714E-3</v>
      </c>
      <c r="L57" s="780">
        <v>3.2967299611507714E-3</v>
      </c>
      <c r="M57" s="780">
        <v>1.7686956241573892E-4</v>
      </c>
      <c r="N57" s="780">
        <v>3.2335426368953818E-3</v>
      </c>
      <c r="O57" s="756" t="s">
        <v>1563</v>
      </c>
    </row>
    <row r="58" spans="1:15" x14ac:dyDescent="0.25">
      <c r="A58" t="s">
        <v>1564</v>
      </c>
      <c r="B58" s="55" t="s">
        <v>746</v>
      </c>
      <c r="C58" s="812">
        <v>2104004000</v>
      </c>
      <c r="D58" s="56">
        <v>0.81</v>
      </c>
      <c r="F58" s="812" t="s">
        <v>1565</v>
      </c>
      <c r="G58" s="812" t="s">
        <v>1555</v>
      </c>
      <c r="H58" s="58">
        <v>5.2045695098361247E-3</v>
      </c>
      <c r="I58" s="58">
        <v>0.13139165662980401</v>
      </c>
      <c r="J58" s="780">
        <v>0.21097542853096343</v>
      </c>
      <c r="K58" s="58">
        <v>2.9198145917734225E-3</v>
      </c>
      <c r="L58" s="58">
        <v>2.9198145917734225E-3</v>
      </c>
      <c r="M58" s="780">
        <v>1.7881261647928638E-4</v>
      </c>
      <c r="N58" s="780">
        <v>3.2690656973612931E-3</v>
      </c>
      <c r="O58" s="756" t="s">
        <v>1566</v>
      </c>
    </row>
    <row r="59" spans="1:15" x14ac:dyDescent="0.25">
      <c r="A59" t="s">
        <v>1567</v>
      </c>
      <c r="B59" s="55" t="s">
        <v>747</v>
      </c>
      <c r="C59" s="812">
        <v>2104007000</v>
      </c>
      <c r="D59" s="56">
        <v>0.81</v>
      </c>
      <c r="F59" s="812" t="s">
        <v>1469</v>
      </c>
      <c r="G59" s="812" t="s">
        <v>1555</v>
      </c>
      <c r="H59" s="58">
        <v>5.703999999999999E-3</v>
      </c>
      <c r="I59" s="58">
        <v>8.9371272298833668E-2</v>
      </c>
      <c r="J59" s="780">
        <v>0.23122063065279469</v>
      </c>
      <c r="K59" s="58">
        <v>3.6527767969550548E-3</v>
      </c>
      <c r="L59" s="58">
        <v>3.6527767969550548E-3</v>
      </c>
      <c r="M59" s="780">
        <v>1.9597147515663872E-4</v>
      </c>
      <c r="N59" s="780">
        <v>3.582765241680083E-3</v>
      </c>
      <c r="O59" s="756" t="s">
        <v>1568</v>
      </c>
    </row>
    <row r="60" spans="1:15" x14ac:dyDescent="0.25">
      <c r="A60" t="s">
        <v>1569</v>
      </c>
      <c r="B60" s="55" t="s">
        <v>149</v>
      </c>
      <c r="C60" s="812">
        <v>2104006010</v>
      </c>
      <c r="D60" s="56">
        <v>0.81</v>
      </c>
      <c r="F60" s="812" t="s">
        <v>124</v>
      </c>
      <c r="G60" s="812" t="s">
        <v>1570</v>
      </c>
      <c r="H60" s="58">
        <v>5.4187192118226599E-3</v>
      </c>
      <c r="I60" s="58">
        <v>9.2610837438423646E-2</v>
      </c>
      <c r="J60" s="58">
        <v>5.9113300492610833E-4</v>
      </c>
      <c r="K60" s="773">
        <v>4.88E-5</v>
      </c>
      <c r="L60" s="773">
        <v>4.88E-5</v>
      </c>
      <c r="M60" s="58">
        <v>1.9704433497536946E-2</v>
      </c>
      <c r="N60" s="58">
        <v>3.9408866995073892E-2</v>
      </c>
      <c r="O60" s="774" t="s">
        <v>1571</v>
      </c>
    </row>
    <row r="61" spans="1:15" x14ac:dyDescent="0.25">
      <c r="A61" t="s">
        <v>1572</v>
      </c>
      <c r="B61" s="55" t="s">
        <v>150</v>
      </c>
      <c r="C61" s="812">
        <v>2103006000</v>
      </c>
      <c r="D61" s="56">
        <v>0.81</v>
      </c>
      <c r="F61" s="812" t="s">
        <v>124</v>
      </c>
      <c r="G61" s="812" t="s">
        <v>1570</v>
      </c>
      <c r="H61" s="58">
        <v>5.4187192118226599E-3</v>
      </c>
      <c r="I61" s="58">
        <v>9.8522167487684734E-2</v>
      </c>
      <c r="J61" s="58">
        <v>5.9113300492610833E-4</v>
      </c>
      <c r="K61" s="58">
        <v>7.4876847290640397E-3</v>
      </c>
      <c r="L61" s="58">
        <v>7.4876847290640397E-3</v>
      </c>
      <c r="M61" s="58">
        <v>1.9704433497536946E-2</v>
      </c>
      <c r="N61" s="58">
        <v>3.9408866995073892E-2</v>
      </c>
      <c r="O61" t="s">
        <v>1573</v>
      </c>
    </row>
    <row r="62" spans="1:15" x14ac:dyDescent="0.25">
      <c r="A62" t="s">
        <v>1574</v>
      </c>
      <c r="B62" s="55" t="s">
        <v>151</v>
      </c>
      <c r="C62" s="812">
        <v>2104002000</v>
      </c>
      <c r="D62" s="56">
        <v>0.43</v>
      </c>
      <c r="E62" t="s">
        <v>1575</v>
      </c>
      <c r="F62" s="812" t="s">
        <v>1485</v>
      </c>
      <c r="G62" s="812" t="s">
        <v>1576</v>
      </c>
      <c r="H62" s="58">
        <v>0.65789473684210531</v>
      </c>
      <c r="I62" s="780">
        <v>0.31052631578947371</v>
      </c>
      <c r="J62" s="58">
        <v>0.61184210526315785</v>
      </c>
      <c r="K62" s="780">
        <v>0.5256578947368421</v>
      </c>
      <c r="L62" s="780">
        <v>0.5256578947368421</v>
      </c>
      <c r="M62" s="780">
        <v>8.3286184210526332E-2</v>
      </c>
      <c r="N62" s="780">
        <v>8.5904605263157894</v>
      </c>
      <c r="O62" s="756" t="s">
        <v>1577</v>
      </c>
    </row>
    <row r="63" spans="1:15" x14ac:dyDescent="0.25">
      <c r="A63" t="s">
        <v>1578</v>
      </c>
      <c r="B63" s="55" t="s">
        <v>154</v>
      </c>
      <c r="C63" s="812" t="s">
        <v>1579</v>
      </c>
      <c r="D63" s="812" t="s">
        <v>336</v>
      </c>
      <c r="F63" s="812" t="s">
        <v>1472</v>
      </c>
      <c r="G63" s="812" t="s">
        <v>1555</v>
      </c>
      <c r="H63" s="58">
        <v>7.2202166064981952E-3</v>
      </c>
      <c r="I63" s="780">
        <v>0.37693099395384777</v>
      </c>
      <c r="J63" s="780">
        <v>0.26689697964980835</v>
      </c>
      <c r="K63" s="780">
        <v>3.7575325985579236E-2</v>
      </c>
      <c r="L63" s="780">
        <v>3.7575325985579236E-2</v>
      </c>
      <c r="M63" s="780">
        <v>2.6269078644246729E-4</v>
      </c>
      <c r="N63" s="780">
        <v>8.9732121756607122E-2</v>
      </c>
      <c r="O63" s="756" t="s">
        <v>1580</v>
      </c>
    </row>
    <row r="64" spans="1:15" x14ac:dyDescent="0.25">
      <c r="A64" t="s">
        <v>1581</v>
      </c>
      <c r="B64" t="s">
        <v>336</v>
      </c>
      <c r="C64" s="812" t="s">
        <v>336</v>
      </c>
      <c r="D64" s="812" t="s">
        <v>336</v>
      </c>
    </row>
    <row r="67" spans="4:14" ht="15.75" x14ac:dyDescent="0.25">
      <c r="D67" s="831" t="s">
        <v>1582</v>
      </c>
      <c r="E67" s="831"/>
      <c r="F67" s="831"/>
      <c r="G67" s="831"/>
      <c r="H67" s="831"/>
      <c r="I67" s="831"/>
      <c r="J67" s="831"/>
      <c r="K67" s="831"/>
      <c r="L67" s="831"/>
      <c r="M67" s="831"/>
      <c r="N67" s="831"/>
    </row>
    <row r="68" spans="4:14" ht="15.75" x14ac:dyDescent="0.25">
      <c r="D68" s="867" t="s">
        <v>1583</v>
      </c>
      <c r="E68" s="831"/>
      <c r="F68" s="831"/>
      <c r="G68" s="831"/>
      <c r="H68" s="831"/>
      <c r="I68" s="831"/>
      <c r="J68" s="831"/>
      <c r="K68" s="831"/>
      <c r="L68" s="831"/>
      <c r="M68" s="831"/>
      <c r="N68" s="831"/>
    </row>
    <row r="69" spans="4:14" x14ac:dyDescent="0.25">
      <c r="F69" s="812" t="s">
        <v>1584</v>
      </c>
      <c r="H69" s="845" t="s">
        <v>1585</v>
      </c>
      <c r="I69" s="845"/>
      <c r="J69" s="845"/>
      <c r="K69" s="845"/>
      <c r="L69" s="845"/>
      <c r="M69" s="845"/>
      <c r="N69" s="845"/>
    </row>
    <row r="70" spans="4:14" ht="15.75" thickBot="1" x14ac:dyDescent="0.3">
      <c r="D70" s="6" t="s">
        <v>1445</v>
      </c>
      <c r="E70" s="6" t="s">
        <v>379</v>
      </c>
      <c r="F70" s="6" t="s">
        <v>290</v>
      </c>
      <c r="G70" s="6"/>
      <c r="H70" s="6" t="s">
        <v>201</v>
      </c>
      <c r="I70" s="6" t="s">
        <v>202</v>
      </c>
      <c r="J70" s="6" t="s">
        <v>132</v>
      </c>
      <c r="K70" s="6" t="s">
        <v>203</v>
      </c>
      <c r="L70" s="59" t="s">
        <v>204</v>
      </c>
      <c r="M70" s="6" t="s">
        <v>205</v>
      </c>
      <c r="N70" s="6" t="s">
        <v>206</v>
      </c>
    </row>
    <row r="71" spans="4:14" ht="15.75" thickTop="1" x14ac:dyDescent="0.25">
      <c r="D71" s="812" t="s">
        <v>279</v>
      </c>
      <c r="E71" t="str">
        <f>A37</f>
        <v>Fireplace, No Insert</v>
      </c>
      <c r="F71" s="60">
        <f>D37</f>
        <v>7.0000000000000007E-2</v>
      </c>
      <c r="H71" s="5">
        <f>H37/$D37</f>
        <v>189.09991742361683</v>
      </c>
      <c r="I71" s="5">
        <f t="shared" ref="I71:N71" si="1">I37/$D37</f>
        <v>2.1469859620148637</v>
      </c>
      <c r="J71" s="5">
        <f t="shared" si="1"/>
        <v>0.33030553261767132</v>
      </c>
      <c r="K71" s="5">
        <f t="shared" si="1"/>
        <v>28.571428571428569</v>
      </c>
      <c r="L71" s="61">
        <f t="shared" si="1"/>
        <v>28.571428571428569</v>
      </c>
      <c r="M71" s="5">
        <f t="shared" si="1"/>
        <v>1.4863748967795209</v>
      </c>
      <c r="N71" s="5">
        <f t="shared" si="1"/>
        <v>208.58794384805941</v>
      </c>
    </row>
    <row r="72" spans="4:14" x14ac:dyDescent="0.25">
      <c r="D72" s="812" t="s">
        <v>279</v>
      </c>
      <c r="E72" t="str">
        <f t="shared" ref="E72:E83" si="2">A38</f>
        <v>Fireplace, With Insert - Non-EPA Certified</v>
      </c>
      <c r="F72" s="60">
        <f t="shared" ref="F72:F83" si="3">D38</f>
        <v>0.4</v>
      </c>
      <c r="H72" s="5">
        <f t="shared" ref="H72:N83" si="4">H38/$D38</f>
        <v>7.6589595375722537</v>
      </c>
      <c r="I72" s="5">
        <f t="shared" si="4"/>
        <v>0.40462427745664731</v>
      </c>
      <c r="J72" s="5">
        <f t="shared" si="4"/>
        <v>5.7803468208092477E-2</v>
      </c>
      <c r="K72" s="5">
        <f t="shared" si="4"/>
        <v>4.4219653179190752</v>
      </c>
      <c r="L72" s="61">
        <f t="shared" si="4"/>
        <v>4.4219653179190752</v>
      </c>
      <c r="M72" s="5">
        <f t="shared" si="4"/>
        <v>0.24566473988439302</v>
      </c>
      <c r="N72" s="5">
        <f t="shared" si="4"/>
        <v>33.352601156069362</v>
      </c>
    </row>
    <row r="73" spans="4:14" x14ac:dyDescent="0.25">
      <c r="D73" s="812" t="s">
        <v>279</v>
      </c>
      <c r="E73" t="str">
        <f t="shared" si="2"/>
        <v>Fireplace, With Insert - EPA Certified Non-Catalytic</v>
      </c>
      <c r="F73" s="60">
        <f t="shared" si="3"/>
        <v>0.66</v>
      </c>
      <c r="H73" s="5">
        <f t="shared" si="4"/>
        <v>1.0509721492380451</v>
      </c>
      <c r="I73" s="5">
        <f t="shared" si="4"/>
        <v>0.17516202487300753</v>
      </c>
      <c r="J73" s="5">
        <f t="shared" si="4"/>
        <v>3.50324049746015E-2</v>
      </c>
      <c r="K73" s="5">
        <f t="shared" si="4"/>
        <v>1.0509721492380451</v>
      </c>
      <c r="L73" s="61">
        <f t="shared" si="4"/>
        <v>1.0509721492380451</v>
      </c>
      <c r="M73" s="5">
        <f t="shared" si="4"/>
        <v>7.8822911192853382E-2</v>
      </c>
      <c r="N73" s="5">
        <f t="shared" si="4"/>
        <v>12.331406551059729</v>
      </c>
    </row>
    <row r="74" spans="4:14" x14ac:dyDescent="0.25">
      <c r="D74" s="812" t="s">
        <v>279</v>
      </c>
      <c r="E74" t="str">
        <f t="shared" si="2"/>
        <v>Fireplace, With Insert - EPA Certified Catalytic</v>
      </c>
      <c r="F74" s="60">
        <f t="shared" si="3"/>
        <v>0.7</v>
      </c>
      <c r="H74" s="5">
        <f t="shared" si="4"/>
        <v>1.2386457473162675</v>
      </c>
      <c r="I74" s="5">
        <f t="shared" si="4"/>
        <v>0.16515276630883569</v>
      </c>
      <c r="J74" s="5">
        <f t="shared" si="4"/>
        <v>3.3030553261767133E-2</v>
      </c>
      <c r="K74" s="5">
        <f t="shared" si="4"/>
        <v>1.0734929810074318</v>
      </c>
      <c r="L74" s="61">
        <f t="shared" si="4"/>
        <v>1.0734929810074318</v>
      </c>
      <c r="M74" s="5">
        <f t="shared" si="4"/>
        <v>7.4318744838976061E-2</v>
      </c>
      <c r="N74" s="5">
        <f t="shared" si="4"/>
        <v>8.8356729975227086</v>
      </c>
    </row>
    <row r="75" spans="4:14" x14ac:dyDescent="0.25">
      <c r="D75" s="812" t="s">
        <v>279</v>
      </c>
      <c r="E75" t="str">
        <f t="shared" si="2"/>
        <v>Woodstove - Non-EPA Certified</v>
      </c>
      <c r="F75" s="60">
        <f t="shared" si="3"/>
        <v>0.54</v>
      </c>
      <c r="H75" s="5">
        <f t="shared" si="4"/>
        <v>5.6733033611646322</v>
      </c>
      <c r="I75" s="5">
        <f t="shared" si="4"/>
        <v>0.15544237136380301</v>
      </c>
      <c r="J75" s="5">
        <f t="shared" si="4"/>
        <v>4.2817383857846281E-2</v>
      </c>
      <c r="K75" s="5">
        <f t="shared" si="4"/>
        <v>1.299724832516908</v>
      </c>
      <c r="L75" s="61">
        <f t="shared" si="4"/>
        <v>1.299724832516908</v>
      </c>
      <c r="M75" s="5">
        <f t="shared" si="4"/>
        <v>4.2499309059533252E-2</v>
      </c>
      <c r="N75" s="5">
        <f t="shared" si="4"/>
        <v>12.970524694783993</v>
      </c>
    </row>
    <row r="76" spans="4:14" x14ac:dyDescent="0.25">
      <c r="D76" s="812" t="s">
        <v>279</v>
      </c>
      <c r="E76" t="str">
        <f t="shared" si="2"/>
        <v>Woodstove - EPA Certified Non-Catalytic</v>
      </c>
      <c r="F76" s="60">
        <f t="shared" si="3"/>
        <v>0.68</v>
      </c>
      <c r="H76" s="5">
        <f t="shared" si="4"/>
        <v>1.0200612036722203</v>
      </c>
      <c r="I76" s="5">
        <f t="shared" si="4"/>
        <v>0.13675957465467117</v>
      </c>
      <c r="J76" s="5">
        <f t="shared" si="4"/>
        <v>3.4002040122407338E-2</v>
      </c>
      <c r="K76" s="5">
        <f t="shared" si="4"/>
        <v>0.67367606773746747</v>
      </c>
      <c r="L76" s="61">
        <f t="shared" si="4"/>
        <v>0.67367606773746747</v>
      </c>
      <c r="M76" s="5">
        <f t="shared" si="4"/>
        <v>2.1229321351241379E-2</v>
      </c>
      <c r="N76" s="5">
        <f t="shared" si="4"/>
        <v>10.510111228503423</v>
      </c>
    </row>
    <row r="77" spans="4:14" x14ac:dyDescent="0.25">
      <c r="D77" s="812" t="s">
        <v>279</v>
      </c>
      <c r="E77" t="str">
        <f t="shared" si="2"/>
        <v>Woodstove - EPA Certified Catalytic</v>
      </c>
      <c r="F77" s="60">
        <f t="shared" si="3"/>
        <v>0.72</v>
      </c>
      <c r="H77" s="5">
        <f t="shared" si="4"/>
        <v>1.2042389210019269</v>
      </c>
      <c r="I77" s="5">
        <f t="shared" si="4"/>
        <v>0.12916182050718947</v>
      </c>
      <c r="J77" s="5">
        <f t="shared" si="4"/>
        <v>3.211303789338471E-2</v>
      </c>
      <c r="K77" s="5">
        <f t="shared" si="4"/>
        <v>0.70597560523172997</v>
      </c>
      <c r="L77" s="61">
        <f t="shared" si="4"/>
        <v>0.70597560523172997</v>
      </c>
      <c r="M77" s="5">
        <f t="shared" si="4"/>
        <v>2.004991460950575E-2</v>
      </c>
      <c r="N77" s="5">
        <f t="shared" si="4"/>
        <v>9.9262161602532331</v>
      </c>
    </row>
    <row r="78" spans="4:14" x14ac:dyDescent="0.25">
      <c r="D78" s="812" t="s">
        <v>279</v>
      </c>
      <c r="E78" t="str">
        <f t="shared" si="2"/>
        <v>Pellet Stove (Exempt)</v>
      </c>
      <c r="F78" s="60">
        <f t="shared" si="3"/>
        <v>0.56000000000000005</v>
      </c>
      <c r="H78" s="5">
        <f t="shared" si="4"/>
        <v>0.24772914946325347</v>
      </c>
      <c r="I78" s="5">
        <f t="shared" si="4"/>
        <v>0.43261226543331893</v>
      </c>
      <c r="J78" s="5">
        <f t="shared" si="4"/>
        <v>3.4574406827837682E-2</v>
      </c>
      <c r="K78" s="5">
        <f t="shared" si="4"/>
        <v>0.31981326315749853</v>
      </c>
      <c r="L78" s="61">
        <f t="shared" si="4"/>
        <v>0.31981326315749853</v>
      </c>
      <c r="M78" s="5">
        <f t="shared" si="4"/>
        <v>7.7662761337030399E-3</v>
      </c>
      <c r="N78" s="5">
        <f t="shared" si="4"/>
        <v>1.073103151919012</v>
      </c>
    </row>
    <row r="79" spans="4:14" x14ac:dyDescent="0.25">
      <c r="D79" s="812" t="s">
        <v>279</v>
      </c>
      <c r="E79" t="str">
        <f t="shared" si="2"/>
        <v>Pellet Stove (EPA Certified)</v>
      </c>
      <c r="F79" s="60">
        <f t="shared" si="3"/>
        <v>0.78</v>
      </c>
      <c r="H79" s="5">
        <f t="shared" si="4"/>
        <v>0.17785682525566915</v>
      </c>
      <c r="I79" s="5">
        <f t="shared" si="4"/>
        <v>0.31059342133674178</v>
      </c>
      <c r="J79" s="5">
        <f t="shared" si="4"/>
        <v>2.4822651055883462E-2</v>
      </c>
      <c r="K79" s="5">
        <f t="shared" si="4"/>
        <v>0.22960952226692205</v>
      </c>
      <c r="L79" s="61">
        <f t="shared" si="4"/>
        <v>0.22960952226692205</v>
      </c>
      <c r="M79" s="5">
        <f t="shared" si="4"/>
        <v>5.5757879934278231E-3</v>
      </c>
      <c r="N79" s="5">
        <f t="shared" si="4"/>
        <v>0.770433032146983</v>
      </c>
    </row>
    <row r="80" spans="4:14" x14ac:dyDescent="0.25">
      <c r="D80" s="812" t="s">
        <v>279</v>
      </c>
      <c r="E80" t="str">
        <f t="shared" si="2"/>
        <v>OWB (Hydronic Heater) - 80/20 Unqual/Phase 2 Wtd</v>
      </c>
      <c r="F80" s="60">
        <f t="shared" si="3"/>
        <v>0.43</v>
      </c>
      <c r="H80" s="5">
        <f t="shared" si="4"/>
        <v>6.1029708294125564</v>
      </c>
      <c r="I80" s="5">
        <f t="shared" si="4"/>
        <v>0.21679439570610612</v>
      </c>
      <c r="J80" s="5">
        <f t="shared" si="4"/>
        <v>5.3770668100551158E-2</v>
      </c>
      <c r="K80" s="5">
        <f t="shared" si="4"/>
        <v>1.3268116788958113</v>
      </c>
      <c r="L80" s="61">
        <f t="shared" si="4"/>
        <v>1.3268116788958113</v>
      </c>
      <c r="M80" s="5">
        <f t="shared" si="4"/>
        <v>3.2767652854291347E-2</v>
      </c>
      <c r="N80" s="5">
        <f t="shared" si="4"/>
        <v>8.1423130107544122</v>
      </c>
    </row>
    <row r="81" spans="4:14" x14ac:dyDescent="0.25">
      <c r="D81" s="812" t="s">
        <v>279</v>
      </c>
      <c r="E81" t="str">
        <f t="shared" si="2"/>
        <v>OWB (Hydronic Heater) - Unqualified</v>
      </c>
      <c r="F81" s="60">
        <f t="shared" si="3"/>
        <v>0.43</v>
      </c>
      <c r="H81" s="5">
        <f t="shared" si="4"/>
        <v>7.1246135233230268</v>
      </c>
      <c r="I81" s="5">
        <f t="shared" si="4"/>
        <v>0.19840081127369652</v>
      </c>
      <c r="J81" s="5">
        <f t="shared" si="4"/>
        <v>5.3770668100551144E-2</v>
      </c>
      <c r="K81" s="5">
        <f t="shared" si="4"/>
        <v>1.4848757459742818</v>
      </c>
      <c r="L81" s="61">
        <f t="shared" si="4"/>
        <v>1.4848757459742818</v>
      </c>
      <c r="M81" s="5">
        <f t="shared" si="4"/>
        <v>3.6739327534441243E-2</v>
      </c>
      <c r="N81" s="5">
        <f t="shared" si="4"/>
        <v>7.4336984819782863</v>
      </c>
    </row>
    <row r="82" spans="4:14" x14ac:dyDescent="0.25">
      <c r="D82" s="812" t="s">
        <v>279</v>
      </c>
      <c r="E82" t="str">
        <f t="shared" si="2"/>
        <v>OWB (Hydronic Heater) - Phase 1</v>
      </c>
      <c r="F82" s="60">
        <f t="shared" si="3"/>
        <v>0.43</v>
      </c>
      <c r="H82" s="5">
        <f t="shared" si="4"/>
        <v>1.6131200430165344</v>
      </c>
      <c r="I82" s="5">
        <f t="shared" si="4"/>
        <v>0.29036873343574471</v>
      </c>
      <c r="J82" s="5">
        <f t="shared" si="4"/>
        <v>5.3770668100551144E-2</v>
      </c>
      <c r="K82" s="5">
        <f t="shared" si="4"/>
        <v>1.3083485641194479</v>
      </c>
      <c r="L82" s="61">
        <f t="shared" si="4"/>
        <v>1.3083485641194479</v>
      </c>
      <c r="M82" s="5">
        <f t="shared" si="4"/>
        <v>1.6880954133691749E-2</v>
      </c>
      <c r="N82" s="5">
        <f t="shared" si="4"/>
        <v>14.444199761877892</v>
      </c>
    </row>
    <row r="83" spans="4:14" x14ac:dyDescent="0.25">
      <c r="D83" s="812" t="s">
        <v>279</v>
      </c>
      <c r="E83" t="str">
        <f t="shared" si="2"/>
        <v>OWB (Hydronic Heater) - Phase 2</v>
      </c>
      <c r="F83" s="60">
        <f t="shared" si="3"/>
        <v>0.43</v>
      </c>
      <c r="H83" s="5">
        <f t="shared" si="4"/>
        <v>2.0164000537706683</v>
      </c>
      <c r="I83" s="5">
        <f t="shared" si="4"/>
        <v>0.29036873343574471</v>
      </c>
      <c r="J83" s="5">
        <f t="shared" si="4"/>
        <v>5.3770668100551144E-2</v>
      </c>
      <c r="K83" s="5">
        <f t="shared" si="4"/>
        <v>0.69455541058192904</v>
      </c>
      <c r="L83" s="61">
        <f t="shared" si="4"/>
        <v>0.69455541058192904</v>
      </c>
      <c r="M83" s="5">
        <f t="shared" si="4"/>
        <v>1.6880954133691749E-2</v>
      </c>
      <c r="N83" s="5">
        <f t="shared" si="4"/>
        <v>10.976771125858908</v>
      </c>
    </row>
    <row r="84" spans="4:14" x14ac:dyDescent="0.25">
      <c r="D84" s="812" t="s">
        <v>1485</v>
      </c>
      <c r="E84" t="str">
        <f>A62</f>
        <v>Coal Boiler (bituminous/subbituminous, hand-fed)</v>
      </c>
      <c r="F84" s="60">
        <f>D62</f>
        <v>0.43</v>
      </c>
      <c r="H84" s="5">
        <f t="shared" ref="H84:N84" si="5">H62/$D62</f>
        <v>1.5299877600979193</v>
      </c>
      <c r="I84" s="5">
        <f t="shared" si="5"/>
        <v>0.72215422276621788</v>
      </c>
      <c r="J84" s="5">
        <f t="shared" si="5"/>
        <v>1.4228886168910648</v>
      </c>
      <c r="K84" s="5">
        <f t="shared" si="5"/>
        <v>1.2224602203182375</v>
      </c>
      <c r="L84" s="61">
        <f t="shared" si="5"/>
        <v>1.2224602203182375</v>
      </c>
      <c r="M84" s="5">
        <f t="shared" si="5"/>
        <v>0.19368880048959614</v>
      </c>
      <c r="N84" s="5">
        <f t="shared" si="5"/>
        <v>19.977815177478579</v>
      </c>
    </row>
    <row r="85" spans="4:14" x14ac:dyDescent="0.25">
      <c r="D85" s="812" t="s">
        <v>278</v>
      </c>
      <c r="E85" t="str">
        <f>A54</f>
        <v>Central Oil (Weighted # 1 &amp; #2), Residential</v>
      </c>
      <c r="F85" s="60">
        <f>D54</f>
        <v>0.81</v>
      </c>
      <c r="H85" s="5">
        <f>H54/$D54</f>
        <v>6.5586959129977744E-3</v>
      </c>
      <c r="I85" s="5">
        <f t="shared" ref="I85:N87" si="6">I54/$D54</f>
        <v>0.10276279774995996</v>
      </c>
      <c r="J85" s="5">
        <f t="shared" si="6"/>
        <v>0.26586707665905551</v>
      </c>
      <c r="K85" s="5">
        <f t="shared" si="6"/>
        <v>4.200114349453405E-3</v>
      </c>
      <c r="L85" s="61">
        <f t="shared" si="6"/>
        <v>4.200114349453405E-3</v>
      </c>
      <c r="M85" s="5">
        <f t="shared" si="6"/>
        <v>2.2533613484817521E-4</v>
      </c>
      <c r="N85" s="5">
        <f t="shared" si="6"/>
        <v>4.1196121577555481E-3</v>
      </c>
    </row>
    <row r="86" spans="4:14" x14ac:dyDescent="0.25">
      <c r="D86" s="812" t="s">
        <v>278</v>
      </c>
      <c r="E86" t="str">
        <f>A55</f>
        <v>Central Oil (#1 distillate), Residential</v>
      </c>
      <c r="F86" s="60">
        <f>D55</f>
        <v>0.81</v>
      </c>
      <c r="H86" s="5">
        <f>H55/$D55</f>
        <v>7.0419753086419738E-3</v>
      </c>
      <c r="I86" s="5">
        <f t="shared" si="6"/>
        <v>0.11033490407263415</v>
      </c>
      <c r="J86" s="5">
        <f t="shared" si="6"/>
        <v>0.12566123456790124</v>
      </c>
      <c r="K86" s="5">
        <f t="shared" si="6"/>
        <v>4.5096009838951293E-3</v>
      </c>
      <c r="L86" s="61">
        <f t="shared" si="6"/>
        <v>4.5096009838951293E-3</v>
      </c>
      <c r="M86" s="5">
        <f t="shared" si="6"/>
        <v>2.4194009278597371E-4</v>
      </c>
      <c r="N86" s="5">
        <f t="shared" si="6"/>
        <v>4.4231669650371388E-3</v>
      </c>
    </row>
    <row r="87" spans="4:14" x14ac:dyDescent="0.25">
      <c r="D87" s="812" t="s">
        <v>278</v>
      </c>
      <c r="E87" t="str">
        <f>A56</f>
        <v>Central Oil (#2 distillate), Residential</v>
      </c>
      <c r="F87" s="60">
        <f>D56</f>
        <v>0.81</v>
      </c>
      <c r="H87" s="5">
        <f>H56/$D56</f>
        <v>6.3555733832508787E-3</v>
      </c>
      <c r="I87" s="5">
        <f t="shared" si="6"/>
        <v>9.9580238332702298E-2</v>
      </c>
      <c r="J87" s="5">
        <f t="shared" si="6"/>
        <v>0.32479565004234073</v>
      </c>
      <c r="K87" s="5">
        <f t="shared" si="6"/>
        <v>4.0700369890750258E-3</v>
      </c>
      <c r="L87" s="61">
        <f t="shared" si="6"/>
        <v>4.0700369890750258E-3</v>
      </c>
      <c r="M87" s="5">
        <f t="shared" si="6"/>
        <v>2.1835748446387518E-4</v>
      </c>
      <c r="N87" s="5">
        <f t="shared" si="6"/>
        <v>3.9920279467844213E-3</v>
      </c>
    </row>
    <row r="88" spans="4:14" x14ac:dyDescent="0.25">
      <c r="D88" s="812" t="s">
        <v>278</v>
      </c>
      <c r="E88" t="str">
        <f>A58</f>
        <v>Portable: 43% Kerosene &amp; 57% Fuel Oil</v>
      </c>
      <c r="F88" s="60">
        <f>D58</f>
        <v>0.81</v>
      </c>
      <c r="H88" s="5">
        <f t="shared" ref="H88:N91" si="7">H58/$D58</f>
        <v>6.4253944565878076E-3</v>
      </c>
      <c r="I88" s="5">
        <f t="shared" si="7"/>
        <v>0.16221192176519011</v>
      </c>
      <c r="J88" s="5">
        <f t="shared" si="7"/>
        <v>0.26046349201353508</v>
      </c>
      <c r="K88" s="5">
        <f t="shared" si="7"/>
        <v>3.6047093725597805E-3</v>
      </c>
      <c r="L88" s="61">
        <f t="shared" si="7"/>
        <v>3.6047093725597805E-3</v>
      </c>
      <c r="M88" s="5">
        <f t="shared" si="7"/>
        <v>2.207563166410943E-4</v>
      </c>
      <c r="N88" s="5">
        <f t="shared" si="7"/>
        <v>4.0358835769892503E-3</v>
      </c>
    </row>
    <row r="89" spans="4:14" x14ac:dyDescent="0.25">
      <c r="D89" s="812" t="s">
        <v>278</v>
      </c>
      <c r="E89" t="str">
        <f>A59</f>
        <v>Direct Vent</v>
      </c>
      <c r="F89" s="60">
        <f>D59</f>
        <v>0.81</v>
      </c>
      <c r="H89" s="5">
        <f t="shared" si="7"/>
        <v>7.0419753086419738E-3</v>
      </c>
      <c r="I89" s="5">
        <f t="shared" si="7"/>
        <v>0.11033490407263415</v>
      </c>
      <c r="J89" s="5">
        <f t="shared" si="7"/>
        <v>0.28545756870715394</v>
      </c>
      <c r="K89" s="5">
        <f t="shared" si="7"/>
        <v>4.5096009838951293E-3</v>
      </c>
      <c r="L89" s="61">
        <f t="shared" si="7"/>
        <v>4.5096009838951293E-3</v>
      </c>
      <c r="M89" s="5">
        <f t="shared" si="7"/>
        <v>2.4194009278597371E-4</v>
      </c>
      <c r="N89" s="5">
        <f t="shared" si="7"/>
        <v>4.4231669650371388E-3</v>
      </c>
    </row>
    <row r="90" spans="4:14" x14ac:dyDescent="0.25">
      <c r="D90" s="812" t="s">
        <v>1586</v>
      </c>
      <c r="E90" t="str">
        <f>A60</f>
        <v>Natural Gas - Residential</v>
      </c>
      <c r="F90" s="60">
        <f>D60</f>
        <v>0.81</v>
      </c>
      <c r="H90" s="5">
        <f t="shared" si="7"/>
        <v>6.6897768047193325E-3</v>
      </c>
      <c r="I90" s="5">
        <f t="shared" si="7"/>
        <v>0.11433436720793042</v>
      </c>
      <c r="J90" s="5">
        <f t="shared" si="7"/>
        <v>7.2979383324210895E-4</v>
      </c>
      <c r="K90" s="5">
        <f t="shared" si="7"/>
        <v>6.0246913580246913E-5</v>
      </c>
      <c r="L90" s="61">
        <f t="shared" si="7"/>
        <v>6.0246913580246913E-5</v>
      </c>
      <c r="M90" s="5">
        <f t="shared" si="7"/>
        <v>2.4326461108070303E-2</v>
      </c>
      <c r="N90" s="5">
        <f t="shared" si="7"/>
        <v>4.8652922216140607E-2</v>
      </c>
    </row>
    <row r="91" spans="4:14" x14ac:dyDescent="0.25">
      <c r="D91" s="812" t="s">
        <v>1586</v>
      </c>
      <c r="E91" t="str">
        <f>A61</f>
        <v>Natural Gas - Commercial, small uncontrolled</v>
      </c>
      <c r="F91" s="60">
        <f>D61</f>
        <v>0.81</v>
      </c>
      <c r="H91" s="5">
        <f t="shared" si="7"/>
        <v>6.6897768047193325E-3</v>
      </c>
      <c r="I91" s="5">
        <f t="shared" si="7"/>
        <v>0.12163230554035151</v>
      </c>
      <c r="J91" s="5">
        <f t="shared" si="7"/>
        <v>7.2979383324210895E-4</v>
      </c>
      <c r="K91" s="5">
        <f t="shared" si="7"/>
        <v>9.2440552210667146E-3</v>
      </c>
      <c r="L91" s="61">
        <f t="shared" si="7"/>
        <v>9.2440552210667146E-3</v>
      </c>
      <c r="M91" s="5">
        <f t="shared" si="7"/>
        <v>2.4326461108070303E-2</v>
      </c>
      <c r="N91" s="5">
        <f t="shared" si="7"/>
        <v>4.8652922216140607E-2</v>
      </c>
    </row>
    <row r="94" spans="4:14" ht="15.75" x14ac:dyDescent="0.25">
      <c r="D94" s="831" t="s">
        <v>1582</v>
      </c>
      <c r="E94" s="831"/>
      <c r="F94" s="831"/>
      <c r="G94" s="831"/>
      <c r="H94" s="831"/>
      <c r="I94" s="831"/>
      <c r="J94" s="831"/>
      <c r="K94" s="831"/>
      <c r="L94" s="831"/>
      <c r="M94" s="831"/>
      <c r="N94" s="831"/>
    </row>
    <row r="95" spans="4:14" ht="15.75" x14ac:dyDescent="0.25">
      <c r="D95" s="867" t="s">
        <v>1587</v>
      </c>
      <c r="E95" s="831"/>
      <c r="F95" s="831"/>
      <c r="G95" s="831"/>
      <c r="H95" s="831"/>
      <c r="I95" s="831"/>
      <c r="J95" s="831"/>
      <c r="K95" s="831"/>
      <c r="L95" s="831"/>
      <c r="M95" s="831"/>
      <c r="N95" s="831"/>
    </row>
    <row r="96" spans="4:14" x14ac:dyDescent="0.25">
      <c r="F96" s="812" t="s">
        <v>1584</v>
      </c>
      <c r="H96" s="845" t="s">
        <v>1585</v>
      </c>
      <c r="I96" s="845"/>
      <c r="J96" s="845"/>
      <c r="K96" s="845"/>
      <c r="L96" s="845"/>
      <c r="M96" s="845"/>
      <c r="N96" s="845"/>
    </row>
    <row r="97" spans="4:14" ht="15.75" thickBot="1" x14ac:dyDescent="0.3">
      <c r="D97" s="6" t="s">
        <v>1445</v>
      </c>
      <c r="E97" s="6" t="s">
        <v>379</v>
      </c>
      <c r="F97" s="6" t="s">
        <v>290</v>
      </c>
      <c r="G97" s="6"/>
      <c r="H97" s="6" t="s">
        <v>201</v>
      </c>
      <c r="I97" s="6" t="s">
        <v>202</v>
      </c>
      <c r="J97" s="6" t="s">
        <v>132</v>
      </c>
      <c r="K97" s="6" t="s">
        <v>203</v>
      </c>
      <c r="L97" s="59" t="s">
        <v>204</v>
      </c>
      <c r="M97" s="6" t="s">
        <v>205</v>
      </c>
      <c r="N97" s="6" t="s">
        <v>206</v>
      </c>
    </row>
    <row r="98" spans="4:14" ht="15.75" thickTop="1" x14ac:dyDescent="0.25">
      <c r="D98" s="812" t="str">
        <f t="shared" ref="D98:F113" si="8">D71</f>
        <v>Wood</v>
      </c>
      <c r="E98" t="str">
        <f>E71</f>
        <v>Fireplace, No Insert</v>
      </c>
      <c r="F98" s="62">
        <f>F71</f>
        <v>7.0000000000000007E-2</v>
      </c>
      <c r="H98" s="5">
        <f t="shared" ref="H98:N110" si="9">H71*$C$4/$C$5</f>
        <v>226.91990090834022</v>
      </c>
      <c r="I98" s="5">
        <f t="shared" si="9"/>
        <v>2.5763831544178362</v>
      </c>
      <c r="J98" s="5">
        <f t="shared" si="9"/>
        <v>0.39636663914120562</v>
      </c>
      <c r="K98" s="5">
        <f t="shared" si="9"/>
        <v>34.285714285714285</v>
      </c>
      <c r="L98" s="61">
        <f t="shared" si="9"/>
        <v>34.285714285714285</v>
      </c>
      <c r="M98" s="5">
        <f t="shared" si="9"/>
        <v>1.7836498761354251</v>
      </c>
      <c r="N98" s="5">
        <f t="shared" si="9"/>
        <v>250.30553261767128</v>
      </c>
    </row>
    <row r="99" spans="4:14" x14ac:dyDescent="0.25">
      <c r="D99" s="812" t="str">
        <f t="shared" si="8"/>
        <v>Wood</v>
      </c>
      <c r="E99" t="str">
        <f t="shared" si="8"/>
        <v>Fireplace, With Insert - Non-EPA Certified</v>
      </c>
      <c r="F99" s="62">
        <f t="shared" si="8"/>
        <v>0.4</v>
      </c>
      <c r="H99" s="5">
        <f t="shared" si="9"/>
        <v>9.1907514450867041</v>
      </c>
      <c r="I99" s="5">
        <f t="shared" si="9"/>
        <v>0.48554913294797675</v>
      </c>
      <c r="J99" s="5">
        <f t="shared" si="9"/>
        <v>6.9364161849710976E-2</v>
      </c>
      <c r="K99" s="5">
        <f t="shared" si="9"/>
        <v>5.3063583815028901</v>
      </c>
      <c r="L99" s="61">
        <f t="shared" si="9"/>
        <v>5.3063583815028901</v>
      </c>
      <c r="M99" s="5">
        <f t="shared" si="9"/>
        <v>0.29479768786127158</v>
      </c>
      <c r="N99" s="5">
        <f t="shared" si="9"/>
        <v>40.023121387283233</v>
      </c>
    </row>
    <row r="100" spans="4:14" x14ac:dyDescent="0.25">
      <c r="D100" s="812" t="str">
        <f t="shared" si="8"/>
        <v>Wood</v>
      </c>
      <c r="E100" t="str">
        <f t="shared" si="8"/>
        <v>Fireplace, With Insert - EPA Certified Non-Catalytic</v>
      </c>
      <c r="F100" s="62">
        <f t="shared" si="8"/>
        <v>0.66</v>
      </c>
      <c r="H100" s="5">
        <f t="shared" si="9"/>
        <v>1.2611665790856539</v>
      </c>
      <c r="I100" s="5">
        <f t="shared" si="9"/>
        <v>0.21019442984760903</v>
      </c>
      <c r="J100" s="5">
        <f t="shared" si="9"/>
        <v>4.2038885969521801E-2</v>
      </c>
      <c r="K100" s="5">
        <f t="shared" si="9"/>
        <v>1.2611665790856539</v>
      </c>
      <c r="L100" s="61">
        <f t="shared" si="9"/>
        <v>1.2611665790856539</v>
      </c>
      <c r="M100" s="5">
        <f t="shared" si="9"/>
        <v>9.4587493431424058E-2</v>
      </c>
      <c r="N100" s="5">
        <f t="shared" si="9"/>
        <v>14.797687861271674</v>
      </c>
    </row>
    <row r="101" spans="4:14" x14ac:dyDescent="0.25">
      <c r="D101" s="812" t="str">
        <f t="shared" si="8"/>
        <v>Wood</v>
      </c>
      <c r="E101" t="str">
        <f t="shared" si="8"/>
        <v>Fireplace, With Insert - EPA Certified Catalytic</v>
      </c>
      <c r="F101" s="62">
        <f t="shared" si="8"/>
        <v>0.7</v>
      </c>
      <c r="H101" s="5">
        <f t="shared" si="9"/>
        <v>1.4863748967795212</v>
      </c>
      <c r="I101" s="5">
        <f t="shared" si="9"/>
        <v>0.19818331957060284</v>
      </c>
      <c r="J101" s="5">
        <f t="shared" si="9"/>
        <v>3.963666391412056E-2</v>
      </c>
      <c r="K101" s="5">
        <f t="shared" si="9"/>
        <v>1.2881915772089181</v>
      </c>
      <c r="L101" s="61">
        <f t="shared" si="9"/>
        <v>1.2881915772089181</v>
      </c>
      <c r="M101" s="5">
        <f t="shared" si="9"/>
        <v>8.9182493806771262E-2</v>
      </c>
      <c r="N101" s="5">
        <f t="shared" si="9"/>
        <v>10.602807597027251</v>
      </c>
    </row>
    <row r="102" spans="4:14" x14ac:dyDescent="0.25">
      <c r="D102" s="812" t="str">
        <f t="shared" si="8"/>
        <v>Wood</v>
      </c>
      <c r="E102" t="str">
        <f t="shared" si="8"/>
        <v>Woodstove - Non-EPA Certified</v>
      </c>
      <c r="F102" s="62">
        <f t="shared" si="8"/>
        <v>0.54</v>
      </c>
      <c r="H102" s="5">
        <f t="shared" si="9"/>
        <v>6.8079640333975586</v>
      </c>
      <c r="I102" s="5">
        <f t="shared" si="9"/>
        <v>0.18653084563656364</v>
      </c>
      <c r="J102" s="5">
        <f t="shared" si="9"/>
        <v>5.1380860629415541E-2</v>
      </c>
      <c r="K102" s="5">
        <f t="shared" si="9"/>
        <v>1.5596697990202895</v>
      </c>
      <c r="L102" s="61">
        <f t="shared" si="9"/>
        <v>1.5596697990202895</v>
      </c>
      <c r="M102" s="5">
        <f t="shared" si="9"/>
        <v>5.0999170871439903E-2</v>
      </c>
      <c r="N102" s="5">
        <f t="shared" si="9"/>
        <v>15.564629633740791</v>
      </c>
    </row>
    <row r="103" spans="4:14" x14ac:dyDescent="0.25">
      <c r="D103" s="812" t="str">
        <f t="shared" si="8"/>
        <v>Wood</v>
      </c>
      <c r="E103" t="str">
        <f t="shared" si="8"/>
        <v>Woodstove - EPA Certified Non-Catalytic</v>
      </c>
      <c r="F103" s="62">
        <f t="shared" si="8"/>
        <v>0.68</v>
      </c>
      <c r="H103" s="5">
        <f t="shared" si="9"/>
        <v>1.2240734444066643</v>
      </c>
      <c r="I103" s="5">
        <f t="shared" si="9"/>
        <v>0.1641114895856054</v>
      </c>
      <c r="J103" s="5">
        <f t="shared" si="9"/>
        <v>4.0802448146888805E-2</v>
      </c>
      <c r="K103" s="5">
        <f t="shared" si="9"/>
        <v>0.80841128128496098</v>
      </c>
      <c r="L103" s="61">
        <f t="shared" si="9"/>
        <v>0.80841128128496098</v>
      </c>
      <c r="M103" s="5">
        <f t="shared" si="9"/>
        <v>2.5475185621489652E-2</v>
      </c>
      <c r="N103" s="5">
        <f t="shared" si="9"/>
        <v>12.612133474204107</v>
      </c>
    </row>
    <row r="104" spans="4:14" x14ac:dyDescent="0.25">
      <c r="D104" s="812" t="str">
        <f t="shared" si="8"/>
        <v>Wood</v>
      </c>
      <c r="E104" t="str">
        <f t="shared" si="8"/>
        <v>Woodstove - EPA Certified Catalytic</v>
      </c>
      <c r="F104" s="62">
        <f t="shared" si="8"/>
        <v>0.72</v>
      </c>
      <c r="H104" s="5">
        <f t="shared" si="9"/>
        <v>1.4450867052023122</v>
      </c>
      <c r="I104" s="5">
        <f t="shared" si="9"/>
        <v>0.15499418460862738</v>
      </c>
      <c r="J104" s="5">
        <f t="shared" si="9"/>
        <v>3.8535645472061654E-2</v>
      </c>
      <c r="K104" s="5">
        <f t="shared" si="9"/>
        <v>0.84717072627807599</v>
      </c>
      <c r="L104" s="61">
        <f t="shared" si="9"/>
        <v>0.84717072627807599</v>
      </c>
      <c r="M104" s="5">
        <f t="shared" si="9"/>
        <v>2.4059897531406898E-2</v>
      </c>
      <c r="N104" s="5">
        <f t="shared" si="9"/>
        <v>11.911459392303881</v>
      </c>
    </row>
    <row r="105" spans="4:14" x14ac:dyDescent="0.25">
      <c r="D105" s="812" t="str">
        <f t="shared" si="8"/>
        <v>Wood</v>
      </c>
      <c r="E105" t="str">
        <f t="shared" si="8"/>
        <v>Pellet Stove (Exempt)</v>
      </c>
      <c r="F105" s="62">
        <f t="shared" si="8"/>
        <v>0.56000000000000005</v>
      </c>
      <c r="H105" s="5">
        <f t="shared" si="9"/>
        <v>0.29727497935590419</v>
      </c>
      <c r="I105" s="5">
        <f t="shared" si="9"/>
        <v>0.51913471851998272</v>
      </c>
      <c r="J105" s="5">
        <f t="shared" si="9"/>
        <v>4.1489288193405222E-2</v>
      </c>
      <c r="K105" s="5">
        <f t="shared" si="9"/>
        <v>0.38377591578899822</v>
      </c>
      <c r="L105" s="61">
        <f t="shared" si="9"/>
        <v>0.38377591578899822</v>
      </c>
      <c r="M105" s="5">
        <f t="shared" si="9"/>
        <v>9.3195313604436478E-3</v>
      </c>
      <c r="N105" s="5">
        <f t="shared" si="9"/>
        <v>1.2877237823028145</v>
      </c>
    </row>
    <row r="106" spans="4:14" x14ac:dyDescent="0.25">
      <c r="D106" s="812" t="str">
        <f t="shared" si="8"/>
        <v>Wood</v>
      </c>
      <c r="E106" t="str">
        <f t="shared" si="8"/>
        <v>Pellet Stove (EPA Certified)</v>
      </c>
      <c r="F106" s="62">
        <f t="shared" si="8"/>
        <v>0.78</v>
      </c>
      <c r="H106" s="5">
        <f t="shared" si="9"/>
        <v>0.21342819030680299</v>
      </c>
      <c r="I106" s="5">
        <f t="shared" si="9"/>
        <v>0.37271210560409013</v>
      </c>
      <c r="J106" s="5">
        <f t="shared" si="9"/>
        <v>2.9787181267060155E-2</v>
      </c>
      <c r="K106" s="5">
        <f t="shared" si="9"/>
        <v>0.27553142672030645</v>
      </c>
      <c r="L106" s="61">
        <f t="shared" si="9"/>
        <v>0.27553142672030645</v>
      </c>
      <c r="M106" s="5">
        <f t="shared" si="9"/>
        <v>6.6909455921133872E-3</v>
      </c>
      <c r="N106" s="5">
        <f t="shared" si="9"/>
        <v>0.92451963857637964</v>
      </c>
    </row>
    <row r="107" spans="4:14" x14ac:dyDescent="0.25">
      <c r="D107" s="812" t="str">
        <f t="shared" si="8"/>
        <v>Wood</v>
      </c>
      <c r="E107" t="str">
        <f t="shared" si="8"/>
        <v>OWB (Hydronic Heater) - 80/20 Unqual/Phase 2 Wtd</v>
      </c>
      <c r="F107" s="62">
        <f t="shared" si="8"/>
        <v>0.43</v>
      </c>
      <c r="H107" s="5">
        <f t="shared" si="9"/>
        <v>7.3235649952950679</v>
      </c>
      <c r="I107" s="5">
        <f t="shared" si="9"/>
        <v>0.26015327484732736</v>
      </c>
      <c r="J107" s="5">
        <f t="shared" si="9"/>
        <v>6.4524801720661384E-2</v>
      </c>
      <c r="K107" s="5">
        <f t="shared" si="9"/>
        <v>1.5921740146749737</v>
      </c>
      <c r="L107" s="61">
        <f t="shared" si="9"/>
        <v>1.5921740146749737</v>
      </c>
      <c r="M107" s="5">
        <f t="shared" si="9"/>
        <v>3.932118342514962E-2</v>
      </c>
      <c r="N107" s="5">
        <f t="shared" si="9"/>
        <v>9.7707756129052949</v>
      </c>
    </row>
    <row r="108" spans="4:14" x14ac:dyDescent="0.25">
      <c r="D108" s="812" t="str">
        <f t="shared" si="8"/>
        <v>Wood</v>
      </c>
      <c r="E108" t="str">
        <f t="shared" si="8"/>
        <v>OWB (Hydronic Heater) - Unqualified</v>
      </c>
      <c r="F108" s="62">
        <f t="shared" si="8"/>
        <v>0.43</v>
      </c>
      <c r="H108" s="5">
        <f t="shared" si="9"/>
        <v>8.5495362279876321</v>
      </c>
      <c r="I108" s="5">
        <f t="shared" si="9"/>
        <v>0.2380809735284358</v>
      </c>
      <c r="J108" s="5">
        <f t="shared" si="9"/>
        <v>6.4524801720661371E-2</v>
      </c>
      <c r="K108" s="5">
        <f t="shared" si="9"/>
        <v>1.7818508951691381</v>
      </c>
      <c r="L108" s="61">
        <f t="shared" si="9"/>
        <v>1.7818508951691381</v>
      </c>
      <c r="M108" s="5">
        <f t="shared" si="9"/>
        <v>4.4087193041329492E-2</v>
      </c>
      <c r="N108" s="5">
        <f t="shared" si="9"/>
        <v>8.9204381783739439</v>
      </c>
    </row>
    <row r="109" spans="4:14" x14ac:dyDescent="0.25">
      <c r="D109" s="812" t="str">
        <f t="shared" si="8"/>
        <v>Wood</v>
      </c>
      <c r="E109" t="str">
        <f t="shared" si="8"/>
        <v>OWB (Hydronic Heater) - Phase 1</v>
      </c>
      <c r="F109" s="62">
        <f t="shared" si="8"/>
        <v>0.43</v>
      </c>
      <c r="H109" s="5">
        <f t="shared" si="9"/>
        <v>1.9357440516198412</v>
      </c>
      <c r="I109" s="5">
        <f t="shared" si="9"/>
        <v>0.34844248012289364</v>
      </c>
      <c r="J109" s="5">
        <f t="shared" si="9"/>
        <v>6.4524801720661371E-2</v>
      </c>
      <c r="K109" s="5">
        <f t="shared" si="9"/>
        <v>1.5700182769433375</v>
      </c>
      <c r="L109" s="61">
        <f t="shared" si="9"/>
        <v>1.5700182769433375</v>
      </c>
      <c r="M109" s="5">
        <f t="shared" si="9"/>
        <v>2.0257144960430098E-2</v>
      </c>
      <c r="N109" s="5">
        <f t="shared" si="9"/>
        <v>17.33303971425347</v>
      </c>
    </row>
    <row r="110" spans="4:14" x14ac:dyDescent="0.25">
      <c r="D110" s="812" t="str">
        <f t="shared" si="8"/>
        <v>Wood</v>
      </c>
      <c r="E110" t="str">
        <f t="shared" si="8"/>
        <v>OWB (Hydronic Heater) - Phase 2</v>
      </c>
      <c r="F110" s="62">
        <f t="shared" si="8"/>
        <v>0.43</v>
      </c>
      <c r="H110" s="5">
        <f t="shared" si="9"/>
        <v>2.419680064524802</v>
      </c>
      <c r="I110" s="5">
        <f t="shared" si="9"/>
        <v>0.34844248012289364</v>
      </c>
      <c r="J110" s="5">
        <f t="shared" si="9"/>
        <v>6.4524801720661371E-2</v>
      </c>
      <c r="K110" s="5">
        <f t="shared" si="9"/>
        <v>0.83346649269831485</v>
      </c>
      <c r="L110" s="61">
        <f t="shared" si="9"/>
        <v>0.83346649269831485</v>
      </c>
      <c r="M110" s="5">
        <f t="shared" si="9"/>
        <v>2.0257144960430098E-2</v>
      </c>
      <c r="N110" s="5">
        <f t="shared" si="9"/>
        <v>13.17212535103069</v>
      </c>
    </row>
    <row r="111" spans="4:14" x14ac:dyDescent="0.25">
      <c r="D111" s="812" t="str">
        <f t="shared" si="8"/>
        <v>Coal</v>
      </c>
      <c r="E111" t="str">
        <f t="shared" si="8"/>
        <v>Coal Boiler (bituminous/subbituminous, hand-fed)</v>
      </c>
      <c r="F111" s="62">
        <f t="shared" si="8"/>
        <v>0.43</v>
      </c>
      <c r="H111" s="5">
        <f t="shared" ref="H111:N118" si="10">H84</f>
        <v>1.5299877600979193</v>
      </c>
      <c r="I111" s="5">
        <f t="shared" si="10"/>
        <v>0.72215422276621788</v>
      </c>
      <c r="J111" s="5">
        <f t="shared" si="10"/>
        <v>1.4228886168910648</v>
      </c>
      <c r="K111" s="5">
        <f t="shared" si="10"/>
        <v>1.2224602203182375</v>
      </c>
      <c r="L111" s="61">
        <f t="shared" si="10"/>
        <v>1.2224602203182375</v>
      </c>
      <c r="M111" s="5">
        <f t="shared" si="10"/>
        <v>0.19368880048959614</v>
      </c>
      <c r="N111" s="5">
        <f t="shared" si="10"/>
        <v>19.977815177478579</v>
      </c>
    </row>
    <row r="112" spans="4:14" x14ac:dyDescent="0.25">
      <c r="D112" s="812" t="str">
        <f t="shared" si="8"/>
        <v>Oil</v>
      </c>
      <c r="E112" t="str">
        <f t="shared" si="8"/>
        <v>Central Oil (Weighted # 1 &amp; #2), Residential</v>
      </c>
      <c r="F112" s="62">
        <f t="shared" si="8"/>
        <v>0.81</v>
      </c>
      <c r="H112" s="5">
        <f t="shared" si="10"/>
        <v>6.5586959129977744E-3</v>
      </c>
      <c r="I112" s="5">
        <f t="shared" si="10"/>
        <v>0.10276279774995996</v>
      </c>
      <c r="J112" s="5">
        <f t="shared" si="10"/>
        <v>0.26586707665905551</v>
      </c>
      <c r="K112" s="5">
        <f t="shared" si="10"/>
        <v>4.200114349453405E-3</v>
      </c>
      <c r="L112" s="61">
        <f t="shared" si="10"/>
        <v>4.200114349453405E-3</v>
      </c>
      <c r="M112" s="5">
        <f t="shared" si="10"/>
        <v>2.2533613484817521E-4</v>
      </c>
      <c r="N112" s="5">
        <f t="shared" si="10"/>
        <v>4.1196121577555481E-3</v>
      </c>
    </row>
    <row r="113" spans="4:14" x14ac:dyDescent="0.25">
      <c r="D113" s="812" t="str">
        <f t="shared" si="8"/>
        <v>Oil</v>
      </c>
      <c r="E113" t="str">
        <f t="shared" si="8"/>
        <v>Central Oil (#1 distillate), Residential</v>
      </c>
      <c r="F113" s="62">
        <f t="shared" si="8"/>
        <v>0.81</v>
      </c>
      <c r="H113" s="5">
        <f t="shared" si="10"/>
        <v>7.0419753086419738E-3</v>
      </c>
      <c r="I113" s="5">
        <f t="shared" si="10"/>
        <v>0.11033490407263415</v>
      </c>
      <c r="J113" s="5">
        <f t="shared" si="10"/>
        <v>0.12566123456790124</v>
      </c>
      <c r="K113" s="5">
        <f t="shared" si="10"/>
        <v>4.5096009838951293E-3</v>
      </c>
      <c r="L113" s="61">
        <f t="shared" si="10"/>
        <v>4.5096009838951293E-3</v>
      </c>
      <c r="M113" s="5">
        <f t="shared" si="10"/>
        <v>2.4194009278597371E-4</v>
      </c>
      <c r="N113" s="5">
        <f t="shared" si="10"/>
        <v>4.4231669650371388E-3</v>
      </c>
    </row>
    <row r="114" spans="4:14" x14ac:dyDescent="0.25">
      <c r="D114" s="812" t="str">
        <f t="shared" ref="D114:F118" si="11">D87</f>
        <v>Oil</v>
      </c>
      <c r="E114" t="str">
        <f t="shared" si="11"/>
        <v>Central Oil (#2 distillate), Residential</v>
      </c>
      <c r="F114" s="62">
        <f t="shared" si="11"/>
        <v>0.81</v>
      </c>
      <c r="H114" s="5">
        <f t="shared" si="10"/>
        <v>6.3555733832508787E-3</v>
      </c>
      <c r="I114" s="5">
        <f t="shared" si="10"/>
        <v>9.9580238332702298E-2</v>
      </c>
      <c r="J114" s="5">
        <f t="shared" si="10"/>
        <v>0.32479565004234073</v>
      </c>
      <c r="K114" s="5">
        <f t="shared" si="10"/>
        <v>4.0700369890750258E-3</v>
      </c>
      <c r="L114" s="61">
        <f t="shared" si="10"/>
        <v>4.0700369890750258E-3</v>
      </c>
      <c r="M114" s="5">
        <f t="shared" si="10"/>
        <v>2.1835748446387518E-4</v>
      </c>
      <c r="N114" s="5">
        <f t="shared" si="10"/>
        <v>3.9920279467844213E-3</v>
      </c>
    </row>
    <row r="115" spans="4:14" x14ac:dyDescent="0.25">
      <c r="D115" s="812" t="str">
        <f t="shared" si="11"/>
        <v>Oil</v>
      </c>
      <c r="E115" t="str">
        <f t="shared" si="11"/>
        <v>Portable: 43% Kerosene &amp; 57% Fuel Oil</v>
      </c>
      <c r="F115" s="62">
        <f t="shared" si="11"/>
        <v>0.81</v>
      </c>
      <c r="H115" s="5">
        <f t="shared" si="10"/>
        <v>6.4253944565878076E-3</v>
      </c>
      <c r="I115" s="5">
        <f t="shared" si="10"/>
        <v>0.16221192176519011</v>
      </c>
      <c r="J115" s="5">
        <f t="shared" si="10"/>
        <v>0.26046349201353508</v>
      </c>
      <c r="K115" s="5">
        <f t="shared" si="10"/>
        <v>3.6047093725597805E-3</v>
      </c>
      <c r="L115" s="61">
        <f t="shared" si="10"/>
        <v>3.6047093725597805E-3</v>
      </c>
      <c r="M115" s="5">
        <f t="shared" si="10"/>
        <v>2.207563166410943E-4</v>
      </c>
      <c r="N115" s="5">
        <f t="shared" si="10"/>
        <v>4.0358835769892503E-3</v>
      </c>
    </row>
    <row r="116" spans="4:14" x14ac:dyDescent="0.25">
      <c r="D116" s="812" t="str">
        <f t="shared" si="11"/>
        <v>Oil</v>
      </c>
      <c r="E116" t="str">
        <f t="shared" si="11"/>
        <v>Direct Vent</v>
      </c>
      <c r="F116" s="62">
        <f t="shared" si="11"/>
        <v>0.81</v>
      </c>
      <c r="H116" s="5">
        <f t="shared" si="10"/>
        <v>7.0419753086419738E-3</v>
      </c>
      <c r="I116" s="5">
        <f t="shared" si="10"/>
        <v>0.11033490407263415</v>
      </c>
      <c r="J116" s="5">
        <f t="shared" si="10"/>
        <v>0.28545756870715394</v>
      </c>
      <c r="K116" s="5">
        <f t="shared" si="10"/>
        <v>4.5096009838951293E-3</v>
      </c>
      <c r="L116" s="61">
        <f t="shared" si="10"/>
        <v>4.5096009838951293E-3</v>
      </c>
      <c r="M116" s="5">
        <f t="shared" si="10"/>
        <v>2.4194009278597371E-4</v>
      </c>
      <c r="N116" s="5">
        <f t="shared" si="10"/>
        <v>4.4231669650371388E-3</v>
      </c>
    </row>
    <row r="117" spans="4:14" x14ac:dyDescent="0.25">
      <c r="D117" s="812" t="str">
        <f t="shared" si="11"/>
        <v>Gas</v>
      </c>
      <c r="E117" t="str">
        <f t="shared" si="11"/>
        <v>Natural Gas - Residential</v>
      </c>
      <c r="F117" s="62">
        <f t="shared" si="11"/>
        <v>0.81</v>
      </c>
      <c r="H117" s="5">
        <f t="shared" si="10"/>
        <v>6.6897768047193325E-3</v>
      </c>
      <c r="I117" s="5">
        <f t="shared" si="10"/>
        <v>0.11433436720793042</v>
      </c>
      <c r="J117" s="5">
        <f t="shared" si="10"/>
        <v>7.2979383324210895E-4</v>
      </c>
      <c r="K117" s="5">
        <f t="shared" si="10"/>
        <v>6.0246913580246913E-5</v>
      </c>
      <c r="L117" s="61">
        <f t="shared" si="10"/>
        <v>6.0246913580246913E-5</v>
      </c>
      <c r="M117" s="5">
        <f t="shared" si="10"/>
        <v>2.4326461108070303E-2</v>
      </c>
      <c r="N117" s="5">
        <f t="shared" si="10"/>
        <v>4.8652922216140607E-2</v>
      </c>
    </row>
    <row r="118" spans="4:14" x14ac:dyDescent="0.25">
      <c r="D118" s="812" t="str">
        <f t="shared" si="11"/>
        <v>Gas</v>
      </c>
      <c r="E118" t="str">
        <f t="shared" si="11"/>
        <v>Natural Gas - Commercial, small uncontrolled</v>
      </c>
      <c r="F118" s="62">
        <f t="shared" si="11"/>
        <v>0.81</v>
      </c>
      <c r="H118" s="5">
        <f t="shared" si="10"/>
        <v>6.6897768047193325E-3</v>
      </c>
      <c r="I118" s="5">
        <f t="shared" si="10"/>
        <v>0.12163230554035151</v>
      </c>
      <c r="J118" s="5">
        <f t="shared" si="10"/>
        <v>7.2979383324210895E-4</v>
      </c>
      <c r="K118" s="5">
        <f t="shared" si="10"/>
        <v>9.2440552210667146E-3</v>
      </c>
      <c r="L118" s="61">
        <f t="shared" si="10"/>
        <v>9.2440552210667146E-3</v>
      </c>
      <c r="M118" s="5">
        <f t="shared" si="10"/>
        <v>2.4326461108070303E-2</v>
      </c>
      <c r="N118" s="5">
        <f t="shared" si="10"/>
        <v>4.8652922216140607E-2</v>
      </c>
    </row>
    <row r="121" spans="4:14" ht="15.75" x14ac:dyDescent="0.25">
      <c r="D121" s="831" t="s">
        <v>1588</v>
      </c>
      <c r="E121" s="831"/>
      <c r="F121" s="831"/>
      <c r="G121" s="831"/>
      <c r="H121" s="831"/>
      <c r="I121" s="831"/>
      <c r="J121" s="831"/>
      <c r="K121" s="831"/>
      <c r="L121" s="831"/>
      <c r="M121" s="831"/>
      <c r="N121" s="831"/>
    </row>
    <row r="122" spans="4:14" ht="15.75" x14ac:dyDescent="0.25">
      <c r="D122" s="867" t="s">
        <v>1589</v>
      </c>
      <c r="E122" s="831"/>
      <c r="F122" s="831"/>
      <c r="G122" s="831"/>
      <c r="H122" s="831"/>
      <c r="I122" s="831"/>
      <c r="J122" s="831"/>
      <c r="K122" s="831"/>
      <c r="L122" s="831"/>
      <c r="M122" s="831"/>
      <c r="N122" s="831"/>
    </row>
    <row r="123" spans="4:14" x14ac:dyDescent="0.25">
      <c r="F123" s="812" t="s">
        <v>1584</v>
      </c>
      <c r="H123" s="845" t="s">
        <v>1585</v>
      </c>
      <c r="I123" s="845"/>
      <c r="J123" s="845"/>
      <c r="K123" s="845"/>
      <c r="L123" s="845"/>
      <c r="M123" s="845"/>
      <c r="N123" s="845"/>
    </row>
    <row r="124" spans="4:14" ht="15.75" thickBot="1" x14ac:dyDescent="0.3">
      <c r="D124" s="6" t="s">
        <v>1445</v>
      </c>
      <c r="E124" s="6" t="s">
        <v>379</v>
      </c>
      <c r="F124" s="6" t="s">
        <v>290</v>
      </c>
      <c r="G124" s="6"/>
      <c r="H124" s="6" t="s">
        <v>201</v>
      </c>
      <c r="I124" s="6" t="s">
        <v>202</v>
      </c>
      <c r="J124" s="6" t="s">
        <v>132</v>
      </c>
      <c r="K124" s="6" t="s">
        <v>203</v>
      </c>
      <c r="L124" s="59" t="s">
        <v>204</v>
      </c>
      <c r="M124" s="6" t="s">
        <v>205</v>
      </c>
      <c r="N124" s="6" t="s">
        <v>206</v>
      </c>
    </row>
    <row r="125" spans="4:14" ht="15.75" thickTop="1" x14ac:dyDescent="0.25">
      <c r="D125" s="812" t="str">
        <f t="shared" ref="D125:F140" si="12">D98</f>
        <v>Wood</v>
      </c>
      <c r="E125" t="str">
        <f t="shared" si="12"/>
        <v>Fireplace, No Insert</v>
      </c>
      <c r="F125" s="62">
        <f t="shared" si="12"/>
        <v>7.0000000000000007E-2</v>
      </c>
      <c r="H125" s="5">
        <f t="shared" ref="H125:N137" si="13">H71*$C$4/((19*$C$7+16*$C$8)/35)</f>
        <v>258.0800498486185</v>
      </c>
      <c r="I125" s="5">
        <f t="shared" si="13"/>
        <v>2.9301665048314764</v>
      </c>
      <c r="J125" s="5">
        <f t="shared" si="13"/>
        <v>0.45079484689715027</v>
      </c>
      <c r="K125" s="5">
        <f t="shared" si="13"/>
        <v>38.993754256603495</v>
      </c>
      <c r="L125" s="61">
        <f t="shared" si="13"/>
        <v>38.993754256603495</v>
      </c>
      <c r="M125" s="5">
        <f t="shared" si="13"/>
        <v>2.0285768110371762</v>
      </c>
      <c r="N125" s="5">
        <f t="shared" si="13"/>
        <v>284.67694581555031</v>
      </c>
    </row>
    <row r="126" spans="4:14" x14ac:dyDescent="0.25">
      <c r="D126" s="812" t="str">
        <f t="shared" si="12"/>
        <v>Wood</v>
      </c>
      <c r="E126" t="str">
        <f t="shared" si="12"/>
        <v>Fireplace, With Insert - Non-EPA Certified</v>
      </c>
      <c r="F126" s="62">
        <f t="shared" si="12"/>
        <v>0.4</v>
      </c>
      <c r="H126" s="5">
        <f t="shared" si="13"/>
        <v>10.452805512427672</v>
      </c>
      <c r="I126" s="5">
        <f t="shared" si="13"/>
        <v>0.55222368744900896</v>
      </c>
      <c r="J126" s="5">
        <f t="shared" si="13"/>
        <v>7.8889098207001296E-2</v>
      </c>
      <c r="K126" s="5">
        <f t="shared" si="13"/>
        <v>6.0350160128355999</v>
      </c>
      <c r="L126" s="61">
        <f t="shared" si="13"/>
        <v>6.0350160128355999</v>
      </c>
      <c r="M126" s="5">
        <f t="shared" si="13"/>
        <v>0.33527866737975542</v>
      </c>
      <c r="N126" s="5">
        <f t="shared" si="13"/>
        <v>45.519009665439739</v>
      </c>
    </row>
    <row r="127" spans="4:14" x14ac:dyDescent="0.25">
      <c r="D127" s="812" t="str">
        <f t="shared" si="12"/>
        <v>Wood</v>
      </c>
      <c r="E127" t="str">
        <f t="shared" si="12"/>
        <v>Fireplace, With Insert - EPA Certified Non-Catalytic</v>
      </c>
      <c r="F127" s="62">
        <f t="shared" si="12"/>
        <v>0.66</v>
      </c>
      <c r="H127" s="5">
        <f t="shared" si="13"/>
        <v>1.4343472401272961</v>
      </c>
      <c r="I127" s="5">
        <f t="shared" si="13"/>
        <v>0.23905787335454937</v>
      </c>
      <c r="J127" s="5">
        <f t="shared" si="13"/>
        <v>4.7811574670909865E-2</v>
      </c>
      <c r="K127" s="5">
        <f t="shared" si="13"/>
        <v>1.4343472401272961</v>
      </c>
      <c r="L127" s="61">
        <f t="shared" si="13"/>
        <v>1.4343472401272961</v>
      </c>
      <c r="M127" s="5">
        <f t="shared" si="13"/>
        <v>0.10757604300954721</v>
      </c>
      <c r="N127" s="5">
        <f t="shared" si="13"/>
        <v>16.829674284160273</v>
      </c>
    </row>
    <row r="128" spans="4:14" x14ac:dyDescent="0.25">
      <c r="D128" s="812" t="str">
        <f t="shared" si="12"/>
        <v>Wood</v>
      </c>
      <c r="E128" t="str">
        <f t="shared" si="12"/>
        <v>Fireplace, With Insert - EPA Certified Catalytic</v>
      </c>
      <c r="F128" s="62">
        <f t="shared" si="12"/>
        <v>0.7</v>
      </c>
      <c r="H128" s="5">
        <f t="shared" si="13"/>
        <v>1.6904806758643136</v>
      </c>
      <c r="I128" s="5">
        <f t="shared" si="13"/>
        <v>0.22539742344857516</v>
      </c>
      <c r="J128" s="5">
        <f t="shared" si="13"/>
        <v>4.5079484689715024E-2</v>
      </c>
      <c r="K128" s="5">
        <f t="shared" si="13"/>
        <v>1.4650832524157382</v>
      </c>
      <c r="L128" s="61">
        <f t="shared" si="13"/>
        <v>1.4650832524157382</v>
      </c>
      <c r="M128" s="5">
        <f t="shared" si="13"/>
        <v>0.10142884055185881</v>
      </c>
      <c r="N128" s="5">
        <f t="shared" si="13"/>
        <v>12.058762154498771</v>
      </c>
    </row>
    <row r="129" spans="4:17" x14ac:dyDescent="0.25">
      <c r="D129" s="812" t="str">
        <f t="shared" si="12"/>
        <v>Wood</v>
      </c>
      <c r="E129" t="str">
        <f t="shared" si="12"/>
        <v>Woodstove - Non-EPA Certified</v>
      </c>
      <c r="F129" s="62">
        <f t="shared" si="12"/>
        <v>0.54</v>
      </c>
      <c r="H129" s="5">
        <f t="shared" si="13"/>
        <v>7.7428188980945709</v>
      </c>
      <c r="I129" s="5">
        <f t="shared" si="13"/>
        <v>0.21214485705083425</v>
      </c>
      <c r="J129" s="5">
        <f t="shared" si="13"/>
        <v>5.8436369042223178E-2</v>
      </c>
      <c r="K129" s="5">
        <f t="shared" si="13"/>
        <v>1.7738402752129308</v>
      </c>
      <c r="L129" s="61">
        <f t="shared" si="13"/>
        <v>1.7738402752129308</v>
      </c>
      <c r="M129" s="5">
        <f t="shared" si="13"/>
        <v>5.8002266474000884E-2</v>
      </c>
      <c r="N129" s="5">
        <f t="shared" si="13"/>
        <v>17.701930838466495</v>
      </c>
    </row>
    <row r="130" spans="4:17" x14ac:dyDescent="0.25">
      <c r="D130" s="812" t="str">
        <f t="shared" si="12"/>
        <v>Wood</v>
      </c>
      <c r="E130" t="str">
        <f t="shared" si="12"/>
        <v>Woodstove - EPA Certified Non-Catalytic</v>
      </c>
      <c r="F130" s="62">
        <f t="shared" si="12"/>
        <v>0.68</v>
      </c>
      <c r="H130" s="5">
        <f t="shared" si="13"/>
        <v>1.3921605565941404</v>
      </c>
      <c r="I130" s="5">
        <f t="shared" si="13"/>
        <v>0.18664692362126536</v>
      </c>
      <c r="J130" s="5">
        <f t="shared" si="13"/>
        <v>4.6405351886471345E-2</v>
      </c>
      <c r="K130" s="5">
        <f t="shared" si="13"/>
        <v>0.9194205661868422</v>
      </c>
      <c r="L130" s="61">
        <f t="shared" si="13"/>
        <v>0.9194205661868422</v>
      </c>
      <c r="M130" s="5">
        <f t="shared" si="13"/>
        <v>2.8973382893167022E-2</v>
      </c>
      <c r="N130" s="5">
        <f t="shared" si="13"/>
        <v>14.344004305884104</v>
      </c>
    </row>
    <row r="131" spans="4:17" x14ac:dyDescent="0.25">
      <c r="D131" s="812" t="str">
        <f t="shared" si="12"/>
        <v>Wood</v>
      </c>
      <c r="E131" t="str">
        <f t="shared" si="12"/>
        <v>Woodstove - EPA Certified Catalytic</v>
      </c>
      <c r="F131" s="62">
        <f t="shared" si="12"/>
        <v>0.72</v>
      </c>
      <c r="H131" s="5">
        <f t="shared" si="13"/>
        <v>1.6435228793125269</v>
      </c>
      <c r="I131" s="5">
        <f t="shared" si="13"/>
        <v>0.17627765008675067</v>
      </c>
      <c r="J131" s="5">
        <f t="shared" si="13"/>
        <v>4.3827276781667389E-2</v>
      </c>
      <c r="K131" s="5">
        <f t="shared" si="13"/>
        <v>0.96350237415470508</v>
      </c>
      <c r="L131" s="61">
        <f t="shared" si="13"/>
        <v>0.96350237415470508</v>
      </c>
      <c r="M131" s="5">
        <f t="shared" si="13"/>
        <v>2.7363750510213301E-2</v>
      </c>
      <c r="N131" s="5">
        <f t="shared" si="13"/>
        <v>13.547115177779434</v>
      </c>
    </row>
    <row r="132" spans="4:17" x14ac:dyDescent="0.25">
      <c r="D132" s="812" t="str">
        <f t="shared" si="12"/>
        <v>Wood</v>
      </c>
      <c r="E132" t="str">
        <f t="shared" si="12"/>
        <v>Pellet Stove (Exempt)</v>
      </c>
      <c r="F132" s="62">
        <f t="shared" si="12"/>
        <v>0.56000000000000005</v>
      </c>
      <c r="H132" s="5">
        <f t="shared" si="13"/>
        <v>0.33809613517286263</v>
      </c>
      <c r="I132" s="5">
        <f t="shared" si="13"/>
        <v>0.5904211728344777</v>
      </c>
      <c r="J132" s="5">
        <f t="shared" si="13"/>
        <v>4.7186507319438784E-2</v>
      </c>
      <c r="K132" s="5">
        <f t="shared" si="13"/>
        <v>0.43647519270480867</v>
      </c>
      <c r="L132" s="61">
        <f t="shared" si="13"/>
        <v>0.43647519270480867</v>
      </c>
      <c r="M132" s="5">
        <f t="shared" si="13"/>
        <v>1.0599269206628938E-2</v>
      </c>
      <c r="N132" s="5">
        <f t="shared" si="13"/>
        <v>1.4645512209270812</v>
      </c>
    </row>
    <row r="133" spans="4:17" x14ac:dyDescent="0.25">
      <c r="D133" s="812" t="str">
        <f t="shared" si="12"/>
        <v>Wood</v>
      </c>
      <c r="E133" t="str">
        <f t="shared" si="12"/>
        <v>Pellet Stove (EPA Certified)</v>
      </c>
      <c r="F133" s="62">
        <f t="shared" si="12"/>
        <v>0.78</v>
      </c>
      <c r="H133" s="5">
        <f t="shared" si="13"/>
        <v>0.24273568679077318</v>
      </c>
      <c r="I133" s="5">
        <f t="shared" si="13"/>
        <v>0.42389212408629168</v>
      </c>
      <c r="J133" s="5">
        <f t="shared" si="13"/>
        <v>3.3877492434468866E-2</v>
      </c>
      <c r="K133" s="5">
        <f t="shared" si="13"/>
        <v>0.31336680501883707</v>
      </c>
      <c r="L133" s="61">
        <f t="shared" si="13"/>
        <v>0.31336680501883707</v>
      </c>
      <c r="M133" s="5">
        <f t="shared" si="13"/>
        <v>7.6097317380925695E-3</v>
      </c>
      <c r="N133" s="5">
        <f t="shared" si="13"/>
        <v>1.0514726714348275</v>
      </c>
    </row>
    <row r="134" spans="4:17" x14ac:dyDescent="0.25">
      <c r="D134" s="812" t="str">
        <f t="shared" si="12"/>
        <v>Wood</v>
      </c>
      <c r="E134" t="str">
        <f t="shared" si="12"/>
        <v>OWB (Hydronic Heater) - 80/20 Unqual/Phase 2 Wtd</v>
      </c>
      <c r="F134" s="62">
        <f t="shared" si="12"/>
        <v>0.43</v>
      </c>
      <c r="H134" s="5">
        <f t="shared" si="13"/>
        <v>8.3292210665066513</v>
      </c>
      <c r="I134" s="5">
        <f t="shared" si="13"/>
        <v>0.29587695866304653</v>
      </c>
      <c r="J134" s="5">
        <f t="shared" si="13"/>
        <v>7.338520763441983E-2</v>
      </c>
      <c r="K134" s="5">
        <f t="shared" si="13"/>
        <v>1.8108078993079173</v>
      </c>
      <c r="L134" s="61">
        <f t="shared" si="13"/>
        <v>1.8108078993079173</v>
      </c>
      <c r="M134" s="5">
        <f t="shared" si="13"/>
        <v>4.4720683103807522E-2</v>
      </c>
      <c r="N134" s="5">
        <f t="shared" si="13"/>
        <v>11.112477341759602</v>
      </c>
      <c r="Q134" s="133"/>
    </row>
    <row r="135" spans="4:17" x14ac:dyDescent="0.25">
      <c r="D135" s="812" t="str">
        <f t="shared" si="12"/>
        <v>Wood</v>
      </c>
      <c r="E135" t="str">
        <f t="shared" si="12"/>
        <v>OWB (Hydronic Heater) - Unqualified</v>
      </c>
      <c r="F135" s="62">
        <f t="shared" si="12"/>
        <v>0.43</v>
      </c>
      <c r="H135" s="5">
        <f t="shared" si="13"/>
        <v>9.7235400115606243</v>
      </c>
      <c r="I135" s="5">
        <f t="shared" si="13"/>
        <v>0.27077373676910516</v>
      </c>
      <c r="J135" s="5">
        <f t="shared" si="13"/>
        <v>7.3385207634419802E-2</v>
      </c>
      <c r="K135" s="5">
        <f t="shared" si="13"/>
        <v>2.0265307979039182</v>
      </c>
      <c r="L135" s="61">
        <f t="shared" si="13"/>
        <v>2.0265307979039182</v>
      </c>
      <c r="M135" s="5">
        <f t="shared" si="13"/>
        <v>5.0141150830080396E-2</v>
      </c>
      <c r="N135" s="5">
        <f t="shared" si="13"/>
        <v>10.145373413838172</v>
      </c>
      <c r="Q135" s="133"/>
    </row>
    <row r="136" spans="4:17" x14ac:dyDescent="0.25">
      <c r="D136" s="812" t="str">
        <f t="shared" si="12"/>
        <v>Wood</v>
      </c>
      <c r="E136" t="str">
        <f t="shared" si="12"/>
        <v>OWB (Hydronic Heater) - Phase 1</v>
      </c>
      <c r="F136" s="62">
        <f t="shared" si="12"/>
        <v>0.43</v>
      </c>
      <c r="H136" s="5">
        <f t="shared" si="13"/>
        <v>2.2015562290325943</v>
      </c>
      <c r="I136" s="5">
        <f t="shared" si="13"/>
        <v>0.3962898462388123</v>
      </c>
      <c r="J136" s="5">
        <f t="shared" si="13"/>
        <v>7.3385207634419802E-2</v>
      </c>
      <c r="K136" s="5">
        <f t="shared" si="13"/>
        <v>1.7856097836938829</v>
      </c>
      <c r="L136" s="61">
        <f t="shared" si="13"/>
        <v>1.7856097836938829</v>
      </c>
      <c r="M136" s="5">
        <f t="shared" si="13"/>
        <v>2.3038812198715983E-2</v>
      </c>
      <c r="N136" s="5">
        <f t="shared" si="13"/>
        <v>19.713175158178505</v>
      </c>
      <c r="Q136" s="133"/>
    </row>
    <row r="137" spans="4:17" x14ac:dyDescent="0.25">
      <c r="D137" s="812" t="str">
        <f t="shared" si="12"/>
        <v>Wood</v>
      </c>
      <c r="E137" t="str">
        <f t="shared" si="12"/>
        <v>OWB (Hydronic Heater) - Phase 2</v>
      </c>
      <c r="F137" s="62">
        <f t="shared" si="12"/>
        <v>0.43</v>
      </c>
      <c r="H137" s="5">
        <f t="shared" si="13"/>
        <v>2.7519452862907432</v>
      </c>
      <c r="I137" s="5">
        <f t="shared" si="13"/>
        <v>0.3962898462388123</v>
      </c>
      <c r="J137" s="5">
        <f t="shared" si="13"/>
        <v>7.3385207634419802E-2</v>
      </c>
      <c r="K137" s="5">
        <f t="shared" si="13"/>
        <v>0.94791630492391299</v>
      </c>
      <c r="L137" s="61">
        <f t="shared" si="13"/>
        <v>0.94791630492391299</v>
      </c>
      <c r="M137" s="5">
        <f t="shared" si="13"/>
        <v>2.3038812198715983E-2</v>
      </c>
      <c r="N137" s="5">
        <f t="shared" si="13"/>
        <v>14.980893053445312</v>
      </c>
      <c r="Q137" s="133"/>
    </row>
    <row r="138" spans="4:17" x14ac:dyDescent="0.25">
      <c r="D138" s="812" t="str">
        <f t="shared" si="12"/>
        <v>Coal</v>
      </c>
      <c r="E138" t="str">
        <f t="shared" si="12"/>
        <v>Coal Boiler (bituminous/subbituminous, hand-fed)</v>
      </c>
      <c r="F138" s="62">
        <f t="shared" si="12"/>
        <v>0.43</v>
      </c>
      <c r="H138" s="5">
        <f t="shared" ref="H138:N145" si="14">H84</f>
        <v>1.5299877600979193</v>
      </c>
      <c r="I138" s="5">
        <f t="shared" si="14"/>
        <v>0.72215422276621788</v>
      </c>
      <c r="J138" s="5">
        <f t="shared" si="14"/>
        <v>1.4228886168910648</v>
      </c>
      <c r="K138" s="5">
        <f t="shared" si="14"/>
        <v>1.2224602203182375</v>
      </c>
      <c r="L138" s="61">
        <f t="shared" si="14"/>
        <v>1.2224602203182375</v>
      </c>
      <c r="M138" s="5">
        <f t="shared" si="14"/>
        <v>0.19368880048959614</v>
      </c>
      <c r="N138" s="5">
        <f t="shared" si="14"/>
        <v>19.977815177478579</v>
      </c>
    </row>
    <row r="139" spans="4:17" x14ac:dyDescent="0.25">
      <c r="D139" s="812" t="str">
        <f t="shared" si="12"/>
        <v>Oil</v>
      </c>
      <c r="E139" t="str">
        <f t="shared" si="12"/>
        <v>Central Oil (Weighted # 1 &amp; #2), Residential</v>
      </c>
      <c r="F139" s="62">
        <f t="shared" si="12"/>
        <v>0.81</v>
      </c>
      <c r="H139" s="5">
        <f t="shared" si="14"/>
        <v>6.5586959129977744E-3</v>
      </c>
      <c r="I139" s="5">
        <f t="shared" si="14"/>
        <v>0.10276279774995996</v>
      </c>
      <c r="J139" s="5">
        <f t="shared" si="14"/>
        <v>0.26586707665905551</v>
      </c>
      <c r="K139" s="5">
        <f t="shared" si="14"/>
        <v>4.200114349453405E-3</v>
      </c>
      <c r="L139" s="61">
        <f t="shared" si="14"/>
        <v>4.200114349453405E-3</v>
      </c>
      <c r="M139" s="5">
        <f t="shared" si="14"/>
        <v>2.2533613484817521E-4</v>
      </c>
      <c r="N139" s="5">
        <f t="shared" si="14"/>
        <v>4.1196121577555481E-3</v>
      </c>
    </row>
    <row r="140" spans="4:17" x14ac:dyDescent="0.25">
      <c r="D140" s="812" t="str">
        <f t="shared" si="12"/>
        <v>Oil</v>
      </c>
      <c r="E140" t="str">
        <f t="shared" si="12"/>
        <v>Central Oil (#1 distillate), Residential</v>
      </c>
      <c r="F140" s="62">
        <f t="shared" si="12"/>
        <v>0.81</v>
      </c>
      <c r="H140" s="5">
        <f t="shared" si="14"/>
        <v>7.0419753086419738E-3</v>
      </c>
      <c r="I140" s="5">
        <f t="shared" si="14"/>
        <v>0.11033490407263415</v>
      </c>
      <c r="J140" s="5">
        <f t="shared" si="14"/>
        <v>0.12566123456790124</v>
      </c>
      <c r="K140" s="5">
        <f t="shared" si="14"/>
        <v>4.5096009838951293E-3</v>
      </c>
      <c r="L140" s="61">
        <f t="shared" si="14"/>
        <v>4.5096009838951293E-3</v>
      </c>
      <c r="M140" s="5">
        <f t="shared" si="14"/>
        <v>2.4194009278597371E-4</v>
      </c>
      <c r="N140" s="5">
        <f t="shared" si="14"/>
        <v>4.4231669650371388E-3</v>
      </c>
    </row>
    <row r="141" spans="4:17" x14ac:dyDescent="0.25">
      <c r="D141" s="812" t="str">
        <f t="shared" ref="D141:F145" si="15">D114</f>
        <v>Oil</v>
      </c>
      <c r="E141" t="str">
        <f t="shared" si="15"/>
        <v>Central Oil (#2 distillate), Residential</v>
      </c>
      <c r="F141" s="62">
        <f t="shared" si="15"/>
        <v>0.81</v>
      </c>
      <c r="H141" s="5">
        <f t="shared" si="14"/>
        <v>6.3555733832508787E-3</v>
      </c>
      <c r="I141" s="5">
        <f t="shared" si="14"/>
        <v>9.9580238332702298E-2</v>
      </c>
      <c r="J141" s="5">
        <f t="shared" si="14"/>
        <v>0.32479565004234073</v>
      </c>
      <c r="K141" s="5">
        <f t="shared" si="14"/>
        <v>4.0700369890750258E-3</v>
      </c>
      <c r="L141" s="61">
        <f t="shared" si="14"/>
        <v>4.0700369890750258E-3</v>
      </c>
      <c r="M141" s="5">
        <f t="shared" si="14"/>
        <v>2.1835748446387518E-4</v>
      </c>
      <c r="N141" s="5">
        <f t="shared" si="14"/>
        <v>3.9920279467844213E-3</v>
      </c>
    </row>
    <row r="142" spans="4:17" x14ac:dyDescent="0.25">
      <c r="D142" s="812" t="str">
        <f t="shared" si="15"/>
        <v>Oil</v>
      </c>
      <c r="E142" t="str">
        <f t="shared" si="15"/>
        <v>Portable: 43% Kerosene &amp; 57% Fuel Oil</v>
      </c>
      <c r="F142" s="62">
        <f t="shared" si="15"/>
        <v>0.81</v>
      </c>
      <c r="H142" s="5">
        <f t="shared" si="14"/>
        <v>6.4253944565878076E-3</v>
      </c>
      <c r="I142" s="5">
        <f t="shared" si="14"/>
        <v>0.16221192176519011</v>
      </c>
      <c r="J142" s="5">
        <f t="shared" si="14"/>
        <v>0.26046349201353508</v>
      </c>
      <c r="K142" s="5">
        <f t="shared" si="14"/>
        <v>3.6047093725597805E-3</v>
      </c>
      <c r="L142" s="61">
        <f t="shared" si="14"/>
        <v>3.6047093725597805E-3</v>
      </c>
      <c r="M142" s="5">
        <f t="shared" si="14"/>
        <v>2.207563166410943E-4</v>
      </c>
      <c r="N142" s="5">
        <f t="shared" si="14"/>
        <v>4.0358835769892503E-3</v>
      </c>
    </row>
    <row r="143" spans="4:17" x14ac:dyDescent="0.25">
      <c r="D143" s="812" t="str">
        <f t="shared" si="15"/>
        <v>Oil</v>
      </c>
      <c r="E143" t="str">
        <f t="shared" si="15"/>
        <v>Direct Vent</v>
      </c>
      <c r="F143" s="62">
        <f t="shared" si="15"/>
        <v>0.81</v>
      </c>
      <c r="H143" s="5">
        <f t="shared" si="14"/>
        <v>7.0419753086419738E-3</v>
      </c>
      <c r="I143" s="5">
        <f t="shared" si="14"/>
        <v>0.11033490407263415</v>
      </c>
      <c r="J143" s="5">
        <f t="shared" si="14"/>
        <v>0.28545756870715394</v>
      </c>
      <c r="K143" s="5">
        <f t="shared" si="14"/>
        <v>4.5096009838951293E-3</v>
      </c>
      <c r="L143" s="61">
        <f t="shared" si="14"/>
        <v>4.5096009838951293E-3</v>
      </c>
      <c r="M143" s="5">
        <f t="shared" si="14"/>
        <v>2.4194009278597371E-4</v>
      </c>
      <c r="N143" s="5">
        <f t="shared" si="14"/>
        <v>4.4231669650371388E-3</v>
      </c>
    </row>
    <row r="144" spans="4:17" x14ac:dyDescent="0.25">
      <c r="D144" s="812" t="str">
        <f t="shared" si="15"/>
        <v>Gas</v>
      </c>
      <c r="E144" t="str">
        <f t="shared" si="15"/>
        <v>Natural Gas - Residential</v>
      </c>
      <c r="F144" s="62">
        <f t="shared" si="15"/>
        <v>0.81</v>
      </c>
      <c r="H144" s="5">
        <f t="shared" si="14"/>
        <v>6.6897768047193325E-3</v>
      </c>
      <c r="I144" s="5">
        <f t="shared" si="14"/>
        <v>0.11433436720793042</v>
      </c>
      <c r="J144" s="5">
        <f t="shared" si="14"/>
        <v>7.2979383324210895E-4</v>
      </c>
      <c r="K144" s="5">
        <f t="shared" si="14"/>
        <v>6.0246913580246913E-5</v>
      </c>
      <c r="L144" s="61">
        <f t="shared" si="14"/>
        <v>6.0246913580246913E-5</v>
      </c>
      <c r="M144" s="5">
        <f t="shared" si="14"/>
        <v>2.4326461108070303E-2</v>
      </c>
      <c r="N144" s="5">
        <f t="shared" si="14"/>
        <v>4.8652922216140607E-2</v>
      </c>
    </row>
    <row r="145" spans="4:14" x14ac:dyDescent="0.25">
      <c r="D145" s="812" t="str">
        <f t="shared" si="15"/>
        <v>Gas</v>
      </c>
      <c r="E145" t="str">
        <f t="shared" si="15"/>
        <v>Natural Gas - Commercial, small uncontrolled</v>
      </c>
      <c r="F145" s="62">
        <f t="shared" si="15"/>
        <v>0.81</v>
      </c>
      <c r="H145" s="5">
        <f t="shared" si="14"/>
        <v>6.6897768047193325E-3</v>
      </c>
      <c r="I145" s="5">
        <f t="shared" si="14"/>
        <v>0.12163230554035151</v>
      </c>
      <c r="J145" s="5">
        <f t="shared" si="14"/>
        <v>7.2979383324210895E-4</v>
      </c>
      <c r="K145" s="5">
        <f t="shared" si="14"/>
        <v>9.2440552210667146E-3</v>
      </c>
      <c r="L145" s="61">
        <f t="shared" si="14"/>
        <v>9.2440552210667146E-3</v>
      </c>
      <c r="M145" s="5">
        <f t="shared" si="14"/>
        <v>2.4326461108070303E-2</v>
      </c>
      <c r="N145" s="5">
        <f t="shared" si="14"/>
        <v>4.8652922216140607E-2</v>
      </c>
    </row>
  </sheetData>
  <mergeCells count="15">
    <mergeCell ref="D121:N121"/>
    <mergeCell ref="D122:N122"/>
    <mergeCell ref="H123:N123"/>
    <mergeCell ref="D67:N67"/>
    <mergeCell ref="D68:N68"/>
    <mergeCell ref="H69:N69"/>
    <mergeCell ref="D94:N94"/>
    <mergeCell ref="D95:N95"/>
    <mergeCell ref="H96:N96"/>
    <mergeCell ref="H52:N52"/>
    <mergeCell ref="A1:E1"/>
    <mergeCell ref="G2:N2"/>
    <mergeCell ref="A21:E21"/>
    <mergeCell ref="A33:O33"/>
    <mergeCell ref="H35:N35"/>
  </mergeCells>
  <hyperlinks>
    <hyperlink ref="E13" r:id="rId1" xr:uid="{00000000-0004-0000-0D00-000000000000}"/>
    <hyperlink ref="E14:E15" r:id="rId2" display="http://www.fngas.com/calculate.html" xr:uid="{00000000-0004-0000-0D00-000001000000}"/>
    <hyperlink ref="E24" r:id="rId3" xr:uid="{00000000-0004-0000-0D00-000002000000}"/>
    <hyperlink ref="E11" r:id="rId4" display="http://www.fngas.com/calculate.html" xr:uid="{00000000-0004-0000-0D00-000003000000}"/>
  </hyperlinks>
  <pageMargins left="0.7" right="0.7" top="0.75" bottom="0.75" header="0.3" footer="0.3"/>
  <pageSetup orientation="portrait" r:id="rId5"/>
  <drawing r:id="rId6"/>
  <legacyDrawing r:id="rId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U276"/>
  <sheetViews>
    <sheetView zoomScale="84" zoomScaleNormal="84" workbookViewId="0">
      <pane ySplit="5" topLeftCell="A6" activePane="bottomLeft" state="frozen"/>
      <selection activeCell="A296" sqref="A296"/>
      <selection pane="bottomLeft" activeCell="E11" sqref="E11"/>
    </sheetView>
  </sheetViews>
  <sheetFormatPr defaultRowHeight="12.75" x14ac:dyDescent="0.2"/>
  <cols>
    <col min="1" max="1" width="59.7109375" style="278" customWidth="1"/>
    <col min="2" max="2" width="10.28515625" style="274" customWidth="1"/>
    <col min="3" max="3" width="5.7109375" style="277" customWidth="1"/>
    <col min="4" max="4" width="22.85546875" style="274" customWidth="1"/>
    <col min="5" max="13" width="10" style="274" customWidth="1"/>
    <col min="14" max="14" width="10" style="276" customWidth="1"/>
    <col min="15" max="21" width="8.85546875" style="275"/>
    <col min="22" max="258" width="8.85546875" style="274"/>
    <col min="259" max="259" width="59.7109375" style="274" customWidth="1"/>
    <col min="260" max="260" width="10.28515625" style="274" customWidth="1"/>
    <col min="261" max="261" width="26.42578125" style="274" customWidth="1"/>
    <col min="262" max="268" width="10" style="274" customWidth="1"/>
    <col min="269" max="514" width="8.85546875" style="274"/>
    <col min="515" max="515" width="59.7109375" style="274" customWidth="1"/>
    <col min="516" max="516" width="10.28515625" style="274" customWidth="1"/>
    <col min="517" max="517" width="26.42578125" style="274" customWidth="1"/>
    <col min="518" max="524" width="10" style="274" customWidth="1"/>
    <col min="525" max="770" width="8.85546875" style="274"/>
    <col min="771" max="771" width="59.7109375" style="274" customWidth="1"/>
    <col min="772" max="772" width="10.28515625" style="274" customWidth="1"/>
    <col min="773" max="773" width="26.42578125" style="274" customWidth="1"/>
    <col min="774" max="780" width="10" style="274" customWidth="1"/>
    <col min="781" max="1026" width="8.85546875" style="274"/>
    <col min="1027" max="1027" width="59.7109375" style="274" customWidth="1"/>
    <col min="1028" max="1028" width="10.28515625" style="274" customWidth="1"/>
    <col min="1029" max="1029" width="26.42578125" style="274" customWidth="1"/>
    <col min="1030" max="1036" width="10" style="274" customWidth="1"/>
    <col min="1037" max="1282" width="8.85546875" style="274"/>
    <col min="1283" max="1283" width="59.7109375" style="274" customWidth="1"/>
    <col min="1284" max="1284" width="10.28515625" style="274" customWidth="1"/>
    <col min="1285" max="1285" width="26.42578125" style="274" customWidth="1"/>
    <col min="1286" max="1292" width="10" style="274" customWidth="1"/>
    <col min="1293" max="1538" width="8.85546875" style="274"/>
    <col min="1539" max="1539" width="59.7109375" style="274" customWidth="1"/>
    <col min="1540" max="1540" width="10.28515625" style="274" customWidth="1"/>
    <col min="1541" max="1541" width="26.42578125" style="274" customWidth="1"/>
    <col min="1542" max="1548" width="10" style="274" customWidth="1"/>
    <col min="1549" max="1794" width="8.85546875" style="274"/>
    <col min="1795" max="1795" width="59.7109375" style="274" customWidth="1"/>
    <col min="1796" max="1796" width="10.28515625" style="274" customWidth="1"/>
    <col min="1797" max="1797" width="26.42578125" style="274" customWidth="1"/>
    <col min="1798" max="1804" width="10" style="274" customWidth="1"/>
    <col min="1805" max="2050" width="8.85546875" style="274"/>
    <col min="2051" max="2051" width="59.7109375" style="274" customWidth="1"/>
    <col min="2052" max="2052" width="10.28515625" style="274" customWidth="1"/>
    <col min="2053" max="2053" width="26.42578125" style="274" customWidth="1"/>
    <col min="2054" max="2060" width="10" style="274" customWidth="1"/>
    <col min="2061" max="2306" width="8.85546875" style="274"/>
    <col min="2307" max="2307" width="59.7109375" style="274" customWidth="1"/>
    <col min="2308" max="2308" width="10.28515625" style="274" customWidth="1"/>
    <col min="2309" max="2309" width="26.42578125" style="274" customWidth="1"/>
    <col min="2310" max="2316" width="10" style="274" customWidth="1"/>
    <col min="2317" max="2562" width="8.85546875" style="274"/>
    <col min="2563" max="2563" width="59.7109375" style="274" customWidth="1"/>
    <col min="2564" max="2564" width="10.28515625" style="274" customWidth="1"/>
    <col min="2565" max="2565" width="26.42578125" style="274" customWidth="1"/>
    <col min="2566" max="2572" width="10" style="274" customWidth="1"/>
    <col min="2573" max="2818" width="8.85546875" style="274"/>
    <col min="2819" max="2819" width="59.7109375" style="274" customWidth="1"/>
    <col min="2820" max="2820" width="10.28515625" style="274" customWidth="1"/>
    <col min="2821" max="2821" width="26.42578125" style="274" customWidth="1"/>
    <col min="2822" max="2828" width="10" style="274" customWidth="1"/>
    <col min="2829" max="3074" width="8.85546875" style="274"/>
    <col min="3075" max="3075" width="59.7109375" style="274" customWidth="1"/>
    <col min="3076" max="3076" width="10.28515625" style="274" customWidth="1"/>
    <col min="3077" max="3077" width="26.42578125" style="274" customWidth="1"/>
    <col min="3078" max="3084" width="10" style="274" customWidth="1"/>
    <col min="3085" max="3330" width="8.85546875" style="274"/>
    <col min="3331" max="3331" width="59.7109375" style="274" customWidth="1"/>
    <col min="3332" max="3332" width="10.28515625" style="274" customWidth="1"/>
    <col min="3333" max="3333" width="26.42578125" style="274" customWidth="1"/>
    <col min="3334" max="3340" width="10" style="274" customWidth="1"/>
    <col min="3341" max="3586" width="8.85546875" style="274"/>
    <col min="3587" max="3587" width="59.7109375" style="274" customWidth="1"/>
    <col min="3588" max="3588" width="10.28515625" style="274" customWidth="1"/>
    <col min="3589" max="3589" width="26.42578125" style="274" customWidth="1"/>
    <col min="3590" max="3596" width="10" style="274" customWidth="1"/>
    <col min="3597" max="3842" width="8.85546875" style="274"/>
    <col min="3843" max="3843" width="59.7109375" style="274" customWidth="1"/>
    <col min="3844" max="3844" width="10.28515625" style="274" customWidth="1"/>
    <col min="3845" max="3845" width="26.42578125" style="274" customWidth="1"/>
    <col min="3846" max="3852" width="10" style="274" customWidth="1"/>
    <col min="3853" max="4098" width="8.85546875" style="274"/>
    <col min="4099" max="4099" width="59.7109375" style="274" customWidth="1"/>
    <col min="4100" max="4100" width="10.28515625" style="274" customWidth="1"/>
    <col min="4101" max="4101" width="26.42578125" style="274" customWidth="1"/>
    <col min="4102" max="4108" width="10" style="274" customWidth="1"/>
    <col min="4109" max="4354" width="8.85546875" style="274"/>
    <col min="4355" max="4355" width="59.7109375" style="274" customWidth="1"/>
    <col min="4356" max="4356" width="10.28515625" style="274" customWidth="1"/>
    <col min="4357" max="4357" width="26.42578125" style="274" customWidth="1"/>
    <col min="4358" max="4364" width="10" style="274" customWidth="1"/>
    <col min="4365" max="4610" width="8.85546875" style="274"/>
    <col min="4611" max="4611" width="59.7109375" style="274" customWidth="1"/>
    <col min="4612" max="4612" width="10.28515625" style="274" customWidth="1"/>
    <col min="4613" max="4613" width="26.42578125" style="274" customWidth="1"/>
    <col min="4614" max="4620" width="10" style="274" customWidth="1"/>
    <col min="4621" max="4866" width="8.85546875" style="274"/>
    <col min="4867" max="4867" width="59.7109375" style="274" customWidth="1"/>
    <col min="4868" max="4868" width="10.28515625" style="274" customWidth="1"/>
    <col min="4869" max="4869" width="26.42578125" style="274" customWidth="1"/>
    <col min="4870" max="4876" width="10" style="274" customWidth="1"/>
    <col min="4877" max="5122" width="8.85546875" style="274"/>
    <col min="5123" max="5123" width="59.7109375" style="274" customWidth="1"/>
    <col min="5124" max="5124" width="10.28515625" style="274" customWidth="1"/>
    <col min="5125" max="5125" width="26.42578125" style="274" customWidth="1"/>
    <col min="5126" max="5132" width="10" style="274" customWidth="1"/>
    <col min="5133" max="5378" width="8.85546875" style="274"/>
    <col min="5379" max="5379" width="59.7109375" style="274" customWidth="1"/>
    <col min="5380" max="5380" width="10.28515625" style="274" customWidth="1"/>
    <col min="5381" max="5381" width="26.42578125" style="274" customWidth="1"/>
    <col min="5382" max="5388" width="10" style="274" customWidth="1"/>
    <col min="5389" max="5634" width="8.85546875" style="274"/>
    <col min="5635" max="5635" width="59.7109375" style="274" customWidth="1"/>
    <col min="5636" max="5636" width="10.28515625" style="274" customWidth="1"/>
    <col min="5637" max="5637" width="26.42578125" style="274" customWidth="1"/>
    <col min="5638" max="5644" width="10" style="274" customWidth="1"/>
    <col min="5645" max="5890" width="8.85546875" style="274"/>
    <col min="5891" max="5891" width="59.7109375" style="274" customWidth="1"/>
    <col min="5892" max="5892" width="10.28515625" style="274" customWidth="1"/>
    <col min="5893" max="5893" width="26.42578125" style="274" customWidth="1"/>
    <col min="5894" max="5900" width="10" style="274" customWidth="1"/>
    <col min="5901" max="6146" width="8.85546875" style="274"/>
    <col min="6147" max="6147" width="59.7109375" style="274" customWidth="1"/>
    <col min="6148" max="6148" width="10.28515625" style="274" customWidth="1"/>
    <col min="6149" max="6149" width="26.42578125" style="274" customWidth="1"/>
    <col min="6150" max="6156" width="10" style="274" customWidth="1"/>
    <col min="6157" max="6402" width="8.85546875" style="274"/>
    <col min="6403" max="6403" width="59.7109375" style="274" customWidth="1"/>
    <col min="6404" max="6404" width="10.28515625" style="274" customWidth="1"/>
    <col min="6405" max="6405" width="26.42578125" style="274" customWidth="1"/>
    <col min="6406" max="6412" width="10" style="274" customWidth="1"/>
    <col min="6413" max="6658" width="8.85546875" style="274"/>
    <col min="6659" max="6659" width="59.7109375" style="274" customWidth="1"/>
    <col min="6660" max="6660" width="10.28515625" style="274" customWidth="1"/>
    <col min="6661" max="6661" width="26.42578125" style="274" customWidth="1"/>
    <col min="6662" max="6668" width="10" style="274" customWidth="1"/>
    <col min="6669" max="6914" width="8.85546875" style="274"/>
    <col min="6915" max="6915" width="59.7109375" style="274" customWidth="1"/>
    <col min="6916" max="6916" width="10.28515625" style="274" customWidth="1"/>
    <col min="6917" max="6917" width="26.42578125" style="274" customWidth="1"/>
    <col min="6918" max="6924" width="10" style="274" customWidth="1"/>
    <col min="6925" max="7170" width="8.85546875" style="274"/>
    <col min="7171" max="7171" width="59.7109375" style="274" customWidth="1"/>
    <col min="7172" max="7172" width="10.28515625" style="274" customWidth="1"/>
    <col min="7173" max="7173" width="26.42578125" style="274" customWidth="1"/>
    <col min="7174" max="7180" width="10" style="274" customWidth="1"/>
    <col min="7181" max="7426" width="8.85546875" style="274"/>
    <col min="7427" max="7427" width="59.7109375" style="274" customWidth="1"/>
    <col min="7428" max="7428" width="10.28515625" style="274" customWidth="1"/>
    <col min="7429" max="7429" width="26.42578125" style="274" customWidth="1"/>
    <col min="7430" max="7436" width="10" style="274" customWidth="1"/>
    <col min="7437" max="7682" width="8.85546875" style="274"/>
    <col min="7683" max="7683" width="59.7109375" style="274" customWidth="1"/>
    <col min="7684" max="7684" width="10.28515625" style="274" customWidth="1"/>
    <col min="7685" max="7685" width="26.42578125" style="274" customWidth="1"/>
    <col min="7686" max="7692" width="10" style="274" customWidth="1"/>
    <col min="7693" max="7938" width="8.85546875" style="274"/>
    <col min="7939" max="7939" width="59.7109375" style="274" customWidth="1"/>
    <col min="7940" max="7940" width="10.28515625" style="274" customWidth="1"/>
    <col min="7941" max="7941" width="26.42578125" style="274" customWidth="1"/>
    <col min="7942" max="7948" width="10" style="274" customWidth="1"/>
    <col min="7949" max="8194" width="8.85546875" style="274"/>
    <col min="8195" max="8195" width="59.7109375" style="274" customWidth="1"/>
    <col min="8196" max="8196" width="10.28515625" style="274" customWidth="1"/>
    <col min="8197" max="8197" width="26.42578125" style="274" customWidth="1"/>
    <col min="8198" max="8204" width="10" style="274" customWidth="1"/>
    <col min="8205" max="8450" width="8.85546875" style="274"/>
    <col min="8451" max="8451" width="59.7109375" style="274" customWidth="1"/>
    <col min="8452" max="8452" width="10.28515625" style="274" customWidth="1"/>
    <col min="8453" max="8453" width="26.42578125" style="274" customWidth="1"/>
    <col min="8454" max="8460" width="10" style="274" customWidth="1"/>
    <col min="8461" max="8706" width="8.85546875" style="274"/>
    <col min="8707" max="8707" width="59.7109375" style="274" customWidth="1"/>
    <col min="8708" max="8708" width="10.28515625" style="274" customWidth="1"/>
    <col min="8709" max="8709" width="26.42578125" style="274" customWidth="1"/>
    <col min="8710" max="8716" width="10" style="274" customWidth="1"/>
    <col min="8717" max="8962" width="8.85546875" style="274"/>
    <col min="8963" max="8963" width="59.7109375" style="274" customWidth="1"/>
    <col min="8964" max="8964" width="10.28515625" style="274" customWidth="1"/>
    <col min="8965" max="8965" width="26.42578125" style="274" customWidth="1"/>
    <col min="8966" max="8972" width="10" style="274" customWidth="1"/>
    <col min="8973" max="9218" width="8.85546875" style="274"/>
    <col min="9219" max="9219" width="59.7109375" style="274" customWidth="1"/>
    <col min="9220" max="9220" width="10.28515625" style="274" customWidth="1"/>
    <col min="9221" max="9221" width="26.42578125" style="274" customWidth="1"/>
    <col min="9222" max="9228" width="10" style="274" customWidth="1"/>
    <col min="9229" max="9474" width="8.85546875" style="274"/>
    <col min="9475" max="9475" width="59.7109375" style="274" customWidth="1"/>
    <col min="9476" max="9476" width="10.28515625" style="274" customWidth="1"/>
    <col min="9477" max="9477" width="26.42578125" style="274" customWidth="1"/>
    <col min="9478" max="9484" width="10" style="274" customWidth="1"/>
    <col min="9485" max="9730" width="8.85546875" style="274"/>
    <col min="9731" max="9731" width="59.7109375" style="274" customWidth="1"/>
    <col min="9732" max="9732" width="10.28515625" style="274" customWidth="1"/>
    <col min="9733" max="9733" width="26.42578125" style="274" customWidth="1"/>
    <col min="9734" max="9740" width="10" style="274" customWidth="1"/>
    <col min="9741" max="9986" width="8.85546875" style="274"/>
    <col min="9987" max="9987" width="59.7109375" style="274" customWidth="1"/>
    <col min="9988" max="9988" width="10.28515625" style="274" customWidth="1"/>
    <col min="9989" max="9989" width="26.42578125" style="274" customWidth="1"/>
    <col min="9990" max="9996" width="10" style="274" customWidth="1"/>
    <col min="9997" max="10242" width="8.85546875" style="274"/>
    <col min="10243" max="10243" width="59.7109375" style="274" customWidth="1"/>
    <col min="10244" max="10244" width="10.28515625" style="274" customWidth="1"/>
    <col min="10245" max="10245" width="26.42578125" style="274" customWidth="1"/>
    <col min="10246" max="10252" width="10" style="274" customWidth="1"/>
    <col min="10253" max="10498" width="8.85546875" style="274"/>
    <col min="10499" max="10499" width="59.7109375" style="274" customWidth="1"/>
    <col min="10500" max="10500" width="10.28515625" style="274" customWidth="1"/>
    <col min="10501" max="10501" width="26.42578125" style="274" customWidth="1"/>
    <col min="10502" max="10508" width="10" style="274" customWidth="1"/>
    <col min="10509" max="10754" width="8.85546875" style="274"/>
    <col min="10755" max="10755" width="59.7109375" style="274" customWidth="1"/>
    <col min="10756" max="10756" width="10.28515625" style="274" customWidth="1"/>
    <col min="10757" max="10757" width="26.42578125" style="274" customWidth="1"/>
    <col min="10758" max="10764" width="10" style="274" customWidth="1"/>
    <col min="10765" max="11010" width="8.85546875" style="274"/>
    <col min="11011" max="11011" width="59.7109375" style="274" customWidth="1"/>
    <col min="11012" max="11012" width="10.28515625" style="274" customWidth="1"/>
    <col min="11013" max="11013" width="26.42578125" style="274" customWidth="1"/>
    <col min="11014" max="11020" width="10" style="274" customWidth="1"/>
    <col min="11021" max="11266" width="8.85546875" style="274"/>
    <col min="11267" max="11267" width="59.7109375" style="274" customWidth="1"/>
    <col min="11268" max="11268" width="10.28515625" style="274" customWidth="1"/>
    <col min="11269" max="11269" width="26.42578125" style="274" customWidth="1"/>
    <col min="11270" max="11276" width="10" style="274" customWidth="1"/>
    <col min="11277" max="11522" width="8.85546875" style="274"/>
    <col min="11523" max="11523" width="59.7109375" style="274" customWidth="1"/>
    <col min="11524" max="11524" width="10.28515625" style="274" customWidth="1"/>
    <col min="11525" max="11525" width="26.42578125" style="274" customWidth="1"/>
    <col min="11526" max="11532" width="10" style="274" customWidth="1"/>
    <col min="11533" max="11778" width="8.85546875" style="274"/>
    <col min="11779" max="11779" width="59.7109375" style="274" customWidth="1"/>
    <col min="11780" max="11780" width="10.28515625" style="274" customWidth="1"/>
    <col min="11781" max="11781" width="26.42578125" style="274" customWidth="1"/>
    <col min="11782" max="11788" width="10" style="274" customWidth="1"/>
    <col min="11789" max="12034" width="8.85546875" style="274"/>
    <col min="12035" max="12035" width="59.7109375" style="274" customWidth="1"/>
    <col min="12036" max="12036" width="10.28515625" style="274" customWidth="1"/>
    <col min="12037" max="12037" width="26.42578125" style="274" customWidth="1"/>
    <col min="12038" max="12044" width="10" style="274" customWidth="1"/>
    <col min="12045" max="12290" width="8.85546875" style="274"/>
    <col min="12291" max="12291" width="59.7109375" style="274" customWidth="1"/>
    <col min="12292" max="12292" width="10.28515625" style="274" customWidth="1"/>
    <col min="12293" max="12293" width="26.42578125" style="274" customWidth="1"/>
    <col min="12294" max="12300" width="10" style="274" customWidth="1"/>
    <col min="12301" max="12546" width="8.85546875" style="274"/>
    <col min="12547" max="12547" width="59.7109375" style="274" customWidth="1"/>
    <col min="12548" max="12548" width="10.28515625" style="274" customWidth="1"/>
    <col min="12549" max="12549" width="26.42578125" style="274" customWidth="1"/>
    <col min="12550" max="12556" width="10" style="274" customWidth="1"/>
    <col min="12557" max="12802" width="8.85546875" style="274"/>
    <col min="12803" max="12803" width="59.7109375" style="274" customWidth="1"/>
    <col min="12804" max="12804" width="10.28515625" style="274" customWidth="1"/>
    <col min="12805" max="12805" width="26.42578125" style="274" customWidth="1"/>
    <col min="12806" max="12812" width="10" style="274" customWidth="1"/>
    <col min="12813" max="13058" width="8.85546875" style="274"/>
    <col min="13059" max="13059" width="59.7109375" style="274" customWidth="1"/>
    <col min="13060" max="13060" width="10.28515625" style="274" customWidth="1"/>
    <col min="13061" max="13061" width="26.42578125" style="274" customWidth="1"/>
    <col min="13062" max="13068" width="10" style="274" customWidth="1"/>
    <col min="13069" max="13314" width="8.85546875" style="274"/>
    <col min="13315" max="13315" width="59.7109375" style="274" customWidth="1"/>
    <col min="13316" max="13316" width="10.28515625" style="274" customWidth="1"/>
    <col min="13317" max="13317" width="26.42578125" style="274" customWidth="1"/>
    <col min="13318" max="13324" width="10" style="274" customWidth="1"/>
    <col min="13325" max="13570" width="8.85546875" style="274"/>
    <col min="13571" max="13571" width="59.7109375" style="274" customWidth="1"/>
    <col min="13572" max="13572" width="10.28515625" style="274" customWidth="1"/>
    <col min="13573" max="13573" width="26.42578125" style="274" customWidth="1"/>
    <col min="13574" max="13580" width="10" style="274" customWidth="1"/>
    <col min="13581" max="13826" width="8.85546875" style="274"/>
    <col min="13827" max="13827" width="59.7109375" style="274" customWidth="1"/>
    <col min="13828" max="13828" width="10.28515625" style="274" customWidth="1"/>
    <col min="13829" max="13829" width="26.42578125" style="274" customWidth="1"/>
    <col min="13830" max="13836" width="10" style="274" customWidth="1"/>
    <col min="13837" max="14082" width="8.85546875" style="274"/>
    <col min="14083" max="14083" width="59.7109375" style="274" customWidth="1"/>
    <col min="14084" max="14084" width="10.28515625" style="274" customWidth="1"/>
    <col min="14085" max="14085" width="26.42578125" style="274" customWidth="1"/>
    <col min="14086" max="14092" width="10" style="274" customWidth="1"/>
    <col min="14093" max="14338" width="8.85546875" style="274"/>
    <col min="14339" max="14339" width="59.7109375" style="274" customWidth="1"/>
    <col min="14340" max="14340" width="10.28515625" style="274" customWidth="1"/>
    <col min="14341" max="14341" width="26.42578125" style="274" customWidth="1"/>
    <col min="14342" max="14348" width="10" style="274" customWidth="1"/>
    <col min="14349" max="14594" width="8.85546875" style="274"/>
    <col min="14595" max="14595" width="59.7109375" style="274" customWidth="1"/>
    <col min="14596" max="14596" width="10.28515625" style="274" customWidth="1"/>
    <col min="14597" max="14597" width="26.42578125" style="274" customWidth="1"/>
    <col min="14598" max="14604" width="10" style="274" customWidth="1"/>
    <col min="14605" max="14850" width="8.85546875" style="274"/>
    <col min="14851" max="14851" width="59.7109375" style="274" customWidth="1"/>
    <col min="14852" max="14852" width="10.28515625" style="274" customWidth="1"/>
    <col min="14853" max="14853" width="26.42578125" style="274" customWidth="1"/>
    <col min="14854" max="14860" width="10" style="274" customWidth="1"/>
    <col min="14861" max="15106" width="8.85546875" style="274"/>
    <col min="15107" max="15107" width="59.7109375" style="274" customWidth="1"/>
    <col min="15108" max="15108" width="10.28515625" style="274" customWidth="1"/>
    <col min="15109" max="15109" width="26.42578125" style="274" customWidth="1"/>
    <col min="15110" max="15116" width="10" style="274" customWidth="1"/>
    <col min="15117" max="15362" width="8.85546875" style="274"/>
    <col min="15363" max="15363" width="59.7109375" style="274" customWidth="1"/>
    <col min="15364" max="15364" width="10.28515625" style="274" customWidth="1"/>
    <col min="15365" max="15365" width="26.42578125" style="274" customWidth="1"/>
    <col min="15366" max="15372" width="10" style="274" customWidth="1"/>
    <col min="15373" max="15618" width="8.85546875" style="274"/>
    <col min="15619" max="15619" width="59.7109375" style="274" customWidth="1"/>
    <col min="15620" max="15620" width="10.28515625" style="274" customWidth="1"/>
    <col min="15621" max="15621" width="26.42578125" style="274" customWidth="1"/>
    <col min="15622" max="15628" width="10" style="274" customWidth="1"/>
    <col min="15629" max="15874" width="8.85546875" style="274"/>
    <col min="15875" max="15875" width="59.7109375" style="274" customWidth="1"/>
    <col min="15876" max="15876" width="10.28515625" style="274" customWidth="1"/>
    <col min="15877" max="15877" width="26.42578125" style="274" customWidth="1"/>
    <col min="15878" max="15884" width="10" style="274" customWidth="1"/>
    <col min="15885" max="16130" width="8.85546875" style="274"/>
    <col min="16131" max="16131" width="59.7109375" style="274" customWidth="1"/>
    <col min="16132" max="16132" width="10.28515625" style="274" customWidth="1"/>
    <col min="16133" max="16133" width="26.42578125" style="274" customWidth="1"/>
    <col min="16134" max="16140" width="10" style="274" customWidth="1"/>
    <col min="16141" max="16384" width="8.85546875" style="274"/>
  </cols>
  <sheetData>
    <row r="1" spans="1:21" ht="18.75" x14ac:dyDescent="0.3">
      <c r="A1" s="874" t="s">
        <v>1590</v>
      </c>
      <c r="B1" s="874"/>
      <c r="C1" s="874"/>
      <c r="D1" s="874"/>
      <c r="E1" s="874"/>
      <c r="F1" s="874"/>
      <c r="G1" s="874"/>
      <c r="H1" s="874"/>
      <c r="I1" s="874"/>
      <c r="J1" s="874"/>
      <c r="K1" s="874"/>
      <c r="L1" s="874"/>
      <c r="M1" s="874"/>
      <c r="N1" s="874"/>
    </row>
    <row r="2" spans="1:21" x14ac:dyDescent="0.2">
      <c r="A2" s="291"/>
      <c r="B2" s="291"/>
      <c r="C2" s="291"/>
      <c r="D2" s="291"/>
      <c r="E2" s="291"/>
      <c r="F2" s="291"/>
      <c r="G2" s="291"/>
      <c r="H2" s="291"/>
      <c r="I2" s="291"/>
      <c r="J2" s="291"/>
      <c r="K2" s="291"/>
      <c r="L2" s="291"/>
      <c r="M2" s="291"/>
      <c r="N2" s="291"/>
    </row>
    <row r="3" spans="1:21" ht="15" x14ac:dyDescent="0.25">
      <c r="D3" s="343" t="s">
        <v>1591</v>
      </c>
      <c r="E3" s="342" t="s">
        <v>1592</v>
      </c>
    </row>
    <row r="4" spans="1:21" x14ac:dyDescent="0.2">
      <c r="B4" s="278"/>
      <c r="C4" s="283" t="s">
        <v>654</v>
      </c>
      <c r="D4" s="278"/>
      <c r="E4" s="341" t="s">
        <v>563</v>
      </c>
      <c r="F4" s="341">
        <v>99701</v>
      </c>
      <c r="G4" s="341">
        <v>99703</v>
      </c>
      <c r="H4" s="341">
        <v>99705</v>
      </c>
      <c r="I4" s="341">
        <v>99709</v>
      </c>
      <c r="J4" s="341">
        <v>99712</v>
      </c>
      <c r="K4" s="341">
        <v>99775</v>
      </c>
      <c r="L4" s="283" t="s">
        <v>616</v>
      </c>
      <c r="M4" s="340" t="s">
        <v>1593</v>
      </c>
      <c r="N4" s="339" t="s">
        <v>1593</v>
      </c>
    </row>
    <row r="5" spans="1:21" s="317" customFormat="1" ht="13.5" thickBot="1" x14ac:dyDescent="0.25">
      <c r="A5" s="338" t="s">
        <v>68</v>
      </c>
      <c r="B5" s="338" t="s">
        <v>1594</v>
      </c>
      <c r="C5" s="338" t="s">
        <v>1595</v>
      </c>
      <c r="D5" s="338" t="s">
        <v>654</v>
      </c>
      <c r="E5" s="338" t="s">
        <v>1596</v>
      </c>
      <c r="F5" s="338" t="s">
        <v>1597</v>
      </c>
      <c r="G5" s="338" t="s">
        <v>1598</v>
      </c>
      <c r="H5" s="338" t="s">
        <v>1599</v>
      </c>
      <c r="I5" s="338" t="s">
        <v>1600</v>
      </c>
      <c r="J5" s="338" t="s">
        <v>1601</v>
      </c>
      <c r="K5" s="338" t="s">
        <v>1602</v>
      </c>
      <c r="L5" s="338" t="s">
        <v>616</v>
      </c>
      <c r="M5" s="337" t="s">
        <v>1603</v>
      </c>
      <c r="N5" s="336" t="s">
        <v>1604</v>
      </c>
      <c r="O5" s="330"/>
      <c r="P5" s="330"/>
      <c r="Q5" s="330"/>
      <c r="R5" s="330"/>
      <c r="S5" s="330"/>
      <c r="T5" s="330"/>
      <c r="U5" s="330"/>
    </row>
    <row r="6" spans="1:21" s="317" customFormat="1" ht="13.5" thickTop="1" x14ac:dyDescent="0.2">
      <c r="A6" s="285" t="s">
        <v>1605</v>
      </c>
      <c r="B6" s="283" t="s">
        <v>1606</v>
      </c>
      <c r="C6" s="291"/>
      <c r="D6" s="291"/>
      <c r="E6" s="289">
        <v>182</v>
      </c>
      <c r="F6" s="289">
        <v>906</v>
      </c>
      <c r="G6" s="289">
        <v>114</v>
      </c>
      <c r="H6" s="289">
        <v>787</v>
      </c>
      <c r="I6" s="289">
        <v>1151</v>
      </c>
      <c r="J6" s="289">
        <v>359</v>
      </c>
      <c r="K6" s="289">
        <v>15</v>
      </c>
      <c r="L6" s="289">
        <v>3514</v>
      </c>
      <c r="M6" s="332" t="s">
        <v>336</v>
      </c>
      <c r="N6" s="331"/>
      <c r="O6" s="330"/>
      <c r="P6" s="330"/>
      <c r="Q6" s="330"/>
      <c r="R6" s="330"/>
      <c r="S6" s="330"/>
      <c r="T6" s="330"/>
      <c r="U6" s="330"/>
    </row>
    <row r="7" spans="1:21" s="317" customFormat="1" x14ac:dyDescent="0.2">
      <c r="A7" s="285" t="s">
        <v>1607</v>
      </c>
      <c r="B7" s="283" t="s">
        <v>1608</v>
      </c>
      <c r="C7" s="291"/>
      <c r="D7" s="291"/>
      <c r="E7" s="284">
        <v>5.1792828685258967E-2</v>
      </c>
      <c r="F7" s="284">
        <v>0.25782583949914628</v>
      </c>
      <c r="G7" s="284">
        <v>3.2441661923733635E-2</v>
      </c>
      <c r="H7" s="284">
        <v>0.22396129766647696</v>
      </c>
      <c r="I7" s="284">
        <v>0.32754695503699488</v>
      </c>
      <c r="J7" s="284">
        <v>0.10216277746158224</v>
      </c>
      <c r="K7" s="284">
        <v>4.2686397268070575E-3</v>
      </c>
      <c r="L7" s="284">
        <v>1</v>
      </c>
      <c r="M7" s="332" t="s">
        <v>336</v>
      </c>
      <c r="N7" s="331"/>
      <c r="O7" s="330"/>
      <c r="P7" s="330"/>
      <c r="Q7" s="330"/>
      <c r="R7" s="330"/>
      <c r="S7" s="330"/>
      <c r="T7" s="330"/>
      <c r="U7" s="330"/>
    </row>
    <row r="8" spans="1:21" s="317" customFormat="1" x14ac:dyDescent="0.2">
      <c r="A8" s="334" t="s">
        <v>1609</v>
      </c>
      <c r="B8" s="316" t="s">
        <v>1608</v>
      </c>
      <c r="C8" s="333"/>
      <c r="D8" s="333"/>
      <c r="E8" s="281" t="s">
        <v>336</v>
      </c>
      <c r="F8" s="281">
        <v>0.24626889218439399</v>
      </c>
      <c r="G8" s="281">
        <v>4.6508692771274417E-2</v>
      </c>
      <c r="H8" s="281">
        <v>0.23904332186918248</v>
      </c>
      <c r="I8" s="281">
        <v>0.34345123528854954</v>
      </c>
      <c r="J8" s="281">
        <v>0.1201842678193923</v>
      </c>
      <c r="K8" s="281">
        <v>4.5435900672072694E-3</v>
      </c>
      <c r="L8" s="335">
        <v>1</v>
      </c>
      <c r="M8" s="332" t="s">
        <v>336</v>
      </c>
      <c r="N8" s="331"/>
      <c r="O8" s="330"/>
      <c r="P8" s="330"/>
      <c r="Q8" s="330"/>
      <c r="R8" s="330"/>
      <c r="S8" s="330"/>
      <c r="T8" s="330"/>
      <c r="U8" s="330"/>
    </row>
    <row r="9" spans="1:21" s="317" customFormat="1" x14ac:dyDescent="0.2">
      <c r="A9" s="334"/>
      <c r="B9" s="316"/>
      <c r="C9" s="333"/>
      <c r="D9" s="333"/>
      <c r="E9" s="281"/>
      <c r="F9" s="281"/>
      <c r="G9" s="281"/>
      <c r="H9" s="281"/>
      <c r="I9" s="281"/>
      <c r="J9" s="281"/>
      <c r="K9" s="281"/>
      <c r="L9" s="335"/>
      <c r="M9" s="332"/>
      <c r="N9" s="331"/>
      <c r="O9" s="330"/>
      <c r="P9" s="330"/>
      <c r="Q9" s="330"/>
      <c r="R9" s="330"/>
      <c r="S9" s="330"/>
      <c r="T9" s="330"/>
      <c r="U9" s="330"/>
    </row>
    <row r="10" spans="1:21" s="317" customFormat="1" x14ac:dyDescent="0.2">
      <c r="A10" s="285" t="s">
        <v>1610</v>
      </c>
      <c r="B10" s="283" t="s">
        <v>1606</v>
      </c>
      <c r="C10" s="291"/>
      <c r="D10" s="283" t="s">
        <v>279</v>
      </c>
      <c r="E10" s="289">
        <v>70</v>
      </c>
      <c r="F10" s="289">
        <v>168</v>
      </c>
      <c r="G10" s="289">
        <v>26</v>
      </c>
      <c r="H10" s="289">
        <v>379</v>
      </c>
      <c r="I10" s="289">
        <v>515</v>
      </c>
      <c r="J10" s="289">
        <v>175</v>
      </c>
      <c r="K10" s="289">
        <v>6</v>
      </c>
      <c r="L10" s="289">
        <v>1339</v>
      </c>
      <c r="M10" s="332"/>
      <c r="N10" s="331"/>
      <c r="O10" s="330"/>
      <c r="P10" s="330"/>
      <c r="Q10" s="330"/>
      <c r="R10" s="330"/>
      <c r="S10" s="330"/>
      <c r="T10" s="330"/>
      <c r="U10" s="330"/>
    </row>
    <row r="11" spans="1:21" s="317" customFormat="1" x14ac:dyDescent="0.2">
      <c r="A11" s="334"/>
      <c r="B11" s="283" t="s">
        <v>1606</v>
      </c>
      <c r="C11" s="291"/>
      <c r="D11" s="283" t="s">
        <v>1611</v>
      </c>
      <c r="E11" s="289">
        <v>132</v>
      </c>
      <c r="F11" s="289">
        <v>751</v>
      </c>
      <c r="G11" s="289">
        <v>64</v>
      </c>
      <c r="H11" s="289">
        <v>662</v>
      </c>
      <c r="I11" s="289">
        <v>907</v>
      </c>
      <c r="J11" s="289">
        <v>278</v>
      </c>
      <c r="K11" s="289">
        <v>9</v>
      </c>
      <c r="L11" s="289">
        <v>2803</v>
      </c>
      <c r="M11" s="332"/>
      <c r="N11" s="331"/>
      <c r="O11" s="330"/>
      <c r="P11" s="330"/>
      <c r="Q11" s="330"/>
      <c r="R11" s="330"/>
      <c r="S11" s="330"/>
      <c r="T11" s="330"/>
      <c r="U11" s="330"/>
    </row>
    <row r="12" spans="1:21" s="317" customFormat="1" x14ac:dyDescent="0.2">
      <c r="A12" s="334"/>
      <c r="B12" s="283" t="s">
        <v>1606</v>
      </c>
      <c r="C12" s="291"/>
      <c r="D12" s="283" t="s">
        <v>1612</v>
      </c>
      <c r="E12" s="289">
        <v>11</v>
      </c>
      <c r="F12" s="289">
        <v>23</v>
      </c>
      <c r="G12" s="289">
        <v>3</v>
      </c>
      <c r="H12" s="289">
        <v>23</v>
      </c>
      <c r="I12" s="289">
        <v>27</v>
      </c>
      <c r="J12" s="289">
        <v>12</v>
      </c>
      <c r="K12" s="289">
        <v>2</v>
      </c>
      <c r="L12" s="289">
        <v>101</v>
      </c>
      <c r="M12" s="332"/>
      <c r="N12" s="331"/>
      <c r="O12" s="330"/>
      <c r="P12" s="330"/>
      <c r="Q12" s="330"/>
      <c r="R12" s="330"/>
      <c r="S12" s="330"/>
      <c r="T12" s="330"/>
      <c r="U12" s="330"/>
    </row>
    <row r="13" spans="1:21" s="317" customFormat="1" x14ac:dyDescent="0.2">
      <c r="A13" s="334"/>
      <c r="B13" s="283" t="s">
        <v>1606</v>
      </c>
      <c r="C13" s="291"/>
      <c r="D13" s="283" t="s">
        <v>1567</v>
      </c>
      <c r="E13" s="289">
        <v>39</v>
      </c>
      <c r="F13" s="289">
        <v>64</v>
      </c>
      <c r="G13" s="289">
        <v>20</v>
      </c>
      <c r="H13" s="289">
        <v>84</v>
      </c>
      <c r="I13" s="289">
        <v>185</v>
      </c>
      <c r="J13" s="289">
        <v>63</v>
      </c>
      <c r="K13" s="289">
        <v>2</v>
      </c>
      <c r="L13" s="289">
        <v>457</v>
      </c>
      <c r="M13" s="332"/>
      <c r="N13" s="331"/>
      <c r="O13" s="330"/>
      <c r="P13" s="330"/>
      <c r="Q13" s="330"/>
      <c r="R13" s="330"/>
      <c r="S13" s="330"/>
      <c r="T13" s="330"/>
      <c r="U13" s="330"/>
    </row>
    <row r="14" spans="1:21" s="317" customFormat="1" x14ac:dyDescent="0.2">
      <c r="A14" s="334"/>
      <c r="B14" s="283" t="s">
        <v>1606</v>
      </c>
      <c r="C14" s="291"/>
      <c r="D14" s="283" t="s">
        <v>124</v>
      </c>
      <c r="E14" s="289">
        <v>7</v>
      </c>
      <c r="F14" s="289">
        <v>37</v>
      </c>
      <c r="G14" s="289">
        <v>25</v>
      </c>
      <c r="H14" s="289">
        <v>10</v>
      </c>
      <c r="I14" s="289">
        <v>23</v>
      </c>
      <c r="J14" s="289">
        <v>5</v>
      </c>
      <c r="K14" s="289">
        <v>3</v>
      </c>
      <c r="L14" s="289">
        <v>110</v>
      </c>
      <c r="M14" s="332"/>
      <c r="N14" s="331"/>
      <c r="O14" s="330"/>
      <c r="P14" s="330"/>
      <c r="Q14" s="330"/>
      <c r="R14" s="330"/>
      <c r="S14" s="330"/>
      <c r="T14" s="330"/>
      <c r="U14" s="330"/>
    </row>
    <row r="15" spans="1:21" s="317" customFormat="1" x14ac:dyDescent="0.2">
      <c r="A15" s="334"/>
      <c r="B15" s="283" t="s">
        <v>1606</v>
      </c>
      <c r="C15" s="291"/>
      <c r="D15" s="283" t="s">
        <v>1613</v>
      </c>
      <c r="E15" s="289">
        <v>4</v>
      </c>
      <c r="F15" s="289">
        <v>8</v>
      </c>
      <c r="G15" s="289">
        <v>7</v>
      </c>
      <c r="H15" s="289">
        <v>18</v>
      </c>
      <c r="I15" s="289">
        <v>3</v>
      </c>
      <c r="J15" s="289">
        <v>8</v>
      </c>
      <c r="K15" s="289">
        <v>0</v>
      </c>
      <c r="L15" s="289">
        <v>48</v>
      </c>
      <c r="M15" s="332"/>
      <c r="N15" s="331"/>
      <c r="O15" s="330"/>
      <c r="P15" s="330"/>
      <c r="Q15" s="330"/>
      <c r="R15" s="330"/>
      <c r="S15" s="330"/>
      <c r="T15" s="330"/>
      <c r="U15" s="330"/>
    </row>
    <row r="16" spans="1:21" s="317" customFormat="1" x14ac:dyDescent="0.2">
      <c r="A16" s="334"/>
      <c r="B16" s="283" t="s">
        <v>1606</v>
      </c>
      <c r="C16" s="291"/>
      <c r="D16" s="283" t="s">
        <v>1614</v>
      </c>
      <c r="E16" s="289">
        <v>6</v>
      </c>
      <c r="F16" s="289">
        <v>43</v>
      </c>
      <c r="G16" s="289">
        <v>17</v>
      </c>
      <c r="H16" s="289">
        <v>4</v>
      </c>
      <c r="I16" s="289">
        <v>11</v>
      </c>
      <c r="J16" s="289">
        <v>3</v>
      </c>
      <c r="K16" s="289">
        <v>0</v>
      </c>
      <c r="L16" s="289">
        <v>84</v>
      </c>
      <c r="M16" s="332"/>
      <c r="N16" s="331"/>
      <c r="O16" s="330"/>
      <c r="P16" s="330"/>
      <c r="Q16" s="330"/>
      <c r="R16" s="330"/>
      <c r="S16" s="330"/>
      <c r="T16" s="330"/>
      <c r="U16" s="330"/>
    </row>
    <row r="17" spans="1:21" s="317" customFormat="1" x14ac:dyDescent="0.2">
      <c r="A17" s="334"/>
      <c r="B17" s="283" t="s">
        <v>1606</v>
      </c>
      <c r="C17" s="291"/>
      <c r="D17" s="283" t="s">
        <v>1487</v>
      </c>
      <c r="E17" s="289">
        <v>11</v>
      </c>
      <c r="F17" s="289">
        <v>53</v>
      </c>
      <c r="G17" s="289">
        <v>3</v>
      </c>
      <c r="H17" s="289">
        <v>34</v>
      </c>
      <c r="I17" s="289">
        <v>50</v>
      </c>
      <c r="J17" s="289">
        <v>19</v>
      </c>
      <c r="K17" s="289">
        <v>2</v>
      </c>
      <c r="L17" s="289">
        <v>172</v>
      </c>
      <c r="M17" s="332"/>
      <c r="N17" s="331"/>
      <c r="O17" s="330"/>
      <c r="P17" s="330"/>
      <c r="Q17" s="330"/>
      <c r="R17" s="330"/>
      <c r="S17" s="330"/>
      <c r="T17" s="330"/>
      <c r="U17" s="330"/>
    </row>
    <row r="18" spans="1:21" s="317" customFormat="1" x14ac:dyDescent="0.2">
      <c r="A18" s="334"/>
      <c r="B18" s="283" t="s">
        <v>1606</v>
      </c>
      <c r="C18" s="291"/>
      <c r="D18" s="283" t="s">
        <v>521</v>
      </c>
      <c r="E18" s="289">
        <v>10</v>
      </c>
      <c r="F18" s="289">
        <v>46</v>
      </c>
      <c r="G18" s="289">
        <v>3</v>
      </c>
      <c r="H18" s="289">
        <v>45</v>
      </c>
      <c r="I18" s="289">
        <v>61</v>
      </c>
      <c r="J18" s="289">
        <v>30</v>
      </c>
      <c r="K18" s="289">
        <v>0</v>
      </c>
      <c r="L18" s="289">
        <v>195</v>
      </c>
      <c r="M18" s="332"/>
      <c r="N18" s="331"/>
      <c r="O18" s="330"/>
      <c r="P18" s="330"/>
      <c r="Q18" s="330"/>
      <c r="R18" s="330"/>
      <c r="S18" s="330"/>
      <c r="T18" s="330"/>
      <c r="U18" s="330"/>
    </row>
    <row r="19" spans="1:21" s="317" customFormat="1" x14ac:dyDescent="0.2">
      <c r="A19" s="334"/>
      <c r="B19" s="283" t="s">
        <v>1606</v>
      </c>
      <c r="C19" s="291"/>
      <c r="D19" s="283" t="s">
        <v>616</v>
      </c>
      <c r="E19" s="289">
        <v>290</v>
      </c>
      <c r="F19" s="289">
        <v>1193</v>
      </c>
      <c r="G19" s="289">
        <v>168</v>
      </c>
      <c r="H19" s="289">
        <v>1259</v>
      </c>
      <c r="I19" s="289">
        <v>1782</v>
      </c>
      <c r="J19" s="289">
        <v>593</v>
      </c>
      <c r="K19" s="289">
        <v>24</v>
      </c>
      <c r="L19" s="289">
        <v>5309</v>
      </c>
      <c r="M19" s="332"/>
      <c r="N19" s="331"/>
      <c r="O19" s="330"/>
      <c r="P19" s="330"/>
      <c r="Q19" s="330"/>
      <c r="R19" s="330"/>
      <c r="S19" s="330"/>
      <c r="T19" s="330"/>
      <c r="U19" s="330"/>
    </row>
    <row r="20" spans="1:21" s="317" customFormat="1" x14ac:dyDescent="0.2">
      <c r="A20" s="334"/>
      <c r="B20" s="283"/>
      <c r="C20" s="291"/>
      <c r="D20" s="283"/>
      <c r="E20" s="289"/>
      <c r="F20" s="289"/>
      <c r="G20" s="289"/>
      <c r="H20" s="289"/>
      <c r="I20" s="289"/>
      <c r="J20" s="289"/>
      <c r="K20" s="289"/>
      <c r="L20" s="289"/>
      <c r="M20" s="332"/>
      <c r="N20" s="331"/>
      <c r="O20" s="330"/>
      <c r="P20" s="330"/>
      <c r="Q20" s="330"/>
      <c r="R20" s="330"/>
      <c r="S20" s="330"/>
      <c r="T20" s="330"/>
      <c r="U20" s="330"/>
    </row>
    <row r="21" spans="1:21" s="317" customFormat="1" x14ac:dyDescent="0.2">
      <c r="A21" s="285" t="s">
        <v>1615</v>
      </c>
      <c r="B21" s="283" t="s">
        <v>1608</v>
      </c>
      <c r="C21" s="291"/>
      <c r="D21" s="283" t="s">
        <v>279</v>
      </c>
      <c r="E21" s="328">
        <v>0.38461538461538464</v>
      </c>
      <c r="F21" s="328">
        <v>0.18543046357615894</v>
      </c>
      <c r="G21" s="328">
        <v>0.22807017543859648</v>
      </c>
      <c r="H21" s="328">
        <v>0.48157560355781448</v>
      </c>
      <c r="I21" s="328">
        <v>0.44743701129452651</v>
      </c>
      <c r="J21" s="328">
        <v>0.48746518105849584</v>
      </c>
      <c r="K21" s="328">
        <v>0.4</v>
      </c>
      <c r="L21" s="328">
        <v>0.38104723961297665</v>
      </c>
      <c r="M21" s="281">
        <v>0.38546630871028764</v>
      </c>
      <c r="N21" s="280">
        <v>0.38542223694441619</v>
      </c>
      <c r="O21" s="330"/>
      <c r="P21" s="330"/>
      <c r="Q21" s="330"/>
      <c r="R21" s="330"/>
      <c r="S21" s="330"/>
      <c r="T21" s="330"/>
      <c r="U21" s="330"/>
    </row>
    <row r="22" spans="1:21" s="317" customFormat="1" x14ac:dyDescent="0.2">
      <c r="A22" s="334"/>
      <c r="B22" s="283" t="s">
        <v>1608</v>
      </c>
      <c r="C22" s="291"/>
      <c r="D22" s="283" t="s">
        <v>1611</v>
      </c>
      <c r="E22" s="328">
        <v>0.72527472527472525</v>
      </c>
      <c r="F22" s="328">
        <v>0.82891832229580575</v>
      </c>
      <c r="G22" s="328">
        <v>0.56140350877192979</v>
      </c>
      <c r="H22" s="328">
        <v>0.84116899618805596</v>
      </c>
      <c r="I22" s="328">
        <v>0.78801042571676805</v>
      </c>
      <c r="J22" s="328">
        <v>0.77437325905292476</v>
      </c>
      <c r="K22" s="328">
        <v>0.6</v>
      </c>
      <c r="L22" s="328">
        <v>0.79766647694934545</v>
      </c>
      <c r="M22" s="281">
        <v>0.7977595626866788</v>
      </c>
      <c r="N22" s="280">
        <v>0.79400536792032272</v>
      </c>
      <c r="O22" s="330"/>
      <c r="P22" s="330"/>
      <c r="Q22" s="330"/>
      <c r="R22" s="330"/>
      <c r="S22" s="330"/>
      <c r="T22" s="330"/>
      <c r="U22" s="330"/>
    </row>
    <row r="23" spans="1:21" s="317" customFormat="1" x14ac:dyDescent="0.2">
      <c r="A23" s="334"/>
      <c r="B23" s="283" t="s">
        <v>1608</v>
      </c>
      <c r="C23" s="291"/>
      <c r="D23" s="283" t="s">
        <v>1612</v>
      </c>
      <c r="E23" s="328">
        <v>6.043956043956044E-2</v>
      </c>
      <c r="F23" s="328">
        <v>2.5386313465783666E-2</v>
      </c>
      <c r="G23" s="328">
        <v>2.6315789473684209E-2</v>
      </c>
      <c r="H23" s="328">
        <v>2.9224904701397714E-2</v>
      </c>
      <c r="I23" s="328">
        <v>2.3457862728062554E-2</v>
      </c>
      <c r="J23" s="328">
        <v>3.3426183844011144E-2</v>
      </c>
      <c r="K23" s="328">
        <v>0.13333333333333333</v>
      </c>
      <c r="L23" s="328">
        <v>2.8742174160500854E-2</v>
      </c>
      <c r="M23" s="281">
        <v>2.7141535934093977E-2</v>
      </c>
      <c r="N23" s="280">
        <v>2.8866134812863157E-2</v>
      </c>
      <c r="O23" s="330"/>
      <c r="P23" s="330"/>
      <c r="Q23" s="330"/>
      <c r="R23" s="330"/>
      <c r="S23" s="330"/>
      <c r="T23" s="330"/>
      <c r="U23" s="330"/>
    </row>
    <row r="24" spans="1:21" s="317" customFormat="1" x14ac:dyDescent="0.2">
      <c r="A24" s="334"/>
      <c r="B24" s="283" t="s">
        <v>1608</v>
      </c>
      <c r="C24" s="291"/>
      <c r="D24" s="283" t="s">
        <v>1567</v>
      </c>
      <c r="E24" s="328">
        <v>0.21428571428571427</v>
      </c>
      <c r="F24" s="328">
        <v>7.0640176600441501E-2</v>
      </c>
      <c r="G24" s="328">
        <v>0.17543859649122806</v>
      </c>
      <c r="H24" s="328">
        <v>0.10673443456162643</v>
      </c>
      <c r="I24" s="328">
        <v>0.16072980017376196</v>
      </c>
      <c r="J24" s="328">
        <v>0.17548746518105848</v>
      </c>
      <c r="K24" s="328">
        <v>0.13333333333333333</v>
      </c>
      <c r="L24" s="328">
        <v>0.13005122367672167</v>
      </c>
      <c r="M24" s="281">
        <v>0.12796954455556273</v>
      </c>
      <c r="N24" s="280">
        <v>0.1324401031471642</v>
      </c>
      <c r="O24" s="330"/>
      <c r="P24" s="330"/>
      <c r="Q24" s="330"/>
      <c r="R24" s="330"/>
      <c r="S24" s="330"/>
      <c r="T24" s="330"/>
      <c r="U24" s="330"/>
    </row>
    <row r="25" spans="1:21" s="317" customFormat="1" x14ac:dyDescent="0.2">
      <c r="A25" s="334"/>
      <c r="B25" s="283" t="s">
        <v>1608</v>
      </c>
      <c r="C25" s="291"/>
      <c r="D25" s="283" t="s">
        <v>124</v>
      </c>
      <c r="E25" s="328">
        <v>3.8461538461538464E-2</v>
      </c>
      <c r="F25" s="328">
        <v>4.0838852097130243E-2</v>
      </c>
      <c r="G25" s="328">
        <v>0.21929824561403508</v>
      </c>
      <c r="H25" s="328">
        <v>1.2706480304955527E-2</v>
      </c>
      <c r="I25" s="328">
        <v>1.998262380538662E-2</v>
      </c>
      <c r="J25" s="328">
        <v>1.3927576601671309E-2</v>
      </c>
      <c r="K25" s="328">
        <v>0.2</v>
      </c>
      <c r="L25" s="328">
        <v>3.1303357996585089E-2</v>
      </c>
      <c r="M25" s="281">
        <v>3.2739663296025352E-2</v>
      </c>
      <c r="N25" s="280">
        <v>3.3036015396231209E-2</v>
      </c>
      <c r="O25" s="330"/>
      <c r="P25" s="330"/>
      <c r="Q25" s="330"/>
      <c r="R25" s="330"/>
      <c r="S25" s="330"/>
      <c r="T25" s="330"/>
      <c r="U25" s="330"/>
    </row>
    <row r="26" spans="1:21" s="317" customFormat="1" x14ac:dyDescent="0.2">
      <c r="A26" s="334"/>
      <c r="B26" s="283" t="s">
        <v>1608</v>
      </c>
      <c r="C26" s="291"/>
      <c r="D26" s="283" t="s">
        <v>1613</v>
      </c>
      <c r="E26" s="328">
        <v>2.197802197802198E-2</v>
      </c>
      <c r="F26" s="328">
        <v>8.8300220750551876E-3</v>
      </c>
      <c r="G26" s="328">
        <v>6.1403508771929821E-2</v>
      </c>
      <c r="H26" s="328">
        <v>2.2871664548919948E-2</v>
      </c>
      <c r="I26" s="328">
        <v>2.6064291920069507E-3</v>
      </c>
      <c r="J26" s="328">
        <v>2.2284122562674095E-2</v>
      </c>
      <c r="K26" s="328">
        <v>0</v>
      </c>
      <c r="L26" s="328">
        <v>1.3659647125782584E-2</v>
      </c>
      <c r="M26" s="281">
        <v>1.4071057629270474E-2</v>
      </c>
      <c r="N26" s="280">
        <v>1.4480581679205812E-2</v>
      </c>
      <c r="O26" s="330"/>
      <c r="P26" s="330"/>
      <c r="Q26" s="330"/>
      <c r="R26" s="330"/>
      <c r="S26" s="330"/>
      <c r="T26" s="330"/>
      <c r="U26" s="330"/>
    </row>
    <row r="27" spans="1:21" s="317" customFormat="1" x14ac:dyDescent="0.2">
      <c r="A27" s="334"/>
      <c r="B27" s="283" t="s">
        <v>1608</v>
      </c>
      <c r="C27" s="291"/>
      <c r="D27" s="283" t="s">
        <v>1614</v>
      </c>
      <c r="E27" s="328">
        <v>3.2967032967032968E-2</v>
      </c>
      <c r="F27" s="328">
        <v>4.7461368653421633E-2</v>
      </c>
      <c r="G27" s="328">
        <v>0.14912280701754385</v>
      </c>
      <c r="H27" s="328">
        <v>5.0825921219822112E-3</v>
      </c>
      <c r="I27" s="328">
        <v>9.5569070373588191E-3</v>
      </c>
      <c r="J27" s="328">
        <v>8.356545961002786E-3</v>
      </c>
      <c r="K27" s="328">
        <v>0</v>
      </c>
      <c r="L27" s="328">
        <v>2.3904382470119521E-2</v>
      </c>
      <c r="M27" s="281">
        <v>2.4125382086487963E-2</v>
      </c>
      <c r="N27" s="280">
        <v>2.4583316195838902E-2</v>
      </c>
      <c r="O27" s="330"/>
      <c r="P27" s="330"/>
      <c r="Q27" s="330"/>
      <c r="R27" s="330"/>
      <c r="S27" s="330"/>
      <c r="T27" s="330"/>
      <c r="U27" s="330"/>
    </row>
    <row r="28" spans="1:21" s="317" customFormat="1" x14ac:dyDescent="0.2">
      <c r="A28" s="334"/>
      <c r="B28" s="283" t="s">
        <v>1608</v>
      </c>
      <c r="C28" s="291"/>
      <c r="D28" s="283" t="s">
        <v>1487</v>
      </c>
      <c r="E28" s="328">
        <v>6.043956043956044E-2</v>
      </c>
      <c r="F28" s="328">
        <v>5.8498896247240618E-2</v>
      </c>
      <c r="G28" s="328">
        <v>2.6315789473684209E-2</v>
      </c>
      <c r="H28" s="328">
        <v>4.3202033036848796E-2</v>
      </c>
      <c r="I28" s="328">
        <v>4.3440486533449174E-2</v>
      </c>
      <c r="J28" s="328">
        <v>5.2924791086350974E-2</v>
      </c>
      <c r="K28" s="328">
        <v>0.13333333333333333</v>
      </c>
      <c r="L28" s="328">
        <v>4.8947068867387596E-2</v>
      </c>
      <c r="M28" s="281">
        <v>4.7843756865730454E-2</v>
      </c>
      <c r="N28" s="280">
        <v>4.8496129162383009E-2</v>
      </c>
      <c r="O28" s="330"/>
      <c r="P28" s="330"/>
      <c r="Q28" s="330"/>
      <c r="R28" s="330"/>
      <c r="S28" s="330"/>
      <c r="T28" s="330"/>
      <c r="U28" s="330"/>
    </row>
    <row r="29" spans="1:21" s="317" customFormat="1" x14ac:dyDescent="0.2">
      <c r="A29" s="334"/>
      <c r="B29" s="283" t="s">
        <v>1608</v>
      </c>
      <c r="C29" s="291"/>
      <c r="D29" s="283" t="s">
        <v>521</v>
      </c>
      <c r="E29" s="328">
        <v>5.4945054945054944E-2</v>
      </c>
      <c r="F29" s="328">
        <v>5.0772626931567331E-2</v>
      </c>
      <c r="G29" s="328">
        <v>2.6315789473684209E-2</v>
      </c>
      <c r="H29" s="328">
        <v>5.7179161372299871E-2</v>
      </c>
      <c r="I29" s="328">
        <v>5.2997393570807995E-2</v>
      </c>
      <c r="J29" s="328">
        <v>8.3565459610027856E-2</v>
      </c>
      <c r="K29" s="328">
        <v>0</v>
      </c>
      <c r="L29" s="328">
        <v>5.5492316448491751E-2</v>
      </c>
      <c r="M29" s="281">
        <v>5.564120209871197E-2</v>
      </c>
      <c r="N29" s="280">
        <v>5.5605146668442886E-2</v>
      </c>
      <c r="O29" s="330"/>
      <c r="P29" s="330"/>
      <c r="Q29" s="330"/>
      <c r="R29" s="330"/>
      <c r="S29" s="330"/>
      <c r="T29" s="330"/>
      <c r="U29" s="330"/>
    </row>
    <row r="30" spans="1:21" s="317" customFormat="1" x14ac:dyDescent="0.2">
      <c r="A30" s="334"/>
      <c r="B30" s="283"/>
      <c r="C30" s="291"/>
      <c r="D30" s="333"/>
      <c r="E30" s="290"/>
      <c r="F30" s="290"/>
      <c r="G30" s="290"/>
      <c r="H30" s="290"/>
      <c r="I30" s="290"/>
      <c r="J30" s="290"/>
      <c r="K30" s="290"/>
      <c r="L30" s="290"/>
      <c r="M30" s="332"/>
      <c r="N30" s="331"/>
      <c r="O30" s="330"/>
      <c r="P30" s="330"/>
      <c r="Q30" s="330"/>
      <c r="R30" s="330"/>
      <c r="S30" s="330"/>
      <c r="T30" s="330"/>
      <c r="U30" s="330"/>
    </row>
    <row r="31" spans="1:21" x14ac:dyDescent="0.2">
      <c r="A31" s="285" t="s">
        <v>1616</v>
      </c>
      <c r="B31" s="283" t="s">
        <v>1617</v>
      </c>
      <c r="C31" s="291"/>
      <c r="D31" s="283" t="s">
        <v>1618</v>
      </c>
      <c r="E31" s="329">
        <v>1.5934065934065933</v>
      </c>
      <c r="F31" s="329">
        <v>1.3167770419426048</v>
      </c>
      <c r="G31" s="329">
        <v>1.4736842105263157</v>
      </c>
      <c r="H31" s="329">
        <v>1.5997458703939009</v>
      </c>
      <c r="I31" s="329">
        <v>1.5482189400521287</v>
      </c>
      <c r="J31" s="329">
        <v>1.6518105849582172</v>
      </c>
      <c r="K31" s="329">
        <v>1.6</v>
      </c>
      <c r="L31" s="329">
        <v>1.5108138873079111</v>
      </c>
      <c r="M31" s="309">
        <v>1.5127580138628491</v>
      </c>
      <c r="N31" s="308">
        <v>1.516935031926868</v>
      </c>
      <c r="O31" s="284"/>
      <c r="P31" s="279"/>
      <c r="Q31" s="279"/>
      <c r="R31" s="279"/>
      <c r="S31" s="279"/>
      <c r="T31" s="279"/>
      <c r="U31" s="279"/>
    </row>
    <row r="32" spans="1:21" x14ac:dyDescent="0.2">
      <c r="A32" s="285" t="s">
        <v>1619</v>
      </c>
      <c r="B32" s="283" t="s">
        <v>1620</v>
      </c>
      <c r="C32" s="291"/>
      <c r="D32" s="283" t="s">
        <v>1621</v>
      </c>
      <c r="E32" s="328">
        <v>0.46153846153846156</v>
      </c>
      <c r="F32" s="328">
        <v>0.27483443708609273</v>
      </c>
      <c r="G32" s="328">
        <v>0.38596491228070173</v>
      </c>
      <c r="H32" s="328">
        <v>0.51588310038119445</v>
      </c>
      <c r="I32" s="328">
        <v>0.47871416159860991</v>
      </c>
      <c r="J32" s="328">
        <v>0.55153203342618384</v>
      </c>
      <c r="K32" s="328">
        <v>0.46666666666666667</v>
      </c>
      <c r="L32" s="328">
        <v>0.43796243597040407</v>
      </c>
      <c r="M32" s="281">
        <v>0.44177309169115708</v>
      </c>
      <c r="N32" s="280">
        <v>0.44279679610555933</v>
      </c>
      <c r="O32" s="284"/>
      <c r="P32" s="279"/>
      <c r="Q32" s="279"/>
      <c r="R32" s="279"/>
      <c r="S32" s="279"/>
      <c r="T32" s="279"/>
      <c r="U32" s="279"/>
    </row>
    <row r="33" spans="1:21" x14ac:dyDescent="0.2">
      <c r="B33" s="278"/>
      <c r="F33" s="315"/>
      <c r="G33" s="315"/>
      <c r="H33" s="315"/>
      <c r="I33" s="315"/>
      <c r="J33" s="315"/>
      <c r="K33" s="315"/>
      <c r="L33" s="315"/>
      <c r="M33" s="288"/>
      <c r="N33" s="287"/>
      <c r="O33" s="279"/>
      <c r="P33" s="279"/>
      <c r="Q33" s="279"/>
      <c r="R33" s="279"/>
      <c r="S33" s="279"/>
      <c r="T33" s="279"/>
      <c r="U33" s="279"/>
    </row>
    <row r="34" spans="1:21" x14ac:dyDescent="0.2">
      <c r="A34" s="285" t="s">
        <v>1622</v>
      </c>
      <c r="B34" s="283" t="s">
        <v>1608</v>
      </c>
      <c r="C34" s="283"/>
      <c r="D34" s="283" t="s">
        <v>279</v>
      </c>
      <c r="E34" s="284">
        <v>0.19818681318681319</v>
      </c>
      <c r="F34" s="284">
        <v>8.8675496688741723E-2</v>
      </c>
      <c r="G34" s="284">
        <v>0.1187719298245614</v>
      </c>
      <c r="H34" s="284">
        <v>0.27667090216010165</v>
      </c>
      <c r="I34" s="284">
        <v>0.20210251954821895</v>
      </c>
      <c r="J34" s="284">
        <v>0.23323119777158774</v>
      </c>
      <c r="K34" s="284">
        <v>0.26333333333333331</v>
      </c>
      <c r="L34" s="284">
        <v>0.19009391007398976</v>
      </c>
      <c r="M34" s="327">
        <v>0.19213783449267355</v>
      </c>
      <c r="N34" s="280">
        <v>0.1924511282098999</v>
      </c>
      <c r="O34" s="279"/>
      <c r="P34" s="279"/>
      <c r="Q34" s="279"/>
      <c r="R34" s="279"/>
      <c r="S34" s="279"/>
      <c r="T34" s="279"/>
      <c r="U34" s="279"/>
    </row>
    <row r="35" spans="1:21" x14ac:dyDescent="0.2">
      <c r="B35" s="283" t="s">
        <v>1608</v>
      </c>
      <c r="C35" s="283"/>
      <c r="D35" s="283" t="s">
        <v>1611</v>
      </c>
      <c r="E35" s="284">
        <v>0.57406593406593409</v>
      </c>
      <c r="F35" s="284">
        <v>0.7558498896247241</v>
      </c>
      <c r="G35" s="284">
        <v>0.46605263157894739</v>
      </c>
      <c r="H35" s="284">
        <v>0.62456162642947899</v>
      </c>
      <c r="I35" s="284">
        <v>0.65699391833188536</v>
      </c>
      <c r="J35" s="284">
        <v>0.61610027855153204</v>
      </c>
      <c r="K35" s="284">
        <v>0.5</v>
      </c>
      <c r="L35" s="284">
        <v>0.65988047808764938</v>
      </c>
      <c r="M35" s="327">
        <v>0.65907782826944217</v>
      </c>
      <c r="N35" s="280">
        <v>0.65467482179675063</v>
      </c>
      <c r="O35" s="279"/>
      <c r="P35" s="279"/>
      <c r="Q35" s="279"/>
      <c r="R35" s="279"/>
      <c r="S35" s="279"/>
      <c r="T35" s="279"/>
      <c r="U35" s="279"/>
    </row>
    <row r="36" spans="1:21" x14ac:dyDescent="0.2">
      <c r="B36" s="283" t="s">
        <v>1608</v>
      </c>
      <c r="C36" s="283"/>
      <c r="D36" s="283" t="s">
        <v>1612</v>
      </c>
      <c r="E36" s="284">
        <v>1.9230769230769232E-2</v>
      </c>
      <c r="F36" s="284">
        <v>7.5607064017660045E-3</v>
      </c>
      <c r="G36" s="284">
        <v>1.5789473684210526E-3</v>
      </c>
      <c r="H36" s="284">
        <v>5.2731893265565441E-3</v>
      </c>
      <c r="I36" s="284">
        <v>4.2311033883579499E-3</v>
      </c>
      <c r="J36" s="284">
        <v>8.6629526462395547E-3</v>
      </c>
      <c r="K36" s="284">
        <v>2.3333333333333334E-2</v>
      </c>
      <c r="L36" s="284">
        <v>6.5480933409220263E-3</v>
      </c>
      <c r="M36" s="281">
        <v>5.7962676690951134E-3</v>
      </c>
      <c r="N36" s="280">
        <v>6.4920785069507454E-3</v>
      </c>
      <c r="O36" s="279"/>
      <c r="P36" s="279"/>
      <c r="Q36" s="279"/>
      <c r="R36" s="279"/>
      <c r="S36" s="279"/>
      <c r="T36" s="279"/>
      <c r="U36" s="279"/>
    </row>
    <row r="37" spans="1:21" x14ac:dyDescent="0.2">
      <c r="B37" s="283" t="s">
        <v>1608</v>
      </c>
      <c r="C37" s="283"/>
      <c r="D37" s="283" t="s">
        <v>1567</v>
      </c>
      <c r="E37" s="284">
        <v>0.13906593406593407</v>
      </c>
      <c r="F37" s="284">
        <v>3.7516556291390731E-2</v>
      </c>
      <c r="G37" s="284">
        <v>9.9210526315789471E-2</v>
      </c>
      <c r="H37" s="284">
        <v>4.6874205844980942E-2</v>
      </c>
      <c r="I37" s="284">
        <v>9.0503909643788016E-2</v>
      </c>
      <c r="J37" s="284">
        <v>0.10373259052924791</v>
      </c>
      <c r="K37" s="284">
        <v>0.04</v>
      </c>
      <c r="L37" s="284">
        <v>7.1004553215708588E-2</v>
      </c>
      <c r="M37" s="281">
        <v>6.8790727129772883E-2</v>
      </c>
      <c r="N37" s="280">
        <v>7.2430478883438607E-2</v>
      </c>
      <c r="O37" s="279"/>
      <c r="P37" s="279"/>
      <c r="Q37" s="279"/>
      <c r="R37" s="279"/>
      <c r="S37" s="279"/>
      <c r="T37" s="279"/>
      <c r="U37" s="279"/>
    </row>
    <row r="38" spans="1:21" x14ac:dyDescent="0.2">
      <c r="B38" s="283" t="s">
        <v>1608</v>
      </c>
      <c r="C38" s="283"/>
      <c r="D38" s="283" t="s">
        <v>124</v>
      </c>
      <c r="E38" s="284">
        <v>2.2802197802197801E-2</v>
      </c>
      <c r="F38" s="284">
        <v>3.5993377483443709E-2</v>
      </c>
      <c r="G38" s="284">
        <v>0.15052631578947367</v>
      </c>
      <c r="H38" s="284">
        <v>7.5730622617534941E-3</v>
      </c>
      <c r="I38" s="284">
        <v>1.4152910512597741E-2</v>
      </c>
      <c r="J38" s="284">
        <v>6.5181058495821726E-3</v>
      </c>
      <c r="K38" s="284">
        <v>0.16666666666666666</v>
      </c>
      <c r="L38" s="284">
        <v>2.3053500284575982E-2</v>
      </c>
      <c r="M38" s="281">
        <v>2.4076594722421091E-2</v>
      </c>
      <c r="N38" s="280">
        <v>2.4010590101054944E-2</v>
      </c>
      <c r="O38" s="279"/>
      <c r="P38" s="279"/>
      <c r="Q38" s="279"/>
      <c r="R38" s="279"/>
      <c r="S38" s="279"/>
      <c r="T38" s="279"/>
      <c r="U38" s="279"/>
    </row>
    <row r="39" spans="1:21" x14ac:dyDescent="0.2">
      <c r="B39" s="283" t="s">
        <v>1608</v>
      </c>
      <c r="C39" s="283"/>
      <c r="D39" s="283" t="s">
        <v>1613</v>
      </c>
      <c r="E39" s="284">
        <v>3.2967032967032967E-4</v>
      </c>
      <c r="F39" s="284">
        <v>4.88962472406181E-3</v>
      </c>
      <c r="G39" s="284">
        <v>3.6052631578947371E-2</v>
      </c>
      <c r="H39" s="284">
        <v>1.3481575603557814E-2</v>
      </c>
      <c r="I39" s="284">
        <v>2.4326672458731538E-3</v>
      </c>
      <c r="J39" s="284">
        <v>4.6518105849582174E-3</v>
      </c>
      <c r="K39" s="284">
        <v>0</v>
      </c>
      <c r="L39" s="284">
        <v>6.7387592487194083E-3</v>
      </c>
      <c r="M39" s="281">
        <v>7.4981808658271532E-3</v>
      </c>
      <c r="N39" s="280">
        <v>7.126903427699509E-3</v>
      </c>
      <c r="O39" s="279"/>
      <c r="P39" s="279"/>
      <c r="Q39" s="279"/>
      <c r="R39" s="279"/>
      <c r="S39" s="279"/>
      <c r="T39" s="279"/>
      <c r="U39" s="279"/>
    </row>
    <row r="40" spans="1:21" x14ac:dyDescent="0.2">
      <c r="B40" s="283" t="s">
        <v>1608</v>
      </c>
      <c r="C40" s="283"/>
      <c r="D40" s="283" t="s">
        <v>1614</v>
      </c>
      <c r="E40" s="284">
        <v>3.2967032967032968E-2</v>
      </c>
      <c r="F40" s="284">
        <v>4.0717439293598237E-2</v>
      </c>
      <c r="G40" s="284">
        <v>0.12105263157894737</v>
      </c>
      <c r="H40" s="284">
        <v>1.804320203303685E-3</v>
      </c>
      <c r="I40" s="284">
        <v>3.6403127715030409E-3</v>
      </c>
      <c r="J40" s="284">
        <v>1.8105849582172701E-3</v>
      </c>
      <c r="K40" s="284">
        <v>0</v>
      </c>
      <c r="L40" s="284">
        <v>1.7914058053500284E-2</v>
      </c>
      <c r="M40" s="281">
        <v>1.7556622759530228E-2</v>
      </c>
      <c r="N40" s="280">
        <v>1.8354771495376981E-2</v>
      </c>
      <c r="O40" s="279"/>
      <c r="P40" s="279"/>
      <c r="Q40" s="279"/>
      <c r="R40" s="279"/>
      <c r="S40" s="279"/>
      <c r="T40" s="279"/>
      <c r="U40" s="279"/>
    </row>
    <row r="41" spans="1:21" x14ac:dyDescent="0.2">
      <c r="B41" s="283" t="s">
        <v>1608</v>
      </c>
      <c r="C41" s="283"/>
      <c r="D41" s="283" t="s">
        <v>1487</v>
      </c>
      <c r="E41" s="284">
        <v>7.4725274725274725E-3</v>
      </c>
      <c r="F41" s="284">
        <v>1.2317880794701986E-2</v>
      </c>
      <c r="G41" s="284">
        <v>4.5614035087719294E-3</v>
      </c>
      <c r="H41" s="284">
        <v>8.1702668360864039E-3</v>
      </c>
      <c r="I41" s="284">
        <v>7.0373588184187664E-3</v>
      </c>
      <c r="J41" s="284">
        <v>8.495821727019499E-3</v>
      </c>
      <c r="K41" s="284">
        <v>6.6666666666666671E-3</v>
      </c>
      <c r="L41" s="284">
        <v>8.7421741605008541E-3</v>
      </c>
      <c r="M41" s="281">
        <v>8.6670477904103402E-3</v>
      </c>
      <c r="N41" s="280">
        <v>8.605180204225172E-3</v>
      </c>
      <c r="O41" s="279"/>
      <c r="P41" s="279"/>
      <c r="Q41" s="279"/>
      <c r="R41" s="279"/>
      <c r="S41" s="279"/>
      <c r="T41" s="279"/>
      <c r="U41" s="279"/>
    </row>
    <row r="42" spans="1:21" x14ac:dyDescent="0.2">
      <c r="B42" s="283" t="s">
        <v>1608</v>
      </c>
      <c r="C42" s="283"/>
      <c r="D42" s="283" t="s">
        <v>521</v>
      </c>
      <c r="E42" s="284">
        <v>5.8791208791208792E-3</v>
      </c>
      <c r="F42" s="284">
        <v>1.6479028697571743E-2</v>
      </c>
      <c r="G42" s="284">
        <v>2.1929824561403508E-3</v>
      </c>
      <c r="H42" s="284">
        <v>1.5590851334180433E-2</v>
      </c>
      <c r="I42" s="284">
        <v>1.8905299739357079E-2</v>
      </c>
      <c r="J42" s="284">
        <v>1.67966573816156E-2</v>
      </c>
      <c r="K42" s="284">
        <v>0</v>
      </c>
      <c r="L42" s="284">
        <v>1.6024473534433693E-2</v>
      </c>
      <c r="M42" s="281">
        <v>1.6398896300827467E-2</v>
      </c>
      <c r="N42" s="280">
        <v>1.5854047374603622E-2</v>
      </c>
      <c r="O42" s="279"/>
      <c r="P42" s="279"/>
      <c r="Q42" s="279"/>
      <c r="R42" s="279"/>
      <c r="S42" s="279"/>
      <c r="T42" s="279"/>
      <c r="U42" s="279"/>
    </row>
    <row r="43" spans="1:21" x14ac:dyDescent="0.2">
      <c r="B43" s="283"/>
      <c r="C43" s="283"/>
      <c r="D43" s="283" t="s">
        <v>616</v>
      </c>
      <c r="E43" s="284">
        <v>1</v>
      </c>
      <c r="F43" s="284">
        <v>1</v>
      </c>
      <c r="G43" s="284">
        <v>0.99999999999999989</v>
      </c>
      <c r="H43" s="284">
        <v>0.99999999999999978</v>
      </c>
      <c r="I43" s="284">
        <v>0.99999999999999989</v>
      </c>
      <c r="J43" s="284">
        <v>0.99999999999999989</v>
      </c>
      <c r="K43" s="284">
        <v>1</v>
      </c>
      <c r="L43" s="284">
        <v>1</v>
      </c>
      <c r="M43" s="326">
        <v>1</v>
      </c>
      <c r="N43" s="280">
        <v>1.0000000000000002</v>
      </c>
      <c r="O43" s="279"/>
      <c r="P43" s="279"/>
      <c r="Q43" s="279"/>
      <c r="R43" s="279"/>
      <c r="S43" s="279"/>
      <c r="T43" s="279"/>
      <c r="U43" s="279"/>
    </row>
    <row r="44" spans="1:21" x14ac:dyDescent="0.2">
      <c r="B44" s="278"/>
      <c r="N44" s="274"/>
      <c r="O44" s="279"/>
      <c r="P44" s="279"/>
      <c r="Q44" s="279"/>
      <c r="R44" s="279"/>
      <c r="S44" s="279"/>
      <c r="T44" s="279"/>
      <c r="U44" s="279"/>
    </row>
    <row r="45" spans="1:21" x14ac:dyDescent="0.2">
      <c r="A45" s="285" t="s">
        <v>1623</v>
      </c>
      <c r="B45" s="283" t="s">
        <v>1606</v>
      </c>
      <c r="C45" s="291">
        <v>1</v>
      </c>
      <c r="D45" s="291" t="s">
        <v>1624</v>
      </c>
      <c r="E45" s="289">
        <v>4</v>
      </c>
      <c r="F45" s="289">
        <v>13</v>
      </c>
      <c r="G45" s="289">
        <v>4</v>
      </c>
      <c r="H45" s="289">
        <v>13</v>
      </c>
      <c r="I45" s="289">
        <v>30</v>
      </c>
      <c r="J45" s="289">
        <v>16</v>
      </c>
      <c r="K45" s="289">
        <v>0</v>
      </c>
      <c r="L45" s="289">
        <v>80</v>
      </c>
      <c r="M45" s="315"/>
      <c r="N45" s="325"/>
      <c r="O45" s="279"/>
      <c r="P45" s="279"/>
      <c r="Q45" s="279"/>
      <c r="R45" s="279"/>
      <c r="S45" s="279"/>
      <c r="T45" s="279"/>
      <c r="U45" s="279"/>
    </row>
    <row r="46" spans="1:21" x14ac:dyDescent="0.2">
      <c r="A46" s="317"/>
      <c r="B46" s="283" t="s">
        <v>1606</v>
      </c>
      <c r="C46" s="291">
        <v>2</v>
      </c>
      <c r="D46" s="291" t="s">
        <v>1625</v>
      </c>
      <c r="E46" s="289">
        <v>3</v>
      </c>
      <c r="F46" s="289">
        <v>15</v>
      </c>
      <c r="G46" s="289">
        <v>2</v>
      </c>
      <c r="H46" s="289">
        <v>18</v>
      </c>
      <c r="I46" s="289">
        <v>26</v>
      </c>
      <c r="J46" s="289">
        <v>11</v>
      </c>
      <c r="K46" s="289">
        <v>1</v>
      </c>
      <c r="L46" s="289">
        <v>76</v>
      </c>
      <c r="M46" s="315"/>
      <c r="N46" s="325"/>
      <c r="O46" s="279"/>
      <c r="P46" s="279"/>
      <c r="Q46" s="279"/>
      <c r="R46" s="279"/>
      <c r="S46" s="279"/>
      <c r="T46" s="279"/>
      <c r="U46" s="279"/>
    </row>
    <row r="47" spans="1:21" x14ac:dyDescent="0.2">
      <c r="A47" s="285"/>
      <c r="B47" s="283" t="s">
        <v>1606</v>
      </c>
      <c r="C47" s="291">
        <v>3</v>
      </c>
      <c r="D47" s="291" t="s">
        <v>583</v>
      </c>
      <c r="E47" s="289">
        <v>58</v>
      </c>
      <c r="F47" s="289">
        <v>130</v>
      </c>
      <c r="G47" s="289">
        <v>19</v>
      </c>
      <c r="H47" s="289">
        <v>327</v>
      </c>
      <c r="I47" s="289">
        <v>441</v>
      </c>
      <c r="J47" s="289">
        <v>139</v>
      </c>
      <c r="K47" s="289">
        <v>4</v>
      </c>
      <c r="L47" s="289">
        <v>1118</v>
      </c>
      <c r="M47" s="315"/>
      <c r="N47" s="325"/>
      <c r="O47" s="279"/>
      <c r="P47" s="279"/>
      <c r="Q47" s="279"/>
      <c r="R47" s="279"/>
      <c r="S47" s="279"/>
      <c r="T47" s="279"/>
      <c r="U47" s="279"/>
    </row>
    <row r="48" spans="1:21" x14ac:dyDescent="0.2">
      <c r="A48" s="285"/>
      <c r="B48" s="283" t="s">
        <v>1606</v>
      </c>
      <c r="C48" s="291">
        <v>4</v>
      </c>
      <c r="D48" s="291" t="s">
        <v>1626</v>
      </c>
      <c r="E48" s="289">
        <v>3</v>
      </c>
      <c r="F48" s="289">
        <v>5</v>
      </c>
      <c r="G48" s="289">
        <v>0</v>
      </c>
      <c r="H48" s="289">
        <v>17</v>
      </c>
      <c r="I48" s="289">
        <v>12</v>
      </c>
      <c r="J48" s="289">
        <v>9</v>
      </c>
      <c r="K48" s="289">
        <v>1</v>
      </c>
      <c r="L48" s="289">
        <v>47</v>
      </c>
      <c r="M48" s="315"/>
      <c r="N48" s="325"/>
      <c r="O48" s="279"/>
      <c r="P48" s="279"/>
      <c r="Q48" s="279"/>
      <c r="R48" s="279"/>
      <c r="S48" s="279"/>
      <c r="T48" s="279"/>
      <c r="U48" s="279"/>
    </row>
    <row r="49" spans="1:21" x14ac:dyDescent="0.2">
      <c r="A49" s="285"/>
      <c r="B49" s="283" t="s">
        <v>1606</v>
      </c>
      <c r="C49" s="291">
        <v>5</v>
      </c>
      <c r="D49" s="291" t="s">
        <v>1627</v>
      </c>
      <c r="E49" s="289">
        <v>1</v>
      </c>
      <c r="F49" s="289">
        <v>4</v>
      </c>
      <c r="G49" s="289">
        <v>1</v>
      </c>
      <c r="H49" s="289">
        <v>4</v>
      </c>
      <c r="I49" s="289">
        <v>3</v>
      </c>
      <c r="J49" s="289">
        <v>0</v>
      </c>
      <c r="K49" s="289">
        <v>0</v>
      </c>
      <c r="L49" s="290">
        <v>0</v>
      </c>
      <c r="M49" s="315"/>
      <c r="N49" s="325"/>
      <c r="O49" s="279"/>
      <c r="P49" s="279"/>
      <c r="Q49" s="279"/>
      <c r="R49" s="279"/>
      <c r="S49" s="279"/>
      <c r="T49" s="279"/>
      <c r="U49" s="279"/>
    </row>
    <row r="50" spans="1:21" x14ac:dyDescent="0.2">
      <c r="A50" s="285"/>
      <c r="B50" s="283" t="s">
        <v>1606</v>
      </c>
      <c r="C50" s="292" t="s">
        <v>563</v>
      </c>
      <c r="D50" s="291" t="s">
        <v>1628</v>
      </c>
      <c r="E50" s="289">
        <v>113</v>
      </c>
      <c r="F50" s="289">
        <v>739</v>
      </c>
      <c r="G50" s="289">
        <v>88</v>
      </c>
      <c r="H50" s="289">
        <v>408</v>
      </c>
      <c r="I50" s="289">
        <v>639</v>
      </c>
      <c r="J50" s="289">
        <v>184</v>
      </c>
      <c r="K50" s="289">
        <v>9</v>
      </c>
      <c r="L50" s="289">
        <v>2180</v>
      </c>
      <c r="M50" s="315"/>
      <c r="N50" s="325"/>
      <c r="O50" s="279"/>
      <c r="P50" s="279"/>
      <c r="Q50" s="279"/>
      <c r="R50" s="279"/>
      <c r="S50" s="279"/>
      <c r="T50" s="279"/>
      <c r="U50" s="279"/>
    </row>
    <row r="51" spans="1:21" x14ac:dyDescent="0.2">
      <c r="A51" s="285"/>
      <c r="B51" s="283" t="s">
        <v>1606</v>
      </c>
      <c r="C51" s="291"/>
      <c r="D51" s="291" t="s">
        <v>616</v>
      </c>
      <c r="E51" s="290">
        <v>182</v>
      </c>
      <c r="F51" s="290">
        <v>906</v>
      </c>
      <c r="G51" s="290">
        <v>114</v>
      </c>
      <c r="H51" s="290">
        <v>787</v>
      </c>
      <c r="I51" s="290">
        <v>1151</v>
      </c>
      <c r="J51" s="290">
        <v>359</v>
      </c>
      <c r="K51" s="290">
        <v>15</v>
      </c>
      <c r="L51" s="290">
        <v>3501</v>
      </c>
      <c r="M51" s="315"/>
      <c r="N51" s="325"/>
      <c r="O51" s="286">
        <v>0.25878320479862899</v>
      </c>
      <c r="P51" s="286">
        <v>3.2562125107112254E-2</v>
      </c>
      <c r="Q51" s="286">
        <v>0.22479291630962583</v>
      </c>
      <c r="R51" s="286">
        <v>0.32876321051128249</v>
      </c>
      <c r="S51" s="286">
        <v>0.10254213081976578</v>
      </c>
      <c r="T51" s="286">
        <v>4.2844901456726651E-3</v>
      </c>
      <c r="U51" s="286">
        <v>0.951728077692088</v>
      </c>
    </row>
    <row r="52" spans="1:21" x14ac:dyDescent="0.2">
      <c r="A52" s="285"/>
      <c r="B52" s="283" t="s">
        <v>1606</v>
      </c>
      <c r="C52" s="291"/>
      <c r="D52" s="291" t="s">
        <v>1629</v>
      </c>
      <c r="E52" s="290">
        <v>68</v>
      </c>
      <c r="F52" s="290">
        <v>163</v>
      </c>
      <c r="G52" s="290">
        <v>25</v>
      </c>
      <c r="H52" s="290">
        <v>375</v>
      </c>
      <c r="I52" s="290">
        <v>509</v>
      </c>
      <c r="J52" s="290">
        <v>175</v>
      </c>
      <c r="K52" s="290">
        <v>6</v>
      </c>
      <c r="L52" s="290">
        <v>1321</v>
      </c>
      <c r="M52" s="288"/>
      <c r="N52" s="287"/>
      <c r="O52" s="286">
        <v>0.12339137017411052</v>
      </c>
      <c r="P52" s="286">
        <v>1.8925056775170326E-2</v>
      </c>
      <c r="Q52" s="286">
        <v>0.28387585162755491</v>
      </c>
      <c r="R52" s="286">
        <v>0.38531415594246782</v>
      </c>
      <c r="S52" s="286">
        <v>0.13247539742619227</v>
      </c>
      <c r="T52" s="286">
        <v>4.5420136260408781E-3</v>
      </c>
      <c r="U52" s="286">
        <v>0.94852384557153668</v>
      </c>
    </row>
    <row r="53" spans="1:21" x14ac:dyDescent="0.2">
      <c r="A53" s="285"/>
      <c r="B53" s="283" t="s">
        <v>1608</v>
      </c>
      <c r="C53" s="283"/>
      <c r="D53" s="283" t="s">
        <v>1624</v>
      </c>
      <c r="E53" s="284">
        <v>5.8823529411764705E-2</v>
      </c>
      <c r="F53" s="284">
        <v>7.9754601226993863E-2</v>
      </c>
      <c r="G53" s="284">
        <v>0.16</v>
      </c>
      <c r="H53" s="284">
        <v>3.4666666666666665E-2</v>
      </c>
      <c r="I53" s="284">
        <v>5.8939096267190572E-2</v>
      </c>
      <c r="J53" s="284">
        <v>9.1428571428571428E-2</v>
      </c>
      <c r="K53" s="284">
        <v>0</v>
      </c>
      <c r="L53" s="284">
        <v>6.0560181680545042E-2</v>
      </c>
      <c r="M53" s="281">
        <v>5.4744741985631014E-2</v>
      </c>
      <c r="N53" s="280">
        <v>5.495470227705955E-2</v>
      </c>
      <c r="O53" s="279"/>
      <c r="P53" s="279"/>
      <c r="Q53" s="279"/>
      <c r="R53" s="279"/>
      <c r="S53" s="279"/>
      <c r="T53" s="279"/>
      <c r="U53" s="279"/>
    </row>
    <row r="54" spans="1:21" x14ac:dyDescent="0.2">
      <c r="A54" s="285"/>
      <c r="B54" s="283" t="s">
        <v>1608</v>
      </c>
      <c r="C54" s="283"/>
      <c r="D54" s="283" t="s">
        <v>1625</v>
      </c>
      <c r="E54" s="284">
        <v>4.4117647058823532E-2</v>
      </c>
      <c r="F54" s="284">
        <v>9.202453987730061E-2</v>
      </c>
      <c r="G54" s="284">
        <v>0.08</v>
      </c>
      <c r="H54" s="284">
        <v>4.8000000000000001E-2</v>
      </c>
      <c r="I54" s="284">
        <v>5.1080550098231828E-2</v>
      </c>
      <c r="J54" s="284">
        <v>6.2857142857142861E-2</v>
      </c>
      <c r="K54" s="284">
        <v>0.16666666666666666</v>
      </c>
      <c r="L54" s="284">
        <v>5.7532172596517793E-2</v>
      </c>
      <c r="M54" s="281">
        <v>5.2650380510550085E-2</v>
      </c>
      <c r="N54" s="280">
        <v>5.2211148205692094E-2</v>
      </c>
      <c r="O54" s="279"/>
      <c r="P54" s="279"/>
      <c r="Q54" s="279"/>
      <c r="R54" s="279"/>
      <c r="S54" s="279"/>
      <c r="T54" s="279"/>
      <c r="U54" s="279"/>
    </row>
    <row r="55" spans="1:21" x14ac:dyDescent="0.2">
      <c r="A55" s="285"/>
      <c r="B55" s="283" t="s">
        <v>1608</v>
      </c>
      <c r="C55" s="283"/>
      <c r="D55" s="283" t="s">
        <v>583</v>
      </c>
      <c r="E55" s="284">
        <v>0.8529411764705882</v>
      </c>
      <c r="F55" s="284">
        <v>0.7975460122699386</v>
      </c>
      <c r="G55" s="284">
        <v>0.76</v>
      </c>
      <c r="H55" s="284">
        <v>0.872</v>
      </c>
      <c r="I55" s="284">
        <v>0.86640471512770134</v>
      </c>
      <c r="J55" s="284">
        <v>0.79428571428571426</v>
      </c>
      <c r="K55" s="284">
        <v>0.66666666666666663</v>
      </c>
      <c r="L55" s="284">
        <v>0.846328538985617</v>
      </c>
      <c r="M55" s="281">
        <v>0.86240748618142116</v>
      </c>
      <c r="N55" s="280">
        <v>0.86192019696087863</v>
      </c>
      <c r="O55" s="279"/>
      <c r="P55" s="279"/>
      <c r="Q55" s="279"/>
      <c r="R55" s="279"/>
      <c r="S55" s="279"/>
      <c r="T55" s="279"/>
      <c r="U55" s="279"/>
    </row>
    <row r="56" spans="1:21" x14ac:dyDescent="0.2">
      <c r="A56" s="285"/>
      <c r="B56" s="283" t="s">
        <v>1608</v>
      </c>
      <c r="C56" s="283"/>
      <c r="D56" s="283" t="s">
        <v>1626</v>
      </c>
      <c r="E56" s="284">
        <v>4.4117647058823532E-2</v>
      </c>
      <c r="F56" s="284">
        <v>3.0674846625766871E-2</v>
      </c>
      <c r="G56" s="284">
        <v>0</v>
      </c>
      <c r="H56" s="284">
        <v>4.5333333333333337E-2</v>
      </c>
      <c r="I56" s="284">
        <v>2.3575638506876228E-2</v>
      </c>
      <c r="J56" s="284">
        <v>5.1428571428571428E-2</v>
      </c>
      <c r="K56" s="284">
        <v>0.16666666666666666</v>
      </c>
      <c r="L56" s="284">
        <v>3.5579106737320211E-2</v>
      </c>
      <c r="M56" s="281">
        <v>3.0197391322397665E-2</v>
      </c>
      <c r="N56" s="280">
        <v>3.0913952556369625E-2</v>
      </c>
      <c r="O56" s="279"/>
      <c r="P56" s="279"/>
      <c r="Q56" s="279"/>
      <c r="R56" s="279"/>
      <c r="S56" s="279"/>
      <c r="T56" s="279"/>
      <c r="U56" s="279"/>
    </row>
    <row r="57" spans="1:21" x14ac:dyDescent="0.2">
      <c r="A57" s="285"/>
      <c r="B57" s="283" t="s">
        <v>1608</v>
      </c>
      <c r="C57" s="283"/>
      <c r="D57" s="283" t="s">
        <v>1629</v>
      </c>
      <c r="E57" s="284">
        <v>0.99999999999999989</v>
      </c>
      <c r="F57" s="284">
        <v>1</v>
      </c>
      <c r="G57" s="284">
        <v>1</v>
      </c>
      <c r="H57" s="284">
        <v>1</v>
      </c>
      <c r="I57" s="284">
        <v>1</v>
      </c>
      <c r="J57" s="284">
        <v>1</v>
      </c>
      <c r="K57" s="284">
        <v>0.99999999999999989</v>
      </c>
      <c r="L57" s="284">
        <v>1</v>
      </c>
      <c r="M57" s="281">
        <v>0.99999999999999989</v>
      </c>
      <c r="N57" s="280">
        <v>0.99999999999999989</v>
      </c>
      <c r="O57" s="279"/>
      <c r="P57" s="279"/>
      <c r="Q57" s="279"/>
      <c r="R57" s="279"/>
      <c r="S57" s="279"/>
      <c r="T57" s="279"/>
      <c r="U57" s="279"/>
    </row>
    <row r="58" spans="1:21" x14ac:dyDescent="0.2">
      <c r="B58" s="278"/>
      <c r="N58" s="274"/>
      <c r="O58" s="279"/>
      <c r="P58" s="279"/>
      <c r="Q58" s="279"/>
      <c r="R58" s="279"/>
      <c r="S58" s="279"/>
      <c r="T58" s="279"/>
      <c r="U58" s="279"/>
    </row>
    <row r="59" spans="1:21" x14ac:dyDescent="0.2">
      <c r="A59" s="285" t="s">
        <v>1630</v>
      </c>
      <c r="B59" s="283" t="s">
        <v>1606</v>
      </c>
      <c r="C59" s="291">
        <v>1</v>
      </c>
      <c r="D59" s="291" t="s">
        <v>1631</v>
      </c>
      <c r="E59" s="289">
        <v>6</v>
      </c>
      <c r="F59" s="289">
        <v>25</v>
      </c>
      <c r="G59" s="289">
        <v>3</v>
      </c>
      <c r="H59" s="289">
        <v>50</v>
      </c>
      <c r="I59" s="289">
        <v>93</v>
      </c>
      <c r="J59" s="289">
        <v>20</v>
      </c>
      <c r="K59" s="289">
        <v>1</v>
      </c>
      <c r="L59" s="289">
        <v>198</v>
      </c>
      <c r="M59" s="288"/>
      <c r="N59" s="287"/>
      <c r="O59" s="279"/>
      <c r="P59" s="279"/>
      <c r="Q59" s="279"/>
      <c r="R59" s="279"/>
      <c r="S59" s="279"/>
      <c r="T59" s="279"/>
      <c r="U59" s="279"/>
    </row>
    <row r="60" spans="1:21" x14ac:dyDescent="0.2">
      <c r="A60" s="285"/>
      <c r="B60" s="283" t="s">
        <v>1606</v>
      </c>
      <c r="C60" s="291">
        <v>2</v>
      </c>
      <c r="D60" s="291" t="s">
        <v>1632</v>
      </c>
      <c r="E60" s="289">
        <v>55</v>
      </c>
      <c r="F60" s="289">
        <v>111</v>
      </c>
      <c r="G60" s="289">
        <v>16</v>
      </c>
      <c r="H60" s="289">
        <v>265</v>
      </c>
      <c r="I60" s="289">
        <v>344</v>
      </c>
      <c r="J60" s="289">
        <v>117</v>
      </c>
      <c r="K60" s="289">
        <v>4</v>
      </c>
      <c r="L60" s="289">
        <v>912</v>
      </c>
      <c r="M60" s="288"/>
      <c r="N60" s="287"/>
      <c r="O60" s="279"/>
      <c r="P60" s="279"/>
      <c r="Q60" s="279"/>
      <c r="R60" s="279"/>
      <c r="S60" s="279"/>
      <c r="T60" s="279"/>
      <c r="U60" s="279"/>
    </row>
    <row r="61" spans="1:21" x14ac:dyDescent="0.2">
      <c r="A61" s="285"/>
      <c r="B61" s="283" t="s">
        <v>1606</v>
      </c>
      <c r="C61" s="291">
        <v>3</v>
      </c>
      <c r="D61" s="291" t="s">
        <v>1627</v>
      </c>
      <c r="E61" s="289">
        <v>0</v>
      </c>
      <c r="F61" s="289">
        <v>7</v>
      </c>
      <c r="G61" s="289">
        <v>2</v>
      </c>
      <c r="H61" s="289">
        <v>25</v>
      </c>
      <c r="I61" s="289">
        <v>24</v>
      </c>
      <c r="J61" s="289">
        <v>10</v>
      </c>
      <c r="K61" s="289">
        <v>0</v>
      </c>
      <c r="L61" s="289">
        <v>68</v>
      </c>
      <c r="M61" s="288"/>
      <c r="N61" s="287"/>
      <c r="O61" s="279"/>
      <c r="P61" s="279"/>
      <c r="Q61" s="279"/>
      <c r="R61" s="279"/>
      <c r="S61" s="279"/>
      <c r="T61" s="279"/>
      <c r="U61" s="279"/>
    </row>
    <row r="62" spans="1:21" x14ac:dyDescent="0.2">
      <c r="A62" s="285"/>
      <c r="B62" s="283" t="s">
        <v>1606</v>
      </c>
      <c r="C62" s="292" t="s">
        <v>563</v>
      </c>
      <c r="D62" s="291" t="s">
        <v>1628</v>
      </c>
      <c r="E62" s="289">
        <v>121</v>
      </c>
      <c r="F62" s="289">
        <v>763</v>
      </c>
      <c r="G62" s="289">
        <v>93</v>
      </c>
      <c r="H62" s="289">
        <v>447</v>
      </c>
      <c r="I62" s="289">
        <v>690</v>
      </c>
      <c r="J62" s="289">
        <v>212</v>
      </c>
      <c r="K62" s="289">
        <v>10</v>
      </c>
      <c r="L62" s="289">
        <v>2336</v>
      </c>
      <c r="M62" s="288"/>
      <c r="N62" s="287"/>
      <c r="O62" s="279"/>
      <c r="P62" s="279"/>
      <c r="Q62" s="279"/>
      <c r="R62" s="279"/>
      <c r="S62" s="279"/>
      <c r="T62" s="279"/>
      <c r="U62" s="279"/>
    </row>
    <row r="63" spans="1:21" x14ac:dyDescent="0.2">
      <c r="A63" s="285"/>
      <c r="B63" s="283" t="s">
        <v>1606</v>
      </c>
      <c r="C63" s="291"/>
      <c r="D63" s="291" t="s">
        <v>616</v>
      </c>
      <c r="E63" s="290">
        <v>182</v>
      </c>
      <c r="F63" s="290">
        <v>906</v>
      </c>
      <c r="G63" s="290">
        <v>114</v>
      </c>
      <c r="H63" s="290">
        <v>787</v>
      </c>
      <c r="I63" s="290">
        <v>1151</v>
      </c>
      <c r="J63" s="290">
        <v>359</v>
      </c>
      <c r="K63" s="290">
        <v>15</v>
      </c>
      <c r="L63" s="289">
        <v>3514</v>
      </c>
      <c r="M63" s="288"/>
      <c r="N63" s="287"/>
      <c r="O63" s="279"/>
      <c r="P63" s="279"/>
      <c r="Q63" s="279"/>
      <c r="R63" s="279"/>
      <c r="S63" s="279"/>
      <c r="T63" s="279"/>
      <c r="U63" s="279"/>
    </row>
    <row r="64" spans="1:21" x14ac:dyDescent="0.2">
      <c r="A64" s="285"/>
      <c r="B64" s="283" t="s">
        <v>1606</v>
      </c>
      <c r="C64" s="291"/>
      <c r="D64" s="291" t="s">
        <v>1629</v>
      </c>
      <c r="E64" s="290">
        <v>61</v>
      </c>
      <c r="F64" s="290">
        <v>136</v>
      </c>
      <c r="G64" s="290">
        <v>19</v>
      </c>
      <c r="H64" s="290">
        <v>315</v>
      </c>
      <c r="I64" s="290">
        <v>437</v>
      </c>
      <c r="J64" s="290">
        <v>137</v>
      </c>
      <c r="K64" s="290">
        <v>5</v>
      </c>
      <c r="L64" s="289">
        <v>1110</v>
      </c>
      <c r="M64" s="288"/>
      <c r="N64" s="287"/>
      <c r="O64" s="286">
        <v>0.12252252252252252</v>
      </c>
      <c r="P64" s="286">
        <v>1.7117117117117116E-2</v>
      </c>
      <c r="Q64" s="286">
        <v>0.28378378378378377</v>
      </c>
      <c r="R64" s="286">
        <v>0.39369369369369367</v>
      </c>
      <c r="S64" s="286">
        <v>0.12342342342342343</v>
      </c>
      <c r="T64" s="286">
        <v>4.5045045045045045E-3</v>
      </c>
      <c r="U64" s="286">
        <v>0.94504504504504494</v>
      </c>
    </row>
    <row r="65" spans="1:21" x14ac:dyDescent="0.2">
      <c r="A65" s="285"/>
      <c r="B65" s="283" t="s">
        <v>1608</v>
      </c>
      <c r="C65" s="283"/>
      <c r="D65" s="283" t="s">
        <v>1631</v>
      </c>
      <c r="E65" s="284">
        <v>9.8360655737704916E-2</v>
      </c>
      <c r="F65" s="284">
        <v>0.18382352941176472</v>
      </c>
      <c r="G65" s="284">
        <v>0.15789473684210525</v>
      </c>
      <c r="H65" s="284">
        <v>0.15873015873015872</v>
      </c>
      <c r="I65" s="284">
        <v>0.21281464530892449</v>
      </c>
      <c r="J65" s="284">
        <v>0.145985401459854</v>
      </c>
      <c r="K65" s="284">
        <v>0.2</v>
      </c>
      <c r="L65" s="284">
        <v>0.17837837837837839</v>
      </c>
      <c r="M65" s="281">
        <v>0.19651925846953824</v>
      </c>
      <c r="N65" s="280">
        <v>0.19112495687796902</v>
      </c>
      <c r="O65" s="279"/>
      <c r="P65" s="279"/>
      <c r="Q65" s="279"/>
      <c r="R65" s="279"/>
      <c r="S65" s="279"/>
      <c r="T65" s="279"/>
      <c r="U65" s="279"/>
    </row>
    <row r="66" spans="1:21" x14ac:dyDescent="0.2">
      <c r="A66" s="285"/>
      <c r="B66" s="283" t="s">
        <v>1608</v>
      </c>
      <c r="C66" s="283"/>
      <c r="D66" s="283" t="s">
        <v>1632</v>
      </c>
      <c r="E66" s="284">
        <v>0.90163934426229508</v>
      </c>
      <c r="F66" s="284">
        <v>0.81617647058823528</v>
      </c>
      <c r="G66" s="284">
        <v>0.84210526315789469</v>
      </c>
      <c r="H66" s="284">
        <v>0.84126984126984128</v>
      </c>
      <c r="I66" s="284">
        <v>0.78718535469107553</v>
      </c>
      <c r="J66" s="284">
        <v>0.85401459854014594</v>
      </c>
      <c r="K66" s="284">
        <v>0.8</v>
      </c>
      <c r="L66" s="284">
        <v>0.82162162162162167</v>
      </c>
      <c r="M66" s="281">
        <v>0.80348074153046178</v>
      </c>
      <c r="N66" s="280">
        <v>0.80887504312203096</v>
      </c>
      <c r="O66" s="279"/>
      <c r="P66" s="279"/>
      <c r="Q66" s="279"/>
      <c r="R66" s="279"/>
      <c r="S66" s="279"/>
      <c r="T66" s="279"/>
      <c r="U66" s="279"/>
    </row>
    <row r="67" spans="1:21" x14ac:dyDescent="0.2">
      <c r="A67" s="285"/>
      <c r="B67" s="283" t="s">
        <v>1608</v>
      </c>
      <c r="C67" s="283"/>
      <c r="D67" s="283" t="s">
        <v>1629</v>
      </c>
      <c r="E67" s="282">
        <v>1</v>
      </c>
      <c r="F67" s="282">
        <v>1</v>
      </c>
      <c r="G67" s="282">
        <v>1</v>
      </c>
      <c r="H67" s="282">
        <v>1</v>
      </c>
      <c r="I67" s="282">
        <v>1</v>
      </c>
      <c r="J67" s="282">
        <v>1</v>
      </c>
      <c r="K67" s="282">
        <v>1</v>
      </c>
      <c r="L67" s="282">
        <v>1</v>
      </c>
      <c r="M67" s="281">
        <v>1</v>
      </c>
      <c r="N67" s="280">
        <v>1</v>
      </c>
      <c r="O67" s="279"/>
      <c r="P67" s="279"/>
      <c r="Q67" s="279"/>
      <c r="R67" s="279"/>
      <c r="S67" s="279"/>
      <c r="T67" s="279"/>
      <c r="U67" s="279"/>
    </row>
    <row r="68" spans="1:21" x14ac:dyDescent="0.2">
      <c r="A68" s="285"/>
      <c r="B68" s="283"/>
      <c r="C68" s="283"/>
      <c r="D68" s="283"/>
      <c r="E68" s="282"/>
      <c r="F68" s="282"/>
      <c r="G68" s="282"/>
      <c r="H68" s="282"/>
      <c r="I68" s="282"/>
      <c r="J68" s="282"/>
      <c r="K68" s="282"/>
      <c r="L68" s="282"/>
      <c r="M68" s="281"/>
      <c r="N68" s="280"/>
      <c r="O68" s="279"/>
      <c r="P68" s="279"/>
      <c r="Q68" s="279"/>
      <c r="R68" s="279"/>
      <c r="S68" s="279"/>
      <c r="T68" s="279"/>
      <c r="U68" s="279"/>
    </row>
    <row r="69" spans="1:21" x14ac:dyDescent="0.2">
      <c r="A69" s="285" t="s">
        <v>1633</v>
      </c>
      <c r="B69" s="283" t="s">
        <v>1606</v>
      </c>
      <c r="C69" s="291">
        <v>1</v>
      </c>
      <c r="D69" s="291" t="s">
        <v>1634</v>
      </c>
      <c r="E69" s="289">
        <v>12</v>
      </c>
      <c r="F69" s="289">
        <v>16</v>
      </c>
      <c r="G69" s="289">
        <v>0</v>
      </c>
      <c r="H69" s="289">
        <v>37</v>
      </c>
      <c r="I69" s="289">
        <v>44</v>
      </c>
      <c r="J69" s="289">
        <v>5</v>
      </c>
      <c r="K69" s="289">
        <v>2</v>
      </c>
      <c r="L69" s="289">
        <v>116</v>
      </c>
      <c r="M69" s="281"/>
      <c r="N69" s="280"/>
      <c r="O69" s="279"/>
      <c r="P69" s="279"/>
      <c r="Q69" s="279"/>
      <c r="R69" s="279"/>
      <c r="S69" s="279"/>
      <c r="T69" s="279"/>
      <c r="U69" s="279"/>
    </row>
    <row r="70" spans="1:21" x14ac:dyDescent="0.2">
      <c r="A70" s="285"/>
      <c r="B70" s="283" t="s">
        <v>1606</v>
      </c>
      <c r="C70" s="291">
        <v>2</v>
      </c>
      <c r="D70" s="291" t="s">
        <v>1635</v>
      </c>
      <c r="E70" s="289">
        <v>22</v>
      </c>
      <c r="F70" s="289">
        <v>54</v>
      </c>
      <c r="G70" s="289">
        <v>11</v>
      </c>
      <c r="H70" s="289">
        <v>140</v>
      </c>
      <c r="I70" s="289">
        <v>140</v>
      </c>
      <c r="J70" s="289">
        <v>43</v>
      </c>
      <c r="K70" s="289">
        <v>3</v>
      </c>
      <c r="L70" s="289">
        <v>413</v>
      </c>
      <c r="M70" s="281"/>
      <c r="N70" s="280"/>
      <c r="O70" s="279"/>
      <c r="P70" s="279"/>
      <c r="Q70" s="279"/>
      <c r="R70" s="279"/>
      <c r="S70" s="279"/>
      <c r="T70" s="279"/>
      <c r="U70" s="279"/>
    </row>
    <row r="71" spans="1:21" x14ac:dyDescent="0.2">
      <c r="A71" s="285"/>
      <c r="B71" s="283" t="s">
        <v>1606</v>
      </c>
      <c r="C71" s="291">
        <v>3</v>
      </c>
      <c r="D71" s="291" t="s">
        <v>1636</v>
      </c>
      <c r="E71" s="289">
        <v>12</v>
      </c>
      <c r="F71" s="289">
        <v>23</v>
      </c>
      <c r="G71" s="289">
        <v>1</v>
      </c>
      <c r="H71" s="289">
        <v>56</v>
      </c>
      <c r="I71" s="289">
        <v>81</v>
      </c>
      <c r="J71" s="289">
        <v>34</v>
      </c>
      <c r="K71" s="289">
        <v>0</v>
      </c>
      <c r="L71" s="289">
        <v>207</v>
      </c>
      <c r="M71" s="281"/>
      <c r="N71" s="280"/>
      <c r="O71" s="279"/>
      <c r="P71" s="279"/>
      <c r="Q71" s="279"/>
      <c r="R71" s="279"/>
      <c r="S71" s="279"/>
      <c r="T71" s="279"/>
      <c r="U71" s="279"/>
    </row>
    <row r="72" spans="1:21" x14ac:dyDescent="0.2">
      <c r="A72" s="285"/>
      <c r="B72" s="283" t="s">
        <v>1606</v>
      </c>
      <c r="C72" s="291">
        <v>4</v>
      </c>
      <c r="D72" s="291" t="s">
        <v>1637</v>
      </c>
      <c r="E72" s="289">
        <v>3</v>
      </c>
      <c r="F72" s="289">
        <v>7</v>
      </c>
      <c r="G72" s="289">
        <v>4</v>
      </c>
      <c r="H72" s="289">
        <v>24</v>
      </c>
      <c r="I72" s="289">
        <v>50</v>
      </c>
      <c r="J72" s="289">
        <v>18</v>
      </c>
      <c r="K72" s="289">
        <v>0</v>
      </c>
      <c r="L72" s="289">
        <v>106</v>
      </c>
      <c r="M72" s="281"/>
      <c r="N72" s="280"/>
      <c r="O72" s="279"/>
      <c r="P72" s="279"/>
      <c r="Q72" s="279"/>
      <c r="R72" s="279"/>
      <c r="S72" s="279"/>
      <c r="T72" s="279"/>
      <c r="U72" s="279"/>
    </row>
    <row r="73" spans="1:21" x14ac:dyDescent="0.2">
      <c r="A73" s="285"/>
      <c r="B73" s="283" t="s">
        <v>1606</v>
      </c>
      <c r="C73" s="291">
        <v>5</v>
      </c>
      <c r="D73" s="291" t="s">
        <v>1638</v>
      </c>
      <c r="E73" s="289">
        <v>9</v>
      </c>
      <c r="F73" s="289">
        <v>34</v>
      </c>
      <c r="G73" s="289">
        <v>4</v>
      </c>
      <c r="H73" s="289">
        <v>58</v>
      </c>
      <c r="I73" s="289">
        <v>122</v>
      </c>
      <c r="J73" s="289">
        <v>41</v>
      </c>
      <c r="K73" s="289">
        <v>0</v>
      </c>
      <c r="L73" s="289">
        <v>268</v>
      </c>
      <c r="M73" s="281"/>
      <c r="N73" s="280"/>
      <c r="O73" s="279"/>
      <c r="P73" s="279"/>
      <c r="Q73" s="279"/>
      <c r="R73" s="279"/>
      <c r="S73" s="279"/>
      <c r="T73" s="279"/>
      <c r="U73" s="279"/>
    </row>
    <row r="74" spans="1:21" x14ac:dyDescent="0.2">
      <c r="A74" s="285"/>
      <c r="B74" s="283" t="s">
        <v>1606</v>
      </c>
      <c r="C74" s="291">
        <v>6</v>
      </c>
      <c r="D74" s="291" t="s">
        <v>1627</v>
      </c>
      <c r="E74" s="289">
        <v>3</v>
      </c>
      <c r="F74" s="289">
        <v>9</v>
      </c>
      <c r="G74" s="289">
        <v>1</v>
      </c>
      <c r="H74" s="289">
        <v>25</v>
      </c>
      <c r="I74" s="289">
        <v>24</v>
      </c>
      <c r="J74" s="289">
        <v>6</v>
      </c>
      <c r="K74" s="289">
        <v>0</v>
      </c>
      <c r="L74" s="289">
        <v>68</v>
      </c>
      <c r="M74" s="281"/>
      <c r="N74" s="280"/>
      <c r="O74" s="279"/>
      <c r="P74" s="279"/>
      <c r="Q74" s="279"/>
      <c r="R74" s="279"/>
      <c r="S74" s="279"/>
      <c r="T74" s="279"/>
      <c r="U74" s="279"/>
    </row>
    <row r="75" spans="1:21" x14ac:dyDescent="0.2">
      <c r="A75" s="285"/>
      <c r="B75" s="283" t="s">
        <v>1606</v>
      </c>
      <c r="C75" s="292" t="s">
        <v>563</v>
      </c>
      <c r="D75" s="291" t="s">
        <v>1628</v>
      </c>
      <c r="E75" s="289">
        <v>121</v>
      </c>
      <c r="F75" s="289">
        <v>763</v>
      </c>
      <c r="G75" s="289">
        <v>93</v>
      </c>
      <c r="H75" s="289">
        <v>447</v>
      </c>
      <c r="I75" s="289">
        <v>690</v>
      </c>
      <c r="J75" s="289">
        <v>212</v>
      </c>
      <c r="K75" s="289">
        <v>10</v>
      </c>
      <c r="L75" s="289">
        <v>2336</v>
      </c>
      <c r="M75" s="281"/>
      <c r="N75" s="280"/>
      <c r="O75" s="279"/>
      <c r="P75" s="279"/>
      <c r="Q75" s="279"/>
      <c r="R75" s="279"/>
      <c r="S75" s="279"/>
      <c r="T75" s="279"/>
      <c r="U75" s="279"/>
    </row>
    <row r="76" spans="1:21" x14ac:dyDescent="0.2">
      <c r="A76" s="285"/>
      <c r="B76" s="283" t="s">
        <v>1606</v>
      </c>
      <c r="C76" s="291"/>
      <c r="D76" s="291" t="s">
        <v>616</v>
      </c>
      <c r="E76" s="290">
        <v>182</v>
      </c>
      <c r="F76" s="290">
        <v>906</v>
      </c>
      <c r="G76" s="290">
        <v>114</v>
      </c>
      <c r="H76" s="290">
        <v>787</v>
      </c>
      <c r="I76" s="290">
        <v>1151</v>
      </c>
      <c r="J76" s="290">
        <v>359</v>
      </c>
      <c r="K76" s="290">
        <v>15</v>
      </c>
      <c r="L76" s="289">
        <v>3514</v>
      </c>
      <c r="M76" s="281"/>
      <c r="N76" s="280"/>
      <c r="O76" s="279"/>
      <c r="P76" s="279"/>
      <c r="Q76" s="279"/>
      <c r="R76" s="279"/>
      <c r="S76" s="279"/>
      <c r="T76" s="279"/>
      <c r="U76" s="279"/>
    </row>
    <row r="77" spans="1:21" x14ac:dyDescent="0.2">
      <c r="A77" s="285"/>
      <c r="B77" s="283" t="s">
        <v>1606</v>
      </c>
      <c r="C77" s="291"/>
      <c r="D77" s="291" t="s">
        <v>1629</v>
      </c>
      <c r="E77" s="290">
        <v>58</v>
      </c>
      <c r="F77" s="290">
        <v>134</v>
      </c>
      <c r="G77" s="290">
        <v>20</v>
      </c>
      <c r="H77" s="290">
        <v>315</v>
      </c>
      <c r="I77" s="290">
        <v>437</v>
      </c>
      <c r="J77" s="290">
        <v>141</v>
      </c>
      <c r="K77" s="290">
        <v>5</v>
      </c>
      <c r="L77" s="289">
        <v>1110</v>
      </c>
      <c r="M77" s="281"/>
      <c r="N77" s="280"/>
      <c r="O77" s="286">
        <v>0.12072072072072072</v>
      </c>
      <c r="P77" s="286">
        <v>1.8018018018018018E-2</v>
      </c>
      <c r="Q77" s="286">
        <v>0.28378378378378377</v>
      </c>
      <c r="R77" s="286">
        <v>0.39369369369369367</v>
      </c>
      <c r="S77" s="286">
        <v>0.12702702702702703</v>
      </c>
      <c r="T77" s="286">
        <v>4.5045045045045045E-3</v>
      </c>
      <c r="U77" s="286">
        <v>0.94774774774774773</v>
      </c>
    </row>
    <row r="78" spans="1:21" x14ac:dyDescent="0.2">
      <c r="A78" s="285"/>
      <c r="B78" s="283" t="s">
        <v>1608</v>
      </c>
      <c r="C78" s="283"/>
      <c r="D78" s="283" t="s">
        <v>1634</v>
      </c>
      <c r="E78" s="284">
        <v>0.20689655172413793</v>
      </c>
      <c r="F78" s="284">
        <v>0.11940298507462686</v>
      </c>
      <c r="G78" s="284">
        <v>0</v>
      </c>
      <c r="H78" s="284">
        <v>0.11746031746031746</v>
      </c>
      <c r="I78" s="284">
        <v>0.10068649885583524</v>
      </c>
      <c r="J78" s="284">
        <v>3.5460992907801421E-2</v>
      </c>
      <c r="K78" s="284">
        <v>0.4</v>
      </c>
      <c r="L78" s="284">
        <v>0.10450450450450451</v>
      </c>
      <c r="M78" s="281">
        <v>0.10404559625784836</v>
      </c>
      <c r="N78" s="280">
        <v>0.10941979032725808</v>
      </c>
      <c r="O78" s="279"/>
      <c r="P78" s="279"/>
      <c r="Q78" s="279"/>
      <c r="R78" s="279"/>
      <c r="S78" s="279"/>
      <c r="T78" s="279"/>
      <c r="U78" s="279"/>
    </row>
    <row r="79" spans="1:21" x14ac:dyDescent="0.2">
      <c r="A79" s="285"/>
      <c r="B79" s="283" t="s">
        <v>1608</v>
      </c>
      <c r="C79" s="283"/>
      <c r="D79" s="283" t="s">
        <v>1635</v>
      </c>
      <c r="E79" s="284">
        <v>0.37931034482758619</v>
      </c>
      <c r="F79" s="284">
        <v>0.40298507462686567</v>
      </c>
      <c r="G79" s="284">
        <v>0.55000000000000004</v>
      </c>
      <c r="H79" s="284">
        <v>0.44444444444444442</v>
      </c>
      <c r="I79" s="284">
        <v>0.32036613272311215</v>
      </c>
      <c r="J79" s="284">
        <v>0.30496453900709219</v>
      </c>
      <c r="K79" s="284">
        <v>0.6</v>
      </c>
      <c r="L79" s="284">
        <v>0.37207207207207205</v>
      </c>
      <c r="M79" s="281">
        <v>0.35444086895986282</v>
      </c>
      <c r="N79" s="280">
        <v>0.35574035508628443</v>
      </c>
      <c r="O79" s="279"/>
      <c r="P79" s="279"/>
      <c r="Q79" s="279"/>
      <c r="R79" s="279"/>
      <c r="S79" s="279"/>
      <c r="T79" s="279"/>
      <c r="U79" s="279"/>
    </row>
    <row r="80" spans="1:21" x14ac:dyDescent="0.2">
      <c r="A80" s="285"/>
      <c r="B80" s="283" t="s">
        <v>1608</v>
      </c>
      <c r="C80" s="283"/>
      <c r="D80" s="283" t="s">
        <v>1636</v>
      </c>
      <c r="E80" s="284">
        <v>0.20689655172413793</v>
      </c>
      <c r="F80" s="284">
        <v>0.17164179104477612</v>
      </c>
      <c r="G80" s="284">
        <v>0.05</v>
      </c>
      <c r="H80" s="284">
        <v>0.17777777777777778</v>
      </c>
      <c r="I80" s="284">
        <v>0.18535469107551489</v>
      </c>
      <c r="J80" s="284">
        <v>0.24113475177304963</v>
      </c>
      <c r="K80" s="284">
        <v>0</v>
      </c>
      <c r="L80" s="284">
        <v>0.1864864864864865</v>
      </c>
      <c r="M80" s="281">
        <v>0.18421450344791501</v>
      </c>
      <c r="N80" s="280">
        <v>0.18539969155604197</v>
      </c>
      <c r="O80" s="279"/>
      <c r="P80" s="279"/>
      <c r="Q80" s="279"/>
      <c r="R80" s="279"/>
      <c r="S80" s="279"/>
      <c r="T80" s="279"/>
      <c r="U80" s="279"/>
    </row>
    <row r="81" spans="1:21" x14ac:dyDescent="0.2">
      <c r="A81" s="285"/>
      <c r="B81" s="283" t="s">
        <v>1608</v>
      </c>
      <c r="C81" s="283"/>
      <c r="D81" s="283" t="s">
        <v>1637</v>
      </c>
      <c r="E81" s="284">
        <v>5.1724137931034482E-2</v>
      </c>
      <c r="F81" s="284">
        <v>5.2238805970149252E-2</v>
      </c>
      <c r="G81" s="284">
        <v>0.2</v>
      </c>
      <c r="H81" s="284">
        <v>7.6190476190476197E-2</v>
      </c>
      <c r="I81" s="284">
        <v>0.11441647597254005</v>
      </c>
      <c r="J81" s="284">
        <v>0.1276595744680851</v>
      </c>
      <c r="K81" s="284">
        <v>0</v>
      </c>
      <c r="L81" s="284">
        <v>9.5495495495495492E-2</v>
      </c>
      <c r="M81" s="281">
        <v>0.1024709746635467</v>
      </c>
      <c r="N81" s="280">
        <v>9.9819338149595607E-2</v>
      </c>
      <c r="O81" s="279"/>
      <c r="P81" s="279"/>
      <c r="Q81" s="279"/>
      <c r="R81" s="279"/>
      <c r="S81" s="279"/>
      <c r="T81" s="279"/>
      <c r="U81" s="279"/>
    </row>
    <row r="82" spans="1:21" x14ac:dyDescent="0.2">
      <c r="A82" s="285"/>
      <c r="B82" s="283" t="s">
        <v>1608</v>
      </c>
      <c r="C82" s="283"/>
      <c r="D82" s="283" t="s">
        <v>1638</v>
      </c>
      <c r="E82" s="284">
        <v>0.15517241379310345</v>
      </c>
      <c r="F82" s="284">
        <v>0.2537313432835821</v>
      </c>
      <c r="G82" s="284">
        <v>0.2</v>
      </c>
      <c r="H82" s="284">
        <v>0.18412698412698414</v>
      </c>
      <c r="I82" s="284">
        <v>0.2791762013729977</v>
      </c>
      <c r="J82" s="284">
        <v>0.29078014184397161</v>
      </c>
      <c r="K82" s="284">
        <v>0</v>
      </c>
      <c r="L82" s="284">
        <v>0.24144144144144145</v>
      </c>
      <c r="M82" s="281">
        <v>0.25482805667082714</v>
      </c>
      <c r="N82" s="280">
        <v>0.24962082488081996</v>
      </c>
      <c r="O82" s="279"/>
      <c r="P82" s="279"/>
      <c r="Q82" s="279"/>
      <c r="R82" s="279"/>
      <c r="S82" s="279"/>
      <c r="T82" s="279"/>
      <c r="U82" s="279"/>
    </row>
    <row r="83" spans="1:21" x14ac:dyDescent="0.2">
      <c r="A83" s="285"/>
      <c r="B83" s="283" t="s">
        <v>1608</v>
      </c>
      <c r="C83" s="283"/>
      <c r="D83" s="283" t="s">
        <v>1629</v>
      </c>
      <c r="E83" s="282">
        <v>0.99999999999999989</v>
      </c>
      <c r="F83" s="282">
        <v>1</v>
      </c>
      <c r="G83" s="282">
        <v>1</v>
      </c>
      <c r="H83" s="282">
        <v>1</v>
      </c>
      <c r="I83" s="282">
        <v>1</v>
      </c>
      <c r="J83" s="282">
        <v>0.99999999999999989</v>
      </c>
      <c r="K83" s="282">
        <v>1</v>
      </c>
      <c r="L83" s="282">
        <v>1</v>
      </c>
      <c r="M83" s="281">
        <v>1</v>
      </c>
      <c r="N83" s="280">
        <v>1</v>
      </c>
      <c r="O83" s="279"/>
      <c r="P83" s="279"/>
      <c r="Q83" s="279"/>
      <c r="R83" s="279"/>
      <c r="S83" s="279"/>
      <c r="T83" s="279"/>
      <c r="U83" s="279"/>
    </row>
    <row r="84" spans="1:21" x14ac:dyDescent="0.2">
      <c r="A84" s="285"/>
      <c r="B84" s="283"/>
      <c r="C84" s="283"/>
      <c r="D84" s="283"/>
      <c r="E84" s="282"/>
      <c r="F84" s="282"/>
      <c r="G84" s="282"/>
      <c r="H84" s="282"/>
      <c r="I84" s="282"/>
      <c r="J84" s="282"/>
      <c r="K84" s="282"/>
      <c r="L84" s="282"/>
      <c r="M84" s="281"/>
      <c r="N84" s="280"/>
      <c r="O84" s="279"/>
      <c r="P84" s="279"/>
      <c r="Q84" s="279"/>
      <c r="R84" s="279"/>
      <c r="S84" s="279"/>
      <c r="T84" s="279"/>
      <c r="U84" s="279"/>
    </row>
    <row r="85" spans="1:21" x14ac:dyDescent="0.2">
      <c r="A85" s="285" t="s">
        <v>1639</v>
      </c>
      <c r="B85" s="283" t="s">
        <v>1606</v>
      </c>
      <c r="C85" s="291">
        <v>1</v>
      </c>
      <c r="D85" s="291" t="s">
        <v>1640</v>
      </c>
      <c r="E85" s="289">
        <v>25</v>
      </c>
      <c r="F85" s="289">
        <v>47</v>
      </c>
      <c r="G85" s="289">
        <v>7</v>
      </c>
      <c r="H85" s="289">
        <v>144</v>
      </c>
      <c r="I85" s="289">
        <v>161</v>
      </c>
      <c r="J85" s="289">
        <v>58</v>
      </c>
      <c r="K85" s="289">
        <v>3</v>
      </c>
      <c r="L85" s="289">
        <v>445</v>
      </c>
      <c r="M85" s="288"/>
      <c r="N85" s="287"/>
      <c r="O85" s="279"/>
      <c r="P85" s="279"/>
      <c r="Q85" s="279"/>
      <c r="R85" s="279"/>
      <c r="S85" s="279"/>
      <c r="T85" s="279"/>
      <c r="U85" s="279"/>
    </row>
    <row r="86" spans="1:21" x14ac:dyDescent="0.2">
      <c r="A86" s="285"/>
      <c r="B86" s="283" t="s">
        <v>1606</v>
      </c>
      <c r="C86" s="291">
        <v>2</v>
      </c>
      <c r="D86" s="291" t="s">
        <v>1641</v>
      </c>
      <c r="E86" s="289">
        <v>28</v>
      </c>
      <c r="F86" s="289">
        <v>66</v>
      </c>
      <c r="G86" s="289">
        <v>9</v>
      </c>
      <c r="H86" s="289">
        <v>142</v>
      </c>
      <c r="I86" s="289">
        <v>255</v>
      </c>
      <c r="J86" s="289">
        <v>70</v>
      </c>
      <c r="K86" s="289">
        <v>1</v>
      </c>
      <c r="L86" s="289">
        <v>571</v>
      </c>
      <c r="M86" s="288"/>
      <c r="N86" s="287"/>
      <c r="O86" s="279"/>
      <c r="P86" s="279"/>
      <c r="Q86" s="279"/>
      <c r="R86" s="279"/>
      <c r="S86" s="279"/>
      <c r="T86" s="279"/>
      <c r="U86" s="279"/>
    </row>
    <row r="87" spans="1:21" x14ac:dyDescent="0.2">
      <c r="A87" s="285"/>
      <c r="B87" s="283" t="s">
        <v>1606</v>
      </c>
      <c r="C87" s="291">
        <v>3</v>
      </c>
      <c r="D87" s="291" t="s">
        <v>1627</v>
      </c>
      <c r="E87" s="289">
        <v>8</v>
      </c>
      <c r="F87" s="289">
        <v>30</v>
      </c>
      <c r="G87" s="289">
        <v>5</v>
      </c>
      <c r="H87" s="289">
        <v>54</v>
      </c>
      <c r="I87" s="289">
        <v>45</v>
      </c>
      <c r="J87" s="289">
        <v>19</v>
      </c>
      <c r="K87" s="289">
        <v>1</v>
      </c>
      <c r="L87" s="289">
        <v>162</v>
      </c>
      <c r="M87" s="288"/>
      <c r="N87" s="287"/>
      <c r="O87" s="279"/>
      <c r="P87" s="279"/>
      <c r="Q87" s="279"/>
      <c r="R87" s="279"/>
      <c r="S87" s="279"/>
      <c r="T87" s="279"/>
      <c r="U87" s="279"/>
    </row>
    <row r="88" spans="1:21" x14ac:dyDescent="0.2">
      <c r="A88" s="285"/>
      <c r="B88" s="283" t="s">
        <v>1606</v>
      </c>
      <c r="C88" s="292" t="s">
        <v>563</v>
      </c>
      <c r="D88" s="291" t="s">
        <v>1628</v>
      </c>
      <c r="E88" s="289">
        <v>121</v>
      </c>
      <c r="F88" s="289">
        <v>763</v>
      </c>
      <c r="G88" s="289">
        <v>93</v>
      </c>
      <c r="H88" s="289">
        <v>447</v>
      </c>
      <c r="I88" s="289">
        <v>690</v>
      </c>
      <c r="J88" s="289">
        <v>212</v>
      </c>
      <c r="K88" s="289">
        <v>10</v>
      </c>
      <c r="L88" s="289">
        <v>2336</v>
      </c>
      <c r="M88" s="288"/>
      <c r="N88" s="287"/>
      <c r="O88" s="279"/>
      <c r="P88" s="279"/>
      <c r="Q88" s="279"/>
      <c r="R88" s="279"/>
      <c r="S88" s="279"/>
      <c r="T88" s="279"/>
      <c r="U88" s="279"/>
    </row>
    <row r="89" spans="1:21" x14ac:dyDescent="0.2">
      <c r="A89" s="285"/>
      <c r="B89" s="283" t="s">
        <v>1606</v>
      </c>
      <c r="C89" s="291"/>
      <c r="D89" s="291" t="s">
        <v>616</v>
      </c>
      <c r="E89" s="290">
        <v>182</v>
      </c>
      <c r="F89" s="290">
        <v>906</v>
      </c>
      <c r="G89" s="290">
        <v>114</v>
      </c>
      <c r="H89" s="290">
        <v>787</v>
      </c>
      <c r="I89" s="290">
        <v>1151</v>
      </c>
      <c r="J89" s="290">
        <v>359</v>
      </c>
      <c r="K89" s="290">
        <v>15</v>
      </c>
      <c r="L89" s="289">
        <v>3514</v>
      </c>
      <c r="M89" s="288"/>
      <c r="N89" s="287"/>
      <c r="O89" s="279"/>
      <c r="P89" s="279"/>
      <c r="Q89" s="279"/>
      <c r="R89" s="279"/>
      <c r="S89" s="279"/>
      <c r="T89" s="279"/>
      <c r="U89" s="279"/>
    </row>
    <row r="90" spans="1:21" x14ac:dyDescent="0.2">
      <c r="A90" s="285"/>
      <c r="B90" s="283" t="s">
        <v>1606</v>
      </c>
      <c r="C90" s="291"/>
      <c r="D90" s="291" t="s">
        <v>1629</v>
      </c>
      <c r="E90" s="290">
        <v>53</v>
      </c>
      <c r="F90" s="290">
        <v>113</v>
      </c>
      <c r="G90" s="290">
        <v>16</v>
      </c>
      <c r="H90" s="290">
        <v>286</v>
      </c>
      <c r="I90" s="290">
        <v>416</v>
      </c>
      <c r="J90" s="290">
        <v>128</v>
      </c>
      <c r="K90" s="290">
        <v>4</v>
      </c>
      <c r="L90" s="289">
        <v>1016</v>
      </c>
      <c r="M90" s="288"/>
      <c r="N90" s="287"/>
      <c r="O90" s="286">
        <v>0.11122047244094488</v>
      </c>
      <c r="P90" s="286">
        <v>1.5748031496062992E-2</v>
      </c>
      <c r="Q90" s="286">
        <v>0.28149606299212598</v>
      </c>
      <c r="R90" s="286">
        <v>0.40944881889763779</v>
      </c>
      <c r="S90" s="286">
        <v>0.12598425196850394</v>
      </c>
      <c r="T90" s="286">
        <v>3.937007874015748E-3</v>
      </c>
      <c r="U90" s="286">
        <v>0.94783464566929132</v>
      </c>
    </row>
    <row r="91" spans="1:21" x14ac:dyDescent="0.2">
      <c r="A91" s="285"/>
      <c r="B91" s="283" t="s">
        <v>1608</v>
      </c>
      <c r="C91" s="283"/>
      <c r="D91" s="283" t="s">
        <v>1640</v>
      </c>
      <c r="E91" s="284">
        <v>0.47169811320754718</v>
      </c>
      <c r="F91" s="284">
        <v>0.41592920353982299</v>
      </c>
      <c r="G91" s="284">
        <v>0.4375</v>
      </c>
      <c r="H91" s="284">
        <v>0.50349650349650354</v>
      </c>
      <c r="I91" s="284">
        <v>0.38701923076923078</v>
      </c>
      <c r="J91" s="284">
        <v>0.453125</v>
      </c>
      <c r="K91" s="284">
        <v>0.75</v>
      </c>
      <c r="L91" s="284">
        <v>0.43799212598425197</v>
      </c>
      <c r="M91" s="281">
        <v>0.4167305658437972</v>
      </c>
      <c r="N91" s="280">
        <v>0.41975130493315643</v>
      </c>
      <c r="O91" s="279"/>
      <c r="P91" s="279"/>
      <c r="Q91" s="279"/>
      <c r="R91" s="279"/>
      <c r="S91" s="279"/>
      <c r="T91" s="279"/>
      <c r="U91" s="279"/>
    </row>
    <row r="92" spans="1:21" x14ac:dyDescent="0.2">
      <c r="A92" s="285"/>
      <c r="B92" s="283" t="s">
        <v>1608</v>
      </c>
      <c r="C92" s="283"/>
      <c r="D92" s="283" t="s">
        <v>1641</v>
      </c>
      <c r="E92" s="284">
        <v>0.52830188679245282</v>
      </c>
      <c r="F92" s="284">
        <v>0.58407079646017701</v>
      </c>
      <c r="G92" s="284">
        <v>0.5625</v>
      </c>
      <c r="H92" s="284">
        <v>0.49650349650349651</v>
      </c>
      <c r="I92" s="284">
        <v>0.61298076923076927</v>
      </c>
      <c r="J92" s="284">
        <v>0.546875</v>
      </c>
      <c r="K92" s="284">
        <v>0.25</v>
      </c>
      <c r="L92" s="284">
        <v>0.56200787401574803</v>
      </c>
      <c r="M92" s="281">
        <v>0.58326943415620269</v>
      </c>
      <c r="N92" s="280">
        <v>0.58024869506684351</v>
      </c>
      <c r="O92" s="279"/>
      <c r="P92" s="279"/>
      <c r="Q92" s="279"/>
      <c r="R92" s="279"/>
      <c r="S92" s="279"/>
      <c r="T92" s="279"/>
      <c r="U92" s="279"/>
    </row>
    <row r="93" spans="1:21" x14ac:dyDescent="0.2">
      <c r="A93" s="285"/>
      <c r="B93" s="283" t="s">
        <v>1608</v>
      </c>
      <c r="C93" s="283"/>
      <c r="D93" s="283" t="s">
        <v>1629</v>
      </c>
      <c r="E93" s="282">
        <v>1</v>
      </c>
      <c r="F93" s="282">
        <v>1</v>
      </c>
      <c r="G93" s="282">
        <v>1</v>
      </c>
      <c r="H93" s="282">
        <v>1</v>
      </c>
      <c r="I93" s="282">
        <v>1</v>
      </c>
      <c r="J93" s="282">
        <v>1</v>
      </c>
      <c r="K93" s="282">
        <v>1</v>
      </c>
      <c r="L93" s="282">
        <v>1</v>
      </c>
      <c r="M93" s="281">
        <v>0.99999999999999989</v>
      </c>
      <c r="N93" s="280">
        <v>1</v>
      </c>
      <c r="O93" s="279"/>
      <c r="P93" s="279"/>
      <c r="Q93" s="279"/>
      <c r="R93" s="279"/>
      <c r="S93" s="279"/>
      <c r="T93" s="279"/>
      <c r="U93" s="279"/>
    </row>
    <row r="94" spans="1:21" x14ac:dyDescent="0.2">
      <c r="A94" s="285"/>
      <c r="B94" s="283"/>
      <c r="C94" s="283"/>
      <c r="D94" s="283"/>
      <c r="E94" s="282"/>
      <c r="F94" s="282"/>
      <c r="G94" s="282"/>
      <c r="H94" s="282"/>
      <c r="I94" s="282"/>
      <c r="J94" s="282"/>
      <c r="K94" s="282"/>
      <c r="L94" s="282"/>
      <c r="M94" s="281"/>
      <c r="N94" s="280"/>
      <c r="O94" s="279"/>
      <c r="P94" s="279"/>
      <c r="Q94" s="279"/>
      <c r="R94" s="279"/>
      <c r="S94" s="279"/>
      <c r="T94" s="279"/>
      <c r="U94" s="279"/>
    </row>
    <row r="95" spans="1:21" x14ac:dyDescent="0.2">
      <c r="A95" s="285" t="s">
        <v>1642</v>
      </c>
      <c r="B95" s="283" t="s">
        <v>1606</v>
      </c>
      <c r="C95" s="291">
        <v>1</v>
      </c>
      <c r="D95" s="291" t="s">
        <v>1643</v>
      </c>
      <c r="E95" s="289">
        <v>7</v>
      </c>
      <c r="F95" s="289">
        <v>16</v>
      </c>
      <c r="G95" s="289">
        <v>2</v>
      </c>
      <c r="H95" s="289">
        <v>51</v>
      </c>
      <c r="I95" s="289">
        <v>26</v>
      </c>
      <c r="J95" s="289">
        <v>7</v>
      </c>
      <c r="K95" s="289">
        <v>2</v>
      </c>
      <c r="L95" s="289">
        <v>111</v>
      </c>
      <c r="M95" s="288"/>
      <c r="N95" s="287"/>
      <c r="O95" s="279"/>
      <c r="P95" s="279"/>
      <c r="Q95" s="279"/>
      <c r="R95" s="279"/>
      <c r="S95" s="279"/>
      <c r="T95" s="279"/>
      <c r="U95" s="279"/>
    </row>
    <row r="96" spans="1:21" x14ac:dyDescent="0.2">
      <c r="A96" s="285"/>
      <c r="B96" s="283" t="s">
        <v>1606</v>
      </c>
      <c r="C96" s="291">
        <v>2</v>
      </c>
      <c r="D96" s="291" t="s">
        <v>1644</v>
      </c>
      <c r="E96" s="289">
        <v>53</v>
      </c>
      <c r="F96" s="289">
        <v>124</v>
      </c>
      <c r="G96" s="289">
        <v>17</v>
      </c>
      <c r="H96" s="289">
        <v>285</v>
      </c>
      <c r="I96" s="289">
        <v>425</v>
      </c>
      <c r="J96" s="289">
        <v>138</v>
      </c>
      <c r="K96" s="289">
        <v>3</v>
      </c>
      <c r="L96" s="289">
        <v>1045</v>
      </c>
      <c r="M96" s="288"/>
      <c r="N96" s="287"/>
      <c r="O96" s="279"/>
      <c r="P96" s="279"/>
      <c r="Q96" s="279"/>
      <c r="R96" s="279"/>
      <c r="S96" s="279"/>
      <c r="T96" s="279"/>
      <c r="U96" s="279"/>
    </row>
    <row r="97" spans="1:21" x14ac:dyDescent="0.2">
      <c r="A97" s="285"/>
      <c r="B97" s="283" t="s">
        <v>1606</v>
      </c>
      <c r="C97" s="291">
        <v>3</v>
      </c>
      <c r="D97" s="291" t="s">
        <v>1645</v>
      </c>
      <c r="E97" s="289">
        <v>0</v>
      </c>
      <c r="F97" s="289">
        <v>1</v>
      </c>
      <c r="G97" s="289">
        <v>1</v>
      </c>
      <c r="H97" s="289">
        <v>1</v>
      </c>
      <c r="I97" s="289">
        <v>2</v>
      </c>
      <c r="J97" s="289">
        <v>0</v>
      </c>
      <c r="K97" s="289">
        <v>0</v>
      </c>
      <c r="L97" s="289">
        <v>5</v>
      </c>
      <c r="M97" s="288"/>
      <c r="N97" s="287"/>
      <c r="O97" s="279"/>
      <c r="P97" s="279"/>
      <c r="Q97" s="279"/>
      <c r="R97" s="279"/>
      <c r="S97" s="279"/>
      <c r="T97" s="279"/>
      <c r="U97" s="279"/>
    </row>
    <row r="98" spans="1:21" x14ac:dyDescent="0.2">
      <c r="A98" s="285"/>
      <c r="B98" s="283" t="s">
        <v>1606</v>
      </c>
      <c r="C98" s="292" t="s">
        <v>563</v>
      </c>
      <c r="D98" s="291" t="s">
        <v>1628</v>
      </c>
      <c r="E98" s="289">
        <v>122</v>
      </c>
      <c r="F98" s="289">
        <v>765</v>
      </c>
      <c r="G98" s="289">
        <v>94</v>
      </c>
      <c r="H98" s="289">
        <v>450</v>
      </c>
      <c r="I98" s="289">
        <v>698</v>
      </c>
      <c r="J98" s="289">
        <v>214</v>
      </c>
      <c r="K98" s="289">
        <v>10</v>
      </c>
      <c r="L98" s="289">
        <v>2353</v>
      </c>
      <c r="M98" s="288"/>
      <c r="N98" s="287"/>
      <c r="O98" s="279"/>
      <c r="P98" s="279"/>
      <c r="Q98" s="279"/>
      <c r="R98" s="279"/>
      <c r="S98" s="279"/>
      <c r="T98" s="279"/>
      <c r="U98" s="279"/>
    </row>
    <row r="99" spans="1:21" x14ac:dyDescent="0.2">
      <c r="A99" s="285"/>
      <c r="B99" s="283" t="s">
        <v>1606</v>
      </c>
      <c r="C99" s="291"/>
      <c r="D99" s="291" t="s">
        <v>616</v>
      </c>
      <c r="E99" s="290">
        <v>182</v>
      </c>
      <c r="F99" s="290">
        <v>906</v>
      </c>
      <c r="G99" s="290">
        <v>114</v>
      </c>
      <c r="H99" s="290">
        <v>787</v>
      </c>
      <c r="I99" s="290">
        <v>1151</v>
      </c>
      <c r="J99" s="290">
        <v>359</v>
      </c>
      <c r="K99" s="290">
        <v>15</v>
      </c>
      <c r="L99" s="289">
        <v>3514</v>
      </c>
      <c r="M99" s="288"/>
      <c r="N99" s="287"/>
      <c r="O99" s="279"/>
      <c r="P99" s="279"/>
      <c r="Q99" s="279"/>
      <c r="R99" s="279"/>
      <c r="S99" s="279"/>
      <c r="T99" s="279"/>
      <c r="U99" s="279"/>
    </row>
    <row r="100" spans="1:21" x14ac:dyDescent="0.2">
      <c r="A100" s="285"/>
      <c r="B100" s="283" t="s">
        <v>1606</v>
      </c>
      <c r="C100" s="291"/>
      <c r="D100" s="291" t="s">
        <v>1629</v>
      </c>
      <c r="E100" s="290">
        <v>60</v>
      </c>
      <c r="F100" s="290">
        <v>141</v>
      </c>
      <c r="G100" s="290">
        <v>20</v>
      </c>
      <c r="H100" s="290">
        <v>337</v>
      </c>
      <c r="I100" s="290">
        <v>453</v>
      </c>
      <c r="J100" s="290">
        <v>145</v>
      </c>
      <c r="K100" s="290">
        <v>5</v>
      </c>
      <c r="L100" s="289">
        <v>1161</v>
      </c>
      <c r="M100" s="288"/>
      <c r="N100" s="287"/>
      <c r="O100" s="286">
        <v>0.12144702842377261</v>
      </c>
      <c r="P100" s="286">
        <v>1.7226528854435832E-2</v>
      </c>
      <c r="Q100" s="286">
        <v>0.29026701119724374</v>
      </c>
      <c r="R100" s="286">
        <v>0.39018087855297157</v>
      </c>
      <c r="S100" s="286">
        <v>0.12489233419465978</v>
      </c>
      <c r="T100" s="286">
        <v>4.3066322136089581E-3</v>
      </c>
      <c r="U100" s="286">
        <v>0.94832041343669249</v>
      </c>
    </row>
    <row r="101" spans="1:21" x14ac:dyDescent="0.2">
      <c r="A101" s="285"/>
      <c r="B101" s="283" t="s">
        <v>1608</v>
      </c>
      <c r="C101" s="283"/>
      <c r="D101" s="283" t="s">
        <v>1643</v>
      </c>
      <c r="E101" s="284">
        <v>0.11666666666666667</v>
      </c>
      <c r="F101" s="284">
        <v>0.11347517730496454</v>
      </c>
      <c r="G101" s="284">
        <v>0.1</v>
      </c>
      <c r="H101" s="284">
        <v>0.1513353115727003</v>
      </c>
      <c r="I101" s="284">
        <v>5.7395143487858721E-2</v>
      </c>
      <c r="J101" s="284">
        <v>4.8275862068965517E-2</v>
      </c>
      <c r="K101" s="284">
        <v>0.4</v>
      </c>
      <c r="L101" s="284">
        <v>9.5607235142118857E-2</v>
      </c>
      <c r="M101" s="281">
        <v>8.4069454709175512E-2</v>
      </c>
      <c r="N101" s="280">
        <v>8.5754065146255151E-2</v>
      </c>
      <c r="O101" s="279"/>
      <c r="P101" s="279"/>
      <c r="Q101" s="279"/>
      <c r="R101" s="279"/>
      <c r="S101" s="279"/>
      <c r="T101" s="279"/>
      <c r="U101" s="279"/>
    </row>
    <row r="102" spans="1:21" x14ac:dyDescent="0.2">
      <c r="A102" s="285"/>
      <c r="B102" s="283" t="s">
        <v>1608</v>
      </c>
      <c r="C102" s="283"/>
      <c r="D102" s="283" t="s">
        <v>1644</v>
      </c>
      <c r="E102" s="284">
        <v>0.8833333333333333</v>
      </c>
      <c r="F102" s="284">
        <v>0.87943262411347523</v>
      </c>
      <c r="G102" s="284">
        <v>0.85</v>
      </c>
      <c r="H102" s="284">
        <v>0.8456973293768546</v>
      </c>
      <c r="I102" s="284">
        <v>0.9381898454746137</v>
      </c>
      <c r="J102" s="284">
        <v>0.9517241379310345</v>
      </c>
      <c r="K102" s="284">
        <v>0.6</v>
      </c>
      <c r="L102" s="284">
        <v>0.90008613264427217</v>
      </c>
      <c r="M102" s="281">
        <v>0.91186294132563162</v>
      </c>
      <c r="N102" s="280">
        <v>0.91038854297977645</v>
      </c>
      <c r="O102" s="279"/>
      <c r="P102" s="279"/>
      <c r="Q102" s="279"/>
      <c r="R102" s="279"/>
      <c r="S102" s="279"/>
      <c r="T102" s="279"/>
      <c r="U102" s="279"/>
    </row>
    <row r="103" spans="1:21" x14ac:dyDescent="0.2">
      <c r="A103" s="285"/>
      <c r="B103" s="283"/>
      <c r="C103" s="283"/>
      <c r="D103" s="283" t="s">
        <v>1645</v>
      </c>
      <c r="E103" s="284">
        <v>0</v>
      </c>
      <c r="F103" s="284">
        <v>7.0921985815602835E-3</v>
      </c>
      <c r="G103" s="284">
        <v>0.05</v>
      </c>
      <c r="H103" s="284">
        <v>2.967359050445104E-3</v>
      </c>
      <c r="I103" s="284">
        <v>4.4150110375275938E-3</v>
      </c>
      <c r="J103" s="284">
        <v>0</v>
      </c>
      <c r="K103" s="284">
        <v>0</v>
      </c>
      <c r="L103" s="284">
        <v>4.3066322136089581E-3</v>
      </c>
      <c r="M103" s="281">
        <v>4.0676039651929164E-3</v>
      </c>
      <c r="N103" s="280">
        <v>3.8573918739684761E-3</v>
      </c>
      <c r="O103" s="279"/>
      <c r="P103" s="279"/>
      <c r="Q103" s="279"/>
      <c r="R103" s="279"/>
      <c r="S103" s="279"/>
      <c r="T103" s="279"/>
      <c r="U103" s="279"/>
    </row>
    <row r="104" spans="1:21" x14ac:dyDescent="0.2">
      <c r="A104" s="285"/>
      <c r="B104" s="283" t="s">
        <v>1608</v>
      </c>
      <c r="C104" s="283"/>
      <c r="D104" s="283" t="s">
        <v>1629</v>
      </c>
      <c r="E104" s="282">
        <v>1</v>
      </c>
      <c r="F104" s="282">
        <v>0.99290780141843982</v>
      </c>
      <c r="G104" s="282">
        <v>0.95</v>
      </c>
      <c r="H104" s="282">
        <v>0.9970326409495549</v>
      </c>
      <c r="I104" s="282">
        <v>0.99558498896247238</v>
      </c>
      <c r="J104" s="282">
        <v>1</v>
      </c>
      <c r="K104" s="282">
        <v>1</v>
      </c>
      <c r="L104" s="282">
        <v>0.99569336778639106</v>
      </c>
      <c r="M104" s="281">
        <v>1</v>
      </c>
      <c r="N104" s="280">
        <v>1</v>
      </c>
      <c r="O104" s="279"/>
      <c r="P104" s="279"/>
      <c r="Q104" s="279"/>
      <c r="R104" s="279"/>
      <c r="S104" s="279"/>
      <c r="T104" s="279"/>
      <c r="U104" s="279"/>
    </row>
    <row r="105" spans="1:21" x14ac:dyDescent="0.2">
      <c r="B105" s="278"/>
      <c r="F105" s="315"/>
      <c r="G105" s="315"/>
      <c r="H105" s="315"/>
      <c r="I105" s="315"/>
      <c r="J105" s="315"/>
      <c r="K105" s="315"/>
      <c r="L105" s="315"/>
      <c r="M105" s="288"/>
      <c r="N105" s="287"/>
      <c r="O105" s="279"/>
      <c r="P105" s="279"/>
      <c r="Q105" s="279"/>
      <c r="R105" s="279"/>
      <c r="S105" s="279"/>
      <c r="T105" s="279"/>
      <c r="U105" s="279"/>
    </row>
    <row r="106" spans="1:21" x14ac:dyDescent="0.2">
      <c r="A106" s="285" t="s">
        <v>1646</v>
      </c>
      <c r="B106" s="283" t="s">
        <v>1606</v>
      </c>
      <c r="C106" s="291">
        <v>1</v>
      </c>
      <c r="D106" s="291" t="s">
        <v>1647</v>
      </c>
      <c r="E106" s="289">
        <v>1</v>
      </c>
      <c r="F106" s="289">
        <v>7</v>
      </c>
      <c r="G106" s="289">
        <v>0</v>
      </c>
      <c r="H106" s="289">
        <v>13</v>
      </c>
      <c r="I106" s="289">
        <v>15</v>
      </c>
      <c r="J106" s="289">
        <v>6</v>
      </c>
      <c r="K106" s="289">
        <v>1</v>
      </c>
      <c r="L106" s="289">
        <v>43</v>
      </c>
      <c r="M106" s="288"/>
      <c r="N106" s="287"/>
      <c r="O106" s="279"/>
      <c r="P106" s="279"/>
      <c r="Q106" s="279"/>
      <c r="R106" s="279"/>
      <c r="S106" s="279"/>
      <c r="T106" s="279"/>
      <c r="U106" s="279"/>
    </row>
    <row r="107" spans="1:21" x14ac:dyDescent="0.2">
      <c r="A107" s="317"/>
      <c r="B107" s="283" t="s">
        <v>1606</v>
      </c>
      <c r="C107" s="291">
        <v>2</v>
      </c>
      <c r="D107" s="291" t="s">
        <v>1648</v>
      </c>
      <c r="E107" s="289">
        <v>6</v>
      </c>
      <c r="F107" s="289">
        <v>14</v>
      </c>
      <c r="G107" s="289">
        <v>2</v>
      </c>
      <c r="H107" s="289">
        <v>25</v>
      </c>
      <c r="I107" s="289">
        <v>42</v>
      </c>
      <c r="J107" s="289">
        <v>16</v>
      </c>
      <c r="K107" s="289">
        <v>0</v>
      </c>
      <c r="L107" s="289">
        <v>105</v>
      </c>
      <c r="M107" s="288"/>
      <c r="N107" s="287"/>
      <c r="O107" s="279"/>
      <c r="P107" s="279"/>
      <c r="Q107" s="279"/>
      <c r="R107" s="279"/>
      <c r="S107" s="279"/>
      <c r="T107" s="279"/>
      <c r="U107" s="279"/>
    </row>
    <row r="108" spans="1:21" x14ac:dyDescent="0.2">
      <c r="A108" s="285"/>
      <c r="B108" s="283" t="s">
        <v>1606</v>
      </c>
      <c r="C108" s="291">
        <v>3</v>
      </c>
      <c r="D108" s="291" t="s">
        <v>1649</v>
      </c>
      <c r="E108" s="289">
        <v>29</v>
      </c>
      <c r="F108" s="289">
        <v>83</v>
      </c>
      <c r="G108" s="289">
        <v>15</v>
      </c>
      <c r="H108" s="289">
        <v>237</v>
      </c>
      <c r="I108" s="289">
        <v>260</v>
      </c>
      <c r="J108" s="289">
        <v>86</v>
      </c>
      <c r="K108" s="289">
        <v>4</v>
      </c>
      <c r="L108" s="289">
        <v>714</v>
      </c>
      <c r="M108" s="288"/>
      <c r="N108" s="287"/>
      <c r="O108" s="279"/>
      <c r="P108" s="279"/>
      <c r="Q108" s="279"/>
      <c r="R108" s="279"/>
      <c r="S108" s="279"/>
      <c r="T108" s="279"/>
      <c r="U108" s="279"/>
    </row>
    <row r="109" spans="1:21" x14ac:dyDescent="0.2">
      <c r="A109" s="285"/>
      <c r="B109" s="283" t="s">
        <v>1606</v>
      </c>
      <c r="C109" s="291">
        <v>4</v>
      </c>
      <c r="D109" s="291" t="s">
        <v>1650</v>
      </c>
      <c r="E109" s="289">
        <v>0</v>
      </c>
      <c r="F109" s="289">
        <v>2</v>
      </c>
      <c r="G109" s="289">
        <v>0</v>
      </c>
      <c r="H109" s="289">
        <v>7</v>
      </c>
      <c r="I109" s="289">
        <v>6</v>
      </c>
      <c r="J109" s="289">
        <v>2</v>
      </c>
      <c r="K109" s="289">
        <v>0</v>
      </c>
      <c r="L109" s="289">
        <v>17</v>
      </c>
      <c r="M109" s="288"/>
      <c r="N109" s="287"/>
      <c r="O109" s="279"/>
      <c r="P109" s="279"/>
      <c r="Q109" s="279"/>
      <c r="R109" s="279"/>
      <c r="S109" s="279"/>
      <c r="T109" s="279"/>
      <c r="U109" s="279"/>
    </row>
    <row r="110" spans="1:21" x14ac:dyDescent="0.2">
      <c r="A110" s="285"/>
      <c r="B110" s="283" t="s">
        <v>1606</v>
      </c>
      <c r="C110" s="291">
        <v>5</v>
      </c>
      <c r="D110" s="291" t="s">
        <v>1651</v>
      </c>
      <c r="E110" s="289">
        <v>9</v>
      </c>
      <c r="F110" s="289">
        <v>17</v>
      </c>
      <c r="G110" s="289">
        <v>2</v>
      </c>
      <c r="H110" s="289">
        <v>22</v>
      </c>
      <c r="I110" s="289">
        <v>51</v>
      </c>
      <c r="J110" s="289">
        <v>10</v>
      </c>
      <c r="K110" s="289">
        <v>0</v>
      </c>
      <c r="L110" s="289">
        <v>111</v>
      </c>
      <c r="M110" s="288"/>
      <c r="N110" s="287"/>
      <c r="O110" s="279"/>
      <c r="P110" s="279"/>
      <c r="Q110" s="279"/>
      <c r="R110" s="279"/>
      <c r="S110" s="279"/>
      <c r="T110" s="279"/>
      <c r="U110" s="279"/>
    </row>
    <row r="111" spans="1:21" x14ac:dyDescent="0.2">
      <c r="A111" s="285"/>
      <c r="B111" s="283" t="s">
        <v>1606</v>
      </c>
      <c r="C111" s="291">
        <v>6</v>
      </c>
      <c r="D111" s="291" t="s">
        <v>1652</v>
      </c>
      <c r="E111" s="289">
        <v>10</v>
      </c>
      <c r="F111" s="289">
        <v>13</v>
      </c>
      <c r="G111" s="289">
        <v>1</v>
      </c>
      <c r="H111" s="289">
        <v>25</v>
      </c>
      <c r="I111" s="289">
        <v>71</v>
      </c>
      <c r="J111" s="289">
        <v>22</v>
      </c>
      <c r="K111" s="289">
        <v>0</v>
      </c>
      <c r="L111" s="289">
        <v>142</v>
      </c>
      <c r="M111" s="288"/>
      <c r="N111" s="287"/>
      <c r="O111" s="279"/>
      <c r="P111" s="279"/>
      <c r="Q111" s="279"/>
      <c r="R111" s="279"/>
      <c r="S111" s="279"/>
      <c r="T111" s="279"/>
      <c r="U111" s="279"/>
    </row>
    <row r="112" spans="1:21" x14ac:dyDescent="0.2">
      <c r="A112" s="285"/>
      <c r="B112" s="283" t="s">
        <v>1606</v>
      </c>
      <c r="C112" s="291">
        <v>7</v>
      </c>
      <c r="D112" s="291" t="s">
        <v>1653</v>
      </c>
      <c r="E112" s="289">
        <v>2</v>
      </c>
      <c r="F112" s="289">
        <v>3</v>
      </c>
      <c r="G112" s="289">
        <v>0</v>
      </c>
      <c r="H112" s="289">
        <v>3</v>
      </c>
      <c r="I112" s="289">
        <v>3</v>
      </c>
      <c r="J112" s="289">
        <v>2</v>
      </c>
      <c r="K112" s="289">
        <v>0</v>
      </c>
      <c r="L112" s="289">
        <v>13</v>
      </c>
      <c r="M112" s="288"/>
      <c r="N112" s="287"/>
      <c r="O112" s="279"/>
      <c r="P112" s="279"/>
      <c r="Q112" s="279"/>
      <c r="R112" s="279"/>
      <c r="S112" s="279"/>
      <c r="T112" s="279"/>
      <c r="U112" s="279"/>
    </row>
    <row r="113" spans="1:21" x14ac:dyDescent="0.2">
      <c r="A113" s="285"/>
      <c r="B113" s="283" t="s">
        <v>1606</v>
      </c>
      <c r="C113" s="291">
        <v>8</v>
      </c>
      <c r="D113" s="291" t="s">
        <v>1627</v>
      </c>
      <c r="E113" s="289">
        <v>0</v>
      </c>
      <c r="F113" s="289">
        <v>1</v>
      </c>
      <c r="G113" s="289">
        <v>0</v>
      </c>
      <c r="H113" s="289">
        <v>0</v>
      </c>
      <c r="I113" s="289">
        <v>4</v>
      </c>
      <c r="J113" s="289">
        <v>0</v>
      </c>
      <c r="K113" s="289">
        <v>0</v>
      </c>
      <c r="L113" s="289">
        <v>5</v>
      </c>
      <c r="M113" s="288"/>
      <c r="N113" s="287"/>
      <c r="O113" s="279"/>
      <c r="P113" s="279"/>
      <c r="Q113" s="279"/>
      <c r="R113" s="279"/>
      <c r="S113" s="279"/>
      <c r="T113" s="279"/>
      <c r="U113" s="279"/>
    </row>
    <row r="114" spans="1:21" x14ac:dyDescent="0.2">
      <c r="A114" s="285"/>
      <c r="B114" s="283" t="s">
        <v>1606</v>
      </c>
      <c r="C114" s="291">
        <v>9</v>
      </c>
      <c r="D114" s="291" t="s">
        <v>1654</v>
      </c>
      <c r="E114" s="289">
        <v>2</v>
      </c>
      <c r="F114" s="289">
        <v>0</v>
      </c>
      <c r="G114" s="289">
        <v>0</v>
      </c>
      <c r="H114" s="289">
        <v>0</v>
      </c>
      <c r="I114" s="289">
        <v>0</v>
      </c>
      <c r="J114" s="289">
        <v>0</v>
      </c>
      <c r="K114" s="289">
        <v>0</v>
      </c>
      <c r="L114" s="289">
        <v>2</v>
      </c>
      <c r="M114" s="288"/>
      <c r="N114" s="287"/>
      <c r="O114" s="279"/>
      <c r="P114" s="279"/>
      <c r="Q114" s="279"/>
      <c r="R114" s="279"/>
      <c r="S114" s="279"/>
      <c r="T114" s="279"/>
      <c r="U114" s="279"/>
    </row>
    <row r="115" spans="1:21" x14ac:dyDescent="0.2">
      <c r="A115" s="285"/>
      <c r="B115" s="283" t="s">
        <v>1606</v>
      </c>
      <c r="C115" s="292" t="s">
        <v>563</v>
      </c>
      <c r="D115" s="291" t="s">
        <v>1628</v>
      </c>
      <c r="E115" s="289">
        <v>123</v>
      </c>
      <c r="F115" s="289">
        <v>766</v>
      </c>
      <c r="G115" s="289">
        <v>94</v>
      </c>
      <c r="H115" s="289">
        <v>455</v>
      </c>
      <c r="I115" s="289">
        <v>699</v>
      </c>
      <c r="J115" s="289">
        <v>215</v>
      </c>
      <c r="K115" s="289">
        <v>10</v>
      </c>
      <c r="L115" s="289">
        <v>2362</v>
      </c>
      <c r="M115" s="288"/>
      <c r="N115" s="287"/>
      <c r="O115" s="279"/>
      <c r="P115" s="279"/>
      <c r="Q115" s="279"/>
      <c r="R115" s="279"/>
      <c r="S115" s="279"/>
      <c r="T115" s="279"/>
      <c r="U115" s="279"/>
    </row>
    <row r="116" spans="1:21" x14ac:dyDescent="0.2">
      <c r="A116" s="285"/>
      <c r="B116" s="283" t="s">
        <v>1606</v>
      </c>
      <c r="C116" s="291"/>
      <c r="D116" s="291" t="s">
        <v>616</v>
      </c>
      <c r="E116" s="290">
        <v>182</v>
      </c>
      <c r="F116" s="290">
        <v>906</v>
      </c>
      <c r="G116" s="290">
        <v>114</v>
      </c>
      <c r="H116" s="290">
        <v>787</v>
      </c>
      <c r="I116" s="290">
        <v>1151</v>
      </c>
      <c r="J116" s="290">
        <v>359</v>
      </c>
      <c r="K116" s="290">
        <v>15</v>
      </c>
      <c r="L116" s="289">
        <v>3514</v>
      </c>
      <c r="M116" s="288"/>
      <c r="N116" s="287"/>
      <c r="O116" s="279"/>
      <c r="P116" s="279"/>
      <c r="Q116" s="279"/>
      <c r="R116" s="279"/>
      <c r="S116" s="279"/>
      <c r="T116" s="279"/>
      <c r="U116" s="279"/>
    </row>
    <row r="117" spans="1:21" x14ac:dyDescent="0.2">
      <c r="A117" s="285"/>
      <c r="B117" s="283" t="s">
        <v>1606</v>
      </c>
      <c r="C117" s="291"/>
      <c r="D117" s="291" t="s">
        <v>1629</v>
      </c>
      <c r="E117" s="290">
        <v>57</v>
      </c>
      <c r="F117" s="290">
        <v>139</v>
      </c>
      <c r="G117" s="290">
        <v>20</v>
      </c>
      <c r="H117" s="290">
        <v>332</v>
      </c>
      <c r="I117" s="290">
        <v>448</v>
      </c>
      <c r="J117" s="290">
        <v>144</v>
      </c>
      <c r="K117" s="290">
        <v>5</v>
      </c>
      <c r="L117" s="289">
        <v>1145</v>
      </c>
      <c r="M117" s="288"/>
      <c r="N117" s="287"/>
      <c r="O117" s="286">
        <v>0.12139737991266375</v>
      </c>
      <c r="P117" s="286">
        <v>1.7467248908296942E-2</v>
      </c>
      <c r="Q117" s="286">
        <v>0.28995633187772923</v>
      </c>
      <c r="R117" s="286">
        <v>0.39126637554585153</v>
      </c>
      <c r="S117" s="286">
        <v>0.125764192139738</v>
      </c>
      <c r="T117" s="286">
        <v>4.3668122270742356E-3</v>
      </c>
      <c r="U117" s="286">
        <v>0.95021834061135368</v>
      </c>
    </row>
    <row r="118" spans="1:21" x14ac:dyDescent="0.2">
      <c r="A118" s="285"/>
      <c r="B118" s="283" t="s">
        <v>1608</v>
      </c>
      <c r="C118" s="283"/>
      <c r="D118" s="283" t="s">
        <v>1647</v>
      </c>
      <c r="E118" s="284">
        <v>1.7543859649122806E-2</v>
      </c>
      <c r="F118" s="284">
        <v>5.0359712230215826E-2</v>
      </c>
      <c r="G118" s="284">
        <v>0</v>
      </c>
      <c r="H118" s="284">
        <v>3.9156626506024098E-2</v>
      </c>
      <c r="I118" s="284">
        <v>3.3482142857142856E-2</v>
      </c>
      <c r="J118" s="284">
        <v>4.1666666666666664E-2</v>
      </c>
      <c r="K118" s="284">
        <v>0.2</v>
      </c>
      <c r="L118" s="284">
        <v>3.7554585152838431E-2</v>
      </c>
      <c r="M118" s="281">
        <v>3.5916212242216854E-2</v>
      </c>
      <c r="N118" s="280">
        <v>3.5001606043259331E-2</v>
      </c>
      <c r="O118" s="279"/>
      <c r="P118" s="279"/>
      <c r="Q118" s="279"/>
      <c r="R118" s="279"/>
      <c r="S118" s="279"/>
      <c r="T118" s="279"/>
      <c r="U118" s="279"/>
    </row>
    <row r="119" spans="1:21" x14ac:dyDescent="0.2">
      <c r="A119" s="285"/>
      <c r="B119" s="283" t="s">
        <v>1608</v>
      </c>
      <c r="C119" s="283"/>
      <c r="D119" s="283" t="s">
        <v>1648</v>
      </c>
      <c r="E119" s="284">
        <v>0.10526315789473684</v>
      </c>
      <c r="F119" s="284">
        <v>0.10071942446043165</v>
      </c>
      <c r="G119" s="284">
        <v>0.1</v>
      </c>
      <c r="H119" s="284">
        <v>7.5301204819277115E-2</v>
      </c>
      <c r="I119" s="284">
        <v>9.375E-2</v>
      </c>
      <c r="J119" s="284">
        <v>0.1111111111111111</v>
      </c>
      <c r="K119" s="284">
        <v>0</v>
      </c>
      <c r="L119" s="284">
        <v>9.1703056768558958E-2</v>
      </c>
      <c r="M119" s="281">
        <v>8.9756206554042178E-2</v>
      </c>
      <c r="N119" s="280">
        <v>9.0528168323840946E-2</v>
      </c>
      <c r="O119" s="279"/>
      <c r="P119" s="279"/>
      <c r="Q119" s="279"/>
      <c r="R119" s="279"/>
      <c r="S119" s="279"/>
      <c r="T119" s="279"/>
      <c r="U119" s="279"/>
    </row>
    <row r="120" spans="1:21" x14ac:dyDescent="0.2">
      <c r="A120" s="285"/>
      <c r="B120" s="283" t="s">
        <v>1608</v>
      </c>
      <c r="C120" s="283"/>
      <c r="D120" s="283" t="s">
        <v>1649</v>
      </c>
      <c r="E120" s="284">
        <v>0.50877192982456143</v>
      </c>
      <c r="F120" s="284">
        <v>0.59712230215827333</v>
      </c>
      <c r="G120" s="284">
        <v>0.75</v>
      </c>
      <c r="H120" s="284">
        <v>0.71385542168674698</v>
      </c>
      <c r="I120" s="284">
        <v>0.5803571428571429</v>
      </c>
      <c r="J120" s="284">
        <v>0.59722222222222221</v>
      </c>
      <c r="K120" s="284">
        <v>0.8</v>
      </c>
      <c r="L120" s="284">
        <v>0.62358078602620093</v>
      </c>
      <c r="M120" s="281">
        <v>0.6158760023850155</v>
      </c>
      <c r="N120" s="280">
        <v>0.61054418392567411</v>
      </c>
      <c r="O120" s="279"/>
      <c r="P120" s="279"/>
      <c r="Q120" s="279"/>
      <c r="R120" s="279"/>
      <c r="S120" s="279"/>
      <c r="T120" s="279"/>
      <c r="U120" s="279"/>
    </row>
    <row r="121" spans="1:21" x14ac:dyDescent="0.2">
      <c r="A121" s="285"/>
      <c r="B121" s="283" t="s">
        <v>1608</v>
      </c>
      <c r="C121" s="283"/>
      <c r="D121" s="283" t="s">
        <v>1650</v>
      </c>
      <c r="E121" s="284">
        <v>0</v>
      </c>
      <c r="F121" s="284">
        <v>1.4388489208633094E-2</v>
      </c>
      <c r="G121" s="284">
        <v>0</v>
      </c>
      <c r="H121" s="284">
        <v>2.1084337349397589E-2</v>
      </c>
      <c r="I121" s="284">
        <v>1.3392857142857142E-2</v>
      </c>
      <c r="J121" s="284">
        <v>1.3888888888888888E-2</v>
      </c>
      <c r="K121" s="284">
        <v>0</v>
      </c>
      <c r="L121" s="284">
        <v>1.4847161572052401E-2</v>
      </c>
      <c r="M121" s="281">
        <v>1.5424857955158943E-2</v>
      </c>
      <c r="N121" s="280">
        <v>1.465698293031697E-2</v>
      </c>
      <c r="O121" s="279"/>
      <c r="P121" s="279"/>
      <c r="Q121" s="279"/>
      <c r="R121" s="279"/>
      <c r="S121" s="279"/>
      <c r="T121" s="279"/>
      <c r="U121" s="279"/>
    </row>
    <row r="122" spans="1:21" x14ac:dyDescent="0.2">
      <c r="A122" s="285"/>
      <c r="B122" s="283" t="s">
        <v>1608</v>
      </c>
      <c r="C122" s="283"/>
      <c r="D122" s="283" t="s">
        <v>1651</v>
      </c>
      <c r="E122" s="284">
        <v>0.15789473684210525</v>
      </c>
      <c r="F122" s="284">
        <v>0.1223021582733813</v>
      </c>
      <c r="G122" s="284">
        <v>0.1</v>
      </c>
      <c r="H122" s="284">
        <v>6.6265060240963861E-2</v>
      </c>
      <c r="I122" s="284">
        <v>0.11383928571428571</v>
      </c>
      <c r="J122" s="284">
        <v>6.9444444444444448E-2</v>
      </c>
      <c r="K122" s="284">
        <v>0</v>
      </c>
      <c r="L122" s="284">
        <v>9.6943231441048036E-2</v>
      </c>
      <c r="M122" s="281">
        <v>0.10092705221222142</v>
      </c>
      <c r="N122" s="280">
        <v>0.10376299808462612</v>
      </c>
      <c r="O122" s="279"/>
      <c r="P122" s="279"/>
      <c r="Q122" s="279"/>
      <c r="R122" s="279"/>
      <c r="S122" s="279"/>
      <c r="T122" s="279"/>
      <c r="U122" s="279"/>
    </row>
    <row r="123" spans="1:21" x14ac:dyDescent="0.2">
      <c r="A123" s="285"/>
      <c r="B123" s="283" t="s">
        <v>1608</v>
      </c>
      <c r="C123" s="283"/>
      <c r="D123" s="283" t="s">
        <v>1652</v>
      </c>
      <c r="E123" s="284">
        <v>0.17543859649122806</v>
      </c>
      <c r="F123" s="284">
        <v>9.3525179856115109E-2</v>
      </c>
      <c r="G123" s="284">
        <v>0.05</v>
      </c>
      <c r="H123" s="284">
        <v>7.5301204819277115E-2</v>
      </c>
      <c r="I123" s="284">
        <v>0.15848214285714285</v>
      </c>
      <c r="J123" s="284">
        <v>0.15277777777777779</v>
      </c>
      <c r="K123" s="284">
        <v>0</v>
      </c>
      <c r="L123" s="284">
        <v>0.1240174672489083</v>
      </c>
      <c r="M123" s="281">
        <v>0.13393781617711198</v>
      </c>
      <c r="N123" s="280">
        <v>0.13600379388707234</v>
      </c>
      <c r="O123" s="279"/>
      <c r="P123" s="279"/>
      <c r="Q123" s="279"/>
      <c r="R123" s="279"/>
      <c r="S123" s="279"/>
      <c r="T123" s="279"/>
      <c r="U123" s="279"/>
    </row>
    <row r="124" spans="1:21" x14ac:dyDescent="0.2">
      <c r="A124" s="285"/>
      <c r="B124" s="283" t="s">
        <v>1608</v>
      </c>
      <c r="C124" s="283"/>
      <c r="D124" s="283" t="s">
        <v>1653</v>
      </c>
      <c r="E124" s="284">
        <v>3.5087719298245612E-2</v>
      </c>
      <c r="F124" s="284">
        <v>2.1582733812949641E-2</v>
      </c>
      <c r="G124" s="284">
        <v>0</v>
      </c>
      <c r="H124" s="284">
        <v>9.0361445783132526E-3</v>
      </c>
      <c r="I124" s="284">
        <v>6.6964285714285711E-3</v>
      </c>
      <c r="J124" s="284">
        <v>1.3888888888888888E-2</v>
      </c>
      <c r="K124" s="284">
        <v>0</v>
      </c>
      <c r="L124" s="284">
        <v>1.1353711790393014E-2</v>
      </c>
      <c r="M124" s="281">
        <v>8.1618524742331448E-3</v>
      </c>
      <c r="N124" s="280">
        <v>9.5022668052101855E-3</v>
      </c>
      <c r="O124" s="279"/>
      <c r="P124" s="279"/>
      <c r="Q124" s="279"/>
      <c r="R124" s="279"/>
      <c r="S124" s="279"/>
      <c r="T124" s="279"/>
      <c r="U124" s="279"/>
    </row>
    <row r="125" spans="1:21" x14ac:dyDescent="0.2">
      <c r="A125" s="285"/>
      <c r="B125" s="283" t="s">
        <v>1608</v>
      </c>
      <c r="C125" s="283"/>
      <c r="D125" s="283" t="s">
        <v>1629</v>
      </c>
      <c r="E125" s="282">
        <v>1</v>
      </c>
      <c r="F125" s="282">
        <v>1</v>
      </c>
      <c r="G125" s="282">
        <v>1</v>
      </c>
      <c r="H125" s="282">
        <v>1</v>
      </c>
      <c r="I125" s="282">
        <v>1</v>
      </c>
      <c r="J125" s="282">
        <v>0.99999999999999989</v>
      </c>
      <c r="K125" s="282">
        <v>1</v>
      </c>
      <c r="L125" s="282">
        <v>1</v>
      </c>
      <c r="M125" s="281">
        <v>1</v>
      </c>
      <c r="N125" s="280">
        <v>0.99999999999999989</v>
      </c>
      <c r="O125" s="279"/>
      <c r="P125" s="279"/>
      <c r="Q125" s="279"/>
      <c r="R125" s="279"/>
      <c r="S125" s="279"/>
      <c r="T125" s="279"/>
      <c r="U125" s="279"/>
    </row>
    <row r="126" spans="1:21" x14ac:dyDescent="0.2">
      <c r="B126" s="283"/>
      <c r="C126" s="283"/>
      <c r="D126" s="283"/>
      <c r="E126" s="283"/>
      <c r="F126" s="282"/>
      <c r="G126" s="282"/>
      <c r="H126" s="282"/>
      <c r="I126" s="282"/>
      <c r="J126" s="282"/>
      <c r="K126" s="282"/>
      <c r="L126" s="282"/>
      <c r="M126" s="288"/>
      <c r="N126" s="287"/>
      <c r="O126" s="279"/>
      <c r="P126" s="279"/>
      <c r="Q126" s="279"/>
      <c r="R126" s="279"/>
      <c r="S126" s="279"/>
      <c r="T126" s="279"/>
      <c r="U126" s="279"/>
    </row>
    <row r="127" spans="1:21" x14ac:dyDescent="0.2">
      <c r="A127" s="285" t="s">
        <v>1655</v>
      </c>
      <c r="B127" s="283" t="s">
        <v>1606</v>
      </c>
      <c r="C127" s="291">
        <v>1</v>
      </c>
      <c r="D127" s="291" t="s">
        <v>1656</v>
      </c>
      <c r="E127" s="289">
        <v>25</v>
      </c>
      <c r="F127" s="289">
        <v>55</v>
      </c>
      <c r="G127" s="289">
        <v>6</v>
      </c>
      <c r="H127" s="289">
        <v>131</v>
      </c>
      <c r="I127" s="289">
        <v>156</v>
      </c>
      <c r="J127" s="289">
        <v>42</v>
      </c>
      <c r="K127" s="289">
        <v>2</v>
      </c>
      <c r="L127" s="289">
        <v>417</v>
      </c>
      <c r="M127" s="288"/>
      <c r="N127" s="287"/>
      <c r="O127" s="279"/>
      <c r="P127" s="279"/>
      <c r="Q127" s="279"/>
      <c r="R127" s="279"/>
      <c r="S127" s="279"/>
      <c r="T127" s="279"/>
      <c r="U127" s="279"/>
    </row>
    <row r="128" spans="1:21" x14ac:dyDescent="0.2">
      <c r="A128" s="317"/>
      <c r="B128" s="283" t="s">
        <v>1606</v>
      </c>
      <c r="C128" s="291">
        <v>2</v>
      </c>
      <c r="D128" s="291" t="s">
        <v>330</v>
      </c>
      <c r="E128" s="289">
        <v>27</v>
      </c>
      <c r="F128" s="289">
        <v>66</v>
      </c>
      <c r="G128" s="289">
        <v>12</v>
      </c>
      <c r="H128" s="289">
        <v>151</v>
      </c>
      <c r="I128" s="289">
        <v>269</v>
      </c>
      <c r="J128" s="289">
        <v>91</v>
      </c>
      <c r="K128" s="289">
        <v>1</v>
      </c>
      <c r="L128" s="289">
        <v>617</v>
      </c>
      <c r="M128" s="288"/>
      <c r="N128" s="287"/>
      <c r="O128" s="279"/>
      <c r="P128" s="279"/>
      <c r="Q128" s="279"/>
      <c r="R128" s="279"/>
      <c r="S128" s="279"/>
      <c r="T128" s="279"/>
      <c r="U128" s="279"/>
    </row>
    <row r="129" spans="1:21" x14ac:dyDescent="0.2">
      <c r="A129" s="317"/>
      <c r="B129" s="283" t="s">
        <v>1606</v>
      </c>
      <c r="C129" s="291">
        <v>2</v>
      </c>
      <c r="D129" s="291" t="s">
        <v>1657</v>
      </c>
      <c r="E129" s="289">
        <v>8</v>
      </c>
      <c r="F129" s="289">
        <v>19</v>
      </c>
      <c r="G129" s="289">
        <v>2</v>
      </c>
      <c r="H129" s="289">
        <v>46</v>
      </c>
      <c r="I129" s="289">
        <v>73</v>
      </c>
      <c r="J129" s="289">
        <v>21</v>
      </c>
      <c r="K129" s="289">
        <v>0</v>
      </c>
      <c r="L129" s="289">
        <v>169</v>
      </c>
      <c r="M129" s="288"/>
      <c r="N129" s="287"/>
      <c r="O129" s="279"/>
      <c r="P129" s="279"/>
      <c r="Q129" s="279"/>
      <c r="R129" s="279"/>
      <c r="S129" s="279"/>
      <c r="T129" s="279"/>
      <c r="U129" s="279"/>
    </row>
    <row r="130" spans="1:21" x14ac:dyDescent="0.2">
      <c r="A130" s="285"/>
      <c r="B130" s="283" t="s">
        <v>1606</v>
      </c>
      <c r="C130" s="291">
        <v>3</v>
      </c>
      <c r="D130" s="291" t="s">
        <v>1627</v>
      </c>
      <c r="E130" s="289">
        <v>1</v>
      </c>
      <c r="F130" s="289">
        <v>3</v>
      </c>
      <c r="G130" s="289">
        <v>0</v>
      </c>
      <c r="H130" s="289">
        <v>4</v>
      </c>
      <c r="I130" s="289">
        <v>2</v>
      </c>
      <c r="J130" s="289">
        <v>5</v>
      </c>
      <c r="K130" s="289">
        <v>0</v>
      </c>
      <c r="L130" s="289">
        <v>15</v>
      </c>
      <c r="M130" s="288"/>
      <c r="N130" s="287"/>
      <c r="O130" s="279"/>
      <c r="P130" s="279"/>
      <c r="Q130" s="279"/>
      <c r="R130" s="279"/>
      <c r="S130" s="279"/>
      <c r="T130" s="279"/>
      <c r="U130" s="279"/>
    </row>
    <row r="131" spans="1:21" x14ac:dyDescent="0.2">
      <c r="A131" s="285"/>
      <c r="B131" s="283" t="s">
        <v>1606</v>
      </c>
      <c r="C131" s="292" t="s">
        <v>563</v>
      </c>
      <c r="D131" s="291" t="s">
        <v>1628</v>
      </c>
      <c r="E131" s="289">
        <v>129</v>
      </c>
      <c r="F131" s="289">
        <v>782</v>
      </c>
      <c r="G131" s="289">
        <v>96</v>
      </c>
      <c r="H131" s="289">
        <v>501</v>
      </c>
      <c r="I131" s="289">
        <v>724</v>
      </c>
      <c r="J131" s="289">
        <v>221</v>
      </c>
      <c r="K131" s="289">
        <v>12</v>
      </c>
      <c r="L131" s="289">
        <v>2465</v>
      </c>
      <c r="M131" s="288"/>
      <c r="N131" s="287"/>
      <c r="O131" s="279"/>
      <c r="P131" s="279"/>
      <c r="Q131" s="279"/>
      <c r="R131" s="279"/>
      <c r="S131" s="279"/>
      <c r="T131" s="279"/>
      <c r="U131" s="279"/>
    </row>
    <row r="132" spans="1:21" x14ac:dyDescent="0.2">
      <c r="A132" s="285"/>
      <c r="B132" s="283" t="s">
        <v>1606</v>
      </c>
      <c r="C132" s="291"/>
      <c r="D132" s="291" t="s">
        <v>616</v>
      </c>
      <c r="E132" s="290">
        <v>182</v>
      </c>
      <c r="F132" s="290">
        <v>906</v>
      </c>
      <c r="G132" s="290">
        <v>114</v>
      </c>
      <c r="H132" s="290">
        <v>787</v>
      </c>
      <c r="I132" s="290">
        <v>1151</v>
      </c>
      <c r="J132" s="290">
        <v>359</v>
      </c>
      <c r="K132" s="290">
        <v>15</v>
      </c>
      <c r="L132" s="289">
        <v>3514</v>
      </c>
      <c r="M132" s="288"/>
      <c r="N132" s="287"/>
      <c r="O132" s="279"/>
      <c r="P132" s="279"/>
      <c r="Q132" s="279"/>
      <c r="R132" s="279"/>
      <c r="S132" s="279"/>
      <c r="T132" s="279"/>
      <c r="U132" s="279"/>
    </row>
    <row r="133" spans="1:21" x14ac:dyDescent="0.2">
      <c r="A133" s="285"/>
      <c r="B133" s="283" t="s">
        <v>1606</v>
      </c>
      <c r="C133" s="291"/>
      <c r="D133" s="291" t="s">
        <v>1629</v>
      </c>
      <c r="E133" s="290">
        <v>60</v>
      </c>
      <c r="F133" s="290">
        <v>140</v>
      </c>
      <c r="G133" s="290">
        <v>20</v>
      </c>
      <c r="H133" s="290">
        <v>328</v>
      </c>
      <c r="I133" s="290">
        <v>498</v>
      </c>
      <c r="J133" s="290">
        <v>154</v>
      </c>
      <c r="K133" s="290">
        <v>3</v>
      </c>
      <c r="L133" s="289">
        <v>1203</v>
      </c>
      <c r="M133" s="288"/>
      <c r="N133" s="287"/>
      <c r="O133" s="286">
        <v>0.11637572734829593</v>
      </c>
      <c r="P133" s="286">
        <v>1.6625103906899419E-2</v>
      </c>
      <c r="Q133" s="286">
        <v>0.27265170407315048</v>
      </c>
      <c r="R133" s="286">
        <v>0.41396508728179549</v>
      </c>
      <c r="S133" s="286">
        <v>0.12801330008312553</v>
      </c>
      <c r="T133" s="286">
        <v>2.4937655860349127E-3</v>
      </c>
      <c r="U133" s="286">
        <v>0.95012468827930163</v>
      </c>
    </row>
    <row r="134" spans="1:21" x14ac:dyDescent="0.2">
      <c r="A134" s="285"/>
      <c r="B134" s="283" t="s">
        <v>1608</v>
      </c>
      <c r="C134" s="283"/>
      <c r="D134" s="283" t="s">
        <v>1656</v>
      </c>
      <c r="E134" s="284">
        <v>0.41666666666666669</v>
      </c>
      <c r="F134" s="284">
        <v>0.39285714285714285</v>
      </c>
      <c r="G134" s="284">
        <v>0.3</v>
      </c>
      <c r="H134" s="284">
        <v>0.39939024390243905</v>
      </c>
      <c r="I134" s="284">
        <v>0.31325301204819278</v>
      </c>
      <c r="J134" s="284">
        <v>0.27272727272727271</v>
      </c>
      <c r="K134" s="284">
        <v>0.66666666666666663</v>
      </c>
      <c r="L134" s="284">
        <v>0.34663341645885287</v>
      </c>
      <c r="M134" s="281">
        <v>0.33419661140183871</v>
      </c>
      <c r="N134" s="280">
        <v>0.33830983111579521</v>
      </c>
      <c r="O134" s="279"/>
      <c r="P134" s="279"/>
      <c r="Q134" s="279"/>
      <c r="R134" s="279"/>
      <c r="S134" s="279"/>
      <c r="T134" s="279"/>
      <c r="U134" s="279"/>
    </row>
    <row r="135" spans="1:21" x14ac:dyDescent="0.2">
      <c r="A135" s="285"/>
      <c r="B135" s="283" t="s">
        <v>1608</v>
      </c>
      <c r="C135" s="283"/>
      <c r="D135" s="283" t="s">
        <v>330</v>
      </c>
      <c r="E135" s="284">
        <v>0.45</v>
      </c>
      <c r="F135" s="284">
        <v>0.47142857142857142</v>
      </c>
      <c r="G135" s="284">
        <v>0.6</v>
      </c>
      <c r="H135" s="284">
        <v>0.46036585365853661</v>
      </c>
      <c r="I135" s="284">
        <v>0.54016064257028118</v>
      </c>
      <c r="J135" s="284">
        <v>0.59090909090909094</v>
      </c>
      <c r="K135" s="284">
        <v>0.33333333333333331</v>
      </c>
      <c r="L135" s="284">
        <v>0.51288445552784701</v>
      </c>
      <c r="M135" s="281">
        <v>0.52128802568418331</v>
      </c>
      <c r="N135" s="280">
        <v>0.51773251318123159</v>
      </c>
      <c r="O135" s="279"/>
      <c r="P135" s="279"/>
      <c r="Q135" s="279"/>
      <c r="R135" s="279"/>
      <c r="S135" s="279"/>
      <c r="T135" s="279"/>
      <c r="U135" s="279"/>
    </row>
    <row r="136" spans="1:21" x14ac:dyDescent="0.2">
      <c r="A136" s="285"/>
      <c r="B136" s="283" t="s">
        <v>1608</v>
      </c>
      <c r="C136" s="283"/>
      <c r="D136" s="316" t="s">
        <v>1658</v>
      </c>
      <c r="E136" s="284">
        <v>0.13333333333333333</v>
      </c>
      <c r="F136" s="284">
        <v>0.1357142857142857</v>
      </c>
      <c r="G136" s="284">
        <v>0.1</v>
      </c>
      <c r="H136" s="284">
        <v>0.1402439024390244</v>
      </c>
      <c r="I136" s="284">
        <v>0.1465863453815261</v>
      </c>
      <c r="J136" s="284">
        <v>0.13636363636363635</v>
      </c>
      <c r="K136" s="284">
        <v>0</v>
      </c>
      <c r="L136" s="284">
        <v>0.14048212801330009</v>
      </c>
      <c r="M136" s="281">
        <v>0.14451536291397798</v>
      </c>
      <c r="N136" s="280">
        <v>0.14395765570297325</v>
      </c>
      <c r="O136" s="279"/>
      <c r="P136" s="279"/>
      <c r="Q136" s="279"/>
      <c r="R136" s="279"/>
      <c r="S136" s="279"/>
      <c r="T136" s="279"/>
      <c r="U136" s="279"/>
    </row>
    <row r="137" spans="1:21" x14ac:dyDescent="0.2">
      <c r="B137" s="283" t="s">
        <v>1608</v>
      </c>
      <c r="C137" s="283"/>
      <c r="D137" s="283" t="s">
        <v>1629</v>
      </c>
      <c r="E137" s="284">
        <v>1</v>
      </c>
      <c r="F137" s="284">
        <v>1</v>
      </c>
      <c r="G137" s="284">
        <v>0.99999999999999989</v>
      </c>
      <c r="H137" s="284">
        <v>1</v>
      </c>
      <c r="I137" s="284">
        <v>1</v>
      </c>
      <c r="J137" s="284">
        <v>1</v>
      </c>
      <c r="K137" s="284">
        <v>1</v>
      </c>
      <c r="L137" s="284">
        <v>0.99999999999999989</v>
      </c>
      <c r="M137" s="281">
        <v>1</v>
      </c>
      <c r="N137" s="280">
        <v>1</v>
      </c>
      <c r="O137" s="279"/>
      <c r="P137" s="279"/>
      <c r="Q137" s="279"/>
      <c r="R137" s="279"/>
      <c r="S137" s="279"/>
      <c r="T137" s="279"/>
      <c r="U137" s="279"/>
    </row>
    <row r="138" spans="1:21" x14ac:dyDescent="0.2">
      <c r="B138" s="283"/>
      <c r="C138" s="291"/>
      <c r="D138" s="291"/>
      <c r="E138" s="291"/>
      <c r="F138" s="324"/>
      <c r="G138" s="324"/>
      <c r="H138" s="324"/>
      <c r="I138" s="324"/>
      <c r="J138" s="324"/>
      <c r="K138" s="324"/>
      <c r="L138" s="324"/>
      <c r="M138" s="288"/>
      <c r="N138" s="287"/>
      <c r="O138" s="279"/>
      <c r="P138" s="279"/>
      <c r="Q138" s="279"/>
      <c r="R138" s="279"/>
      <c r="S138" s="279"/>
      <c r="T138" s="279"/>
      <c r="U138" s="279"/>
    </row>
    <row r="139" spans="1:21" x14ac:dyDescent="0.2">
      <c r="A139" s="285" t="s">
        <v>1659</v>
      </c>
      <c r="B139" s="283" t="s">
        <v>1606</v>
      </c>
      <c r="C139" s="291">
        <v>1</v>
      </c>
      <c r="D139" s="291" t="s">
        <v>115</v>
      </c>
      <c r="E139" s="289">
        <v>19</v>
      </c>
      <c r="F139" s="289">
        <v>38</v>
      </c>
      <c r="G139" s="289">
        <v>7</v>
      </c>
      <c r="H139" s="289">
        <v>106</v>
      </c>
      <c r="I139" s="289">
        <v>128</v>
      </c>
      <c r="J139" s="289">
        <v>39</v>
      </c>
      <c r="K139" s="289">
        <v>0</v>
      </c>
      <c r="L139" s="289">
        <v>337</v>
      </c>
      <c r="M139" s="288"/>
      <c r="N139" s="287"/>
      <c r="O139" s="279"/>
      <c r="P139" s="279"/>
      <c r="Q139" s="279"/>
      <c r="R139" s="279"/>
      <c r="S139" s="279"/>
      <c r="T139" s="279"/>
      <c r="U139" s="279"/>
    </row>
    <row r="140" spans="1:21" x14ac:dyDescent="0.2">
      <c r="A140" s="285"/>
      <c r="B140" s="283" t="s">
        <v>1606</v>
      </c>
      <c r="C140" s="291">
        <v>2</v>
      </c>
      <c r="D140" s="291" t="s">
        <v>114</v>
      </c>
      <c r="E140" s="289">
        <v>16</v>
      </c>
      <c r="F140" s="289">
        <v>43</v>
      </c>
      <c r="G140" s="289">
        <v>7</v>
      </c>
      <c r="H140" s="289">
        <v>88</v>
      </c>
      <c r="I140" s="289">
        <v>209</v>
      </c>
      <c r="J140" s="289">
        <v>72</v>
      </c>
      <c r="K140" s="289">
        <v>1</v>
      </c>
      <c r="L140" s="289">
        <v>436</v>
      </c>
      <c r="M140" s="288"/>
      <c r="N140" s="287"/>
      <c r="O140" s="279"/>
      <c r="P140" s="279"/>
      <c r="Q140" s="279"/>
      <c r="R140" s="279"/>
      <c r="S140" s="279"/>
      <c r="T140" s="279"/>
      <c r="U140" s="279"/>
    </row>
    <row r="141" spans="1:21" x14ac:dyDescent="0.2">
      <c r="A141" s="285"/>
      <c r="B141" s="283" t="s">
        <v>1606</v>
      </c>
      <c r="C141" s="291">
        <v>3</v>
      </c>
      <c r="D141" s="291" t="s">
        <v>1627</v>
      </c>
      <c r="E141" s="289">
        <v>0</v>
      </c>
      <c r="F141" s="289">
        <v>4</v>
      </c>
      <c r="G141" s="289">
        <v>0</v>
      </c>
      <c r="H141" s="289">
        <v>3</v>
      </c>
      <c r="I141" s="289">
        <v>5</v>
      </c>
      <c r="J141" s="289">
        <v>1</v>
      </c>
      <c r="K141" s="289">
        <v>0</v>
      </c>
      <c r="L141" s="289">
        <v>13</v>
      </c>
      <c r="M141" s="288"/>
      <c r="N141" s="287"/>
      <c r="O141" s="279"/>
      <c r="P141" s="279"/>
      <c r="Q141" s="279"/>
      <c r="R141" s="279"/>
      <c r="S141" s="279"/>
      <c r="T141" s="279"/>
      <c r="U141" s="279"/>
    </row>
    <row r="142" spans="1:21" x14ac:dyDescent="0.2">
      <c r="A142" s="285"/>
      <c r="B142" s="283" t="s">
        <v>1606</v>
      </c>
      <c r="C142" s="292" t="s">
        <v>563</v>
      </c>
      <c r="D142" s="291" t="s">
        <v>1628</v>
      </c>
      <c r="E142" s="289">
        <v>147</v>
      </c>
      <c r="F142" s="289">
        <v>821</v>
      </c>
      <c r="G142" s="289">
        <v>100</v>
      </c>
      <c r="H142" s="289">
        <v>590</v>
      </c>
      <c r="I142" s="289">
        <v>809</v>
      </c>
      <c r="J142" s="289">
        <v>247</v>
      </c>
      <c r="K142" s="289">
        <v>14</v>
      </c>
      <c r="L142" s="289">
        <v>2728</v>
      </c>
      <c r="M142" s="288"/>
      <c r="N142" s="287"/>
      <c r="O142" s="279"/>
      <c r="P142" s="279"/>
      <c r="Q142" s="279"/>
      <c r="R142" s="279"/>
      <c r="S142" s="279"/>
      <c r="T142" s="279"/>
      <c r="U142" s="279"/>
    </row>
    <row r="143" spans="1:21" x14ac:dyDescent="0.2">
      <c r="A143" s="285"/>
      <c r="B143" s="283" t="s">
        <v>1606</v>
      </c>
      <c r="C143" s="291"/>
      <c r="D143" s="291" t="s">
        <v>616</v>
      </c>
      <c r="E143" s="290">
        <v>182</v>
      </c>
      <c r="F143" s="290">
        <v>906</v>
      </c>
      <c r="G143" s="290">
        <v>114</v>
      </c>
      <c r="H143" s="290">
        <v>787</v>
      </c>
      <c r="I143" s="290">
        <v>1151</v>
      </c>
      <c r="J143" s="290">
        <v>359</v>
      </c>
      <c r="K143" s="290">
        <v>15</v>
      </c>
      <c r="L143" s="289">
        <v>3514</v>
      </c>
      <c r="M143" s="288"/>
      <c r="N143" s="287"/>
      <c r="O143" s="279"/>
      <c r="P143" s="279"/>
      <c r="Q143" s="279"/>
      <c r="R143" s="279"/>
      <c r="S143" s="279"/>
      <c r="T143" s="279"/>
      <c r="U143" s="279"/>
    </row>
    <row r="144" spans="1:21" x14ac:dyDescent="0.2">
      <c r="A144" s="285"/>
      <c r="B144" s="283" t="s">
        <v>1606</v>
      </c>
      <c r="C144" s="291"/>
      <c r="D144" s="291" t="s">
        <v>1629</v>
      </c>
      <c r="E144" s="290">
        <v>35</v>
      </c>
      <c r="F144" s="290">
        <v>81</v>
      </c>
      <c r="G144" s="290">
        <v>14</v>
      </c>
      <c r="H144" s="290">
        <v>194</v>
      </c>
      <c r="I144" s="290">
        <v>337</v>
      </c>
      <c r="J144" s="290">
        <v>111</v>
      </c>
      <c r="K144" s="290">
        <v>1</v>
      </c>
      <c r="L144" s="289">
        <v>773</v>
      </c>
      <c r="M144" s="288"/>
      <c r="N144" s="287"/>
      <c r="O144" s="286">
        <v>0.10478654592496765</v>
      </c>
      <c r="P144" s="286">
        <v>1.8111254851228976E-2</v>
      </c>
      <c r="Q144" s="286">
        <v>0.25097024579560157</v>
      </c>
      <c r="R144" s="286">
        <v>0.43596377749029752</v>
      </c>
      <c r="S144" s="286">
        <v>0.14359637774902975</v>
      </c>
      <c r="T144" s="286">
        <v>1.29366106080207E-3</v>
      </c>
      <c r="U144" s="286">
        <v>0.95472186287192751</v>
      </c>
    </row>
    <row r="145" spans="1:21" x14ac:dyDescent="0.2">
      <c r="A145" s="285"/>
      <c r="B145" s="283" t="s">
        <v>1608</v>
      </c>
      <c r="C145" s="283"/>
      <c r="D145" s="283" t="s">
        <v>115</v>
      </c>
      <c r="E145" s="284">
        <v>0.54285714285714282</v>
      </c>
      <c r="F145" s="284">
        <v>0.46913580246913578</v>
      </c>
      <c r="G145" s="284">
        <v>0.5</v>
      </c>
      <c r="H145" s="284">
        <v>0.54639175257731953</v>
      </c>
      <c r="I145" s="284">
        <v>0.37982195845697331</v>
      </c>
      <c r="J145" s="284">
        <v>0.35135135135135137</v>
      </c>
      <c r="K145" s="284">
        <v>0</v>
      </c>
      <c r="L145" s="284">
        <v>0.43596377749029752</v>
      </c>
      <c r="M145" s="281">
        <v>0.41116385179207998</v>
      </c>
      <c r="N145" s="280">
        <v>0.41712667868377107</v>
      </c>
      <c r="O145" s="279"/>
      <c r="P145" s="279"/>
      <c r="Q145" s="279"/>
      <c r="R145" s="279"/>
      <c r="S145" s="279"/>
      <c r="T145" s="279"/>
      <c r="U145" s="279"/>
    </row>
    <row r="146" spans="1:21" x14ac:dyDescent="0.2">
      <c r="A146" s="285"/>
      <c r="B146" s="283" t="s">
        <v>1608</v>
      </c>
      <c r="C146" s="283"/>
      <c r="D146" s="283" t="s">
        <v>114</v>
      </c>
      <c r="E146" s="284">
        <v>0.45714285714285713</v>
      </c>
      <c r="F146" s="284">
        <v>0.53086419753086422</v>
      </c>
      <c r="G146" s="284">
        <v>0.5</v>
      </c>
      <c r="H146" s="284">
        <v>0.45360824742268041</v>
      </c>
      <c r="I146" s="284">
        <v>0.62017804154302669</v>
      </c>
      <c r="J146" s="284">
        <v>0.64864864864864868</v>
      </c>
      <c r="K146" s="284">
        <v>1</v>
      </c>
      <c r="L146" s="284">
        <v>0.56403622250970242</v>
      </c>
      <c r="M146" s="281">
        <v>0.58883614820792018</v>
      </c>
      <c r="N146" s="280">
        <v>0.58287332131622915</v>
      </c>
      <c r="O146" s="279"/>
      <c r="P146" s="279"/>
      <c r="Q146" s="279"/>
      <c r="R146" s="279"/>
      <c r="S146" s="279"/>
      <c r="T146" s="279"/>
      <c r="U146" s="279"/>
    </row>
    <row r="147" spans="1:21" x14ac:dyDescent="0.2">
      <c r="B147" s="283" t="s">
        <v>1608</v>
      </c>
      <c r="C147" s="283"/>
      <c r="D147" s="283" t="s">
        <v>1629</v>
      </c>
      <c r="E147" s="282">
        <v>1</v>
      </c>
      <c r="F147" s="282">
        <v>1</v>
      </c>
      <c r="G147" s="282">
        <v>1</v>
      </c>
      <c r="H147" s="282">
        <v>1</v>
      </c>
      <c r="I147" s="282">
        <v>1</v>
      </c>
      <c r="J147" s="282">
        <v>1</v>
      </c>
      <c r="K147" s="282">
        <v>1</v>
      </c>
      <c r="L147" s="282">
        <v>1</v>
      </c>
      <c r="M147" s="281">
        <v>1.0000000000000002</v>
      </c>
      <c r="N147" s="280">
        <v>1.0000000000000002</v>
      </c>
      <c r="O147" s="279"/>
      <c r="P147" s="279"/>
      <c r="Q147" s="279"/>
      <c r="R147" s="279"/>
      <c r="S147" s="279"/>
      <c r="T147" s="279"/>
      <c r="U147" s="279"/>
    </row>
    <row r="148" spans="1:21" x14ac:dyDescent="0.2">
      <c r="B148" s="283"/>
      <c r="C148" s="283"/>
      <c r="D148" s="283"/>
      <c r="E148" s="282"/>
      <c r="F148" s="282"/>
      <c r="G148" s="282"/>
      <c r="H148" s="282"/>
      <c r="I148" s="282"/>
      <c r="J148" s="282"/>
      <c r="K148" s="282"/>
      <c r="L148" s="282"/>
      <c r="M148" s="281"/>
      <c r="N148" s="280"/>
      <c r="O148" s="279"/>
      <c r="P148" s="279"/>
      <c r="Q148" s="279"/>
      <c r="R148" s="279"/>
      <c r="S148" s="279"/>
      <c r="T148" s="279"/>
      <c r="U148" s="279"/>
    </row>
    <row r="149" spans="1:21" x14ac:dyDescent="0.2">
      <c r="A149" s="285" t="s">
        <v>1660</v>
      </c>
      <c r="B149" s="283" t="s">
        <v>1661</v>
      </c>
      <c r="C149" s="283"/>
      <c r="D149" s="283" t="s">
        <v>1662</v>
      </c>
      <c r="E149" s="323">
        <v>15.710526315789474</v>
      </c>
      <c r="F149" s="323">
        <v>15.434343434343434</v>
      </c>
      <c r="G149" s="323">
        <v>17.066666666666666</v>
      </c>
      <c r="H149" s="323">
        <v>14.145299145299145</v>
      </c>
      <c r="I149" s="323">
        <v>18.712041884816752</v>
      </c>
      <c r="J149" s="323">
        <v>12.702479338842975</v>
      </c>
      <c r="K149" s="298">
        <v>9</v>
      </c>
      <c r="L149" s="323">
        <v>16.154882154882156</v>
      </c>
      <c r="M149" s="322">
        <v>15.970290701870656</v>
      </c>
      <c r="N149" s="321">
        <v>15.956836769523822</v>
      </c>
      <c r="O149" s="279"/>
      <c r="P149" s="279"/>
      <c r="Q149" s="279"/>
      <c r="R149" s="279"/>
      <c r="S149" s="279"/>
      <c r="T149" s="279"/>
      <c r="U149" s="279"/>
    </row>
    <row r="150" spans="1:21" x14ac:dyDescent="0.2">
      <c r="A150" s="317"/>
      <c r="B150" s="283" t="s">
        <v>1606</v>
      </c>
      <c r="D150" s="283" t="s">
        <v>1662</v>
      </c>
      <c r="E150" s="295">
        <v>38</v>
      </c>
      <c r="F150" s="295">
        <v>99</v>
      </c>
      <c r="G150" s="295">
        <v>15</v>
      </c>
      <c r="H150" s="295">
        <v>234</v>
      </c>
      <c r="I150" s="295">
        <v>382</v>
      </c>
      <c r="J150" s="295">
        <v>121</v>
      </c>
      <c r="K150" s="295">
        <v>2</v>
      </c>
      <c r="L150" s="295">
        <v>891</v>
      </c>
      <c r="M150" s="288"/>
      <c r="N150" s="287"/>
      <c r="O150" s="279"/>
      <c r="P150" s="279"/>
      <c r="Q150" s="279"/>
      <c r="R150" s="279"/>
      <c r="S150" s="279"/>
      <c r="T150" s="279"/>
      <c r="U150" s="279"/>
    </row>
    <row r="151" spans="1:21" x14ac:dyDescent="0.2">
      <c r="B151" s="294"/>
      <c r="D151" s="285"/>
      <c r="E151" s="285"/>
      <c r="F151" s="285"/>
      <c r="G151" s="285"/>
      <c r="H151" s="285"/>
      <c r="I151" s="285"/>
      <c r="J151" s="285"/>
      <c r="K151" s="285"/>
      <c r="L151" s="285"/>
      <c r="M151" s="288"/>
      <c r="N151" s="293"/>
      <c r="O151" s="279"/>
      <c r="P151" s="279"/>
      <c r="Q151" s="279"/>
      <c r="R151" s="279"/>
      <c r="S151" s="279"/>
      <c r="T151" s="279"/>
      <c r="U151" s="279"/>
    </row>
    <row r="152" spans="1:21" x14ac:dyDescent="0.2">
      <c r="A152" s="285" t="s">
        <v>1663</v>
      </c>
      <c r="B152" s="283" t="s">
        <v>1661</v>
      </c>
      <c r="C152" s="283"/>
      <c r="D152" s="283" t="s">
        <v>1664</v>
      </c>
      <c r="E152" s="320">
        <v>0.13545454545454544</v>
      </c>
      <c r="F152" s="320">
        <v>0.16090909090909089</v>
      </c>
      <c r="G152" s="320">
        <v>0.21249999999999999</v>
      </c>
      <c r="H152" s="320">
        <v>0.1575</v>
      </c>
      <c r="I152" s="320">
        <v>0.16328571428571428</v>
      </c>
      <c r="J152" s="320">
        <v>0.13470588235294118</v>
      </c>
      <c r="K152" s="320" t="s">
        <v>336</v>
      </c>
      <c r="L152" s="320">
        <v>0.15791666666666665</v>
      </c>
      <c r="M152" s="319">
        <v>0.16015722084464823</v>
      </c>
      <c r="N152" s="318">
        <v>0.15887779941010108</v>
      </c>
      <c r="O152" s="279"/>
      <c r="P152" s="279"/>
      <c r="Q152" s="279"/>
      <c r="R152" s="279"/>
      <c r="S152" s="279"/>
      <c r="T152" s="279"/>
      <c r="U152" s="279"/>
    </row>
    <row r="153" spans="1:21" x14ac:dyDescent="0.2">
      <c r="A153" s="317"/>
      <c r="B153" s="283" t="s">
        <v>1606</v>
      </c>
      <c r="D153" s="283" t="s">
        <v>1664</v>
      </c>
      <c r="E153" s="295">
        <v>11</v>
      </c>
      <c r="F153" s="295">
        <v>22</v>
      </c>
      <c r="G153" s="295">
        <v>4</v>
      </c>
      <c r="H153" s="295">
        <v>44</v>
      </c>
      <c r="I153" s="295">
        <v>70</v>
      </c>
      <c r="J153" s="295">
        <v>17</v>
      </c>
      <c r="K153" s="295">
        <v>0</v>
      </c>
      <c r="L153" s="295">
        <v>168</v>
      </c>
      <c r="M153" s="288"/>
      <c r="N153" s="287"/>
      <c r="O153" s="279"/>
      <c r="P153" s="279"/>
      <c r="Q153" s="279"/>
      <c r="R153" s="279"/>
      <c r="S153" s="279"/>
      <c r="T153" s="279"/>
      <c r="U153" s="279"/>
    </row>
    <row r="154" spans="1:21" x14ac:dyDescent="0.2">
      <c r="B154" s="278"/>
      <c r="F154" s="315"/>
      <c r="G154" s="315"/>
      <c r="H154" s="315"/>
      <c r="I154" s="315"/>
      <c r="J154" s="315"/>
      <c r="K154" s="315"/>
      <c r="L154" s="315"/>
      <c r="M154" s="288"/>
      <c r="N154" s="287"/>
      <c r="O154" s="279"/>
      <c r="P154" s="279"/>
      <c r="Q154" s="279"/>
      <c r="R154" s="279"/>
      <c r="S154" s="279"/>
      <c r="T154" s="279"/>
      <c r="U154" s="279"/>
    </row>
    <row r="155" spans="1:21" x14ac:dyDescent="0.2">
      <c r="A155" s="285" t="s">
        <v>1665</v>
      </c>
      <c r="B155" s="283" t="s">
        <v>1606</v>
      </c>
      <c r="C155" s="291">
        <v>1</v>
      </c>
      <c r="D155" s="291" t="s">
        <v>1647</v>
      </c>
      <c r="E155" s="289">
        <v>0</v>
      </c>
      <c r="F155" s="289">
        <v>1</v>
      </c>
      <c r="G155" s="289">
        <v>0</v>
      </c>
      <c r="H155" s="289">
        <v>0</v>
      </c>
      <c r="I155" s="289">
        <v>2</v>
      </c>
      <c r="J155" s="289">
        <v>1</v>
      </c>
      <c r="K155" s="289">
        <v>0</v>
      </c>
      <c r="L155" s="289">
        <v>4</v>
      </c>
      <c r="M155" s="288"/>
      <c r="N155" s="287"/>
      <c r="O155" s="279"/>
      <c r="P155" s="279"/>
      <c r="Q155" s="279"/>
      <c r="R155" s="279"/>
      <c r="S155" s="279"/>
      <c r="T155" s="279"/>
      <c r="U155" s="279"/>
    </row>
    <row r="156" spans="1:21" x14ac:dyDescent="0.2">
      <c r="A156" s="285"/>
      <c r="B156" s="283" t="s">
        <v>1606</v>
      </c>
      <c r="C156" s="291">
        <v>2</v>
      </c>
      <c r="D156" s="291" t="s">
        <v>1648</v>
      </c>
      <c r="E156" s="289">
        <v>0</v>
      </c>
      <c r="F156" s="289">
        <v>3</v>
      </c>
      <c r="G156" s="289">
        <v>0</v>
      </c>
      <c r="H156" s="289">
        <v>1</v>
      </c>
      <c r="I156" s="289">
        <v>8</v>
      </c>
      <c r="J156" s="289">
        <v>2</v>
      </c>
      <c r="K156" s="289">
        <v>0</v>
      </c>
      <c r="L156" s="289">
        <v>14</v>
      </c>
      <c r="M156" s="288"/>
      <c r="N156" s="287"/>
      <c r="O156" s="279"/>
      <c r="P156" s="279"/>
      <c r="Q156" s="279"/>
      <c r="R156" s="279"/>
      <c r="S156" s="279"/>
      <c r="T156" s="279"/>
      <c r="U156" s="279"/>
    </row>
    <row r="157" spans="1:21" x14ac:dyDescent="0.2">
      <c r="A157" s="285"/>
      <c r="B157" s="283" t="s">
        <v>1606</v>
      </c>
      <c r="C157" s="291">
        <v>3</v>
      </c>
      <c r="D157" s="291" t="s">
        <v>1649</v>
      </c>
      <c r="E157" s="289">
        <v>2</v>
      </c>
      <c r="F157" s="289">
        <v>3</v>
      </c>
      <c r="G157" s="289">
        <v>2</v>
      </c>
      <c r="H157" s="289">
        <v>4</v>
      </c>
      <c r="I157" s="289">
        <v>4</v>
      </c>
      <c r="J157" s="289">
        <v>7</v>
      </c>
      <c r="K157" s="289">
        <v>0</v>
      </c>
      <c r="L157" s="289">
        <v>22</v>
      </c>
      <c r="M157" s="288"/>
      <c r="N157" s="287"/>
      <c r="O157" s="279"/>
      <c r="P157" s="279"/>
      <c r="Q157" s="279"/>
      <c r="R157" s="279"/>
      <c r="S157" s="279"/>
      <c r="T157" s="279"/>
      <c r="U157" s="279"/>
    </row>
    <row r="158" spans="1:21" x14ac:dyDescent="0.2">
      <c r="A158" s="285"/>
      <c r="B158" s="283" t="s">
        <v>1606</v>
      </c>
      <c r="C158" s="291">
        <v>4</v>
      </c>
      <c r="D158" s="291" t="s">
        <v>1650</v>
      </c>
      <c r="E158" s="289">
        <v>0</v>
      </c>
      <c r="F158" s="289">
        <v>0</v>
      </c>
      <c r="G158" s="289">
        <v>0</v>
      </c>
      <c r="H158" s="289">
        <v>0</v>
      </c>
      <c r="I158" s="289">
        <v>2</v>
      </c>
      <c r="J158" s="289">
        <v>1</v>
      </c>
      <c r="K158" s="289">
        <v>0</v>
      </c>
      <c r="L158" s="289">
        <v>3</v>
      </c>
      <c r="M158" s="288"/>
      <c r="N158" s="287"/>
      <c r="O158" s="279"/>
      <c r="P158" s="279"/>
      <c r="Q158" s="279"/>
      <c r="R158" s="279"/>
      <c r="S158" s="279"/>
      <c r="T158" s="279"/>
      <c r="U158" s="279"/>
    </row>
    <row r="159" spans="1:21" x14ac:dyDescent="0.2">
      <c r="A159" s="285"/>
      <c r="B159" s="283" t="s">
        <v>1606</v>
      </c>
      <c r="C159" s="291">
        <v>5</v>
      </c>
      <c r="D159" s="291" t="s">
        <v>1651</v>
      </c>
      <c r="E159" s="289">
        <v>1</v>
      </c>
      <c r="F159" s="289">
        <v>1</v>
      </c>
      <c r="G159" s="289">
        <v>0</v>
      </c>
      <c r="H159" s="289">
        <v>3</v>
      </c>
      <c r="I159" s="289">
        <v>2</v>
      </c>
      <c r="J159" s="289">
        <v>1</v>
      </c>
      <c r="K159" s="289">
        <v>0</v>
      </c>
      <c r="L159" s="289">
        <v>8</v>
      </c>
      <c r="M159" s="288"/>
      <c r="N159" s="287"/>
      <c r="O159" s="279"/>
      <c r="P159" s="279"/>
      <c r="Q159" s="279"/>
      <c r="R159" s="279"/>
      <c r="S159" s="279"/>
      <c r="T159" s="279"/>
      <c r="U159" s="279"/>
    </row>
    <row r="160" spans="1:21" x14ac:dyDescent="0.2">
      <c r="A160" s="285"/>
      <c r="B160" s="283" t="s">
        <v>1606</v>
      </c>
      <c r="C160" s="291">
        <v>6</v>
      </c>
      <c r="D160" s="291" t="s">
        <v>1652</v>
      </c>
      <c r="E160" s="289">
        <v>0</v>
      </c>
      <c r="F160" s="289">
        <v>1</v>
      </c>
      <c r="G160" s="289">
        <v>1</v>
      </c>
      <c r="H160" s="289">
        <v>5</v>
      </c>
      <c r="I160" s="289">
        <v>8</v>
      </c>
      <c r="J160" s="289">
        <v>3</v>
      </c>
      <c r="K160" s="289">
        <v>0</v>
      </c>
      <c r="L160" s="289">
        <v>18</v>
      </c>
      <c r="M160" s="288"/>
      <c r="N160" s="287"/>
      <c r="O160" s="279"/>
      <c r="P160" s="279"/>
      <c r="Q160" s="279"/>
      <c r="R160" s="279"/>
      <c r="S160" s="279"/>
      <c r="T160" s="279"/>
      <c r="U160" s="279"/>
    </row>
    <row r="161" spans="1:21" x14ac:dyDescent="0.2">
      <c r="A161" s="285"/>
      <c r="B161" s="283" t="s">
        <v>1606</v>
      </c>
      <c r="C161" s="291">
        <v>7</v>
      </c>
      <c r="D161" s="291" t="s">
        <v>1653</v>
      </c>
      <c r="E161" s="289">
        <v>1</v>
      </c>
      <c r="F161" s="289">
        <v>3</v>
      </c>
      <c r="G161" s="289">
        <v>1</v>
      </c>
      <c r="H161" s="289">
        <v>0</v>
      </c>
      <c r="I161" s="289">
        <v>1</v>
      </c>
      <c r="J161" s="289">
        <v>1</v>
      </c>
      <c r="K161" s="289">
        <v>0</v>
      </c>
      <c r="L161" s="289">
        <v>7</v>
      </c>
      <c r="M161" s="288"/>
      <c r="N161" s="287"/>
      <c r="O161" s="279"/>
      <c r="P161" s="279"/>
      <c r="Q161" s="279"/>
      <c r="R161" s="279"/>
      <c r="S161" s="279"/>
      <c r="T161" s="279"/>
      <c r="U161" s="279"/>
    </row>
    <row r="162" spans="1:21" x14ac:dyDescent="0.2">
      <c r="A162" s="285"/>
      <c r="B162" s="283" t="s">
        <v>1606</v>
      </c>
      <c r="C162" s="291">
        <v>8</v>
      </c>
      <c r="D162" s="291" t="s">
        <v>1627</v>
      </c>
      <c r="E162" s="289">
        <v>0</v>
      </c>
      <c r="F162" s="289">
        <v>1</v>
      </c>
      <c r="G162" s="289">
        <v>0</v>
      </c>
      <c r="H162" s="289">
        <v>0</v>
      </c>
      <c r="I162" s="289">
        <v>1</v>
      </c>
      <c r="J162" s="289">
        <v>0</v>
      </c>
      <c r="K162" s="289">
        <v>0</v>
      </c>
      <c r="L162" s="289">
        <v>2</v>
      </c>
      <c r="M162" s="288"/>
      <c r="N162" s="287"/>
      <c r="O162" s="279"/>
      <c r="P162" s="279"/>
      <c r="Q162" s="279"/>
      <c r="R162" s="279"/>
      <c r="S162" s="279"/>
      <c r="T162" s="279"/>
      <c r="U162" s="279"/>
    </row>
    <row r="163" spans="1:21" x14ac:dyDescent="0.2">
      <c r="A163" s="285"/>
      <c r="B163" s="283" t="s">
        <v>1606</v>
      </c>
      <c r="C163" s="291">
        <v>9</v>
      </c>
      <c r="D163" s="291" t="s">
        <v>1654</v>
      </c>
      <c r="E163" s="289">
        <v>0</v>
      </c>
      <c r="F163" s="289">
        <v>0</v>
      </c>
      <c r="G163" s="289">
        <v>0</v>
      </c>
      <c r="H163" s="289">
        <v>0</v>
      </c>
      <c r="I163" s="289">
        <v>0</v>
      </c>
      <c r="J163" s="289">
        <v>0</v>
      </c>
      <c r="K163" s="289">
        <v>0</v>
      </c>
      <c r="L163" s="289">
        <v>0</v>
      </c>
      <c r="M163" s="288"/>
      <c r="N163" s="287"/>
      <c r="O163" s="279"/>
      <c r="P163" s="279"/>
      <c r="Q163" s="279"/>
      <c r="R163" s="279"/>
      <c r="S163" s="279"/>
      <c r="T163" s="279"/>
      <c r="U163" s="279"/>
    </row>
    <row r="164" spans="1:21" x14ac:dyDescent="0.2">
      <c r="A164" s="285"/>
      <c r="B164" s="283" t="s">
        <v>1606</v>
      </c>
      <c r="C164" s="292" t="s">
        <v>563</v>
      </c>
      <c r="D164" s="291" t="s">
        <v>1628</v>
      </c>
      <c r="E164" s="289">
        <v>178</v>
      </c>
      <c r="F164" s="289">
        <v>893</v>
      </c>
      <c r="G164" s="289">
        <v>110</v>
      </c>
      <c r="H164" s="289">
        <v>774</v>
      </c>
      <c r="I164" s="289">
        <v>1123</v>
      </c>
      <c r="J164" s="289">
        <v>343</v>
      </c>
      <c r="K164" s="289">
        <v>15</v>
      </c>
      <c r="L164" s="289">
        <v>3436</v>
      </c>
      <c r="M164" s="288"/>
      <c r="N164" s="287"/>
      <c r="O164" s="279"/>
      <c r="P164" s="279"/>
      <c r="Q164" s="279"/>
      <c r="R164" s="279"/>
      <c r="S164" s="279"/>
      <c r="T164" s="279"/>
      <c r="U164" s="279"/>
    </row>
    <row r="165" spans="1:21" x14ac:dyDescent="0.2">
      <c r="A165" s="285"/>
      <c r="B165" s="283" t="s">
        <v>1606</v>
      </c>
      <c r="C165" s="291"/>
      <c r="D165" s="291" t="s">
        <v>616</v>
      </c>
      <c r="E165" s="290">
        <v>182</v>
      </c>
      <c r="F165" s="290">
        <v>906</v>
      </c>
      <c r="G165" s="290">
        <v>114</v>
      </c>
      <c r="H165" s="290">
        <v>787</v>
      </c>
      <c r="I165" s="290">
        <v>1151</v>
      </c>
      <c r="J165" s="290">
        <v>359</v>
      </c>
      <c r="K165" s="290">
        <v>15</v>
      </c>
      <c r="L165" s="289">
        <v>3514</v>
      </c>
      <c r="M165" s="288"/>
      <c r="N165" s="287"/>
      <c r="O165" s="279"/>
      <c r="P165" s="279"/>
      <c r="Q165" s="279"/>
      <c r="R165" s="279"/>
      <c r="S165" s="279"/>
      <c r="T165" s="279"/>
      <c r="U165" s="279"/>
    </row>
    <row r="166" spans="1:21" x14ac:dyDescent="0.2">
      <c r="A166" s="285"/>
      <c r="B166" s="283" t="s">
        <v>1606</v>
      </c>
      <c r="C166" s="291"/>
      <c r="D166" s="291" t="s">
        <v>1629</v>
      </c>
      <c r="E166" s="290">
        <v>4</v>
      </c>
      <c r="F166" s="290">
        <v>12</v>
      </c>
      <c r="G166" s="290">
        <v>4</v>
      </c>
      <c r="H166" s="290">
        <v>13</v>
      </c>
      <c r="I166" s="290">
        <v>27</v>
      </c>
      <c r="J166" s="290">
        <v>16</v>
      </c>
      <c r="K166" s="290">
        <v>0</v>
      </c>
      <c r="L166" s="289">
        <v>76</v>
      </c>
      <c r="M166" s="288"/>
      <c r="N166" s="287"/>
      <c r="O166" s="286">
        <v>0.15789473684210525</v>
      </c>
      <c r="P166" s="286">
        <v>5.2631578947368418E-2</v>
      </c>
      <c r="Q166" s="286">
        <v>0.17105263157894737</v>
      </c>
      <c r="R166" s="286">
        <v>0.35526315789473684</v>
      </c>
      <c r="S166" s="286">
        <v>0.21052631578947367</v>
      </c>
      <c r="T166" s="286">
        <v>0</v>
      </c>
      <c r="U166" s="286">
        <v>0.94736842105263153</v>
      </c>
    </row>
    <row r="167" spans="1:21" x14ac:dyDescent="0.2">
      <c r="A167" s="285"/>
      <c r="B167" s="283" t="s">
        <v>1608</v>
      </c>
      <c r="C167" s="283"/>
      <c r="D167" s="283" t="s">
        <v>1647</v>
      </c>
      <c r="E167" s="284">
        <v>0</v>
      </c>
      <c r="F167" s="284">
        <v>8.3333333333333329E-2</v>
      </c>
      <c r="G167" s="284">
        <v>0</v>
      </c>
      <c r="H167" s="284">
        <v>0</v>
      </c>
      <c r="I167" s="284">
        <v>7.407407407407407E-2</v>
      </c>
      <c r="J167" s="284">
        <v>6.25E-2</v>
      </c>
      <c r="K167" s="284">
        <v>0</v>
      </c>
      <c r="L167" s="284">
        <v>5.2631578947368418E-2</v>
      </c>
      <c r="M167" s="281">
        <v>6.5477715567761385E-2</v>
      </c>
      <c r="N167" s="280">
        <v>6.2031520011563417E-2</v>
      </c>
      <c r="O167" s="279"/>
      <c r="P167" s="279"/>
      <c r="Q167" s="279"/>
      <c r="R167" s="279"/>
      <c r="S167" s="279"/>
      <c r="T167" s="279"/>
      <c r="U167" s="279"/>
    </row>
    <row r="168" spans="1:21" x14ac:dyDescent="0.2">
      <c r="A168" s="285"/>
      <c r="B168" s="283" t="s">
        <v>1608</v>
      </c>
      <c r="C168" s="283"/>
      <c r="D168" s="283" t="s">
        <v>1648</v>
      </c>
      <c r="E168" s="284">
        <v>0</v>
      </c>
      <c r="F168" s="284">
        <v>0.25</v>
      </c>
      <c r="G168" s="284">
        <v>0</v>
      </c>
      <c r="H168" s="284">
        <v>7.6923076923076927E-2</v>
      </c>
      <c r="I168" s="284">
        <v>0.29629629629629628</v>
      </c>
      <c r="J168" s="284">
        <v>0.125</v>
      </c>
      <c r="K168" s="284">
        <v>0</v>
      </c>
      <c r="L168" s="284">
        <v>0.18421052631578946</v>
      </c>
      <c r="M168" s="281">
        <v>0.25158639657713883</v>
      </c>
      <c r="N168" s="280">
        <v>0.23834500728360519</v>
      </c>
      <c r="O168" s="279"/>
      <c r="P168" s="279"/>
      <c r="Q168" s="279"/>
      <c r="R168" s="279"/>
      <c r="S168" s="279"/>
      <c r="T168" s="279"/>
      <c r="U168" s="279"/>
    </row>
    <row r="169" spans="1:21" x14ac:dyDescent="0.2">
      <c r="A169" s="285"/>
      <c r="B169" s="283" t="s">
        <v>1608</v>
      </c>
      <c r="C169" s="283"/>
      <c r="D169" s="283" t="s">
        <v>1649</v>
      </c>
      <c r="E169" s="284">
        <v>0.5</v>
      </c>
      <c r="F169" s="284">
        <v>0.25</v>
      </c>
      <c r="G169" s="284">
        <v>0.5</v>
      </c>
      <c r="H169" s="284">
        <v>0.30769230769230771</v>
      </c>
      <c r="I169" s="284">
        <v>0.14814814814814814</v>
      </c>
      <c r="J169" s="284">
        <v>0.4375</v>
      </c>
      <c r="K169" s="284">
        <v>0</v>
      </c>
      <c r="L169" s="284">
        <v>0.28947368421052633</v>
      </c>
      <c r="M169" s="281">
        <v>0.20187761336384163</v>
      </c>
      <c r="N169" s="280">
        <v>0.21756826529206053</v>
      </c>
      <c r="O169" s="279"/>
      <c r="P169" s="279"/>
      <c r="Q169" s="279"/>
      <c r="R169" s="279"/>
      <c r="S169" s="279"/>
      <c r="T169" s="279"/>
      <c r="U169" s="279"/>
    </row>
    <row r="170" spans="1:21" x14ac:dyDescent="0.2">
      <c r="A170" s="285"/>
      <c r="B170" s="283" t="s">
        <v>1608</v>
      </c>
      <c r="C170" s="283"/>
      <c r="D170" s="283" t="s">
        <v>1650</v>
      </c>
      <c r="E170" s="284">
        <v>0</v>
      </c>
      <c r="F170" s="284">
        <v>0</v>
      </c>
      <c r="G170" s="284">
        <v>0</v>
      </c>
      <c r="H170" s="284">
        <v>0</v>
      </c>
      <c r="I170" s="284">
        <v>7.407407407407407E-2</v>
      </c>
      <c r="J170" s="284">
        <v>6.25E-2</v>
      </c>
      <c r="K170" s="284">
        <v>0</v>
      </c>
      <c r="L170" s="284">
        <v>3.9473684210526314E-2</v>
      </c>
      <c r="M170" s="281">
        <v>5.7217084635835032E-2</v>
      </c>
      <c r="N170" s="280">
        <v>5.4205659128685815E-2</v>
      </c>
      <c r="O170" s="279"/>
      <c r="P170" s="279"/>
      <c r="Q170" s="279"/>
      <c r="R170" s="279"/>
      <c r="S170" s="279"/>
      <c r="T170" s="279"/>
      <c r="U170" s="279"/>
    </row>
    <row r="171" spans="1:21" x14ac:dyDescent="0.2">
      <c r="A171" s="285"/>
      <c r="B171" s="283" t="s">
        <v>1608</v>
      </c>
      <c r="C171" s="283"/>
      <c r="D171" s="283" t="s">
        <v>1651</v>
      </c>
      <c r="E171" s="284">
        <v>0.25</v>
      </c>
      <c r="F171" s="284">
        <v>8.3333333333333329E-2</v>
      </c>
      <c r="G171" s="284">
        <v>0</v>
      </c>
      <c r="H171" s="284">
        <v>0.23076923076923078</v>
      </c>
      <c r="I171" s="284">
        <v>7.407407407407407E-2</v>
      </c>
      <c r="J171" s="284">
        <v>6.25E-2</v>
      </c>
      <c r="K171" s="284">
        <v>0</v>
      </c>
      <c r="L171" s="284">
        <v>0.10526315789473684</v>
      </c>
      <c r="M171" s="281">
        <v>9.1537069162366203E-2</v>
      </c>
      <c r="N171" s="280">
        <v>9.9877223416978522E-2</v>
      </c>
      <c r="O171" s="279"/>
      <c r="P171" s="279"/>
      <c r="Q171" s="279"/>
      <c r="R171" s="279"/>
      <c r="S171" s="279"/>
      <c r="T171" s="279"/>
      <c r="U171" s="279"/>
    </row>
    <row r="172" spans="1:21" x14ac:dyDescent="0.2">
      <c r="A172" s="285"/>
      <c r="B172" s="283" t="s">
        <v>1608</v>
      </c>
      <c r="C172" s="283"/>
      <c r="D172" s="283" t="s">
        <v>1652</v>
      </c>
      <c r="E172" s="284">
        <v>0</v>
      </c>
      <c r="F172" s="284">
        <v>8.3333333333333329E-2</v>
      </c>
      <c r="G172" s="284">
        <v>0.25</v>
      </c>
      <c r="H172" s="284">
        <v>0.38461538461538464</v>
      </c>
      <c r="I172" s="284">
        <v>0.29629629629629628</v>
      </c>
      <c r="J172" s="284">
        <v>0.1875</v>
      </c>
      <c r="K172" s="284">
        <v>0</v>
      </c>
      <c r="L172" s="284">
        <v>0.23684210526315788</v>
      </c>
      <c r="M172" s="281">
        <v>0.27570609828774922</v>
      </c>
      <c r="N172" s="280">
        <v>0.26119525100944663</v>
      </c>
      <c r="O172" s="279"/>
      <c r="P172" s="279"/>
      <c r="Q172" s="279"/>
      <c r="R172" s="279"/>
      <c r="S172" s="279"/>
      <c r="T172" s="279"/>
      <c r="U172" s="279"/>
    </row>
    <row r="173" spans="1:21" x14ac:dyDescent="0.2">
      <c r="B173" s="283" t="s">
        <v>1608</v>
      </c>
      <c r="C173" s="283"/>
      <c r="D173" s="283" t="s">
        <v>1653</v>
      </c>
      <c r="E173" s="284">
        <v>0.25</v>
      </c>
      <c r="F173" s="284">
        <v>0.25</v>
      </c>
      <c r="G173" s="284">
        <v>0.25</v>
      </c>
      <c r="H173" s="284">
        <v>0</v>
      </c>
      <c r="I173" s="284">
        <v>3.7037037037037035E-2</v>
      </c>
      <c r="J173" s="284">
        <v>6.25E-2</v>
      </c>
      <c r="K173" s="284">
        <v>0</v>
      </c>
      <c r="L173" s="284">
        <v>9.2105263157894732E-2</v>
      </c>
      <c r="M173" s="281">
        <v>5.6598022405307674E-2</v>
      </c>
      <c r="N173" s="280">
        <v>6.6777073857659908E-2</v>
      </c>
      <c r="O173" s="279"/>
      <c r="P173" s="279"/>
      <c r="Q173" s="279"/>
      <c r="R173" s="279"/>
      <c r="S173" s="279"/>
      <c r="T173" s="279"/>
      <c r="U173" s="279"/>
    </row>
    <row r="174" spans="1:21" x14ac:dyDescent="0.2">
      <c r="B174" s="283" t="s">
        <v>1608</v>
      </c>
      <c r="C174" s="283"/>
      <c r="D174" s="283" t="s">
        <v>1629</v>
      </c>
      <c r="E174" s="282">
        <v>1</v>
      </c>
      <c r="F174" s="282">
        <v>1</v>
      </c>
      <c r="G174" s="282">
        <v>1</v>
      </c>
      <c r="H174" s="282">
        <v>1</v>
      </c>
      <c r="I174" s="282">
        <v>1</v>
      </c>
      <c r="J174" s="282">
        <v>1</v>
      </c>
      <c r="K174" s="282">
        <v>0</v>
      </c>
      <c r="L174" s="282">
        <v>0.99999999999999989</v>
      </c>
      <c r="M174" s="281">
        <v>1.0000000000000002</v>
      </c>
      <c r="N174" s="280">
        <v>1</v>
      </c>
      <c r="O174" s="279"/>
      <c r="P174" s="279"/>
      <c r="Q174" s="279"/>
      <c r="R174" s="279"/>
      <c r="S174" s="279"/>
      <c r="T174" s="279"/>
      <c r="U174" s="279"/>
    </row>
    <row r="175" spans="1:21" x14ac:dyDescent="0.2">
      <c r="B175" s="278"/>
      <c r="F175" s="315"/>
      <c r="G175" s="315"/>
      <c r="H175" s="315"/>
      <c r="I175" s="315"/>
      <c r="J175" s="315"/>
      <c r="K175" s="315"/>
      <c r="L175" s="315"/>
      <c r="M175" s="288"/>
      <c r="N175" s="287"/>
      <c r="O175" s="279"/>
      <c r="P175" s="279"/>
      <c r="Q175" s="279"/>
      <c r="R175" s="279"/>
      <c r="S175" s="279"/>
      <c r="T175" s="279"/>
      <c r="U175" s="279"/>
    </row>
    <row r="176" spans="1:21" x14ac:dyDescent="0.2">
      <c r="A176" s="285" t="s">
        <v>1666</v>
      </c>
      <c r="B176" s="283" t="s">
        <v>1606</v>
      </c>
      <c r="C176" s="291">
        <v>1</v>
      </c>
      <c r="D176" s="291" t="s">
        <v>1656</v>
      </c>
      <c r="E176" s="289">
        <v>2</v>
      </c>
      <c r="F176" s="289">
        <v>7</v>
      </c>
      <c r="G176" s="289">
        <v>2</v>
      </c>
      <c r="H176" s="289">
        <v>3</v>
      </c>
      <c r="I176" s="289">
        <v>9</v>
      </c>
      <c r="J176" s="289">
        <v>5</v>
      </c>
      <c r="K176" s="289">
        <v>0</v>
      </c>
      <c r="L176" s="289">
        <v>28</v>
      </c>
      <c r="M176" s="288"/>
      <c r="N176" s="287"/>
      <c r="O176" s="279"/>
      <c r="P176" s="279"/>
      <c r="Q176" s="279"/>
      <c r="R176" s="279"/>
      <c r="S176" s="279"/>
      <c r="T176" s="279"/>
      <c r="U176" s="279"/>
    </row>
    <row r="177" spans="1:21" x14ac:dyDescent="0.2">
      <c r="A177" s="285"/>
      <c r="B177" s="283" t="s">
        <v>1606</v>
      </c>
      <c r="C177" s="291">
        <v>2</v>
      </c>
      <c r="D177" s="291" t="s">
        <v>330</v>
      </c>
      <c r="E177" s="289">
        <v>2</v>
      </c>
      <c r="F177" s="289">
        <v>5</v>
      </c>
      <c r="G177" s="289">
        <v>1</v>
      </c>
      <c r="H177" s="289">
        <v>7</v>
      </c>
      <c r="I177" s="289">
        <v>18</v>
      </c>
      <c r="J177" s="289">
        <v>10</v>
      </c>
      <c r="K177" s="289">
        <v>0</v>
      </c>
      <c r="L177" s="289">
        <v>43</v>
      </c>
      <c r="M177" s="288"/>
      <c r="N177" s="287"/>
      <c r="O177" s="279"/>
      <c r="P177" s="279"/>
      <c r="Q177" s="279"/>
      <c r="R177" s="279"/>
      <c r="S177" s="279"/>
      <c r="T177" s="279"/>
      <c r="U177" s="279"/>
    </row>
    <row r="178" spans="1:21" x14ac:dyDescent="0.2">
      <c r="A178" s="285"/>
      <c r="B178" s="283" t="s">
        <v>1606</v>
      </c>
      <c r="C178" s="291">
        <v>2</v>
      </c>
      <c r="D178" s="291" t="s">
        <v>1657</v>
      </c>
      <c r="E178" s="289">
        <v>0</v>
      </c>
      <c r="F178" s="289">
        <v>2</v>
      </c>
      <c r="G178" s="289">
        <v>0</v>
      </c>
      <c r="H178" s="289">
        <v>0</v>
      </c>
      <c r="I178" s="289">
        <v>1</v>
      </c>
      <c r="J178" s="289">
        <v>1</v>
      </c>
      <c r="K178" s="289">
        <v>0</v>
      </c>
      <c r="L178" s="289">
        <v>4</v>
      </c>
      <c r="M178" s="288"/>
      <c r="N178" s="287"/>
      <c r="O178" s="279"/>
      <c r="P178" s="279"/>
      <c r="Q178" s="279"/>
      <c r="R178" s="279"/>
      <c r="S178" s="279"/>
      <c r="T178" s="279"/>
      <c r="U178" s="279"/>
    </row>
    <row r="179" spans="1:21" x14ac:dyDescent="0.2">
      <c r="A179" s="285"/>
      <c r="B179" s="283" t="s">
        <v>1606</v>
      </c>
      <c r="C179" s="291">
        <v>3</v>
      </c>
      <c r="D179" s="291" t="s">
        <v>1627</v>
      </c>
      <c r="E179" s="289">
        <v>0</v>
      </c>
      <c r="F179" s="289">
        <v>1</v>
      </c>
      <c r="G179" s="289">
        <v>1</v>
      </c>
      <c r="H179" s="289">
        <v>3</v>
      </c>
      <c r="I179" s="289">
        <v>1</v>
      </c>
      <c r="J179" s="289">
        <v>1</v>
      </c>
      <c r="K179" s="289">
        <v>0</v>
      </c>
      <c r="L179" s="289">
        <v>7</v>
      </c>
      <c r="M179" s="288"/>
      <c r="N179" s="287"/>
      <c r="O179" s="279"/>
      <c r="P179" s="279"/>
      <c r="Q179" s="279"/>
      <c r="R179" s="279"/>
      <c r="S179" s="279"/>
      <c r="T179" s="279"/>
      <c r="U179" s="279"/>
    </row>
    <row r="180" spans="1:21" x14ac:dyDescent="0.2">
      <c r="A180" s="285"/>
      <c r="B180" s="283" t="s">
        <v>1606</v>
      </c>
      <c r="C180" s="292" t="s">
        <v>563</v>
      </c>
      <c r="D180" s="291" t="s">
        <v>1628</v>
      </c>
      <c r="E180" s="289">
        <v>178</v>
      </c>
      <c r="F180" s="289">
        <v>893</v>
      </c>
      <c r="G180" s="289">
        <v>110</v>
      </c>
      <c r="H180" s="289">
        <v>774</v>
      </c>
      <c r="I180" s="289">
        <v>1123</v>
      </c>
      <c r="J180" s="289">
        <v>343</v>
      </c>
      <c r="K180" s="289">
        <v>15</v>
      </c>
      <c r="L180" s="289">
        <v>3436</v>
      </c>
      <c r="M180" s="288"/>
      <c r="N180" s="287"/>
      <c r="O180" s="279"/>
      <c r="P180" s="279"/>
      <c r="Q180" s="279"/>
      <c r="R180" s="279"/>
      <c r="S180" s="279"/>
      <c r="T180" s="279"/>
      <c r="U180" s="279"/>
    </row>
    <row r="181" spans="1:21" x14ac:dyDescent="0.2">
      <c r="A181" s="285"/>
      <c r="B181" s="283" t="s">
        <v>1606</v>
      </c>
      <c r="C181" s="291"/>
      <c r="D181" s="291" t="s">
        <v>616</v>
      </c>
      <c r="E181" s="290">
        <v>182</v>
      </c>
      <c r="F181" s="290">
        <v>908</v>
      </c>
      <c r="G181" s="290">
        <v>114</v>
      </c>
      <c r="H181" s="290">
        <v>787</v>
      </c>
      <c r="I181" s="290">
        <v>1152</v>
      </c>
      <c r="J181" s="290">
        <v>360</v>
      </c>
      <c r="K181" s="290">
        <v>15</v>
      </c>
      <c r="L181" s="289">
        <v>3518</v>
      </c>
      <c r="M181" s="288"/>
      <c r="N181" s="287"/>
      <c r="O181" s="279"/>
      <c r="P181" s="279"/>
      <c r="Q181" s="279"/>
      <c r="R181" s="279"/>
      <c r="S181" s="279"/>
      <c r="T181" s="279"/>
      <c r="U181" s="279"/>
    </row>
    <row r="182" spans="1:21" x14ac:dyDescent="0.2">
      <c r="A182" s="285"/>
      <c r="B182" s="283" t="s">
        <v>1606</v>
      </c>
      <c r="C182" s="291"/>
      <c r="D182" s="291" t="s">
        <v>1629</v>
      </c>
      <c r="E182" s="314">
        <v>4</v>
      </c>
      <c r="F182" s="314">
        <v>14</v>
      </c>
      <c r="G182" s="314">
        <v>3</v>
      </c>
      <c r="H182" s="314">
        <v>10</v>
      </c>
      <c r="I182" s="314">
        <v>28</v>
      </c>
      <c r="J182" s="314">
        <v>16</v>
      </c>
      <c r="K182" s="314">
        <v>0</v>
      </c>
      <c r="L182" s="289">
        <v>75</v>
      </c>
      <c r="M182" s="288"/>
      <c r="N182" s="287"/>
      <c r="O182" s="286">
        <v>0.18666666666666668</v>
      </c>
      <c r="P182" s="286">
        <v>0.04</v>
      </c>
      <c r="Q182" s="286">
        <v>0.13333333333333333</v>
      </c>
      <c r="R182" s="286">
        <v>0.37333333333333335</v>
      </c>
      <c r="S182" s="286">
        <v>0.21333333333333335</v>
      </c>
      <c r="T182" s="286">
        <v>0</v>
      </c>
      <c r="U182" s="286">
        <v>0.94666666666666677</v>
      </c>
    </row>
    <row r="183" spans="1:21" x14ac:dyDescent="0.2">
      <c r="A183" s="285"/>
      <c r="B183" s="283" t="s">
        <v>1608</v>
      </c>
      <c r="C183" s="283"/>
      <c r="D183" s="283" t="s">
        <v>1656</v>
      </c>
      <c r="E183" s="284">
        <v>0.5</v>
      </c>
      <c r="F183" s="284">
        <v>0.5</v>
      </c>
      <c r="G183" s="284">
        <v>0.66666666666666663</v>
      </c>
      <c r="H183" s="284">
        <v>0.3</v>
      </c>
      <c r="I183" s="284">
        <v>0.32142857142857145</v>
      </c>
      <c r="J183" s="284">
        <v>0.3125</v>
      </c>
      <c r="K183" s="284">
        <v>0</v>
      </c>
      <c r="L183" s="284">
        <v>0.37333333333333335</v>
      </c>
      <c r="M183" s="281">
        <v>0.342836118781431</v>
      </c>
      <c r="N183" s="280">
        <v>0.35121819244642133</v>
      </c>
      <c r="O183" s="279"/>
      <c r="P183" s="279"/>
      <c r="Q183" s="279"/>
      <c r="R183" s="279"/>
      <c r="S183" s="279"/>
      <c r="T183" s="279"/>
      <c r="U183" s="279"/>
    </row>
    <row r="184" spans="1:21" x14ac:dyDescent="0.2">
      <c r="A184" s="285"/>
      <c r="B184" s="283" t="s">
        <v>1608</v>
      </c>
      <c r="C184" s="283"/>
      <c r="D184" s="283" t="s">
        <v>330</v>
      </c>
      <c r="E184" s="284">
        <v>0.5</v>
      </c>
      <c r="F184" s="284">
        <v>0.35714285714285715</v>
      </c>
      <c r="G184" s="284">
        <v>0.33333333333333331</v>
      </c>
      <c r="H184" s="284">
        <v>0.7</v>
      </c>
      <c r="I184" s="284">
        <v>0.6428571428571429</v>
      </c>
      <c r="J184" s="284">
        <v>0.625</v>
      </c>
      <c r="K184" s="284">
        <v>0</v>
      </c>
      <c r="L184" s="284">
        <v>0.57333333333333336</v>
      </c>
      <c r="M184" s="281">
        <v>0.60769019076868891</v>
      </c>
      <c r="N184" s="280">
        <v>0.60194671392769217</v>
      </c>
      <c r="O184" s="279"/>
      <c r="P184" s="279"/>
      <c r="Q184" s="279"/>
      <c r="R184" s="279"/>
      <c r="S184" s="279"/>
      <c r="T184" s="279"/>
      <c r="U184" s="279"/>
    </row>
    <row r="185" spans="1:21" x14ac:dyDescent="0.2">
      <c r="B185" s="283" t="s">
        <v>1608</v>
      </c>
      <c r="C185" s="283"/>
      <c r="D185" s="316" t="s">
        <v>1658</v>
      </c>
      <c r="E185" s="284">
        <v>0</v>
      </c>
      <c r="F185" s="284">
        <v>0.14285714285714285</v>
      </c>
      <c r="G185" s="284">
        <v>0</v>
      </c>
      <c r="H185" s="284">
        <v>0</v>
      </c>
      <c r="I185" s="284">
        <v>3.5714285714285712E-2</v>
      </c>
      <c r="J185" s="284">
        <v>6.25E-2</v>
      </c>
      <c r="K185" s="284">
        <v>0</v>
      </c>
      <c r="L185" s="284">
        <v>5.3333333333333337E-2</v>
      </c>
      <c r="M185" s="281">
        <v>4.9473690449880141E-2</v>
      </c>
      <c r="N185" s="280">
        <v>4.6835093625886538E-2</v>
      </c>
      <c r="O185" s="279"/>
      <c r="P185" s="279"/>
      <c r="Q185" s="279"/>
      <c r="R185" s="279"/>
      <c r="S185" s="279"/>
      <c r="T185" s="279"/>
      <c r="U185" s="279"/>
    </row>
    <row r="186" spans="1:21" x14ac:dyDescent="0.2">
      <c r="B186" s="283" t="s">
        <v>1608</v>
      </c>
      <c r="C186" s="283"/>
      <c r="D186" s="283" t="s">
        <v>1629</v>
      </c>
      <c r="E186" s="284">
        <v>1</v>
      </c>
      <c r="F186" s="284">
        <v>1</v>
      </c>
      <c r="G186" s="284">
        <v>1</v>
      </c>
      <c r="H186" s="284">
        <v>1</v>
      </c>
      <c r="I186" s="284">
        <v>1.0000000000000002</v>
      </c>
      <c r="J186" s="284">
        <v>1</v>
      </c>
      <c r="K186" s="284">
        <v>0</v>
      </c>
      <c r="L186" s="284">
        <v>1</v>
      </c>
      <c r="M186" s="281">
        <v>1</v>
      </c>
      <c r="N186" s="280">
        <v>1</v>
      </c>
      <c r="O186" s="279"/>
      <c r="P186" s="279"/>
      <c r="Q186" s="279"/>
      <c r="R186" s="279"/>
      <c r="S186" s="279"/>
      <c r="T186" s="279"/>
      <c r="U186" s="279"/>
    </row>
    <row r="187" spans="1:21" x14ac:dyDescent="0.2">
      <c r="A187" s="285" t="s">
        <v>1667</v>
      </c>
      <c r="B187" s="278"/>
      <c r="F187" s="315"/>
      <c r="G187" s="315"/>
      <c r="H187" s="315"/>
      <c r="I187" s="315"/>
      <c r="J187" s="315"/>
      <c r="K187" s="315"/>
      <c r="L187" s="315"/>
      <c r="M187" s="288"/>
      <c r="N187" s="287"/>
      <c r="O187" s="279"/>
      <c r="P187" s="279"/>
      <c r="Q187" s="279"/>
      <c r="R187" s="279"/>
      <c r="S187" s="279"/>
      <c r="T187" s="279"/>
      <c r="U187" s="279"/>
    </row>
    <row r="188" spans="1:21" x14ac:dyDescent="0.2">
      <c r="A188" s="285"/>
      <c r="B188" s="283" t="s">
        <v>1606</v>
      </c>
      <c r="C188" s="291">
        <v>1</v>
      </c>
      <c r="D188" s="291" t="s">
        <v>115</v>
      </c>
      <c r="E188" s="289">
        <v>1</v>
      </c>
      <c r="F188" s="289">
        <v>3</v>
      </c>
      <c r="G188" s="289">
        <v>1</v>
      </c>
      <c r="H188" s="289">
        <v>5</v>
      </c>
      <c r="I188" s="289">
        <v>6</v>
      </c>
      <c r="J188" s="289">
        <v>2</v>
      </c>
      <c r="K188" s="289">
        <v>0</v>
      </c>
      <c r="L188" s="289">
        <v>18</v>
      </c>
      <c r="M188" s="288"/>
      <c r="N188" s="287"/>
      <c r="O188" s="279"/>
      <c r="P188" s="279"/>
      <c r="Q188" s="279"/>
      <c r="R188" s="279"/>
      <c r="S188" s="279"/>
      <c r="T188" s="279"/>
      <c r="U188" s="279"/>
    </row>
    <row r="189" spans="1:21" x14ac:dyDescent="0.2">
      <c r="A189" s="285"/>
      <c r="B189" s="283" t="s">
        <v>1606</v>
      </c>
      <c r="C189" s="291">
        <v>2</v>
      </c>
      <c r="D189" s="291" t="s">
        <v>114</v>
      </c>
      <c r="E189" s="289">
        <v>1</v>
      </c>
      <c r="F189" s="289">
        <v>4</v>
      </c>
      <c r="G189" s="289">
        <v>0</v>
      </c>
      <c r="H189" s="289">
        <v>2</v>
      </c>
      <c r="I189" s="289">
        <v>13</v>
      </c>
      <c r="J189" s="289">
        <v>9</v>
      </c>
      <c r="K189" s="289">
        <v>0</v>
      </c>
      <c r="L189" s="289">
        <v>29</v>
      </c>
      <c r="M189" s="288"/>
      <c r="N189" s="287"/>
      <c r="O189" s="279"/>
      <c r="P189" s="279"/>
      <c r="Q189" s="279"/>
      <c r="R189" s="279"/>
      <c r="S189" s="279"/>
      <c r="T189" s="279"/>
      <c r="U189" s="279"/>
    </row>
    <row r="190" spans="1:21" x14ac:dyDescent="0.2">
      <c r="A190" s="285"/>
      <c r="B190" s="283" t="s">
        <v>1606</v>
      </c>
      <c r="C190" s="291">
        <v>3</v>
      </c>
      <c r="D190" s="291" t="s">
        <v>1627</v>
      </c>
      <c r="E190" s="289">
        <v>0</v>
      </c>
      <c r="F190" s="289">
        <v>0</v>
      </c>
      <c r="G190" s="289">
        <v>0</v>
      </c>
      <c r="H190" s="289">
        <v>0</v>
      </c>
      <c r="I190" s="289">
        <v>0</v>
      </c>
      <c r="J190" s="289">
        <v>0</v>
      </c>
      <c r="K190" s="289">
        <v>0</v>
      </c>
      <c r="L190" s="289">
        <v>0</v>
      </c>
      <c r="M190" s="288"/>
      <c r="N190" s="287"/>
      <c r="O190" s="279"/>
      <c r="P190" s="279"/>
      <c r="Q190" s="279"/>
      <c r="R190" s="279"/>
      <c r="S190" s="279"/>
      <c r="T190" s="279"/>
      <c r="U190" s="279"/>
    </row>
    <row r="191" spans="1:21" x14ac:dyDescent="0.2">
      <c r="A191" s="285"/>
      <c r="B191" s="283" t="s">
        <v>1606</v>
      </c>
      <c r="C191" s="292" t="s">
        <v>563</v>
      </c>
      <c r="D191" s="291" t="s">
        <v>1628</v>
      </c>
      <c r="E191" s="289">
        <v>180</v>
      </c>
      <c r="F191" s="289">
        <v>899</v>
      </c>
      <c r="G191" s="289">
        <v>113</v>
      </c>
      <c r="H191" s="289">
        <v>780</v>
      </c>
      <c r="I191" s="289">
        <v>1132</v>
      </c>
      <c r="J191" s="289">
        <v>348</v>
      </c>
      <c r="K191" s="289">
        <v>15</v>
      </c>
      <c r="L191" s="289">
        <v>3467</v>
      </c>
      <c r="M191" s="288"/>
      <c r="N191" s="287"/>
      <c r="O191" s="279"/>
      <c r="P191" s="279"/>
      <c r="Q191" s="279"/>
      <c r="R191" s="279"/>
      <c r="S191" s="279"/>
      <c r="T191" s="279"/>
      <c r="U191" s="279"/>
    </row>
    <row r="192" spans="1:21" x14ac:dyDescent="0.2">
      <c r="A192" s="285"/>
      <c r="B192" s="283" t="s">
        <v>1606</v>
      </c>
      <c r="C192" s="291"/>
      <c r="D192" s="291" t="s">
        <v>616</v>
      </c>
      <c r="E192" s="290">
        <v>182</v>
      </c>
      <c r="F192" s="290">
        <v>906</v>
      </c>
      <c r="G192" s="290">
        <v>114</v>
      </c>
      <c r="H192" s="290">
        <v>787</v>
      </c>
      <c r="I192" s="290">
        <v>1151</v>
      </c>
      <c r="J192" s="290">
        <v>359</v>
      </c>
      <c r="K192" s="290">
        <v>15</v>
      </c>
      <c r="L192" s="289">
        <v>3514</v>
      </c>
      <c r="M192" s="288"/>
      <c r="N192" s="287"/>
      <c r="O192" s="279"/>
      <c r="P192" s="279"/>
      <c r="Q192" s="279"/>
      <c r="R192" s="279"/>
      <c r="S192" s="279"/>
      <c r="T192" s="279"/>
      <c r="U192" s="279"/>
    </row>
    <row r="193" spans="1:21" x14ac:dyDescent="0.2">
      <c r="A193" s="285"/>
      <c r="B193" s="283" t="s">
        <v>1606</v>
      </c>
      <c r="C193" s="291"/>
      <c r="D193" s="291" t="s">
        <v>1629</v>
      </c>
      <c r="E193" s="314">
        <v>2</v>
      </c>
      <c r="F193" s="314">
        <v>7</v>
      </c>
      <c r="G193" s="314">
        <v>1</v>
      </c>
      <c r="H193" s="314">
        <v>7</v>
      </c>
      <c r="I193" s="314">
        <v>19</v>
      </c>
      <c r="J193" s="314">
        <v>11</v>
      </c>
      <c r="K193" s="314">
        <v>0</v>
      </c>
      <c r="L193" s="289">
        <v>47</v>
      </c>
      <c r="M193" s="288"/>
      <c r="N193" s="287"/>
      <c r="O193" s="286">
        <v>0.14893617021276595</v>
      </c>
      <c r="P193" s="286">
        <v>2.1276595744680851E-2</v>
      </c>
      <c r="Q193" s="286">
        <v>0.14893617021276595</v>
      </c>
      <c r="R193" s="286">
        <v>0.40425531914893614</v>
      </c>
      <c r="S193" s="286">
        <v>0.23404255319148937</v>
      </c>
      <c r="T193" s="286">
        <v>0</v>
      </c>
      <c r="U193" s="286">
        <v>0.95744680851063824</v>
      </c>
    </row>
    <row r="194" spans="1:21" x14ac:dyDescent="0.2">
      <c r="A194" s="285"/>
      <c r="B194" s="283" t="s">
        <v>1608</v>
      </c>
      <c r="C194" s="283"/>
      <c r="D194" s="283" t="s">
        <v>115</v>
      </c>
      <c r="E194" s="284">
        <v>0.5</v>
      </c>
      <c r="F194" s="284">
        <v>0.42857142857142855</v>
      </c>
      <c r="G194" s="284">
        <v>1</v>
      </c>
      <c r="H194" s="284">
        <v>0.7142857142857143</v>
      </c>
      <c r="I194" s="284">
        <v>0.31578947368421051</v>
      </c>
      <c r="J194" s="284">
        <v>0.18181818181818182</v>
      </c>
      <c r="K194" s="284">
        <v>0</v>
      </c>
      <c r="L194" s="284">
        <v>0.38297872340425532</v>
      </c>
      <c r="M194" s="281">
        <v>0.34111771470194346</v>
      </c>
      <c r="N194" s="280">
        <v>0.34787866301249909</v>
      </c>
      <c r="O194" s="279"/>
      <c r="P194" s="279"/>
      <c r="Q194" s="279"/>
      <c r="R194" s="279"/>
      <c r="S194" s="279"/>
      <c r="T194" s="279"/>
      <c r="U194" s="279"/>
    </row>
    <row r="195" spans="1:21" x14ac:dyDescent="0.2">
      <c r="A195" s="285"/>
      <c r="B195" s="283" t="s">
        <v>1608</v>
      </c>
      <c r="C195" s="283"/>
      <c r="D195" s="283" t="s">
        <v>114</v>
      </c>
      <c r="E195" s="284">
        <v>0.5</v>
      </c>
      <c r="F195" s="284">
        <v>0.5714285714285714</v>
      </c>
      <c r="G195" s="284">
        <v>0</v>
      </c>
      <c r="H195" s="284">
        <v>0.2857142857142857</v>
      </c>
      <c r="I195" s="284">
        <v>0.68421052631578949</v>
      </c>
      <c r="J195" s="284">
        <v>0.81818181818181823</v>
      </c>
      <c r="K195" s="284">
        <v>0</v>
      </c>
      <c r="L195" s="284">
        <v>0.61702127659574468</v>
      </c>
      <c r="M195" s="281">
        <v>0.6588822852980567</v>
      </c>
      <c r="N195" s="280">
        <v>0.65212133698750108</v>
      </c>
      <c r="O195" s="279"/>
      <c r="P195" s="279"/>
      <c r="Q195" s="279"/>
      <c r="R195" s="279"/>
      <c r="S195" s="279"/>
      <c r="T195" s="279"/>
      <c r="U195" s="279"/>
    </row>
    <row r="196" spans="1:21" x14ac:dyDescent="0.2">
      <c r="A196" s="285"/>
      <c r="B196" s="283" t="s">
        <v>1608</v>
      </c>
      <c r="C196" s="283"/>
      <c r="D196" s="283" t="s">
        <v>1629</v>
      </c>
      <c r="E196" s="282">
        <v>1</v>
      </c>
      <c r="F196" s="282">
        <v>1</v>
      </c>
      <c r="G196" s="282">
        <v>1</v>
      </c>
      <c r="H196" s="282">
        <v>1</v>
      </c>
      <c r="I196" s="282">
        <v>1</v>
      </c>
      <c r="J196" s="282">
        <v>1</v>
      </c>
      <c r="K196" s="282">
        <v>0</v>
      </c>
      <c r="L196" s="282">
        <v>1</v>
      </c>
      <c r="M196" s="281">
        <v>1.0000000000000002</v>
      </c>
      <c r="N196" s="280">
        <v>1.0000000000000002</v>
      </c>
      <c r="O196" s="279"/>
      <c r="P196" s="279"/>
      <c r="Q196" s="279"/>
      <c r="R196" s="279"/>
      <c r="S196" s="279"/>
      <c r="T196" s="279"/>
      <c r="U196" s="279"/>
    </row>
    <row r="197" spans="1:21" x14ac:dyDescent="0.2">
      <c r="A197" s="285"/>
      <c r="B197" s="283"/>
      <c r="C197" s="283"/>
      <c r="D197" s="283"/>
      <c r="E197" s="283"/>
      <c r="F197" s="282"/>
      <c r="G197" s="282"/>
      <c r="H197" s="282"/>
      <c r="I197" s="282"/>
      <c r="J197" s="282"/>
      <c r="K197" s="282"/>
      <c r="M197" s="288"/>
      <c r="N197" s="287"/>
      <c r="O197" s="279"/>
      <c r="P197" s="279"/>
      <c r="Q197" s="279"/>
      <c r="R197" s="279"/>
      <c r="S197" s="279"/>
      <c r="T197" s="279"/>
      <c r="U197" s="279"/>
    </row>
    <row r="198" spans="1:21" x14ac:dyDescent="0.2">
      <c r="A198" s="285" t="s">
        <v>1668</v>
      </c>
      <c r="B198" s="283" t="s">
        <v>1661</v>
      </c>
      <c r="C198" s="283"/>
      <c r="D198" s="283" t="s">
        <v>1664</v>
      </c>
      <c r="E198" s="310">
        <v>3.2492487931780198</v>
      </c>
      <c r="F198" s="310">
        <v>3.5178203360070599</v>
      </c>
      <c r="G198" s="310">
        <v>3.9444444444444446</v>
      </c>
      <c r="H198" s="310">
        <v>4.6878018008545359</v>
      </c>
      <c r="I198" s="310">
        <v>3.5898696334513902</v>
      </c>
      <c r="J198" s="310">
        <v>3.8292787215564479</v>
      </c>
      <c r="K198" s="310">
        <v>5.0758122743682312</v>
      </c>
      <c r="L198" s="310">
        <v>3.9091604222752383</v>
      </c>
      <c r="M198" s="309">
        <v>3.8865950164060235</v>
      </c>
      <c r="N198" s="308">
        <v>3.853585052653179</v>
      </c>
      <c r="O198" s="279"/>
      <c r="P198" s="279"/>
      <c r="Q198" s="279"/>
      <c r="R198" s="279"/>
      <c r="S198" s="279"/>
      <c r="T198" s="279"/>
      <c r="U198" s="279"/>
    </row>
    <row r="199" spans="1:21" x14ac:dyDescent="0.2">
      <c r="A199" s="285" t="s">
        <v>1669</v>
      </c>
      <c r="B199" s="283" t="s">
        <v>1661</v>
      </c>
      <c r="C199" s="283"/>
      <c r="D199" s="283" t="s">
        <v>1664</v>
      </c>
      <c r="E199" s="310">
        <v>2.9635396001347272</v>
      </c>
      <c r="F199" s="310">
        <v>3.1391152254832773</v>
      </c>
      <c r="G199" s="310">
        <v>3.3166666666666669</v>
      </c>
      <c r="H199" s="310">
        <v>4.2002881695633443</v>
      </c>
      <c r="I199" s="310">
        <v>3.320369344170623</v>
      </c>
      <c r="J199" s="310">
        <v>3.4866658100307242</v>
      </c>
      <c r="K199" s="310">
        <v>4.666666666666667</v>
      </c>
      <c r="L199" s="310">
        <v>3.5494080997917501</v>
      </c>
      <c r="M199" s="309">
        <v>3.5120018475966237</v>
      </c>
      <c r="N199" s="308">
        <v>3.483595436373498</v>
      </c>
      <c r="O199" s="279"/>
      <c r="P199" s="279"/>
      <c r="Q199" s="279"/>
      <c r="R199" s="279"/>
      <c r="S199" s="279"/>
      <c r="T199" s="279"/>
      <c r="U199" s="279"/>
    </row>
    <row r="200" spans="1:21" x14ac:dyDescent="0.2">
      <c r="A200" s="285" t="s">
        <v>1670</v>
      </c>
      <c r="B200" s="283" t="s">
        <v>1661</v>
      </c>
      <c r="C200" s="283"/>
      <c r="D200" s="283" t="s">
        <v>1664</v>
      </c>
      <c r="E200" s="313">
        <v>1.6455177854274241</v>
      </c>
      <c r="F200" s="313">
        <v>2.3203235294117648</v>
      </c>
      <c r="G200" s="313">
        <v>0.59166666666666667</v>
      </c>
      <c r="H200" s="313">
        <v>2.6105646154977591</v>
      </c>
      <c r="I200" s="313">
        <v>1.8433076386637877</v>
      </c>
      <c r="J200" s="313">
        <v>1.1092857142857142</v>
      </c>
      <c r="K200" s="313">
        <v>2.2499999999999999E-2</v>
      </c>
      <c r="L200" s="313">
        <v>2.1207063329973828</v>
      </c>
      <c r="M200" s="312">
        <v>1.9894863936297014</v>
      </c>
      <c r="N200" s="311">
        <v>1.9716712864319739</v>
      </c>
      <c r="O200" s="279"/>
      <c r="P200" s="279"/>
      <c r="Q200" s="279"/>
      <c r="R200" s="279"/>
      <c r="S200" s="279"/>
      <c r="T200" s="279"/>
      <c r="U200" s="279"/>
    </row>
    <row r="201" spans="1:21" x14ac:dyDescent="0.2">
      <c r="A201" s="285" t="s">
        <v>1671</v>
      </c>
      <c r="B201" s="283" t="s">
        <v>1661</v>
      </c>
      <c r="C201" s="283"/>
      <c r="D201" s="283" t="s">
        <v>1664</v>
      </c>
      <c r="E201" s="313">
        <v>1.4380808950086059</v>
      </c>
      <c r="F201" s="313">
        <v>1.9803235294117647</v>
      </c>
      <c r="G201" s="313">
        <v>0.40833333333333333</v>
      </c>
      <c r="H201" s="313">
        <v>2.1443229181450585</v>
      </c>
      <c r="I201" s="313">
        <v>1.5656601692864676</v>
      </c>
      <c r="J201" s="313">
        <v>1.0092857142857143</v>
      </c>
      <c r="K201" s="313">
        <v>2.1250000000000002E-2</v>
      </c>
      <c r="L201" s="313">
        <v>1.7754439626745091</v>
      </c>
      <c r="M201" s="312">
        <v>1.6783939398812548</v>
      </c>
      <c r="N201" s="311">
        <v>1.6659474475173328</v>
      </c>
      <c r="O201" s="279"/>
      <c r="P201" s="279"/>
      <c r="Q201" s="279"/>
      <c r="R201" s="279"/>
      <c r="S201" s="279"/>
      <c r="T201" s="279"/>
      <c r="U201" s="279"/>
    </row>
    <row r="202" spans="1:21" x14ac:dyDescent="0.2">
      <c r="A202" s="285" t="s">
        <v>1672</v>
      </c>
      <c r="B202" s="283" t="s">
        <v>1661</v>
      </c>
      <c r="C202" s="283"/>
      <c r="D202" s="283" t="s">
        <v>1664</v>
      </c>
      <c r="E202" s="310">
        <v>1.6666666666666667</v>
      </c>
      <c r="F202" s="310">
        <v>1.8602941176470589</v>
      </c>
      <c r="G202" s="310">
        <v>5</v>
      </c>
      <c r="H202" s="310">
        <v>3.2</v>
      </c>
      <c r="I202" s="310">
        <v>2.2895927601809953</v>
      </c>
      <c r="J202" s="310">
        <v>2.9499999999999997</v>
      </c>
      <c r="K202" s="310" t="s">
        <v>336</v>
      </c>
      <c r="L202" s="310">
        <v>2.5827264239028946</v>
      </c>
      <c r="M202" s="309">
        <v>2.6083730952741901</v>
      </c>
      <c r="N202" s="308">
        <v>2.5595994555455137</v>
      </c>
      <c r="O202" s="279"/>
      <c r="P202" s="279"/>
      <c r="Q202" s="279"/>
      <c r="R202" s="279"/>
      <c r="S202" s="279"/>
      <c r="T202" s="279"/>
      <c r="U202" s="279"/>
    </row>
    <row r="203" spans="1:21" x14ac:dyDescent="0.2">
      <c r="A203" s="285" t="s">
        <v>1673</v>
      </c>
      <c r="B203" s="283" t="s">
        <v>1661</v>
      </c>
      <c r="C203" s="283"/>
      <c r="D203" s="283" t="s">
        <v>1664</v>
      </c>
      <c r="E203" s="310">
        <v>0.75</v>
      </c>
      <c r="F203" s="310">
        <v>1.599264705882353</v>
      </c>
      <c r="G203" s="310">
        <v>4.75</v>
      </c>
      <c r="H203" s="310">
        <v>2.4</v>
      </c>
      <c r="I203" s="310">
        <v>2.0164027149321266</v>
      </c>
      <c r="J203" s="310">
        <v>2.1107142857142858</v>
      </c>
      <c r="K203" s="310" t="s">
        <v>336</v>
      </c>
      <c r="L203" s="310">
        <v>2.0717553688141921</v>
      </c>
      <c r="M203" s="309">
        <v>2.1444234459327927</v>
      </c>
      <c r="N203" s="308">
        <v>2.0722023112828873</v>
      </c>
      <c r="O203" s="279"/>
      <c r="P203" s="279"/>
      <c r="Q203" s="279"/>
      <c r="R203" s="279"/>
      <c r="S203" s="279"/>
      <c r="T203" s="279"/>
      <c r="U203" s="279"/>
    </row>
    <row r="204" spans="1:21" x14ac:dyDescent="0.2">
      <c r="A204" s="285" t="s">
        <v>1674</v>
      </c>
      <c r="B204" s="283" t="s">
        <v>1661</v>
      </c>
      <c r="C204" s="283"/>
      <c r="D204" s="283" t="s">
        <v>1664</v>
      </c>
      <c r="E204" s="310">
        <v>18</v>
      </c>
      <c r="F204" s="310">
        <v>3.2856558029192193</v>
      </c>
      <c r="G204" s="310" t="s">
        <v>336</v>
      </c>
      <c r="H204" s="310">
        <v>8.9844850104257841</v>
      </c>
      <c r="I204" s="310">
        <v>12.276127782841222</v>
      </c>
      <c r="J204" s="310">
        <v>7.8</v>
      </c>
      <c r="K204" s="310">
        <v>20</v>
      </c>
      <c r="L204" s="310">
        <v>9.9651145399226753</v>
      </c>
      <c r="M204" s="309">
        <v>8.6014379329890769</v>
      </c>
      <c r="N204" s="308">
        <v>9.0882160480135461</v>
      </c>
      <c r="O204" s="279"/>
      <c r="P204" s="279"/>
      <c r="Q204" s="279"/>
      <c r="R204" s="279"/>
      <c r="S204" s="279"/>
      <c r="T204" s="279"/>
      <c r="U204" s="279"/>
    </row>
    <row r="205" spans="1:21" x14ac:dyDescent="0.2">
      <c r="A205" s="285" t="s">
        <v>1675</v>
      </c>
      <c r="B205" s="283" t="s">
        <v>1661</v>
      </c>
      <c r="C205" s="283"/>
      <c r="D205" s="283" t="s">
        <v>1664</v>
      </c>
      <c r="E205" s="310">
        <v>17</v>
      </c>
      <c r="F205" s="310">
        <v>2.6983607137059731</v>
      </c>
      <c r="G205" s="310" t="s">
        <v>336</v>
      </c>
      <c r="H205" s="310">
        <v>8.5848947688552855</v>
      </c>
      <c r="I205" s="310">
        <v>11.451844860092846</v>
      </c>
      <c r="J205" s="310">
        <v>7</v>
      </c>
      <c r="K205" s="310">
        <v>15</v>
      </c>
      <c r="L205" s="310">
        <v>9.2090414480555953</v>
      </c>
      <c r="M205" s="309">
        <v>7.9279989225796141</v>
      </c>
      <c r="N205" s="308">
        <v>8.3978635202149334</v>
      </c>
      <c r="O205" s="279"/>
      <c r="P205" s="279"/>
      <c r="Q205" s="279"/>
      <c r="R205" s="279"/>
      <c r="S205" s="279"/>
      <c r="T205" s="279"/>
      <c r="U205" s="279"/>
    </row>
    <row r="206" spans="1:21" x14ac:dyDescent="0.2">
      <c r="A206" s="285" t="s">
        <v>1676</v>
      </c>
      <c r="B206" s="283" t="s">
        <v>1661</v>
      </c>
      <c r="C206" s="283"/>
      <c r="D206" s="283" t="s">
        <v>1664</v>
      </c>
      <c r="E206" s="295">
        <v>1042.3908771349754</v>
      </c>
      <c r="F206" s="295">
        <v>1130.0483484057108</v>
      </c>
      <c r="G206" s="295">
        <v>1067.4442931704468</v>
      </c>
      <c r="H206" s="295">
        <v>1120.7394589790315</v>
      </c>
      <c r="I206" s="295">
        <v>1159.4678868081446</v>
      </c>
      <c r="J206" s="295">
        <v>1143.7585976097755</v>
      </c>
      <c r="K206" s="295">
        <v>730</v>
      </c>
      <c r="L206" s="295">
        <v>1132.9786852010022</v>
      </c>
      <c r="M206" s="304">
        <v>1134.8457651489994</v>
      </c>
      <c r="N206" s="303">
        <v>1130.0572649729743</v>
      </c>
      <c r="O206" s="279"/>
      <c r="P206" s="279"/>
      <c r="Q206" s="279"/>
      <c r="R206" s="279"/>
      <c r="S206" s="279"/>
      <c r="T206" s="279"/>
      <c r="U206" s="279"/>
    </row>
    <row r="207" spans="1:21" x14ac:dyDescent="0.2">
      <c r="A207" s="285" t="s">
        <v>1677</v>
      </c>
      <c r="B207" s="283" t="s">
        <v>1661</v>
      </c>
      <c r="C207" s="283"/>
      <c r="D207" s="283" t="s">
        <v>1664</v>
      </c>
      <c r="E207" s="295">
        <v>846.69910947497078</v>
      </c>
      <c r="F207" s="295">
        <v>873.79814547423143</v>
      </c>
      <c r="G207" s="295">
        <v>855.8158996526364</v>
      </c>
      <c r="H207" s="295">
        <v>877.50712273878071</v>
      </c>
      <c r="I207" s="295">
        <v>902.99279431443415</v>
      </c>
      <c r="J207" s="295">
        <v>887.50153546296565</v>
      </c>
      <c r="K207" s="295">
        <v>606.85714285714289</v>
      </c>
      <c r="L207" s="295">
        <v>883.61517938798693</v>
      </c>
      <c r="M207" s="304">
        <v>884.3094205864337</v>
      </c>
      <c r="N207" s="303">
        <v>882.36147618623852</v>
      </c>
      <c r="O207" s="279"/>
      <c r="P207" s="279"/>
      <c r="Q207" s="279"/>
      <c r="R207" s="279"/>
      <c r="S207" s="279"/>
      <c r="T207" s="279"/>
      <c r="U207" s="279"/>
    </row>
    <row r="208" spans="1:21" x14ac:dyDescent="0.2">
      <c r="A208" s="285" t="s">
        <v>1678</v>
      </c>
      <c r="B208" s="283" t="s">
        <v>1661</v>
      </c>
      <c r="C208" s="283"/>
      <c r="D208" s="283" t="s">
        <v>1664</v>
      </c>
      <c r="E208" s="295">
        <v>269.82649071358748</v>
      </c>
      <c r="F208" s="295">
        <v>441.8308778234404</v>
      </c>
      <c r="G208" s="295">
        <v>28.333333333333332</v>
      </c>
      <c r="H208" s="295">
        <v>261.35000228427134</v>
      </c>
      <c r="I208" s="295">
        <v>342.2513744020136</v>
      </c>
      <c r="J208" s="295">
        <v>276.63636363636363</v>
      </c>
      <c r="K208" s="295" t="s">
        <v>336</v>
      </c>
      <c r="L208" s="295">
        <v>315.38807046865361</v>
      </c>
      <c r="M208" s="304">
        <v>324.87099659284775</v>
      </c>
      <c r="N208" s="303">
        <v>322.02008592977847</v>
      </c>
      <c r="O208" s="279"/>
      <c r="P208" s="279"/>
      <c r="Q208" s="279"/>
      <c r="R208" s="279"/>
      <c r="S208" s="279"/>
      <c r="T208" s="279"/>
      <c r="U208" s="279"/>
    </row>
    <row r="209" spans="1:21" x14ac:dyDescent="0.2">
      <c r="A209" s="285" t="s">
        <v>1679</v>
      </c>
      <c r="B209" s="283" t="s">
        <v>1661</v>
      </c>
      <c r="C209" s="283"/>
      <c r="D209" s="283" t="s">
        <v>1664</v>
      </c>
      <c r="E209" s="295">
        <v>243.43628269337785</v>
      </c>
      <c r="F209" s="295">
        <v>292.71470225875248</v>
      </c>
      <c r="G209" s="295">
        <v>28.333333333333332</v>
      </c>
      <c r="H209" s="295">
        <v>171.66889071630595</v>
      </c>
      <c r="I209" s="295">
        <v>289.11780496343772</v>
      </c>
      <c r="J209" s="295">
        <v>130.27272727272728</v>
      </c>
      <c r="K209" s="295" t="s">
        <v>336</v>
      </c>
      <c r="L209" s="295">
        <v>222.53878437670039</v>
      </c>
      <c r="M209" s="304">
        <v>230.44220817580489</v>
      </c>
      <c r="N209" s="303">
        <v>231.11520805121705</v>
      </c>
      <c r="O209" s="279"/>
      <c r="P209" s="279"/>
      <c r="Q209" s="279"/>
      <c r="R209" s="279"/>
      <c r="S209" s="279"/>
      <c r="T209" s="279"/>
      <c r="U209" s="279"/>
    </row>
    <row r="210" spans="1:21" x14ac:dyDescent="0.2">
      <c r="A210" s="285" t="s">
        <v>1680</v>
      </c>
      <c r="B210" s="283" t="s">
        <v>1661</v>
      </c>
      <c r="C210" s="283"/>
      <c r="D210" s="283" t="s">
        <v>1664</v>
      </c>
      <c r="E210" s="295">
        <v>440.0707211060257</v>
      </c>
      <c r="F210" s="295">
        <v>495.93505925569599</v>
      </c>
      <c r="G210" s="295">
        <v>124</v>
      </c>
      <c r="H210" s="295">
        <v>413.081518561824</v>
      </c>
      <c r="I210" s="295">
        <v>359.08565472928933</v>
      </c>
      <c r="J210" s="295">
        <v>505.13656192664826</v>
      </c>
      <c r="K210" s="295">
        <v>192.5</v>
      </c>
      <c r="L210" s="295">
        <v>408.60457787210515</v>
      </c>
      <c r="M210" s="304">
        <v>411.55735456479351</v>
      </c>
      <c r="N210" s="303">
        <v>413.03414247330358</v>
      </c>
      <c r="O210" s="279"/>
      <c r="P210" s="279"/>
      <c r="Q210" s="279"/>
      <c r="R210" s="279"/>
      <c r="S210" s="279"/>
      <c r="T210" s="279"/>
      <c r="U210" s="279"/>
    </row>
    <row r="211" spans="1:21" x14ac:dyDescent="0.2">
      <c r="A211" s="285" t="s">
        <v>1681</v>
      </c>
      <c r="B211" s="283" t="s">
        <v>1661</v>
      </c>
      <c r="C211" s="283"/>
      <c r="D211" s="283" t="s">
        <v>1664</v>
      </c>
      <c r="E211" s="295">
        <v>371.17741935483872</v>
      </c>
      <c r="F211" s="295">
        <v>429.80769230769232</v>
      </c>
      <c r="G211" s="295">
        <v>112</v>
      </c>
      <c r="H211" s="295">
        <v>362.92705716878481</v>
      </c>
      <c r="I211" s="295">
        <v>310.37116114510559</v>
      </c>
      <c r="J211" s="295">
        <v>471.04575127390473</v>
      </c>
      <c r="K211" s="295">
        <v>154</v>
      </c>
      <c r="L211" s="295">
        <v>359.12037250127622</v>
      </c>
      <c r="M211" s="304">
        <v>361.72188745902974</v>
      </c>
      <c r="N211" s="303">
        <v>362.2116162026374</v>
      </c>
      <c r="O211" s="279"/>
      <c r="P211" s="279"/>
      <c r="Q211" s="279"/>
      <c r="R211" s="279"/>
      <c r="S211" s="279"/>
      <c r="T211" s="279"/>
      <c r="U211" s="279"/>
    </row>
    <row r="212" spans="1:21" x14ac:dyDescent="0.2">
      <c r="A212" s="285" t="s">
        <v>1682</v>
      </c>
      <c r="B212" s="283" t="s">
        <v>1661</v>
      </c>
      <c r="C212" s="283"/>
      <c r="D212" s="283" t="s">
        <v>1664</v>
      </c>
      <c r="E212" s="307">
        <v>2733.3333333333335</v>
      </c>
      <c r="F212" s="307">
        <v>4084.5238095238096</v>
      </c>
      <c r="G212" s="307">
        <v>2132.3076923076924</v>
      </c>
      <c r="H212" s="307">
        <v>1966.6666666666667</v>
      </c>
      <c r="I212" s="307">
        <v>2691.6666666666665</v>
      </c>
      <c r="J212" s="307">
        <v>1350</v>
      </c>
      <c r="K212" s="307">
        <v>1320</v>
      </c>
      <c r="L212" s="307">
        <v>2849.7540983606559</v>
      </c>
      <c r="M212" s="306">
        <v>2667.8830721335376</v>
      </c>
      <c r="N212" s="305">
        <v>2671.2729262992643</v>
      </c>
      <c r="O212" s="279"/>
      <c r="P212" s="279"/>
      <c r="Q212" s="279"/>
      <c r="R212" s="279"/>
      <c r="S212" s="279"/>
      <c r="T212" s="279"/>
      <c r="U212" s="279"/>
    </row>
    <row r="213" spans="1:21" x14ac:dyDescent="0.2">
      <c r="A213" s="285" t="s">
        <v>1683</v>
      </c>
      <c r="B213" s="283" t="s">
        <v>1661</v>
      </c>
      <c r="C213" s="283"/>
      <c r="D213" s="283" t="s">
        <v>1664</v>
      </c>
      <c r="E213" s="307">
        <v>2276.6666666666665</v>
      </c>
      <c r="F213" s="307">
        <v>2846.1904761904761</v>
      </c>
      <c r="G213" s="307">
        <v>1675.3846153846155</v>
      </c>
      <c r="H213" s="307">
        <v>1283.3333333333333</v>
      </c>
      <c r="I213" s="307">
        <v>2156.25</v>
      </c>
      <c r="J213" s="307">
        <v>1128.75</v>
      </c>
      <c r="K213" s="307">
        <v>915</v>
      </c>
      <c r="L213" s="307">
        <v>2103.2786885245901</v>
      </c>
      <c r="M213" s="306">
        <v>1966.0024902368634</v>
      </c>
      <c r="N213" s="305">
        <v>1982.0926667053393</v>
      </c>
      <c r="O213" s="279"/>
      <c r="P213" s="279"/>
      <c r="Q213" s="279"/>
      <c r="R213" s="279"/>
      <c r="S213" s="279"/>
      <c r="T213" s="279"/>
      <c r="U213" s="279"/>
    </row>
    <row r="214" spans="1:21" x14ac:dyDescent="0.2">
      <c r="A214" s="285" t="s">
        <v>1684</v>
      </c>
      <c r="B214" s="283" t="s">
        <v>1661</v>
      </c>
      <c r="C214" s="283"/>
      <c r="D214" s="283" t="s">
        <v>1664</v>
      </c>
      <c r="E214" s="310">
        <v>1.625</v>
      </c>
      <c r="F214" s="310">
        <v>3.2399999999999998</v>
      </c>
      <c r="G214" s="310">
        <v>1.375</v>
      </c>
      <c r="H214" s="310">
        <v>10.34375</v>
      </c>
      <c r="I214" s="310">
        <v>7.333333333333333</v>
      </c>
      <c r="J214" s="310">
        <v>5.6428571428571432</v>
      </c>
      <c r="K214" s="310" t="s">
        <v>336</v>
      </c>
      <c r="L214" s="310">
        <v>6.6796052631578942</v>
      </c>
      <c r="M214" s="309">
        <v>6.5611010235023679</v>
      </c>
      <c r="N214" s="308">
        <v>6.3054463888189787</v>
      </c>
      <c r="O214" s="279"/>
      <c r="P214" s="279"/>
      <c r="Q214" s="279"/>
      <c r="R214" s="279"/>
      <c r="S214" s="279"/>
      <c r="T214" s="279"/>
      <c r="U214" s="279"/>
    </row>
    <row r="215" spans="1:21" x14ac:dyDescent="0.2">
      <c r="A215" s="285" t="s">
        <v>1685</v>
      </c>
      <c r="B215" s="283" t="s">
        <v>1661</v>
      </c>
      <c r="C215" s="283"/>
      <c r="D215" s="283" t="s">
        <v>1664</v>
      </c>
      <c r="E215" s="310">
        <v>1.075</v>
      </c>
      <c r="F215" s="310">
        <v>3.1920000000000002</v>
      </c>
      <c r="G215" s="310">
        <v>0.70833333333333337</v>
      </c>
      <c r="H215" s="310">
        <v>8.1843749999999993</v>
      </c>
      <c r="I215" s="310">
        <v>5.666666666666667</v>
      </c>
      <c r="J215" s="310">
        <v>5.6428571428571432</v>
      </c>
      <c r="K215" s="310" t="s">
        <v>336</v>
      </c>
      <c r="L215" s="310">
        <v>5.5219736842105256</v>
      </c>
      <c r="M215" s="309">
        <v>5.4245072064770001</v>
      </c>
      <c r="N215" s="308">
        <v>5.1992339248666379</v>
      </c>
      <c r="O215" s="279"/>
      <c r="P215" s="279"/>
      <c r="Q215" s="279"/>
      <c r="R215" s="279"/>
      <c r="S215" s="279"/>
      <c r="T215" s="279"/>
      <c r="U215" s="279"/>
    </row>
    <row r="216" spans="1:21" x14ac:dyDescent="0.2">
      <c r="A216" s="285" t="s">
        <v>1686</v>
      </c>
      <c r="B216" s="283" t="s">
        <v>1661</v>
      </c>
      <c r="C216" s="283"/>
      <c r="D216" s="283" t="s">
        <v>1664</v>
      </c>
      <c r="E216" s="307">
        <v>1429.094674556213</v>
      </c>
      <c r="F216" s="307">
        <v>3142.8571428571427</v>
      </c>
      <c r="G216" s="307">
        <v>801.27810650887579</v>
      </c>
      <c r="H216" s="307">
        <v>720.5</v>
      </c>
      <c r="I216" s="307">
        <v>4000</v>
      </c>
      <c r="J216" s="307">
        <v>200</v>
      </c>
      <c r="K216" s="307" t="s">
        <v>336</v>
      </c>
      <c r="L216" s="307">
        <v>2411.5405019383802</v>
      </c>
      <c r="M216" s="306">
        <v>2392.196010301248</v>
      </c>
      <c r="N216" s="305">
        <v>2342.3142678124614</v>
      </c>
      <c r="O216" s="279"/>
      <c r="P216" s="279"/>
      <c r="Q216" s="279"/>
      <c r="R216" s="279"/>
      <c r="S216" s="279"/>
      <c r="T216" s="279"/>
      <c r="U216" s="279"/>
    </row>
    <row r="217" spans="1:21" x14ac:dyDescent="0.2">
      <c r="A217" s="285" t="s">
        <v>1687</v>
      </c>
      <c r="B217" s="283" t="s">
        <v>1661</v>
      </c>
      <c r="C217" s="283"/>
      <c r="D217" s="283" t="s">
        <v>1664</v>
      </c>
      <c r="E217" s="307">
        <v>803.1</v>
      </c>
      <c r="F217" s="307">
        <v>1811.4285714285713</v>
      </c>
      <c r="G217" s="307">
        <v>574</v>
      </c>
      <c r="H217" s="307">
        <v>505</v>
      </c>
      <c r="I217" s="307">
        <v>3875</v>
      </c>
      <c r="J217" s="307">
        <v>200</v>
      </c>
      <c r="K217" s="307" t="s">
        <v>336</v>
      </c>
      <c r="L217" s="307">
        <v>1632.7344827586207</v>
      </c>
      <c r="M217" s="306">
        <v>1957.3150020602873</v>
      </c>
      <c r="N217" s="305">
        <v>1897.534942192623</v>
      </c>
      <c r="O217" s="279"/>
      <c r="P217" s="279"/>
      <c r="Q217" s="279"/>
      <c r="R217" s="279"/>
      <c r="S217" s="279"/>
      <c r="T217" s="279"/>
      <c r="U217" s="279"/>
    </row>
    <row r="218" spans="1:21" x14ac:dyDescent="0.2">
      <c r="A218" s="285"/>
      <c r="B218" s="283"/>
      <c r="C218" s="283"/>
      <c r="D218" s="283"/>
      <c r="E218" s="295"/>
      <c r="F218" s="295"/>
      <c r="G218" s="295"/>
      <c r="H218" s="295"/>
      <c r="I218" s="295"/>
      <c r="J218" s="295"/>
      <c r="K218" s="295"/>
      <c r="L218" s="295"/>
      <c r="M218" s="304"/>
      <c r="N218" s="303"/>
      <c r="O218" s="279"/>
      <c r="P218" s="279"/>
      <c r="Q218" s="279"/>
      <c r="R218" s="279"/>
      <c r="S218" s="279"/>
      <c r="T218" s="279"/>
      <c r="U218" s="279"/>
    </row>
    <row r="219" spans="1:21" x14ac:dyDescent="0.2">
      <c r="A219" s="285" t="s">
        <v>1688</v>
      </c>
      <c r="B219" s="283" t="s">
        <v>1606</v>
      </c>
      <c r="C219" s="291">
        <v>1</v>
      </c>
      <c r="D219" s="291" t="s">
        <v>1647</v>
      </c>
      <c r="E219" s="289">
        <v>2</v>
      </c>
      <c r="F219" s="289">
        <v>16</v>
      </c>
      <c r="G219" s="289">
        <v>1</v>
      </c>
      <c r="H219" s="289">
        <v>16</v>
      </c>
      <c r="I219" s="289">
        <v>25</v>
      </c>
      <c r="J219" s="289">
        <v>8</v>
      </c>
      <c r="K219" s="289">
        <v>1</v>
      </c>
      <c r="L219" s="289">
        <v>69</v>
      </c>
      <c r="M219" s="288"/>
      <c r="N219" s="287"/>
      <c r="O219" s="279"/>
      <c r="P219" s="279"/>
      <c r="Q219" s="279"/>
      <c r="R219" s="279"/>
      <c r="S219" s="279"/>
      <c r="T219" s="279"/>
      <c r="U219" s="279"/>
    </row>
    <row r="220" spans="1:21" x14ac:dyDescent="0.2">
      <c r="A220" s="285"/>
      <c r="B220" s="283" t="s">
        <v>1606</v>
      </c>
      <c r="C220" s="291">
        <v>2</v>
      </c>
      <c r="D220" s="291" t="s">
        <v>1648</v>
      </c>
      <c r="E220" s="289">
        <v>3</v>
      </c>
      <c r="F220" s="289">
        <v>21</v>
      </c>
      <c r="G220" s="289">
        <v>2</v>
      </c>
      <c r="H220" s="289">
        <v>20</v>
      </c>
      <c r="I220" s="289">
        <v>12</v>
      </c>
      <c r="J220" s="289">
        <v>6</v>
      </c>
      <c r="K220" s="289">
        <v>0</v>
      </c>
      <c r="L220" s="289">
        <v>64</v>
      </c>
      <c r="M220" s="288"/>
      <c r="N220" s="287"/>
      <c r="O220" s="279"/>
      <c r="P220" s="279"/>
      <c r="Q220" s="279"/>
      <c r="R220" s="279"/>
      <c r="S220" s="279"/>
      <c r="T220" s="279"/>
      <c r="U220" s="279"/>
    </row>
    <row r="221" spans="1:21" x14ac:dyDescent="0.2">
      <c r="A221" s="285"/>
      <c r="B221" s="283" t="s">
        <v>1606</v>
      </c>
      <c r="C221" s="291">
        <v>3</v>
      </c>
      <c r="D221" s="291" t="s">
        <v>1649</v>
      </c>
      <c r="E221" s="289">
        <v>111</v>
      </c>
      <c r="F221" s="289">
        <v>683</v>
      </c>
      <c r="G221" s="289">
        <v>57</v>
      </c>
      <c r="H221" s="289">
        <v>552</v>
      </c>
      <c r="I221" s="289">
        <v>816</v>
      </c>
      <c r="J221" s="289">
        <v>240</v>
      </c>
      <c r="K221" s="289">
        <v>8</v>
      </c>
      <c r="L221" s="289">
        <v>2467</v>
      </c>
      <c r="M221" s="288"/>
      <c r="N221" s="287"/>
      <c r="O221" s="279"/>
      <c r="P221" s="279"/>
      <c r="Q221" s="279"/>
      <c r="R221" s="279"/>
      <c r="S221" s="279"/>
      <c r="T221" s="279"/>
      <c r="U221" s="279"/>
    </row>
    <row r="222" spans="1:21" x14ac:dyDescent="0.2">
      <c r="A222" s="285"/>
      <c r="B222" s="283" t="s">
        <v>1606</v>
      </c>
      <c r="C222" s="291">
        <v>4</v>
      </c>
      <c r="D222" s="291" t="s">
        <v>1650</v>
      </c>
      <c r="E222" s="289">
        <v>1</v>
      </c>
      <c r="F222" s="289">
        <v>0</v>
      </c>
      <c r="G222" s="289">
        <v>0</v>
      </c>
      <c r="H222" s="289">
        <v>5</v>
      </c>
      <c r="I222" s="289">
        <v>0</v>
      </c>
      <c r="J222" s="289">
        <v>1</v>
      </c>
      <c r="K222" s="289">
        <v>0</v>
      </c>
      <c r="L222" s="289">
        <v>7</v>
      </c>
      <c r="M222" s="288"/>
      <c r="N222" s="287"/>
      <c r="O222" s="279"/>
      <c r="P222" s="279"/>
      <c r="Q222" s="279"/>
      <c r="R222" s="279"/>
      <c r="S222" s="279"/>
      <c r="T222" s="279"/>
      <c r="U222" s="279"/>
    </row>
    <row r="223" spans="1:21" x14ac:dyDescent="0.2">
      <c r="A223" s="285"/>
      <c r="B223" s="283" t="s">
        <v>1606</v>
      </c>
      <c r="C223" s="291">
        <v>5</v>
      </c>
      <c r="D223" s="291" t="s">
        <v>1651</v>
      </c>
      <c r="E223" s="289">
        <v>3</v>
      </c>
      <c r="F223" s="289">
        <v>8</v>
      </c>
      <c r="G223" s="289">
        <v>0</v>
      </c>
      <c r="H223" s="289">
        <v>9</v>
      </c>
      <c r="I223" s="289">
        <v>6</v>
      </c>
      <c r="J223" s="289">
        <v>1</v>
      </c>
      <c r="K223" s="289">
        <v>0</v>
      </c>
      <c r="L223" s="289">
        <v>27</v>
      </c>
      <c r="M223" s="288"/>
      <c r="N223" s="287"/>
      <c r="O223" s="279"/>
      <c r="P223" s="279"/>
      <c r="Q223" s="279"/>
      <c r="R223" s="279"/>
      <c r="S223" s="279"/>
      <c r="T223" s="279"/>
      <c r="U223" s="279"/>
    </row>
    <row r="224" spans="1:21" x14ac:dyDescent="0.2">
      <c r="A224" s="285"/>
      <c r="B224" s="283" t="s">
        <v>1606</v>
      </c>
      <c r="C224" s="291">
        <v>6</v>
      </c>
      <c r="D224" s="291" t="s">
        <v>1652</v>
      </c>
      <c r="E224" s="289">
        <v>17</v>
      </c>
      <c r="F224" s="289">
        <v>21</v>
      </c>
      <c r="G224" s="289">
        <v>6</v>
      </c>
      <c r="H224" s="289">
        <v>60</v>
      </c>
      <c r="I224" s="289">
        <v>44</v>
      </c>
      <c r="J224" s="289">
        <v>28</v>
      </c>
      <c r="K224" s="289">
        <v>0</v>
      </c>
      <c r="L224" s="289">
        <v>176</v>
      </c>
      <c r="M224" s="288"/>
      <c r="N224" s="287"/>
      <c r="O224" s="279"/>
      <c r="P224" s="279"/>
      <c r="Q224" s="279"/>
      <c r="R224" s="279"/>
      <c r="S224" s="279"/>
      <c r="T224" s="279"/>
      <c r="U224" s="279"/>
    </row>
    <row r="225" spans="1:21" x14ac:dyDescent="0.2">
      <c r="A225" s="285"/>
      <c r="B225" s="283" t="s">
        <v>1606</v>
      </c>
      <c r="C225" s="291">
        <v>7</v>
      </c>
      <c r="D225" s="291" t="s">
        <v>1653</v>
      </c>
      <c r="E225" s="289">
        <v>7</v>
      </c>
      <c r="F225" s="289">
        <v>27</v>
      </c>
      <c r="G225" s="289">
        <v>6</v>
      </c>
      <c r="H225" s="289">
        <v>22</v>
      </c>
      <c r="I225" s="289">
        <v>35</v>
      </c>
      <c r="J225" s="289">
        <v>9</v>
      </c>
      <c r="K225" s="289">
        <v>0</v>
      </c>
      <c r="L225" s="289">
        <v>106</v>
      </c>
      <c r="M225" s="288"/>
      <c r="N225" s="287"/>
      <c r="O225" s="279"/>
      <c r="P225" s="279"/>
      <c r="Q225" s="279"/>
      <c r="R225" s="279"/>
      <c r="S225" s="279"/>
      <c r="T225" s="279"/>
      <c r="U225" s="279"/>
    </row>
    <row r="226" spans="1:21" x14ac:dyDescent="0.2">
      <c r="A226" s="285"/>
      <c r="B226" s="283" t="s">
        <v>1606</v>
      </c>
      <c r="C226" s="291">
        <v>8</v>
      </c>
      <c r="D226" s="291" t="s">
        <v>1627</v>
      </c>
      <c r="E226" s="289">
        <v>0</v>
      </c>
      <c r="F226" s="289">
        <v>9</v>
      </c>
      <c r="G226" s="289">
        <v>0</v>
      </c>
      <c r="H226" s="289">
        <v>3</v>
      </c>
      <c r="I226" s="289">
        <v>19</v>
      </c>
      <c r="J226" s="289">
        <v>2</v>
      </c>
      <c r="K226" s="289">
        <v>0</v>
      </c>
      <c r="L226" s="289">
        <v>33</v>
      </c>
      <c r="M226" s="288"/>
      <c r="N226" s="287"/>
      <c r="O226" s="279"/>
      <c r="P226" s="279"/>
      <c r="Q226" s="279"/>
      <c r="R226" s="279"/>
      <c r="S226" s="279"/>
      <c r="T226" s="279"/>
      <c r="U226" s="279"/>
    </row>
    <row r="227" spans="1:21" x14ac:dyDescent="0.2">
      <c r="A227" s="285"/>
      <c r="B227" s="283" t="s">
        <v>1606</v>
      </c>
      <c r="C227" s="291">
        <v>9</v>
      </c>
      <c r="D227" s="291" t="s">
        <v>1654</v>
      </c>
      <c r="E227" s="289">
        <v>0</v>
      </c>
      <c r="F227" s="289">
        <v>6</v>
      </c>
      <c r="G227" s="289">
        <v>0</v>
      </c>
      <c r="H227" s="289">
        <v>4</v>
      </c>
      <c r="I227" s="289">
        <v>0</v>
      </c>
      <c r="J227" s="289">
        <v>1</v>
      </c>
      <c r="K227" s="289">
        <v>0</v>
      </c>
      <c r="L227" s="289">
        <v>11</v>
      </c>
      <c r="M227" s="288"/>
      <c r="N227" s="287"/>
      <c r="O227" s="279"/>
      <c r="P227" s="279"/>
      <c r="Q227" s="279"/>
      <c r="R227" s="279"/>
      <c r="S227" s="279"/>
      <c r="T227" s="279"/>
      <c r="U227" s="279"/>
    </row>
    <row r="228" spans="1:21" x14ac:dyDescent="0.2">
      <c r="A228" s="285"/>
      <c r="B228" s="283" t="s">
        <v>1606</v>
      </c>
      <c r="C228" s="292" t="s">
        <v>563</v>
      </c>
      <c r="D228" s="291" t="s">
        <v>1628</v>
      </c>
      <c r="E228" s="289">
        <v>38</v>
      </c>
      <c r="F228" s="289">
        <v>115</v>
      </c>
      <c r="G228" s="289">
        <v>42</v>
      </c>
      <c r="H228" s="289">
        <v>96</v>
      </c>
      <c r="I228" s="289">
        <v>194</v>
      </c>
      <c r="J228" s="289">
        <v>63</v>
      </c>
      <c r="K228" s="289">
        <v>6</v>
      </c>
      <c r="L228" s="289">
        <v>554</v>
      </c>
      <c r="M228" s="288"/>
      <c r="N228" s="287"/>
      <c r="O228" s="279"/>
      <c r="P228" s="279"/>
      <c r="Q228" s="279"/>
      <c r="R228" s="279"/>
      <c r="S228" s="279"/>
      <c r="T228" s="279"/>
      <c r="U228" s="279"/>
    </row>
    <row r="229" spans="1:21" x14ac:dyDescent="0.2">
      <c r="A229" s="285"/>
      <c r="B229" s="283" t="s">
        <v>1606</v>
      </c>
      <c r="C229" s="291"/>
      <c r="D229" s="291" t="s">
        <v>616</v>
      </c>
      <c r="E229" s="290">
        <v>182</v>
      </c>
      <c r="F229" s="290">
        <v>906</v>
      </c>
      <c r="G229" s="290">
        <v>114</v>
      </c>
      <c r="H229" s="290">
        <v>787</v>
      </c>
      <c r="I229" s="290">
        <v>1151</v>
      </c>
      <c r="J229" s="290">
        <v>359</v>
      </c>
      <c r="K229" s="290">
        <v>15</v>
      </c>
      <c r="L229" s="289">
        <v>3514</v>
      </c>
      <c r="M229" s="288"/>
      <c r="N229" s="287"/>
      <c r="O229" s="279"/>
      <c r="P229" s="279"/>
      <c r="Q229" s="279"/>
      <c r="R229" s="279"/>
      <c r="S229" s="279"/>
      <c r="T229" s="279"/>
      <c r="U229" s="279"/>
    </row>
    <row r="230" spans="1:21" x14ac:dyDescent="0.2">
      <c r="A230" s="285"/>
      <c r="B230" s="283" t="s">
        <v>1606</v>
      </c>
      <c r="C230" s="291"/>
      <c r="D230" s="291" t="s">
        <v>1629</v>
      </c>
      <c r="E230" s="290">
        <v>144</v>
      </c>
      <c r="F230" s="290">
        <v>776</v>
      </c>
      <c r="G230" s="290">
        <v>72</v>
      </c>
      <c r="H230" s="290">
        <v>684</v>
      </c>
      <c r="I230" s="290">
        <v>938</v>
      </c>
      <c r="J230" s="290">
        <v>293</v>
      </c>
      <c r="K230" s="290">
        <v>9</v>
      </c>
      <c r="L230" s="289">
        <v>2916</v>
      </c>
      <c r="M230" s="288"/>
      <c r="N230" s="287"/>
      <c r="O230" s="286">
        <v>0.26611796982167352</v>
      </c>
      <c r="P230" s="286">
        <v>2.4691358024691357E-2</v>
      </c>
      <c r="Q230" s="286">
        <v>0.23456790123456789</v>
      </c>
      <c r="R230" s="286">
        <v>0.3216735253772291</v>
      </c>
      <c r="S230" s="286">
        <v>0.10048010973936899</v>
      </c>
      <c r="T230" s="286">
        <v>3.0864197530864196E-3</v>
      </c>
      <c r="U230" s="286">
        <v>0.95061728395061729</v>
      </c>
    </row>
    <row r="231" spans="1:21" x14ac:dyDescent="0.2">
      <c r="A231" s="285"/>
      <c r="B231" s="283" t="s">
        <v>1608</v>
      </c>
      <c r="C231" s="283"/>
      <c r="D231" s="283" t="s">
        <v>1647</v>
      </c>
      <c r="E231" s="284">
        <v>1.3888888888888888E-2</v>
      </c>
      <c r="F231" s="284">
        <v>2.0618556701030927E-2</v>
      </c>
      <c r="G231" s="284">
        <v>1.3888888888888888E-2</v>
      </c>
      <c r="H231" s="284">
        <v>2.3391812865497075E-2</v>
      </c>
      <c r="I231" s="284">
        <v>2.6652452025586353E-2</v>
      </c>
      <c r="J231" s="284">
        <v>2.7303754266211604E-2</v>
      </c>
      <c r="K231" s="284">
        <v>0.1111111111111111</v>
      </c>
      <c r="L231" s="284">
        <v>2.3662551440329218E-2</v>
      </c>
      <c r="M231" s="281">
        <v>2.4460362952829044E-2</v>
      </c>
      <c r="N231" s="280">
        <v>2.3938314850906073E-2</v>
      </c>
      <c r="O231" s="279"/>
      <c r="P231" s="279"/>
      <c r="Q231" s="279"/>
      <c r="R231" s="279"/>
      <c r="S231" s="279"/>
      <c r="T231" s="279"/>
      <c r="U231" s="279"/>
    </row>
    <row r="232" spans="1:21" x14ac:dyDescent="0.2">
      <c r="A232" s="285"/>
      <c r="B232" s="283" t="s">
        <v>1608</v>
      </c>
      <c r="C232" s="283"/>
      <c r="D232" s="283" t="s">
        <v>1648</v>
      </c>
      <c r="E232" s="284">
        <v>2.0833333333333332E-2</v>
      </c>
      <c r="F232" s="284">
        <v>2.7061855670103094E-2</v>
      </c>
      <c r="G232" s="284">
        <v>2.7777777777777776E-2</v>
      </c>
      <c r="H232" s="284">
        <v>2.9239766081871343E-2</v>
      </c>
      <c r="I232" s="284">
        <v>1.279317697228145E-2</v>
      </c>
      <c r="J232" s="284">
        <v>2.0477815699658702E-2</v>
      </c>
      <c r="K232" s="284">
        <v>0</v>
      </c>
      <c r="L232" s="284">
        <v>2.194787379972565E-2</v>
      </c>
      <c r="M232" s="281">
        <v>1.9842241897051336E-2</v>
      </c>
      <c r="N232" s="280">
        <v>1.9891184684028222E-2</v>
      </c>
      <c r="O232" s="279"/>
      <c r="P232" s="279"/>
      <c r="Q232" s="279"/>
      <c r="R232" s="279"/>
      <c r="S232" s="279"/>
      <c r="T232" s="279"/>
      <c r="U232" s="279"/>
    </row>
    <row r="233" spans="1:21" x14ac:dyDescent="0.2">
      <c r="A233" s="285"/>
      <c r="B233" s="283" t="s">
        <v>1608</v>
      </c>
      <c r="C233" s="283"/>
      <c r="D233" s="283" t="s">
        <v>1649</v>
      </c>
      <c r="E233" s="284">
        <v>0.77083333333333337</v>
      </c>
      <c r="F233" s="284">
        <v>0.88015463917525771</v>
      </c>
      <c r="G233" s="284">
        <v>0.79166666666666663</v>
      </c>
      <c r="H233" s="284">
        <v>0.80701754385964908</v>
      </c>
      <c r="I233" s="284">
        <v>0.86993603411513865</v>
      </c>
      <c r="J233" s="284">
        <v>0.8191126279863481</v>
      </c>
      <c r="K233" s="284">
        <v>0.88888888888888884</v>
      </c>
      <c r="L233" s="284">
        <v>0.8460219478737997</v>
      </c>
      <c r="M233" s="281">
        <v>0.85934996639927597</v>
      </c>
      <c r="N233" s="280">
        <v>0.85497877464293315</v>
      </c>
      <c r="O233" s="279"/>
      <c r="P233" s="279"/>
      <c r="Q233" s="279"/>
      <c r="R233" s="279"/>
      <c r="S233" s="279"/>
      <c r="T233" s="279"/>
      <c r="U233" s="279"/>
    </row>
    <row r="234" spans="1:21" x14ac:dyDescent="0.2">
      <c r="A234" s="285"/>
      <c r="B234" s="283" t="s">
        <v>1608</v>
      </c>
      <c r="C234" s="283"/>
      <c r="D234" s="283" t="s">
        <v>1650</v>
      </c>
      <c r="E234" s="284">
        <v>6.9444444444444441E-3</v>
      </c>
      <c r="F234" s="284">
        <v>0</v>
      </c>
      <c r="G234" s="284">
        <v>0</v>
      </c>
      <c r="H234" s="284">
        <v>7.3099415204678359E-3</v>
      </c>
      <c r="I234" s="284">
        <v>0</v>
      </c>
      <c r="J234" s="284">
        <v>3.4129692832764505E-3</v>
      </c>
      <c r="K234" s="284">
        <v>0</v>
      </c>
      <c r="L234" s="284">
        <v>2.4005486968449933E-3</v>
      </c>
      <c r="M234" s="281">
        <v>1.4885237863497347E-3</v>
      </c>
      <c r="N234" s="280">
        <v>1.757951966996387E-3</v>
      </c>
      <c r="O234" s="279"/>
      <c r="P234" s="279"/>
      <c r="Q234" s="279"/>
      <c r="R234" s="279"/>
      <c r="S234" s="279"/>
      <c r="T234" s="279"/>
      <c r="U234" s="279"/>
    </row>
    <row r="235" spans="1:21" x14ac:dyDescent="0.2">
      <c r="A235" s="285"/>
      <c r="B235" s="283" t="s">
        <v>1608</v>
      </c>
      <c r="C235" s="283"/>
      <c r="D235" s="283" t="s">
        <v>1651</v>
      </c>
      <c r="E235" s="284">
        <v>2.0833333333333332E-2</v>
      </c>
      <c r="F235" s="284">
        <v>1.0309278350515464E-2</v>
      </c>
      <c r="G235" s="284">
        <v>0</v>
      </c>
      <c r="H235" s="284">
        <v>1.3157894736842105E-2</v>
      </c>
      <c r="I235" s="284">
        <v>6.3965884861407248E-3</v>
      </c>
      <c r="J235" s="284">
        <v>3.4129692832764505E-3</v>
      </c>
      <c r="K235" s="284">
        <v>0</v>
      </c>
      <c r="L235" s="284">
        <v>9.2592592592592587E-3</v>
      </c>
      <c r="M235" s="281">
        <v>8.6729595474494339E-3</v>
      </c>
      <c r="N235" s="280">
        <v>9.2734718331720957E-3</v>
      </c>
      <c r="O235" s="279"/>
      <c r="P235" s="279"/>
      <c r="Q235" s="279"/>
      <c r="R235" s="279"/>
      <c r="S235" s="279"/>
      <c r="T235" s="279"/>
      <c r="U235" s="279"/>
    </row>
    <row r="236" spans="1:21" x14ac:dyDescent="0.2">
      <c r="A236" s="285"/>
      <c r="B236" s="283" t="s">
        <v>1608</v>
      </c>
      <c r="C236" s="283"/>
      <c r="D236" s="283" t="s">
        <v>1652</v>
      </c>
      <c r="E236" s="284">
        <v>0.11805555555555555</v>
      </c>
      <c r="F236" s="284">
        <v>2.7061855670103094E-2</v>
      </c>
      <c r="G236" s="284">
        <v>8.3333333333333329E-2</v>
      </c>
      <c r="H236" s="284">
        <v>8.771929824561403E-2</v>
      </c>
      <c r="I236" s="284">
        <v>4.6908315565031986E-2</v>
      </c>
      <c r="J236" s="284">
        <v>9.556313993174062E-2</v>
      </c>
      <c r="K236" s="284">
        <v>0</v>
      </c>
      <c r="L236" s="284">
        <v>6.035665294924554E-2</v>
      </c>
      <c r="M236" s="281">
        <v>5.062954335634464E-2</v>
      </c>
      <c r="N236" s="280">
        <v>5.3959222971120484E-2</v>
      </c>
      <c r="O236" s="279"/>
      <c r="P236" s="279"/>
      <c r="Q236" s="279"/>
      <c r="R236" s="279"/>
      <c r="S236" s="279"/>
      <c r="T236" s="279"/>
      <c r="U236" s="279"/>
    </row>
    <row r="237" spans="1:21" x14ac:dyDescent="0.2">
      <c r="A237" s="285"/>
      <c r="B237" s="283" t="s">
        <v>1608</v>
      </c>
      <c r="C237" s="283"/>
      <c r="D237" s="283" t="s">
        <v>1653</v>
      </c>
      <c r="E237" s="284">
        <v>4.8611111111111112E-2</v>
      </c>
      <c r="F237" s="284">
        <v>3.4793814432989692E-2</v>
      </c>
      <c r="G237" s="284">
        <v>8.3333333333333329E-2</v>
      </c>
      <c r="H237" s="284">
        <v>3.2163742690058478E-2</v>
      </c>
      <c r="I237" s="284">
        <v>3.7313432835820892E-2</v>
      </c>
      <c r="J237" s="284">
        <v>3.0716723549488054E-2</v>
      </c>
      <c r="K237" s="284">
        <v>0</v>
      </c>
      <c r="L237" s="284">
        <v>3.6351165980795609E-2</v>
      </c>
      <c r="M237" s="281">
        <v>3.5556402060699904E-2</v>
      </c>
      <c r="N237" s="280">
        <v>3.6201079050843667E-2</v>
      </c>
      <c r="O237" s="279"/>
      <c r="P237" s="279"/>
      <c r="Q237" s="279"/>
      <c r="R237" s="279"/>
      <c r="S237" s="279"/>
      <c r="T237" s="279"/>
      <c r="U237" s="279"/>
    </row>
    <row r="238" spans="1:21" x14ac:dyDescent="0.2">
      <c r="A238" s="285"/>
      <c r="B238" s="283" t="s">
        <v>1608</v>
      </c>
      <c r="C238" s="283"/>
      <c r="D238" s="283" t="s">
        <v>1629</v>
      </c>
      <c r="E238" s="282">
        <v>1</v>
      </c>
      <c r="F238" s="282">
        <v>1</v>
      </c>
      <c r="G238" s="282">
        <v>1</v>
      </c>
      <c r="H238" s="282">
        <v>1</v>
      </c>
      <c r="I238" s="282">
        <v>1</v>
      </c>
      <c r="J238" s="282">
        <v>1</v>
      </c>
      <c r="K238" s="282">
        <v>1</v>
      </c>
      <c r="L238" s="282">
        <v>1</v>
      </c>
      <c r="M238" s="281">
        <v>1</v>
      </c>
      <c r="N238" s="280">
        <v>1</v>
      </c>
      <c r="O238" s="279"/>
      <c r="P238" s="279"/>
      <c r="Q238" s="279"/>
      <c r="R238" s="279"/>
      <c r="S238" s="279"/>
      <c r="T238" s="279"/>
      <c r="U238" s="279"/>
    </row>
    <row r="239" spans="1:21" x14ac:dyDescent="0.2">
      <c r="B239" s="278"/>
      <c r="M239" s="288"/>
      <c r="N239" s="287"/>
      <c r="O239" s="279"/>
      <c r="P239" s="279"/>
      <c r="Q239" s="279"/>
      <c r="R239" s="279"/>
      <c r="S239" s="279"/>
      <c r="T239" s="279"/>
      <c r="U239" s="279"/>
    </row>
    <row r="240" spans="1:21" x14ac:dyDescent="0.2">
      <c r="A240" s="285" t="s">
        <v>1689</v>
      </c>
      <c r="B240" s="283" t="s">
        <v>1606</v>
      </c>
      <c r="C240" s="291">
        <v>1</v>
      </c>
      <c r="D240" s="291" t="s">
        <v>1690</v>
      </c>
      <c r="E240" s="289">
        <v>7</v>
      </c>
      <c r="F240" s="289">
        <v>14</v>
      </c>
      <c r="G240" s="289">
        <v>2</v>
      </c>
      <c r="H240" s="289">
        <v>15</v>
      </c>
      <c r="I240" s="289">
        <v>14</v>
      </c>
      <c r="J240" s="289">
        <v>10</v>
      </c>
      <c r="K240" s="289">
        <v>0</v>
      </c>
      <c r="L240" s="289">
        <v>62</v>
      </c>
      <c r="M240" s="288"/>
      <c r="N240" s="287"/>
      <c r="O240" s="279"/>
      <c r="P240" s="279"/>
      <c r="Q240" s="279"/>
      <c r="R240" s="279"/>
      <c r="S240" s="279"/>
      <c r="T240" s="279"/>
      <c r="U240" s="279"/>
    </row>
    <row r="241" spans="1:21" x14ac:dyDescent="0.2">
      <c r="B241" s="283" t="s">
        <v>1606</v>
      </c>
      <c r="C241" s="291">
        <v>2</v>
      </c>
      <c r="D241" s="291" t="s">
        <v>1691</v>
      </c>
      <c r="E241" s="289">
        <v>3</v>
      </c>
      <c r="F241" s="289">
        <v>6</v>
      </c>
      <c r="G241" s="289">
        <v>1</v>
      </c>
      <c r="H241" s="289">
        <v>7</v>
      </c>
      <c r="I241" s="289">
        <v>11</v>
      </c>
      <c r="J241" s="289">
        <v>2</v>
      </c>
      <c r="K241" s="289">
        <v>0</v>
      </c>
      <c r="L241" s="289">
        <v>30</v>
      </c>
      <c r="M241" s="288"/>
      <c r="N241" s="287"/>
      <c r="O241" s="279"/>
      <c r="P241" s="279"/>
      <c r="Q241" s="279"/>
      <c r="R241" s="279"/>
      <c r="S241" s="279"/>
      <c r="T241" s="279"/>
      <c r="U241" s="279"/>
    </row>
    <row r="242" spans="1:21" x14ac:dyDescent="0.2">
      <c r="B242" s="283" t="s">
        <v>1606</v>
      </c>
      <c r="C242" s="291">
        <v>1</v>
      </c>
      <c r="D242" s="291" t="s">
        <v>1692</v>
      </c>
      <c r="E242" s="289">
        <v>5</v>
      </c>
      <c r="F242" s="289">
        <v>6</v>
      </c>
      <c r="G242" s="289">
        <v>2</v>
      </c>
      <c r="H242" s="289">
        <v>11</v>
      </c>
      <c r="I242" s="289">
        <v>12</v>
      </c>
      <c r="J242" s="289">
        <v>7</v>
      </c>
      <c r="K242" s="289">
        <v>0</v>
      </c>
      <c r="L242" s="289">
        <v>43</v>
      </c>
      <c r="M242" s="288"/>
      <c r="N242" s="287"/>
      <c r="O242" s="279"/>
      <c r="P242" s="279"/>
      <c r="Q242" s="279"/>
      <c r="R242" s="279"/>
      <c r="S242" s="279"/>
      <c r="T242" s="279"/>
      <c r="U242" s="279"/>
    </row>
    <row r="243" spans="1:21" x14ac:dyDescent="0.2">
      <c r="B243" s="283" t="s">
        <v>1606</v>
      </c>
      <c r="C243" s="291">
        <v>2</v>
      </c>
      <c r="D243" s="291" t="s">
        <v>1693</v>
      </c>
      <c r="E243" s="289">
        <v>5</v>
      </c>
      <c r="F243" s="289">
        <v>14</v>
      </c>
      <c r="G243" s="289">
        <v>1</v>
      </c>
      <c r="H243" s="289">
        <v>10</v>
      </c>
      <c r="I243" s="289">
        <v>14</v>
      </c>
      <c r="J243" s="289">
        <v>5</v>
      </c>
      <c r="K243" s="289">
        <v>1</v>
      </c>
      <c r="L243" s="289">
        <v>50</v>
      </c>
      <c r="M243" s="288"/>
      <c r="N243" s="287"/>
      <c r="O243" s="279"/>
      <c r="P243" s="279"/>
      <c r="Q243" s="279"/>
      <c r="R243" s="279"/>
      <c r="S243" s="279"/>
      <c r="T243" s="279"/>
      <c r="U243" s="279"/>
    </row>
    <row r="244" spans="1:21" x14ac:dyDescent="0.2">
      <c r="B244" s="283" t="s">
        <v>1606</v>
      </c>
      <c r="C244" s="291">
        <v>3</v>
      </c>
      <c r="D244" s="291" t="s">
        <v>1627</v>
      </c>
      <c r="E244" s="289">
        <v>1</v>
      </c>
      <c r="F244" s="289">
        <v>3</v>
      </c>
      <c r="G244" s="289">
        <v>0</v>
      </c>
      <c r="H244" s="289">
        <v>1</v>
      </c>
      <c r="I244" s="289">
        <v>2</v>
      </c>
      <c r="J244" s="289">
        <v>0</v>
      </c>
      <c r="K244" s="289">
        <v>2</v>
      </c>
      <c r="L244" s="289">
        <v>9</v>
      </c>
      <c r="M244" s="288"/>
      <c r="N244" s="287"/>
      <c r="O244" s="279"/>
      <c r="P244" s="279"/>
      <c r="Q244" s="279"/>
      <c r="R244" s="279"/>
      <c r="S244" s="279"/>
      <c r="T244" s="279"/>
      <c r="U244" s="279"/>
    </row>
    <row r="245" spans="1:21" x14ac:dyDescent="0.2">
      <c r="B245" s="283" t="s">
        <v>1606</v>
      </c>
      <c r="C245" s="292" t="s">
        <v>563</v>
      </c>
      <c r="D245" s="291" t="s">
        <v>1628</v>
      </c>
      <c r="E245" s="289">
        <v>171</v>
      </c>
      <c r="F245" s="289">
        <v>883</v>
      </c>
      <c r="G245" s="289">
        <v>111</v>
      </c>
      <c r="H245" s="289">
        <v>764</v>
      </c>
      <c r="I245" s="289">
        <v>1123</v>
      </c>
      <c r="J245" s="289">
        <v>347</v>
      </c>
      <c r="K245" s="289">
        <v>13</v>
      </c>
      <c r="L245" s="289">
        <v>3412</v>
      </c>
      <c r="M245" s="288"/>
      <c r="N245" s="287"/>
      <c r="O245" s="279"/>
      <c r="P245" s="279"/>
      <c r="Q245" s="279"/>
      <c r="R245" s="279"/>
      <c r="S245" s="279"/>
      <c r="T245" s="279"/>
      <c r="U245" s="279"/>
    </row>
    <row r="246" spans="1:21" x14ac:dyDescent="0.2">
      <c r="B246" s="283" t="s">
        <v>1606</v>
      </c>
      <c r="C246" s="291"/>
      <c r="D246" s="291" t="s">
        <v>616</v>
      </c>
      <c r="E246" s="289">
        <v>182</v>
      </c>
      <c r="F246" s="289">
        <v>906</v>
      </c>
      <c r="G246" s="289">
        <v>114</v>
      </c>
      <c r="H246" s="289">
        <v>787</v>
      </c>
      <c r="I246" s="289">
        <v>1150</v>
      </c>
      <c r="J246" s="289">
        <v>359</v>
      </c>
      <c r="K246" s="289">
        <v>15</v>
      </c>
      <c r="L246" s="289">
        <v>3513</v>
      </c>
      <c r="M246" s="288"/>
      <c r="N246" s="287"/>
      <c r="O246" s="279"/>
      <c r="P246" s="279"/>
      <c r="Q246" s="279"/>
      <c r="R246" s="279"/>
      <c r="S246" s="279"/>
      <c r="T246" s="279"/>
      <c r="U246" s="279"/>
    </row>
    <row r="247" spans="1:21" x14ac:dyDescent="0.2">
      <c r="B247" s="283" t="s">
        <v>1606</v>
      </c>
      <c r="C247" s="291"/>
      <c r="D247" s="291" t="s">
        <v>1629</v>
      </c>
      <c r="E247" s="289">
        <v>10</v>
      </c>
      <c r="F247" s="289">
        <v>20</v>
      </c>
      <c r="G247" s="289">
        <v>3</v>
      </c>
      <c r="H247" s="289">
        <v>21</v>
      </c>
      <c r="I247" s="289">
        <v>26</v>
      </c>
      <c r="J247" s="289">
        <v>12</v>
      </c>
      <c r="K247" s="289">
        <v>1</v>
      </c>
      <c r="L247" s="289">
        <v>93</v>
      </c>
      <c r="M247" s="288"/>
      <c r="N247" s="287"/>
      <c r="O247" s="286">
        <v>0.21505376344086022</v>
      </c>
      <c r="P247" s="286">
        <v>3.2258064516129031E-2</v>
      </c>
      <c r="Q247" s="286">
        <v>0.22580645161290322</v>
      </c>
      <c r="R247" s="286">
        <v>0.27956989247311825</v>
      </c>
      <c r="S247" s="286">
        <v>0.12903225806451613</v>
      </c>
      <c r="T247" s="286">
        <v>1.0752688172043012E-2</v>
      </c>
      <c r="U247" s="286">
        <v>0.89247311827956988</v>
      </c>
    </row>
    <row r="248" spans="1:21" x14ac:dyDescent="0.2">
      <c r="B248" s="283" t="s">
        <v>1608</v>
      </c>
      <c r="C248" s="283"/>
      <c r="D248" s="283" t="s">
        <v>1694</v>
      </c>
      <c r="E248" s="284">
        <v>0.6</v>
      </c>
      <c r="F248" s="284">
        <v>0.7</v>
      </c>
      <c r="G248" s="284">
        <v>0.5</v>
      </c>
      <c r="H248" s="284">
        <v>0.59523809523809523</v>
      </c>
      <c r="I248" s="284">
        <v>0.53846153846153844</v>
      </c>
      <c r="J248" s="284">
        <v>0.625</v>
      </c>
      <c r="K248" s="284">
        <v>0.5</v>
      </c>
      <c r="L248" s="284">
        <v>0.60215053763440862</v>
      </c>
      <c r="M248" s="281">
        <v>0.58997758632269282</v>
      </c>
      <c r="N248" s="280">
        <v>0.59105526521272589</v>
      </c>
      <c r="O248" s="279"/>
      <c r="P248" s="279"/>
      <c r="Q248" s="279"/>
      <c r="R248" s="279"/>
      <c r="S248" s="279"/>
      <c r="T248" s="279"/>
      <c r="U248" s="279"/>
    </row>
    <row r="249" spans="1:21" x14ac:dyDescent="0.2">
      <c r="B249" s="283" t="s">
        <v>1608</v>
      </c>
      <c r="C249" s="283"/>
      <c r="D249" s="283" t="s">
        <v>1480</v>
      </c>
      <c r="E249" s="284">
        <v>0.4</v>
      </c>
      <c r="F249" s="284">
        <v>0.3</v>
      </c>
      <c r="G249" s="284">
        <v>0.5</v>
      </c>
      <c r="H249" s="284">
        <v>0.42857142857142855</v>
      </c>
      <c r="I249" s="284">
        <v>0.44230769230769229</v>
      </c>
      <c r="J249" s="284">
        <v>0.375</v>
      </c>
      <c r="K249" s="284">
        <v>0</v>
      </c>
      <c r="L249" s="284">
        <v>0.39247311827956988</v>
      </c>
      <c r="M249" s="281">
        <v>0.40570980746819457</v>
      </c>
      <c r="N249" s="280">
        <v>0.40509584967591561</v>
      </c>
      <c r="O249" s="279"/>
      <c r="P249" s="279"/>
      <c r="Q249" s="279"/>
      <c r="R249" s="279"/>
      <c r="S249" s="279"/>
      <c r="T249" s="279"/>
      <c r="U249" s="279"/>
    </row>
    <row r="250" spans="1:21" x14ac:dyDescent="0.2">
      <c r="B250" s="283" t="s">
        <v>1608</v>
      </c>
      <c r="C250" s="283"/>
      <c r="D250" s="283" t="s">
        <v>1629</v>
      </c>
      <c r="E250" s="282">
        <v>1</v>
      </c>
      <c r="F250" s="282">
        <v>1</v>
      </c>
      <c r="G250" s="282">
        <v>1</v>
      </c>
      <c r="H250" s="282">
        <v>1.0238095238095237</v>
      </c>
      <c r="I250" s="282">
        <v>0.98076923076923073</v>
      </c>
      <c r="J250" s="282">
        <v>1</v>
      </c>
      <c r="K250" s="282">
        <v>0.5</v>
      </c>
      <c r="L250" s="282">
        <v>0.9946236559139785</v>
      </c>
      <c r="M250" s="281">
        <v>0.99568739379088744</v>
      </c>
      <c r="N250" s="280">
        <v>0.9961511148886415</v>
      </c>
      <c r="O250" s="279"/>
      <c r="P250" s="279"/>
      <c r="Q250" s="279"/>
      <c r="R250" s="279"/>
      <c r="S250" s="279"/>
      <c r="T250" s="279"/>
      <c r="U250" s="279"/>
    </row>
    <row r="251" spans="1:21" x14ac:dyDescent="0.2">
      <c r="B251" s="302"/>
      <c r="C251" s="302"/>
      <c r="D251" s="302"/>
      <c r="E251" s="302"/>
      <c r="F251" s="301"/>
      <c r="G251" s="301"/>
      <c r="H251" s="301"/>
      <c r="I251" s="301"/>
      <c r="J251" s="301"/>
      <c r="K251" s="301"/>
      <c r="L251" s="301"/>
      <c r="M251" s="288"/>
      <c r="N251" s="287"/>
      <c r="O251" s="279"/>
      <c r="P251" s="279"/>
      <c r="Q251" s="279"/>
      <c r="R251" s="279"/>
      <c r="S251" s="279"/>
      <c r="T251" s="279"/>
      <c r="U251" s="279"/>
    </row>
    <row r="252" spans="1:21" x14ac:dyDescent="0.2">
      <c r="A252" s="285" t="s">
        <v>1695</v>
      </c>
      <c r="B252" s="283" t="s">
        <v>1606</v>
      </c>
      <c r="C252" s="291">
        <v>1</v>
      </c>
      <c r="D252" s="291" t="s">
        <v>1696</v>
      </c>
      <c r="E252" s="289">
        <v>34</v>
      </c>
      <c r="F252" s="289">
        <v>132</v>
      </c>
      <c r="G252" s="289">
        <v>11</v>
      </c>
      <c r="H252" s="289">
        <v>165</v>
      </c>
      <c r="I252" s="289">
        <v>233</v>
      </c>
      <c r="J252" s="289">
        <v>89</v>
      </c>
      <c r="K252" s="289">
        <v>0</v>
      </c>
      <c r="L252" s="289">
        <v>664</v>
      </c>
      <c r="M252" s="288"/>
      <c r="N252" s="287"/>
      <c r="O252" s="279"/>
      <c r="P252" s="279"/>
      <c r="Q252" s="279"/>
      <c r="R252" s="279"/>
      <c r="S252" s="279"/>
      <c r="T252" s="279"/>
      <c r="U252" s="279"/>
    </row>
    <row r="253" spans="1:21" x14ac:dyDescent="0.2">
      <c r="A253" s="285"/>
      <c r="B253" s="283" t="s">
        <v>1606</v>
      </c>
      <c r="C253" s="291">
        <v>2</v>
      </c>
      <c r="D253" s="291" t="s">
        <v>1697</v>
      </c>
      <c r="E253" s="289">
        <v>40</v>
      </c>
      <c r="F253" s="289">
        <v>317</v>
      </c>
      <c r="G253" s="289">
        <v>19</v>
      </c>
      <c r="H253" s="289">
        <v>303</v>
      </c>
      <c r="I253" s="289">
        <v>417</v>
      </c>
      <c r="J253" s="289">
        <v>128</v>
      </c>
      <c r="K253" s="289">
        <v>4</v>
      </c>
      <c r="L253" s="289">
        <v>1228</v>
      </c>
      <c r="M253" s="288"/>
      <c r="N253" s="287"/>
      <c r="O253" s="279"/>
      <c r="P253" s="279"/>
      <c r="Q253" s="279"/>
      <c r="R253" s="279"/>
      <c r="S253" s="279"/>
      <c r="T253" s="279"/>
      <c r="U253" s="279"/>
    </row>
    <row r="254" spans="1:21" x14ac:dyDescent="0.2">
      <c r="A254" s="285"/>
      <c r="B254" s="283"/>
      <c r="C254" s="291">
        <v>3</v>
      </c>
      <c r="D254" s="291" t="s">
        <v>1698</v>
      </c>
      <c r="E254" s="289">
        <v>6</v>
      </c>
      <c r="F254" s="289">
        <v>50</v>
      </c>
      <c r="G254" s="289">
        <v>3</v>
      </c>
      <c r="H254" s="289">
        <v>47</v>
      </c>
      <c r="I254" s="289">
        <v>61</v>
      </c>
      <c r="J254" s="289">
        <v>21</v>
      </c>
      <c r="K254" s="289">
        <v>0</v>
      </c>
      <c r="L254" s="289">
        <v>188</v>
      </c>
      <c r="M254" s="288"/>
      <c r="N254" s="287"/>
      <c r="O254" s="279"/>
      <c r="P254" s="279"/>
      <c r="Q254" s="279"/>
      <c r="R254" s="279"/>
      <c r="S254" s="279"/>
      <c r="T254" s="279"/>
      <c r="U254" s="279"/>
    </row>
    <row r="255" spans="1:21" x14ac:dyDescent="0.2">
      <c r="A255" s="285"/>
      <c r="B255" s="283"/>
      <c r="C255" s="291"/>
      <c r="D255" s="291" t="s">
        <v>1699</v>
      </c>
      <c r="E255" s="300">
        <v>0.38666666666666666</v>
      </c>
      <c r="F255" s="300">
        <v>0.48692307692307696</v>
      </c>
      <c r="G255" s="300">
        <v>0.15</v>
      </c>
      <c r="H255" s="300">
        <v>0.48102564102564105</v>
      </c>
      <c r="I255" s="300">
        <v>0.50888888888888884</v>
      </c>
      <c r="J255" s="300">
        <v>0.4707142857142857</v>
      </c>
      <c r="K255" s="300" t="s">
        <v>336</v>
      </c>
      <c r="L255" s="300">
        <v>0.48409722222222223</v>
      </c>
      <c r="M255" s="288"/>
      <c r="N255" s="287"/>
      <c r="O255" s="279"/>
      <c r="P255" s="279"/>
      <c r="Q255" s="279"/>
      <c r="R255" s="279"/>
      <c r="S255" s="279"/>
      <c r="T255" s="279"/>
      <c r="U255" s="279"/>
    </row>
    <row r="256" spans="1:21" x14ac:dyDescent="0.2">
      <c r="A256" s="285"/>
      <c r="B256" s="283"/>
      <c r="C256" s="291"/>
      <c r="D256" s="291" t="s">
        <v>1700</v>
      </c>
      <c r="E256" s="300">
        <v>0.6133333333333334</v>
      </c>
      <c r="F256" s="300">
        <v>0.5130769230769231</v>
      </c>
      <c r="G256" s="300">
        <v>0.85</v>
      </c>
      <c r="H256" s="300">
        <v>0.51897435897435895</v>
      </c>
      <c r="I256" s="300">
        <v>0.49111111111111116</v>
      </c>
      <c r="J256" s="300">
        <v>0.52928571428571436</v>
      </c>
      <c r="K256" s="300" t="s">
        <v>336</v>
      </c>
      <c r="L256" s="300">
        <v>0.51590277777777782</v>
      </c>
      <c r="M256" s="288"/>
      <c r="N256" s="287"/>
      <c r="O256" s="279"/>
      <c r="P256" s="279"/>
      <c r="Q256" s="279"/>
      <c r="R256" s="279"/>
      <c r="S256" s="279"/>
      <c r="T256" s="279"/>
      <c r="U256" s="279"/>
    </row>
    <row r="257" spans="1:21" x14ac:dyDescent="0.2">
      <c r="A257" s="285"/>
      <c r="B257" s="283" t="s">
        <v>1606</v>
      </c>
      <c r="C257" s="291">
        <v>4</v>
      </c>
      <c r="D257" s="291" t="s">
        <v>1627</v>
      </c>
      <c r="E257" s="289">
        <v>34</v>
      </c>
      <c r="F257" s="289">
        <v>205</v>
      </c>
      <c r="G257" s="289">
        <v>48</v>
      </c>
      <c r="H257" s="289">
        <v>118</v>
      </c>
      <c r="I257" s="289">
        <v>202</v>
      </c>
      <c r="J257" s="289">
        <v>53</v>
      </c>
      <c r="K257" s="289">
        <v>4</v>
      </c>
      <c r="L257" s="289">
        <v>664</v>
      </c>
      <c r="M257" s="288"/>
      <c r="N257" s="287"/>
      <c r="O257" s="279"/>
      <c r="P257" s="279"/>
      <c r="Q257" s="279"/>
      <c r="R257" s="279"/>
      <c r="S257" s="279"/>
      <c r="T257" s="279"/>
      <c r="U257" s="279"/>
    </row>
    <row r="258" spans="1:21" x14ac:dyDescent="0.2">
      <c r="A258" s="285"/>
      <c r="B258" s="283" t="s">
        <v>1606</v>
      </c>
      <c r="C258" s="292" t="s">
        <v>563</v>
      </c>
      <c r="D258" s="291" t="s">
        <v>1628</v>
      </c>
      <c r="E258" s="289">
        <v>68</v>
      </c>
      <c r="F258" s="289">
        <v>202</v>
      </c>
      <c r="G258" s="289">
        <v>33</v>
      </c>
      <c r="H258" s="289">
        <v>154</v>
      </c>
      <c r="I258" s="289">
        <v>238</v>
      </c>
      <c r="J258" s="289">
        <v>68</v>
      </c>
      <c r="K258" s="289">
        <v>7</v>
      </c>
      <c r="L258" s="289">
        <v>770</v>
      </c>
      <c r="M258" s="288"/>
      <c r="N258" s="287"/>
      <c r="O258" s="279"/>
      <c r="P258" s="279"/>
      <c r="Q258" s="279"/>
      <c r="R258" s="279"/>
      <c r="S258" s="279"/>
      <c r="T258" s="279"/>
      <c r="U258" s="279"/>
    </row>
    <row r="259" spans="1:21" x14ac:dyDescent="0.2">
      <c r="A259" s="285"/>
      <c r="B259" s="283" t="s">
        <v>1606</v>
      </c>
      <c r="C259" s="291"/>
      <c r="D259" s="291" t="s">
        <v>616</v>
      </c>
      <c r="E259" s="299">
        <v>115</v>
      </c>
      <c r="F259" s="299">
        <v>705</v>
      </c>
      <c r="G259" s="299">
        <v>82</v>
      </c>
      <c r="H259" s="299">
        <v>634</v>
      </c>
      <c r="I259" s="299">
        <v>914</v>
      </c>
      <c r="J259" s="299">
        <v>292</v>
      </c>
      <c r="K259" s="299">
        <v>8</v>
      </c>
      <c r="L259" s="289">
        <v>2750</v>
      </c>
      <c r="M259" s="288"/>
      <c r="N259" s="287"/>
      <c r="O259" s="279"/>
      <c r="P259" s="279"/>
      <c r="Q259" s="279"/>
      <c r="R259" s="279"/>
      <c r="S259" s="279"/>
      <c r="T259" s="279"/>
      <c r="U259" s="279"/>
    </row>
    <row r="260" spans="1:21" x14ac:dyDescent="0.2">
      <c r="A260" s="285"/>
      <c r="B260" s="283" t="s">
        <v>1606</v>
      </c>
      <c r="C260" s="291"/>
      <c r="D260" s="291" t="s">
        <v>1629</v>
      </c>
      <c r="E260" s="289">
        <v>74</v>
      </c>
      <c r="F260" s="289">
        <v>449</v>
      </c>
      <c r="G260" s="289">
        <v>30</v>
      </c>
      <c r="H260" s="289">
        <v>468</v>
      </c>
      <c r="I260" s="289">
        <v>650</v>
      </c>
      <c r="J260" s="289">
        <v>217</v>
      </c>
      <c r="K260" s="289">
        <v>4</v>
      </c>
      <c r="L260" s="289">
        <v>1892</v>
      </c>
      <c r="M260" s="288"/>
      <c r="N260" s="287"/>
      <c r="O260" s="286">
        <v>0.23731501057082452</v>
      </c>
      <c r="P260" s="286">
        <v>1.5856236786469344E-2</v>
      </c>
      <c r="Q260" s="286">
        <v>0.24735729386892177</v>
      </c>
      <c r="R260" s="286">
        <v>0.34355179704016914</v>
      </c>
      <c r="S260" s="286">
        <v>0.11469344608879492</v>
      </c>
      <c r="T260" s="286">
        <v>2.1141649048625794E-3</v>
      </c>
      <c r="U260" s="286">
        <v>0.96088794926004228</v>
      </c>
    </row>
    <row r="261" spans="1:21" x14ac:dyDescent="0.2">
      <c r="A261" s="285"/>
      <c r="B261" s="283" t="s">
        <v>1608</v>
      </c>
      <c r="C261" s="283"/>
      <c r="D261" s="291" t="s">
        <v>1696</v>
      </c>
      <c r="E261" s="284">
        <v>0.45945945945945948</v>
      </c>
      <c r="F261" s="284">
        <v>0.29398663697104677</v>
      </c>
      <c r="G261" s="284">
        <v>0.36666666666666664</v>
      </c>
      <c r="H261" s="284">
        <v>0.35256410256410259</v>
      </c>
      <c r="I261" s="284">
        <v>0.35846153846153844</v>
      </c>
      <c r="J261" s="284">
        <v>0.41013824884792627</v>
      </c>
      <c r="K261" s="284">
        <v>0</v>
      </c>
      <c r="L261" s="284">
        <v>0.35095137420718814</v>
      </c>
      <c r="M261" s="281">
        <v>0.34573656979565576</v>
      </c>
      <c r="N261" s="280">
        <v>0.35018450522648104</v>
      </c>
      <c r="O261" s="279"/>
      <c r="P261" s="279"/>
      <c r="Q261" s="279"/>
      <c r="R261" s="279"/>
      <c r="S261" s="279"/>
      <c r="T261" s="279"/>
      <c r="U261" s="279"/>
    </row>
    <row r="262" spans="1:21" x14ac:dyDescent="0.2">
      <c r="A262" s="285"/>
      <c r="B262" s="283" t="s">
        <v>1608</v>
      </c>
      <c r="C262" s="283"/>
      <c r="D262" s="291" t="s">
        <v>1697</v>
      </c>
      <c r="E262" s="284">
        <v>0.54054054054054057</v>
      </c>
      <c r="F262" s="284">
        <v>0.70601336302895323</v>
      </c>
      <c r="G262" s="284">
        <v>0.6333333333333333</v>
      </c>
      <c r="H262" s="284">
        <v>0.64743589743589747</v>
      </c>
      <c r="I262" s="284">
        <v>0.6415384615384615</v>
      </c>
      <c r="J262" s="284">
        <v>0.58986175115207373</v>
      </c>
      <c r="K262" s="284">
        <v>1</v>
      </c>
      <c r="L262" s="284">
        <v>0.64904862579281186</v>
      </c>
      <c r="M262" s="281">
        <v>0.6542634302043443</v>
      </c>
      <c r="N262" s="280">
        <v>0.64981549477351896</v>
      </c>
      <c r="O262" s="279"/>
      <c r="P262" s="279"/>
      <c r="Q262" s="279"/>
      <c r="R262" s="279"/>
      <c r="S262" s="279"/>
      <c r="T262" s="279"/>
      <c r="U262" s="279"/>
    </row>
    <row r="263" spans="1:21" x14ac:dyDescent="0.2">
      <c r="A263" s="285"/>
      <c r="B263" s="283" t="s">
        <v>1608</v>
      </c>
      <c r="C263" s="283"/>
      <c r="D263" s="283" t="s">
        <v>1629</v>
      </c>
      <c r="E263" s="282">
        <v>1</v>
      </c>
      <c r="F263" s="282">
        <v>1</v>
      </c>
      <c r="G263" s="282">
        <v>1</v>
      </c>
      <c r="H263" s="282">
        <v>1</v>
      </c>
      <c r="I263" s="282">
        <v>1</v>
      </c>
      <c r="J263" s="282">
        <v>1</v>
      </c>
      <c r="K263" s="282">
        <v>1</v>
      </c>
      <c r="L263" s="282">
        <v>1</v>
      </c>
      <c r="M263" s="281">
        <v>1</v>
      </c>
      <c r="N263" s="280">
        <v>1</v>
      </c>
      <c r="O263" s="279"/>
      <c r="P263" s="279"/>
      <c r="Q263" s="279"/>
      <c r="R263" s="279"/>
      <c r="S263" s="279"/>
      <c r="T263" s="279"/>
      <c r="U263" s="279"/>
    </row>
    <row r="264" spans="1:21" x14ac:dyDescent="0.2">
      <c r="B264" s="278"/>
      <c r="M264" s="288"/>
      <c r="N264" s="287"/>
      <c r="O264" s="279"/>
      <c r="P264" s="279"/>
      <c r="Q264" s="279"/>
      <c r="R264" s="279"/>
      <c r="S264" s="279"/>
      <c r="T264" s="279"/>
      <c r="U264" s="279"/>
    </row>
    <row r="265" spans="1:21" x14ac:dyDescent="0.2">
      <c r="A265" s="285" t="s">
        <v>1701</v>
      </c>
      <c r="B265" s="283" t="s">
        <v>1702</v>
      </c>
      <c r="C265" s="283"/>
      <c r="D265" s="283" t="s">
        <v>1664</v>
      </c>
      <c r="E265" s="298">
        <v>3.2</v>
      </c>
      <c r="F265" s="298">
        <v>2.6710526315789473</v>
      </c>
      <c r="G265" s="298">
        <v>2.75</v>
      </c>
      <c r="H265" s="298">
        <v>2.277227722772277</v>
      </c>
      <c r="I265" s="298">
        <v>2.4347826086956523</v>
      </c>
      <c r="J265" s="298">
        <v>2.8</v>
      </c>
      <c r="K265" s="298">
        <v>3</v>
      </c>
      <c r="L265" s="298">
        <v>2.5063694267515926</v>
      </c>
      <c r="M265" s="297">
        <v>2.5164279718817602</v>
      </c>
      <c r="N265" s="296">
        <v>2.5518321008281233</v>
      </c>
      <c r="O265" s="279"/>
      <c r="P265" s="279"/>
      <c r="Q265" s="279"/>
      <c r="R265" s="279"/>
      <c r="S265" s="279"/>
      <c r="T265" s="279"/>
      <c r="U265" s="279"/>
    </row>
    <row r="266" spans="1:21" x14ac:dyDescent="0.2">
      <c r="B266" s="283" t="s">
        <v>1606</v>
      </c>
      <c r="D266" s="283" t="s">
        <v>1664</v>
      </c>
      <c r="E266" s="295">
        <v>10</v>
      </c>
      <c r="F266" s="295">
        <v>76</v>
      </c>
      <c r="G266" s="295">
        <v>4</v>
      </c>
      <c r="H266" s="295">
        <v>101</v>
      </c>
      <c r="I266" s="295">
        <v>92</v>
      </c>
      <c r="J266" s="295">
        <v>30</v>
      </c>
      <c r="K266" s="295">
        <v>1</v>
      </c>
      <c r="L266" s="295">
        <v>314</v>
      </c>
      <c r="M266" s="288"/>
      <c r="N266" s="293"/>
      <c r="O266" s="279"/>
      <c r="P266" s="279"/>
      <c r="Q266" s="279"/>
      <c r="R266" s="279"/>
      <c r="S266" s="279"/>
      <c r="T266" s="279"/>
      <c r="U266" s="279"/>
    </row>
    <row r="267" spans="1:21" x14ac:dyDescent="0.2">
      <c r="B267" s="294"/>
      <c r="D267" s="285"/>
      <c r="E267" s="285"/>
      <c r="F267" s="285"/>
      <c r="G267" s="285"/>
      <c r="H267" s="285"/>
      <c r="I267" s="285"/>
      <c r="J267" s="285"/>
      <c r="K267" s="285"/>
      <c r="L267" s="285"/>
      <c r="M267" s="288"/>
      <c r="N267" s="293"/>
      <c r="O267" s="279"/>
      <c r="P267" s="279"/>
      <c r="Q267" s="279"/>
      <c r="R267" s="279"/>
      <c r="S267" s="279"/>
      <c r="T267" s="279"/>
      <c r="U267" s="279"/>
    </row>
    <row r="268" spans="1:21" x14ac:dyDescent="0.2">
      <c r="A268" s="285" t="s">
        <v>1703</v>
      </c>
      <c r="B268" s="283" t="s">
        <v>1606</v>
      </c>
      <c r="C268" s="291">
        <v>1</v>
      </c>
      <c r="D268" s="291" t="s">
        <v>1704</v>
      </c>
      <c r="E268" s="289">
        <v>0</v>
      </c>
      <c r="F268" s="289">
        <v>1</v>
      </c>
      <c r="G268" s="289">
        <v>0</v>
      </c>
      <c r="H268" s="289">
        <v>2</v>
      </c>
      <c r="I268" s="289">
        <v>1</v>
      </c>
      <c r="J268" s="289">
        <v>4</v>
      </c>
      <c r="K268" s="289">
        <v>0</v>
      </c>
      <c r="L268" s="289">
        <v>8</v>
      </c>
      <c r="M268" s="288"/>
      <c r="N268" s="287"/>
      <c r="O268" s="279"/>
      <c r="P268" s="279"/>
      <c r="Q268" s="279"/>
      <c r="R268" s="279"/>
      <c r="S268" s="279"/>
      <c r="T268" s="279"/>
      <c r="U268" s="279"/>
    </row>
    <row r="269" spans="1:21" x14ac:dyDescent="0.2">
      <c r="A269" s="285"/>
      <c r="B269" s="283" t="s">
        <v>1606</v>
      </c>
      <c r="C269" s="291">
        <v>2</v>
      </c>
      <c r="D269" s="291" t="s">
        <v>1705</v>
      </c>
      <c r="E269" s="289">
        <v>0</v>
      </c>
      <c r="F269" s="289">
        <v>1</v>
      </c>
      <c r="G269" s="289">
        <v>0</v>
      </c>
      <c r="H269" s="289">
        <v>0</v>
      </c>
      <c r="I269" s="289">
        <v>3</v>
      </c>
      <c r="J269" s="289">
        <v>0</v>
      </c>
      <c r="K269" s="289">
        <v>0</v>
      </c>
      <c r="L269" s="289">
        <v>4</v>
      </c>
      <c r="M269" s="288"/>
      <c r="N269" s="287"/>
      <c r="O269" s="279"/>
      <c r="P269" s="279"/>
      <c r="Q269" s="279"/>
      <c r="R269" s="279"/>
      <c r="S269" s="279"/>
      <c r="T269" s="279"/>
      <c r="U269" s="279"/>
    </row>
    <row r="270" spans="1:21" x14ac:dyDescent="0.2">
      <c r="A270" s="285"/>
      <c r="B270" s="283" t="s">
        <v>1606</v>
      </c>
      <c r="C270" s="291">
        <v>3</v>
      </c>
      <c r="D270" s="291" t="s">
        <v>1706</v>
      </c>
      <c r="E270" s="289">
        <v>0</v>
      </c>
      <c r="F270" s="289">
        <v>0</v>
      </c>
      <c r="G270" s="289">
        <v>0</v>
      </c>
      <c r="H270" s="289">
        <v>1</v>
      </c>
      <c r="I270" s="289">
        <v>0</v>
      </c>
      <c r="J270" s="289">
        <v>0</v>
      </c>
      <c r="K270" s="289">
        <v>0</v>
      </c>
      <c r="L270" s="289">
        <v>1</v>
      </c>
      <c r="M270" s="288"/>
      <c r="N270" s="287"/>
      <c r="O270" s="279"/>
      <c r="P270" s="279"/>
      <c r="Q270" s="279"/>
      <c r="R270" s="279"/>
      <c r="S270" s="279"/>
      <c r="T270" s="279"/>
      <c r="U270" s="279"/>
    </row>
    <row r="271" spans="1:21" x14ac:dyDescent="0.2">
      <c r="A271" s="285"/>
      <c r="B271" s="283" t="s">
        <v>1606</v>
      </c>
      <c r="C271" s="292" t="s">
        <v>563</v>
      </c>
      <c r="D271" s="291" t="s">
        <v>1628</v>
      </c>
      <c r="E271" s="289">
        <v>182</v>
      </c>
      <c r="F271" s="289">
        <v>903</v>
      </c>
      <c r="G271" s="289">
        <v>114</v>
      </c>
      <c r="H271" s="289">
        <v>777</v>
      </c>
      <c r="I271" s="289">
        <v>1143</v>
      </c>
      <c r="J271" s="289">
        <v>352</v>
      </c>
      <c r="K271" s="289">
        <v>15</v>
      </c>
      <c r="L271" s="289">
        <v>3486</v>
      </c>
      <c r="M271" s="288"/>
      <c r="N271" s="287"/>
      <c r="O271" s="279"/>
      <c r="P271" s="279"/>
      <c r="Q271" s="279"/>
      <c r="R271" s="279"/>
      <c r="S271" s="279"/>
      <c r="T271" s="279"/>
      <c r="U271" s="279"/>
    </row>
    <row r="272" spans="1:21" x14ac:dyDescent="0.2">
      <c r="A272" s="285"/>
      <c r="B272" s="283" t="s">
        <v>1606</v>
      </c>
      <c r="C272" s="291"/>
      <c r="D272" s="291" t="s">
        <v>616</v>
      </c>
      <c r="E272" s="290">
        <v>182</v>
      </c>
      <c r="F272" s="290">
        <v>905</v>
      </c>
      <c r="G272" s="290">
        <v>114</v>
      </c>
      <c r="H272" s="290">
        <v>780</v>
      </c>
      <c r="I272" s="290">
        <v>1147</v>
      </c>
      <c r="J272" s="290">
        <v>356</v>
      </c>
      <c r="K272" s="290">
        <v>15</v>
      </c>
      <c r="L272" s="289">
        <v>3499</v>
      </c>
      <c r="M272" s="288"/>
      <c r="N272" s="287"/>
      <c r="O272" s="279"/>
      <c r="P272" s="279"/>
      <c r="Q272" s="279"/>
      <c r="R272" s="279"/>
      <c r="S272" s="279"/>
      <c r="T272" s="279"/>
      <c r="U272" s="279"/>
    </row>
    <row r="273" spans="1:21" x14ac:dyDescent="0.2">
      <c r="A273" s="285"/>
      <c r="B273" s="283" t="s">
        <v>1606</v>
      </c>
      <c r="C273" s="291"/>
      <c r="D273" s="291" t="s">
        <v>1629</v>
      </c>
      <c r="E273" s="290">
        <v>0</v>
      </c>
      <c r="F273" s="290">
        <v>2</v>
      </c>
      <c r="G273" s="290">
        <v>0</v>
      </c>
      <c r="H273" s="290">
        <v>2</v>
      </c>
      <c r="I273" s="290">
        <v>4</v>
      </c>
      <c r="J273" s="290">
        <v>4</v>
      </c>
      <c r="K273" s="290">
        <v>0</v>
      </c>
      <c r="L273" s="289">
        <v>12</v>
      </c>
      <c r="M273" s="288"/>
      <c r="N273" s="287"/>
      <c r="O273" s="286">
        <v>0.16666666666666666</v>
      </c>
      <c r="P273" s="286">
        <v>0</v>
      </c>
      <c r="Q273" s="286">
        <v>0.16666666666666666</v>
      </c>
      <c r="R273" s="286">
        <v>0.33333333333333331</v>
      </c>
      <c r="S273" s="286">
        <v>0.33333333333333331</v>
      </c>
      <c r="T273" s="286">
        <v>0</v>
      </c>
      <c r="U273" s="286">
        <v>1</v>
      </c>
    </row>
    <row r="274" spans="1:21" x14ac:dyDescent="0.2">
      <c r="A274" s="285"/>
      <c r="B274" s="283" t="s">
        <v>1608</v>
      </c>
      <c r="C274" s="283"/>
      <c r="D274" s="283" t="s">
        <v>115</v>
      </c>
      <c r="E274" s="284">
        <v>0</v>
      </c>
      <c r="F274" s="284">
        <v>1.2345679012345678E-2</v>
      </c>
      <c r="G274" s="284">
        <v>0</v>
      </c>
      <c r="H274" s="284">
        <v>1.0309278350515464E-2</v>
      </c>
      <c r="I274" s="284">
        <v>2.967359050445104E-3</v>
      </c>
      <c r="J274" s="284">
        <v>3.6036036036036036E-2</v>
      </c>
      <c r="K274" s="284">
        <v>0</v>
      </c>
      <c r="L274" s="284">
        <v>1.034928848641656E-2</v>
      </c>
      <c r="M274" s="281">
        <v>5.5138719327214635E-3</v>
      </c>
      <c r="N274" s="280">
        <v>5.2642140832450711E-3</v>
      </c>
      <c r="O274" s="279"/>
      <c r="P274" s="279"/>
      <c r="Q274" s="279"/>
      <c r="R274" s="279"/>
      <c r="S274" s="279"/>
      <c r="T274" s="279"/>
      <c r="U274" s="279"/>
    </row>
    <row r="275" spans="1:21" x14ac:dyDescent="0.2">
      <c r="A275" s="285"/>
      <c r="B275" s="283" t="s">
        <v>1608</v>
      </c>
      <c r="C275" s="283"/>
      <c r="D275" s="283" t="s">
        <v>114</v>
      </c>
      <c r="E275" s="284">
        <v>0</v>
      </c>
      <c r="F275" s="284">
        <v>1.2345679012345678E-2</v>
      </c>
      <c r="G275" s="284">
        <v>0</v>
      </c>
      <c r="H275" s="284">
        <v>0</v>
      </c>
      <c r="I275" s="284">
        <v>8.9020771513353119E-3</v>
      </c>
      <c r="J275" s="284">
        <v>0</v>
      </c>
      <c r="K275" s="284">
        <v>0</v>
      </c>
      <c r="L275" s="284">
        <v>5.1746442432082798E-3</v>
      </c>
      <c r="M275" s="281">
        <v>7.1843728745715511E-3</v>
      </c>
      <c r="N275" s="280">
        <v>6.8590778543774957E-3</v>
      </c>
      <c r="O275" s="279"/>
      <c r="P275" s="279"/>
      <c r="Q275" s="279"/>
      <c r="R275" s="279"/>
      <c r="S275" s="279"/>
      <c r="T275" s="279"/>
      <c r="U275" s="279"/>
    </row>
    <row r="276" spans="1:21" x14ac:dyDescent="0.2">
      <c r="B276" s="283" t="s">
        <v>1608</v>
      </c>
      <c r="C276" s="283"/>
      <c r="D276" s="283" t="s">
        <v>1629</v>
      </c>
      <c r="E276" s="282">
        <v>0</v>
      </c>
      <c r="F276" s="282">
        <v>2.4691358024691357E-2</v>
      </c>
      <c r="G276" s="282">
        <v>0</v>
      </c>
      <c r="H276" s="282">
        <v>1.0309278350515464E-2</v>
      </c>
      <c r="I276" s="282">
        <v>1.1869436201780416E-2</v>
      </c>
      <c r="J276" s="282">
        <v>3.6036036036036036E-2</v>
      </c>
      <c r="K276" s="282">
        <v>0</v>
      </c>
      <c r="L276" s="282">
        <v>1.552393272962484E-2</v>
      </c>
      <c r="M276" s="281">
        <v>1.2698244807293015E-2</v>
      </c>
      <c r="N276" s="280">
        <v>1.2123291937622568E-2</v>
      </c>
      <c r="O276" s="279"/>
      <c r="P276" s="279"/>
      <c r="Q276" s="279"/>
      <c r="R276" s="279"/>
      <c r="S276" s="279"/>
      <c r="T276" s="279"/>
      <c r="U276" s="279"/>
    </row>
  </sheetData>
  <mergeCells count="1">
    <mergeCell ref="A1:N1"/>
  </mergeCells>
  <printOptions horizontalCentered="1" gridLines="1"/>
  <pageMargins left="0.25" right="0.25" top="0.75" bottom="1" header="0.5" footer="0.5"/>
  <pageSetup scale="39" fitToHeight="0" orientation="portrait" r:id="rId1"/>
  <headerFooter alignWithMargins="0">
    <oddHeader>&amp;A</oddHeader>
    <oddFooter>Page &amp;P of &amp;N</oddFooter>
  </headerFooter>
  <rowBreaks count="2" manualBreakCount="2">
    <brk id="137" max="16383" man="1"/>
    <brk id="237" max="1638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P765"/>
  <sheetViews>
    <sheetView topLeftCell="A259" zoomScale="84" zoomScaleNormal="84" workbookViewId="0">
      <selection activeCell="A296" sqref="A296"/>
    </sheetView>
  </sheetViews>
  <sheetFormatPr defaultColWidth="9.140625" defaultRowHeight="15" x14ac:dyDescent="0.25"/>
  <cols>
    <col min="1" max="1" width="17.140625" style="48" customWidth="1"/>
    <col min="2" max="14" width="15" style="48" customWidth="1"/>
    <col min="15" max="29" width="12.7109375" style="48" customWidth="1"/>
    <col min="30" max="30" width="12.85546875" style="48" customWidth="1"/>
    <col min="31" max="42" width="12.7109375" style="48" customWidth="1"/>
    <col min="43" max="16384" width="9.140625" style="48"/>
  </cols>
  <sheetData>
    <row r="1" spans="1:16" ht="18.75" x14ac:dyDescent="0.3">
      <c r="A1" s="875" t="s">
        <v>1707</v>
      </c>
      <c r="B1" s="875"/>
      <c r="C1" s="875"/>
      <c r="D1" s="875"/>
      <c r="E1" s="875"/>
      <c r="F1" s="875"/>
      <c r="G1" s="875"/>
      <c r="H1" s="875"/>
      <c r="I1" s="875"/>
      <c r="J1" s="875"/>
      <c r="K1" s="875"/>
      <c r="L1" s="875"/>
      <c r="M1" s="875"/>
      <c r="N1" s="875"/>
      <c r="O1" s="875"/>
    </row>
    <row r="2" spans="1:16" x14ac:dyDescent="0.25">
      <c r="C2" s="144"/>
      <c r="G2" s="343" t="s">
        <v>1591</v>
      </c>
      <c r="H2" s="366" t="s">
        <v>1592</v>
      </c>
    </row>
    <row r="3" spans="1:16" ht="15" customHeight="1" x14ac:dyDescent="0.25">
      <c r="G3" s="343" t="s">
        <v>1708</v>
      </c>
      <c r="H3" s="366">
        <v>50</v>
      </c>
      <c r="I3" s="367" t="s">
        <v>1709</v>
      </c>
      <c r="J3" s="823">
        <v>19</v>
      </c>
      <c r="K3" s="367" t="s">
        <v>1710</v>
      </c>
      <c r="L3" s="139">
        <v>0.22619047619047619</v>
      </c>
      <c r="M3" s="367" t="s">
        <v>1711</v>
      </c>
      <c r="N3" s="139">
        <v>0.43181818181818182</v>
      </c>
    </row>
    <row r="4" spans="1:16" ht="15" customHeight="1" x14ac:dyDescent="0.25">
      <c r="A4" s="876" t="s">
        <v>1712</v>
      </c>
      <c r="B4" s="876"/>
      <c r="C4" s="876"/>
      <c r="D4" s="876"/>
      <c r="E4" s="876"/>
      <c r="F4" s="876"/>
      <c r="G4" s="876"/>
      <c r="H4" s="876"/>
      <c r="I4" s="876"/>
      <c r="J4" s="876"/>
      <c r="K4" s="876"/>
      <c r="L4" s="876"/>
      <c r="M4" s="876"/>
      <c r="N4" s="876"/>
    </row>
    <row r="5" spans="1:16" ht="15" customHeight="1" x14ac:dyDescent="0.25">
      <c r="O5" s="824" t="s">
        <v>1713</v>
      </c>
      <c r="P5" s="824" t="s">
        <v>1714</v>
      </c>
    </row>
    <row r="6" spans="1:16" ht="15" customHeight="1" x14ac:dyDescent="0.25">
      <c r="A6" s="143" t="s">
        <v>1715</v>
      </c>
      <c r="B6" s="368" t="s">
        <v>1716</v>
      </c>
      <c r="C6" s="368" t="s">
        <v>1717</v>
      </c>
      <c r="D6" s="368" t="s">
        <v>1718</v>
      </c>
      <c r="E6" s="368" t="s">
        <v>1719</v>
      </c>
      <c r="F6" s="368" t="s">
        <v>137</v>
      </c>
      <c r="G6" s="368" t="s">
        <v>1720</v>
      </c>
      <c r="H6" s="368" t="s">
        <v>1721</v>
      </c>
      <c r="I6" s="368" t="s">
        <v>746</v>
      </c>
      <c r="J6" s="368" t="s">
        <v>1722</v>
      </c>
      <c r="K6" s="368" t="s">
        <v>1723</v>
      </c>
      <c r="L6" s="368" t="s">
        <v>151</v>
      </c>
      <c r="M6" s="368" t="s">
        <v>1724</v>
      </c>
      <c r="N6" s="142" t="s">
        <v>341</v>
      </c>
      <c r="O6" s="143" t="s">
        <v>1725</v>
      </c>
      <c r="P6" s="143" t="s">
        <v>1726</v>
      </c>
    </row>
    <row r="7" spans="1:16" ht="15" customHeight="1" x14ac:dyDescent="0.25">
      <c r="A7" s="7" t="s">
        <v>1727</v>
      </c>
      <c r="B7" s="184">
        <v>0</v>
      </c>
      <c r="C7" s="184">
        <v>0</v>
      </c>
      <c r="D7" s="184">
        <v>0</v>
      </c>
      <c r="E7" s="184">
        <v>0</v>
      </c>
      <c r="F7" s="184">
        <v>0</v>
      </c>
      <c r="G7" s="184">
        <v>0</v>
      </c>
      <c r="H7" s="184">
        <v>0</v>
      </c>
      <c r="I7" s="184">
        <v>0</v>
      </c>
      <c r="J7" s="184">
        <v>0</v>
      </c>
      <c r="K7" s="184">
        <v>0</v>
      </c>
      <c r="L7" s="184">
        <v>0</v>
      </c>
      <c r="M7" s="184">
        <v>0</v>
      </c>
      <c r="N7" s="153">
        <v>0</v>
      </c>
      <c r="O7" s="144">
        <v>1</v>
      </c>
      <c r="P7" s="369">
        <v>9.5732644831887669E-4</v>
      </c>
    </row>
    <row r="8" spans="1:16" ht="15" customHeight="1" x14ac:dyDescent="0.25">
      <c r="A8" s="7" t="s">
        <v>1728</v>
      </c>
      <c r="B8" s="184">
        <v>183356819.44850639</v>
      </c>
      <c r="C8" s="184">
        <v>0</v>
      </c>
      <c r="D8" s="184">
        <v>0</v>
      </c>
      <c r="E8" s="184">
        <v>0</v>
      </c>
      <c r="F8" s="184">
        <v>0</v>
      </c>
      <c r="G8" s="184">
        <v>0</v>
      </c>
      <c r="H8" s="184">
        <v>0</v>
      </c>
      <c r="I8" s="184">
        <v>0</v>
      </c>
      <c r="J8" s="184">
        <v>0</v>
      </c>
      <c r="K8" s="184">
        <v>0</v>
      </c>
      <c r="L8" s="184">
        <v>0</v>
      </c>
      <c r="M8" s="184">
        <v>0</v>
      </c>
      <c r="N8" s="153">
        <v>183356819.44850639</v>
      </c>
      <c r="O8" s="144">
        <v>3</v>
      </c>
      <c r="P8" s="369">
        <v>2.9009892373299295E-5</v>
      </c>
    </row>
    <row r="9" spans="1:16" ht="15" customHeight="1" x14ac:dyDescent="0.25">
      <c r="A9" s="7" t="s">
        <v>1729</v>
      </c>
      <c r="B9" s="184">
        <v>20372979.938722931</v>
      </c>
      <c r="C9" s="184">
        <v>0</v>
      </c>
      <c r="D9" s="184">
        <v>0</v>
      </c>
      <c r="E9" s="184">
        <v>0</v>
      </c>
      <c r="F9" s="184">
        <v>0</v>
      </c>
      <c r="G9" s="184">
        <v>0</v>
      </c>
      <c r="H9" s="184">
        <v>133650000</v>
      </c>
      <c r="I9" s="184">
        <v>0</v>
      </c>
      <c r="J9" s="184">
        <v>0</v>
      </c>
      <c r="K9" s="184">
        <v>0</v>
      </c>
      <c r="L9" s="184">
        <v>0</v>
      </c>
      <c r="M9" s="184">
        <v>0</v>
      </c>
      <c r="N9" s="153">
        <v>154022979.93872294</v>
      </c>
      <c r="O9" s="144">
        <v>1</v>
      </c>
      <c r="P9" s="369">
        <v>2.9009892373299295E-5</v>
      </c>
    </row>
    <row r="10" spans="1:16" ht="15" customHeight="1" x14ac:dyDescent="0.25">
      <c r="A10" s="7" t="s">
        <v>1730</v>
      </c>
      <c r="B10" s="184">
        <v>81491919.754891723</v>
      </c>
      <c r="C10" s="184">
        <v>0</v>
      </c>
      <c r="D10" s="184">
        <v>0</v>
      </c>
      <c r="E10" s="184">
        <v>0</v>
      </c>
      <c r="F10" s="184">
        <v>0</v>
      </c>
      <c r="G10" s="184">
        <v>0</v>
      </c>
      <c r="H10" s="184">
        <v>0</v>
      </c>
      <c r="I10" s="184">
        <v>0</v>
      </c>
      <c r="J10" s="184">
        <v>13500000</v>
      </c>
      <c r="K10" s="184">
        <v>0</v>
      </c>
      <c r="L10" s="184">
        <v>0</v>
      </c>
      <c r="M10" s="184">
        <v>0</v>
      </c>
      <c r="N10" s="153">
        <v>94991919.754891723</v>
      </c>
      <c r="O10" s="144">
        <v>1</v>
      </c>
      <c r="P10" s="369">
        <v>0</v>
      </c>
    </row>
    <row r="11" spans="1:16" ht="15" customHeight="1" x14ac:dyDescent="0.25">
      <c r="A11" s="7" t="s">
        <v>1731</v>
      </c>
      <c r="B11" s="184">
        <v>142610859.57106051</v>
      </c>
      <c r="C11" s="184">
        <v>0</v>
      </c>
      <c r="D11" s="184">
        <v>0</v>
      </c>
      <c r="E11" s="184">
        <v>0</v>
      </c>
      <c r="F11" s="184">
        <v>0</v>
      </c>
      <c r="G11" s="184">
        <v>0</v>
      </c>
      <c r="H11" s="184">
        <v>216000000</v>
      </c>
      <c r="I11" s="184">
        <v>0</v>
      </c>
      <c r="J11" s="184">
        <v>121500000</v>
      </c>
      <c r="K11" s="184">
        <v>0</v>
      </c>
      <c r="L11" s="184">
        <v>0</v>
      </c>
      <c r="M11" s="184">
        <v>0</v>
      </c>
      <c r="N11" s="153">
        <v>480110859.57106054</v>
      </c>
      <c r="O11" s="144">
        <v>3</v>
      </c>
      <c r="P11" s="369">
        <v>5.8019784746598591E-4</v>
      </c>
    </row>
    <row r="12" spans="1:16" ht="15" customHeight="1" x14ac:dyDescent="0.25">
      <c r="A12" s="7" t="s">
        <v>1732</v>
      </c>
      <c r="B12" s="184">
        <v>0</v>
      </c>
      <c r="C12" s="184">
        <v>0</v>
      </c>
      <c r="D12" s="184">
        <v>0</v>
      </c>
      <c r="E12" s="184">
        <v>0</v>
      </c>
      <c r="F12" s="184">
        <v>81491919.754891723</v>
      </c>
      <c r="G12" s="184">
        <v>0</v>
      </c>
      <c r="H12" s="184">
        <v>108000000</v>
      </c>
      <c r="I12" s="184">
        <v>0</v>
      </c>
      <c r="J12" s="184">
        <v>0</v>
      </c>
      <c r="K12" s="184">
        <v>0</v>
      </c>
      <c r="L12" s="184">
        <v>0</v>
      </c>
      <c r="M12" s="184">
        <v>0</v>
      </c>
      <c r="N12" s="153">
        <v>189491919.75489172</v>
      </c>
      <c r="O12" s="144">
        <v>1</v>
      </c>
      <c r="P12" s="369">
        <v>9.2831655594557744E-4</v>
      </c>
    </row>
    <row r="13" spans="1:16" ht="15" customHeight="1" x14ac:dyDescent="0.25">
      <c r="A13" s="7" t="s">
        <v>1733</v>
      </c>
      <c r="B13" s="184">
        <v>264848739.20339811</v>
      </c>
      <c r="C13" s="184">
        <v>0</v>
      </c>
      <c r="D13" s="184">
        <v>0</v>
      </c>
      <c r="E13" s="184">
        <v>0</v>
      </c>
      <c r="F13" s="184">
        <v>0</v>
      </c>
      <c r="G13" s="184">
        <v>0</v>
      </c>
      <c r="H13" s="184">
        <v>121500000</v>
      </c>
      <c r="I13" s="184">
        <v>0</v>
      </c>
      <c r="J13" s="184">
        <v>22950000</v>
      </c>
      <c r="K13" s="184">
        <v>0</v>
      </c>
      <c r="L13" s="184">
        <v>0</v>
      </c>
      <c r="M13" s="184">
        <v>0</v>
      </c>
      <c r="N13" s="153">
        <v>409298739.20339811</v>
      </c>
      <c r="O13" s="144">
        <v>5</v>
      </c>
      <c r="P13" s="369">
        <v>2.3788111746105424E-3</v>
      </c>
    </row>
    <row r="14" spans="1:16" ht="15" customHeight="1" x14ac:dyDescent="0.25">
      <c r="A14" s="7" t="s">
        <v>1734</v>
      </c>
      <c r="B14" s="184">
        <v>101864899.69361466</v>
      </c>
      <c r="C14" s="184">
        <v>0</v>
      </c>
      <c r="D14" s="184">
        <v>0</v>
      </c>
      <c r="E14" s="184">
        <v>0</v>
      </c>
      <c r="F14" s="184">
        <v>0</v>
      </c>
      <c r="G14" s="184">
        <v>0</v>
      </c>
      <c r="H14" s="184">
        <v>81000000</v>
      </c>
      <c r="I14" s="184">
        <v>6750000</v>
      </c>
      <c r="J14" s="184">
        <v>74250000</v>
      </c>
      <c r="K14" s="184">
        <v>0</v>
      </c>
      <c r="L14" s="184">
        <v>0</v>
      </c>
      <c r="M14" s="184">
        <v>0</v>
      </c>
      <c r="N14" s="153">
        <v>263864899.69361466</v>
      </c>
      <c r="O14" s="144">
        <v>4</v>
      </c>
      <c r="P14" s="369">
        <v>3.3651475153027182E-3</v>
      </c>
    </row>
    <row r="15" spans="1:16" ht="15" customHeight="1" x14ac:dyDescent="0.25">
      <c r="A15" s="7" t="s">
        <v>1735</v>
      </c>
      <c r="B15" s="184">
        <v>488951518.5293504</v>
      </c>
      <c r="C15" s="184">
        <v>0</v>
      </c>
      <c r="D15" s="184">
        <v>0</v>
      </c>
      <c r="E15" s="184">
        <v>0</v>
      </c>
      <c r="F15" s="184">
        <v>0</v>
      </c>
      <c r="G15" s="184">
        <v>0</v>
      </c>
      <c r="H15" s="184">
        <v>742500000</v>
      </c>
      <c r="I15" s="184">
        <v>0</v>
      </c>
      <c r="J15" s="184">
        <v>144450000</v>
      </c>
      <c r="K15" s="184">
        <v>0</v>
      </c>
      <c r="L15" s="184">
        <v>0</v>
      </c>
      <c r="M15" s="184">
        <v>0</v>
      </c>
      <c r="N15" s="153">
        <v>1375901518.5293503</v>
      </c>
      <c r="O15" s="144">
        <v>15</v>
      </c>
      <c r="P15" s="369">
        <v>4.1194047170084996E-3</v>
      </c>
    </row>
    <row r="16" spans="1:16" ht="15" customHeight="1" x14ac:dyDescent="0.25">
      <c r="A16" s="7" t="s">
        <v>1736</v>
      </c>
      <c r="B16" s="184">
        <v>0</v>
      </c>
      <c r="C16" s="184">
        <v>0</v>
      </c>
      <c r="D16" s="184">
        <v>0</v>
      </c>
      <c r="E16" s="184">
        <v>0</v>
      </c>
      <c r="F16" s="184">
        <v>0</v>
      </c>
      <c r="G16" s="184">
        <v>0</v>
      </c>
      <c r="H16" s="184">
        <v>0</v>
      </c>
      <c r="I16" s="184">
        <v>0</v>
      </c>
      <c r="J16" s="184">
        <v>0</v>
      </c>
      <c r="K16" s="184">
        <v>0</v>
      </c>
      <c r="L16" s="184">
        <v>0</v>
      </c>
      <c r="M16" s="184">
        <v>0</v>
      </c>
      <c r="N16" s="153">
        <v>0</v>
      </c>
      <c r="O16" s="144">
        <v>1</v>
      </c>
      <c r="P16" s="369">
        <v>0</v>
      </c>
    </row>
    <row r="17" spans="1:16" ht="15" customHeight="1" x14ac:dyDescent="0.25">
      <c r="A17" s="7" t="s">
        <v>1737</v>
      </c>
      <c r="B17" s="184">
        <v>40745959.877445862</v>
      </c>
      <c r="C17" s="184">
        <v>0</v>
      </c>
      <c r="D17" s="184">
        <v>0</v>
      </c>
      <c r="E17" s="184">
        <v>0</v>
      </c>
      <c r="F17" s="184">
        <v>0</v>
      </c>
      <c r="G17" s="184">
        <v>0</v>
      </c>
      <c r="H17" s="184">
        <v>202500000</v>
      </c>
      <c r="I17" s="184">
        <v>0</v>
      </c>
      <c r="J17" s="184">
        <v>81000000</v>
      </c>
      <c r="K17" s="184">
        <v>0</v>
      </c>
      <c r="L17" s="184">
        <v>0</v>
      </c>
      <c r="M17" s="184">
        <v>0</v>
      </c>
      <c r="N17" s="153">
        <v>324245959.87744588</v>
      </c>
      <c r="O17" s="144">
        <v>3</v>
      </c>
      <c r="P17" s="369">
        <v>3.7132662237823097E-3</v>
      </c>
    </row>
    <row r="18" spans="1:16" ht="15" customHeight="1" x14ac:dyDescent="0.25">
      <c r="A18" s="7" t="s">
        <v>1738</v>
      </c>
      <c r="B18" s="184">
        <v>3078357268.7410345</v>
      </c>
      <c r="C18" s="184">
        <v>128000000</v>
      </c>
      <c r="D18" s="184">
        <v>0</v>
      </c>
      <c r="E18" s="184">
        <v>128000000</v>
      </c>
      <c r="F18" s="184">
        <v>61118939.816168793</v>
      </c>
      <c r="G18" s="184">
        <v>57582557.63063819</v>
      </c>
      <c r="H18" s="184">
        <v>4138283067.417635</v>
      </c>
      <c r="I18" s="184">
        <v>2700000</v>
      </c>
      <c r="J18" s="184">
        <v>637875000</v>
      </c>
      <c r="K18" s="184">
        <v>16220556.745182011</v>
      </c>
      <c r="L18" s="184">
        <v>0</v>
      </c>
      <c r="M18" s="184">
        <v>142857142.85714287</v>
      </c>
      <c r="N18" s="153">
        <v>8390994533.2078009</v>
      </c>
      <c r="O18" s="144">
        <v>67</v>
      </c>
      <c r="P18" s="369">
        <v>1.3083461460357982E-2</v>
      </c>
    </row>
    <row r="19" spans="1:16" ht="15" customHeight="1" x14ac:dyDescent="0.25">
      <c r="A19" s="7" t="s">
        <v>1739</v>
      </c>
      <c r="B19" s="184">
        <v>1120513896.6297612</v>
      </c>
      <c r="C19" s="184">
        <v>0</v>
      </c>
      <c r="D19" s="184">
        <v>81491919.754891723</v>
      </c>
      <c r="E19" s="184">
        <v>0</v>
      </c>
      <c r="F19" s="184">
        <v>0</v>
      </c>
      <c r="G19" s="184">
        <v>0</v>
      </c>
      <c r="H19" s="184">
        <v>1564875000</v>
      </c>
      <c r="I19" s="184">
        <v>1446945.3376205789</v>
      </c>
      <c r="J19" s="184">
        <v>368377813.50482315</v>
      </c>
      <c r="K19" s="184">
        <v>0</v>
      </c>
      <c r="L19" s="184">
        <v>0</v>
      </c>
      <c r="M19" s="184">
        <v>0</v>
      </c>
      <c r="N19" s="153">
        <v>3136705575.227097</v>
      </c>
      <c r="O19" s="144">
        <v>28</v>
      </c>
      <c r="P19" s="369">
        <v>1.9436627890110528E-3</v>
      </c>
    </row>
    <row r="20" spans="1:16" ht="15" customHeight="1" x14ac:dyDescent="0.25">
      <c r="A20" s="7" t="s">
        <v>1740</v>
      </c>
      <c r="B20" s="184">
        <v>348957371.97794235</v>
      </c>
      <c r="C20" s="184">
        <v>0</v>
      </c>
      <c r="D20" s="184">
        <v>0</v>
      </c>
      <c r="E20" s="184">
        <v>0</v>
      </c>
      <c r="F20" s="184">
        <v>0</v>
      </c>
      <c r="G20" s="184">
        <v>0</v>
      </c>
      <c r="H20" s="184">
        <v>1155539420.8126192</v>
      </c>
      <c r="I20" s="184">
        <v>0</v>
      </c>
      <c r="J20" s="184">
        <v>135000000</v>
      </c>
      <c r="K20" s="184">
        <v>0</v>
      </c>
      <c r="L20" s="184">
        <v>0</v>
      </c>
      <c r="M20" s="184">
        <v>0</v>
      </c>
      <c r="N20" s="153">
        <v>1639496792.7905617</v>
      </c>
      <c r="O20" s="144">
        <v>12</v>
      </c>
      <c r="P20" s="369">
        <v>5.1927707348205735E-3</v>
      </c>
    </row>
    <row r="21" spans="1:16" ht="15" customHeight="1" x14ac:dyDescent="0.25">
      <c r="A21" s="7" t="s">
        <v>1741</v>
      </c>
      <c r="B21" s="184">
        <v>61118939.816168793</v>
      </c>
      <c r="C21" s="184">
        <v>0</v>
      </c>
      <c r="D21" s="184">
        <v>0</v>
      </c>
      <c r="E21" s="184">
        <v>0</v>
      </c>
      <c r="F21" s="184">
        <v>0</v>
      </c>
      <c r="G21" s="184">
        <v>0</v>
      </c>
      <c r="H21" s="184">
        <v>0</v>
      </c>
      <c r="I21" s="184">
        <v>0</v>
      </c>
      <c r="J21" s="184">
        <v>33750000</v>
      </c>
      <c r="K21" s="184">
        <v>0</v>
      </c>
      <c r="L21" s="184">
        <v>0</v>
      </c>
      <c r="M21" s="184">
        <v>0</v>
      </c>
      <c r="N21" s="153">
        <v>94868939.816168785</v>
      </c>
      <c r="O21" s="144">
        <v>1</v>
      </c>
      <c r="P21" s="369">
        <v>0</v>
      </c>
    </row>
    <row r="22" spans="1:16" ht="15" customHeight="1" x14ac:dyDescent="0.25">
      <c r="A22" s="7" t="s">
        <v>1742</v>
      </c>
      <c r="B22" s="184">
        <v>814919197.54891729</v>
      </c>
      <c r="C22" s="184">
        <v>0</v>
      </c>
      <c r="D22" s="184">
        <v>0</v>
      </c>
      <c r="E22" s="184">
        <v>0</v>
      </c>
      <c r="F22" s="184">
        <v>0</v>
      </c>
      <c r="G22" s="184">
        <v>28791278.815319095</v>
      </c>
      <c r="H22" s="184">
        <v>1522125000</v>
      </c>
      <c r="I22" s="184">
        <v>0</v>
      </c>
      <c r="J22" s="184">
        <v>36450000</v>
      </c>
      <c r="K22" s="184">
        <v>0</v>
      </c>
      <c r="L22" s="184">
        <v>0</v>
      </c>
      <c r="M22" s="184">
        <v>0</v>
      </c>
      <c r="N22" s="153">
        <v>2402285476.3642364</v>
      </c>
      <c r="O22" s="144">
        <v>15</v>
      </c>
      <c r="P22" s="369">
        <v>4.6415827797278872E-4</v>
      </c>
    </row>
    <row r="23" spans="1:16" ht="15" customHeight="1" x14ac:dyDescent="0.25">
      <c r="A23" s="7" t="s">
        <v>1743</v>
      </c>
      <c r="B23" s="184">
        <v>0</v>
      </c>
      <c r="C23" s="184">
        <v>0</v>
      </c>
      <c r="D23" s="184">
        <v>0</v>
      </c>
      <c r="E23" s="184">
        <v>0</v>
      </c>
      <c r="F23" s="184">
        <v>0</v>
      </c>
      <c r="G23" s="184">
        <v>0</v>
      </c>
      <c r="H23" s="184">
        <v>148500000</v>
      </c>
      <c r="I23" s="184">
        <v>0</v>
      </c>
      <c r="J23" s="184">
        <v>20250000</v>
      </c>
      <c r="K23" s="184">
        <v>0</v>
      </c>
      <c r="L23" s="184">
        <v>0</v>
      </c>
      <c r="M23" s="184">
        <v>0</v>
      </c>
      <c r="N23" s="153">
        <v>168750000</v>
      </c>
      <c r="O23" s="144">
        <v>2</v>
      </c>
      <c r="P23" s="369">
        <v>0</v>
      </c>
    </row>
    <row r="24" spans="1:16" ht="15" customHeight="1" x14ac:dyDescent="0.25">
      <c r="A24" s="7" t="s">
        <v>1744</v>
      </c>
      <c r="B24" s="184">
        <v>366713638.89701277</v>
      </c>
      <c r="C24" s="184">
        <v>97280000</v>
      </c>
      <c r="D24" s="184">
        <v>203729799.38722932</v>
      </c>
      <c r="E24" s="184">
        <v>97280000</v>
      </c>
      <c r="F24" s="184">
        <v>0</v>
      </c>
      <c r="G24" s="184">
        <v>57582557.63063819</v>
      </c>
      <c r="H24" s="184">
        <v>2949036074.4763384</v>
      </c>
      <c r="I24" s="184">
        <v>68175000</v>
      </c>
      <c r="J24" s="184">
        <v>116100000</v>
      </c>
      <c r="K24" s="184">
        <v>0</v>
      </c>
      <c r="L24" s="184">
        <v>0</v>
      </c>
      <c r="M24" s="184">
        <v>0</v>
      </c>
      <c r="N24" s="153">
        <v>3955897070.3912187</v>
      </c>
      <c r="O24" s="144">
        <v>29</v>
      </c>
      <c r="P24" s="369">
        <v>3.5682167619158133E-3</v>
      </c>
    </row>
    <row r="25" spans="1:16" ht="15" customHeight="1" x14ac:dyDescent="0.25">
      <c r="A25" s="7" t="s">
        <v>1745</v>
      </c>
      <c r="B25" s="184">
        <v>1161259856.5072072</v>
      </c>
      <c r="C25" s="184">
        <v>192000000</v>
      </c>
      <c r="D25" s="184">
        <v>122237879.6323376</v>
      </c>
      <c r="E25" s="184">
        <v>192000000</v>
      </c>
      <c r="F25" s="184">
        <v>40745959.877445862</v>
      </c>
      <c r="G25" s="184">
        <v>201538951.70723367</v>
      </c>
      <c r="H25" s="184">
        <v>6992324082.1029415</v>
      </c>
      <c r="I25" s="184">
        <v>40347871.452420697</v>
      </c>
      <c r="J25" s="184">
        <v>336150000</v>
      </c>
      <c r="K25" s="184">
        <v>23790149.892933618</v>
      </c>
      <c r="L25" s="184">
        <v>0</v>
      </c>
      <c r="M25" s="184">
        <v>0</v>
      </c>
      <c r="N25" s="153">
        <v>9302394751.1725197</v>
      </c>
      <c r="O25" s="144">
        <v>74</v>
      </c>
      <c r="P25" s="369">
        <v>3.3825534507266976E-2</v>
      </c>
    </row>
    <row r="26" spans="1:16" ht="15" customHeight="1" x14ac:dyDescent="0.25">
      <c r="A26" s="7" t="s">
        <v>1746</v>
      </c>
      <c r="B26" s="184">
        <v>509324498.46807325</v>
      </c>
      <c r="C26" s="184">
        <v>94400000</v>
      </c>
      <c r="D26" s="184">
        <v>0</v>
      </c>
      <c r="E26" s="184">
        <v>94400000</v>
      </c>
      <c r="F26" s="184">
        <v>0</v>
      </c>
      <c r="G26" s="184">
        <v>0</v>
      </c>
      <c r="H26" s="184">
        <v>2784542972.3502302</v>
      </c>
      <c r="I26" s="184">
        <v>675000</v>
      </c>
      <c r="J26" s="184">
        <v>151150005.47825134</v>
      </c>
      <c r="K26" s="184">
        <v>0</v>
      </c>
      <c r="L26" s="184">
        <v>0</v>
      </c>
      <c r="M26" s="184">
        <v>0</v>
      </c>
      <c r="N26" s="153">
        <v>3634492476.296555</v>
      </c>
      <c r="O26" s="144">
        <v>35</v>
      </c>
      <c r="P26" s="369">
        <v>7.6005918018044157E-3</v>
      </c>
    </row>
    <row r="27" spans="1:16" ht="15" customHeight="1" x14ac:dyDescent="0.25">
      <c r="A27" s="7" t="s">
        <v>1747</v>
      </c>
      <c r="B27" s="184">
        <v>519510988.43743479</v>
      </c>
      <c r="C27" s="184">
        <v>0</v>
      </c>
      <c r="D27" s="184">
        <v>20372979.938722931</v>
      </c>
      <c r="E27" s="184">
        <v>0</v>
      </c>
      <c r="F27" s="184">
        <v>0</v>
      </c>
      <c r="G27" s="184">
        <v>0</v>
      </c>
      <c r="H27" s="184">
        <v>303750000</v>
      </c>
      <c r="I27" s="184">
        <v>0</v>
      </c>
      <c r="J27" s="184">
        <v>94500000</v>
      </c>
      <c r="K27" s="184">
        <v>0</v>
      </c>
      <c r="L27" s="184">
        <v>0</v>
      </c>
      <c r="M27" s="184">
        <v>0</v>
      </c>
      <c r="N27" s="153">
        <v>938133968.37615776</v>
      </c>
      <c r="O27" s="144">
        <v>11</v>
      </c>
      <c r="P27" s="369">
        <v>4.4965333178613905E-3</v>
      </c>
    </row>
    <row r="28" spans="1:16" ht="15" customHeight="1" x14ac:dyDescent="0.25">
      <c r="A28" s="7" t="s">
        <v>1748</v>
      </c>
      <c r="B28" s="184">
        <v>1202005816.3846529</v>
      </c>
      <c r="C28" s="184">
        <v>0</v>
      </c>
      <c r="D28" s="184">
        <v>0</v>
      </c>
      <c r="E28" s="184">
        <v>0</v>
      </c>
      <c r="F28" s="184">
        <v>0</v>
      </c>
      <c r="G28" s="184">
        <v>0</v>
      </c>
      <c r="H28" s="184">
        <v>2993355000</v>
      </c>
      <c r="I28" s="184">
        <v>0</v>
      </c>
      <c r="J28" s="184">
        <v>243675000</v>
      </c>
      <c r="K28" s="184">
        <v>0</v>
      </c>
      <c r="L28" s="184">
        <v>0</v>
      </c>
      <c r="M28" s="184">
        <v>0</v>
      </c>
      <c r="N28" s="153">
        <v>4439035816.3846531</v>
      </c>
      <c r="O28" s="144">
        <v>35</v>
      </c>
      <c r="P28" s="369">
        <v>3.8873255780221055E-3</v>
      </c>
    </row>
    <row r="29" spans="1:16" ht="15" customHeight="1" x14ac:dyDescent="0.25">
      <c r="A29" s="7" t="s">
        <v>1749</v>
      </c>
      <c r="B29" s="184">
        <v>1825419002.5095744</v>
      </c>
      <c r="C29" s="184">
        <v>85420689.655172408</v>
      </c>
      <c r="D29" s="184">
        <v>101864899.69361466</v>
      </c>
      <c r="E29" s="184">
        <v>85420689.655172408</v>
      </c>
      <c r="F29" s="184">
        <v>122237879.6323376</v>
      </c>
      <c r="G29" s="184">
        <v>172747672.89191458</v>
      </c>
      <c r="H29" s="184">
        <v>5494666639.1605911</v>
      </c>
      <c r="I29" s="184">
        <v>0</v>
      </c>
      <c r="J29" s="184">
        <v>156600000</v>
      </c>
      <c r="K29" s="184">
        <v>0</v>
      </c>
      <c r="L29" s="184">
        <v>243200000</v>
      </c>
      <c r="M29" s="184">
        <v>0</v>
      </c>
      <c r="N29" s="153">
        <v>8287577473.1983776</v>
      </c>
      <c r="O29" s="144">
        <v>59</v>
      </c>
      <c r="P29" s="369">
        <v>1.9378608105363928E-2</v>
      </c>
    </row>
    <row r="30" spans="1:16" ht="15" customHeight="1" x14ac:dyDescent="0.25">
      <c r="A30" s="7" t="s">
        <v>1750</v>
      </c>
      <c r="B30" s="184">
        <v>1622467081.098964</v>
      </c>
      <c r="C30" s="184">
        <v>48000000</v>
      </c>
      <c r="D30" s="184">
        <v>0</v>
      </c>
      <c r="E30" s="184">
        <v>48000000</v>
      </c>
      <c r="F30" s="184">
        <v>268443970.95729041</v>
      </c>
      <c r="G30" s="184">
        <v>115165115.26127638</v>
      </c>
      <c r="H30" s="184">
        <v>16726248018.344275</v>
      </c>
      <c r="I30" s="184">
        <v>340875000</v>
      </c>
      <c r="J30" s="184">
        <v>240975000</v>
      </c>
      <c r="K30" s="184">
        <v>194646680.94218415</v>
      </c>
      <c r="L30" s="184">
        <v>15200000</v>
      </c>
      <c r="M30" s="184">
        <v>142857142.85714287</v>
      </c>
      <c r="N30" s="153">
        <v>19762878009.461132</v>
      </c>
      <c r="O30" s="144">
        <v>171</v>
      </c>
      <c r="P30" s="369">
        <v>5.5321864755881758E-2</v>
      </c>
    </row>
    <row r="31" spans="1:16" ht="15" customHeight="1" x14ac:dyDescent="0.25">
      <c r="A31" s="7" t="s">
        <v>1751</v>
      </c>
      <c r="B31" s="184">
        <v>1473415557.9104576</v>
      </c>
      <c r="C31" s="184">
        <v>188800000</v>
      </c>
      <c r="D31" s="184">
        <v>202747489.94861087</v>
      </c>
      <c r="E31" s="184">
        <v>112000000</v>
      </c>
      <c r="F31" s="184">
        <v>96771654.70893392</v>
      </c>
      <c r="G31" s="184">
        <v>0</v>
      </c>
      <c r="H31" s="184">
        <v>5649060475.016223</v>
      </c>
      <c r="I31" s="184">
        <v>47250000</v>
      </c>
      <c r="J31" s="184">
        <v>227475000</v>
      </c>
      <c r="K31" s="184">
        <v>0</v>
      </c>
      <c r="L31" s="184">
        <v>0</v>
      </c>
      <c r="M31" s="184">
        <v>0</v>
      </c>
      <c r="N31" s="153">
        <v>7997520177.5842247</v>
      </c>
      <c r="O31" s="144">
        <v>70</v>
      </c>
      <c r="P31" s="369">
        <v>1.4359896724783151E-2</v>
      </c>
    </row>
    <row r="32" spans="1:16" ht="15" customHeight="1" x14ac:dyDescent="0.25">
      <c r="A32" s="7" t="s">
        <v>1752</v>
      </c>
      <c r="B32" s="184">
        <v>1792822234.6076181</v>
      </c>
      <c r="C32" s="184">
        <v>48000000</v>
      </c>
      <c r="D32" s="184">
        <v>61118939.816168793</v>
      </c>
      <c r="E32" s="184">
        <v>48000000</v>
      </c>
      <c r="F32" s="184">
        <v>40745959.877445862</v>
      </c>
      <c r="G32" s="184">
        <v>28791278.815319095</v>
      </c>
      <c r="H32" s="184">
        <v>4677297972.922245</v>
      </c>
      <c r="I32" s="184">
        <v>37125000</v>
      </c>
      <c r="J32" s="184">
        <v>656100000</v>
      </c>
      <c r="K32" s="184">
        <v>0</v>
      </c>
      <c r="L32" s="184">
        <v>0</v>
      </c>
      <c r="M32" s="184">
        <v>0</v>
      </c>
      <c r="N32" s="153">
        <v>7390001386.0387974</v>
      </c>
      <c r="O32" s="144">
        <v>68</v>
      </c>
      <c r="P32" s="369">
        <v>4.699602564474486E-3</v>
      </c>
    </row>
    <row r="33" spans="1:16" ht="15" customHeight="1" x14ac:dyDescent="0.25">
      <c r="A33" s="7" t="s">
        <v>1753</v>
      </c>
      <c r="B33" s="184">
        <v>285221719.14212102</v>
      </c>
      <c r="C33" s="184">
        <v>0</v>
      </c>
      <c r="D33" s="184">
        <v>0</v>
      </c>
      <c r="E33" s="184">
        <v>0</v>
      </c>
      <c r="F33" s="184">
        <v>0</v>
      </c>
      <c r="G33" s="184">
        <v>0</v>
      </c>
      <c r="H33" s="184">
        <v>568350000</v>
      </c>
      <c r="I33" s="184">
        <v>0</v>
      </c>
      <c r="J33" s="184">
        <v>0</v>
      </c>
      <c r="K33" s="184">
        <v>0</v>
      </c>
      <c r="L33" s="184">
        <v>0</v>
      </c>
      <c r="M33" s="184">
        <v>0</v>
      </c>
      <c r="N33" s="153">
        <v>853571719.14212108</v>
      </c>
      <c r="O33" s="144">
        <v>5</v>
      </c>
      <c r="P33" s="369">
        <v>4.0613849322619015E-4</v>
      </c>
    </row>
    <row r="34" spans="1:16" ht="15" customHeight="1" x14ac:dyDescent="0.25">
      <c r="A34" s="7" t="s">
        <v>1754</v>
      </c>
      <c r="B34" s="184">
        <v>142610859.57106051</v>
      </c>
      <c r="C34" s="184">
        <v>0</v>
      </c>
      <c r="D34" s="184">
        <v>0</v>
      </c>
      <c r="E34" s="184">
        <v>0</v>
      </c>
      <c r="F34" s="184">
        <v>0</v>
      </c>
      <c r="G34" s="184">
        <v>0</v>
      </c>
      <c r="H34" s="184">
        <v>121500000</v>
      </c>
      <c r="I34" s="184">
        <v>0</v>
      </c>
      <c r="J34" s="184">
        <v>0</v>
      </c>
      <c r="K34" s="184">
        <v>0</v>
      </c>
      <c r="L34" s="184">
        <v>0</v>
      </c>
      <c r="M34" s="184">
        <v>0</v>
      </c>
      <c r="N34" s="153">
        <v>264110859.57106051</v>
      </c>
      <c r="O34" s="144">
        <v>1</v>
      </c>
      <c r="P34" s="369">
        <v>8.7029677119897881E-5</v>
      </c>
    </row>
    <row r="35" spans="1:16" ht="15" customHeight="1" x14ac:dyDescent="0.25">
      <c r="A35" s="7" t="s">
        <v>1755</v>
      </c>
      <c r="B35" s="184">
        <v>1560570263.3061767</v>
      </c>
      <c r="C35" s="184">
        <v>123520000</v>
      </c>
      <c r="D35" s="184">
        <v>20372979.938722931</v>
      </c>
      <c r="E35" s="184">
        <v>219520000</v>
      </c>
      <c r="F35" s="184">
        <v>0</v>
      </c>
      <c r="G35" s="184">
        <v>115165115.26127638</v>
      </c>
      <c r="H35" s="184">
        <v>7508240613.973115</v>
      </c>
      <c r="I35" s="184">
        <v>135000</v>
      </c>
      <c r="J35" s="184">
        <v>233550000</v>
      </c>
      <c r="K35" s="184">
        <v>888886509.63597429</v>
      </c>
      <c r="L35" s="184">
        <v>45600000</v>
      </c>
      <c r="M35" s="184">
        <v>47619047.619047619</v>
      </c>
      <c r="N35" s="153">
        <v>10763179529.734312</v>
      </c>
      <c r="O35" s="144">
        <v>108</v>
      </c>
      <c r="P35" s="369">
        <v>4.911374778799571E-2</v>
      </c>
    </row>
    <row r="36" spans="1:16" ht="15" customHeight="1" x14ac:dyDescent="0.25">
      <c r="A36" s="7" t="s">
        <v>1756</v>
      </c>
      <c r="B36" s="184">
        <v>3705845050.8537021</v>
      </c>
      <c r="C36" s="184">
        <v>209600000</v>
      </c>
      <c r="D36" s="184">
        <v>162983839.50978345</v>
      </c>
      <c r="E36" s="184">
        <v>201600000</v>
      </c>
      <c r="F36" s="184">
        <v>101864899.69361466</v>
      </c>
      <c r="G36" s="184">
        <v>201538951.70723367</v>
      </c>
      <c r="H36" s="184">
        <v>30582199974.064938</v>
      </c>
      <c r="I36" s="184">
        <v>139264310.54461181</v>
      </c>
      <c r="J36" s="184">
        <v>450765000</v>
      </c>
      <c r="K36" s="184">
        <v>1416595289.0792289</v>
      </c>
      <c r="L36" s="184">
        <v>0</v>
      </c>
      <c r="M36" s="184">
        <v>619047619.0476191</v>
      </c>
      <c r="N36" s="153">
        <v>37791304934.500732</v>
      </c>
      <c r="O36" s="144">
        <v>326</v>
      </c>
      <c r="P36" s="369">
        <v>9.8836703315830693E-2</v>
      </c>
    </row>
    <row r="37" spans="1:16" ht="15" customHeight="1" x14ac:dyDescent="0.25">
      <c r="A37" s="7" t="s">
        <v>1757</v>
      </c>
      <c r="B37" s="184">
        <v>3500035028.2312369</v>
      </c>
      <c r="C37" s="184">
        <v>117357706.68882428</v>
      </c>
      <c r="D37" s="184">
        <v>305594699.08084399</v>
      </c>
      <c r="E37" s="184">
        <v>137357706.6888243</v>
      </c>
      <c r="F37" s="184">
        <v>213916289.35659081</v>
      </c>
      <c r="G37" s="184">
        <v>115165115.26127638</v>
      </c>
      <c r="H37" s="184">
        <v>11237538417.885317</v>
      </c>
      <c r="I37" s="184">
        <v>8775000</v>
      </c>
      <c r="J37" s="184">
        <v>257290032.15434083</v>
      </c>
      <c r="K37" s="184">
        <v>77858672.376873657</v>
      </c>
      <c r="L37" s="184">
        <v>0</v>
      </c>
      <c r="M37" s="184">
        <v>714285714.28571439</v>
      </c>
      <c r="N37" s="153">
        <v>16685174382.009842</v>
      </c>
      <c r="O37" s="144">
        <v>120</v>
      </c>
      <c r="P37" s="369">
        <v>2.7153259261408141E-2</v>
      </c>
    </row>
    <row r="38" spans="1:16" ht="15" customHeight="1" x14ac:dyDescent="0.25">
      <c r="A38" s="7" t="s">
        <v>1758</v>
      </c>
      <c r="B38" s="184">
        <v>264848739.20339811</v>
      </c>
      <c r="C38" s="184">
        <v>0</v>
      </c>
      <c r="D38" s="184">
        <v>0</v>
      </c>
      <c r="E38" s="184">
        <v>27200000</v>
      </c>
      <c r="F38" s="184">
        <v>0</v>
      </c>
      <c r="G38" s="184">
        <v>28791278.815319095</v>
      </c>
      <c r="H38" s="184">
        <v>222750000</v>
      </c>
      <c r="I38" s="184">
        <v>0</v>
      </c>
      <c r="J38" s="184">
        <v>101250000</v>
      </c>
      <c r="K38" s="184">
        <v>0</v>
      </c>
      <c r="L38" s="184">
        <v>0</v>
      </c>
      <c r="M38" s="184">
        <v>0</v>
      </c>
      <c r="N38" s="153">
        <v>644840018.01871729</v>
      </c>
      <c r="O38" s="144">
        <v>8</v>
      </c>
      <c r="P38" s="369">
        <v>4.1194047170084996E-3</v>
      </c>
    </row>
    <row r="39" spans="1:16" ht="15" customHeight="1" x14ac:dyDescent="0.25">
      <c r="A39" s="7" t="s">
        <v>1759</v>
      </c>
      <c r="B39" s="184">
        <v>488951518.52935034</v>
      </c>
      <c r="C39" s="184">
        <v>0</v>
      </c>
      <c r="D39" s="184">
        <v>0</v>
      </c>
      <c r="E39" s="184">
        <v>0</v>
      </c>
      <c r="F39" s="184">
        <v>0</v>
      </c>
      <c r="G39" s="184">
        <v>0</v>
      </c>
      <c r="H39" s="184">
        <v>745200000</v>
      </c>
      <c r="I39" s="184">
        <v>0</v>
      </c>
      <c r="J39" s="184">
        <v>237600000</v>
      </c>
      <c r="K39" s="184">
        <v>0</v>
      </c>
      <c r="L39" s="184">
        <v>0</v>
      </c>
      <c r="M39" s="184">
        <v>0</v>
      </c>
      <c r="N39" s="153">
        <v>1471751518.5293503</v>
      </c>
      <c r="O39" s="144">
        <v>16</v>
      </c>
      <c r="P39" s="369">
        <v>9.6602941603086655E-3</v>
      </c>
    </row>
    <row r="40" spans="1:16" ht="15" customHeight="1" x14ac:dyDescent="0.25">
      <c r="A40" s="7" t="s">
        <v>1760</v>
      </c>
      <c r="B40" s="184">
        <v>1652907798.8519764</v>
      </c>
      <c r="C40" s="184">
        <v>208000000</v>
      </c>
      <c r="D40" s="184">
        <v>162983839.50978345</v>
      </c>
      <c r="E40" s="184">
        <v>220000000</v>
      </c>
      <c r="F40" s="184">
        <v>40745959.877445862</v>
      </c>
      <c r="G40" s="184">
        <v>86373836.445957288</v>
      </c>
      <c r="H40" s="184">
        <v>14379906141.56428</v>
      </c>
      <c r="I40" s="184">
        <v>488186906.14136732</v>
      </c>
      <c r="J40" s="184">
        <v>462375000</v>
      </c>
      <c r="K40" s="184">
        <v>1381126338.3297644</v>
      </c>
      <c r="L40" s="184">
        <v>32300000</v>
      </c>
      <c r="M40" s="184">
        <v>382857142.85714287</v>
      </c>
      <c r="N40" s="153">
        <v>19497762963.577721</v>
      </c>
      <c r="O40" s="144">
        <v>221</v>
      </c>
      <c r="P40" s="369">
        <v>9.4746308491195502E-2</v>
      </c>
    </row>
    <row r="41" spans="1:16" ht="15" customHeight="1" x14ac:dyDescent="0.25">
      <c r="A41" s="7" t="s">
        <v>1761</v>
      </c>
      <c r="B41" s="184">
        <v>4632241201.7379904</v>
      </c>
      <c r="C41" s="184">
        <v>345600000</v>
      </c>
      <c r="D41" s="184">
        <v>325967679.01956683</v>
      </c>
      <c r="E41" s="184">
        <v>345608000</v>
      </c>
      <c r="F41" s="184">
        <v>331959731.94272065</v>
      </c>
      <c r="G41" s="184">
        <v>143956394.07659546</v>
      </c>
      <c r="H41" s="184">
        <v>52034849414.504837</v>
      </c>
      <c r="I41" s="184">
        <v>166137540.19292605</v>
      </c>
      <c r="J41" s="184">
        <v>1129950000</v>
      </c>
      <c r="K41" s="184">
        <v>452012847.96573877</v>
      </c>
      <c r="L41" s="184">
        <v>257792000</v>
      </c>
      <c r="M41" s="184">
        <v>1661858095.2380953</v>
      </c>
      <c r="N41" s="153">
        <v>61827932904.678467</v>
      </c>
      <c r="O41" s="144">
        <v>621</v>
      </c>
      <c r="P41" s="369">
        <v>0.14467233326564358</v>
      </c>
    </row>
    <row r="42" spans="1:16" ht="15" customHeight="1" x14ac:dyDescent="0.25">
      <c r="A42" s="7" t="s">
        <v>1762</v>
      </c>
      <c r="B42" s="184">
        <v>1241835926.7052205</v>
      </c>
      <c r="C42" s="184">
        <v>0</v>
      </c>
      <c r="D42" s="184">
        <v>61118939.816168793</v>
      </c>
      <c r="E42" s="184">
        <v>0</v>
      </c>
      <c r="F42" s="184">
        <v>270960633.18501496</v>
      </c>
      <c r="G42" s="184">
        <v>172747672.89191458</v>
      </c>
      <c r="H42" s="184">
        <v>5508558875.9329987</v>
      </c>
      <c r="I42" s="184">
        <v>16605000</v>
      </c>
      <c r="J42" s="184">
        <v>537300000</v>
      </c>
      <c r="K42" s="184">
        <v>89753747.323340461</v>
      </c>
      <c r="L42" s="184">
        <v>220400000</v>
      </c>
      <c r="M42" s="184">
        <v>0</v>
      </c>
      <c r="N42" s="153">
        <v>8119280795.8546581</v>
      </c>
      <c r="O42" s="144">
        <v>73</v>
      </c>
      <c r="P42" s="369">
        <v>2.2946824867279742E-2</v>
      </c>
    </row>
    <row r="43" spans="1:16" ht="15" customHeight="1" x14ac:dyDescent="0.25">
      <c r="A43" s="7" t="s">
        <v>1763</v>
      </c>
      <c r="B43" s="184">
        <v>560256948.31488049</v>
      </c>
      <c r="C43" s="184">
        <v>91200000</v>
      </c>
      <c r="D43" s="184">
        <v>0</v>
      </c>
      <c r="E43" s="184">
        <v>91200000</v>
      </c>
      <c r="F43" s="184">
        <v>0</v>
      </c>
      <c r="G43" s="184">
        <v>57582557.63063819</v>
      </c>
      <c r="H43" s="184">
        <v>1800872449.5921915</v>
      </c>
      <c r="I43" s="184">
        <v>0</v>
      </c>
      <c r="J43" s="184">
        <v>81000000</v>
      </c>
      <c r="K43" s="184">
        <v>0</v>
      </c>
      <c r="L43" s="184">
        <v>0</v>
      </c>
      <c r="M43" s="184">
        <v>0</v>
      </c>
      <c r="N43" s="153">
        <v>2682111955.5377102</v>
      </c>
      <c r="O43" s="144">
        <v>26</v>
      </c>
      <c r="P43" s="369">
        <v>9.4862348060688693E-3</v>
      </c>
    </row>
    <row r="44" spans="1:16" ht="15" customHeight="1" x14ac:dyDescent="0.25">
      <c r="A44" s="7" t="s">
        <v>1764</v>
      </c>
      <c r="B44" s="184">
        <v>0</v>
      </c>
      <c r="C44" s="184">
        <v>0</v>
      </c>
      <c r="D44" s="184">
        <v>0</v>
      </c>
      <c r="E44" s="184">
        <v>0</v>
      </c>
      <c r="F44" s="184">
        <v>0</v>
      </c>
      <c r="G44" s="184">
        <v>28791278.815319095</v>
      </c>
      <c r="H44" s="184">
        <v>94500000</v>
      </c>
      <c r="I44" s="184">
        <v>0</v>
      </c>
      <c r="J44" s="184">
        <v>0</v>
      </c>
      <c r="K44" s="184">
        <v>0</v>
      </c>
      <c r="L44" s="184">
        <v>0</v>
      </c>
      <c r="M44" s="184">
        <v>0</v>
      </c>
      <c r="N44" s="153">
        <v>123291278.81531909</v>
      </c>
      <c r="O44" s="144">
        <v>1</v>
      </c>
      <c r="P44" s="369">
        <v>1.1603956949319718E-4</v>
      </c>
    </row>
    <row r="45" spans="1:16" ht="15" customHeight="1" x14ac:dyDescent="0.25">
      <c r="A45" s="7" t="s">
        <v>1765</v>
      </c>
      <c r="B45" s="184">
        <v>20372979.938722931</v>
      </c>
      <c r="C45" s="184">
        <v>0</v>
      </c>
      <c r="D45" s="184">
        <v>0</v>
      </c>
      <c r="E45" s="184">
        <v>0</v>
      </c>
      <c r="F45" s="184">
        <v>0</v>
      </c>
      <c r="G45" s="184">
        <v>0</v>
      </c>
      <c r="H45" s="184">
        <v>0</v>
      </c>
      <c r="I45" s="184">
        <v>0</v>
      </c>
      <c r="J45" s="184">
        <v>67500000</v>
      </c>
      <c r="K45" s="184">
        <v>0</v>
      </c>
      <c r="L45" s="184">
        <v>0</v>
      </c>
      <c r="M45" s="184">
        <v>0</v>
      </c>
      <c r="N45" s="153">
        <v>87872979.938722938</v>
      </c>
      <c r="O45" s="144">
        <v>1</v>
      </c>
      <c r="P45" s="369">
        <v>3.4811870847959153E-4</v>
      </c>
    </row>
    <row r="46" spans="1:16" ht="15" customHeight="1" x14ac:dyDescent="0.25">
      <c r="A46" s="7" t="s">
        <v>1766</v>
      </c>
      <c r="B46" s="184">
        <v>266904728.00455365</v>
      </c>
      <c r="C46" s="184">
        <v>0</v>
      </c>
      <c r="D46" s="184">
        <v>0</v>
      </c>
      <c r="E46" s="184">
        <v>0</v>
      </c>
      <c r="F46" s="184">
        <v>0</v>
      </c>
      <c r="G46" s="184">
        <v>0</v>
      </c>
      <c r="H46" s="184">
        <v>81000000</v>
      </c>
      <c r="I46" s="184">
        <v>0</v>
      </c>
      <c r="J46" s="184">
        <v>94500000</v>
      </c>
      <c r="K46" s="184">
        <v>0</v>
      </c>
      <c r="L46" s="184">
        <v>0</v>
      </c>
      <c r="M46" s="184">
        <v>0</v>
      </c>
      <c r="N46" s="153">
        <v>442404728.00455368</v>
      </c>
      <c r="O46" s="144">
        <v>6</v>
      </c>
      <c r="P46" s="369">
        <v>5.2217806271938729E-4</v>
      </c>
    </row>
    <row r="47" spans="1:16" ht="15" customHeight="1" x14ac:dyDescent="0.25">
      <c r="A47" s="7" t="s">
        <v>1767</v>
      </c>
      <c r="B47" s="184">
        <v>244475759.26467514</v>
      </c>
      <c r="C47" s="184">
        <v>16000000</v>
      </c>
      <c r="D47" s="184">
        <v>0</v>
      </c>
      <c r="E47" s="184">
        <v>16000000</v>
      </c>
      <c r="F47" s="184">
        <v>0</v>
      </c>
      <c r="G47" s="184">
        <v>0</v>
      </c>
      <c r="H47" s="184">
        <v>369900000</v>
      </c>
      <c r="I47" s="184">
        <v>0</v>
      </c>
      <c r="J47" s="184">
        <v>54000000</v>
      </c>
      <c r="K47" s="184">
        <v>0</v>
      </c>
      <c r="L47" s="184">
        <v>0</v>
      </c>
      <c r="M47" s="184">
        <v>0</v>
      </c>
      <c r="N47" s="153">
        <v>700375759.26467514</v>
      </c>
      <c r="O47" s="144">
        <v>10</v>
      </c>
      <c r="P47" s="369">
        <v>0</v>
      </c>
    </row>
    <row r="48" spans="1:16" ht="15" customHeight="1" x14ac:dyDescent="0.25">
      <c r="A48" s="7" t="s">
        <v>1768</v>
      </c>
      <c r="B48" s="184">
        <v>224102779.32595223</v>
      </c>
      <c r="C48" s="184">
        <v>0</v>
      </c>
      <c r="D48" s="184">
        <v>0</v>
      </c>
      <c r="E48" s="184">
        <v>0</v>
      </c>
      <c r="F48" s="184">
        <v>81491919.754891723</v>
      </c>
      <c r="G48" s="184">
        <v>0</v>
      </c>
      <c r="H48" s="184">
        <v>671437113.49314749</v>
      </c>
      <c r="I48" s="184">
        <v>0</v>
      </c>
      <c r="J48" s="184">
        <v>0</v>
      </c>
      <c r="K48" s="184">
        <v>162205567.45182011</v>
      </c>
      <c r="L48" s="184">
        <v>0</v>
      </c>
      <c r="M48" s="184">
        <v>76190476.190476194</v>
      </c>
      <c r="N48" s="153">
        <v>1215427856.2162876</v>
      </c>
      <c r="O48" s="144">
        <v>24</v>
      </c>
      <c r="P48" s="369">
        <v>7.2234632009515248E-3</v>
      </c>
    </row>
    <row r="49" spans="1:16" ht="15" customHeight="1" x14ac:dyDescent="0.25">
      <c r="A49" s="7" t="s">
        <v>1769</v>
      </c>
      <c r="B49" s="184">
        <v>456354750.6273936</v>
      </c>
      <c r="C49" s="184">
        <v>172800000</v>
      </c>
      <c r="D49" s="184">
        <v>203729799.38722932</v>
      </c>
      <c r="E49" s="184">
        <v>172800000</v>
      </c>
      <c r="F49" s="184">
        <v>0</v>
      </c>
      <c r="G49" s="184">
        <v>143956394.07659546</v>
      </c>
      <c r="H49" s="184">
        <v>4428425287.6055517</v>
      </c>
      <c r="I49" s="184">
        <v>675000</v>
      </c>
      <c r="J49" s="184">
        <v>226125000</v>
      </c>
      <c r="K49" s="184">
        <v>30278372.591006421</v>
      </c>
      <c r="L49" s="184">
        <v>0</v>
      </c>
      <c r="M49" s="184">
        <v>19047619.047619049</v>
      </c>
      <c r="N49" s="153">
        <v>5854192223.3353949</v>
      </c>
      <c r="O49" s="144">
        <v>57</v>
      </c>
      <c r="P49" s="369">
        <v>2.8690783557193004E-2</v>
      </c>
    </row>
    <row r="50" spans="1:16" ht="15" customHeight="1" x14ac:dyDescent="0.25">
      <c r="A50" s="7" t="s">
        <v>1770</v>
      </c>
      <c r="B50" s="184">
        <v>855665157.42636311</v>
      </c>
      <c r="C50" s="184">
        <v>0</v>
      </c>
      <c r="D50" s="184">
        <v>81491919.754891723</v>
      </c>
      <c r="E50" s="184">
        <v>0</v>
      </c>
      <c r="F50" s="184">
        <v>61118939.816168793</v>
      </c>
      <c r="G50" s="184">
        <v>28791278.815319095</v>
      </c>
      <c r="H50" s="184">
        <v>3308657641.5826221</v>
      </c>
      <c r="I50" s="184">
        <v>81000000</v>
      </c>
      <c r="J50" s="184">
        <v>628425000</v>
      </c>
      <c r="K50" s="184">
        <v>0</v>
      </c>
      <c r="L50" s="184">
        <v>19760000</v>
      </c>
      <c r="M50" s="184">
        <v>0</v>
      </c>
      <c r="N50" s="153">
        <v>5064909937.3953648</v>
      </c>
      <c r="O50" s="144">
        <v>40</v>
      </c>
      <c r="P50" s="369">
        <v>1.4649995648516144E-2</v>
      </c>
    </row>
    <row r="51" spans="1:16" ht="15" customHeight="1" x14ac:dyDescent="0.25">
      <c r="A51" s="7" t="s">
        <v>1771</v>
      </c>
      <c r="B51" s="184">
        <v>411534194.76220322</v>
      </c>
      <c r="C51" s="184">
        <v>0</v>
      </c>
      <c r="D51" s="184">
        <v>81491919.754891723</v>
      </c>
      <c r="E51" s="184">
        <v>0</v>
      </c>
      <c r="F51" s="184">
        <v>0</v>
      </c>
      <c r="G51" s="184">
        <v>0</v>
      </c>
      <c r="H51" s="184">
        <v>661500000</v>
      </c>
      <c r="I51" s="184">
        <v>0</v>
      </c>
      <c r="J51" s="184">
        <v>94972421.784472764</v>
      </c>
      <c r="K51" s="184">
        <v>0</v>
      </c>
      <c r="L51" s="184">
        <v>0</v>
      </c>
      <c r="M51" s="184">
        <v>0</v>
      </c>
      <c r="N51" s="153">
        <v>1249498536.3015678</v>
      </c>
      <c r="O51" s="144">
        <v>10</v>
      </c>
      <c r="P51" s="369">
        <v>8.3258391111368981E-3</v>
      </c>
    </row>
    <row r="52" spans="1:16" ht="15" customHeight="1" x14ac:dyDescent="0.25">
      <c r="A52" s="7" t="s">
        <v>1772</v>
      </c>
      <c r="B52" s="184">
        <v>203729799.38722932</v>
      </c>
      <c r="C52" s="184">
        <v>0</v>
      </c>
      <c r="D52" s="184">
        <v>0</v>
      </c>
      <c r="E52" s="184">
        <v>0</v>
      </c>
      <c r="F52" s="184">
        <v>0</v>
      </c>
      <c r="G52" s="184">
        <v>28791278.815319095</v>
      </c>
      <c r="H52" s="184">
        <v>0</v>
      </c>
      <c r="I52" s="184">
        <v>0</v>
      </c>
      <c r="J52" s="184">
        <v>0</v>
      </c>
      <c r="K52" s="184">
        <v>0</v>
      </c>
      <c r="L52" s="184">
        <v>0</v>
      </c>
      <c r="M52" s="184">
        <v>0</v>
      </c>
      <c r="N52" s="153">
        <v>232521078.20254841</v>
      </c>
      <c r="O52" s="144">
        <v>2</v>
      </c>
      <c r="P52" s="369">
        <v>1.4504946186649648E-4</v>
      </c>
    </row>
    <row r="53" spans="1:16" ht="15" customHeight="1" x14ac:dyDescent="0.25">
      <c r="A53" s="7" t="s">
        <v>1773</v>
      </c>
      <c r="B53" s="184">
        <v>285221719.14212108</v>
      </c>
      <c r="C53" s="184">
        <v>88000000</v>
      </c>
      <c r="D53" s="184">
        <v>0</v>
      </c>
      <c r="E53" s="184">
        <v>88000000</v>
      </c>
      <c r="F53" s="184">
        <v>0</v>
      </c>
      <c r="G53" s="184">
        <v>57582557.63063819</v>
      </c>
      <c r="H53" s="184">
        <v>1115100000</v>
      </c>
      <c r="I53" s="184">
        <v>0</v>
      </c>
      <c r="J53" s="184">
        <v>0</v>
      </c>
      <c r="K53" s="184">
        <v>0</v>
      </c>
      <c r="L53" s="184">
        <v>91200000</v>
      </c>
      <c r="M53" s="184">
        <v>0</v>
      </c>
      <c r="N53" s="153">
        <v>1725104276.7727592</v>
      </c>
      <c r="O53" s="144">
        <v>16</v>
      </c>
      <c r="P53" s="369">
        <v>4.2934640712482958E-3</v>
      </c>
    </row>
    <row r="54" spans="1:16" ht="15" customHeight="1" x14ac:dyDescent="0.25">
      <c r="A54" s="7" t="s">
        <v>1774</v>
      </c>
      <c r="B54" s="184">
        <v>1831530896.4911914</v>
      </c>
      <c r="C54" s="184">
        <v>213015172.41379312</v>
      </c>
      <c r="D54" s="184">
        <v>183356819.44850639</v>
      </c>
      <c r="E54" s="184">
        <v>213015172.41379312</v>
      </c>
      <c r="F54" s="184">
        <v>81491919.754891723</v>
      </c>
      <c r="G54" s="184">
        <v>287912788.15319091</v>
      </c>
      <c r="H54" s="184">
        <v>8655800806.4516125</v>
      </c>
      <c r="I54" s="184">
        <v>31286210.892236385</v>
      </c>
      <c r="J54" s="184">
        <v>307053376.20578778</v>
      </c>
      <c r="K54" s="184">
        <v>64882226.980728053</v>
      </c>
      <c r="L54" s="184">
        <v>288800000</v>
      </c>
      <c r="M54" s="184">
        <v>37333333.333333336</v>
      </c>
      <c r="N54" s="153">
        <v>12195478722.539066</v>
      </c>
      <c r="O54" s="144">
        <v>96</v>
      </c>
      <c r="P54" s="369">
        <v>3.2491079458095214E-2</v>
      </c>
    </row>
    <row r="55" spans="1:16" ht="15" customHeight="1" x14ac:dyDescent="0.25">
      <c r="A55" s="7" t="s">
        <v>1775</v>
      </c>
      <c r="B55" s="184">
        <v>482710848.8236475</v>
      </c>
      <c r="C55" s="184">
        <v>0</v>
      </c>
      <c r="D55" s="184">
        <v>0</v>
      </c>
      <c r="E55" s="184">
        <v>0</v>
      </c>
      <c r="F55" s="184">
        <v>0</v>
      </c>
      <c r="G55" s="184">
        <v>0</v>
      </c>
      <c r="H55" s="184">
        <v>438750000</v>
      </c>
      <c r="I55" s="184">
        <v>0</v>
      </c>
      <c r="J55" s="184">
        <v>0</v>
      </c>
      <c r="K55" s="184">
        <v>0</v>
      </c>
      <c r="L55" s="184">
        <v>0</v>
      </c>
      <c r="M55" s="184">
        <v>0</v>
      </c>
      <c r="N55" s="153">
        <v>921460848.8236475</v>
      </c>
      <c r="O55" s="144">
        <v>9</v>
      </c>
      <c r="P55" s="369">
        <v>4.2064343941283977E-3</v>
      </c>
    </row>
    <row r="56" spans="1:16" ht="15" customHeight="1" x14ac:dyDescent="0.25">
      <c r="A56" s="7" t="s">
        <v>1776</v>
      </c>
      <c r="B56" s="184">
        <v>423757982.72543699</v>
      </c>
      <c r="C56" s="184">
        <v>32000000</v>
      </c>
      <c r="D56" s="184">
        <v>20372979.938722931</v>
      </c>
      <c r="E56" s="184">
        <v>0</v>
      </c>
      <c r="F56" s="184">
        <v>0</v>
      </c>
      <c r="G56" s="184">
        <v>57582557.63063819</v>
      </c>
      <c r="H56" s="184">
        <v>1762918548.3870969</v>
      </c>
      <c r="I56" s="184">
        <v>5400000</v>
      </c>
      <c r="J56" s="184">
        <v>67500000</v>
      </c>
      <c r="K56" s="184">
        <v>103811563.16916488</v>
      </c>
      <c r="L56" s="184">
        <v>0</v>
      </c>
      <c r="M56" s="184">
        <v>0</v>
      </c>
      <c r="N56" s="153">
        <v>2473343631.8510594</v>
      </c>
      <c r="O56" s="144">
        <v>24</v>
      </c>
      <c r="P56" s="369">
        <v>1.1168808563720229E-2</v>
      </c>
    </row>
    <row r="57" spans="1:16" ht="15" customHeight="1" x14ac:dyDescent="0.25">
      <c r="A57" s="7" t="s">
        <v>1777</v>
      </c>
      <c r="B57" s="184">
        <v>1192206209.9779036</v>
      </c>
      <c r="C57" s="184">
        <v>16000000</v>
      </c>
      <c r="D57" s="184">
        <v>224102779.32595226</v>
      </c>
      <c r="E57" s="184">
        <v>16000000</v>
      </c>
      <c r="F57" s="184">
        <v>86585164.739572451</v>
      </c>
      <c r="G57" s="184">
        <v>0</v>
      </c>
      <c r="H57" s="184">
        <v>3204217667.73844</v>
      </c>
      <c r="I57" s="184">
        <v>40500000</v>
      </c>
      <c r="J57" s="184">
        <v>232875000</v>
      </c>
      <c r="K57" s="184">
        <v>0</v>
      </c>
      <c r="L57" s="184">
        <v>0</v>
      </c>
      <c r="M57" s="184">
        <v>0</v>
      </c>
      <c r="N57" s="153">
        <v>5012486821.781868</v>
      </c>
      <c r="O57" s="144">
        <v>40</v>
      </c>
      <c r="P57" s="369">
        <v>1.4940094572249136E-2</v>
      </c>
    </row>
    <row r="58" spans="1:16" ht="15" customHeight="1" x14ac:dyDescent="0.25">
      <c r="A58" s="7" t="s">
        <v>1778</v>
      </c>
      <c r="B58" s="184">
        <v>81491919.754891723</v>
      </c>
      <c r="C58" s="184">
        <v>9600000</v>
      </c>
      <c r="D58" s="184">
        <v>0</v>
      </c>
      <c r="E58" s="184">
        <v>9600000</v>
      </c>
      <c r="F58" s="184">
        <v>0</v>
      </c>
      <c r="G58" s="184">
        <v>0</v>
      </c>
      <c r="H58" s="184">
        <v>567000000</v>
      </c>
      <c r="I58" s="184">
        <v>0</v>
      </c>
      <c r="J58" s="184">
        <v>81000000</v>
      </c>
      <c r="K58" s="184">
        <v>0</v>
      </c>
      <c r="L58" s="184">
        <v>304000000</v>
      </c>
      <c r="M58" s="184">
        <v>0</v>
      </c>
      <c r="N58" s="153">
        <v>1052691919.7548918</v>
      </c>
      <c r="O58" s="144">
        <v>4</v>
      </c>
      <c r="P58" s="369">
        <v>1.6825737576513591E-3</v>
      </c>
    </row>
    <row r="59" spans="1:16" ht="15" customHeight="1" x14ac:dyDescent="0.25">
      <c r="A59" s="7" t="s">
        <v>1779</v>
      </c>
      <c r="B59" s="184">
        <v>81491919.754891723</v>
      </c>
      <c r="C59" s="184">
        <v>0</v>
      </c>
      <c r="D59" s="184">
        <v>0</v>
      </c>
      <c r="E59" s="184">
        <v>0</v>
      </c>
      <c r="F59" s="184">
        <v>0</v>
      </c>
      <c r="G59" s="184">
        <v>0</v>
      </c>
      <c r="H59" s="184">
        <v>0</v>
      </c>
      <c r="I59" s="184">
        <v>0</v>
      </c>
      <c r="J59" s="184">
        <v>10800000</v>
      </c>
      <c r="K59" s="184">
        <v>0</v>
      </c>
      <c r="L59" s="184">
        <v>0</v>
      </c>
      <c r="M59" s="184">
        <v>0</v>
      </c>
      <c r="N59" s="153">
        <v>92291919.754891723</v>
      </c>
      <c r="O59" s="144">
        <v>1</v>
      </c>
      <c r="P59" s="369">
        <v>0</v>
      </c>
    </row>
    <row r="60" spans="1:16" ht="15" customHeight="1" x14ac:dyDescent="0.25">
      <c r="A60" s="7" t="s">
        <v>1780</v>
      </c>
      <c r="B60" s="184">
        <v>713054297.85530269</v>
      </c>
      <c r="C60" s="184">
        <v>64000000</v>
      </c>
      <c r="D60" s="184">
        <v>0</v>
      </c>
      <c r="E60" s="184">
        <v>64000000</v>
      </c>
      <c r="F60" s="184">
        <v>0</v>
      </c>
      <c r="G60" s="184">
        <v>115165115.26127638</v>
      </c>
      <c r="H60" s="184">
        <v>958500000</v>
      </c>
      <c r="I60" s="184">
        <v>0</v>
      </c>
      <c r="J60" s="184">
        <v>3375000</v>
      </c>
      <c r="K60" s="184">
        <v>0</v>
      </c>
      <c r="L60" s="184">
        <v>13680000</v>
      </c>
      <c r="M60" s="184">
        <v>0</v>
      </c>
      <c r="N60" s="153">
        <v>1931774413.1165791</v>
      </c>
      <c r="O60" s="144">
        <v>17</v>
      </c>
      <c r="P60" s="369">
        <v>8.9930666357227809E-3</v>
      </c>
    </row>
    <row r="61" spans="1:16" ht="15" customHeight="1" x14ac:dyDescent="0.25">
      <c r="A61" s="7" t="s">
        <v>1781</v>
      </c>
      <c r="B61" s="184">
        <v>2070530935.8641784</v>
      </c>
      <c r="C61" s="184">
        <v>473308089.50086057</v>
      </c>
      <c r="D61" s="184">
        <v>0</v>
      </c>
      <c r="E61" s="184">
        <v>425308089.50086057</v>
      </c>
      <c r="F61" s="184">
        <v>101864899.69361466</v>
      </c>
      <c r="G61" s="184">
        <v>403077903.41446733</v>
      </c>
      <c r="H61" s="184">
        <v>8344820835.8351536</v>
      </c>
      <c r="I61" s="184">
        <v>4050000</v>
      </c>
      <c r="J61" s="184">
        <v>445450005.47825134</v>
      </c>
      <c r="K61" s="184">
        <v>0</v>
      </c>
      <c r="L61" s="184">
        <v>0</v>
      </c>
      <c r="M61" s="184">
        <v>0</v>
      </c>
      <c r="N61" s="153">
        <v>12268410759.287386</v>
      </c>
      <c r="O61" s="144">
        <v>96</v>
      </c>
      <c r="P61" s="369">
        <v>2.4803457979170898E-2</v>
      </c>
    </row>
    <row r="62" spans="1:16" ht="15" customHeight="1" x14ac:dyDescent="0.25">
      <c r="A62" s="7" t="s">
        <v>1782</v>
      </c>
      <c r="B62" s="184">
        <v>753800257.73274839</v>
      </c>
      <c r="C62" s="184">
        <v>0</v>
      </c>
      <c r="D62" s="184">
        <v>20372979.938722931</v>
      </c>
      <c r="E62" s="184">
        <v>0</v>
      </c>
      <c r="F62" s="184">
        <v>0</v>
      </c>
      <c r="G62" s="184">
        <v>143956394.07659546</v>
      </c>
      <c r="H62" s="184">
        <v>1289584360.8046722</v>
      </c>
      <c r="I62" s="184">
        <v>1080000</v>
      </c>
      <c r="J62" s="184">
        <v>40500000</v>
      </c>
      <c r="K62" s="184">
        <v>0</v>
      </c>
      <c r="L62" s="184">
        <v>60800000</v>
      </c>
      <c r="M62" s="184">
        <v>0</v>
      </c>
      <c r="N62" s="153">
        <v>2310093992.5527391</v>
      </c>
      <c r="O62" s="144">
        <v>18</v>
      </c>
      <c r="P62" s="369">
        <v>4.4385135331147917E-3</v>
      </c>
    </row>
    <row r="63" spans="1:16" ht="15" customHeight="1" x14ac:dyDescent="0.25">
      <c r="A63" s="7" t="s">
        <v>1783</v>
      </c>
      <c r="B63" s="184">
        <v>855665157.42636323</v>
      </c>
      <c r="C63" s="184">
        <v>0</v>
      </c>
      <c r="D63" s="184">
        <v>0</v>
      </c>
      <c r="E63" s="184">
        <v>0</v>
      </c>
      <c r="F63" s="184">
        <v>40745959.877445862</v>
      </c>
      <c r="G63" s="184">
        <v>86373836.445957288</v>
      </c>
      <c r="H63" s="184">
        <v>2846682304.8387098</v>
      </c>
      <c r="I63" s="184">
        <v>40500000</v>
      </c>
      <c r="J63" s="184">
        <v>172125000</v>
      </c>
      <c r="K63" s="184">
        <v>0</v>
      </c>
      <c r="L63" s="184">
        <v>0</v>
      </c>
      <c r="M63" s="184">
        <v>0</v>
      </c>
      <c r="N63" s="153">
        <v>4042092258.5884762</v>
      </c>
      <c r="O63" s="144">
        <v>36</v>
      </c>
      <c r="P63" s="369">
        <v>4.6125728873545879E-3</v>
      </c>
    </row>
    <row r="64" spans="1:16" ht="15" customHeight="1" x14ac:dyDescent="0.25">
      <c r="A64" s="7" t="s">
        <v>1784</v>
      </c>
      <c r="B64" s="184">
        <v>183356819.44850639</v>
      </c>
      <c r="C64" s="184">
        <v>0</v>
      </c>
      <c r="D64" s="184">
        <v>0</v>
      </c>
      <c r="E64" s="184">
        <v>0</v>
      </c>
      <c r="F64" s="184">
        <v>0</v>
      </c>
      <c r="G64" s="184">
        <v>0</v>
      </c>
      <c r="H64" s="184">
        <v>0</v>
      </c>
      <c r="I64" s="184">
        <v>0</v>
      </c>
      <c r="J64" s="184">
        <v>0</v>
      </c>
      <c r="K64" s="184">
        <v>0</v>
      </c>
      <c r="L64" s="184">
        <v>0</v>
      </c>
      <c r="M64" s="184">
        <v>0</v>
      </c>
      <c r="N64" s="153">
        <v>183356819.44850639</v>
      </c>
      <c r="O64" s="144">
        <v>1</v>
      </c>
      <c r="P64" s="369">
        <v>0</v>
      </c>
    </row>
    <row r="65" spans="1:16" ht="15" customHeight="1" x14ac:dyDescent="0.25">
      <c r="A65" s="7" t="s">
        <v>1785</v>
      </c>
      <c r="B65" s="184">
        <v>1833568194.4850636</v>
      </c>
      <c r="C65" s="184">
        <v>68800000</v>
      </c>
      <c r="D65" s="184">
        <v>177244925.4668895</v>
      </c>
      <c r="E65" s="184">
        <v>68800000</v>
      </c>
      <c r="F65" s="184">
        <v>106958144.67829539</v>
      </c>
      <c r="G65" s="184">
        <v>143956394.07659546</v>
      </c>
      <c r="H65" s="184">
        <v>7513423014.7930517</v>
      </c>
      <c r="I65" s="184">
        <v>6885000</v>
      </c>
      <c r="J65" s="184">
        <v>160650000</v>
      </c>
      <c r="K65" s="184">
        <v>0</v>
      </c>
      <c r="L65" s="184">
        <v>273600000</v>
      </c>
      <c r="M65" s="184">
        <v>0</v>
      </c>
      <c r="N65" s="153">
        <v>10353885673.499895</v>
      </c>
      <c r="O65" s="144">
        <v>85</v>
      </c>
      <c r="P65" s="369">
        <v>3.0779495808070552E-2</v>
      </c>
    </row>
    <row r="66" spans="1:16" ht="15" customHeight="1" x14ac:dyDescent="0.25">
      <c r="A66" s="7" t="s">
        <v>1786</v>
      </c>
      <c r="B66" s="184">
        <v>4364013434.7355099</v>
      </c>
      <c r="C66" s="184">
        <v>150400000</v>
      </c>
      <c r="D66" s="184">
        <v>61118939.816168793</v>
      </c>
      <c r="E66" s="184">
        <v>102400000</v>
      </c>
      <c r="F66" s="184">
        <v>61118939.816168793</v>
      </c>
      <c r="G66" s="184">
        <v>575825576.30638182</v>
      </c>
      <c r="H66" s="184">
        <v>10947283802.97788</v>
      </c>
      <c r="I66" s="184">
        <v>162849193.54838708</v>
      </c>
      <c r="J66" s="184">
        <v>483933337.89854276</v>
      </c>
      <c r="K66" s="184">
        <v>108137044.96788007</v>
      </c>
      <c r="L66" s="184">
        <v>410400000</v>
      </c>
      <c r="M66" s="184">
        <v>0</v>
      </c>
      <c r="N66" s="153">
        <v>17427480270.066921</v>
      </c>
      <c r="O66" s="144">
        <v>123</v>
      </c>
      <c r="P66" s="369">
        <v>2.8777813234312902E-2</v>
      </c>
    </row>
    <row r="67" spans="1:16" ht="15" customHeight="1" x14ac:dyDescent="0.25">
      <c r="A67" s="7" t="s">
        <v>1787</v>
      </c>
      <c r="B67" s="184">
        <v>855665157.42636311</v>
      </c>
      <c r="C67" s="184">
        <v>60413793.103448279</v>
      </c>
      <c r="D67" s="184">
        <v>162983839.50978345</v>
      </c>
      <c r="E67" s="184">
        <v>60413793.103448279</v>
      </c>
      <c r="F67" s="184">
        <v>0</v>
      </c>
      <c r="G67" s="184">
        <v>28791278.815319095</v>
      </c>
      <c r="H67" s="184">
        <v>2947273744.3218689</v>
      </c>
      <c r="I67" s="184">
        <v>0</v>
      </c>
      <c r="J67" s="184">
        <v>0</v>
      </c>
      <c r="K67" s="184">
        <v>0</v>
      </c>
      <c r="L67" s="184">
        <v>0</v>
      </c>
      <c r="M67" s="184">
        <v>0</v>
      </c>
      <c r="N67" s="153">
        <v>4115541606.2802315</v>
      </c>
      <c r="O67" s="144">
        <v>32</v>
      </c>
      <c r="P67" s="369">
        <v>8.9930666357227809E-3</v>
      </c>
    </row>
    <row r="68" spans="1:16" ht="15" customHeight="1" x14ac:dyDescent="0.25">
      <c r="A68" s="7" t="s">
        <v>1788</v>
      </c>
      <c r="B68" s="184">
        <v>649898060.0452615</v>
      </c>
      <c r="C68" s="184">
        <v>76800000</v>
      </c>
      <c r="D68" s="184">
        <v>0</v>
      </c>
      <c r="E68" s="184">
        <v>76800000</v>
      </c>
      <c r="F68" s="184">
        <v>0</v>
      </c>
      <c r="G68" s="184">
        <v>86373836.445957288</v>
      </c>
      <c r="H68" s="184">
        <v>983161855.82191253</v>
      </c>
      <c r="I68" s="184">
        <v>0</v>
      </c>
      <c r="J68" s="184">
        <v>0</v>
      </c>
      <c r="K68" s="184">
        <v>0</v>
      </c>
      <c r="L68" s="184">
        <v>0</v>
      </c>
      <c r="M68" s="184">
        <v>0</v>
      </c>
      <c r="N68" s="153">
        <v>1873033752.3131313</v>
      </c>
      <c r="O68" s="144">
        <v>19</v>
      </c>
      <c r="P68" s="369">
        <v>3.4521771924226163E-3</v>
      </c>
    </row>
    <row r="69" spans="1:16" ht="15" customHeight="1" x14ac:dyDescent="0.25">
      <c r="A69" s="7" t="s">
        <v>1789</v>
      </c>
      <c r="B69" s="184">
        <v>101864899.69361466</v>
      </c>
      <c r="C69" s="184">
        <v>0</v>
      </c>
      <c r="D69" s="184">
        <v>0</v>
      </c>
      <c r="E69" s="184">
        <v>0</v>
      </c>
      <c r="F69" s="184">
        <v>81491919.754891723</v>
      </c>
      <c r="G69" s="184">
        <v>0</v>
      </c>
      <c r="H69" s="184">
        <v>1539000000</v>
      </c>
      <c r="I69" s="184">
        <v>0</v>
      </c>
      <c r="J69" s="184">
        <v>0</v>
      </c>
      <c r="K69" s="184">
        <v>0</v>
      </c>
      <c r="L69" s="184">
        <v>0</v>
      </c>
      <c r="M69" s="184">
        <v>0</v>
      </c>
      <c r="N69" s="153">
        <v>1722356819.4485064</v>
      </c>
      <c r="O69" s="144">
        <v>10</v>
      </c>
      <c r="P69" s="369">
        <v>2.2917814974906443E-3</v>
      </c>
    </row>
    <row r="70" spans="1:16" ht="15" customHeight="1" x14ac:dyDescent="0.25">
      <c r="A70" s="7" t="s">
        <v>1790</v>
      </c>
      <c r="B70" s="184">
        <v>20372979.938722931</v>
      </c>
      <c r="C70" s="184">
        <v>0</v>
      </c>
      <c r="D70" s="184">
        <v>0</v>
      </c>
      <c r="E70" s="184">
        <v>0</v>
      </c>
      <c r="F70" s="184">
        <v>0</v>
      </c>
      <c r="G70" s="184">
        <v>0</v>
      </c>
      <c r="H70" s="184">
        <v>67500000</v>
      </c>
      <c r="I70" s="184">
        <v>0</v>
      </c>
      <c r="J70" s="184">
        <v>0</v>
      </c>
      <c r="K70" s="184">
        <v>0</v>
      </c>
      <c r="L70" s="184">
        <v>0</v>
      </c>
      <c r="M70" s="184">
        <v>0</v>
      </c>
      <c r="N70" s="153">
        <v>87872979.938722938</v>
      </c>
      <c r="O70" s="144">
        <v>1</v>
      </c>
      <c r="P70" s="369">
        <v>5.9470279365263553E-3</v>
      </c>
    </row>
    <row r="71" spans="1:16" ht="15" customHeight="1" x14ac:dyDescent="0.25">
      <c r="A71" s="7" t="s">
        <v>1791</v>
      </c>
      <c r="B71" s="184">
        <v>0</v>
      </c>
      <c r="C71" s="184">
        <v>0</v>
      </c>
      <c r="D71" s="184">
        <v>0</v>
      </c>
      <c r="E71" s="184">
        <v>0</v>
      </c>
      <c r="F71" s="184">
        <v>0</v>
      </c>
      <c r="G71" s="184">
        <v>0</v>
      </c>
      <c r="H71" s="184">
        <v>270000000</v>
      </c>
      <c r="I71" s="184">
        <v>0</v>
      </c>
      <c r="J71" s="184">
        <v>0</v>
      </c>
      <c r="K71" s="184">
        <v>0</v>
      </c>
      <c r="L71" s="184">
        <v>0</v>
      </c>
      <c r="M71" s="184">
        <v>0</v>
      </c>
      <c r="N71" s="153">
        <v>270000000</v>
      </c>
      <c r="O71" s="144">
        <v>2</v>
      </c>
      <c r="P71" s="369">
        <v>1.363464941545067E-3</v>
      </c>
    </row>
    <row r="72" spans="1:16" ht="15" customHeight="1" x14ac:dyDescent="0.25">
      <c r="A72" s="7" t="s">
        <v>1792</v>
      </c>
      <c r="B72" s="184">
        <v>4493678421.1032104</v>
      </c>
      <c r="C72" s="184">
        <v>401600000</v>
      </c>
      <c r="D72" s="184">
        <v>138536263.58331594</v>
      </c>
      <c r="E72" s="184">
        <v>776000000</v>
      </c>
      <c r="F72" s="184">
        <v>137517614.5863798</v>
      </c>
      <c r="G72" s="184">
        <v>690990691.56765831</v>
      </c>
      <c r="H72" s="184">
        <v>12272407534.358475</v>
      </c>
      <c r="I72" s="184">
        <v>178605000</v>
      </c>
      <c r="J72" s="184">
        <v>218700000</v>
      </c>
      <c r="K72" s="184">
        <v>129764453.96145609</v>
      </c>
      <c r="L72" s="184">
        <v>42560000</v>
      </c>
      <c r="M72" s="184">
        <v>0</v>
      </c>
      <c r="N72" s="153">
        <v>19480359979.160496</v>
      </c>
      <c r="O72" s="144">
        <v>134</v>
      </c>
      <c r="P72" s="369">
        <v>4.2122363726030579E-2</v>
      </c>
    </row>
    <row r="73" spans="1:16" ht="15" customHeight="1" x14ac:dyDescent="0.25">
      <c r="A73" s="7" t="s">
        <v>1793</v>
      </c>
      <c r="B73" s="184">
        <v>2542547896.3526216</v>
      </c>
      <c r="C73" s="184">
        <v>235200000</v>
      </c>
      <c r="D73" s="184">
        <v>0</v>
      </c>
      <c r="E73" s="184">
        <v>235200000</v>
      </c>
      <c r="F73" s="184">
        <v>0</v>
      </c>
      <c r="G73" s="184">
        <v>230330230.52255276</v>
      </c>
      <c r="H73" s="184">
        <v>8755596761.0550804</v>
      </c>
      <c r="I73" s="184">
        <v>29700000</v>
      </c>
      <c r="J73" s="184">
        <v>104625000</v>
      </c>
      <c r="K73" s="184">
        <v>0</v>
      </c>
      <c r="L73" s="184">
        <v>106400000</v>
      </c>
      <c r="M73" s="184">
        <v>42857142.857142851</v>
      </c>
      <c r="N73" s="153">
        <v>12282457030.787399</v>
      </c>
      <c r="O73" s="144">
        <v>81</v>
      </c>
      <c r="P73" s="369">
        <v>2.5412665719010182E-2</v>
      </c>
    </row>
    <row r="74" spans="1:16" ht="15" customHeight="1" x14ac:dyDescent="0.25">
      <c r="A74" s="7" t="s">
        <v>1794</v>
      </c>
      <c r="B74" s="184">
        <v>244475759.26467517</v>
      </c>
      <c r="C74" s="184">
        <v>0</v>
      </c>
      <c r="D74" s="184">
        <v>0</v>
      </c>
      <c r="E74" s="184">
        <v>0</v>
      </c>
      <c r="F74" s="184">
        <v>20372979.938722931</v>
      </c>
      <c r="G74" s="184">
        <v>0</v>
      </c>
      <c r="H74" s="184">
        <v>81000000</v>
      </c>
      <c r="I74" s="184">
        <v>0</v>
      </c>
      <c r="J74" s="184">
        <v>280627813.50482315</v>
      </c>
      <c r="K74" s="184">
        <v>0</v>
      </c>
      <c r="L74" s="184">
        <v>0</v>
      </c>
      <c r="M74" s="184">
        <v>0</v>
      </c>
      <c r="N74" s="153">
        <v>626476552.7082212</v>
      </c>
      <c r="O74" s="144">
        <v>5</v>
      </c>
      <c r="P74" s="369">
        <v>1.4214847262916655E-3</v>
      </c>
    </row>
    <row r="75" spans="1:16" ht="15" customHeight="1" x14ac:dyDescent="0.25">
      <c r="A75" s="7" t="s">
        <v>1795</v>
      </c>
      <c r="B75" s="184">
        <v>122237879.63233759</v>
      </c>
      <c r="C75" s="184">
        <v>0</v>
      </c>
      <c r="D75" s="184">
        <v>0</v>
      </c>
      <c r="E75" s="184">
        <v>0</v>
      </c>
      <c r="F75" s="184">
        <v>0</v>
      </c>
      <c r="G75" s="184">
        <v>28791278.815319095</v>
      </c>
      <c r="H75" s="184">
        <v>189000000</v>
      </c>
      <c r="I75" s="184">
        <v>0</v>
      </c>
      <c r="J75" s="184">
        <v>0</v>
      </c>
      <c r="K75" s="184">
        <v>0</v>
      </c>
      <c r="L75" s="184">
        <v>0</v>
      </c>
      <c r="M75" s="184">
        <v>0</v>
      </c>
      <c r="N75" s="153">
        <v>340029158.44765669</v>
      </c>
      <c r="O75" s="144">
        <v>2</v>
      </c>
      <c r="P75" s="369">
        <v>5.2217806271938729E-4</v>
      </c>
    </row>
    <row r="76" spans="1:16" ht="15" customHeight="1" x14ac:dyDescent="0.25">
      <c r="A76" s="7" t="s">
        <v>1796</v>
      </c>
      <c r="B76" s="184">
        <v>407459598.77445865</v>
      </c>
      <c r="C76" s="184">
        <v>80000000</v>
      </c>
      <c r="D76" s="184">
        <v>0</v>
      </c>
      <c r="E76" s="184">
        <v>80000000</v>
      </c>
      <c r="F76" s="184">
        <v>0</v>
      </c>
      <c r="G76" s="184">
        <v>201538951.70723367</v>
      </c>
      <c r="H76" s="184">
        <v>1204606046.1973524</v>
      </c>
      <c r="I76" s="184">
        <v>2700000</v>
      </c>
      <c r="J76" s="184">
        <v>0</v>
      </c>
      <c r="K76" s="184">
        <v>0</v>
      </c>
      <c r="L76" s="184">
        <v>0</v>
      </c>
      <c r="M76" s="184">
        <v>0</v>
      </c>
      <c r="N76" s="153">
        <v>1976304596.6790447</v>
      </c>
      <c r="O76" s="144">
        <v>16</v>
      </c>
      <c r="P76" s="369">
        <v>7.0494038467117286E-3</v>
      </c>
    </row>
    <row r="77" spans="1:16" ht="15" customHeight="1" x14ac:dyDescent="0.25">
      <c r="A77" s="7" t="s">
        <v>1797</v>
      </c>
      <c r="B77" s="184">
        <v>40745959.877445862</v>
      </c>
      <c r="C77" s="184">
        <v>0</v>
      </c>
      <c r="D77" s="184">
        <v>0</v>
      </c>
      <c r="E77" s="184">
        <v>0</v>
      </c>
      <c r="F77" s="184">
        <v>0</v>
      </c>
      <c r="G77" s="184">
        <v>0</v>
      </c>
      <c r="H77" s="184">
        <v>162000000</v>
      </c>
      <c r="I77" s="184">
        <v>0</v>
      </c>
      <c r="J77" s="184">
        <v>33750000</v>
      </c>
      <c r="K77" s="184">
        <v>0</v>
      </c>
      <c r="L77" s="184">
        <v>0</v>
      </c>
      <c r="M77" s="184">
        <v>0</v>
      </c>
      <c r="N77" s="153">
        <v>236495959.87744588</v>
      </c>
      <c r="O77" s="144">
        <v>2</v>
      </c>
      <c r="P77" s="369">
        <v>1.5375242957848627E-3</v>
      </c>
    </row>
    <row r="78" spans="1:16" ht="15" customHeight="1" x14ac:dyDescent="0.25">
      <c r="A78" s="7" t="s">
        <v>1798</v>
      </c>
      <c r="B78" s="184">
        <v>101864899.69361466</v>
      </c>
      <c r="C78" s="184">
        <v>0</v>
      </c>
      <c r="D78" s="184">
        <v>0</v>
      </c>
      <c r="E78" s="184">
        <v>0</v>
      </c>
      <c r="F78" s="184">
        <v>0</v>
      </c>
      <c r="G78" s="184">
        <v>0</v>
      </c>
      <c r="H78" s="184">
        <v>0</v>
      </c>
      <c r="I78" s="184">
        <v>0</v>
      </c>
      <c r="J78" s="184">
        <v>6750000</v>
      </c>
      <c r="K78" s="184">
        <v>0</v>
      </c>
      <c r="L78" s="184">
        <v>0</v>
      </c>
      <c r="M78" s="184">
        <v>0</v>
      </c>
      <c r="N78" s="153">
        <v>108614899.69361466</v>
      </c>
      <c r="O78" s="144">
        <v>1</v>
      </c>
      <c r="P78" s="369">
        <v>4.6415827797278872E-4</v>
      </c>
    </row>
    <row r="79" spans="1:16" ht="15" customHeight="1" x14ac:dyDescent="0.25">
      <c r="A79" s="7" t="s">
        <v>1799</v>
      </c>
      <c r="B79" s="184">
        <v>101864899.69361466</v>
      </c>
      <c r="C79" s="184">
        <v>0</v>
      </c>
      <c r="D79" s="184">
        <v>0</v>
      </c>
      <c r="E79" s="184">
        <v>0</v>
      </c>
      <c r="F79" s="184">
        <v>0</v>
      </c>
      <c r="G79" s="184">
        <v>0</v>
      </c>
      <c r="H79" s="184">
        <v>0</v>
      </c>
      <c r="I79" s="184">
        <v>0</v>
      </c>
      <c r="J79" s="184">
        <v>81000000</v>
      </c>
      <c r="K79" s="184">
        <v>0</v>
      </c>
      <c r="L79" s="184">
        <v>0</v>
      </c>
      <c r="M79" s="184">
        <v>0</v>
      </c>
      <c r="N79" s="153">
        <v>182864899.69361466</v>
      </c>
      <c r="O79" s="144">
        <v>1</v>
      </c>
      <c r="P79" s="369">
        <v>5.801978474659859E-5</v>
      </c>
    </row>
    <row r="80" spans="1:16" ht="15" customHeight="1" x14ac:dyDescent="0.25">
      <c r="A80" s="7" t="s">
        <v>1800</v>
      </c>
      <c r="B80" s="184">
        <v>101864899.69361466</v>
      </c>
      <c r="C80" s="184">
        <v>0</v>
      </c>
      <c r="D80" s="184">
        <v>0</v>
      </c>
      <c r="E80" s="184">
        <v>0</v>
      </c>
      <c r="F80" s="184">
        <v>0</v>
      </c>
      <c r="G80" s="184">
        <v>0</v>
      </c>
      <c r="H80" s="184">
        <v>81000000</v>
      </c>
      <c r="I80" s="184">
        <v>0</v>
      </c>
      <c r="J80" s="184">
        <v>0</v>
      </c>
      <c r="K80" s="184">
        <v>0</v>
      </c>
      <c r="L80" s="184">
        <v>0</v>
      </c>
      <c r="M80" s="184">
        <v>0</v>
      </c>
      <c r="N80" s="153">
        <v>182864899.69361466</v>
      </c>
      <c r="O80" s="144">
        <v>1</v>
      </c>
      <c r="P80" s="369">
        <v>6.6722752458588379E-4</v>
      </c>
    </row>
    <row r="81" spans="1:16" ht="15" customHeight="1" x14ac:dyDescent="0.25">
      <c r="A81" s="7" t="s">
        <v>1801</v>
      </c>
      <c r="B81" s="184">
        <v>0</v>
      </c>
      <c r="C81" s="184">
        <v>0</v>
      </c>
      <c r="D81" s="184">
        <v>0</v>
      </c>
      <c r="E81" s="184">
        <v>0</v>
      </c>
      <c r="F81" s="184">
        <v>0</v>
      </c>
      <c r="G81" s="184">
        <v>0</v>
      </c>
      <c r="H81" s="184">
        <v>303750000</v>
      </c>
      <c r="I81" s="184">
        <v>15882352.941176472</v>
      </c>
      <c r="J81" s="184">
        <v>0</v>
      </c>
      <c r="K81" s="184">
        <v>0</v>
      </c>
      <c r="L81" s="184">
        <v>0</v>
      </c>
      <c r="M81" s="184">
        <v>0</v>
      </c>
      <c r="N81" s="153">
        <v>319632352.94117647</v>
      </c>
      <c r="O81" s="144">
        <v>2</v>
      </c>
      <c r="P81" s="369">
        <v>3.5682167619158133E-3</v>
      </c>
    </row>
    <row r="82" spans="1:16" ht="15" customHeight="1" x14ac:dyDescent="0.25">
      <c r="A82" s="7" t="s">
        <v>1802</v>
      </c>
      <c r="B82" s="184">
        <v>142610859.57106051</v>
      </c>
      <c r="C82" s="184">
        <v>0</v>
      </c>
      <c r="D82" s="184">
        <v>0</v>
      </c>
      <c r="E82" s="184">
        <v>0</v>
      </c>
      <c r="F82" s="184">
        <v>0</v>
      </c>
      <c r="G82" s="184">
        <v>0</v>
      </c>
      <c r="H82" s="184">
        <v>29700000</v>
      </c>
      <c r="I82" s="184">
        <v>0</v>
      </c>
      <c r="J82" s="184">
        <v>0</v>
      </c>
      <c r="K82" s="184">
        <v>0</v>
      </c>
      <c r="L82" s="184">
        <v>0</v>
      </c>
      <c r="M82" s="184">
        <v>0</v>
      </c>
      <c r="N82" s="153">
        <v>172310859.57106051</v>
      </c>
      <c r="O82" s="144">
        <v>1</v>
      </c>
      <c r="P82" s="369">
        <v>6.9623741695918305E-4</v>
      </c>
    </row>
    <row r="83" spans="1:16" ht="15" customHeight="1" x14ac:dyDescent="0.25">
      <c r="A83" s="7" t="s">
        <v>1803</v>
      </c>
      <c r="B83" s="184">
        <v>285221719.14212102</v>
      </c>
      <c r="C83" s="184">
        <v>0</v>
      </c>
      <c r="D83" s="184">
        <v>0</v>
      </c>
      <c r="E83" s="184">
        <v>0</v>
      </c>
      <c r="F83" s="184">
        <v>0</v>
      </c>
      <c r="G83" s="184">
        <v>0</v>
      </c>
      <c r="H83" s="184">
        <v>632814507.37005424</v>
      </c>
      <c r="I83" s="184">
        <v>0</v>
      </c>
      <c r="J83" s="184">
        <v>0</v>
      </c>
      <c r="K83" s="184">
        <v>0</v>
      </c>
      <c r="L83" s="184">
        <v>0</v>
      </c>
      <c r="M83" s="184">
        <v>0</v>
      </c>
      <c r="N83" s="153">
        <v>918036226.51217532</v>
      </c>
      <c r="O83" s="144">
        <v>8</v>
      </c>
      <c r="P83" s="369">
        <v>4.5255432102346898E-3</v>
      </c>
    </row>
    <row r="84" spans="1:16" ht="15" customHeight="1" x14ac:dyDescent="0.25">
      <c r="A84" s="7" t="s">
        <v>1804</v>
      </c>
      <c r="B84" s="184">
        <v>0</v>
      </c>
      <c r="C84" s="184">
        <v>0</v>
      </c>
      <c r="D84" s="184">
        <v>0</v>
      </c>
      <c r="E84" s="184">
        <v>0</v>
      </c>
      <c r="F84" s="184">
        <v>0</v>
      </c>
      <c r="G84" s="184">
        <v>28791278.815319095</v>
      </c>
      <c r="H84" s="184">
        <v>148500000</v>
      </c>
      <c r="I84" s="184">
        <v>0</v>
      </c>
      <c r="J84" s="184">
        <v>0</v>
      </c>
      <c r="K84" s="184">
        <v>0</v>
      </c>
      <c r="L84" s="184">
        <v>627000000</v>
      </c>
      <c r="M84" s="184">
        <v>0</v>
      </c>
      <c r="N84" s="153">
        <v>804291278.81531906</v>
      </c>
      <c r="O84" s="144">
        <v>4</v>
      </c>
      <c r="P84" s="369">
        <v>2.8429694525833309E-3</v>
      </c>
    </row>
    <row r="85" spans="1:16" ht="15" customHeight="1" x14ac:dyDescent="0.25">
      <c r="A85" s="7" t="s">
        <v>1805</v>
      </c>
      <c r="B85" s="184">
        <v>0</v>
      </c>
      <c r="C85" s="184">
        <v>0</v>
      </c>
      <c r="D85" s="184">
        <v>0</v>
      </c>
      <c r="E85" s="184">
        <v>0</v>
      </c>
      <c r="F85" s="184">
        <v>0</v>
      </c>
      <c r="G85" s="184">
        <v>0</v>
      </c>
      <c r="H85" s="184">
        <v>614032258.06451619</v>
      </c>
      <c r="I85" s="184">
        <v>0</v>
      </c>
      <c r="J85" s="184">
        <v>0</v>
      </c>
      <c r="K85" s="184">
        <v>0</v>
      </c>
      <c r="L85" s="184">
        <v>0</v>
      </c>
      <c r="M85" s="184">
        <v>0</v>
      </c>
      <c r="N85" s="153">
        <v>614032258.06451619</v>
      </c>
      <c r="O85" s="144">
        <v>2</v>
      </c>
      <c r="P85" s="369">
        <v>6.0920773983928517E-4</v>
      </c>
    </row>
    <row r="86" spans="1:16" ht="15" customHeight="1" x14ac:dyDescent="0.25">
      <c r="A86" s="7" t="s">
        <v>1806</v>
      </c>
      <c r="B86" s="184">
        <v>61118939.816168793</v>
      </c>
      <c r="C86" s="184">
        <v>0</v>
      </c>
      <c r="D86" s="184">
        <v>0</v>
      </c>
      <c r="E86" s="184">
        <v>0</v>
      </c>
      <c r="F86" s="184">
        <v>0</v>
      </c>
      <c r="G86" s="184">
        <v>0</v>
      </c>
      <c r="H86" s="184">
        <v>140168721.60934457</v>
      </c>
      <c r="I86" s="184">
        <v>0</v>
      </c>
      <c r="J86" s="184">
        <v>0</v>
      </c>
      <c r="K86" s="184">
        <v>0</v>
      </c>
      <c r="L86" s="184">
        <v>0</v>
      </c>
      <c r="M86" s="184">
        <v>0</v>
      </c>
      <c r="N86" s="153">
        <v>201287661.42551336</v>
      </c>
      <c r="O86" s="144">
        <v>1</v>
      </c>
      <c r="P86" s="369">
        <v>0</v>
      </c>
    </row>
    <row r="87" spans="1:16" ht="15" customHeight="1" x14ac:dyDescent="0.25">
      <c r="A87" s="7" t="s">
        <v>1807</v>
      </c>
      <c r="B87" s="184">
        <v>631562378.10041082</v>
      </c>
      <c r="C87" s="184">
        <v>0</v>
      </c>
      <c r="D87" s="184">
        <v>0</v>
      </c>
      <c r="E87" s="184">
        <v>0</v>
      </c>
      <c r="F87" s="184">
        <v>0</v>
      </c>
      <c r="G87" s="184">
        <v>0</v>
      </c>
      <c r="H87" s="184">
        <v>438750000</v>
      </c>
      <c r="I87" s="184">
        <v>10125000</v>
      </c>
      <c r="J87" s="184">
        <v>89501232.965606764</v>
      </c>
      <c r="K87" s="184">
        <v>0</v>
      </c>
      <c r="L87" s="184">
        <v>0</v>
      </c>
      <c r="M87" s="184">
        <v>0</v>
      </c>
      <c r="N87" s="153">
        <v>1169938611.0660176</v>
      </c>
      <c r="O87" s="144">
        <v>6</v>
      </c>
      <c r="P87" s="369">
        <v>1.1313858025586725E-3</v>
      </c>
    </row>
    <row r="88" spans="1:16" ht="15" customHeight="1" x14ac:dyDescent="0.25">
      <c r="A88" s="7" t="s">
        <v>1808</v>
      </c>
      <c r="B88" s="184">
        <v>142610859.57106051</v>
      </c>
      <c r="C88" s="184">
        <v>0</v>
      </c>
      <c r="D88" s="184">
        <v>0</v>
      </c>
      <c r="E88" s="184">
        <v>0</v>
      </c>
      <c r="F88" s="184">
        <v>0</v>
      </c>
      <c r="G88" s="184">
        <v>0</v>
      </c>
      <c r="H88" s="184">
        <v>135000000</v>
      </c>
      <c r="I88" s="184">
        <v>0</v>
      </c>
      <c r="J88" s="184">
        <v>108000000</v>
      </c>
      <c r="K88" s="184">
        <v>0</v>
      </c>
      <c r="L88" s="184">
        <v>0</v>
      </c>
      <c r="M88" s="184">
        <v>0</v>
      </c>
      <c r="N88" s="153">
        <v>385610859.57106054</v>
      </c>
      <c r="O88" s="144">
        <v>3</v>
      </c>
      <c r="P88" s="369">
        <v>5.9470279365263553E-3</v>
      </c>
    </row>
    <row r="89" spans="1:16" ht="15" customHeight="1" x14ac:dyDescent="0.25">
      <c r="A89" s="7" t="s">
        <v>1809</v>
      </c>
      <c r="B89" s="184">
        <v>301520103.09309936</v>
      </c>
      <c r="C89" s="184">
        <v>0</v>
      </c>
      <c r="D89" s="184">
        <v>0</v>
      </c>
      <c r="E89" s="184">
        <v>0</v>
      </c>
      <c r="F89" s="184">
        <v>0</v>
      </c>
      <c r="G89" s="184">
        <v>0</v>
      </c>
      <c r="H89" s="184">
        <v>560790000</v>
      </c>
      <c r="I89" s="184">
        <v>5400000</v>
      </c>
      <c r="J89" s="184">
        <v>310500000</v>
      </c>
      <c r="K89" s="184">
        <v>1730192.7194860813</v>
      </c>
      <c r="L89" s="184">
        <v>0</v>
      </c>
      <c r="M89" s="184">
        <v>0</v>
      </c>
      <c r="N89" s="153">
        <v>1179940295.8125854</v>
      </c>
      <c r="O89" s="144">
        <v>11</v>
      </c>
      <c r="P89" s="369">
        <v>2.2627716051173449E-3</v>
      </c>
    </row>
    <row r="90" spans="1:16" ht="15" customHeight="1" x14ac:dyDescent="0.25">
      <c r="A90" s="370" t="s">
        <v>1810</v>
      </c>
      <c r="B90" s="371">
        <v>244475759.2646752</v>
      </c>
      <c r="C90" s="371">
        <v>0</v>
      </c>
      <c r="D90" s="371">
        <v>0</v>
      </c>
      <c r="E90" s="371">
        <v>0</v>
      </c>
      <c r="F90" s="371">
        <v>0</v>
      </c>
      <c r="G90" s="371">
        <v>28791278.815319095</v>
      </c>
      <c r="H90" s="371">
        <v>391500000</v>
      </c>
      <c r="I90" s="371">
        <v>0</v>
      </c>
      <c r="J90" s="371">
        <v>0</v>
      </c>
      <c r="K90" s="371">
        <v>0</v>
      </c>
      <c r="L90" s="371">
        <v>0</v>
      </c>
      <c r="M90" s="371">
        <v>0</v>
      </c>
      <c r="N90" s="372">
        <v>664767038.07999432</v>
      </c>
      <c r="O90" s="373">
        <v>4</v>
      </c>
      <c r="P90" s="374">
        <v>7.5425720170578167E-4</v>
      </c>
    </row>
    <row r="91" spans="1:16" ht="15" customHeight="1" x14ac:dyDescent="0.25">
      <c r="A91" s="823" t="s">
        <v>1811</v>
      </c>
      <c r="B91" s="87">
        <v>64685576772.70192</v>
      </c>
      <c r="C91" s="87">
        <v>4135115451.3620987</v>
      </c>
      <c r="D91" s="87">
        <v>3187389050.9715199</v>
      </c>
      <c r="E91" s="87">
        <v>4451923451.3620987</v>
      </c>
      <c r="F91" s="87">
        <v>2531762201.0909452</v>
      </c>
      <c r="G91" s="87">
        <v>5009682513.8655205</v>
      </c>
      <c r="H91" s="87">
        <v>272621772423.42722</v>
      </c>
      <c r="I91" s="87">
        <v>1981086331.0507462</v>
      </c>
      <c r="J91" s="87">
        <v>11807396038.974899</v>
      </c>
      <c r="K91" s="87">
        <v>5141700214.132762</v>
      </c>
      <c r="L91" s="87">
        <v>3052692000</v>
      </c>
      <c r="M91" s="87">
        <v>3886810476.1904769</v>
      </c>
      <c r="N91" s="153">
        <v>382492906925.13007</v>
      </c>
      <c r="O91" s="153">
        <v>3306</v>
      </c>
      <c r="P91" s="369">
        <v>1.0000000000000002</v>
      </c>
    </row>
    <row r="92" spans="1:16" ht="15" customHeight="1" x14ac:dyDescent="0.25">
      <c r="A92" s="375" t="s">
        <v>1812</v>
      </c>
      <c r="B92" s="376">
        <v>19846175971.981598</v>
      </c>
      <c r="C92" s="376">
        <v>725693793.10344827</v>
      </c>
      <c r="D92" s="376">
        <v>896411117.30380893</v>
      </c>
      <c r="E92" s="376">
        <v>720893793.10344827</v>
      </c>
      <c r="F92" s="376">
        <v>453298803.63658518</v>
      </c>
      <c r="G92" s="376">
        <v>1122859873.7974446</v>
      </c>
      <c r="H92" s="376">
        <v>46774840687.461113</v>
      </c>
      <c r="I92" s="376">
        <v>279634298.27879703</v>
      </c>
      <c r="J92" s="376">
        <v>4534454287.237978</v>
      </c>
      <c r="K92" s="376">
        <v>267747323.34047106</v>
      </c>
      <c r="L92" s="376">
        <v>1116440000</v>
      </c>
      <c r="M92" s="376">
        <v>76190476.190476194</v>
      </c>
      <c r="N92" s="377">
        <v>76814640425.435165</v>
      </c>
      <c r="O92" s="377">
        <v>656</v>
      </c>
      <c r="P92" s="378"/>
    </row>
    <row r="94" spans="1:16" ht="15" customHeight="1" x14ac:dyDescent="0.25">
      <c r="A94" s="876" t="s">
        <v>1813</v>
      </c>
      <c r="B94" s="876"/>
      <c r="C94" s="876"/>
      <c r="D94" s="876"/>
      <c r="E94" s="876"/>
      <c r="F94" s="876"/>
      <c r="G94" s="876"/>
      <c r="H94" s="876"/>
      <c r="I94" s="876"/>
      <c r="J94" s="876"/>
      <c r="K94" s="876"/>
      <c r="L94" s="876"/>
      <c r="M94" s="876"/>
      <c r="N94" s="876"/>
    </row>
    <row r="95" spans="1:16" ht="15" customHeight="1" x14ac:dyDescent="0.25">
      <c r="O95" s="824" t="s">
        <v>1713</v>
      </c>
    </row>
    <row r="96" spans="1:16" ht="15" customHeight="1" x14ac:dyDescent="0.25">
      <c r="A96" s="143" t="s">
        <v>1715</v>
      </c>
      <c r="B96" s="143" t="s">
        <v>1716</v>
      </c>
      <c r="C96" s="143" t="s">
        <v>1717</v>
      </c>
      <c r="D96" s="143" t="s">
        <v>1718</v>
      </c>
      <c r="E96" s="143" t="s">
        <v>1719</v>
      </c>
      <c r="F96" s="143" t="s">
        <v>137</v>
      </c>
      <c r="G96" s="143" t="s">
        <v>1539</v>
      </c>
      <c r="H96" s="143" t="s">
        <v>1721</v>
      </c>
      <c r="I96" s="143" t="s">
        <v>746</v>
      </c>
      <c r="J96" s="143" t="s">
        <v>1722</v>
      </c>
      <c r="K96" s="143" t="s">
        <v>1723</v>
      </c>
      <c r="L96" s="143" t="s">
        <v>151</v>
      </c>
      <c r="M96" s="143" t="s">
        <v>1724</v>
      </c>
      <c r="N96" s="143" t="s">
        <v>341</v>
      </c>
      <c r="O96" s="143" t="s">
        <v>1725</v>
      </c>
    </row>
    <row r="97" spans="1:15" ht="15" customHeight="1" x14ac:dyDescent="0.25">
      <c r="A97" s="7" t="s">
        <v>1727</v>
      </c>
      <c r="B97" s="379">
        <v>0</v>
      </c>
      <c r="C97" s="379">
        <v>0</v>
      </c>
      <c r="D97" s="379">
        <v>0</v>
      </c>
      <c r="E97" s="379">
        <v>0</v>
      </c>
      <c r="F97" s="379">
        <v>0</v>
      </c>
      <c r="G97" s="379">
        <v>0</v>
      </c>
      <c r="H97" s="379">
        <v>0</v>
      </c>
      <c r="I97" s="379">
        <v>0</v>
      </c>
      <c r="J97" s="379">
        <v>0</v>
      </c>
      <c r="K97" s="379">
        <v>0</v>
      </c>
      <c r="L97" s="379">
        <v>0</v>
      </c>
      <c r="M97" s="379">
        <v>0</v>
      </c>
      <c r="N97" s="379">
        <v>0</v>
      </c>
      <c r="O97" s="144">
        <v>1</v>
      </c>
    </row>
    <row r="98" spans="1:15" ht="15" customHeight="1" x14ac:dyDescent="0.25">
      <c r="A98" s="7" t="s">
        <v>1728</v>
      </c>
      <c r="B98" s="379">
        <v>1</v>
      </c>
      <c r="C98" s="379">
        <v>0</v>
      </c>
      <c r="D98" s="379">
        <v>0</v>
      </c>
      <c r="E98" s="379">
        <v>0</v>
      </c>
      <c r="F98" s="379">
        <v>0</v>
      </c>
      <c r="G98" s="379">
        <v>0</v>
      </c>
      <c r="H98" s="379">
        <v>0</v>
      </c>
      <c r="I98" s="379">
        <v>0</v>
      </c>
      <c r="J98" s="379">
        <v>0</v>
      </c>
      <c r="K98" s="379">
        <v>0</v>
      </c>
      <c r="L98" s="379">
        <v>0</v>
      </c>
      <c r="M98" s="379">
        <v>0</v>
      </c>
      <c r="N98" s="379">
        <v>1</v>
      </c>
      <c r="O98" s="48">
        <v>3</v>
      </c>
    </row>
    <row r="99" spans="1:15" ht="15" customHeight="1" x14ac:dyDescent="0.25">
      <c r="A99" s="7" t="s">
        <v>1729</v>
      </c>
      <c r="B99" s="379">
        <v>0.13227233979519284</v>
      </c>
      <c r="C99" s="379">
        <v>0</v>
      </c>
      <c r="D99" s="379">
        <v>0</v>
      </c>
      <c r="E99" s="379">
        <v>0</v>
      </c>
      <c r="F99" s="379">
        <v>0</v>
      </c>
      <c r="G99" s="379">
        <v>0</v>
      </c>
      <c r="H99" s="379">
        <v>0.86772766020480707</v>
      </c>
      <c r="I99" s="379">
        <v>0</v>
      </c>
      <c r="J99" s="379">
        <v>0</v>
      </c>
      <c r="K99" s="379">
        <v>0</v>
      </c>
      <c r="L99" s="379">
        <v>0</v>
      </c>
      <c r="M99" s="379">
        <v>0</v>
      </c>
      <c r="N99" s="379">
        <v>1</v>
      </c>
      <c r="O99" s="48">
        <v>1</v>
      </c>
    </row>
    <row r="100" spans="1:15" ht="15" customHeight="1" x14ac:dyDescent="0.25">
      <c r="A100" s="7" t="s">
        <v>1730</v>
      </c>
      <c r="B100" s="379">
        <v>0.8578826490207363</v>
      </c>
      <c r="C100" s="379">
        <v>0</v>
      </c>
      <c r="D100" s="379">
        <v>0</v>
      </c>
      <c r="E100" s="379">
        <v>0</v>
      </c>
      <c r="F100" s="379">
        <v>0</v>
      </c>
      <c r="G100" s="379">
        <v>0</v>
      </c>
      <c r="H100" s="379">
        <v>0</v>
      </c>
      <c r="I100" s="379">
        <v>0</v>
      </c>
      <c r="J100" s="379">
        <v>0.1421173509792637</v>
      </c>
      <c r="K100" s="379">
        <v>0</v>
      </c>
      <c r="L100" s="379">
        <v>0</v>
      </c>
      <c r="M100" s="379">
        <v>0</v>
      </c>
      <c r="N100" s="379">
        <v>1</v>
      </c>
      <c r="O100" s="48">
        <v>1</v>
      </c>
    </row>
    <row r="101" spans="1:15" ht="15" customHeight="1" x14ac:dyDescent="0.25">
      <c r="A101" s="7" t="s">
        <v>1731</v>
      </c>
      <c r="B101" s="379">
        <v>0.29703735445282692</v>
      </c>
      <c r="C101" s="379">
        <v>0</v>
      </c>
      <c r="D101" s="379">
        <v>0</v>
      </c>
      <c r="E101" s="379">
        <v>0</v>
      </c>
      <c r="F101" s="379">
        <v>0</v>
      </c>
      <c r="G101" s="379">
        <v>0</v>
      </c>
      <c r="H101" s="379">
        <v>0.44989609315019075</v>
      </c>
      <c r="I101" s="379">
        <v>0</v>
      </c>
      <c r="J101" s="379">
        <v>0.25306655239698228</v>
      </c>
      <c r="K101" s="379">
        <v>0</v>
      </c>
      <c r="L101" s="379">
        <v>0</v>
      </c>
      <c r="M101" s="379">
        <v>0</v>
      </c>
      <c r="N101" s="379">
        <v>1</v>
      </c>
      <c r="O101" s="48">
        <v>3</v>
      </c>
    </row>
    <row r="102" spans="1:15" ht="15" customHeight="1" x14ac:dyDescent="0.25">
      <c r="A102" s="7" t="s">
        <v>1732</v>
      </c>
      <c r="B102" s="379">
        <v>0</v>
      </c>
      <c r="C102" s="379">
        <v>0</v>
      </c>
      <c r="D102" s="379">
        <v>0</v>
      </c>
      <c r="E102" s="379">
        <v>0</v>
      </c>
      <c r="F102" s="379">
        <v>0.4300548533167099</v>
      </c>
      <c r="G102" s="379">
        <v>0</v>
      </c>
      <c r="H102" s="379">
        <v>0.5699451466832901</v>
      </c>
      <c r="I102" s="379">
        <v>0</v>
      </c>
      <c r="J102" s="379">
        <v>0</v>
      </c>
      <c r="K102" s="379">
        <v>0</v>
      </c>
      <c r="L102" s="379">
        <v>0</v>
      </c>
      <c r="M102" s="379">
        <v>0</v>
      </c>
      <c r="N102" s="379">
        <v>1</v>
      </c>
      <c r="O102" s="48">
        <v>1</v>
      </c>
    </row>
    <row r="103" spans="1:15" ht="15" customHeight="1" x14ac:dyDescent="0.25">
      <c r="A103" s="7" t="s">
        <v>1733</v>
      </c>
      <c r="B103" s="379">
        <v>0.64707929401117315</v>
      </c>
      <c r="C103" s="379">
        <v>0</v>
      </c>
      <c r="D103" s="379">
        <v>0</v>
      </c>
      <c r="E103" s="379">
        <v>0</v>
      </c>
      <c r="F103" s="379">
        <v>0</v>
      </c>
      <c r="G103" s="379">
        <v>0</v>
      </c>
      <c r="H103" s="379">
        <v>0.2968491919532189</v>
      </c>
      <c r="I103" s="379">
        <v>0</v>
      </c>
      <c r="J103" s="379">
        <v>5.6071514035608012E-2</v>
      </c>
      <c r="K103" s="379">
        <v>0</v>
      </c>
      <c r="L103" s="379">
        <v>0</v>
      </c>
      <c r="M103" s="379">
        <v>0</v>
      </c>
      <c r="N103" s="379">
        <v>1</v>
      </c>
      <c r="O103" s="48">
        <v>5</v>
      </c>
    </row>
    <row r="104" spans="1:15" ht="15" customHeight="1" x14ac:dyDescent="0.25">
      <c r="A104" s="7" t="s">
        <v>1734</v>
      </c>
      <c r="B104" s="379">
        <v>0.38604945110886124</v>
      </c>
      <c r="C104" s="379">
        <v>0</v>
      </c>
      <c r="D104" s="379">
        <v>0</v>
      </c>
      <c r="E104" s="379">
        <v>0</v>
      </c>
      <c r="F104" s="379">
        <v>0</v>
      </c>
      <c r="G104" s="379">
        <v>0</v>
      </c>
      <c r="H104" s="379">
        <v>0.30697527444556938</v>
      </c>
      <c r="I104" s="379">
        <v>2.5581272870464116E-2</v>
      </c>
      <c r="J104" s="379">
        <v>0.2813940015751053</v>
      </c>
      <c r="K104" s="379">
        <v>0</v>
      </c>
      <c r="L104" s="379">
        <v>0</v>
      </c>
      <c r="M104" s="379">
        <v>0</v>
      </c>
      <c r="N104" s="379">
        <v>1</v>
      </c>
      <c r="O104" s="48">
        <v>4</v>
      </c>
    </row>
    <row r="105" spans="1:15" ht="15" customHeight="1" x14ac:dyDescent="0.25">
      <c r="A105" s="7" t="s">
        <v>1735</v>
      </c>
      <c r="B105" s="379">
        <v>0.35536810734242985</v>
      </c>
      <c r="C105" s="379">
        <v>0</v>
      </c>
      <c r="D105" s="379">
        <v>0</v>
      </c>
      <c r="E105" s="379">
        <v>0</v>
      </c>
      <c r="F105" s="379">
        <v>0</v>
      </c>
      <c r="G105" s="379">
        <v>0</v>
      </c>
      <c r="H105" s="379">
        <v>0.53964618106798112</v>
      </c>
      <c r="I105" s="379">
        <v>0</v>
      </c>
      <c r="J105" s="379">
        <v>0.10498571158958907</v>
      </c>
      <c r="K105" s="379">
        <v>0</v>
      </c>
      <c r="L105" s="379">
        <v>0</v>
      </c>
      <c r="M105" s="379">
        <v>0</v>
      </c>
      <c r="N105" s="379">
        <v>1</v>
      </c>
      <c r="O105" s="48">
        <v>15</v>
      </c>
    </row>
    <row r="106" spans="1:15" ht="15" customHeight="1" x14ac:dyDescent="0.25">
      <c r="A106" s="7" t="s">
        <v>1736</v>
      </c>
      <c r="B106" s="379">
        <v>0</v>
      </c>
      <c r="C106" s="379">
        <v>0</v>
      </c>
      <c r="D106" s="379">
        <v>0</v>
      </c>
      <c r="E106" s="379">
        <v>0</v>
      </c>
      <c r="F106" s="379">
        <v>0</v>
      </c>
      <c r="G106" s="379">
        <v>0</v>
      </c>
      <c r="H106" s="379">
        <v>0</v>
      </c>
      <c r="I106" s="379">
        <v>0</v>
      </c>
      <c r="J106" s="379">
        <v>0</v>
      </c>
      <c r="K106" s="379">
        <v>0</v>
      </c>
      <c r="L106" s="379">
        <v>0</v>
      </c>
      <c r="M106" s="379">
        <v>0</v>
      </c>
      <c r="N106" s="379">
        <v>0</v>
      </c>
      <c r="O106" s="48">
        <v>1</v>
      </c>
    </row>
    <row r="107" spans="1:15" ht="15" customHeight="1" x14ac:dyDescent="0.25">
      <c r="A107" s="7" t="s">
        <v>1737</v>
      </c>
      <c r="B107" s="379">
        <v>0.12566373962792465</v>
      </c>
      <c r="C107" s="379">
        <v>0</v>
      </c>
      <c r="D107" s="379">
        <v>0</v>
      </c>
      <c r="E107" s="379">
        <v>0</v>
      </c>
      <c r="F107" s="379">
        <v>0</v>
      </c>
      <c r="G107" s="379">
        <v>0</v>
      </c>
      <c r="H107" s="379">
        <v>0.62452590026576804</v>
      </c>
      <c r="I107" s="379">
        <v>0</v>
      </c>
      <c r="J107" s="379">
        <v>0.24981036010630722</v>
      </c>
      <c r="K107" s="379">
        <v>0</v>
      </c>
      <c r="L107" s="379">
        <v>0</v>
      </c>
      <c r="M107" s="379">
        <v>0</v>
      </c>
      <c r="N107" s="379">
        <v>1</v>
      </c>
      <c r="O107" s="48">
        <v>3</v>
      </c>
    </row>
    <row r="108" spans="1:15" ht="15" customHeight="1" x14ac:dyDescent="0.25">
      <c r="A108" s="7" t="s">
        <v>1738</v>
      </c>
      <c r="B108" s="379">
        <v>0.36686441119205526</v>
      </c>
      <c r="C108" s="379">
        <v>1.5254449218556071E-2</v>
      </c>
      <c r="D108" s="379">
        <v>0</v>
      </c>
      <c r="E108" s="379">
        <v>1.5254449218556071E-2</v>
      </c>
      <c r="F108" s="379">
        <v>7.2838731540447775E-3</v>
      </c>
      <c r="G108" s="379">
        <v>6.8624234472745987E-3</v>
      </c>
      <c r="H108" s="379">
        <v>0.49318147581197469</v>
      </c>
      <c r="I108" s="379">
        <v>3.2177353820391711E-4</v>
      </c>
      <c r="J108" s="379">
        <v>7.6018998400675414E-2</v>
      </c>
      <c r="K108" s="379">
        <v>1.933091087235048E-3</v>
      </c>
      <c r="L108" s="379">
        <v>0</v>
      </c>
      <c r="M108" s="379">
        <v>1.7025054931424186E-2</v>
      </c>
      <c r="N108" s="379">
        <v>1</v>
      </c>
      <c r="O108" s="48">
        <v>67</v>
      </c>
    </row>
    <row r="109" spans="1:15" ht="15" customHeight="1" x14ac:dyDescent="0.25">
      <c r="A109" s="7" t="s">
        <v>1739</v>
      </c>
      <c r="B109" s="379">
        <v>0.3572263541338706</v>
      </c>
      <c r="C109" s="379">
        <v>0</v>
      </c>
      <c r="D109" s="379">
        <v>2.5980098482463316E-2</v>
      </c>
      <c r="E109" s="379">
        <v>0</v>
      </c>
      <c r="F109" s="379">
        <v>0</v>
      </c>
      <c r="G109" s="379">
        <v>0</v>
      </c>
      <c r="H109" s="379">
        <v>0.49889126106032544</v>
      </c>
      <c r="I109" s="379">
        <v>4.6129459808028691E-4</v>
      </c>
      <c r="J109" s="379">
        <v>0.11744099172526024</v>
      </c>
      <c r="K109" s="379">
        <v>0</v>
      </c>
      <c r="L109" s="379">
        <v>0</v>
      </c>
      <c r="M109" s="379">
        <v>0</v>
      </c>
      <c r="N109" s="379">
        <v>1</v>
      </c>
      <c r="O109" s="48">
        <v>28</v>
      </c>
    </row>
    <row r="110" spans="1:15" ht="15" customHeight="1" x14ac:dyDescent="0.25">
      <c r="A110" s="7" t="s">
        <v>1740</v>
      </c>
      <c r="B110" s="379">
        <v>0.21284419311610089</v>
      </c>
      <c r="C110" s="379">
        <v>0</v>
      </c>
      <c r="D110" s="379">
        <v>0</v>
      </c>
      <c r="E110" s="379">
        <v>0</v>
      </c>
      <c r="F110" s="379">
        <v>0</v>
      </c>
      <c r="G110" s="379">
        <v>0</v>
      </c>
      <c r="H110" s="379">
        <v>0.70481346831169689</v>
      </c>
      <c r="I110" s="379">
        <v>0</v>
      </c>
      <c r="J110" s="379">
        <v>8.2342338572202162E-2</v>
      </c>
      <c r="K110" s="379">
        <v>0</v>
      </c>
      <c r="L110" s="379">
        <v>0</v>
      </c>
      <c r="M110" s="379">
        <v>0</v>
      </c>
      <c r="N110" s="379">
        <v>1</v>
      </c>
      <c r="O110" s="48">
        <v>12</v>
      </c>
    </row>
    <row r="111" spans="1:15" ht="15" customHeight="1" x14ac:dyDescent="0.25">
      <c r="A111" s="7" t="s">
        <v>1741</v>
      </c>
      <c r="B111" s="379">
        <v>0.64424605075803865</v>
      </c>
      <c r="C111" s="379">
        <v>0</v>
      </c>
      <c r="D111" s="379">
        <v>0</v>
      </c>
      <c r="E111" s="379">
        <v>0</v>
      </c>
      <c r="F111" s="379">
        <v>0</v>
      </c>
      <c r="G111" s="379">
        <v>0</v>
      </c>
      <c r="H111" s="379">
        <v>0</v>
      </c>
      <c r="I111" s="379">
        <v>0</v>
      </c>
      <c r="J111" s="379">
        <v>0.35575394924196141</v>
      </c>
      <c r="K111" s="379">
        <v>0</v>
      </c>
      <c r="L111" s="379">
        <v>0</v>
      </c>
      <c r="M111" s="379">
        <v>0</v>
      </c>
      <c r="N111" s="379">
        <v>1</v>
      </c>
      <c r="O111" s="48">
        <v>1</v>
      </c>
    </row>
    <row r="112" spans="1:15" ht="15" customHeight="1" x14ac:dyDescent="0.25">
      <c r="A112" s="7" t="s">
        <v>1742</v>
      </c>
      <c r="B112" s="379">
        <v>0.33922662629683176</v>
      </c>
      <c r="C112" s="379">
        <v>0</v>
      </c>
      <c r="D112" s="379">
        <v>0</v>
      </c>
      <c r="E112" s="379">
        <v>0</v>
      </c>
      <c r="F112" s="379">
        <v>0</v>
      </c>
      <c r="G112" s="379">
        <v>1.1984953120098596E-2</v>
      </c>
      <c r="H112" s="379">
        <v>0.6336153696036475</v>
      </c>
      <c r="I112" s="379">
        <v>0</v>
      </c>
      <c r="J112" s="379">
        <v>1.5173050979422157E-2</v>
      </c>
      <c r="K112" s="379">
        <v>0</v>
      </c>
      <c r="L112" s="379">
        <v>0</v>
      </c>
      <c r="M112" s="379">
        <v>0</v>
      </c>
      <c r="N112" s="379">
        <v>1</v>
      </c>
      <c r="O112" s="48">
        <v>15</v>
      </c>
    </row>
    <row r="113" spans="1:21" ht="15" customHeight="1" x14ac:dyDescent="0.25">
      <c r="A113" s="7" t="s">
        <v>1743</v>
      </c>
      <c r="B113" s="379">
        <v>0</v>
      </c>
      <c r="C113" s="379">
        <v>0</v>
      </c>
      <c r="D113" s="379">
        <v>0</v>
      </c>
      <c r="E113" s="379">
        <v>0</v>
      </c>
      <c r="F113" s="379">
        <v>0</v>
      </c>
      <c r="G113" s="379">
        <v>0</v>
      </c>
      <c r="H113" s="379">
        <v>0.88</v>
      </c>
      <c r="I113" s="379">
        <v>0</v>
      </c>
      <c r="J113" s="379">
        <v>0.12</v>
      </c>
      <c r="K113" s="379">
        <v>0</v>
      </c>
      <c r="L113" s="379">
        <v>0</v>
      </c>
      <c r="M113" s="379">
        <v>0</v>
      </c>
      <c r="N113" s="379">
        <v>1</v>
      </c>
      <c r="O113" s="48">
        <v>2</v>
      </c>
    </row>
    <row r="114" spans="1:21" ht="15" customHeight="1" x14ac:dyDescent="0.25">
      <c r="A114" s="7" t="s">
        <v>1744</v>
      </c>
      <c r="B114" s="379">
        <v>9.2700500637835498E-2</v>
      </c>
      <c r="C114" s="379">
        <v>2.4591135277030725E-2</v>
      </c>
      <c r="D114" s="379">
        <v>5.1500278132130838E-2</v>
      </c>
      <c r="E114" s="379">
        <v>2.4591135277030725E-2</v>
      </c>
      <c r="F114" s="379">
        <v>0</v>
      </c>
      <c r="G114" s="379">
        <v>1.4556131417479868E-2</v>
      </c>
      <c r="H114" s="379">
        <v>0.74547846468227075</v>
      </c>
      <c r="I114" s="379">
        <v>1.7233764879847551E-2</v>
      </c>
      <c r="J114" s="379">
        <v>2.9348589696374047E-2</v>
      </c>
      <c r="K114" s="379">
        <v>0</v>
      </c>
      <c r="L114" s="379">
        <v>0</v>
      </c>
      <c r="M114" s="379">
        <v>0</v>
      </c>
      <c r="N114" s="379">
        <v>1</v>
      </c>
      <c r="O114" s="48">
        <v>29</v>
      </c>
    </row>
    <row r="115" spans="1:21" ht="15" customHeight="1" x14ac:dyDescent="0.25">
      <c r="A115" s="7" t="s">
        <v>1745</v>
      </c>
      <c r="B115" s="379">
        <v>0.12483450633621372</v>
      </c>
      <c r="C115" s="379">
        <v>2.0639846527239599E-2</v>
      </c>
      <c r="D115" s="379">
        <v>1.3140474351180391E-2</v>
      </c>
      <c r="E115" s="379">
        <v>2.0639846527239599E-2</v>
      </c>
      <c r="F115" s="379">
        <v>4.3801581170601301E-3</v>
      </c>
      <c r="G115" s="379">
        <v>2.1665276210927373E-2</v>
      </c>
      <c r="H115" s="379">
        <v>0.7516692496006574</v>
      </c>
      <c r="I115" s="379">
        <v>4.337363929576849E-3</v>
      </c>
      <c r="J115" s="379">
        <v>3.6135856302768707E-2</v>
      </c>
      <c r="K115" s="379">
        <v>2.5574220971363304E-3</v>
      </c>
      <c r="L115" s="379">
        <v>0</v>
      </c>
      <c r="M115" s="379">
        <v>0</v>
      </c>
      <c r="N115" s="379">
        <v>1</v>
      </c>
      <c r="O115" s="48">
        <v>74</v>
      </c>
      <c r="Q115" s="144" t="s">
        <v>1785</v>
      </c>
      <c r="R115" s="144" t="s">
        <v>1786</v>
      </c>
      <c r="S115" s="144" t="s">
        <v>1792</v>
      </c>
      <c r="T115" s="144" t="s">
        <v>1793</v>
      </c>
    </row>
    <row r="116" spans="1:21" ht="15" customHeight="1" x14ac:dyDescent="0.25">
      <c r="A116" s="7" t="s">
        <v>1746</v>
      </c>
      <c r="B116" s="379">
        <v>0.14013634690119389</v>
      </c>
      <c r="C116" s="379">
        <v>2.597336508897961E-2</v>
      </c>
      <c r="D116" s="379">
        <v>0</v>
      </c>
      <c r="E116" s="379">
        <v>2.597336508897961E-2</v>
      </c>
      <c r="F116" s="379">
        <v>0</v>
      </c>
      <c r="G116" s="379">
        <v>0</v>
      </c>
      <c r="H116" s="379">
        <v>0.76614355113140875</v>
      </c>
      <c r="I116" s="379">
        <v>1.8572056604937751E-4</v>
      </c>
      <c r="J116" s="379">
        <v>4.1587651223388665E-2</v>
      </c>
      <c r="K116" s="379">
        <v>0</v>
      </c>
      <c r="L116" s="379">
        <v>0</v>
      </c>
      <c r="M116" s="379">
        <v>0</v>
      </c>
      <c r="N116" s="379">
        <v>1</v>
      </c>
      <c r="O116" s="48">
        <v>35</v>
      </c>
      <c r="Q116" s="369">
        <v>0.17708986290798667</v>
      </c>
      <c r="R116" s="369">
        <v>0.2504098909944571</v>
      </c>
      <c r="S116" s="369">
        <v>0.23067738100889371</v>
      </c>
      <c r="T116" s="369">
        <v>0.2070064556284977</v>
      </c>
      <c r="U116" s="369">
        <v>0.25836449747163115</v>
      </c>
    </row>
    <row r="117" spans="1:21" ht="15" customHeight="1" x14ac:dyDescent="0.25">
      <c r="A117" s="7" t="s">
        <v>1747</v>
      </c>
      <c r="B117" s="379">
        <v>0.55377057643128613</v>
      </c>
      <c r="C117" s="379">
        <v>0</v>
      </c>
      <c r="D117" s="379">
        <v>2.1716493193383767E-2</v>
      </c>
      <c r="E117" s="379">
        <v>0</v>
      </c>
      <c r="F117" s="379">
        <v>0</v>
      </c>
      <c r="G117" s="379">
        <v>0</v>
      </c>
      <c r="H117" s="379">
        <v>0.32378104859135348</v>
      </c>
      <c r="I117" s="379">
        <v>0</v>
      </c>
      <c r="J117" s="379">
        <v>0.10073188178397664</v>
      </c>
      <c r="K117" s="379">
        <v>0</v>
      </c>
      <c r="L117" s="379">
        <v>0</v>
      </c>
      <c r="M117" s="379">
        <v>0</v>
      </c>
      <c r="N117" s="379">
        <v>1</v>
      </c>
      <c r="O117" s="48">
        <v>11</v>
      </c>
      <c r="Q117" s="369">
        <v>6.644848337092342E-3</v>
      </c>
      <c r="R117" s="369">
        <v>8.6300485020960795E-3</v>
      </c>
      <c r="S117" s="369">
        <v>2.0615635462056123E-2</v>
      </c>
      <c r="T117" s="369">
        <v>1.9149263002544523E-2</v>
      </c>
      <c r="U117" s="369">
        <v>9.4473369800889377E-3</v>
      </c>
    </row>
    <row r="118" spans="1:21" ht="15" customHeight="1" x14ac:dyDescent="0.25">
      <c r="A118" s="7" t="s">
        <v>1748</v>
      </c>
      <c r="B118" s="379">
        <v>0.27078083306920003</v>
      </c>
      <c r="C118" s="379">
        <v>0</v>
      </c>
      <c r="D118" s="379">
        <v>0</v>
      </c>
      <c r="E118" s="379">
        <v>0</v>
      </c>
      <c r="F118" s="379">
        <v>0</v>
      </c>
      <c r="G118" s="379">
        <v>0</v>
      </c>
      <c r="H118" s="379">
        <v>0.67432548954694416</v>
      </c>
      <c r="I118" s="379">
        <v>0</v>
      </c>
      <c r="J118" s="379">
        <v>5.4893677383855775E-2</v>
      </c>
      <c r="K118" s="379">
        <v>0</v>
      </c>
      <c r="L118" s="379">
        <v>0</v>
      </c>
      <c r="M118" s="379">
        <v>0</v>
      </c>
      <c r="N118" s="379">
        <v>1</v>
      </c>
      <c r="O118" s="48">
        <v>35</v>
      </c>
      <c r="Q118" s="369">
        <v>1.7118686747772047E-2</v>
      </c>
      <c r="R118" s="369">
        <v>3.5070439827807704E-3</v>
      </c>
      <c r="S118" s="369">
        <v>7.1115864250721177E-3</v>
      </c>
      <c r="T118" s="369">
        <v>0</v>
      </c>
      <c r="U118" s="369">
        <v>1.1669795137216912E-2</v>
      </c>
    </row>
    <row r="119" spans="1:21" ht="15" customHeight="1" x14ac:dyDescent="0.25">
      <c r="A119" s="7" t="s">
        <v>1749</v>
      </c>
      <c r="B119" s="379">
        <v>0.22025966072871001</v>
      </c>
      <c r="C119" s="379">
        <v>1.0307075853157181E-2</v>
      </c>
      <c r="D119" s="379">
        <v>1.229127571030748E-2</v>
      </c>
      <c r="E119" s="379">
        <v>1.0307075853157181E-2</v>
      </c>
      <c r="F119" s="379">
        <v>1.4749530852368978E-2</v>
      </c>
      <c r="G119" s="379">
        <v>2.0844169897726101E-2</v>
      </c>
      <c r="H119" s="379">
        <v>0.66300033476972919</v>
      </c>
      <c r="I119" s="379">
        <v>0</v>
      </c>
      <c r="J119" s="379">
        <v>1.8895750960571625E-2</v>
      </c>
      <c r="K119" s="379">
        <v>0</v>
      </c>
      <c r="L119" s="379">
        <v>2.9345125374272151E-2</v>
      </c>
      <c r="M119" s="379">
        <v>0</v>
      </c>
      <c r="N119" s="379">
        <v>1</v>
      </c>
      <c r="O119" s="48">
        <v>59</v>
      </c>
      <c r="Q119" s="369">
        <v>6.644848337092342E-3</v>
      </c>
      <c r="R119" s="369">
        <v>5.8757777035547774E-3</v>
      </c>
      <c r="S119" s="369">
        <v>3.9834992825088525E-2</v>
      </c>
      <c r="T119" s="369">
        <v>1.9149263002544523E-2</v>
      </c>
      <c r="U119" s="369">
        <v>9.3848488922268405E-3</v>
      </c>
    </row>
    <row r="120" spans="1:21" ht="15" customHeight="1" x14ac:dyDescent="0.25">
      <c r="A120" s="7" t="s">
        <v>1750</v>
      </c>
      <c r="B120" s="379">
        <v>8.2096700709392442E-2</v>
      </c>
      <c r="C120" s="379">
        <v>2.4287960476718443E-3</v>
      </c>
      <c r="D120" s="379">
        <v>0</v>
      </c>
      <c r="E120" s="379">
        <v>2.4287960476718443E-3</v>
      </c>
      <c r="F120" s="379">
        <v>1.3583242826716713E-2</v>
      </c>
      <c r="G120" s="379">
        <v>5.8273453495054257E-3</v>
      </c>
      <c r="H120" s="379">
        <v>0.84634677248611645</v>
      </c>
      <c r="I120" s="379">
        <v>1.724824693229458E-2</v>
      </c>
      <c r="J120" s="379">
        <v>1.2193315158077554E-2</v>
      </c>
      <c r="K120" s="379">
        <v>9.8491060284337361E-3</v>
      </c>
      <c r="L120" s="379">
        <v>7.6911874842941735E-4</v>
      </c>
      <c r="M120" s="379">
        <v>7.2285596656900125E-3</v>
      </c>
      <c r="N120" s="379">
        <v>1</v>
      </c>
      <c r="O120" s="48">
        <v>171</v>
      </c>
      <c r="Q120" s="369">
        <v>1.033024200296589E-2</v>
      </c>
      <c r="R120" s="369">
        <v>3.5070439827807704E-3</v>
      </c>
      <c r="S120" s="369">
        <v>7.0592953484171755E-3</v>
      </c>
      <c r="T120" s="369">
        <v>0</v>
      </c>
      <c r="U120" s="369">
        <v>5.9012032227971885E-3</v>
      </c>
    </row>
    <row r="121" spans="1:21" ht="15" customHeight="1" x14ac:dyDescent="0.25">
      <c r="A121" s="7" t="s">
        <v>1751</v>
      </c>
      <c r="B121" s="379">
        <v>0.18423405320566827</v>
      </c>
      <c r="C121" s="379">
        <v>2.3607317744464881E-2</v>
      </c>
      <c r="D121" s="379">
        <v>2.5351294582148076E-2</v>
      </c>
      <c r="E121" s="379">
        <v>1.4004341034852048E-2</v>
      </c>
      <c r="F121" s="379">
        <v>1.2100207634382649E-2</v>
      </c>
      <c r="G121" s="379">
        <v>0</v>
      </c>
      <c r="H121" s="379">
        <v>0.70635151266634377</v>
      </c>
      <c r="I121" s="379">
        <v>5.9080813740782076E-3</v>
      </c>
      <c r="J121" s="379">
        <v>2.8443191758062231E-2</v>
      </c>
      <c r="K121" s="379">
        <v>0</v>
      </c>
      <c r="L121" s="379">
        <v>0</v>
      </c>
      <c r="M121" s="379">
        <v>0</v>
      </c>
      <c r="N121" s="379">
        <v>1</v>
      </c>
      <c r="O121" s="48">
        <v>70</v>
      </c>
      <c r="Q121" s="369">
        <v>1.3903610549326675E-2</v>
      </c>
      <c r="R121" s="369">
        <v>3.3041241039039243E-2</v>
      </c>
      <c r="S121" s="369">
        <v>3.5471145928866785E-2</v>
      </c>
      <c r="T121" s="369">
        <v>1.8752781299800472E-2</v>
      </c>
      <c r="U121" s="369">
        <v>1.4617784677224615E-2</v>
      </c>
    </row>
    <row r="122" spans="1:21" ht="15" customHeight="1" x14ac:dyDescent="0.25">
      <c r="A122" s="7" t="s">
        <v>1752</v>
      </c>
      <c r="B122" s="379">
        <v>0.24260106878932672</v>
      </c>
      <c r="C122" s="379">
        <v>6.4952626518692781E-3</v>
      </c>
      <c r="D122" s="379">
        <v>8.270490981454319E-3</v>
      </c>
      <c r="E122" s="379">
        <v>6.4952626518692781E-3</v>
      </c>
      <c r="F122" s="379">
        <v>5.5136606543028793E-3</v>
      </c>
      <c r="G122" s="379">
        <v>3.8959774580978597E-3</v>
      </c>
      <c r="H122" s="379">
        <v>0.63292247573303628</v>
      </c>
      <c r="I122" s="379">
        <v>5.0236797073051447E-3</v>
      </c>
      <c r="J122" s="379">
        <v>8.8782121372738193E-2</v>
      </c>
      <c r="K122" s="379">
        <v>0</v>
      </c>
      <c r="L122" s="379">
        <v>0</v>
      </c>
      <c r="M122" s="379">
        <v>0</v>
      </c>
      <c r="N122" s="379">
        <v>1</v>
      </c>
      <c r="O122" s="48">
        <v>68</v>
      </c>
      <c r="Q122" s="369">
        <v>0.72566215735056594</v>
      </c>
      <c r="R122" s="369">
        <v>0.62816216878929465</v>
      </c>
      <c r="S122" s="369">
        <v>0.62998874494553114</v>
      </c>
      <c r="T122" s="369">
        <v>0.71285384830642307</v>
      </c>
      <c r="U122" s="369">
        <v>0.60893132387784821</v>
      </c>
    </row>
    <row r="123" spans="1:21" ht="15" customHeight="1" x14ac:dyDescent="0.25">
      <c r="A123" s="7" t="s">
        <v>1753</v>
      </c>
      <c r="B123" s="379">
        <v>0.33415085428179603</v>
      </c>
      <c r="C123" s="379">
        <v>0</v>
      </c>
      <c r="D123" s="379">
        <v>0</v>
      </c>
      <c r="E123" s="379">
        <v>0</v>
      </c>
      <c r="F123" s="379">
        <v>0</v>
      </c>
      <c r="G123" s="379">
        <v>0</v>
      </c>
      <c r="H123" s="379">
        <v>0.66584914571820386</v>
      </c>
      <c r="I123" s="379">
        <v>0</v>
      </c>
      <c r="J123" s="379">
        <v>0</v>
      </c>
      <c r="K123" s="379">
        <v>0</v>
      </c>
      <c r="L123" s="379">
        <v>0</v>
      </c>
      <c r="M123" s="379">
        <v>0</v>
      </c>
      <c r="N123" s="379">
        <v>1</v>
      </c>
      <c r="O123" s="48">
        <v>5</v>
      </c>
      <c r="Q123" s="369">
        <v>6.6496774419884841E-4</v>
      </c>
      <c r="R123" s="369">
        <v>9.3443912157567307E-3</v>
      </c>
      <c r="S123" s="369">
        <v>9.1684650689754336E-3</v>
      </c>
      <c r="T123" s="369">
        <v>2.4180829556784537E-3</v>
      </c>
      <c r="U123" s="369">
        <v>3.6403776250211206E-3</v>
      </c>
    </row>
    <row r="124" spans="1:21" ht="15" customHeight="1" x14ac:dyDescent="0.25">
      <c r="A124" s="7" t="s">
        <v>1754</v>
      </c>
      <c r="B124" s="379">
        <v>0.53996590599369221</v>
      </c>
      <c r="C124" s="379">
        <v>0</v>
      </c>
      <c r="D124" s="379">
        <v>0</v>
      </c>
      <c r="E124" s="379">
        <v>0</v>
      </c>
      <c r="F124" s="379">
        <v>0</v>
      </c>
      <c r="G124" s="379">
        <v>0</v>
      </c>
      <c r="H124" s="379">
        <v>0.46003409400630779</v>
      </c>
      <c r="I124" s="379">
        <v>0</v>
      </c>
      <c r="J124" s="379">
        <v>0</v>
      </c>
      <c r="K124" s="379">
        <v>0</v>
      </c>
      <c r="L124" s="379">
        <v>0</v>
      </c>
      <c r="M124" s="379">
        <v>0</v>
      </c>
      <c r="N124" s="379">
        <v>1</v>
      </c>
      <c r="O124" s="48">
        <v>1</v>
      </c>
      <c r="Q124" s="369">
        <v>1.5515914031306465E-2</v>
      </c>
      <c r="R124" s="369">
        <v>2.7768405437803689E-2</v>
      </c>
      <c r="S124" s="369">
        <v>1.1226691921194408E-2</v>
      </c>
      <c r="T124" s="369">
        <v>8.5182467756854622E-3</v>
      </c>
      <c r="U124" s="369">
        <v>5.9031120397414656E-2</v>
      </c>
    </row>
    <row r="125" spans="1:21" ht="15" customHeight="1" x14ac:dyDescent="0.25">
      <c r="A125" s="7" t="s">
        <v>1755</v>
      </c>
      <c r="B125" s="379">
        <v>0.14499156675729064</v>
      </c>
      <c r="C125" s="379">
        <v>1.147616275086411E-2</v>
      </c>
      <c r="D125" s="379">
        <v>1.8928402970925669E-3</v>
      </c>
      <c r="E125" s="379">
        <v>2.0395460225628961E-2</v>
      </c>
      <c r="F125" s="379">
        <v>0</v>
      </c>
      <c r="G125" s="379">
        <v>1.06999158513636E-2</v>
      </c>
      <c r="H125" s="379">
        <v>0.69758574529309691</v>
      </c>
      <c r="I125" s="379">
        <v>1.2542762073888074E-5</v>
      </c>
      <c r="J125" s="379">
        <v>2.1698978387826369E-2</v>
      </c>
      <c r="K125" s="379">
        <v>8.2585866674465505E-2</v>
      </c>
      <c r="L125" s="379">
        <v>4.2366663005133053E-3</v>
      </c>
      <c r="M125" s="379">
        <v>4.4242546997841532E-3</v>
      </c>
      <c r="N125" s="379">
        <v>1</v>
      </c>
      <c r="O125" s="48">
        <v>108</v>
      </c>
      <c r="Q125" s="369">
        <v>0</v>
      </c>
      <c r="R125" s="369">
        <v>6.2049730249079107E-3</v>
      </c>
      <c r="S125" s="369">
        <v>6.6612965109615124E-3</v>
      </c>
      <c r="T125" s="369">
        <v>0</v>
      </c>
      <c r="U125" s="369">
        <v>3.4856288053626496E-3</v>
      </c>
    </row>
    <row r="126" spans="1:21" ht="15" customHeight="1" x14ac:dyDescent="0.25">
      <c r="A126" s="7" t="s">
        <v>1756</v>
      </c>
      <c r="B126" s="379">
        <v>9.8060785603371239E-2</v>
      </c>
      <c r="C126" s="379">
        <v>5.5462493386580665E-3</v>
      </c>
      <c r="D126" s="379">
        <v>4.3127338363219891E-3</v>
      </c>
      <c r="E126" s="379">
        <v>5.3345604326024152E-3</v>
      </c>
      <c r="F126" s="379">
        <v>2.6954586477012433E-3</v>
      </c>
      <c r="G126" s="379">
        <v>5.3329450268133809E-3</v>
      </c>
      <c r="H126" s="379">
        <v>0.80923905716062206</v>
      </c>
      <c r="I126" s="379">
        <v>3.6850886939729238E-3</v>
      </c>
      <c r="J126" s="379">
        <v>1.1927743717271962E-2</v>
      </c>
      <c r="K126" s="379">
        <v>3.74846883835964E-2</v>
      </c>
      <c r="L126" s="379">
        <v>0</v>
      </c>
      <c r="M126" s="379">
        <v>1.6380689159068262E-2</v>
      </c>
      <c r="N126" s="379">
        <v>1</v>
      </c>
      <c r="O126" s="48">
        <v>326</v>
      </c>
      <c r="Q126" s="369">
        <v>2.6424861991692802E-2</v>
      </c>
      <c r="R126" s="369">
        <v>2.3549015327528129E-2</v>
      </c>
      <c r="S126" s="369">
        <v>2.1847645549429996E-3</v>
      </c>
      <c r="T126" s="369">
        <v>8.6627618344844275E-3</v>
      </c>
      <c r="U126" s="369">
        <v>1.4534208502658304E-2</v>
      </c>
    </row>
    <row r="127" spans="1:21" ht="15" customHeight="1" x14ac:dyDescent="0.25">
      <c r="A127" s="7" t="s">
        <v>1757</v>
      </c>
      <c r="B127" s="379">
        <v>0.20976916081890143</v>
      </c>
      <c r="C127" s="379">
        <v>7.0336517918182977E-3</v>
      </c>
      <c r="D127" s="379">
        <v>1.8315343435088092E-2</v>
      </c>
      <c r="E127" s="379">
        <v>8.2323207144256796E-3</v>
      </c>
      <c r="F127" s="379">
        <v>1.2820740404561666E-2</v>
      </c>
      <c r="G127" s="379">
        <v>6.9022422316094463E-3</v>
      </c>
      <c r="H127" s="379">
        <v>0.67350440340628193</v>
      </c>
      <c r="I127" s="379">
        <v>5.2591598979398815E-4</v>
      </c>
      <c r="J127" s="379">
        <v>1.5420278282003099E-2</v>
      </c>
      <c r="K127" s="379">
        <v>4.6663385466814075E-3</v>
      </c>
      <c r="L127" s="379">
        <v>0</v>
      </c>
      <c r="M127" s="379">
        <v>4.280960437883502E-2</v>
      </c>
      <c r="N127" s="379">
        <v>1</v>
      </c>
      <c r="O127" s="48">
        <v>120</v>
      </c>
      <c r="Q127" s="369">
        <v>0</v>
      </c>
      <c r="R127" s="369">
        <v>0</v>
      </c>
      <c r="S127" s="369">
        <v>0</v>
      </c>
      <c r="T127" s="369">
        <v>3.4892971943412026E-3</v>
      </c>
      <c r="U127" s="369">
        <v>9.9187441050948015E-4</v>
      </c>
    </row>
    <row r="128" spans="1:21" ht="15" customHeight="1" x14ac:dyDescent="0.25">
      <c r="A128" s="7" t="s">
        <v>1758</v>
      </c>
      <c r="B128" s="379">
        <v>0.41072007289056078</v>
      </c>
      <c r="C128" s="379">
        <v>0</v>
      </c>
      <c r="D128" s="379">
        <v>0</v>
      </c>
      <c r="E128" s="379">
        <v>4.2181004962397489E-2</v>
      </c>
      <c r="F128" s="379">
        <v>0</v>
      </c>
      <c r="G128" s="379">
        <v>4.4648715977306783E-2</v>
      </c>
      <c r="H128" s="379">
        <v>0.34543451674169268</v>
      </c>
      <c r="I128" s="379">
        <v>0</v>
      </c>
      <c r="J128" s="379">
        <v>0.15701568942804212</v>
      </c>
      <c r="K128" s="379">
        <v>0</v>
      </c>
      <c r="L128" s="379">
        <v>0</v>
      </c>
      <c r="M128" s="379">
        <v>0</v>
      </c>
      <c r="N128" s="379">
        <v>1</v>
      </c>
      <c r="O128" s="48">
        <v>8</v>
      </c>
      <c r="Q128" s="369">
        <v>1</v>
      </c>
      <c r="R128" s="369">
        <v>1</v>
      </c>
      <c r="S128" s="369">
        <v>1</v>
      </c>
      <c r="T128" s="369">
        <v>1</v>
      </c>
      <c r="U128" s="369">
        <v>1</v>
      </c>
    </row>
    <row r="129" spans="1:20" ht="15" customHeight="1" x14ac:dyDescent="0.25">
      <c r="A129" s="7" t="s">
        <v>1759</v>
      </c>
      <c r="B129" s="379">
        <v>0.33222423240163246</v>
      </c>
      <c r="C129" s="379">
        <v>0</v>
      </c>
      <c r="D129" s="379">
        <v>0</v>
      </c>
      <c r="E129" s="379">
        <v>0</v>
      </c>
      <c r="F129" s="379">
        <v>0</v>
      </c>
      <c r="G129" s="379">
        <v>0</v>
      </c>
      <c r="H129" s="379">
        <v>0.50633547213502594</v>
      </c>
      <c r="I129" s="379">
        <v>0</v>
      </c>
      <c r="J129" s="379">
        <v>0.16144029546334163</v>
      </c>
      <c r="K129" s="379">
        <v>0</v>
      </c>
      <c r="L129" s="379">
        <v>0</v>
      </c>
      <c r="M129" s="379">
        <v>0</v>
      </c>
      <c r="N129" s="379">
        <v>1</v>
      </c>
      <c r="O129" s="48">
        <v>16</v>
      </c>
      <c r="Q129" s="48">
        <v>85</v>
      </c>
      <c r="R129" s="48">
        <v>123</v>
      </c>
      <c r="S129" s="48">
        <v>134</v>
      </c>
      <c r="T129" s="48">
        <v>81</v>
      </c>
    </row>
    <row r="130" spans="1:20" ht="15" customHeight="1" x14ac:dyDescent="0.25">
      <c r="A130" s="7" t="s">
        <v>1760</v>
      </c>
      <c r="B130" s="379">
        <v>8.4774227789087747E-2</v>
      </c>
      <c r="C130" s="379">
        <v>1.0667890485105849E-2</v>
      </c>
      <c r="D130" s="379">
        <v>8.3591045708290273E-3</v>
      </c>
      <c r="E130" s="379">
        <v>1.1283345705400419E-2</v>
      </c>
      <c r="F130" s="379">
        <v>2.0897761427072568E-3</v>
      </c>
      <c r="G130" s="379">
        <v>4.4299357114611377E-3</v>
      </c>
      <c r="H130" s="379">
        <v>0.73751569184763821</v>
      </c>
      <c r="I130" s="379">
        <v>2.5038098322013244E-2</v>
      </c>
      <c r="J130" s="379">
        <v>2.3714258956975084E-2</v>
      </c>
      <c r="K130" s="379">
        <v>7.0835117900947958E-2</v>
      </c>
      <c r="L130" s="379">
        <v>1.6566003012928796E-3</v>
      </c>
      <c r="M130" s="379">
        <v>1.9635952266540989E-2</v>
      </c>
      <c r="N130" s="379">
        <v>1</v>
      </c>
      <c r="O130" s="48">
        <v>221</v>
      </c>
    </row>
    <row r="131" spans="1:20" ht="15" customHeight="1" x14ac:dyDescent="0.25">
      <c r="A131" s="7" t="s">
        <v>1761</v>
      </c>
      <c r="B131" s="379">
        <v>7.4921495578375907E-2</v>
      </c>
      <c r="C131" s="379">
        <v>5.5897065252499935E-3</v>
      </c>
      <c r="D131" s="379">
        <v>5.2721749491790168E-3</v>
      </c>
      <c r="E131" s="379">
        <v>5.5898359166047448E-3</v>
      </c>
      <c r="F131" s="379">
        <v>5.3690899298624549E-3</v>
      </c>
      <c r="G131" s="379">
        <v>2.3283391068327692E-3</v>
      </c>
      <c r="H131" s="379">
        <v>0.84160745750190535</v>
      </c>
      <c r="I131" s="379">
        <v>2.6870951750734427E-3</v>
      </c>
      <c r="J131" s="379">
        <v>1.8275720162633766E-2</v>
      </c>
      <c r="K131" s="379">
        <v>7.3108193454019766E-3</v>
      </c>
      <c r="L131" s="379">
        <v>4.1695070155012915E-3</v>
      </c>
      <c r="M131" s="379">
        <v>2.6878758793379358E-2</v>
      </c>
      <c r="N131" s="379">
        <v>1</v>
      </c>
      <c r="O131" s="48">
        <v>621</v>
      </c>
    </row>
    <row r="132" spans="1:20" ht="15" customHeight="1" x14ac:dyDescent="0.25">
      <c r="A132" s="7" t="s">
        <v>1762</v>
      </c>
      <c r="B132" s="379">
        <v>0.15294900594388192</v>
      </c>
      <c r="C132" s="379">
        <v>0</v>
      </c>
      <c r="D132" s="379">
        <v>7.5276297683131484E-3</v>
      </c>
      <c r="E132" s="379">
        <v>0</v>
      </c>
      <c r="F132" s="379">
        <v>3.3372491972854954E-2</v>
      </c>
      <c r="G132" s="379">
        <v>2.1276228429014526E-2</v>
      </c>
      <c r="H132" s="379">
        <v>0.67845404222815187</v>
      </c>
      <c r="I132" s="379">
        <v>2.0451318802125638E-3</v>
      </c>
      <c r="J132" s="379">
        <v>6.6175812058910613E-2</v>
      </c>
      <c r="K132" s="379">
        <v>1.105439626735963E-2</v>
      </c>
      <c r="L132" s="379">
        <v>2.7145261451300758E-2</v>
      </c>
      <c r="M132" s="379">
        <v>0</v>
      </c>
      <c r="N132" s="379">
        <v>1</v>
      </c>
      <c r="O132" s="48">
        <v>73</v>
      </c>
    </row>
    <row r="133" spans="1:20" ht="15" customHeight="1" x14ac:dyDescent="0.25">
      <c r="A133" s="7" t="s">
        <v>1763</v>
      </c>
      <c r="B133" s="379">
        <v>0.20888648855918474</v>
      </c>
      <c r="C133" s="379">
        <v>3.4003054873120019E-2</v>
      </c>
      <c r="D133" s="379">
        <v>0</v>
      </c>
      <c r="E133" s="379">
        <v>3.4003054873120019E-2</v>
      </c>
      <c r="F133" s="379">
        <v>0</v>
      </c>
      <c r="G133" s="379">
        <v>2.1469110382118271E-2</v>
      </c>
      <c r="H133" s="379">
        <v>0.6714382096817253</v>
      </c>
      <c r="I133" s="379">
        <v>0</v>
      </c>
      <c r="J133" s="379">
        <v>3.0200081630731596E-2</v>
      </c>
      <c r="K133" s="379">
        <v>0</v>
      </c>
      <c r="L133" s="379">
        <v>0</v>
      </c>
      <c r="M133" s="379">
        <v>0</v>
      </c>
      <c r="N133" s="379">
        <v>1</v>
      </c>
      <c r="O133" s="48">
        <v>26</v>
      </c>
    </row>
    <row r="134" spans="1:20" ht="15" customHeight="1" x14ac:dyDescent="0.25">
      <c r="A134" s="7" t="s">
        <v>1764</v>
      </c>
      <c r="B134" s="379">
        <v>0</v>
      </c>
      <c r="C134" s="379">
        <v>0</v>
      </c>
      <c r="D134" s="379">
        <v>0</v>
      </c>
      <c r="E134" s="379">
        <v>0</v>
      </c>
      <c r="F134" s="379">
        <v>0</v>
      </c>
      <c r="G134" s="379">
        <v>0.23352242828502273</v>
      </c>
      <c r="H134" s="379">
        <v>0.76647757171497732</v>
      </c>
      <c r="I134" s="379">
        <v>0</v>
      </c>
      <c r="J134" s="379">
        <v>0</v>
      </c>
      <c r="K134" s="379">
        <v>0</v>
      </c>
      <c r="L134" s="379">
        <v>0</v>
      </c>
      <c r="M134" s="379">
        <v>0</v>
      </c>
      <c r="N134" s="379">
        <v>1</v>
      </c>
      <c r="O134" s="48">
        <v>1</v>
      </c>
    </row>
    <row r="135" spans="1:20" ht="15" customHeight="1" x14ac:dyDescent="0.25">
      <c r="A135" s="7" t="s">
        <v>1765</v>
      </c>
      <c r="B135" s="379">
        <v>0.23184578414126572</v>
      </c>
      <c r="C135" s="379">
        <v>0</v>
      </c>
      <c r="D135" s="379">
        <v>0</v>
      </c>
      <c r="E135" s="379">
        <v>0</v>
      </c>
      <c r="F135" s="379">
        <v>0</v>
      </c>
      <c r="G135" s="379">
        <v>0</v>
      </c>
      <c r="H135" s="379">
        <v>0</v>
      </c>
      <c r="I135" s="379">
        <v>0</v>
      </c>
      <c r="J135" s="379">
        <v>0.76815421585873422</v>
      </c>
      <c r="K135" s="379">
        <v>0</v>
      </c>
      <c r="L135" s="379">
        <v>0</v>
      </c>
      <c r="M135" s="379">
        <v>0</v>
      </c>
      <c r="N135" s="379">
        <v>1</v>
      </c>
      <c r="O135" s="48">
        <v>1</v>
      </c>
    </row>
    <row r="136" spans="1:20" ht="15" customHeight="1" x14ac:dyDescent="0.25">
      <c r="A136" s="7" t="s">
        <v>1766</v>
      </c>
      <c r="B136" s="379">
        <v>0.60330442038541321</v>
      </c>
      <c r="C136" s="379">
        <v>0</v>
      </c>
      <c r="D136" s="379">
        <v>0</v>
      </c>
      <c r="E136" s="379">
        <v>0</v>
      </c>
      <c r="F136" s="379">
        <v>0</v>
      </c>
      <c r="G136" s="379">
        <v>0</v>
      </c>
      <c r="H136" s="379">
        <v>0.18309026751442464</v>
      </c>
      <c r="I136" s="379">
        <v>0</v>
      </c>
      <c r="J136" s="379">
        <v>0.21360531210016206</v>
      </c>
      <c r="K136" s="379">
        <v>0</v>
      </c>
      <c r="L136" s="379">
        <v>0</v>
      </c>
      <c r="M136" s="379">
        <v>0</v>
      </c>
      <c r="N136" s="379">
        <v>1</v>
      </c>
      <c r="O136" s="48">
        <v>6</v>
      </c>
    </row>
    <row r="137" spans="1:20" ht="15" customHeight="1" x14ac:dyDescent="0.25">
      <c r="A137" s="7" t="s">
        <v>1767</v>
      </c>
      <c r="B137" s="379">
        <v>0.34906370763224354</v>
      </c>
      <c r="C137" s="379">
        <v>2.284487974969095E-2</v>
      </c>
      <c r="D137" s="379">
        <v>0</v>
      </c>
      <c r="E137" s="379">
        <v>2.284487974969095E-2</v>
      </c>
      <c r="F137" s="379">
        <v>0</v>
      </c>
      <c r="G137" s="379">
        <v>0</v>
      </c>
      <c r="H137" s="379">
        <v>0.52814506371316761</v>
      </c>
      <c r="I137" s="379">
        <v>0</v>
      </c>
      <c r="J137" s="379">
        <v>7.710146915520695E-2</v>
      </c>
      <c r="K137" s="379">
        <v>0</v>
      </c>
      <c r="L137" s="379">
        <v>0</v>
      </c>
      <c r="M137" s="379">
        <v>0</v>
      </c>
      <c r="N137" s="379">
        <v>1</v>
      </c>
      <c r="O137" s="48">
        <v>10</v>
      </c>
    </row>
    <row r="138" spans="1:20" ht="15" customHeight="1" x14ac:dyDescent="0.25">
      <c r="A138" s="7" t="s">
        <v>1768</v>
      </c>
      <c r="B138" s="379">
        <v>0.18438180281929686</v>
      </c>
      <c r="C138" s="379">
        <v>0</v>
      </c>
      <c r="D138" s="379">
        <v>0</v>
      </c>
      <c r="E138" s="379">
        <v>0</v>
      </c>
      <c r="F138" s="379">
        <v>6.7047928297926135E-2</v>
      </c>
      <c r="G138" s="379">
        <v>0</v>
      </c>
      <c r="H138" s="379">
        <v>0.55242860368806956</v>
      </c>
      <c r="I138" s="379">
        <v>0</v>
      </c>
      <c r="J138" s="379">
        <v>0</v>
      </c>
      <c r="K138" s="379">
        <v>0.13345552894992668</v>
      </c>
      <c r="L138" s="379">
        <v>0</v>
      </c>
      <c r="M138" s="379">
        <v>6.2686136244780921E-2</v>
      </c>
      <c r="N138" s="379">
        <v>1</v>
      </c>
      <c r="O138" s="48">
        <v>24</v>
      </c>
    </row>
    <row r="139" spans="1:20" ht="15" customHeight="1" x14ac:dyDescent="0.25">
      <c r="A139" s="7" t="s">
        <v>1769</v>
      </c>
      <c r="B139" s="379">
        <v>7.7953496096065653E-2</v>
      </c>
      <c r="C139" s="379">
        <v>2.9517308863074559E-2</v>
      </c>
      <c r="D139" s="379">
        <v>3.4800667900029315E-2</v>
      </c>
      <c r="E139" s="379">
        <v>2.9517308863074559E-2</v>
      </c>
      <c r="F139" s="379">
        <v>0</v>
      </c>
      <c r="G139" s="379">
        <v>2.4590308719753151E-2</v>
      </c>
      <c r="H139" s="379">
        <v>0.75645368629226184</v>
      </c>
      <c r="I139" s="379">
        <v>1.15301987746385E-4</v>
      </c>
      <c r="J139" s="379">
        <v>3.8626165895038971E-2</v>
      </c>
      <c r="K139" s="379">
        <v>5.1720837710647425E-3</v>
      </c>
      <c r="L139" s="379">
        <v>0</v>
      </c>
      <c r="M139" s="379">
        <v>3.2536716118909347E-3</v>
      </c>
      <c r="N139" s="379">
        <v>1</v>
      </c>
      <c r="O139" s="48">
        <v>57</v>
      </c>
    </row>
    <row r="140" spans="1:20" ht="15" customHeight="1" x14ac:dyDescent="0.25">
      <c r="A140" s="7" t="s">
        <v>1770</v>
      </c>
      <c r="B140" s="379">
        <v>0.16893985638496661</v>
      </c>
      <c r="C140" s="379">
        <v>0</v>
      </c>
      <c r="D140" s="379">
        <v>1.6089510131901581E-2</v>
      </c>
      <c r="E140" s="379">
        <v>0</v>
      </c>
      <c r="F140" s="379">
        <v>1.2067132598926186E-2</v>
      </c>
      <c r="G140" s="379">
        <v>5.6844601722819653E-3</v>
      </c>
      <c r="H140" s="379">
        <v>0.65325103160355558</v>
      </c>
      <c r="I140" s="379">
        <v>1.5992387031792777E-2</v>
      </c>
      <c r="J140" s="379">
        <v>0.12407426938832564</v>
      </c>
      <c r="K140" s="379">
        <v>0</v>
      </c>
      <c r="L140" s="379">
        <v>3.9013526882496949E-3</v>
      </c>
      <c r="M140" s="379">
        <v>0</v>
      </c>
      <c r="N140" s="379">
        <v>1</v>
      </c>
      <c r="O140" s="48">
        <v>40</v>
      </c>
    </row>
    <row r="141" spans="1:20" ht="15" customHeight="1" x14ac:dyDescent="0.25">
      <c r="A141" s="7" t="s">
        <v>1771</v>
      </c>
      <c r="B141" s="379">
        <v>0.32935948527024045</v>
      </c>
      <c r="C141" s="379">
        <v>0</v>
      </c>
      <c r="D141" s="379">
        <v>6.5219700053512963E-2</v>
      </c>
      <c r="E141" s="379">
        <v>0</v>
      </c>
      <c r="F141" s="379">
        <v>0</v>
      </c>
      <c r="G141" s="379">
        <v>0</v>
      </c>
      <c r="H141" s="379">
        <v>0.52941238487401177</v>
      </c>
      <c r="I141" s="379">
        <v>0</v>
      </c>
      <c r="J141" s="379">
        <v>7.6008429802234739E-2</v>
      </c>
      <c r="K141" s="379">
        <v>0</v>
      </c>
      <c r="L141" s="379">
        <v>0</v>
      </c>
      <c r="M141" s="379">
        <v>0</v>
      </c>
      <c r="N141" s="379">
        <v>1</v>
      </c>
      <c r="O141" s="48">
        <v>10</v>
      </c>
    </row>
    <row r="142" spans="1:20" ht="15" customHeight="1" x14ac:dyDescent="0.25">
      <c r="A142" s="7" t="s">
        <v>1772</v>
      </c>
      <c r="B142" s="379">
        <v>0.87617776832154937</v>
      </c>
      <c r="C142" s="379">
        <v>0</v>
      </c>
      <c r="D142" s="379">
        <v>0</v>
      </c>
      <c r="E142" s="379">
        <v>0</v>
      </c>
      <c r="F142" s="379">
        <v>0</v>
      </c>
      <c r="G142" s="379">
        <v>0.12382223167845066</v>
      </c>
      <c r="H142" s="379">
        <v>0</v>
      </c>
      <c r="I142" s="379">
        <v>0</v>
      </c>
      <c r="J142" s="379">
        <v>0</v>
      </c>
      <c r="K142" s="379">
        <v>0</v>
      </c>
      <c r="L142" s="379">
        <v>0</v>
      </c>
      <c r="M142" s="379">
        <v>0</v>
      </c>
      <c r="N142" s="379">
        <v>1</v>
      </c>
      <c r="O142" s="48">
        <v>2</v>
      </c>
    </row>
    <row r="143" spans="1:20" ht="15" customHeight="1" x14ac:dyDescent="0.25">
      <c r="A143" s="7" t="s">
        <v>1773</v>
      </c>
      <c r="B143" s="379">
        <v>0.16533592953331488</v>
      </c>
      <c r="C143" s="379">
        <v>5.1011409098484235E-2</v>
      </c>
      <c r="D143" s="379">
        <v>0</v>
      </c>
      <c r="E143" s="379">
        <v>5.1011409098484235E-2</v>
      </c>
      <c r="F143" s="379">
        <v>0</v>
      </c>
      <c r="G143" s="379">
        <v>3.3379175048108292E-2</v>
      </c>
      <c r="H143" s="379">
        <v>0.64639570779227018</v>
      </c>
      <c r="I143" s="379">
        <v>0</v>
      </c>
      <c r="J143" s="379">
        <v>0</v>
      </c>
      <c r="K143" s="379">
        <v>0</v>
      </c>
      <c r="L143" s="379">
        <v>5.2866369429338207E-2</v>
      </c>
      <c r="M143" s="379">
        <v>0</v>
      </c>
      <c r="N143" s="379">
        <v>1</v>
      </c>
      <c r="O143" s="48">
        <v>16</v>
      </c>
    </row>
    <row r="144" spans="1:20" ht="15" customHeight="1" x14ac:dyDescent="0.25">
      <c r="A144" s="7" t="s">
        <v>1774</v>
      </c>
      <c r="B144" s="379">
        <v>0.15018113992575369</v>
      </c>
      <c r="C144" s="379">
        <v>1.7466733144317594E-2</v>
      </c>
      <c r="D144" s="379">
        <v>1.5034819347405821E-2</v>
      </c>
      <c r="E144" s="379">
        <v>1.7466733144317594E-2</v>
      </c>
      <c r="F144" s="379">
        <v>6.682141932180365E-3</v>
      </c>
      <c r="G144" s="379">
        <v>2.3608157966040731E-2</v>
      </c>
      <c r="H144" s="379">
        <v>0.70975490207320846</v>
      </c>
      <c r="I144" s="379">
        <v>2.5653942419180966E-3</v>
      </c>
      <c r="J144" s="379">
        <v>2.5177640270759302E-2</v>
      </c>
      <c r="K144" s="379">
        <v>5.3201869690294324E-3</v>
      </c>
      <c r="L144" s="379">
        <v>2.3680907209181912E-2</v>
      </c>
      <c r="M144" s="379">
        <v>3.0612437758868586E-3</v>
      </c>
      <c r="N144" s="379">
        <v>1</v>
      </c>
      <c r="O144" s="48">
        <v>96</v>
      </c>
    </row>
    <row r="145" spans="1:31" ht="15" customHeight="1" x14ac:dyDescent="0.25">
      <c r="A145" s="7" t="s">
        <v>1775</v>
      </c>
      <c r="B145" s="379">
        <v>0.52385388857256854</v>
      </c>
      <c r="C145" s="379">
        <v>0</v>
      </c>
      <c r="D145" s="379">
        <v>0</v>
      </c>
      <c r="E145" s="379">
        <v>0</v>
      </c>
      <c r="F145" s="379">
        <v>0</v>
      </c>
      <c r="G145" s="379">
        <v>0</v>
      </c>
      <c r="H145" s="379">
        <v>0.47614611142743141</v>
      </c>
      <c r="I145" s="379">
        <v>0</v>
      </c>
      <c r="J145" s="379">
        <v>0</v>
      </c>
      <c r="K145" s="379">
        <v>0</v>
      </c>
      <c r="L145" s="379">
        <v>0</v>
      </c>
      <c r="M145" s="379">
        <v>0</v>
      </c>
      <c r="N145" s="379">
        <v>1</v>
      </c>
      <c r="O145" s="48">
        <v>9</v>
      </c>
    </row>
    <row r="146" spans="1:31" ht="15" customHeight="1" x14ac:dyDescent="0.25">
      <c r="A146" s="7" t="s">
        <v>1776</v>
      </c>
      <c r="B146" s="379">
        <v>0.17133000739096449</v>
      </c>
      <c r="C146" s="379">
        <v>1.2937951519518978E-2</v>
      </c>
      <c r="D146" s="379">
        <v>8.2370195861040611E-3</v>
      </c>
      <c r="E146" s="379">
        <v>0</v>
      </c>
      <c r="F146" s="379">
        <v>0</v>
      </c>
      <c r="G146" s="379">
        <v>2.3281260593597013E-2</v>
      </c>
      <c r="H146" s="379">
        <v>0.71276733474665721</v>
      </c>
      <c r="I146" s="379">
        <v>2.1832793189188273E-3</v>
      </c>
      <c r="J146" s="379">
        <v>2.7290991486485342E-2</v>
      </c>
      <c r="K146" s="379">
        <v>4.1972155357754282E-2</v>
      </c>
      <c r="L146" s="379">
        <v>0</v>
      </c>
      <c r="M146" s="379">
        <v>0</v>
      </c>
      <c r="N146" s="379">
        <v>1</v>
      </c>
      <c r="O146" s="48">
        <v>24</v>
      </c>
    </row>
    <row r="147" spans="1:31" ht="15" customHeight="1" x14ac:dyDescent="0.25">
      <c r="A147" s="7" t="s">
        <v>1777</v>
      </c>
      <c r="B147" s="379">
        <v>0.23784725074929797</v>
      </c>
      <c r="C147" s="379">
        <v>3.1920283421936714E-3</v>
      </c>
      <c r="D147" s="379">
        <v>4.4708901448300843E-2</v>
      </c>
      <c r="E147" s="379">
        <v>3.1920283421936714E-3</v>
      </c>
      <c r="F147" s="379">
        <v>1.7273893741388959E-2</v>
      </c>
      <c r="G147" s="379">
        <v>0</v>
      </c>
      <c r="H147" s="379">
        <v>0.63924710062367529</v>
      </c>
      <c r="I147" s="379">
        <v>8.0798217411777295E-3</v>
      </c>
      <c r="J147" s="379">
        <v>4.6458975011771951E-2</v>
      </c>
      <c r="K147" s="379">
        <v>0</v>
      </c>
      <c r="L147" s="379">
        <v>0</v>
      </c>
      <c r="M147" s="379">
        <v>0</v>
      </c>
      <c r="N147" s="379">
        <v>1</v>
      </c>
      <c r="O147" s="48">
        <v>40</v>
      </c>
    </row>
    <row r="148" spans="1:31" ht="15" customHeight="1" x14ac:dyDescent="0.25">
      <c r="A148" s="7" t="s">
        <v>1778</v>
      </c>
      <c r="B148" s="379">
        <v>7.7412886168886197E-2</v>
      </c>
      <c r="C148" s="379">
        <v>9.1194772372103494E-3</v>
      </c>
      <c r="D148" s="379">
        <v>0</v>
      </c>
      <c r="E148" s="379">
        <v>9.1194772372103494E-3</v>
      </c>
      <c r="F148" s="379">
        <v>0</v>
      </c>
      <c r="G148" s="379">
        <v>0</v>
      </c>
      <c r="H148" s="379">
        <v>0.53861912432273629</v>
      </c>
      <c r="I148" s="379">
        <v>0</v>
      </c>
      <c r="J148" s="379">
        <v>7.6945589188962327E-2</v>
      </c>
      <c r="K148" s="379">
        <v>0</v>
      </c>
      <c r="L148" s="379">
        <v>0.28878344584499444</v>
      </c>
      <c r="M148" s="379">
        <v>0</v>
      </c>
      <c r="N148" s="379">
        <v>1</v>
      </c>
      <c r="O148" s="48">
        <v>4</v>
      </c>
    </row>
    <row r="149" spans="1:31" ht="15" customHeight="1" x14ac:dyDescent="0.25">
      <c r="A149" s="7" t="s">
        <v>1779</v>
      </c>
      <c r="B149" s="379">
        <v>0.8829800048727714</v>
      </c>
      <c r="C149" s="379">
        <v>0</v>
      </c>
      <c r="D149" s="379">
        <v>0</v>
      </c>
      <c r="E149" s="379">
        <v>0</v>
      </c>
      <c r="F149" s="379">
        <v>0</v>
      </c>
      <c r="G149" s="379">
        <v>0</v>
      </c>
      <c r="H149" s="379">
        <v>0</v>
      </c>
      <c r="I149" s="379">
        <v>0</v>
      </c>
      <c r="J149" s="379">
        <v>0.11701999512722858</v>
      </c>
      <c r="K149" s="379">
        <v>0</v>
      </c>
      <c r="L149" s="379">
        <v>0</v>
      </c>
      <c r="M149" s="379">
        <v>0</v>
      </c>
      <c r="N149" s="379">
        <v>1</v>
      </c>
      <c r="O149" s="48">
        <v>1</v>
      </c>
    </row>
    <row r="150" spans="1:31" ht="15" customHeight="1" x14ac:dyDescent="0.25">
      <c r="A150" s="7" t="s">
        <v>1780</v>
      </c>
      <c r="B150" s="379">
        <v>0.36911882309535032</v>
      </c>
      <c r="C150" s="379">
        <v>3.3130162386169733E-2</v>
      </c>
      <c r="D150" s="379">
        <v>0</v>
      </c>
      <c r="E150" s="379">
        <v>3.3130162386169733E-2</v>
      </c>
      <c r="F150" s="379">
        <v>0</v>
      </c>
      <c r="G150" s="379">
        <v>5.9616233903563139E-2</v>
      </c>
      <c r="H150" s="379">
        <v>0.49617594761162015</v>
      </c>
      <c r="I150" s="379">
        <v>0</v>
      </c>
      <c r="J150" s="379">
        <v>1.7470984070831696E-3</v>
      </c>
      <c r="K150" s="379">
        <v>0</v>
      </c>
      <c r="L150" s="379">
        <v>7.0815722100437805E-3</v>
      </c>
      <c r="M150" s="379">
        <v>0</v>
      </c>
      <c r="N150" s="379">
        <v>1</v>
      </c>
      <c r="O150" s="48">
        <v>17</v>
      </c>
    </row>
    <row r="151" spans="1:31" ht="15" customHeight="1" x14ac:dyDescent="0.25">
      <c r="A151" s="7" t="s">
        <v>1781</v>
      </c>
      <c r="B151" s="379">
        <v>0.16876928695077745</v>
      </c>
      <c r="C151" s="379">
        <v>3.8579413323160755E-2</v>
      </c>
      <c r="D151" s="379">
        <v>0</v>
      </c>
      <c r="E151" s="379">
        <v>3.4666926128055782E-2</v>
      </c>
      <c r="F151" s="379">
        <v>8.303023243373335E-3</v>
      </c>
      <c r="G151" s="379">
        <v>3.2854940327892983E-2</v>
      </c>
      <c r="H151" s="379">
        <v>0.68018759720104649</v>
      </c>
      <c r="I151" s="379">
        <v>3.3011610708698228E-4</v>
      </c>
      <c r="J151" s="379">
        <v>3.6308696718606238E-2</v>
      </c>
      <c r="K151" s="379">
        <v>0</v>
      </c>
      <c r="L151" s="379">
        <v>0</v>
      </c>
      <c r="M151" s="379">
        <v>0</v>
      </c>
      <c r="N151" s="379">
        <v>1</v>
      </c>
      <c r="O151" s="48">
        <v>96</v>
      </c>
    </row>
    <row r="152" spans="1:31" ht="15" customHeight="1" x14ac:dyDescent="0.25">
      <c r="A152" s="7" t="s">
        <v>1782</v>
      </c>
      <c r="B152" s="379">
        <v>0.32630718064409636</v>
      </c>
      <c r="C152" s="379">
        <v>0</v>
      </c>
      <c r="D152" s="379">
        <v>8.8191129903809826E-3</v>
      </c>
      <c r="E152" s="379">
        <v>0</v>
      </c>
      <c r="F152" s="379">
        <v>0</v>
      </c>
      <c r="G152" s="379">
        <v>6.231624970268778E-2</v>
      </c>
      <c r="H152" s="379">
        <v>0.55823891363815625</v>
      </c>
      <c r="I152" s="379">
        <v>4.6751344468307115E-4</v>
      </c>
      <c r="J152" s="379">
        <v>1.7531754175615168E-2</v>
      </c>
      <c r="K152" s="379">
        <v>0</v>
      </c>
      <c r="L152" s="379">
        <v>2.6319275404380303E-2</v>
      </c>
      <c r="M152" s="379">
        <v>0</v>
      </c>
      <c r="N152" s="379">
        <v>1</v>
      </c>
      <c r="O152" s="48">
        <v>18</v>
      </c>
    </row>
    <row r="153" spans="1:31" ht="15" customHeight="1" x14ac:dyDescent="0.25">
      <c r="A153" s="7" t="s">
        <v>1783</v>
      </c>
      <c r="B153" s="379">
        <v>0.21168867573674996</v>
      </c>
      <c r="C153" s="379">
        <v>0</v>
      </c>
      <c r="D153" s="379">
        <v>0</v>
      </c>
      <c r="E153" s="379">
        <v>0</v>
      </c>
      <c r="F153" s="379">
        <v>1.0080413130321425E-2</v>
      </c>
      <c r="G153" s="379">
        <v>2.1368595994421851E-2</v>
      </c>
      <c r="H153" s="379">
        <v>0.70425960683856059</v>
      </c>
      <c r="I153" s="379">
        <v>1.0019563485704023E-2</v>
      </c>
      <c r="J153" s="379">
        <v>4.2583144814242101E-2</v>
      </c>
      <c r="K153" s="379">
        <v>0</v>
      </c>
      <c r="L153" s="379">
        <v>0</v>
      </c>
      <c r="M153" s="379">
        <v>0</v>
      </c>
      <c r="N153" s="379">
        <v>1</v>
      </c>
      <c r="O153" s="48">
        <v>36</v>
      </c>
    </row>
    <row r="154" spans="1:31" ht="15" customHeight="1" x14ac:dyDescent="0.25">
      <c r="A154" s="7" t="s">
        <v>1784</v>
      </c>
      <c r="B154" s="379">
        <v>1</v>
      </c>
      <c r="C154" s="379">
        <v>0</v>
      </c>
      <c r="D154" s="379">
        <v>0</v>
      </c>
      <c r="E154" s="379">
        <v>0</v>
      </c>
      <c r="F154" s="379">
        <v>0</v>
      </c>
      <c r="G154" s="379">
        <v>0</v>
      </c>
      <c r="H154" s="379">
        <v>0</v>
      </c>
      <c r="I154" s="379">
        <v>0</v>
      </c>
      <c r="J154" s="379">
        <v>0</v>
      </c>
      <c r="K154" s="379">
        <v>0</v>
      </c>
      <c r="L154" s="379">
        <v>0</v>
      </c>
      <c r="M154" s="379">
        <v>0</v>
      </c>
      <c r="N154" s="379">
        <v>1</v>
      </c>
      <c r="O154" s="48">
        <v>1</v>
      </c>
    </row>
    <row r="155" spans="1:31" ht="15" customHeight="1" x14ac:dyDescent="0.25">
      <c r="A155" s="7" t="s">
        <v>1785</v>
      </c>
      <c r="B155" s="379">
        <v>0.17708986290798667</v>
      </c>
      <c r="C155" s="379">
        <v>6.644848337092342E-3</v>
      </c>
      <c r="D155" s="379">
        <v>1.7118686747772047E-2</v>
      </c>
      <c r="E155" s="379">
        <v>6.644848337092342E-3</v>
      </c>
      <c r="F155" s="379">
        <v>1.033024200296589E-2</v>
      </c>
      <c r="G155" s="379">
        <v>1.3903610549326675E-2</v>
      </c>
      <c r="H155" s="379">
        <v>0.72566215735056594</v>
      </c>
      <c r="I155" s="379">
        <v>6.6496774419884841E-4</v>
      </c>
      <c r="J155" s="379">
        <v>1.5515914031306465E-2</v>
      </c>
      <c r="K155" s="379">
        <v>0</v>
      </c>
      <c r="L155" s="379">
        <v>2.6424861991692802E-2</v>
      </c>
      <c r="M155" s="379">
        <v>0</v>
      </c>
      <c r="N155" s="379">
        <v>1</v>
      </c>
      <c r="O155" s="48">
        <v>85</v>
      </c>
      <c r="Q155" s="144" t="s">
        <v>1785</v>
      </c>
      <c r="R155" s="369">
        <v>0.17708986290798667</v>
      </c>
      <c r="S155" s="369">
        <v>6.644848337092342E-3</v>
      </c>
      <c r="T155" s="369">
        <v>1.7118686747772047E-2</v>
      </c>
      <c r="U155" s="369">
        <v>6.644848337092342E-3</v>
      </c>
      <c r="V155" s="369">
        <v>1.033024200296589E-2</v>
      </c>
      <c r="W155" s="369">
        <v>1.3903610549326675E-2</v>
      </c>
      <c r="X155" s="369">
        <v>0.72566215735056594</v>
      </c>
      <c r="Y155" s="369">
        <v>6.6496774419884841E-4</v>
      </c>
      <c r="Z155" s="369">
        <v>1.5515914031306465E-2</v>
      </c>
      <c r="AA155" s="369">
        <v>0</v>
      </c>
      <c r="AB155" s="369">
        <v>2.6424861991692802E-2</v>
      </c>
      <c r="AC155" s="369">
        <v>0</v>
      </c>
      <c r="AD155" s="369">
        <v>1</v>
      </c>
      <c r="AE155" s="48">
        <v>85</v>
      </c>
    </row>
    <row r="156" spans="1:31" ht="15" customHeight="1" x14ac:dyDescent="0.25">
      <c r="A156" s="7" t="s">
        <v>1786</v>
      </c>
      <c r="B156" s="379">
        <v>0.2504098909944571</v>
      </c>
      <c r="C156" s="379">
        <v>8.6300485020960795E-3</v>
      </c>
      <c r="D156" s="379">
        <v>3.5070439827807704E-3</v>
      </c>
      <c r="E156" s="379">
        <v>5.8757777035547774E-3</v>
      </c>
      <c r="F156" s="379">
        <v>3.5070439827807704E-3</v>
      </c>
      <c r="G156" s="379">
        <v>3.3041241039039243E-2</v>
      </c>
      <c r="H156" s="379">
        <v>0.62816216878929465</v>
      </c>
      <c r="I156" s="379">
        <v>9.3443912157567307E-3</v>
      </c>
      <c r="J156" s="379">
        <v>2.7768405437803689E-2</v>
      </c>
      <c r="K156" s="379">
        <v>6.2049730249079107E-3</v>
      </c>
      <c r="L156" s="379">
        <v>2.3549015327528129E-2</v>
      </c>
      <c r="M156" s="379">
        <v>0</v>
      </c>
      <c r="N156" s="379">
        <v>1</v>
      </c>
      <c r="O156" s="48">
        <v>123</v>
      </c>
      <c r="Q156" s="144" t="s">
        <v>1786</v>
      </c>
      <c r="R156" s="369">
        <v>0.2504098909944571</v>
      </c>
      <c r="S156" s="369">
        <v>8.6300485020960795E-3</v>
      </c>
      <c r="T156" s="369">
        <v>3.5070439827807704E-3</v>
      </c>
      <c r="U156" s="369">
        <v>5.8757777035547774E-3</v>
      </c>
      <c r="V156" s="369">
        <v>3.5070439827807704E-3</v>
      </c>
      <c r="W156" s="369">
        <v>3.3041241039039243E-2</v>
      </c>
      <c r="X156" s="369">
        <v>0.62816216878929465</v>
      </c>
      <c r="Y156" s="369">
        <v>9.3443912157567307E-3</v>
      </c>
      <c r="Z156" s="369">
        <v>2.7768405437803689E-2</v>
      </c>
      <c r="AA156" s="369">
        <v>6.2049730249079107E-3</v>
      </c>
      <c r="AB156" s="369">
        <v>2.3549015327528129E-2</v>
      </c>
      <c r="AC156" s="369">
        <v>0</v>
      </c>
      <c r="AD156" s="369">
        <v>1</v>
      </c>
      <c r="AE156" s="48">
        <v>123</v>
      </c>
    </row>
    <row r="157" spans="1:31" ht="15" customHeight="1" x14ac:dyDescent="0.25">
      <c r="A157" s="7" t="s">
        <v>1787</v>
      </c>
      <c r="B157" s="379">
        <v>0.20791070514768598</v>
      </c>
      <c r="C157" s="379">
        <v>1.4679427128438716E-2</v>
      </c>
      <c r="D157" s="379">
        <v>3.9602039075749711E-2</v>
      </c>
      <c r="E157" s="379">
        <v>1.4679427128438716E-2</v>
      </c>
      <c r="F157" s="379">
        <v>0</v>
      </c>
      <c r="G157" s="379">
        <v>6.9957448058316791E-3</v>
      </c>
      <c r="H157" s="379">
        <v>0.71613265671385518</v>
      </c>
      <c r="I157" s="379">
        <v>0</v>
      </c>
      <c r="J157" s="379">
        <v>0</v>
      </c>
      <c r="K157" s="379">
        <v>0</v>
      </c>
      <c r="L157" s="379">
        <v>0</v>
      </c>
      <c r="M157" s="379">
        <v>0</v>
      </c>
      <c r="N157" s="379">
        <v>1</v>
      </c>
      <c r="O157" s="48">
        <v>32</v>
      </c>
      <c r="Q157" s="144" t="s">
        <v>1792</v>
      </c>
      <c r="R157" s="369">
        <v>0.23067738100889371</v>
      </c>
      <c r="S157" s="369">
        <v>2.0615635462056123E-2</v>
      </c>
      <c r="T157" s="369">
        <v>7.1115864250721177E-3</v>
      </c>
      <c r="U157" s="369">
        <v>3.9834992825088525E-2</v>
      </c>
      <c r="V157" s="369">
        <v>7.0592953484171755E-3</v>
      </c>
      <c r="W157" s="369">
        <v>3.5471145928866785E-2</v>
      </c>
      <c r="X157" s="369">
        <v>0.62998874494553114</v>
      </c>
      <c r="Y157" s="369">
        <v>9.1684650689754336E-3</v>
      </c>
      <c r="Z157" s="369">
        <v>1.1226691921194408E-2</v>
      </c>
      <c r="AA157" s="369">
        <v>6.6612965109615124E-3</v>
      </c>
      <c r="AB157" s="369">
        <v>2.1847645549429996E-3</v>
      </c>
      <c r="AC157" s="369">
        <v>0</v>
      </c>
      <c r="AD157" s="369">
        <v>1</v>
      </c>
      <c r="AE157" s="48">
        <v>134</v>
      </c>
    </row>
    <row r="158" spans="1:31" ht="15" customHeight="1" x14ac:dyDescent="0.25">
      <c r="A158" s="7" t="s">
        <v>1788</v>
      </c>
      <c r="B158" s="379">
        <v>0.34697616059649755</v>
      </c>
      <c r="C158" s="379">
        <v>4.1002998427099716E-2</v>
      </c>
      <c r="D158" s="379">
        <v>0</v>
      </c>
      <c r="E158" s="379">
        <v>4.1002998427099716E-2</v>
      </c>
      <c r="F158" s="379">
        <v>0</v>
      </c>
      <c r="G158" s="379">
        <v>4.6114404686668678E-2</v>
      </c>
      <c r="H158" s="379">
        <v>0.52490343786263427</v>
      </c>
      <c r="I158" s="379">
        <v>0</v>
      </c>
      <c r="J158" s="379">
        <v>0</v>
      </c>
      <c r="K158" s="379">
        <v>0</v>
      </c>
      <c r="L158" s="379">
        <v>0</v>
      </c>
      <c r="M158" s="379">
        <v>0</v>
      </c>
      <c r="N158" s="379">
        <v>1</v>
      </c>
      <c r="O158" s="48">
        <v>19</v>
      </c>
      <c r="Q158" s="144" t="s">
        <v>1793</v>
      </c>
      <c r="R158" s="369">
        <v>0.2070064556284977</v>
      </c>
      <c r="S158" s="369">
        <v>1.9149263002544523E-2</v>
      </c>
      <c r="T158" s="369">
        <v>0</v>
      </c>
      <c r="U158" s="369">
        <v>1.9149263002544523E-2</v>
      </c>
      <c r="V158" s="369">
        <v>0</v>
      </c>
      <c r="W158" s="369">
        <v>1.8752781299800472E-2</v>
      </c>
      <c r="X158" s="369">
        <v>0.71285384830642307</v>
      </c>
      <c r="Y158" s="369">
        <v>2.4180829556784537E-3</v>
      </c>
      <c r="Z158" s="369">
        <v>8.5182467756854622E-3</v>
      </c>
      <c r="AA158" s="369">
        <v>0</v>
      </c>
      <c r="AB158" s="369">
        <v>8.6627618344844275E-3</v>
      </c>
      <c r="AC158" s="369">
        <v>3.4892971943412026E-3</v>
      </c>
      <c r="AD158" s="369">
        <v>1</v>
      </c>
      <c r="AE158" s="48">
        <v>81</v>
      </c>
    </row>
    <row r="159" spans="1:31" ht="15" customHeight="1" x14ac:dyDescent="0.25">
      <c r="A159" s="7" t="s">
        <v>1789</v>
      </c>
      <c r="B159" s="379">
        <v>5.9142738916452574E-2</v>
      </c>
      <c r="C159" s="379">
        <v>0</v>
      </c>
      <c r="D159" s="379">
        <v>0</v>
      </c>
      <c r="E159" s="379">
        <v>0</v>
      </c>
      <c r="F159" s="379">
        <v>4.7314191133162056E-2</v>
      </c>
      <c r="G159" s="379">
        <v>0</v>
      </c>
      <c r="H159" s="379">
        <v>0.89354306995038535</v>
      </c>
      <c r="I159" s="379">
        <v>0</v>
      </c>
      <c r="J159" s="379">
        <v>0</v>
      </c>
      <c r="K159" s="379">
        <v>0</v>
      </c>
      <c r="L159" s="379">
        <v>0</v>
      </c>
      <c r="M159" s="379">
        <v>0</v>
      </c>
      <c r="N159" s="379">
        <v>1</v>
      </c>
      <c r="O159" s="48">
        <v>10</v>
      </c>
    </row>
    <row r="160" spans="1:31" ht="15" customHeight="1" x14ac:dyDescent="0.25">
      <c r="A160" s="7" t="s">
        <v>1790</v>
      </c>
      <c r="B160" s="379">
        <v>0.23184578414126572</v>
      </c>
      <c r="C160" s="379">
        <v>0</v>
      </c>
      <c r="D160" s="379">
        <v>0</v>
      </c>
      <c r="E160" s="379">
        <v>0</v>
      </c>
      <c r="F160" s="379">
        <v>0</v>
      </c>
      <c r="G160" s="379">
        <v>0</v>
      </c>
      <c r="H160" s="379">
        <v>0.76815421585873422</v>
      </c>
      <c r="I160" s="379">
        <v>0</v>
      </c>
      <c r="J160" s="379">
        <v>0</v>
      </c>
      <c r="K160" s="379">
        <v>0</v>
      </c>
      <c r="L160" s="379">
        <v>0</v>
      </c>
      <c r="M160" s="379">
        <v>0</v>
      </c>
      <c r="N160" s="379">
        <v>1</v>
      </c>
      <c r="O160" s="48">
        <v>1</v>
      </c>
    </row>
    <row r="161" spans="1:15" ht="15" customHeight="1" x14ac:dyDescent="0.25">
      <c r="A161" s="7" t="s">
        <v>1791</v>
      </c>
      <c r="B161" s="379">
        <v>0</v>
      </c>
      <c r="C161" s="379">
        <v>0</v>
      </c>
      <c r="D161" s="379">
        <v>0</v>
      </c>
      <c r="E161" s="379">
        <v>0</v>
      </c>
      <c r="F161" s="379">
        <v>0</v>
      </c>
      <c r="G161" s="379">
        <v>0</v>
      </c>
      <c r="H161" s="379">
        <v>1</v>
      </c>
      <c r="I161" s="379">
        <v>0</v>
      </c>
      <c r="J161" s="379">
        <v>0</v>
      </c>
      <c r="K161" s="379">
        <v>0</v>
      </c>
      <c r="L161" s="379">
        <v>0</v>
      </c>
      <c r="M161" s="379">
        <v>0</v>
      </c>
      <c r="N161" s="379">
        <v>1</v>
      </c>
      <c r="O161" s="48">
        <v>2</v>
      </c>
    </row>
    <row r="162" spans="1:15" ht="15" customHeight="1" x14ac:dyDescent="0.25">
      <c r="A162" s="7" t="s">
        <v>1792</v>
      </c>
      <c r="B162" s="379">
        <v>0.23067738100889371</v>
      </c>
      <c r="C162" s="379">
        <v>2.0615635462056123E-2</v>
      </c>
      <c r="D162" s="379">
        <v>7.1115864250721177E-3</v>
      </c>
      <c r="E162" s="379">
        <v>3.9834992825088525E-2</v>
      </c>
      <c r="F162" s="379">
        <v>7.0592953484171755E-3</v>
      </c>
      <c r="G162" s="379">
        <v>3.5471145928866785E-2</v>
      </c>
      <c r="H162" s="379">
        <v>0.62998874494553114</v>
      </c>
      <c r="I162" s="379">
        <v>9.1684650689754336E-3</v>
      </c>
      <c r="J162" s="379">
        <v>1.1226691921194408E-2</v>
      </c>
      <c r="K162" s="379">
        <v>6.6612965109615124E-3</v>
      </c>
      <c r="L162" s="379">
        <v>2.1847645549429996E-3</v>
      </c>
      <c r="M162" s="379">
        <v>0</v>
      </c>
      <c r="N162" s="379">
        <v>1</v>
      </c>
      <c r="O162" s="48">
        <v>134</v>
      </c>
    </row>
    <row r="163" spans="1:15" ht="15" customHeight="1" x14ac:dyDescent="0.25">
      <c r="A163" s="7" t="s">
        <v>1793</v>
      </c>
      <c r="B163" s="379">
        <v>0.2070064556284977</v>
      </c>
      <c r="C163" s="379">
        <v>1.9149263002544523E-2</v>
      </c>
      <c r="D163" s="379">
        <v>0</v>
      </c>
      <c r="E163" s="379">
        <v>1.9149263002544523E-2</v>
      </c>
      <c r="F163" s="379">
        <v>0</v>
      </c>
      <c r="G163" s="379">
        <v>1.8752781299800472E-2</v>
      </c>
      <c r="H163" s="379">
        <v>0.71285384830642307</v>
      </c>
      <c r="I163" s="379">
        <v>2.4180829556784537E-3</v>
      </c>
      <c r="J163" s="379">
        <v>8.5182467756854622E-3</v>
      </c>
      <c r="K163" s="379">
        <v>0</v>
      </c>
      <c r="L163" s="379">
        <v>8.6627618344844275E-3</v>
      </c>
      <c r="M163" s="379">
        <v>3.4892971943412026E-3</v>
      </c>
      <c r="N163" s="379">
        <v>1</v>
      </c>
      <c r="O163" s="48">
        <v>81</v>
      </c>
    </row>
    <row r="164" spans="1:15" ht="15" customHeight="1" x14ac:dyDescent="0.25">
      <c r="A164" s="7" t="s">
        <v>1794</v>
      </c>
      <c r="B164" s="379">
        <v>0.39023928063679458</v>
      </c>
      <c r="C164" s="379">
        <v>0</v>
      </c>
      <c r="D164" s="379">
        <v>0</v>
      </c>
      <c r="E164" s="379">
        <v>0</v>
      </c>
      <c r="F164" s="379">
        <v>3.2519940053066215E-2</v>
      </c>
      <c r="G164" s="379">
        <v>0</v>
      </c>
      <c r="H164" s="379">
        <v>0.12929454366622625</v>
      </c>
      <c r="I164" s="379">
        <v>0</v>
      </c>
      <c r="J164" s="379">
        <v>0.447946235643913</v>
      </c>
      <c r="K164" s="379">
        <v>0</v>
      </c>
      <c r="L164" s="379">
        <v>0</v>
      </c>
      <c r="M164" s="379">
        <v>0</v>
      </c>
      <c r="N164" s="379">
        <v>1</v>
      </c>
      <c r="O164" s="48">
        <v>5</v>
      </c>
    </row>
    <row r="165" spans="1:15" ht="15" customHeight="1" x14ac:dyDescent="0.25">
      <c r="A165" s="7" t="s">
        <v>1795</v>
      </c>
      <c r="B165" s="379">
        <v>0.35949234527530849</v>
      </c>
      <c r="C165" s="379">
        <v>0</v>
      </c>
      <c r="D165" s="379">
        <v>0</v>
      </c>
      <c r="E165" s="379">
        <v>0</v>
      </c>
      <c r="F165" s="379">
        <v>0</v>
      </c>
      <c r="G165" s="379">
        <v>8.4672970243965584E-2</v>
      </c>
      <c r="H165" s="379">
        <v>0.55583468448072582</v>
      </c>
      <c r="I165" s="379">
        <v>0</v>
      </c>
      <c r="J165" s="379">
        <v>0</v>
      </c>
      <c r="K165" s="379">
        <v>0</v>
      </c>
      <c r="L165" s="379">
        <v>0</v>
      </c>
      <c r="M165" s="379">
        <v>0</v>
      </c>
      <c r="N165" s="379">
        <v>1</v>
      </c>
      <c r="O165" s="48">
        <v>2</v>
      </c>
    </row>
    <row r="166" spans="1:15" ht="15" customHeight="1" x14ac:dyDescent="0.25">
      <c r="A166" s="7" t="s">
        <v>1796</v>
      </c>
      <c r="B166" s="379">
        <v>0.20617246929402896</v>
      </c>
      <c r="C166" s="379">
        <v>4.047959010692527E-2</v>
      </c>
      <c r="D166" s="379">
        <v>0</v>
      </c>
      <c r="E166" s="379">
        <v>4.047959010692527E-2</v>
      </c>
      <c r="F166" s="379">
        <v>0</v>
      </c>
      <c r="G166" s="379">
        <v>0.10197767694610282</v>
      </c>
      <c r="H166" s="379">
        <v>0.60952448737990894</v>
      </c>
      <c r="I166" s="379">
        <v>1.366186166108728E-3</v>
      </c>
      <c r="J166" s="379">
        <v>0</v>
      </c>
      <c r="K166" s="379">
        <v>0</v>
      </c>
      <c r="L166" s="379">
        <v>0</v>
      </c>
      <c r="M166" s="379">
        <v>0</v>
      </c>
      <c r="N166" s="379">
        <v>1</v>
      </c>
      <c r="O166" s="48">
        <v>16</v>
      </c>
    </row>
    <row r="167" spans="1:15" ht="15" customHeight="1" x14ac:dyDescent="0.25">
      <c r="A167" s="7" t="s">
        <v>1797</v>
      </c>
      <c r="B167" s="379">
        <v>0.17229030000580453</v>
      </c>
      <c r="C167" s="379">
        <v>0</v>
      </c>
      <c r="D167" s="379">
        <v>0</v>
      </c>
      <c r="E167" s="379">
        <v>0</v>
      </c>
      <c r="F167" s="379">
        <v>0</v>
      </c>
      <c r="G167" s="379">
        <v>0</v>
      </c>
      <c r="H167" s="379">
        <v>0.68500113102967897</v>
      </c>
      <c r="I167" s="379">
        <v>0</v>
      </c>
      <c r="J167" s="379">
        <v>0.14270856896451645</v>
      </c>
      <c r="K167" s="379">
        <v>0</v>
      </c>
      <c r="L167" s="379">
        <v>0</v>
      </c>
      <c r="M167" s="379">
        <v>0</v>
      </c>
      <c r="N167" s="379">
        <v>1</v>
      </c>
      <c r="O167" s="48">
        <v>2</v>
      </c>
    </row>
    <row r="168" spans="1:15" ht="15" customHeight="1" x14ac:dyDescent="0.25">
      <c r="A168" s="7" t="s">
        <v>1798</v>
      </c>
      <c r="B168" s="379">
        <v>0.93785383019235224</v>
      </c>
      <c r="C168" s="379">
        <v>0</v>
      </c>
      <c r="D168" s="379">
        <v>0</v>
      </c>
      <c r="E168" s="379">
        <v>0</v>
      </c>
      <c r="F168" s="379">
        <v>0</v>
      </c>
      <c r="G168" s="379">
        <v>0</v>
      </c>
      <c r="H168" s="379">
        <v>0</v>
      </c>
      <c r="I168" s="379">
        <v>0</v>
      </c>
      <c r="J168" s="379">
        <v>6.2146169807647707E-2</v>
      </c>
      <c r="K168" s="379">
        <v>0</v>
      </c>
      <c r="L168" s="379">
        <v>0</v>
      </c>
      <c r="M168" s="379">
        <v>0</v>
      </c>
      <c r="N168" s="379">
        <v>1</v>
      </c>
      <c r="O168" s="48">
        <v>1</v>
      </c>
    </row>
    <row r="169" spans="1:15" ht="15" customHeight="1" x14ac:dyDescent="0.25">
      <c r="A169" s="7" t="s">
        <v>1799</v>
      </c>
      <c r="B169" s="379">
        <v>0.55705004002565073</v>
      </c>
      <c r="C169" s="379">
        <v>0</v>
      </c>
      <c r="D169" s="379">
        <v>0</v>
      </c>
      <c r="E169" s="379">
        <v>0</v>
      </c>
      <c r="F169" s="379">
        <v>0</v>
      </c>
      <c r="G169" s="379">
        <v>0</v>
      </c>
      <c r="H169" s="379">
        <v>0</v>
      </c>
      <c r="I169" s="379">
        <v>0</v>
      </c>
      <c r="J169" s="379">
        <v>0.44294995997434922</v>
      </c>
      <c r="K169" s="379">
        <v>0</v>
      </c>
      <c r="L169" s="379">
        <v>0</v>
      </c>
      <c r="M169" s="379">
        <v>0</v>
      </c>
      <c r="N169" s="379">
        <v>1</v>
      </c>
      <c r="O169" s="48">
        <v>1</v>
      </c>
    </row>
    <row r="170" spans="1:15" ht="15" customHeight="1" x14ac:dyDescent="0.25">
      <c r="A170" s="7" t="s">
        <v>1800</v>
      </c>
      <c r="B170" s="379">
        <v>0.55705004002565073</v>
      </c>
      <c r="C170" s="379">
        <v>0</v>
      </c>
      <c r="D170" s="379">
        <v>0</v>
      </c>
      <c r="E170" s="379">
        <v>0</v>
      </c>
      <c r="F170" s="379">
        <v>0</v>
      </c>
      <c r="G170" s="379">
        <v>0</v>
      </c>
      <c r="H170" s="379">
        <v>0.44294995997434922</v>
      </c>
      <c r="I170" s="379">
        <v>0</v>
      </c>
      <c r="J170" s="379">
        <v>0</v>
      </c>
      <c r="K170" s="379">
        <v>0</v>
      </c>
      <c r="L170" s="379">
        <v>0</v>
      </c>
      <c r="M170" s="379">
        <v>0</v>
      </c>
      <c r="N170" s="379">
        <v>1</v>
      </c>
      <c r="O170" s="48">
        <v>1</v>
      </c>
    </row>
    <row r="171" spans="1:15" ht="15" customHeight="1" x14ac:dyDescent="0.25">
      <c r="A171" s="7" t="s">
        <v>1801</v>
      </c>
      <c r="B171" s="379">
        <v>0</v>
      </c>
      <c r="C171" s="379">
        <v>0</v>
      </c>
      <c r="D171" s="379">
        <v>0</v>
      </c>
      <c r="E171" s="379">
        <v>0</v>
      </c>
      <c r="F171" s="379">
        <v>0</v>
      </c>
      <c r="G171" s="379">
        <v>0</v>
      </c>
      <c r="H171" s="379">
        <v>0.9503105590062112</v>
      </c>
      <c r="I171" s="379">
        <v>4.9689440993788823E-2</v>
      </c>
      <c r="J171" s="379">
        <v>0</v>
      </c>
      <c r="K171" s="379">
        <v>0</v>
      </c>
      <c r="L171" s="379">
        <v>0</v>
      </c>
      <c r="M171" s="379">
        <v>0</v>
      </c>
      <c r="N171" s="379">
        <v>1</v>
      </c>
      <c r="O171" s="48">
        <v>2</v>
      </c>
    </row>
    <row r="172" spans="1:15" ht="15" customHeight="1" x14ac:dyDescent="0.25">
      <c r="A172" s="7" t="s">
        <v>1802</v>
      </c>
      <c r="B172" s="379">
        <v>0.82763709684965148</v>
      </c>
      <c r="C172" s="379">
        <v>0</v>
      </c>
      <c r="D172" s="379">
        <v>0</v>
      </c>
      <c r="E172" s="379">
        <v>0</v>
      </c>
      <c r="F172" s="379">
        <v>0</v>
      </c>
      <c r="G172" s="379">
        <v>0</v>
      </c>
      <c r="H172" s="379">
        <v>0.17236290315034847</v>
      </c>
      <c r="I172" s="379">
        <v>0</v>
      </c>
      <c r="J172" s="379">
        <v>0</v>
      </c>
      <c r="K172" s="379">
        <v>0</v>
      </c>
      <c r="L172" s="379">
        <v>0</v>
      </c>
      <c r="M172" s="379">
        <v>0</v>
      </c>
      <c r="N172" s="379">
        <v>1</v>
      </c>
      <c r="O172" s="48">
        <v>1</v>
      </c>
    </row>
    <row r="173" spans="1:15" ht="15" customHeight="1" x14ac:dyDescent="0.25">
      <c r="A173" s="7" t="s">
        <v>1803</v>
      </c>
      <c r="B173" s="379">
        <v>0.31068678000403321</v>
      </c>
      <c r="C173" s="379">
        <v>0</v>
      </c>
      <c r="D173" s="379">
        <v>0</v>
      </c>
      <c r="E173" s="379">
        <v>0</v>
      </c>
      <c r="F173" s="379">
        <v>0</v>
      </c>
      <c r="G173" s="379">
        <v>0</v>
      </c>
      <c r="H173" s="379">
        <v>0.68931321999596673</v>
      </c>
      <c r="I173" s="379">
        <v>0</v>
      </c>
      <c r="J173" s="379">
        <v>0</v>
      </c>
      <c r="K173" s="379">
        <v>0</v>
      </c>
      <c r="L173" s="379">
        <v>0</v>
      </c>
      <c r="M173" s="379">
        <v>0</v>
      </c>
      <c r="N173" s="379">
        <v>1</v>
      </c>
      <c r="O173" s="48">
        <v>8</v>
      </c>
    </row>
    <row r="174" spans="1:15" ht="15" customHeight="1" x14ac:dyDescent="0.25">
      <c r="A174" s="7" t="s">
        <v>1804</v>
      </c>
      <c r="B174" s="379">
        <v>0</v>
      </c>
      <c r="C174" s="379">
        <v>0</v>
      </c>
      <c r="D174" s="379">
        <v>0</v>
      </c>
      <c r="E174" s="379">
        <v>0</v>
      </c>
      <c r="F174" s="379">
        <v>0</v>
      </c>
      <c r="G174" s="379">
        <v>3.5797079458237083E-2</v>
      </c>
      <c r="H174" s="379">
        <v>0.18463460180586949</v>
      </c>
      <c r="I174" s="379">
        <v>0</v>
      </c>
      <c r="J174" s="379">
        <v>0</v>
      </c>
      <c r="K174" s="379">
        <v>0</v>
      </c>
      <c r="L174" s="379">
        <v>0.7795683187358935</v>
      </c>
      <c r="M174" s="379">
        <v>0</v>
      </c>
      <c r="N174" s="379">
        <v>1</v>
      </c>
      <c r="O174" s="48">
        <v>4</v>
      </c>
    </row>
    <row r="175" spans="1:15" ht="15" customHeight="1" x14ac:dyDescent="0.25">
      <c r="A175" s="7" t="s">
        <v>1805</v>
      </c>
      <c r="B175" s="379">
        <v>0</v>
      </c>
      <c r="C175" s="379">
        <v>0</v>
      </c>
      <c r="D175" s="379">
        <v>0</v>
      </c>
      <c r="E175" s="379">
        <v>0</v>
      </c>
      <c r="F175" s="379">
        <v>0</v>
      </c>
      <c r="G175" s="379">
        <v>0</v>
      </c>
      <c r="H175" s="379">
        <v>1</v>
      </c>
      <c r="I175" s="379">
        <v>0</v>
      </c>
      <c r="J175" s="379">
        <v>0</v>
      </c>
      <c r="K175" s="379">
        <v>0</v>
      </c>
      <c r="L175" s="379">
        <v>0</v>
      </c>
      <c r="M175" s="379">
        <v>0</v>
      </c>
      <c r="N175" s="379">
        <v>1</v>
      </c>
      <c r="O175" s="48">
        <v>2</v>
      </c>
    </row>
    <row r="176" spans="1:15" ht="15" customHeight="1" x14ac:dyDescent="0.25">
      <c r="A176" s="7" t="s">
        <v>1806</v>
      </c>
      <c r="B176" s="379">
        <v>0.30363977296634198</v>
      </c>
      <c r="C176" s="379">
        <v>0</v>
      </c>
      <c r="D176" s="379">
        <v>0</v>
      </c>
      <c r="E176" s="379">
        <v>0</v>
      </c>
      <c r="F176" s="379">
        <v>0</v>
      </c>
      <c r="G176" s="379">
        <v>0</v>
      </c>
      <c r="H176" s="379">
        <v>0.69636022703365807</v>
      </c>
      <c r="I176" s="379">
        <v>0</v>
      </c>
      <c r="J176" s="379">
        <v>0</v>
      </c>
      <c r="K176" s="379">
        <v>0</v>
      </c>
      <c r="L176" s="379">
        <v>0</v>
      </c>
      <c r="M176" s="379">
        <v>0</v>
      </c>
      <c r="N176" s="379">
        <v>1</v>
      </c>
      <c r="O176" s="48">
        <v>1</v>
      </c>
    </row>
    <row r="177" spans="1:15" ht="15" customHeight="1" x14ac:dyDescent="0.25">
      <c r="A177" s="7" t="s">
        <v>1807</v>
      </c>
      <c r="B177" s="379">
        <v>0.53982522854335713</v>
      </c>
      <c r="C177" s="379">
        <v>0</v>
      </c>
      <c r="D177" s="379">
        <v>0</v>
      </c>
      <c r="E177" s="379">
        <v>0</v>
      </c>
      <c r="F177" s="379">
        <v>0</v>
      </c>
      <c r="G177" s="379">
        <v>0</v>
      </c>
      <c r="H177" s="379">
        <v>0.37501967697281346</v>
      </c>
      <c r="I177" s="379">
        <v>8.6543002378341571E-3</v>
      </c>
      <c r="J177" s="379">
        <v>7.6500794245995152E-2</v>
      </c>
      <c r="K177" s="379">
        <v>0</v>
      </c>
      <c r="L177" s="379">
        <v>0</v>
      </c>
      <c r="M177" s="379">
        <v>0</v>
      </c>
      <c r="N177" s="379">
        <v>1</v>
      </c>
      <c r="O177" s="48">
        <v>6</v>
      </c>
    </row>
    <row r="178" spans="1:15" ht="15" customHeight="1" x14ac:dyDescent="0.25">
      <c r="A178" s="7" t="s">
        <v>1808</v>
      </c>
      <c r="B178" s="379">
        <v>0.36983102532354933</v>
      </c>
      <c r="C178" s="379">
        <v>0</v>
      </c>
      <c r="D178" s="379">
        <v>0</v>
      </c>
      <c r="E178" s="379">
        <v>0</v>
      </c>
      <c r="F178" s="379">
        <v>0</v>
      </c>
      <c r="G178" s="379">
        <v>0</v>
      </c>
      <c r="H178" s="379">
        <v>0.35009387482025034</v>
      </c>
      <c r="I178" s="379">
        <v>0</v>
      </c>
      <c r="J178" s="379">
        <v>0.28007509985620027</v>
      </c>
      <c r="K178" s="379">
        <v>0</v>
      </c>
      <c r="L178" s="379">
        <v>0</v>
      </c>
      <c r="M178" s="379">
        <v>0</v>
      </c>
      <c r="N178" s="379">
        <v>1</v>
      </c>
      <c r="O178" s="48">
        <v>3</v>
      </c>
    </row>
    <row r="179" spans="1:15" ht="15" customHeight="1" x14ac:dyDescent="0.25">
      <c r="A179" s="7" t="s">
        <v>1809</v>
      </c>
      <c r="B179" s="379">
        <v>0.25553844051529112</v>
      </c>
      <c r="C179" s="379">
        <v>0</v>
      </c>
      <c r="D179" s="379">
        <v>0</v>
      </c>
      <c r="E179" s="379">
        <v>0</v>
      </c>
      <c r="F179" s="379">
        <v>0</v>
      </c>
      <c r="G179" s="379">
        <v>0</v>
      </c>
      <c r="H179" s="379">
        <v>0.47526980982864281</v>
      </c>
      <c r="I179" s="379">
        <v>4.5765027426927568E-3</v>
      </c>
      <c r="J179" s="379">
        <v>0.26314890770483351</v>
      </c>
      <c r="K179" s="379">
        <v>1.4663392085398318E-3</v>
      </c>
      <c r="L179" s="379">
        <v>0</v>
      </c>
      <c r="M179" s="379">
        <v>0</v>
      </c>
      <c r="N179" s="379">
        <v>1</v>
      </c>
      <c r="O179" s="48">
        <v>11</v>
      </c>
    </row>
    <row r="180" spans="1:15" ht="15" customHeight="1" x14ac:dyDescent="0.25">
      <c r="A180" s="370" t="s">
        <v>1810</v>
      </c>
      <c r="B180" s="380">
        <v>0.36776155443985231</v>
      </c>
      <c r="C180" s="380">
        <v>0</v>
      </c>
      <c r="D180" s="380">
        <v>0</v>
      </c>
      <c r="E180" s="380">
        <v>0</v>
      </c>
      <c r="F180" s="380">
        <v>0</v>
      </c>
      <c r="G180" s="380">
        <v>4.3310328530239965E-2</v>
      </c>
      <c r="H180" s="380">
        <v>0.58892811702990766</v>
      </c>
      <c r="I180" s="380">
        <v>0</v>
      </c>
      <c r="J180" s="380">
        <v>0</v>
      </c>
      <c r="K180" s="380">
        <v>0</v>
      </c>
      <c r="L180" s="380">
        <v>0</v>
      </c>
      <c r="M180" s="380">
        <v>0</v>
      </c>
      <c r="N180" s="380">
        <v>1</v>
      </c>
      <c r="O180" s="381">
        <v>4</v>
      </c>
    </row>
    <row r="181" spans="1:15" ht="15" customHeight="1" x14ac:dyDescent="0.25">
      <c r="A181" s="823" t="s">
        <v>1811</v>
      </c>
      <c r="B181" s="382">
        <v>0.16911575509389409</v>
      </c>
      <c r="C181" s="382">
        <v>1.081095982826033E-2</v>
      </c>
      <c r="D181" s="382">
        <v>8.3331978012220389E-3</v>
      </c>
      <c r="E181" s="382">
        <v>1.1639231396867516E-2</v>
      </c>
      <c r="F181" s="382">
        <v>6.6191088913094996E-3</v>
      </c>
      <c r="G181" s="382">
        <v>1.3097452065551966E-2</v>
      </c>
      <c r="H181" s="382">
        <v>0.71274987715469129</v>
      </c>
      <c r="I181" s="382">
        <v>5.1794067162623959E-3</v>
      </c>
      <c r="J181" s="382">
        <v>3.0869581697330933E-2</v>
      </c>
      <c r="K181" s="382">
        <v>1.3442602780446355E-2</v>
      </c>
      <c r="L181" s="382">
        <v>7.981042117985053E-3</v>
      </c>
      <c r="M181" s="382">
        <v>1.0161784456178919E-2</v>
      </c>
      <c r="N181" s="382">
        <v>1</v>
      </c>
      <c r="O181" s="153">
        <v>3306</v>
      </c>
    </row>
    <row r="182" spans="1:15" ht="15" customHeight="1" x14ac:dyDescent="0.25">
      <c r="A182" s="375" t="s">
        <v>1812</v>
      </c>
      <c r="B182" s="383">
        <v>0.25836449747163115</v>
      </c>
      <c r="C182" s="383">
        <v>9.4473369800889377E-3</v>
      </c>
      <c r="D182" s="383">
        <v>1.1669795137216912E-2</v>
      </c>
      <c r="E182" s="383">
        <v>9.3848488922268405E-3</v>
      </c>
      <c r="F182" s="383">
        <v>5.9012032227971885E-3</v>
      </c>
      <c r="G182" s="383">
        <v>1.4617784677224615E-2</v>
      </c>
      <c r="H182" s="383">
        <v>0.60893132387784821</v>
      </c>
      <c r="I182" s="383">
        <v>3.6403776250211206E-3</v>
      </c>
      <c r="J182" s="383">
        <v>5.9031120397414656E-2</v>
      </c>
      <c r="K182" s="383">
        <v>3.4856288053626496E-3</v>
      </c>
      <c r="L182" s="383">
        <v>1.4534208502658304E-2</v>
      </c>
      <c r="M182" s="383">
        <v>9.9187441050948015E-4</v>
      </c>
      <c r="N182" s="383">
        <v>1</v>
      </c>
      <c r="O182" s="377">
        <v>656</v>
      </c>
    </row>
    <row r="183" spans="1:15" ht="15" customHeight="1" x14ac:dyDescent="0.25">
      <c r="A183" s="384"/>
      <c r="B183" s="385"/>
      <c r="C183" s="385"/>
      <c r="D183" s="385"/>
      <c r="E183" s="385">
        <v>0.28886647848116381</v>
      </c>
      <c r="F183" s="385"/>
      <c r="G183" s="385"/>
      <c r="H183" s="385"/>
      <c r="I183" s="385"/>
      <c r="J183" s="385"/>
      <c r="K183" s="385"/>
      <c r="L183" s="385"/>
      <c r="M183" s="385"/>
      <c r="N183" s="386"/>
    </row>
    <row r="184" spans="1:15" ht="15" customHeight="1" x14ac:dyDescent="0.25">
      <c r="A184" s="384"/>
      <c r="B184" s="385"/>
      <c r="C184" s="385"/>
      <c r="D184" s="385"/>
      <c r="E184" s="385"/>
      <c r="F184" s="385"/>
      <c r="G184" s="385"/>
      <c r="H184" s="385"/>
      <c r="I184" s="385"/>
      <c r="J184" s="385"/>
      <c r="K184" s="385"/>
      <c r="L184" s="385"/>
      <c r="M184" s="385"/>
      <c r="N184" s="383"/>
    </row>
    <row r="185" spans="1:15" ht="15" customHeight="1" x14ac:dyDescent="0.25">
      <c r="A185" s="384"/>
      <c r="B185" s="385"/>
      <c r="C185" s="385"/>
      <c r="D185" s="385"/>
      <c r="E185" s="385"/>
      <c r="F185" s="385"/>
      <c r="G185" s="385"/>
      <c r="M185" s="385"/>
      <c r="N185" s="383"/>
    </row>
    <row r="186" spans="1:15" ht="15" customHeight="1" x14ac:dyDescent="0.25">
      <c r="A186" s="876" t="s">
        <v>1814</v>
      </c>
      <c r="B186" s="876"/>
      <c r="C186" s="876"/>
      <c r="D186" s="876"/>
      <c r="E186" s="876"/>
      <c r="I186" s="876" t="s">
        <v>1815</v>
      </c>
      <c r="J186" s="876"/>
      <c r="K186" s="876"/>
      <c r="L186" s="876"/>
      <c r="M186" s="876"/>
    </row>
    <row r="187" spans="1:15" ht="15" customHeight="1" x14ac:dyDescent="0.25">
      <c r="A187" s="824"/>
      <c r="B187" s="153"/>
      <c r="C187" s="153"/>
      <c r="D187" s="153"/>
      <c r="F187" s="824" t="s">
        <v>1713</v>
      </c>
      <c r="G187" s="824" t="s">
        <v>1714</v>
      </c>
    </row>
    <row r="188" spans="1:15" ht="15" customHeight="1" x14ac:dyDescent="0.25">
      <c r="A188" s="143" t="s">
        <v>1715</v>
      </c>
      <c r="B188" s="387" t="s">
        <v>1816</v>
      </c>
      <c r="C188" s="387" t="s">
        <v>1817</v>
      </c>
      <c r="D188" s="387" t="s">
        <v>1818</v>
      </c>
      <c r="E188" s="387" t="s">
        <v>341</v>
      </c>
      <c r="F188" s="143" t="s">
        <v>1725</v>
      </c>
      <c r="G188" s="143" t="s">
        <v>1726</v>
      </c>
      <c r="I188" s="143" t="s">
        <v>1715</v>
      </c>
      <c r="J188" s="387" t="s">
        <v>1816</v>
      </c>
      <c r="K188" s="387" t="s">
        <v>1817</v>
      </c>
      <c r="L188" s="387" t="s">
        <v>1818</v>
      </c>
      <c r="M188" s="143" t="s">
        <v>341</v>
      </c>
    </row>
    <row r="189" spans="1:15" ht="15" customHeight="1" x14ac:dyDescent="0.25">
      <c r="A189" s="7" t="s">
        <v>1727</v>
      </c>
      <c r="B189" s="379">
        <v>0</v>
      </c>
      <c r="C189" s="379">
        <v>0</v>
      </c>
      <c r="D189" s="379">
        <v>0</v>
      </c>
      <c r="E189" s="379">
        <v>0</v>
      </c>
      <c r="F189" s="144">
        <v>1</v>
      </c>
      <c r="G189" s="388">
        <v>9.5732644831887669E-4</v>
      </c>
      <c r="I189" s="7" t="s">
        <v>1727</v>
      </c>
      <c r="J189" s="379">
        <v>0</v>
      </c>
      <c r="K189" s="379">
        <v>0</v>
      </c>
      <c r="L189" s="379">
        <v>0</v>
      </c>
      <c r="M189" s="379">
        <v>0</v>
      </c>
    </row>
    <row r="190" spans="1:15" ht="15" customHeight="1" x14ac:dyDescent="0.25">
      <c r="A190" s="7" t="s">
        <v>1728</v>
      </c>
      <c r="B190" s="389">
        <v>0</v>
      </c>
      <c r="C190" s="389">
        <v>0.33333333333333331</v>
      </c>
      <c r="D190" s="389">
        <v>0.66666666666666663</v>
      </c>
      <c r="E190" s="369">
        <v>1</v>
      </c>
      <c r="F190" s="144">
        <v>3</v>
      </c>
      <c r="G190" s="388">
        <v>2.9009892373299295E-5</v>
      </c>
      <c r="I190" s="7" t="s">
        <v>1728</v>
      </c>
      <c r="J190" s="379">
        <v>0</v>
      </c>
      <c r="K190" s="379">
        <v>0.33333333333333331</v>
      </c>
      <c r="L190" s="379">
        <v>0.66666666666666663</v>
      </c>
      <c r="M190" s="379">
        <v>1</v>
      </c>
    </row>
    <row r="191" spans="1:15" ht="15" customHeight="1" x14ac:dyDescent="0.25">
      <c r="A191" s="7" t="s">
        <v>1729</v>
      </c>
      <c r="B191" s="389">
        <v>1</v>
      </c>
      <c r="C191" s="389">
        <v>0</v>
      </c>
      <c r="D191" s="389">
        <v>0</v>
      </c>
      <c r="E191" s="369">
        <v>1</v>
      </c>
      <c r="F191" s="144">
        <v>1</v>
      </c>
      <c r="G191" s="388">
        <v>2.9009892373299295E-5</v>
      </c>
      <c r="I191" s="7" t="s">
        <v>1729</v>
      </c>
      <c r="J191" s="379">
        <v>1</v>
      </c>
      <c r="K191" s="379">
        <v>0</v>
      </c>
      <c r="L191" s="379">
        <v>0</v>
      </c>
      <c r="M191" s="379">
        <v>1</v>
      </c>
    </row>
    <row r="192" spans="1:15" ht="15" customHeight="1" x14ac:dyDescent="0.25">
      <c r="A192" s="7" t="s">
        <v>1730</v>
      </c>
      <c r="B192" s="389">
        <v>0</v>
      </c>
      <c r="C192" s="389">
        <v>1</v>
      </c>
      <c r="D192" s="389">
        <v>0</v>
      </c>
      <c r="E192" s="369">
        <v>1</v>
      </c>
      <c r="F192" s="144">
        <v>1</v>
      </c>
      <c r="G192" s="388">
        <v>0</v>
      </c>
      <c r="I192" s="7" t="s">
        <v>1730</v>
      </c>
      <c r="J192" s="379">
        <v>0</v>
      </c>
      <c r="K192" s="379">
        <v>1</v>
      </c>
      <c r="L192" s="379">
        <v>0</v>
      </c>
      <c r="M192" s="379">
        <v>1</v>
      </c>
    </row>
    <row r="193" spans="1:13" ht="15" customHeight="1" x14ac:dyDescent="0.25">
      <c r="A193" s="7" t="s">
        <v>1731</v>
      </c>
      <c r="B193" s="389">
        <v>0</v>
      </c>
      <c r="C193" s="389">
        <v>1</v>
      </c>
      <c r="D193" s="389">
        <v>0</v>
      </c>
      <c r="E193" s="369">
        <v>1</v>
      </c>
      <c r="F193" s="144">
        <v>3</v>
      </c>
      <c r="G193" s="388">
        <v>5.8019784746598591E-4</v>
      </c>
      <c r="I193" s="7" t="s">
        <v>1731</v>
      </c>
      <c r="J193" s="379">
        <v>0</v>
      </c>
      <c r="K193" s="379">
        <v>1</v>
      </c>
      <c r="L193" s="379">
        <v>0</v>
      </c>
      <c r="M193" s="379">
        <v>1</v>
      </c>
    </row>
    <row r="194" spans="1:13" ht="15" customHeight="1" x14ac:dyDescent="0.25">
      <c r="A194" s="7" t="s">
        <v>1732</v>
      </c>
      <c r="B194" s="389">
        <v>0</v>
      </c>
      <c r="C194" s="389">
        <v>0</v>
      </c>
      <c r="D194" s="389">
        <v>0</v>
      </c>
      <c r="E194" s="369">
        <v>0</v>
      </c>
      <c r="F194" s="144">
        <v>1</v>
      </c>
      <c r="G194" s="388">
        <v>9.2831655594557744E-4</v>
      </c>
      <c r="I194" s="7" t="s">
        <v>1732</v>
      </c>
      <c r="J194" s="379">
        <v>0</v>
      </c>
      <c r="K194" s="379">
        <v>0</v>
      </c>
      <c r="L194" s="379">
        <v>0</v>
      </c>
      <c r="M194" s="379">
        <v>0</v>
      </c>
    </row>
    <row r="195" spans="1:13" ht="15" customHeight="1" x14ac:dyDescent="0.25">
      <c r="A195" s="7" t="s">
        <v>1733</v>
      </c>
      <c r="B195" s="389">
        <v>0</v>
      </c>
      <c r="C195" s="389">
        <v>0.4</v>
      </c>
      <c r="D195" s="389">
        <v>0.6</v>
      </c>
      <c r="E195" s="369">
        <v>1</v>
      </c>
      <c r="F195" s="144">
        <v>5</v>
      </c>
      <c r="G195" s="388">
        <v>2.3788111746105424E-3</v>
      </c>
      <c r="I195" s="7" t="s">
        <v>1733</v>
      </c>
      <c r="J195" s="379">
        <v>0</v>
      </c>
      <c r="K195" s="379">
        <v>0.4</v>
      </c>
      <c r="L195" s="379">
        <v>0.6</v>
      </c>
      <c r="M195" s="379">
        <v>1</v>
      </c>
    </row>
    <row r="196" spans="1:13" ht="15" customHeight="1" x14ac:dyDescent="0.25">
      <c r="A196" s="7" t="s">
        <v>1734</v>
      </c>
      <c r="B196" s="389">
        <v>0.33333333333333331</v>
      </c>
      <c r="C196" s="389">
        <v>0.66666666666666674</v>
      </c>
      <c r="D196" s="389">
        <v>0</v>
      </c>
      <c r="E196" s="369">
        <v>1</v>
      </c>
      <c r="F196" s="144">
        <v>4</v>
      </c>
      <c r="G196" s="388">
        <v>3.3651475153027182E-3</v>
      </c>
      <c r="I196" s="7" t="s">
        <v>1734</v>
      </c>
      <c r="J196" s="379">
        <v>0.33333333333333331</v>
      </c>
      <c r="K196" s="379">
        <v>0.66666666666666674</v>
      </c>
      <c r="L196" s="379">
        <v>0</v>
      </c>
      <c r="M196" s="379">
        <v>1</v>
      </c>
    </row>
    <row r="197" spans="1:13" ht="15" customHeight="1" x14ac:dyDescent="0.25">
      <c r="A197" s="7" t="s">
        <v>1735</v>
      </c>
      <c r="B197" s="389">
        <v>0.1111111111111111</v>
      </c>
      <c r="C197" s="389">
        <v>0.49382716049382719</v>
      </c>
      <c r="D197" s="389">
        <v>0.39506172839506171</v>
      </c>
      <c r="E197" s="369">
        <v>1</v>
      </c>
      <c r="F197" s="144">
        <v>15</v>
      </c>
      <c r="G197" s="388">
        <v>4.1194047170084996E-3</v>
      </c>
      <c r="I197" s="7" t="s">
        <v>1735</v>
      </c>
      <c r="J197" s="379">
        <v>0.1111111111111111</v>
      </c>
      <c r="K197" s="379">
        <v>0.49382716049382719</v>
      </c>
      <c r="L197" s="379">
        <v>0.39506172839506171</v>
      </c>
      <c r="M197" s="379">
        <v>1</v>
      </c>
    </row>
    <row r="198" spans="1:13" ht="15" customHeight="1" x14ac:dyDescent="0.25">
      <c r="A198" s="7" t="s">
        <v>1736</v>
      </c>
      <c r="B198" s="389">
        <v>0</v>
      </c>
      <c r="C198" s="389">
        <v>1</v>
      </c>
      <c r="D198" s="389">
        <v>0</v>
      </c>
      <c r="E198" s="369">
        <v>1</v>
      </c>
      <c r="F198" s="144">
        <v>1</v>
      </c>
      <c r="G198" s="388">
        <v>0</v>
      </c>
      <c r="I198" s="7" t="s">
        <v>1736</v>
      </c>
      <c r="J198" s="379">
        <v>0</v>
      </c>
      <c r="K198" s="379">
        <v>1</v>
      </c>
      <c r="L198" s="379">
        <v>0</v>
      </c>
      <c r="M198" s="379">
        <v>1</v>
      </c>
    </row>
    <row r="199" spans="1:13" ht="15" customHeight="1" x14ac:dyDescent="0.25">
      <c r="A199" s="7" t="s">
        <v>1737</v>
      </c>
      <c r="B199" s="389">
        <v>0</v>
      </c>
      <c r="C199" s="389">
        <v>1</v>
      </c>
      <c r="D199" s="389">
        <v>0</v>
      </c>
      <c r="E199" s="369">
        <v>1</v>
      </c>
      <c r="F199" s="144">
        <v>3</v>
      </c>
      <c r="G199" s="388">
        <v>3.7132662237823097E-3</v>
      </c>
      <c r="I199" s="7" t="s">
        <v>1737</v>
      </c>
      <c r="J199" s="379">
        <v>0</v>
      </c>
      <c r="K199" s="379">
        <v>1</v>
      </c>
      <c r="L199" s="379">
        <v>0</v>
      </c>
      <c r="M199" s="379">
        <v>1</v>
      </c>
    </row>
    <row r="200" spans="1:13" ht="15" customHeight="1" x14ac:dyDescent="0.25">
      <c r="A200" s="7" t="s">
        <v>1738</v>
      </c>
      <c r="B200" s="389">
        <v>0.11627906976744186</v>
      </c>
      <c r="C200" s="389">
        <v>0.40787119856887299</v>
      </c>
      <c r="D200" s="389">
        <v>0.47584973166368516</v>
      </c>
      <c r="E200" s="369">
        <v>1</v>
      </c>
      <c r="F200" s="144">
        <v>67</v>
      </c>
      <c r="G200" s="388">
        <v>1.3083461460357982E-2</v>
      </c>
      <c r="I200" s="7" t="s">
        <v>1738</v>
      </c>
      <c r="J200" s="379">
        <v>0.11627906976744186</v>
      </c>
      <c r="K200" s="379">
        <v>0.40787119856887299</v>
      </c>
      <c r="L200" s="379">
        <v>0.47584973166368516</v>
      </c>
      <c r="M200" s="379">
        <v>1</v>
      </c>
    </row>
    <row r="201" spans="1:13" ht="15" customHeight="1" x14ac:dyDescent="0.25">
      <c r="A201" s="7" t="s">
        <v>1739</v>
      </c>
      <c r="B201" s="389">
        <v>0.125</v>
      </c>
      <c r="C201" s="389">
        <v>0.58333333333333337</v>
      </c>
      <c r="D201" s="389">
        <v>0.29166666666666669</v>
      </c>
      <c r="E201" s="369">
        <v>1</v>
      </c>
      <c r="F201" s="144">
        <v>28</v>
      </c>
      <c r="G201" s="388">
        <v>1.9436627890110528E-3</v>
      </c>
      <c r="I201" s="7" t="s">
        <v>1739</v>
      </c>
      <c r="J201" s="379">
        <v>0.125</v>
      </c>
      <c r="K201" s="379">
        <v>0.58333333333333337</v>
      </c>
      <c r="L201" s="379">
        <v>0.29166666666666669</v>
      </c>
      <c r="M201" s="379">
        <v>1</v>
      </c>
    </row>
    <row r="202" spans="1:13" ht="15" customHeight="1" x14ac:dyDescent="0.25">
      <c r="A202" s="7" t="s">
        <v>1740</v>
      </c>
      <c r="B202" s="389">
        <v>0.5714285714285714</v>
      </c>
      <c r="C202" s="389">
        <v>0.4285714285714286</v>
      </c>
      <c r="D202" s="389">
        <v>0</v>
      </c>
      <c r="E202" s="369">
        <v>1</v>
      </c>
      <c r="F202" s="144">
        <v>12</v>
      </c>
      <c r="G202" s="388">
        <v>5.1927707348205735E-3</v>
      </c>
      <c r="I202" s="7" t="s">
        <v>1740</v>
      </c>
      <c r="J202" s="379">
        <v>0.5714285714285714</v>
      </c>
      <c r="K202" s="379">
        <v>0.4285714285714286</v>
      </c>
      <c r="L202" s="379">
        <v>0</v>
      </c>
      <c r="M202" s="379">
        <v>1</v>
      </c>
    </row>
    <row r="203" spans="1:13" ht="15" customHeight="1" x14ac:dyDescent="0.25">
      <c r="A203" s="7" t="s">
        <v>1741</v>
      </c>
      <c r="B203" s="389">
        <v>0</v>
      </c>
      <c r="C203" s="389">
        <v>0</v>
      </c>
      <c r="D203" s="389">
        <v>1</v>
      </c>
      <c r="E203" s="369">
        <v>1</v>
      </c>
      <c r="F203" s="144">
        <v>1</v>
      </c>
      <c r="G203" s="388">
        <v>0</v>
      </c>
      <c r="I203" s="7" t="s">
        <v>1741</v>
      </c>
      <c r="J203" s="379">
        <v>0</v>
      </c>
      <c r="K203" s="379">
        <v>0</v>
      </c>
      <c r="L203" s="379">
        <v>1</v>
      </c>
      <c r="M203" s="379">
        <v>1</v>
      </c>
    </row>
    <row r="204" spans="1:13" ht="15" customHeight="1" x14ac:dyDescent="0.25">
      <c r="A204" s="7" t="s">
        <v>1742</v>
      </c>
      <c r="B204" s="389">
        <v>0.63636363636363635</v>
      </c>
      <c r="C204" s="389">
        <v>0.23140495867768596</v>
      </c>
      <c r="D204" s="389">
        <v>0.13223140495867769</v>
      </c>
      <c r="E204" s="369">
        <v>1</v>
      </c>
      <c r="F204" s="144">
        <v>15</v>
      </c>
      <c r="G204" s="388">
        <v>4.6415827797278872E-4</v>
      </c>
      <c r="I204" s="7" t="s">
        <v>1742</v>
      </c>
      <c r="J204" s="379">
        <v>0.63636363636363635</v>
      </c>
      <c r="K204" s="379">
        <v>0.23140495867768596</v>
      </c>
      <c r="L204" s="379">
        <v>0.13223140495867769</v>
      </c>
      <c r="M204" s="379">
        <v>1</v>
      </c>
    </row>
    <row r="205" spans="1:13" ht="15" customHeight="1" x14ac:dyDescent="0.25">
      <c r="A205" s="7" t="s">
        <v>1743</v>
      </c>
      <c r="B205" s="389">
        <v>0</v>
      </c>
      <c r="C205" s="389">
        <v>0</v>
      </c>
      <c r="D205" s="389">
        <v>0</v>
      </c>
      <c r="E205" s="369">
        <v>0</v>
      </c>
      <c r="F205" s="144">
        <v>2</v>
      </c>
      <c r="G205" s="388">
        <v>0</v>
      </c>
      <c r="I205" s="7" t="s">
        <v>1743</v>
      </c>
      <c r="J205" s="379">
        <v>0</v>
      </c>
      <c r="K205" s="379">
        <v>0</v>
      </c>
      <c r="L205" s="379">
        <v>0</v>
      </c>
      <c r="M205" s="379">
        <v>0</v>
      </c>
    </row>
    <row r="206" spans="1:13" ht="15" customHeight="1" x14ac:dyDescent="0.25">
      <c r="A206" s="7" t="s">
        <v>1744</v>
      </c>
      <c r="B206" s="389">
        <v>0.30769230769230771</v>
      </c>
      <c r="C206" s="389">
        <v>0.44505494505494508</v>
      </c>
      <c r="D206" s="389">
        <v>0.24725274725274726</v>
      </c>
      <c r="E206" s="369">
        <v>1</v>
      </c>
      <c r="F206" s="144">
        <v>29</v>
      </c>
      <c r="G206" s="388">
        <v>3.5682167619158133E-3</v>
      </c>
      <c r="I206" s="7" t="s">
        <v>1744</v>
      </c>
      <c r="J206" s="379">
        <v>0.30769230769230771</v>
      </c>
      <c r="K206" s="379">
        <v>0.44505494505494508</v>
      </c>
      <c r="L206" s="379">
        <v>0.24725274725274726</v>
      </c>
      <c r="M206" s="379">
        <v>1</v>
      </c>
    </row>
    <row r="207" spans="1:13" ht="15" customHeight="1" x14ac:dyDescent="0.25">
      <c r="A207" s="7" t="s">
        <v>1745</v>
      </c>
      <c r="B207" s="389">
        <v>0.28000000000000003</v>
      </c>
      <c r="C207" s="389">
        <v>0.42545454545454542</v>
      </c>
      <c r="D207" s="389">
        <v>0.2945454545454545</v>
      </c>
      <c r="E207" s="369">
        <v>1</v>
      </c>
      <c r="F207" s="144">
        <v>74</v>
      </c>
      <c r="G207" s="388">
        <v>3.3825534507266976E-2</v>
      </c>
      <c r="I207" s="7" t="s">
        <v>1745</v>
      </c>
      <c r="J207" s="379">
        <v>0.28000000000000003</v>
      </c>
      <c r="K207" s="379">
        <v>0.42545454545454542</v>
      </c>
      <c r="L207" s="379">
        <v>0.2945454545454545</v>
      </c>
      <c r="M207" s="379">
        <v>1</v>
      </c>
    </row>
    <row r="208" spans="1:13" ht="15" customHeight="1" x14ac:dyDescent="0.25">
      <c r="A208" s="7" t="s">
        <v>1746</v>
      </c>
      <c r="B208" s="389">
        <v>0.2</v>
      </c>
      <c r="C208" s="389">
        <v>0.46666666666666673</v>
      </c>
      <c r="D208" s="389">
        <v>0.33333333333333331</v>
      </c>
      <c r="E208" s="369">
        <v>1</v>
      </c>
      <c r="F208" s="144">
        <v>35</v>
      </c>
      <c r="G208" s="388">
        <v>7.6005918018044157E-3</v>
      </c>
      <c r="I208" s="7" t="s">
        <v>1746</v>
      </c>
      <c r="J208" s="379">
        <v>0.2</v>
      </c>
      <c r="K208" s="379">
        <v>0.46666666666666673</v>
      </c>
      <c r="L208" s="379">
        <v>0.33333333333333331</v>
      </c>
      <c r="M208" s="379">
        <v>1</v>
      </c>
    </row>
    <row r="209" spans="1:13" ht="15" customHeight="1" x14ac:dyDescent="0.25">
      <c r="A209" s="7" t="s">
        <v>1747</v>
      </c>
      <c r="B209" s="389">
        <v>0.4</v>
      </c>
      <c r="C209" s="389">
        <v>0.6</v>
      </c>
      <c r="D209" s="389">
        <v>0</v>
      </c>
      <c r="E209" s="369">
        <v>1</v>
      </c>
      <c r="F209" s="144">
        <v>11</v>
      </c>
      <c r="G209" s="388">
        <v>4.4965333178613905E-3</v>
      </c>
      <c r="I209" s="7" t="s">
        <v>1747</v>
      </c>
      <c r="J209" s="379">
        <v>0.4</v>
      </c>
      <c r="K209" s="379">
        <v>0.6</v>
      </c>
      <c r="L209" s="379">
        <v>0</v>
      </c>
      <c r="M209" s="379">
        <v>1</v>
      </c>
    </row>
    <row r="210" spans="1:13" ht="15" customHeight="1" x14ac:dyDescent="0.25">
      <c r="A210" s="7" t="s">
        <v>1748</v>
      </c>
      <c r="B210" s="389">
        <v>0.26315789473684209</v>
      </c>
      <c r="C210" s="389">
        <v>0.3274853801169591</v>
      </c>
      <c r="D210" s="389">
        <v>0.40935672514619886</v>
      </c>
      <c r="E210" s="369">
        <v>1</v>
      </c>
      <c r="F210" s="144">
        <v>35</v>
      </c>
      <c r="G210" s="388">
        <v>3.8873255780221055E-3</v>
      </c>
      <c r="I210" s="7" t="s">
        <v>1748</v>
      </c>
      <c r="J210" s="379">
        <v>0.26315789473684209</v>
      </c>
      <c r="K210" s="379">
        <v>0.3274853801169591</v>
      </c>
      <c r="L210" s="379">
        <v>0.40935672514619886</v>
      </c>
      <c r="M210" s="379">
        <v>1</v>
      </c>
    </row>
    <row r="211" spans="1:13" ht="15" customHeight="1" x14ac:dyDescent="0.25">
      <c r="A211" s="7" t="s">
        <v>1749</v>
      </c>
      <c r="B211" s="389">
        <v>0.10344827586206896</v>
      </c>
      <c r="C211" s="389">
        <v>0.51231527093596063</v>
      </c>
      <c r="D211" s="389">
        <v>0.38423645320197047</v>
      </c>
      <c r="E211" s="369">
        <v>1</v>
      </c>
      <c r="F211" s="144">
        <v>59</v>
      </c>
      <c r="G211" s="388">
        <v>1.9378608105363928E-2</v>
      </c>
      <c r="I211" s="7" t="s">
        <v>1749</v>
      </c>
      <c r="J211" s="379">
        <v>0.10344827586206896</v>
      </c>
      <c r="K211" s="379">
        <v>0.51231527093596063</v>
      </c>
      <c r="L211" s="379">
        <v>0.38423645320197047</v>
      </c>
      <c r="M211" s="379">
        <v>1</v>
      </c>
    </row>
    <row r="212" spans="1:13" ht="15" customHeight="1" x14ac:dyDescent="0.25">
      <c r="A212" s="7" t="s">
        <v>1750</v>
      </c>
      <c r="B212" s="389">
        <v>0.29729729729729731</v>
      </c>
      <c r="C212" s="389">
        <v>0.42588042588042585</v>
      </c>
      <c r="D212" s="389">
        <v>0.27682227682227678</v>
      </c>
      <c r="E212" s="369">
        <v>1</v>
      </c>
      <c r="F212" s="144">
        <v>171</v>
      </c>
      <c r="G212" s="388">
        <v>5.5321864755881758E-2</v>
      </c>
      <c r="I212" s="7" t="s">
        <v>1750</v>
      </c>
      <c r="J212" s="379">
        <v>0.29729729729729731</v>
      </c>
      <c r="K212" s="379">
        <v>0.42588042588042585</v>
      </c>
      <c r="L212" s="379">
        <v>0.27682227682227678</v>
      </c>
      <c r="M212" s="379">
        <v>1</v>
      </c>
    </row>
    <row r="213" spans="1:13" ht="15" customHeight="1" x14ac:dyDescent="0.25">
      <c r="A213" s="7" t="s">
        <v>1751</v>
      </c>
      <c r="B213" s="389">
        <v>0.13157894736842105</v>
      </c>
      <c r="C213" s="389">
        <v>0.55482456140350878</v>
      </c>
      <c r="D213" s="389">
        <v>0.31359649122807021</v>
      </c>
      <c r="E213" s="369">
        <v>1</v>
      </c>
      <c r="F213" s="144">
        <v>70</v>
      </c>
      <c r="G213" s="388">
        <v>1.4359896724783151E-2</v>
      </c>
      <c r="I213" s="7" t="s">
        <v>1751</v>
      </c>
      <c r="J213" s="379">
        <v>0.13157894736842105</v>
      </c>
      <c r="K213" s="379">
        <v>0.55482456140350878</v>
      </c>
      <c r="L213" s="379">
        <v>0.31359649122807021</v>
      </c>
      <c r="M213" s="379">
        <v>1</v>
      </c>
    </row>
    <row r="214" spans="1:13" ht="15" customHeight="1" x14ac:dyDescent="0.25">
      <c r="A214" s="7" t="s">
        <v>1752</v>
      </c>
      <c r="B214" s="389">
        <v>0.12121212121212122</v>
      </c>
      <c r="C214" s="389">
        <v>0.50596877869605139</v>
      </c>
      <c r="D214" s="389">
        <v>0.37281910009182734</v>
      </c>
      <c r="E214" s="369">
        <v>1</v>
      </c>
      <c r="F214" s="144">
        <v>68</v>
      </c>
      <c r="G214" s="388">
        <v>4.699602564474486E-3</v>
      </c>
      <c r="I214" s="7" t="s">
        <v>1752</v>
      </c>
      <c r="J214" s="379">
        <v>0.12121212121212122</v>
      </c>
      <c r="K214" s="379">
        <v>0.50596877869605139</v>
      </c>
      <c r="L214" s="379">
        <v>0.37281910009182734</v>
      </c>
      <c r="M214" s="379">
        <v>1</v>
      </c>
    </row>
    <row r="215" spans="1:13" ht="15" customHeight="1" x14ac:dyDescent="0.25">
      <c r="A215" s="7" t="s">
        <v>1753</v>
      </c>
      <c r="B215" s="389">
        <v>0.5</v>
      </c>
      <c r="C215" s="389">
        <v>0.5</v>
      </c>
      <c r="D215" s="389">
        <v>0</v>
      </c>
      <c r="E215" s="369">
        <v>1</v>
      </c>
      <c r="F215" s="144">
        <v>5</v>
      </c>
      <c r="G215" s="388">
        <v>4.0613849322619015E-4</v>
      </c>
      <c r="I215" s="7" t="s">
        <v>1753</v>
      </c>
      <c r="J215" s="379">
        <v>0.5</v>
      </c>
      <c r="K215" s="379">
        <v>0.5</v>
      </c>
      <c r="L215" s="379">
        <v>0</v>
      </c>
      <c r="M215" s="379">
        <v>1</v>
      </c>
    </row>
    <row r="216" spans="1:13" ht="15" customHeight="1" x14ac:dyDescent="0.25">
      <c r="A216" s="7" t="s">
        <v>1754</v>
      </c>
      <c r="B216" s="389">
        <v>0</v>
      </c>
      <c r="C216" s="389">
        <v>1</v>
      </c>
      <c r="D216" s="389">
        <v>0</v>
      </c>
      <c r="E216" s="369">
        <v>1</v>
      </c>
      <c r="F216" s="144">
        <v>1</v>
      </c>
      <c r="G216" s="388">
        <v>8.7029677119897881E-5</v>
      </c>
      <c r="I216" s="7" t="s">
        <v>1754</v>
      </c>
      <c r="J216" s="379">
        <v>0</v>
      </c>
      <c r="K216" s="379">
        <v>1</v>
      </c>
      <c r="L216" s="379">
        <v>0</v>
      </c>
      <c r="M216" s="379">
        <v>1</v>
      </c>
    </row>
    <row r="217" spans="1:13" ht="15" customHeight="1" x14ac:dyDescent="0.25">
      <c r="A217" s="7" t="s">
        <v>1755</v>
      </c>
      <c r="B217" s="389">
        <v>0.18181818181818182</v>
      </c>
      <c r="C217" s="389">
        <v>0.40909090909090906</v>
      </c>
      <c r="D217" s="389">
        <v>0.40909090909090906</v>
      </c>
      <c r="E217" s="369">
        <v>0.99999999999999989</v>
      </c>
      <c r="F217" s="144">
        <v>108</v>
      </c>
      <c r="G217" s="388">
        <v>4.911374778799571E-2</v>
      </c>
      <c r="I217" s="7" t="s">
        <v>1755</v>
      </c>
      <c r="J217" s="379">
        <v>0.18181818181818182</v>
      </c>
      <c r="K217" s="379">
        <v>0.40909090909090906</v>
      </c>
      <c r="L217" s="379">
        <v>0.40909090909090906</v>
      </c>
      <c r="M217" s="379">
        <v>0.99999999999999989</v>
      </c>
    </row>
    <row r="218" spans="1:13" ht="15" customHeight="1" x14ac:dyDescent="0.25">
      <c r="A218" s="7" t="s">
        <v>1756</v>
      </c>
      <c r="B218" s="389">
        <v>0.18518518518518517</v>
      </c>
      <c r="C218" s="389">
        <v>0.58201058201058209</v>
      </c>
      <c r="D218" s="389">
        <v>0.23280423280423282</v>
      </c>
      <c r="E218" s="369">
        <v>1</v>
      </c>
      <c r="F218" s="144">
        <v>326</v>
      </c>
      <c r="G218" s="388">
        <v>9.8836703315830693E-2</v>
      </c>
      <c r="I218" s="7" t="s">
        <v>1756</v>
      </c>
      <c r="J218" s="379">
        <v>0.18518518518518517</v>
      </c>
      <c r="K218" s="379">
        <v>0.58201058201058209</v>
      </c>
      <c r="L218" s="379">
        <v>0.23280423280423282</v>
      </c>
      <c r="M218" s="379">
        <v>1</v>
      </c>
    </row>
    <row r="219" spans="1:13" ht="15" customHeight="1" x14ac:dyDescent="0.25">
      <c r="A219" s="7" t="s">
        <v>1757</v>
      </c>
      <c r="B219" s="389">
        <v>0.23214285714285715</v>
      </c>
      <c r="C219" s="389">
        <v>0.45168067226890757</v>
      </c>
      <c r="D219" s="389">
        <v>0.31617647058823528</v>
      </c>
      <c r="E219" s="369">
        <v>1</v>
      </c>
      <c r="F219" s="144">
        <v>120</v>
      </c>
      <c r="G219" s="388">
        <v>2.7153259261408141E-2</v>
      </c>
      <c r="I219" s="7" t="s">
        <v>1757</v>
      </c>
      <c r="J219" s="379">
        <v>0.23214285714285715</v>
      </c>
      <c r="K219" s="379">
        <v>0.45168067226890757</v>
      </c>
      <c r="L219" s="379">
        <v>0.31617647058823528</v>
      </c>
      <c r="M219" s="379">
        <v>1</v>
      </c>
    </row>
    <row r="220" spans="1:13" ht="15" customHeight="1" x14ac:dyDescent="0.25">
      <c r="A220" s="7" t="s">
        <v>1758</v>
      </c>
      <c r="B220" s="389">
        <v>0</v>
      </c>
      <c r="C220" s="389">
        <v>0.4</v>
      </c>
      <c r="D220" s="389">
        <v>0.6</v>
      </c>
      <c r="E220" s="369">
        <v>1</v>
      </c>
      <c r="F220" s="144">
        <v>8</v>
      </c>
      <c r="G220" s="388">
        <v>4.1194047170084996E-3</v>
      </c>
      <c r="I220" s="7" t="s">
        <v>1758</v>
      </c>
      <c r="J220" s="379">
        <v>0</v>
      </c>
      <c r="K220" s="379">
        <v>0.4</v>
      </c>
      <c r="L220" s="379">
        <v>0.6</v>
      </c>
      <c r="M220" s="379">
        <v>1</v>
      </c>
    </row>
    <row r="221" spans="1:13" ht="15" customHeight="1" x14ac:dyDescent="0.25">
      <c r="A221" s="7" t="s">
        <v>1759</v>
      </c>
      <c r="B221" s="389">
        <v>0.1111111111111111</v>
      </c>
      <c r="C221" s="389">
        <v>0.33333333333333331</v>
      </c>
      <c r="D221" s="389">
        <v>0.55555555555555558</v>
      </c>
      <c r="E221" s="369">
        <v>1</v>
      </c>
      <c r="F221" s="144">
        <v>16</v>
      </c>
      <c r="G221" s="388">
        <v>9.6602941603086655E-3</v>
      </c>
      <c r="I221" s="7" t="s">
        <v>1759</v>
      </c>
      <c r="J221" s="379">
        <v>0.1111111111111111</v>
      </c>
      <c r="K221" s="379">
        <v>0.33333333333333331</v>
      </c>
      <c r="L221" s="379">
        <v>0.55555555555555558</v>
      </c>
      <c r="M221" s="379">
        <v>1</v>
      </c>
    </row>
    <row r="222" spans="1:13" ht="15" customHeight="1" x14ac:dyDescent="0.25">
      <c r="A222" s="7" t="s">
        <v>1760</v>
      </c>
      <c r="B222" s="389">
        <v>0.125</v>
      </c>
      <c r="C222" s="389">
        <v>0.546875</v>
      </c>
      <c r="D222" s="389">
        <v>0.328125</v>
      </c>
      <c r="E222" s="369">
        <v>1</v>
      </c>
      <c r="F222" s="144">
        <v>221</v>
      </c>
      <c r="G222" s="388">
        <v>9.4746308491195502E-2</v>
      </c>
      <c r="I222" s="7" t="s">
        <v>1760</v>
      </c>
      <c r="J222" s="379">
        <v>0.125</v>
      </c>
      <c r="K222" s="379">
        <v>0.546875</v>
      </c>
      <c r="L222" s="379">
        <v>0.328125</v>
      </c>
      <c r="M222" s="379">
        <v>1</v>
      </c>
    </row>
    <row r="223" spans="1:13" ht="15" customHeight="1" x14ac:dyDescent="0.25">
      <c r="A223" s="7" t="s">
        <v>1761</v>
      </c>
      <c r="B223" s="389">
        <v>0.20652173913043478</v>
      </c>
      <c r="C223" s="389">
        <v>0.43280632411067188</v>
      </c>
      <c r="D223" s="389">
        <v>0.36067193675889325</v>
      </c>
      <c r="E223" s="369">
        <v>1</v>
      </c>
      <c r="F223" s="144">
        <v>621</v>
      </c>
      <c r="G223" s="388">
        <v>0.14467233326564358</v>
      </c>
      <c r="I223" s="7" t="s">
        <v>1761</v>
      </c>
      <c r="J223" s="379">
        <v>0.20652173913043478</v>
      </c>
      <c r="K223" s="379">
        <v>0.43280632411067188</v>
      </c>
      <c r="L223" s="379">
        <v>0.36067193675889325</v>
      </c>
      <c r="M223" s="379">
        <v>1</v>
      </c>
    </row>
    <row r="224" spans="1:13" ht="15" customHeight="1" x14ac:dyDescent="0.25">
      <c r="A224" s="7" t="s">
        <v>1762</v>
      </c>
      <c r="B224" s="389">
        <v>0.19047619047619047</v>
      </c>
      <c r="C224" s="389">
        <v>0.6071428571428571</v>
      </c>
      <c r="D224" s="389">
        <v>0.20238095238095238</v>
      </c>
      <c r="E224" s="369">
        <v>1</v>
      </c>
      <c r="F224" s="144">
        <v>73</v>
      </c>
      <c r="G224" s="388">
        <v>2.2946824867279742E-2</v>
      </c>
      <c r="I224" s="7" t="s">
        <v>1762</v>
      </c>
      <c r="J224" s="379">
        <v>0.19047619047619047</v>
      </c>
      <c r="K224" s="379">
        <v>0.6071428571428571</v>
      </c>
      <c r="L224" s="379">
        <v>0.20238095238095238</v>
      </c>
      <c r="M224" s="379">
        <v>1</v>
      </c>
    </row>
    <row r="225" spans="1:13" ht="15" customHeight="1" x14ac:dyDescent="0.25">
      <c r="A225" s="7" t="s">
        <v>1763</v>
      </c>
      <c r="B225" s="389">
        <v>9.0909090909090912E-2</v>
      </c>
      <c r="C225" s="389">
        <v>0.54545454545454541</v>
      </c>
      <c r="D225" s="389">
        <v>0.36363636363636365</v>
      </c>
      <c r="E225" s="369">
        <v>1</v>
      </c>
      <c r="F225" s="144">
        <v>26</v>
      </c>
      <c r="G225" s="388">
        <v>9.4862348060688693E-3</v>
      </c>
      <c r="I225" s="7" t="s">
        <v>1763</v>
      </c>
      <c r="J225" s="379">
        <v>9.0909090909090912E-2</v>
      </c>
      <c r="K225" s="379">
        <v>0.54545454545454541</v>
      </c>
      <c r="L225" s="379">
        <v>0.36363636363636365</v>
      </c>
      <c r="M225" s="379">
        <v>1</v>
      </c>
    </row>
    <row r="226" spans="1:13" ht="15" customHeight="1" x14ac:dyDescent="0.25">
      <c r="A226" s="7" t="s">
        <v>1764</v>
      </c>
      <c r="B226" s="389">
        <v>0</v>
      </c>
      <c r="C226" s="389">
        <v>0</v>
      </c>
      <c r="D226" s="389">
        <v>0</v>
      </c>
      <c r="E226" s="369">
        <v>0</v>
      </c>
      <c r="F226" s="144">
        <v>1</v>
      </c>
      <c r="G226" s="388">
        <v>1.1603956949319718E-4</v>
      </c>
      <c r="I226" s="7" t="s">
        <v>1764</v>
      </c>
      <c r="J226" s="379">
        <v>0</v>
      </c>
      <c r="K226" s="379">
        <v>0</v>
      </c>
      <c r="L226" s="379">
        <v>0</v>
      </c>
      <c r="M226" s="379">
        <v>0</v>
      </c>
    </row>
    <row r="227" spans="1:13" ht="15" customHeight="1" x14ac:dyDescent="0.25">
      <c r="A227" s="7" t="s">
        <v>1765</v>
      </c>
      <c r="B227" s="389">
        <v>0</v>
      </c>
      <c r="C227" s="389">
        <v>1</v>
      </c>
      <c r="D227" s="389">
        <v>0</v>
      </c>
      <c r="E227" s="369">
        <v>1</v>
      </c>
      <c r="F227" s="144">
        <v>1</v>
      </c>
      <c r="G227" s="388">
        <v>3.4811870847959153E-4</v>
      </c>
      <c r="I227" s="7" t="s">
        <v>1765</v>
      </c>
      <c r="J227" s="379">
        <v>0</v>
      </c>
      <c r="K227" s="379">
        <v>1</v>
      </c>
      <c r="L227" s="379">
        <v>0</v>
      </c>
      <c r="M227" s="379">
        <v>1</v>
      </c>
    </row>
    <row r="228" spans="1:13" ht="15" customHeight="1" x14ac:dyDescent="0.25">
      <c r="A228" s="7" t="s">
        <v>1766</v>
      </c>
      <c r="B228" s="389">
        <v>0</v>
      </c>
      <c r="C228" s="389">
        <v>1</v>
      </c>
      <c r="D228" s="389">
        <v>0</v>
      </c>
      <c r="E228" s="369">
        <v>1</v>
      </c>
      <c r="F228" s="144">
        <v>6</v>
      </c>
      <c r="G228" s="388">
        <v>5.2217806271938729E-4</v>
      </c>
      <c r="I228" s="7" t="s">
        <v>1766</v>
      </c>
      <c r="J228" s="379">
        <v>0</v>
      </c>
      <c r="K228" s="379">
        <v>1</v>
      </c>
      <c r="L228" s="379">
        <v>0</v>
      </c>
      <c r="M228" s="379">
        <v>1</v>
      </c>
    </row>
    <row r="229" spans="1:13" ht="15" customHeight="1" x14ac:dyDescent="0.25">
      <c r="A229" s="7" t="s">
        <v>1767</v>
      </c>
      <c r="B229" s="389">
        <v>0</v>
      </c>
      <c r="C229" s="389">
        <v>0.33333333333333331</v>
      </c>
      <c r="D229" s="389">
        <v>0.66666666666666663</v>
      </c>
      <c r="E229" s="369">
        <v>1</v>
      </c>
      <c r="F229" s="144">
        <v>10</v>
      </c>
      <c r="G229" s="388">
        <v>0</v>
      </c>
      <c r="I229" s="7" t="s">
        <v>1767</v>
      </c>
      <c r="J229" s="379">
        <v>0</v>
      </c>
      <c r="K229" s="379">
        <v>0.33333333333333331</v>
      </c>
      <c r="L229" s="379">
        <v>0.66666666666666663</v>
      </c>
      <c r="M229" s="379">
        <v>1</v>
      </c>
    </row>
    <row r="230" spans="1:13" ht="15" customHeight="1" x14ac:dyDescent="0.25">
      <c r="A230" s="7" t="s">
        <v>1768</v>
      </c>
      <c r="B230" s="389">
        <v>0</v>
      </c>
      <c r="C230" s="389">
        <v>0.66666666666666663</v>
      </c>
      <c r="D230" s="389">
        <v>0.33333333333333331</v>
      </c>
      <c r="E230" s="369">
        <v>1</v>
      </c>
      <c r="F230" s="144">
        <v>24</v>
      </c>
      <c r="G230" s="388">
        <v>7.2234632009515248E-3</v>
      </c>
      <c r="I230" s="7" t="s">
        <v>1768</v>
      </c>
      <c r="J230" s="379">
        <v>0</v>
      </c>
      <c r="K230" s="379">
        <v>0.66666666666666663</v>
      </c>
      <c r="L230" s="379">
        <v>0.33333333333333331</v>
      </c>
      <c r="M230" s="379">
        <v>1</v>
      </c>
    </row>
    <row r="231" spans="1:13" ht="15" customHeight="1" x14ac:dyDescent="0.25">
      <c r="A231" s="7" t="s">
        <v>1769</v>
      </c>
      <c r="B231" s="389">
        <v>0.125</v>
      </c>
      <c r="C231" s="389">
        <v>0.40833333333333333</v>
      </c>
      <c r="D231" s="389">
        <v>0.46666666666666667</v>
      </c>
      <c r="E231" s="369">
        <v>1</v>
      </c>
      <c r="F231" s="144">
        <v>57</v>
      </c>
      <c r="G231" s="388">
        <v>2.8690783557193004E-2</v>
      </c>
      <c r="I231" s="7" t="s">
        <v>1769</v>
      </c>
      <c r="J231" s="379">
        <v>0.125</v>
      </c>
      <c r="K231" s="379">
        <v>0.40833333333333333</v>
      </c>
      <c r="L231" s="379">
        <v>0.46666666666666667</v>
      </c>
      <c r="M231" s="379">
        <v>1</v>
      </c>
    </row>
    <row r="232" spans="1:13" ht="15" customHeight="1" x14ac:dyDescent="0.25">
      <c r="A232" s="7" t="s">
        <v>1770</v>
      </c>
      <c r="B232" s="389">
        <v>0</v>
      </c>
      <c r="C232" s="389">
        <v>0.27272727272727271</v>
      </c>
      <c r="D232" s="389">
        <v>0.72727272727272729</v>
      </c>
      <c r="E232" s="369">
        <v>1</v>
      </c>
      <c r="F232" s="144">
        <v>40</v>
      </c>
      <c r="G232" s="388">
        <v>1.4649995648516144E-2</v>
      </c>
      <c r="I232" s="7" t="s">
        <v>1770</v>
      </c>
      <c r="J232" s="379">
        <v>0</v>
      </c>
      <c r="K232" s="379">
        <v>0.27272727272727271</v>
      </c>
      <c r="L232" s="379">
        <v>0.72727272727272729</v>
      </c>
      <c r="M232" s="379">
        <v>1</v>
      </c>
    </row>
    <row r="233" spans="1:13" ht="15" customHeight="1" x14ac:dyDescent="0.25">
      <c r="A233" s="7" t="s">
        <v>1771</v>
      </c>
      <c r="B233" s="389">
        <v>0</v>
      </c>
      <c r="C233" s="389">
        <v>0</v>
      </c>
      <c r="D233" s="389">
        <v>1</v>
      </c>
      <c r="E233" s="369">
        <v>1</v>
      </c>
      <c r="F233" s="144">
        <v>10</v>
      </c>
      <c r="G233" s="388">
        <v>8.3258391111368981E-3</v>
      </c>
      <c r="I233" s="7" t="s">
        <v>1771</v>
      </c>
      <c r="J233" s="379">
        <v>0</v>
      </c>
      <c r="K233" s="379">
        <v>0</v>
      </c>
      <c r="L233" s="379">
        <v>1</v>
      </c>
      <c r="M233" s="379">
        <v>1</v>
      </c>
    </row>
    <row r="234" spans="1:13" ht="15" customHeight="1" x14ac:dyDescent="0.25">
      <c r="A234" s="7" t="s">
        <v>1772</v>
      </c>
      <c r="B234" s="389">
        <v>0</v>
      </c>
      <c r="C234" s="389">
        <v>0.5</v>
      </c>
      <c r="D234" s="389">
        <v>0.5</v>
      </c>
      <c r="E234" s="369">
        <v>1</v>
      </c>
      <c r="F234" s="144">
        <v>2</v>
      </c>
      <c r="G234" s="388">
        <v>1.4504946186649648E-4</v>
      </c>
      <c r="I234" s="7" t="s">
        <v>1772</v>
      </c>
      <c r="J234" s="379">
        <v>0</v>
      </c>
      <c r="K234" s="379">
        <v>0.5</v>
      </c>
      <c r="L234" s="379">
        <v>0.5</v>
      </c>
      <c r="M234" s="379">
        <v>1</v>
      </c>
    </row>
    <row r="235" spans="1:13" ht="15" customHeight="1" x14ac:dyDescent="0.25">
      <c r="A235" s="7" t="s">
        <v>1773</v>
      </c>
      <c r="B235" s="389">
        <v>0</v>
      </c>
      <c r="C235" s="389">
        <v>0.4</v>
      </c>
      <c r="D235" s="389">
        <v>0.6</v>
      </c>
      <c r="E235" s="369">
        <v>1</v>
      </c>
      <c r="F235" s="144">
        <v>16</v>
      </c>
      <c r="G235" s="388">
        <v>4.2934640712482958E-3</v>
      </c>
      <c r="I235" s="7" t="s">
        <v>1773</v>
      </c>
      <c r="J235" s="379">
        <v>0</v>
      </c>
      <c r="K235" s="379">
        <v>0.4</v>
      </c>
      <c r="L235" s="379">
        <v>0.6</v>
      </c>
      <c r="M235" s="379">
        <v>1</v>
      </c>
    </row>
    <row r="236" spans="1:13" ht="15" customHeight="1" x14ac:dyDescent="0.25">
      <c r="A236" s="7" t="s">
        <v>1774</v>
      </c>
      <c r="B236" s="389">
        <v>0.15625</v>
      </c>
      <c r="C236" s="389">
        <v>0.46875</v>
      </c>
      <c r="D236" s="389">
        <v>0.375</v>
      </c>
      <c r="E236" s="369">
        <v>1</v>
      </c>
      <c r="F236" s="144">
        <v>96</v>
      </c>
      <c r="G236" s="388">
        <v>3.2491079458095214E-2</v>
      </c>
      <c r="I236" s="7" t="s">
        <v>1774</v>
      </c>
      <c r="J236" s="379">
        <v>0.15625</v>
      </c>
      <c r="K236" s="379">
        <v>0.46875</v>
      </c>
      <c r="L236" s="379">
        <v>0.375</v>
      </c>
      <c r="M236" s="379">
        <v>1</v>
      </c>
    </row>
    <row r="237" spans="1:13" ht="15" customHeight="1" x14ac:dyDescent="0.25">
      <c r="A237" s="7" t="s">
        <v>1775</v>
      </c>
      <c r="B237" s="389">
        <v>0.2</v>
      </c>
      <c r="C237" s="389">
        <v>0.13333333333333333</v>
      </c>
      <c r="D237" s="389">
        <v>0.66666666666666663</v>
      </c>
      <c r="E237" s="369">
        <v>1</v>
      </c>
      <c r="F237" s="144">
        <v>9</v>
      </c>
      <c r="G237" s="388">
        <v>4.2064343941283977E-3</v>
      </c>
      <c r="I237" s="7" t="s">
        <v>1775</v>
      </c>
      <c r="J237" s="379">
        <v>0.2</v>
      </c>
      <c r="K237" s="379">
        <v>0.13333333333333333</v>
      </c>
      <c r="L237" s="379">
        <v>0.66666666666666663</v>
      </c>
      <c r="M237" s="379">
        <v>1</v>
      </c>
    </row>
    <row r="238" spans="1:13" ht="15" customHeight="1" x14ac:dyDescent="0.25">
      <c r="A238" s="7" t="s">
        <v>1776</v>
      </c>
      <c r="B238" s="389">
        <v>0.22222222222222221</v>
      </c>
      <c r="C238" s="389">
        <v>0.5185185185185186</v>
      </c>
      <c r="D238" s="389">
        <v>0.2592592592592593</v>
      </c>
      <c r="E238" s="369">
        <v>1</v>
      </c>
      <c r="F238" s="144">
        <v>24</v>
      </c>
      <c r="G238" s="388">
        <v>1.1168808563720229E-2</v>
      </c>
      <c r="I238" s="7" t="s">
        <v>1776</v>
      </c>
      <c r="J238" s="379">
        <v>0.22222222222222221</v>
      </c>
      <c r="K238" s="379">
        <v>0.5185185185185186</v>
      </c>
      <c r="L238" s="379">
        <v>0.2592592592592593</v>
      </c>
      <c r="M238" s="379">
        <v>1</v>
      </c>
    </row>
    <row r="239" spans="1:13" ht="15" customHeight="1" x14ac:dyDescent="0.25">
      <c r="A239" s="7" t="s">
        <v>1777</v>
      </c>
      <c r="B239" s="389">
        <v>0.16666666666666666</v>
      </c>
      <c r="C239" s="389">
        <v>0.55555555555555558</v>
      </c>
      <c r="D239" s="389">
        <v>0.27777777777777779</v>
      </c>
      <c r="E239" s="369">
        <v>1</v>
      </c>
      <c r="F239" s="144">
        <v>40</v>
      </c>
      <c r="G239" s="388">
        <v>1.4940094572249136E-2</v>
      </c>
      <c r="I239" s="7" t="s">
        <v>1777</v>
      </c>
      <c r="J239" s="379">
        <v>0.16666666666666666</v>
      </c>
      <c r="K239" s="379">
        <v>0.55555555555555558</v>
      </c>
      <c r="L239" s="379">
        <v>0.27777777777777779</v>
      </c>
      <c r="M239" s="379">
        <v>1</v>
      </c>
    </row>
    <row r="240" spans="1:13" ht="15" customHeight="1" x14ac:dyDescent="0.25">
      <c r="A240" s="7" t="s">
        <v>1778</v>
      </c>
      <c r="B240" s="389">
        <v>0</v>
      </c>
      <c r="C240" s="389">
        <v>0</v>
      </c>
      <c r="D240" s="389">
        <v>1</v>
      </c>
      <c r="E240" s="369">
        <v>1</v>
      </c>
      <c r="F240" s="144">
        <v>4</v>
      </c>
      <c r="G240" s="388">
        <v>1.6825737576513591E-3</v>
      </c>
      <c r="I240" s="7" t="s">
        <v>1778</v>
      </c>
      <c r="J240" s="379">
        <v>0</v>
      </c>
      <c r="K240" s="379">
        <v>0</v>
      </c>
      <c r="L240" s="379">
        <v>1</v>
      </c>
      <c r="M240" s="379">
        <v>1</v>
      </c>
    </row>
    <row r="241" spans="1:13" ht="15" customHeight="1" x14ac:dyDescent="0.25">
      <c r="A241" s="7" t="s">
        <v>1779</v>
      </c>
      <c r="B241" s="389">
        <v>0</v>
      </c>
      <c r="C241" s="389">
        <v>0</v>
      </c>
      <c r="D241" s="389">
        <v>1</v>
      </c>
      <c r="E241" s="369">
        <v>1</v>
      </c>
      <c r="F241" s="144">
        <v>1</v>
      </c>
      <c r="G241" s="388">
        <v>0</v>
      </c>
      <c r="I241" s="7" t="s">
        <v>1779</v>
      </c>
      <c r="J241" s="379">
        <v>0</v>
      </c>
      <c r="K241" s="379">
        <v>0</v>
      </c>
      <c r="L241" s="379">
        <v>1</v>
      </c>
      <c r="M241" s="379">
        <v>1</v>
      </c>
    </row>
    <row r="242" spans="1:13" ht="15" customHeight="1" x14ac:dyDescent="0.25">
      <c r="A242" s="7" t="s">
        <v>1780</v>
      </c>
      <c r="B242" s="389">
        <v>0.18181818181818182</v>
      </c>
      <c r="C242" s="389">
        <v>0.32727272727272727</v>
      </c>
      <c r="D242" s="389">
        <v>0.49090909090909085</v>
      </c>
      <c r="E242" s="369">
        <v>0.99999999999999989</v>
      </c>
      <c r="F242" s="144">
        <v>17</v>
      </c>
      <c r="G242" s="388">
        <v>8.9930666357227809E-3</v>
      </c>
      <c r="I242" s="7" t="s">
        <v>1780</v>
      </c>
      <c r="J242" s="379">
        <v>0.18181818181818182</v>
      </c>
      <c r="K242" s="379">
        <v>0.32727272727272727</v>
      </c>
      <c r="L242" s="379">
        <v>0.49090909090909085</v>
      </c>
      <c r="M242" s="379">
        <v>0.99999999999999989</v>
      </c>
    </row>
    <row r="243" spans="1:13" ht="15" customHeight="1" x14ac:dyDescent="0.25">
      <c r="A243" s="7" t="s">
        <v>1781</v>
      </c>
      <c r="B243" s="389">
        <v>0.19444444444444445</v>
      </c>
      <c r="C243" s="389">
        <v>0.29292929292929298</v>
      </c>
      <c r="D243" s="389">
        <v>0.51262626262626265</v>
      </c>
      <c r="E243" s="369">
        <v>1</v>
      </c>
      <c r="F243" s="144">
        <v>96</v>
      </c>
      <c r="G243" s="388">
        <v>2.4803457979170898E-2</v>
      </c>
      <c r="I243" s="7" t="s">
        <v>1781</v>
      </c>
      <c r="J243" s="379">
        <v>0.19444444444444445</v>
      </c>
      <c r="K243" s="379">
        <v>0.29292929292929298</v>
      </c>
      <c r="L243" s="379">
        <v>0.51262626262626265</v>
      </c>
      <c r="M243" s="379">
        <v>1</v>
      </c>
    </row>
    <row r="244" spans="1:13" ht="15" customHeight="1" x14ac:dyDescent="0.25">
      <c r="A244" s="7" t="s">
        <v>1782</v>
      </c>
      <c r="B244" s="389">
        <v>0.125</v>
      </c>
      <c r="C244" s="389">
        <v>0.68055555555555558</v>
      </c>
      <c r="D244" s="389">
        <v>0.19444444444444445</v>
      </c>
      <c r="E244" s="369">
        <v>1</v>
      </c>
      <c r="F244" s="144">
        <v>18</v>
      </c>
      <c r="G244" s="388">
        <v>4.4385135331147917E-3</v>
      </c>
      <c r="I244" s="7" t="s">
        <v>1782</v>
      </c>
      <c r="J244" s="379">
        <v>0.125</v>
      </c>
      <c r="K244" s="379">
        <v>0.68055555555555558</v>
      </c>
      <c r="L244" s="379">
        <v>0.19444444444444445</v>
      </c>
      <c r="M244" s="379">
        <v>1</v>
      </c>
    </row>
    <row r="245" spans="1:13" ht="15" customHeight="1" x14ac:dyDescent="0.25">
      <c r="A245" s="7" t="s">
        <v>1783</v>
      </c>
      <c r="B245" s="389">
        <v>0.18181818181818182</v>
      </c>
      <c r="C245" s="389">
        <v>0.32727272727272727</v>
      </c>
      <c r="D245" s="389">
        <v>0.49090909090909085</v>
      </c>
      <c r="E245" s="369">
        <v>0.99999999999999989</v>
      </c>
      <c r="F245" s="144">
        <v>36</v>
      </c>
      <c r="G245" s="388">
        <v>4.6125728873545879E-3</v>
      </c>
      <c r="I245" s="7" t="s">
        <v>1783</v>
      </c>
      <c r="J245" s="379">
        <v>0.18181818181818182</v>
      </c>
      <c r="K245" s="379">
        <v>0.32727272727272727</v>
      </c>
      <c r="L245" s="379">
        <v>0.49090909090909085</v>
      </c>
      <c r="M245" s="379">
        <v>0.99999999999999989</v>
      </c>
    </row>
    <row r="246" spans="1:13" ht="15" customHeight="1" x14ac:dyDescent="0.25">
      <c r="A246" s="7" t="s">
        <v>1784</v>
      </c>
      <c r="B246" s="389">
        <v>1</v>
      </c>
      <c r="C246" s="389">
        <v>0</v>
      </c>
      <c r="D246" s="389">
        <v>0</v>
      </c>
      <c r="E246" s="369">
        <v>1</v>
      </c>
      <c r="F246" s="144">
        <v>1</v>
      </c>
      <c r="G246" s="388">
        <v>0</v>
      </c>
      <c r="I246" s="7" t="s">
        <v>1784</v>
      </c>
      <c r="J246" s="379">
        <v>1</v>
      </c>
      <c r="K246" s="379">
        <v>0</v>
      </c>
      <c r="L246" s="379">
        <v>0</v>
      </c>
      <c r="M246" s="379">
        <v>1</v>
      </c>
    </row>
    <row r="247" spans="1:13" ht="15" customHeight="1" x14ac:dyDescent="0.25">
      <c r="A247" s="7" t="s">
        <v>1785</v>
      </c>
      <c r="B247" s="389">
        <v>0.22580645161290322</v>
      </c>
      <c r="C247" s="389">
        <v>0.47642679900744417</v>
      </c>
      <c r="D247" s="389">
        <v>0.29776674937965264</v>
      </c>
      <c r="E247" s="369">
        <v>1</v>
      </c>
      <c r="F247" s="144">
        <v>85</v>
      </c>
      <c r="G247" s="388">
        <v>3.0779495808070552E-2</v>
      </c>
      <c r="I247" s="7" t="s">
        <v>1785</v>
      </c>
      <c r="J247" s="379">
        <v>0.22580645161290322</v>
      </c>
      <c r="K247" s="379">
        <v>0.47642679900744417</v>
      </c>
      <c r="L247" s="379">
        <v>0.29776674937965264</v>
      </c>
      <c r="M247" s="379">
        <v>1</v>
      </c>
    </row>
    <row r="248" spans="1:13" ht="15" customHeight="1" x14ac:dyDescent="0.25">
      <c r="A248" s="7" t="s">
        <v>1786</v>
      </c>
      <c r="B248" s="389">
        <v>0.17391304347826086</v>
      </c>
      <c r="C248" s="389">
        <v>0.46107178968655205</v>
      </c>
      <c r="D248" s="389">
        <v>0.36501516683518703</v>
      </c>
      <c r="E248" s="369">
        <v>1</v>
      </c>
      <c r="F248" s="144">
        <v>123</v>
      </c>
      <c r="G248" s="388">
        <v>2.8777813234312902E-2</v>
      </c>
      <c r="I248" s="7" t="s">
        <v>1786</v>
      </c>
      <c r="J248" s="379">
        <v>0.17391304347826086</v>
      </c>
      <c r="K248" s="379">
        <v>0.46107178968655205</v>
      </c>
      <c r="L248" s="379">
        <v>0.36501516683518703</v>
      </c>
      <c r="M248" s="379">
        <v>1</v>
      </c>
    </row>
    <row r="249" spans="1:13" ht="15" customHeight="1" x14ac:dyDescent="0.25">
      <c r="A249" s="7" t="s">
        <v>1787</v>
      </c>
      <c r="B249" s="389">
        <v>5.5555555555555552E-2</v>
      </c>
      <c r="C249" s="389">
        <v>0.26984126984126983</v>
      </c>
      <c r="D249" s="389">
        <v>0.67460317460317465</v>
      </c>
      <c r="E249" s="369">
        <v>1</v>
      </c>
      <c r="F249" s="144">
        <v>32</v>
      </c>
      <c r="G249" s="388">
        <v>8.9930666357227809E-3</v>
      </c>
      <c r="I249" s="7" t="s">
        <v>1787</v>
      </c>
      <c r="J249" s="379">
        <v>5.5555555555555552E-2</v>
      </c>
      <c r="K249" s="379">
        <v>0.26984126984126983</v>
      </c>
      <c r="L249" s="379">
        <v>0.67460317460317465</v>
      </c>
      <c r="M249" s="379">
        <v>1</v>
      </c>
    </row>
    <row r="250" spans="1:13" ht="15" customHeight="1" x14ac:dyDescent="0.25">
      <c r="A250" s="7" t="s">
        <v>1788</v>
      </c>
      <c r="B250" s="389">
        <v>0</v>
      </c>
      <c r="C250" s="389">
        <v>0.5</v>
      </c>
      <c r="D250" s="389">
        <v>0.5</v>
      </c>
      <c r="E250" s="369">
        <v>1</v>
      </c>
      <c r="F250" s="144">
        <v>19</v>
      </c>
      <c r="G250" s="388">
        <v>3.4521771924226163E-3</v>
      </c>
      <c r="I250" s="7" t="s">
        <v>1788</v>
      </c>
      <c r="J250" s="379">
        <v>0</v>
      </c>
      <c r="K250" s="379">
        <v>0.5</v>
      </c>
      <c r="L250" s="379">
        <v>0.5</v>
      </c>
      <c r="M250" s="379">
        <v>1</v>
      </c>
    </row>
    <row r="251" spans="1:13" ht="15" customHeight="1" x14ac:dyDescent="0.25">
      <c r="A251" s="7" t="s">
        <v>1789</v>
      </c>
      <c r="B251" s="389">
        <v>0</v>
      </c>
      <c r="C251" s="389">
        <v>0.66666666666666663</v>
      </c>
      <c r="D251" s="389">
        <v>0.33333333333333331</v>
      </c>
      <c r="E251" s="369">
        <v>1</v>
      </c>
      <c r="F251" s="144">
        <v>10</v>
      </c>
      <c r="G251" s="388">
        <v>2.2917814974906443E-3</v>
      </c>
      <c r="I251" s="7" t="s">
        <v>1789</v>
      </c>
      <c r="J251" s="379">
        <v>0</v>
      </c>
      <c r="K251" s="379">
        <v>0.66666666666666663</v>
      </c>
      <c r="L251" s="379">
        <v>0.33333333333333331</v>
      </c>
      <c r="M251" s="379">
        <v>1</v>
      </c>
    </row>
    <row r="252" spans="1:13" ht="15" customHeight="1" x14ac:dyDescent="0.25">
      <c r="A252" s="7" t="s">
        <v>1790</v>
      </c>
      <c r="B252" s="389">
        <v>0</v>
      </c>
      <c r="C252" s="389">
        <v>1</v>
      </c>
      <c r="D252" s="389">
        <v>0</v>
      </c>
      <c r="E252" s="369">
        <v>1</v>
      </c>
      <c r="F252" s="144">
        <v>1</v>
      </c>
      <c r="G252" s="388">
        <v>5.9470279365263553E-3</v>
      </c>
      <c r="I252" s="7" t="s">
        <v>1790</v>
      </c>
      <c r="J252" s="379">
        <v>0</v>
      </c>
      <c r="K252" s="379">
        <v>1</v>
      </c>
      <c r="L252" s="379">
        <v>0</v>
      </c>
      <c r="M252" s="379">
        <v>1</v>
      </c>
    </row>
    <row r="253" spans="1:13" ht="15" customHeight="1" x14ac:dyDescent="0.25">
      <c r="A253" s="7" t="s">
        <v>1791</v>
      </c>
      <c r="B253" s="389">
        <v>0</v>
      </c>
      <c r="C253" s="389">
        <v>0</v>
      </c>
      <c r="D253" s="389">
        <v>1</v>
      </c>
      <c r="E253" s="369">
        <v>1</v>
      </c>
      <c r="F253" s="144">
        <v>2</v>
      </c>
      <c r="G253" s="388">
        <v>1.363464941545067E-3</v>
      </c>
      <c r="I253" s="7" t="s">
        <v>1791</v>
      </c>
      <c r="J253" s="379">
        <v>0</v>
      </c>
      <c r="K253" s="379">
        <v>0</v>
      </c>
      <c r="L253" s="379">
        <v>1</v>
      </c>
      <c r="M253" s="379">
        <v>1</v>
      </c>
    </row>
    <row r="254" spans="1:13" ht="15" customHeight="1" x14ac:dyDescent="0.25">
      <c r="A254" s="7" t="s">
        <v>1792</v>
      </c>
      <c r="B254" s="389">
        <v>0.13333333333333333</v>
      </c>
      <c r="C254" s="389">
        <v>0.4632183908045977</v>
      </c>
      <c r="D254" s="389">
        <v>0.40344827586206899</v>
      </c>
      <c r="E254" s="369">
        <v>1</v>
      </c>
      <c r="F254" s="144">
        <v>134</v>
      </c>
      <c r="G254" s="388">
        <v>4.2122363726030579E-2</v>
      </c>
      <c r="I254" s="7" t="s">
        <v>1792</v>
      </c>
      <c r="J254" s="379">
        <v>0.13333333333333333</v>
      </c>
      <c r="K254" s="379">
        <v>0.4632183908045977</v>
      </c>
      <c r="L254" s="379">
        <v>0.40344827586206899</v>
      </c>
      <c r="M254" s="379">
        <v>1</v>
      </c>
    </row>
    <row r="255" spans="1:13" ht="15" customHeight="1" x14ac:dyDescent="0.25">
      <c r="A255" s="7" t="s">
        <v>1793</v>
      </c>
      <c r="B255" s="389">
        <v>0.15625</v>
      </c>
      <c r="C255" s="389">
        <v>0.33750000000000002</v>
      </c>
      <c r="D255" s="389">
        <v>0.50624999999999998</v>
      </c>
      <c r="E255" s="369">
        <v>1</v>
      </c>
      <c r="F255" s="144">
        <v>81</v>
      </c>
      <c r="G255" s="388">
        <v>2.5412665719010182E-2</v>
      </c>
      <c r="I255" s="7" t="s">
        <v>1793</v>
      </c>
      <c r="J255" s="379">
        <v>0.15625</v>
      </c>
      <c r="K255" s="379">
        <v>0.33750000000000002</v>
      </c>
      <c r="L255" s="379">
        <v>0.50624999999999998</v>
      </c>
      <c r="M255" s="379">
        <v>1</v>
      </c>
    </row>
    <row r="256" spans="1:13" ht="15" customHeight="1" x14ac:dyDescent="0.25">
      <c r="A256" s="7" t="s">
        <v>1794</v>
      </c>
      <c r="B256" s="389">
        <v>0</v>
      </c>
      <c r="C256" s="389">
        <v>0.66666666666666663</v>
      </c>
      <c r="D256" s="389">
        <v>0.33333333333333331</v>
      </c>
      <c r="E256" s="369">
        <v>1</v>
      </c>
      <c r="F256" s="144">
        <v>5</v>
      </c>
      <c r="G256" s="388">
        <v>1.4214847262916655E-3</v>
      </c>
      <c r="I256" s="7" t="s">
        <v>1794</v>
      </c>
      <c r="J256" s="379">
        <v>0</v>
      </c>
      <c r="K256" s="379">
        <v>0.66666666666666663</v>
      </c>
      <c r="L256" s="379">
        <v>0.33333333333333331</v>
      </c>
      <c r="M256" s="379">
        <v>1</v>
      </c>
    </row>
    <row r="257" spans="1:13" ht="15" customHeight="1" x14ac:dyDescent="0.25">
      <c r="A257" s="7" t="s">
        <v>1795</v>
      </c>
      <c r="B257" s="389">
        <v>0</v>
      </c>
      <c r="C257" s="389">
        <v>0</v>
      </c>
      <c r="D257" s="389">
        <v>1</v>
      </c>
      <c r="E257" s="369">
        <v>1</v>
      </c>
      <c r="F257" s="144">
        <v>2</v>
      </c>
      <c r="G257" s="388">
        <v>5.2217806271938729E-4</v>
      </c>
      <c r="I257" s="7" t="s">
        <v>1795</v>
      </c>
      <c r="J257" s="379">
        <v>0</v>
      </c>
      <c r="K257" s="379">
        <v>0</v>
      </c>
      <c r="L257" s="379">
        <v>1</v>
      </c>
      <c r="M257" s="379">
        <v>1</v>
      </c>
    </row>
    <row r="258" spans="1:13" ht="15" customHeight="1" x14ac:dyDescent="0.25">
      <c r="A258" s="7" t="s">
        <v>1796</v>
      </c>
      <c r="B258" s="389">
        <v>0.16666666666666666</v>
      </c>
      <c r="C258" s="389">
        <v>0.41666666666666669</v>
      </c>
      <c r="D258" s="389">
        <v>0.41666666666666669</v>
      </c>
      <c r="E258" s="369">
        <v>1</v>
      </c>
      <c r="F258" s="144">
        <v>16</v>
      </c>
      <c r="G258" s="388">
        <v>7.0494038467117286E-3</v>
      </c>
      <c r="I258" s="7" t="s">
        <v>1796</v>
      </c>
      <c r="J258" s="379">
        <v>0.16666666666666666</v>
      </c>
      <c r="K258" s="379">
        <v>0.41666666666666669</v>
      </c>
      <c r="L258" s="379">
        <v>0.41666666666666669</v>
      </c>
      <c r="M258" s="379">
        <v>1</v>
      </c>
    </row>
    <row r="259" spans="1:13" ht="15" customHeight="1" x14ac:dyDescent="0.25">
      <c r="A259" s="7" t="s">
        <v>1797</v>
      </c>
      <c r="B259" s="389">
        <v>0</v>
      </c>
      <c r="C259" s="389">
        <v>0</v>
      </c>
      <c r="D259" s="389">
        <v>1</v>
      </c>
      <c r="E259" s="369">
        <v>1</v>
      </c>
      <c r="F259" s="144">
        <v>2</v>
      </c>
      <c r="G259" s="388">
        <v>1.5375242957848627E-3</v>
      </c>
      <c r="I259" s="7" t="s">
        <v>1797</v>
      </c>
      <c r="J259" s="379">
        <v>0</v>
      </c>
      <c r="K259" s="379">
        <v>0</v>
      </c>
      <c r="L259" s="379">
        <v>1</v>
      </c>
      <c r="M259" s="379">
        <v>1</v>
      </c>
    </row>
    <row r="260" spans="1:13" ht="15" customHeight="1" x14ac:dyDescent="0.25">
      <c r="A260" s="7" t="s">
        <v>1798</v>
      </c>
      <c r="B260" s="389">
        <v>1</v>
      </c>
      <c r="C260" s="389">
        <v>0</v>
      </c>
      <c r="D260" s="389">
        <v>0</v>
      </c>
      <c r="E260" s="369">
        <v>1</v>
      </c>
      <c r="F260" s="144">
        <v>1</v>
      </c>
      <c r="G260" s="388">
        <v>4.6415827797278872E-4</v>
      </c>
      <c r="I260" s="7" t="s">
        <v>1798</v>
      </c>
      <c r="J260" s="379">
        <v>1</v>
      </c>
      <c r="K260" s="379">
        <v>0</v>
      </c>
      <c r="L260" s="379">
        <v>0</v>
      </c>
      <c r="M260" s="379">
        <v>1</v>
      </c>
    </row>
    <row r="261" spans="1:13" ht="15" customHeight="1" x14ac:dyDescent="0.25">
      <c r="A261" s="7" t="s">
        <v>1799</v>
      </c>
      <c r="B261" s="389">
        <v>0</v>
      </c>
      <c r="C261" s="389">
        <v>0</v>
      </c>
      <c r="D261" s="389">
        <v>0</v>
      </c>
      <c r="E261" s="369">
        <v>0</v>
      </c>
      <c r="F261" s="144">
        <v>1</v>
      </c>
      <c r="G261" s="388">
        <v>5.801978474659859E-5</v>
      </c>
      <c r="I261" s="7" t="s">
        <v>1799</v>
      </c>
      <c r="J261" s="379">
        <v>0</v>
      </c>
      <c r="K261" s="379">
        <v>0</v>
      </c>
      <c r="L261" s="379">
        <v>0</v>
      </c>
      <c r="M261" s="379">
        <v>0</v>
      </c>
    </row>
    <row r="262" spans="1:13" ht="15" customHeight="1" x14ac:dyDescent="0.25">
      <c r="A262" s="7" t="s">
        <v>1800</v>
      </c>
      <c r="B262" s="389">
        <v>0</v>
      </c>
      <c r="C262" s="389">
        <v>0</v>
      </c>
      <c r="D262" s="389">
        <v>1</v>
      </c>
      <c r="E262" s="369">
        <v>1</v>
      </c>
      <c r="F262" s="144">
        <v>1</v>
      </c>
      <c r="G262" s="388">
        <v>6.6722752458588379E-4</v>
      </c>
      <c r="I262" s="7" t="s">
        <v>1800</v>
      </c>
      <c r="J262" s="379">
        <v>0</v>
      </c>
      <c r="K262" s="379">
        <v>0</v>
      </c>
      <c r="L262" s="379">
        <v>1</v>
      </c>
      <c r="M262" s="379">
        <v>1</v>
      </c>
    </row>
    <row r="263" spans="1:13" ht="15" customHeight="1" x14ac:dyDescent="0.25">
      <c r="A263" s="7" t="s">
        <v>1801</v>
      </c>
      <c r="B263" s="389">
        <v>0</v>
      </c>
      <c r="C263" s="389">
        <v>0</v>
      </c>
      <c r="D263" s="389">
        <v>0</v>
      </c>
      <c r="E263" s="369">
        <v>0</v>
      </c>
      <c r="F263" s="144">
        <v>2</v>
      </c>
      <c r="G263" s="388">
        <v>3.5682167619158133E-3</v>
      </c>
      <c r="I263" s="7" t="s">
        <v>1801</v>
      </c>
      <c r="J263" s="379">
        <v>0</v>
      </c>
      <c r="K263" s="379">
        <v>0</v>
      </c>
      <c r="L263" s="379">
        <v>0</v>
      </c>
      <c r="M263" s="379">
        <v>0</v>
      </c>
    </row>
    <row r="264" spans="1:13" ht="15" customHeight="1" x14ac:dyDescent="0.25">
      <c r="A264" s="7" t="s">
        <v>1802</v>
      </c>
      <c r="B264" s="389">
        <v>0</v>
      </c>
      <c r="C264" s="389">
        <v>0</v>
      </c>
      <c r="D264" s="389">
        <v>1</v>
      </c>
      <c r="E264" s="369">
        <v>1</v>
      </c>
      <c r="F264" s="144">
        <v>1</v>
      </c>
      <c r="G264" s="388">
        <v>6.9623741695918305E-4</v>
      </c>
      <c r="I264" s="7" t="s">
        <v>1802</v>
      </c>
      <c r="J264" s="379">
        <v>0</v>
      </c>
      <c r="K264" s="379">
        <v>0</v>
      </c>
      <c r="L264" s="379">
        <v>1</v>
      </c>
      <c r="M264" s="379">
        <v>1</v>
      </c>
    </row>
    <row r="265" spans="1:13" ht="15" customHeight="1" x14ac:dyDescent="0.25">
      <c r="A265" s="7" t="s">
        <v>1803</v>
      </c>
      <c r="B265" s="389">
        <v>0.33333333333333331</v>
      </c>
      <c r="C265" s="389">
        <v>0.16666666666666669</v>
      </c>
      <c r="D265" s="389">
        <v>0.5</v>
      </c>
      <c r="E265" s="369">
        <v>1</v>
      </c>
      <c r="F265" s="144">
        <v>8</v>
      </c>
      <c r="G265" s="388">
        <v>4.5255432102346898E-3</v>
      </c>
      <c r="I265" s="7" t="s">
        <v>1803</v>
      </c>
      <c r="J265" s="379">
        <v>0.33333333333333331</v>
      </c>
      <c r="K265" s="379">
        <v>0.16666666666666669</v>
      </c>
      <c r="L265" s="379">
        <v>0.5</v>
      </c>
      <c r="M265" s="379">
        <v>1</v>
      </c>
    </row>
    <row r="266" spans="1:13" ht="15" customHeight="1" x14ac:dyDescent="0.25">
      <c r="A266" s="7" t="s">
        <v>1804</v>
      </c>
      <c r="B266" s="389">
        <v>0</v>
      </c>
      <c r="C266" s="389">
        <v>0</v>
      </c>
      <c r="D266" s="389">
        <v>0</v>
      </c>
      <c r="E266" s="369">
        <v>0</v>
      </c>
      <c r="F266" s="144">
        <v>4</v>
      </c>
      <c r="G266" s="388">
        <v>2.8429694525833309E-3</v>
      </c>
      <c r="I266" s="7" t="s">
        <v>1804</v>
      </c>
      <c r="J266" s="379">
        <v>0</v>
      </c>
      <c r="K266" s="379">
        <v>0</v>
      </c>
      <c r="L266" s="379">
        <v>0</v>
      </c>
      <c r="M266" s="379">
        <v>0</v>
      </c>
    </row>
    <row r="267" spans="1:13" ht="15" customHeight="1" x14ac:dyDescent="0.25">
      <c r="A267" s="7" t="s">
        <v>1805</v>
      </c>
      <c r="B267" s="389">
        <v>0</v>
      </c>
      <c r="C267" s="389">
        <v>0</v>
      </c>
      <c r="D267" s="389">
        <v>0</v>
      </c>
      <c r="E267" s="369">
        <v>0</v>
      </c>
      <c r="F267" s="144">
        <v>2</v>
      </c>
      <c r="G267" s="388">
        <v>6.0920773983928517E-4</v>
      </c>
      <c r="I267" s="7" t="s">
        <v>1805</v>
      </c>
      <c r="J267" s="379">
        <v>0</v>
      </c>
      <c r="K267" s="379">
        <v>0</v>
      </c>
      <c r="L267" s="379">
        <v>0</v>
      </c>
      <c r="M267" s="379">
        <v>0</v>
      </c>
    </row>
    <row r="268" spans="1:13" ht="15" customHeight="1" x14ac:dyDescent="0.25">
      <c r="A268" s="7" t="s">
        <v>1806</v>
      </c>
      <c r="B268" s="389">
        <v>1</v>
      </c>
      <c r="C268" s="389">
        <v>0</v>
      </c>
      <c r="D268" s="389">
        <v>0</v>
      </c>
      <c r="E268" s="369">
        <v>1</v>
      </c>
      <c r="F268" s="144">
        <v>1</v>
      </c>
      <c r="G268" s="388">
        <v>0</v>
      </c>
      <c r="I268" s="7" t="s">
        <v>1806</v>
      </c>
      <c r="J268" s="379">
        <v>1</v>
      </c>
      <c r="K268" s="379">
        <v>0</v>
      </c>
      <c r="L268" s="379">
        <v>0</v>
      </c>
      <c r="M268" s="379">
        <v>1</v>
      </c>
    </row>
    <row r="269" spans="1:13" ht="15" customHeight="1" x14ac:dyDescent="0.25">
      <c r="A269" s="7" t="s">
        <v>1807</v>
      </c>
      <c r="B269" s="389">
        <v>0.2</v>
      </c>
      <c r="C269" s="389">
        <v>0.32</v>
      </c>
      <c r="D269" s="389">
        <v>0.48000000000000009</v>
      </c>
      <c r="E269" s="369">
        <v>1</v>
      </c>
      <c r="F269" s="144">
        <v>6</v>
      </c>
      <c r="G269" s="388">
        <v>1.1313858025586725E-3</v>
      </c>
      <c r="I269" s="7" t="s">
        <v>1807</v>
      </c>
      <c r="J269" s="379">
        <v>0.2</v>
      </c>
      <c r="K269" s="379">
        <v>0.32</v>
      </c>
      <c r="L269" s="379">
        <v>0.48000000000000009</v>
      </c>
      <c r="M269" s="379">
        <v>1</v>
      </c>
    </row>
    <row r="270" spans="1:13" ht="15" customHeight="1" x14ac:dyDescent="0.25">
      <c r="A270" s="7" t="s">
        <v>1808</v>
      </c>
      <c r="B270" s="389">
        <v>0</v>
      </c>
      <c r="C270" s="389">
        <v>0</v>
      </c>
      <c r="D270" s="389">
        <v>1</v>
      </c>
      <c r="E270" s="369">
        <v>1</v>
      </c>
      <c r="F270" s="144">
        <v>3</v>
      </c>
      <c r="G270" s="388">
        <v>5.9470279365263553E-3</v>
      </c>
      <c r="I270" s="7" t="s">
        <v>1808</v>
      </c>
      <c r="J270" s="379">
        <v>0</v>
      </c>
      <c r="K270" s="379">
        <v>0</v>
      </c>
      <c r="L270" s="379">
        <v>1</v>
      </c>
      <c r="M270" s="379">
        <v>1</v>
      </c>
    </row>
    <row r="271" spans="1:13" ht="15" customHeight="1" x14ac:dyDescent="0.25">
      <c r="A271" s="7" t="s">
        <v>1809</v>
      </c>
      <c r="B271" s="389">
        <v>0.66666666666666663</v>
      </c>
      <c r="C271" s="389">
        <v>0.33333333333333337</v>
      </c>
      <c r="D271" s="389">
        <v>0</v>
      </c>
      <c r="E271" s="369">
        <v>1</v>
      </c>
      <c r="F271" s="144">
        <v>11</v>
      </c>
      <c r="G271" s="388">
        <v>2.2627716051173449E-3</v>
      </c>
      <c r="I271" s="7" t="s">
        <v>1809</v>
      </c>
      <c r="J271" s="379">
        <v>0.66666666666666663</v>
      </c>
      <c r="K271" s="379">
        <v>0.33333333333333337</v>
      </c>
      <c r="L271" s="379">
        <v>0</v>
      </c>
      <c r="M271" s="379">
        <v>1</v>
      </c>
    </row>
    <row r="272" spans="1:13" ht="15" customHeight="1" x14ac:dyDescent="0.25">
      <c r="A272" s="370" t="s">
        <v>1810</v>
      </c>
      <c r="B272" s="390">
        <v>0</v>
      </c>
      <c r="C272" s="390">
        <v>0.5</v>
      </c>
      <c r="D272" s="390">
        <v>0.5</v>
      </c>
      <c r="E272" s="374">
        <v>1</v>
      </c>
      <c r="F272" s="373">
        <v>4</v>
      </c>
      <c r="G272" s="391">
        <v>7.5425720170578167E-4</v>
      </c>
      <c r="I272" s="370" t="s">
        <v>1810</v>
      </c>
      <c r="J272" s="380">
        <v>0</v>
      </c>
      <c r="K272" s="380">
        <v>0.5</v>
      </c>
      <c r="L272" s="380">
        <v>0.5</v>
      </c>
      <c r="M272" s="380">
        <v>1</v>
      </c>
    </row>
    <row r="273" spans="1:42" ht="15" customHeight="1" x14ac:dyDescent="0.25">
      <c r="A273" s="823" t="s">
        <v>1811</v>
      </c>
      <c r="B273" s="382">
        <v>0.17837837837837839</v>
      </c>
      <c r="C273" s="382">
        <v>0.46175782081293898</v>
      </c>
      <c r="D273" s="382">
        <v>0.35986380080868269</v>
      </c>
      <c r="E273" s="388">
        <v>1</v>
      </c>
      <c r="F273" s="153">
        <v>3292</v>
      </c>
      <c r="G273" s="388">
        <v>1.0000000000000002</v>
      </c>
      <c r="I273" s="823" t="s">
        <v>1811</v>
      </c>
      <c r="J273" s="392">
        <v>0.17837837837837839</v>
      </c>
      <c r="K273" s="392">
        <v>0.46175782081293898</v>
      </c>
      <c r="L273" s="392">
        <v>0.35986380080868269</v>
      </c>
      <c r="M273" s="392">
        <v>1</v>
      </c>
    </row>
    <row r="274" spans="1:42" ht="15" customHeight="1" x14ac:dyDescent="0.25">
      <c r="A274" s="375" t="s">
        <v>1812</v>
      </c>
      <c r="B274" s="393">
        <v>0.20214077902047825</v>
      </c>
      <c r="C274" s="393">
        <v>0.40443155302542416</v>
      </c>
      <c r="D274" s="393">
        <v>0.39342766795409756</v>
      </c>
      <c r="E274" s="393">
        <v>1</v>
      </c>
      <c r="F274" s="377">
        <v>642</v>
      </c>
      <c r="M274" s="385"/>
    </row>
    <row r="275" spans="1:42" ht="15" customHeight="1" x14ac:dyDescent="0.25">
      <c r="A275" s="375"/>
      <c r="B275" s="393"/>
      <c r="C275" s="393"/>
      <c r="D275" s="393"/>
      <c r="E275" s="393"/>
      <c r="F275" s="377"/>
      <c r="M275" s="385"/>
      <c r="N275" s="810"/>
      <c r="O275" s="810"/>
      <c r="P275" s="810"/>
      <c r="Q275" s="810"/>
      <c r="R275" s="810"/>
      <c r="S275" s="810"/>
      <c r="T275" s="810"/>
      <c r="U275" s="810"/>
      <c r="V275" s="810"/>
      <c r="W275" s="810"/>
      <c r="X275" s="810"/>
      <c r="Y275" s="810"/>
    </row>
    <row r="276" spans="1:42" ht="15" customHeight="1" x14ac:dyDescent="0.25">
      <c r="A276" s="375"/>
      <c r="B276" s="393"/>
      <c r="C276" s="393"/>
      <c r="D276" s="393"/>
      <c r="E276" s="393"/>
      <c r="F276" s="377"/>
      <c r="M276" s="385"/>
      <c r="N276" s="840" t="s">
        <v>1819</v>
      </c>
      <c r="O276" s="840"/>
      <c r="P276" s="840"/>
      <c r="Q276" s="840"/>
      <c r="R276" s="840"/>
      <c r="S276" s="840"/>
      <c r="T276" s="840"/>
      <c r="U276" s="840"/>
      <c r="V276" s="840"/>
      <c r="W276" s="840"/>
      <c r="X276" s="840"/>
      <c r="Y276" s="840"/>
    </row>
    <row r="277" spans="1:42" ht="15" customHeight="1" x14ac:dyDescent="0.25">
      <c r="A277" s="1" t="s">
        <v>1820</v>
      </c>
      <c r="B277" s="394">
        <v>0.12682847387497848</v>
      </c>
      <c r="C277" s="395" t="s">
        <v>1821</v>
      </c>
      <c r="D277" s="385"/>
      <c r="E277" s="385"/>
      <c r="F277" s="396" t="s">
        <v>1822</v>
      </c>
      <c r="G277" s="396" t="s">
        <v>1823</v>
      </c>
      <c r="M277" s="385"/>
      <c r="W277" s="397" t="s">
        <v>511</v>
      </c>
      <c r="X277" s="397" t="s">
        <v>511</v>
      </c>
      <c r="Y277" s="397" t="s">
        <v>511</v>
      </c>
      <c r="Z277" s="397" t="s">
        <v>511</v>
      </c>
      <c r="AA277" s="397" t="s">
        <v>511</v>
      </c>
      <c r="AB277" s="397" t="s">
        <v>511</v>
      </c>
      <c r="AC277" s="397" t="s">
        <v>511</v>
      </c>
      <c r="AD277" s="397" t="s">
        <v>511</v>
      </c>
      <c r="AE277" s="397" t="s">
        <v>511</v>
      </c>
      <c r="AF277" s="397" t="s">
        <v>511</v>
      </c>
      <c r="AG277" s="397" t="s">
        <v>511</v>
      </c>
      <c r="AH277" s="397" t="s">
        <v>511</v>
      </c>
      <c r="AI277" s="397" t="s">
        <v>511</v>
      </c>
      <c r="AJ277" s="397" t="s">
        <v>511</v>
      </c>
      <c r="AK277" s="397" t="s">
        <v>511</v>
      </c>
      <c r="AL277" s="397" t="s">
        <v>511</v>
      </c>
      <c r="AM277" s="397" t="s">
        <v>511</v>
      </c>
      <c r="AN277" s="397" t="s">
        <v>511</v>
      </c>
      <c r="AO277" s="397" t="s">
        <v>511</v>
      </c>
      <c r="AP277" s="397" t="s">
        <v>511</v>
      </c>
    </row>
    <row r="278" spans="1:42" ht="15" customHeight="1" x14ac:dyDescent="0.25">
      <c r="A278" s="384"/>
      <c r="B278" s="387" t="s">
        <v>1816</v>
      </c>
      <c r="C278" s="387" t="s">
        <v>1817</v>
      </c>
      <c r="D278" s="387" t="s">
        <v>1818</v>
      </c>
      <c r="E278" s="143" t="s">
        <v>341</v>
      </c>
      <c r="F278" s="398" t="s">
        <v>1824</v>
      </c>
      <c r="G278" s="398" t="s">
        <v>222</v>
      </c>
      <c r="H278" s="140" t="s">
        <v>1825</v>
      </c>
      <c r="I278" s="140"/>
      <c r="J278" s="140"/>
      <c r="K278" s="140"/>
      <c r="L278" s="140"/>
      <c r="M278" s="385"/>
      <c r="N278" s="813" t="s">
        <v>1826</v>
      </c>
      <c r="O278" s="813">
        <v>2008</v>
      </c>
      <c r="P278" s="813">
        <v>2009</v>
      </c>
      <c r="Q278" s="813">
        <v>2010</v>
      </c>
      <c r="R278" s="813">
        <v>2011</v>
      </c>
      <c r="S278" s="813">
        <v>2012</v>
      </c>
      <c r="T278" s="813">
        <v>2013</v>
      </c>
      <c r="U278" s="813">
        <v>2014</v>
      </c>
      <c r="V278" s="813">
        <v>2015</v>
      </c>
      <c r="W278" s="399">
        <v>2016</v>
      </c>
      <c r="X278" s="399">
        <v>2017</v>
      </c>
      <c r="Y278" s="399">
        <v>2018</v>
      </c>
      <c r="Z278" s="399">
        <v>2019</v>
      </c>
      <c r="AA278" s="399">
        <v>2020</v>
      </c>
      <c r="AB278" s="399">
        <v>2021</v>
      </c>
      <c r="AC278" s="399">
        <v>2022</v>
      </c>
      <c r="AD278" s="399">
        <v>2023</v>
      </c>
      <c r="AE278" s="399">
        <v>2024</v>
      </c>
      <c r="AF278" s="399">
        <v>2025</v>
      </c>
      <c r="AG278" s="399">
        <v>2026</v>
      </c>
      <c r="AH278" s="399">
        <v>2027</v>
      </c>
      <c r="AI278" s="399">
        <v>2028</v>
      </c>
      <c r="AJ278" s="399">
        <v>2029</v>
      </c>
      <c r="AK278" s="399">
        <v>2030</v>
      </c>
      <c r="AL278" s="399">
        <v>2031</v>
      </c>
      <c r="AM278" s="399">
        <v>2032</v>
      </c>
      <c r="AN278" s="399">
        <v>2033</v>
      </c>
      <c r="AO278" s="399">
        <v>2034</v>
      </c>
      <c r="AP278" s="399">
        <v>2035</v>
      </c>
    </row>
    <row r="279" spans="1:42" ht="15" customHeight="1" x14ac:dyDescent="0.25">
      <c r="A279" s="400" t="s">
        <v>1827</v>
      </c>
      <c r="B279" s="401">
        <v>0.17347609245645115</v>
      </c>
      <c r="C279" s="401">
        <v>0.45583030996880425</v>
      </c>
      <c r="D279" s="401">
        <v>0.36161350126190206</v>
      </c>
      <c r="E279" s="401">
        <v>1</v>
      </c>
      <c r="F279" s="402"/>
      <c r="M279" s="385"/>
      <c r="N279" s="812" t="s">
        <v>137</v>
      </c>
      <c r="O279" s="97">
        <v>1</v>
      </c>
      <c r="P279" s="97">
        <v>1</v>
      </c>
      <c r="Q279" s="97">
        <v>1</v>
      </c>
      <c r="R279" s="97">
        <v>1</v>
      </c>
      <c r="S279" s="97">
        <v>1</v>
      </c>
      <c r="T279" s="97">
        <v>1</v>
      </c>
      <c r="U279" s="97">
        <v>1</v>
      </c>
      <c r="V279" s="97">
        <v>1</v>
      </c>
      <c r="W279" s="403">
        <v>1</v>
      </c>
      <c r="X279" s="403">
        <v>1</v>
      </c>
      <c r="Y279" s="403">
        <v>1</v>
      </c>
      <c r="Z279" s="403">
        <v>1</v>
      </c>
      <c r="AA279" s="403">
        <v>1</v>
      </c>
      <c r="AB279" s="403">
        <v>1</v>
      </c>
      <c r="AC279" s="403">
        <v>1</v>
      </c>
      <c r="AD279" s="403">
        <v>1</v>
      </c>
      <c r="AE279" s="403">
        <v>1</v>
      </c>
      <c r="AF279" s="403">
        <v>1</v>
      </c>
      <c r="AG279" s="403">
        <v>1</v>
      </c>
      <c r="AH279" s="403">
        <v>1</v>
      </c>
      <c r="AI279" s="403">
        <v>1</v>
      </c>
      <c r="AJ279" s="403">
        <v>1</v>
      </c>
      <c r="AK279" s="403">
        <v>1</v>
      </c>
      <c r="AL279" s="403">
        <v>1</v>
      </c>
      <c r="AM279" s="403">
        <v>1</v>
      </c>
      <c r="AN279" s="403">
        <v>1</v>
      </c>
      <c r="AO279" s="403">
        <v>1</v>
      </c>
      <c r="AP279" s="403">
        <v>1</v>
      </c>
    </row>
    <row r="280" spans="1:42" ht="15" customHeight="1" x14ac:dyDescent="0.25">
      <c r="A280" s="400">
        <v>2006</v>
      </c>
      <c r="B280" s="404">
        <v>0.64688757408333508</v>
      </c>
      <c r="C280" s="404">
        <v>0.26329710753919444</v>
      </c>
      <c r="D280" s="404">
        <v>8.9815318377470449E-2</v>
      </c>
      <c r="E280" s="404">
        <v>1</v>
      </c>
      <c r="F280" s="402">
        <v>0.52005910020835655</v>
      </c>
      <c r="G280" s="405">
        <v>0.5729769927473557</v>
      </c>
      <c r="M280" s="385"/>
      <c r="N280" s="812" t="s">
        <v>138</v>
      </c>
      <c r="O280" s="97">
        <v>2.3235093538296465E-2</v>
      </c>
      <c r="P280" s="97">
        <v>2.1700747427414329E-2</v>
      </c>
      <c r="Q280" s="97">
        <v>2.0166401316532186E-2</v>
      </c>
      <c r="R280" s="97">
        <v>1.5994722734532774E-2</v>
      </c>
      <c r="S280" s="97">
        <v>1.4739567580100721E-2</v>
      </c>
      <c r="T280" s="97">
        <v>1.3681479098346577E-2</v>
      </c>
      <c r="U280" s="97">
        <v>1.1297202057529317E-2</v>
      </c>
      <c r="V280" s="97">
        <v>1.1069692013153257E-2</v>
      </c>
      <c r="W280" s="403">
        <v>1.025466544804096E-2</v>
      </c>
      <c r="X280" s="403">
        <v>9.5327497467239813E-3</v>
      </c>
      <c r="Y280" s="403">
        <v>8.9157470621560268E-3</v>
      </c>
      <c r="Z280" s="403">
        <v>8.3884108204458491E-3</v>
      </c>
      <c r="AA280" s="403">
        <v>7.9377101690933545E-3</v>
      </c>
      <c r="AB280" s="403">
        <v>7.5525079753833253E-3</v>
      </c>
      <c r="AC280" s="403">
        <v>7.2232856199380907E-3</v>
      </c>
      <c r="AD280" s="403">
        <v>6.9419077848819951E-3</v>
      </c>
      <c r="AE280" s="403">
        <v>6.7014214243681378E-3</v>
      </c>
      <c r="AF280" s="403">
        <v>6.4958839498841505E-3</v>
      </c>
      <c r="AG280" s="403">
        <v>6.3202163846759335E-3</v>
      </c>
      <c r="AH280" s="403">
        <v>6.3202163846759335E-3</v>
      </c>
      <c r="AI280" s="403">
        <v>6.3202163846759335E-3</v>
      </c>
      <c r="AJ280" s="403">
        <v>6.3202163846759335E-3</v>
      </c>
      <c r="AK280" s="403">
        <v>6.3202163846759335E-3</v>
      </c>
      <c r="AL280" s="403">
        <v>6.3202163846759335E-3</v>
      </c>
      <c r="AM280" s="403">
        <v>6.3202163846759335E-3</v>
      </c>
      <c r="AN280" s="403">
        <v>6.3202163846759335E-3</v>
      </c>
      <c r="AO280" s="403">
        <v>6.3202163846759335E-3</v>
      </c>
      <c r="AP280" s="403">
        <v>6.3202163846759335E-3</v>
      </c>
    </row>
    <row r="281" spans="1:42" ht="15" customHeight="1" x14ac:dyDescent="0.25">
      <c r="A281" s="400">
        <v>2007</v>
      </c>
      <c r="B281" s="404">
        <v>0.5941764379435146</v>
      </c>
      <c r="C281" s="404">
        <v>0.30997772282812036</v>
      </c>
      <c r="D281" s="404">
        <v>9.5845839228365065E-2</v>
      </c>
      <c r="E281" s="404">
        <v>1</v>
      </c>
      <c r="F281" s="402">
        <v>0.46734796406853613</v>
      </c>
      <c r="G281" s="405">
        <v>0.489708621208648</v>
      </c>
      <c r="M281" s="385"/>
      <c r="N281" s="812" t="s">
        <v>139</v>
      </c>
      <c r="O281" s="97">
        <v>1.2959738635122326E-2</v>
      </c>
      <c r="P281" s="97">
        <v>1.2808793910578931E-2</v>
      </c>
      <c r="Q281" s="97">
        <v>1.2469210538803954E-2</v>
      </c>
      <c r="R281" s="97">
        <v>1.5601924502648232E-2</v>
      </c>
      <c r="S281" s="97">
        <v>1.6820356912491473E-2</v>
      </c>
      <c r="T281" s="97">
        <v>1.5237032374445732E-2</v>
      </c>
      <c r="U281" s="97">
        <v>1.6806014996370858E-2</v>
      </c>
      <c r="V281" s="97">
        <v>1.7625836649700105E-2</v>
      </c>
      <c r="W281" s="403">
        <v>1.9619793343768645E-2</v>
      </c>
      <c r="X281" s="403">
        <v>2.0070406769674018E-2</v>
      </c>
      <c r="Y281" s="403">
        <v>2.0455534414049629E-2</v>
      </c>
      <c r="Z281" s="403">
        <v>2.0784693054106348E-2</v>
      </c>
      <c r="AA281" s="403">
        <v>2.1066016433267144E-2</v>
      </c>
      <c r="AB281" s="403">
        <v>2.1306456251735269E-2</v>
      </c>
      <c r="AC281" s="403">
        <v>2.1511953947936053E-2</v>
      </c>
      <c r="AD281" s="403">
        <v>2.1687587515674168E-2</v>
      </c>
      <c r="AE281" s="403">
        <v>2.1837696984961196E-2</v>
      </c>
      <c r="AF281" s="403">
        <v>2.1965991667235327E-2</v>
      </c>
      <c r="AG281" s="403">
        <v>2.2075641815077415E-2</v>
      </c>
      <c r="AH281" s="403">
        <v>2.2075641815077415E-2</v>
      </c>
      <c r="AI281" s="403">
        <v>2.2075641815077415E-2</v>
      </c>
      <c r="AJ281" s="403">
        <v>2.2075641815077415E-2</v>
      </c>
      <c r="AK281" s="403">
        <v>2.2075641815077415E-2</v>
      </c>
      <c r="AL281" s="403">
        <v>2.2075641815077415E-2</v>
      </c>
      <c r="AM281" s="403">
        <v>2.2075641815077415E-2</v>
      </c>
      <c r="AN281" s="403">
        <v>2.2075641815077415E-2</v>
      </c>
      <c r="AO281" s="403">
        <v>2.2075641815077415E-2</v>
      </c>
      <c r="AP281" s="403">
        <v>2.2075641815077415E-2</v>
      </c>
    </row>
    <row r="282" spans="1:42" ht="15" customHeight="1" x14ac:dyDescent="0.25">
      <c r="A282" s="400">
        <v>2008</v>
      </c>
      <c r="B282" s="404">
        <v>0.5573701024087232</v>
      </c>
      <c r="C282" s="404">
        <v>0.3108819354801709</v>
      </c>
      <c r="D282" s="404">
        <v>0.13174796211110595</v>
      </c>
      <c r="E282" s="404">
        <v>1</v>
      </c>
      <c r="F282" s="402">
        <v>0.43054162853374467</v>
      </c>
      <c r="G282" s="405">
        <v>0.41854129698328663</v>
      </c>
      <c r="M282" s="385"/>
      <c r="N282" s="812" t="s">
        <v>140</v>
      </c>
      <c r="O282" s="97">
        <v>5.4921787334884795E-3</v>
      </c>
      <c r="P282" s="97">
        <v>7.1774695689140102E-3</v>
      </c>
      <c r="Q282" s="97">
        <v>9.0513990515711275E-3</v>
      </c>
      <c r="R282" s="97">
        <v>1.0090363669726264E-2</v>
      </c>
      <c r="S282" s="97">
        <v>1.0127086414315074E-2</v>
      </c>
      <c r="T282" s="97">
        <v>1.276849943411496E-2</v>
      </c>
      <c r="U282" s="97">
        <v>1.3583793853007092E-2</v>
      </c>
      <c r="V282" s="97">
        <v>1.2991482244053906E-2</v>
      </c>
      <c r="W282" s="403">
        <v>1.1812552115097665E-2</v>
      </c>
      <c r="X282" s="403">
        <v>1.2083854390509271E-2</v>
      </c>
      <c r="Y282" s="403">
        <v>1.2315729430701607E-2</v>
      </c>
      <c r="Z282" s="403">
        <v>1.2513907032355069E-2</v>
      </c>
      <c r="AA282" s="403">
        <v>1.2683284304546766E-2</v>
      </c>
      <c r="AB282" s="403">
        <v>1.2828046679788672E-2</v>
      </c>
      <c r="AC282" s="403">
        <v>1.2951771339033122E-2</v>
      </c>
      <c r="AD282" s="403">
        <v>1.3057515606351103E-2</v>
      </c>
      <c r="AE282" s="403">
        <v>1.3147892497577933E-2</v>
      </c>
      <c r="AF282" s="403">
        <v>1.3225135289787792E-2</v>
      </c>
      <c r="AG282" s="403">
        <v>1.3291152707153923E-2</v>
      </c>
      <c r="AH282" s="403">
        <v>1.3291152707153923E-2</v>
      </c>
      <c r="AI282" s="403">
        <v>1.3291152707153923E-2</v>
      </c>
      <c r="AJ282" s="403">
        <v>1.3291152707153923E-2</v>
      </c>
      <c r="AK282" s="403">
        <v>1.3291152707153923E-2</v>
      </c>
      <c r="AL282" s="403">
        <v>1.3291152707153923E-2</v>
      </c>
      <c r="AM282" s="403">
        <v>1.3291152707153923E-2</v>
      </c>
      <c r="AN282" s="403">
        <v>1.3291152707153923E-2</v>
      </c>
      <c r="AO282" s="403">
        <v>1.3291152707153923E-2</v>
      </c>
      <c r="AP282" s="403">
        <v>1.3291152707153923E-2</v>
      </c>
    </row>
    <row r="283" spans="1:42" ht="15" customHeight="1" x14ac:dyDescent="0.25">
      <c r="A283" s="400">
        <v>2009</v>
      </c>
      <c r="B283" s="404">
        <v>0.5205637668739318</v>
      </c>
      <c r="C283" s="404">
        <v>0.30726103004081295</v>
      </c>
      <c r="D283" s="404">
        <v>0.17217520308525527</v>
      </c>
      <c r="E283" s="404">
        <v>1</v>
      </c>
      <c r="F283" s="402">
        <v>0.39373529299895327</v>
      </c>
      <c r="G283" s="405">
        <v>0.35771642502045092</v>
      </c>
      <c r="M283" s="385"/>
      <c r="N283" s="812" t="s">
        <v>141</v>
      </c>
      <c r="O283" s="97">
        <v>0.47153811563551612</v>
      </c>
      <c r="P283" s="97">
        <v>0.44039975707175322</v>
      </c>
      <c r="Q283" s="97">
        <v>0.4092613985079902</v>
      </c>
      <c r="R283" s="97">
        <v>0.3246004327859961</v>
      </c>
      <c r="S283" s="97">
        <v>0.29912803710247571</v>
      </c>
      <c r="T283" s="97">
        <v>0.27765495596167244</v>
      </c>
      <c r="U283" s="97">
        <v>0.22926791154857626</v>
      </c>
      <c r="V283" s="97">
        <v>0.22465077250257157</v>
      </c>
      <c r="W283" s="403">
        <v>0.20811044353542091</v>
      </c>
      <c r="X283" s="403">
        <v>0.19345972698523231</v>
      </c>
      <c r="Y283" s="403">
        <v>0.18093813834847061</v>
      </c>
      <c r="Z283" s="403">
        <v>0.17023626029007211</v>
      </c>
      <c r="AA283" s="403">
        <v>0.16108964181383606</v>
      </c>
      <c r="AB283" s="403">
        <v>0.15327226349076986</v>
      </c>
      <c r="AC283" s="403">
        <v>0.14659095235871603</v>
      </c>
      <c r="AD283" s="403">
        <v>0.140880608481457</v>
      </c>
      <c r="AE283" s="403">
        <v>0.13600012521222279</v>
      </c>
      <c r="AF283" s="403">
        <v>0.13182890234837163</v>
      </c>
      <c r="AG283" s="403">
        <v>0.12826386601486028</v>
      </c>
      <c r="AH283" s="403">
        <v>0.12826386601486028</v>
      </c>
      <c r="AI283" s="403">
        <v>0.12826386601486028</v>
      </c>
      <c r="AJ283" s="403">
        <v>0.12826386601486028</v>
      </c>
      <c r="AK283" s="403">
        <v>0.12826386601486028</v>
      </c>
      <c r="AL283" s="403">
        <v>0.12826386601486028</v>
      </c>
      <c r="AM283" s="403">
        <v>0.12826386601486028</v>
      </c>
      <c r="AN283" s="403">
        <v>0.12826386601486028</v>
      </c>
      <c r="AO283" s="403">
        <v>0.12826386601486028</v>
      </c>
      <c r="AP283" s="403">
        <v>0.12826386601486028</v>
      </c>
    </row>
    <row r="284" spans="1:42" ht="15" customHeight="1" x14ac:dyDescent="0.25">
      <c r="A284" s="400">
        <v>2010</v>
      </c>
      <c r="B284" s="404">
        <v>0.48375743133914029</v>
      </c>
      <c r="C284" s="404">
        <v>0.29911500651004669</v>
      </c>
      <c r="D284" s="404">
        <v>0.21712756215081302</v>
      </c>
      <c r="E284" s="404">
        <v>1</v>
      </c>
      <c r="F284" s="402">
        <v>0.35692895746416181</v>
      </c>
      <c r="G284" s="405">
        <v>0.30573097959918077</v>
      </c>
      <c r="M284" s="385"/>
      <c r="N284" s="812" t="s">
        <v>142</v>
      </c>
      <c r="O284" s="97">
        <v>0.26300779573200805</v>
      </c>
      <c r="P284" s="97">
        <v>0.25994449018262428</v>
      </c>
      <c r="Q284" s="97">
        <v>0.25305291029877297</v>
      </c>
      <c r="R284" s="97">
        <v>0.31662889878797201</v>
      </c>
      <c r="S284" s="97">
        <v>0.34135603498907058</v>
      </c>
      <c r="T284" s="97">
        <v>0.30922369741620881</v>
      </c>
      <c r="U284" s="97">
        <v>0.34106497697843807</v>
      </c>
      <c r="V284" s="97">
        <v>0.35770261852401236</v>
      </c>
      <c r="W284" s="403">
        <v>0.39816841568683448</v>
      </c>
      <c r="X284" s="403">
        <v>0.40731326399059831</v>
      </c>
      <c r="Y284" s="403">
        <v>0.41512912939302077</v>
      </c>
      <c r="Z284" s="403">
        <v>0.42180914747091969</v>
      </c>
      <c r="AA284" s="403">
        <v>0.42751838620822258</v>
      </c>
      <c r="AB284" s="403">
        <v>0.43239792494291007</v>
      </c>
      <c r="AC284" s="403">
        <v>0.43656834053750387</v>
      </c>
      <c r="AD284" s="403">
        <v>0.44013268691885465</v>
      </c>
      <c r="AE284" s="403">
        <v>0.44317904161374705</v>
      </c>
      <c r="AF284" s="403">
        <v>0.4457826822070543</v>
      </c>
      <c r="AG284" s="403">
        <v>0.44800794650424314</v>
      </c>
      <c r="AH284" s="403">
        <v>0.44800794650424314</v>
      </c>
      <c r="AI284" s="403">
        <v>0.44800794650424314</v>
      </c>
      <c r="AJ284" s="403">
        <v>0.44800794650424314</v>
      </c>
      <c r="AK284" s="403">
        <v>0.44800794650424314</v>
      </c>
      <c r="AL284" s="403">
        <v>0.44800794650424314</v>
      </c>
      <c r="AM284" s="403">
        <v>0.44800794650424314</v>
      </c>
      <c r="AN284" s="403">
        <v>0.44800794650424314</v>
      </c>
      <c r="AO284" s="403">
        <v>0.44800794650424314</v>
      </c>
      <c r="AP284" s="403">
        <v>0.44800794650424314</v>
      </c>
    </row>
    <row r="285" spans="1:42" ht="15" customHeight="1" x14ac:dyDescent="0.25">
      <c r="A285" s="400">
        <v>2011</v>
      </c>
      <c r="B285" s="404">
        <v>0.38368600642178813</v>
      </c>
      <c r="C285" s="404">
        <v>0.3742634495308248</v>
      </c>
      <c r="D285" s="404">
        <v>0.2420505440473871</v>
      </c>
      <c r="E285" s="404">
        <v>1</v>
      </c>
      <c r="F285" s="402">
        <v>0.25685753254680965</v>
      </c>
      <c r="G285" s="405">
        <v>0.26130036349695396</v>
      </c>
      <c r="M285" s="385"/>
      <c r="N285" s="812" t="s">
        <v>143</v>
      </c>
      <c r="O285" s="97">
        <v>0.11145948719569855</v>
      </c>
      <c r="P285" s="97">
        <v>0.14566115130884519</v>
      </c>
      <c r="Q285" s="97">
        <v>0.18369108975645948</v>
      </c>
      <c r="R285" s="97">
        <v>0.2047760669892546</v>
      </c>
      <c r="S285" s="97">
        <v>0.20552132647167634</v>
      </c>
      <c r="T285" s="97">
        <v>0.25912674518534146</v>
      </c>
      <c r="U285" s="97">
        <v>0.2756725100362083</v>
      </c>
      <c r="V285" s="97">
        <v>0.2636520075366387</v>
      </c>
      <c r="W285" s="403">
        <v>0.2397265393409673</v>
      </c>
      <c r="X285" s="403">
        <v>0.24523240758739209</v>
      </c>
      <c r="Y285" s="403">
        <v>0.24993813082173119</v>
      </c>
      <c r="Z285" s="403">
        <v>0.25395999080223081</v>
      </c>
      <c r="AA285" s="403">
        <v>0.25739737054116396</v>
      </c>
      <c r="AB285" s="403">
        <v>0.26033521012954264</v>
      </c>
      <c r="AC285" s="403">
        <v>0.26284610566700267</v>
      </c>
      <c r="AD285" s="403">
        <v>0.26499210316291094</v>
      </c>
      <c r="AE285" s="403">
        <v>0.26682623173725278</v>
      </c>
      <c r="AF285" s="403">
        <v>0.26839381400779672</v>
      </c>
      <c r="AG285" s="403">
        <v>0.26973358604411929</v>
      </c>
      <c r="AH285" s="403">
        <v>0.26973358604411929</v>
      </c>
      <c r="AI285" s="403">
        <v>0.26973358604411929</v>
      </c>
      <c r="AJ285" s="403">
        <v>0.26973358604411929</v>
      </c>
      <c r="AK285" s="403">
        <v>0.26973358604411929</v>
      </c>
      <c r="AL285" s="403">
        <v>0.26973358604411929</v>
      </c>
      <c r="AM285" s="403">
        <v>0.26973358604411929</v>
      </c>
      <c r="AN285" s="403">
        <v>0.26973358604411929</v>
      </c>
      <c r="AO285" s="403">
        <v>0.26973358604411929</v>
      </c>
      <c r="AP285" s="403">
        <v>0.26973358604411929</v>
      </c>
    </row>
    <row r="286" spans="1:42" ht="15" customHeight="1" x14ac:dyDescent="0.25">
      <c r="A286" s="400">
        <v>2012</v>
      </c>
      <c r="B286" s="404">
        <v>0.35357698379996993</v>
      </c>
      <c r="C286" s="404">
        <v>0.4034915563999924</v>
      </c>
      <c r="D286" s="404">
        <v>0.24293145980003764</v>
      </c>
      <c r="E286" s="404">
        <v>1</v>
      </c>
      <c r="F286" s="402">
        <v>0.22674850992499146</v>
      </c>
      <c r="G286" s="405">
        <v>0.22332666468132836</v>
      </c>
      <c r="M286" s="385"/>
      <c r="N286" s="812" t="s">
        <v>144</v>
      </c>
      <c r="O286" s="97">
        <v>6.2596893234910647E-2</v>
      </c>
      <c r="P286" s="97">
        <v>5.8463262374764284E-2</v>
      </c>
      <c r="Q286" s="97">
        <v>5.4329631514617914E-2</v>
      </c>
      <c r="R286" s="97">
        <v>4.3090850901259289E-2</v>
      </c>
      <c r="S286" s="97">
        <v>3.9709379117393535E-2</v>
      </c>
      <c r="T286" s="97">
        <v>3.6858818106468988E-2</v>
      </c>
      <c r="U286" s="97">
        <v>3.0435416577204936E-2</v>
      </c>
      <c r="V286" s="97">
        <v>2.9822489328420462E-2</v>
      </c>
      <c r="W286" s="403">
        <v>2.7626753348452854E-2</v>
      </c>
      <c r="X286" s="403">
        <v>2.5681864251903181E-2</v>
      </c>
      <c r="Y286" s="403">
        <v>2.4019617826774944E-2</v>
      </c>
      <c r="Z286" s="403">
        <v>2.2598938785099297E-2</v>
      </c>
      <c r="AA286" s="403">
        <v>2.1384721140263199E-2</v>
      </c>
      <c r="AB286" s="403">
        <v>2.0346960713184328E-2</v>
      </c>
      <c r="AC286" s="403">
        <v>1.9460013707768394E-2</v>
      </c>
      <c r="AD286" s="403">
        <v>1.8701963034520788E-2</v>
      </c>
      <c r="AE286" s="403">
        <v>1.8054076723724301E-2</v>
      </c>
      <c r="AF286" s="403">
        <v>1.7500345045182043E-2</v>
      </c>
      <c r="AG286" s="403">
        <v>1.7027084896431132E-2</v>
      </c>
      <c r="AH286" s="403">
        <v>1.7027084896431132E-2</v>
      </c>
      <c r="AI286" s="403">
        <v>1.7027084896431132E-2</v>
      </c>
      <c r="AJ286" s="403">
        <v>1.7027084896431132E-2</v>
      </c>
      <c r="AK286" s="403">
        <v>1.7027084896431132E-2</v>
      </c>
      <c r="AL286" s="403">
        <v>1.7027084896431132E-2</v>
      </c>
      <c r="AM286" s="403">
        <v>1.7027084896431132E-2</v>
      </c>
      <c r="AN286" s="403">
        <v>1.7027084896431132E-2</v>
      </c>
      <c r="AO286" s="403">
        <v>1.7027084896431132E-2</v>
      </c>
      <c r="AP286" s="403">
        <v>1.7027084896431132E-2</v>
      </c>
    </row>
    <row r="287" spans="1:42" ht="15" customHeight="1" x14ac:dyDescent="0.25">
      <c r="A287" s="400">
        <v>2013</v>
      </c>
      <c r="B287" s="404">
        <v>0.32819525316648801</v>
      </c>
      <c r="C287" s="404">
        <v>0.36551031227621683</v>
      </c>
      <c r="D287" s="404">
        <v>0.30629443455729521</v>
      </c>
      <c r="E287" s="404">
        <v>1</v>
      </c>
      <c r="F287" s="406">
        <v>0.20136677929150953</v>
      </c>
      <c r="G287" s="407">
        <v>0.19087152612502151</v>
      </c>
      <c r="M287" s="385"/>
      <c r="N287" s="812" t="s">
        <v>145</v>
      </c>
      <c r="O287" s="97">
        <v>4.9710697294959444E-2</v>
      </c>
      <c r="P287" s="97">
        <v>5.3844328155105807E-2</v>
      </c>
      <c r="Q287" s="97">
        <v>5.7977959015252177E-2</v>
      </c>
      <c r="R287" s="97">
        <v>6.9216739628610802E-2</v>
      </c>
      <c r="S287" s="97">
        <v>7.2598211412476563E-2</v>
      </c>
      <c r="T287" s="97">
        <v>7.5448772423401103E-2</v>
      </c>
      <c r="U287" s="97">
        <v>8.1872173952665162E-2</v>
      </c>
      <c r="V287" s="97">
        <v>8.2485101201449626E-2</v>
      </c>
      <c r="W287" s="403">
        <v>8.4680837181417237E-2</v>
      </c>
      <c r="X287" s="403">
        <v>8.6625726277966913E-2</v>
      </c>
      <c r="Y287" s="403">
        <v>8.8287972703095144E-2</v>
      </c>
      <c r="Z287" s="403">
        <v>8.9708651744770787E-2</v>
      </c>
      <c r="AA287" s="403">
        <v>9.0922869389606892E-2</v>
      </c>
      <c r="AB287" s="403">
        <v>9.1960629816685763E-2</v>
      </c>
      <c r="AC287" s="403">
        <v>9.2847576822101693E-2</v>
      </c>
      <c r="AD287" s="403">
        <v>9.36056274953493E-2</v>
      </c>
      <c r="AE287" s="403">
        <v>9.4253513806145786E-2</v>
      </c>
      <c r="AF287" s="403">
        <v>9.4807245484688052E-2</v>
      </c>
      <c r="AG287" s="403">
        <v>9.5280505633438956E-2</v>
      </c>
      <c r="AH287" s="403">
        <v>9.5280505633438956E-2</v>
      </c>
      <c r="AI287" s="403">
        <v>9.5280505633438956E-2</v>
      </c>
      <c r="AJ287" s="403">
        <v>9.5280505633438956E-2</v>
      </c>
      <c r="AK287" s="403">
        <v>9.5280505633438956E-2</v>
      </c>
      <c r="AL287" s="403">
        <v>9.5280505633438956E-2</v>
      </c>
      <c r="AM287" s="403">
        <v>9.5280505633438956E-2</v>
      </c>
      <c r="AN287" s="403">
        <v>9.5280505633438956E-2</v>
      </c>
      <c r="AO287" s="403">
        <v>9.5280505633438956E-2</v>
      </c>
      <c r="AP287" s="403">
        <v>9.5280505633438956E-2</v>
      </c>
    </row>
    <row r="288" spans="1:42" ht="15" customHeight="1" x14ac:dyDescent="0.25">
      <c r="A288" s="400">
        <v>2014</v>
      </c>
      <c r="B288" s="404">
        <v>0.2710005301833105</v>
      </c>
      <c r="C288" s="404">
        <v>0.40314751839370211</v>
      </c>
      <c r="D288" s="404">
        <v>0.3258519514229874</v>
      </c>
      <c r="E288" s="404">
        <v>1</v>
      </c>
      <c r="F288" s="402">
        <v>0.14417205630833199</v>
      </c>
      <c r="G288" s="405">
        <v>0.16313295833831851</v>
      </c>
      <c r="M288" s="385"/>
      <c r="N288" s="812" t="s">
        <v>1539</v>
      </c>
      <c r="O288" s="97">
        <v>1</v>
      </c>
      <c r="P288" s="97">
        <v>1</v>
      </c>
      <c r="Q288" s="97">
        <v>1</v>
      </c>
      <c r="R288" s="97">
        <v>1</v>
      </c>
      <c r="S288" s="97">
        <v>1</v>
      </c>
      <c r="T288" s="97">
        <v>1</v>
      </c>
      <c r="U288" s="97">
        <v>1</v>
      </c>
      <c r="V288" s="97">
        <v>1</v>
      </c>
      <c r="W288" s="403">
        <v>1</v>
      </c>
      <c r="X288" s="403">
        <v>1</v>
      </c>
      <c r="Y288" s="403">
        <v>1</v>
      </c>
      <c r="Z288" s="403">
        <v>1</v>
      </c>
      <c r="AA288" s="403">
        <v>1</v>
      </c>
      <c r="AB288" s="403">
        <v>1</v>
      </c>
      <c r="AC288" s="403">
        <v>1</v>
      </c>
      <c r="AD288" s="403">
        <v>1</v>
      </c>
      <c r="AE288" s="403">
        <v>1</v>
      </c>
      <c r="AF288" s="403">
        <v>1</v>
      </c>
      <c r="AG288" s="403">
        <v>1</v>
      </c>
      <c r="AH288" s="403">
        <v>1</v>
      </c>
      <c r="AI288" s="403">
        <v>1</v>
      </c>
      <c r="AJ288" s="403">
        <v>1</v>
      </c>
      <c r="AK288" s="403">
        <v>1</v>
      </c>
      <c r="AL288" s="403">
        <v>1</v>
      </c>
      <c r="AM288" s="403">
        <v>1</v>
      </c>
      <c r="AN288" s="403">
        <v>1</v>
      </c>
      <c r="AO288" s="403">
        <v>1</v>
      </c>
      <c r="AP288" s="403">
        <v>1</v>
      </c>
    </row>
    <row r="289" spans="1:42" ht="15" customHeight="1" x14ac:dyDescent="0.25">
      <c r="A289" s="400">
        <v>2015</v>
      </c>
      <c r="B289" s="404">
        <v>0.26554295384414528</v>
      </c>
      <c r="C289" s="404">
        <v>0.4228136358603638</v>
      </c>
      <c r="D289" s="404">
        <v>0.31164341029549092</v>
      </c>
      <c r="E289" s="404">
        <v>1</v>
      </c>
      <c r="F289" s="402">
        <v>0.1387144799691668</v>
      </c>
      <c r="G289" s="405">
        <v>0.13942552164004748</v>
      </c>
      <c r="M289" s="385"/>
      <c r="N289" s="812" t="s">
        <v>1828</v>
      </c>
      <c r="O289" s="97">
        <v>1</v>
      </c>
      <c r="P289" s="97">
        <v>1</v>
      </c>
      <c r="Q289" s="97">
        <v>1</v>
      </c>
      <c r="R289" s="97">
        <v>1</v>
      </c>
      <c r="S289" s="97">
        <v>1</v>
      </c>
      <c r="T289" s="97">
        <v>1</v>
      </c>
      <c r="U289" s="97">
        <v>1</v>
      </c>
      <c r="V289" s="97">
        <v>1</v>
      </c>
      <c r="W289" s="403">
        <v>1</v>
      </c>
      <c r="X289" s="403">
        <v>1</v>
      </c>
      <c r="Y289" s="403">
        <v>1</v>
      </c>
      <c r="Z289" s="403">
        <v>1</v>
      </c>
      <c r="AA289" s="403">
        <v>1</v>
      </c>
      <c r="AB289" s="403">
        <v>1</v>
      </c>
      <c r="AC289" s="403">
        <v>1</v>
      </c>
      <c r="AD289" s="403">
        <v>1</v>
      </c>
      <c r="AE289" s="403">
        <v>1</v>
      </c>
      <c r="AF289" s="403">
        <v>1</v>
      </c>
      <c r="AG289" s="403">
        <v>1</v>
      </c>
      <c r="AH289" s="403">
        <v>1</v>
      </c>
      <c r="AI289" s="403">
        <v>1</v>
      </c>
      <c r="AJ289" s="403">
        <v>1</v>
      </c>
      <c r="AK289" s="403">
        <v>1</v>
      </c>
      <c r="AL289" s="403">
        <v>1</v>
      </c>
      <c r="AM289" s="403">
        <v>1</v>
      </c>
      <c r="AN289" s="403">
        <v>1</v>
      </c>
      <c r="AO289" s="403">
        <v>1</v>
      </c>
      <c r="AP289" s="403">
        <v>1</v>
      </c>
    </row>
    <row r="290" spans="1:42" ht="15" customHeight="1" x14ac:dyDescent="0.25">
      <c r="A290" s="400">
        <v>2016</v>
      </c>
      <c r="B290" s="408">
        <v>0.24599186233191472</v>
      </c>
      <c r="C290" s="385">
        <v>0.47064524217345055</v>
      </c>
      <c r="D290" s="385">
        <v>0.28336289549463478</v>
      </c>
      <c r="E290" s="385">
        <v>1</v>
      </c>
      <c r="F290" s="385"/>
      <c r="G290" s="405">
        <v>0.11916338845693625</v>
      </c>
      <c r="M290" s="385"/>
      <c r="N290" s="812" t="s">
        <v>746</v>
      </c>
      <c r="O290" s="97">
        <v>1</v>
      </c>
      <c r="P290" s="97">
        <v>1</v>
      </c>
      <c r="Q290" s="97">
        <v>1</v>
      </c>
      <c r="R290" s="97">
        <v>1</v>
      </c>
      <c r="S290" s="97">
        <v>1</v>
      </c>
      <c r="T290" s="97">
        <v>1</v>
      </c>
      <c r="U290" s="97">
        <v>1</v>
      </c>
      <c r="V290" s="97">
        <v>1</v>
      </c>
      <c r="W290" s="403">
        <v>1</v>
      </c>
      <c r="X290" s="403">
        <v>1</v>
      </c>
      <c r="Y290" s="403">
        <v>1</v>
      </c>
      <c r="Z290" s="403">
        <v>1</v>
      </c>
      <c r="AA290" s="403">
        <v>1</v>
      </c>
      <c r="AB290" s="403">
        <v>1</v>
      </c>
      <c r="AC290" s="403">
        <v>1</v>
      </c>
      <c r="AD290" s="403">
        <v>1</v>
      </c>
      <c r="AE290" s="403">
        <v>1</v>
      </c>
      <c r="AF290" s="403">
        <v>1</v>
      </c>
      <c r="AG290" s="403">
        <v>1</v>
      </c>
      <c r="AH290" s="403">
        <v>1</v>
      </c>
      <c r="AI290" s="403">
        <v>1</v>
      </c>
      <c r="AJ290" s="403">
        <v>1</v>
      </c>
      <c r="AK290" s="403">
        <v>1</v>
      </c>
      <c r="AL290" s="403">
        <v>1</v>
      </c>
      <c r="AM290" s="403">
        <v>1</v>
      </c>
      <c r="AN290" s="403">
        <v>1</v>
      </c>
      <c r="AO290" s="403">
        <v>1</v>
      </c>
      <c r="AP290" s="403">
        <v>1</v>
      </c>
    </row>
    <row r="291" spans="1:42" ht="15" customHeight="1" x14ac:dyDescent="0.25">
      <c r="A291" s="400">
        <v>2017</v>
      </c>
      <c r="B291" s="408">
        <v>0.22867434098385947</v>
      </c>
      <c r="C291" s="385">
        <v>0.48145468655677787</v>
      </c>
      <c r="D291" s="385">
        <v>0.28987097245936272</v>
      </c>
      <c r="E291" s="385">
        <v>1</v>
      </c>
      <c r="F291" s="385"/>
      <c r="G291" s="405">
        <v>0.10184586710888099</v>
      </c>
      <c r="M291" s="385"/>
      <c r="N291" s="812" t="s">
        <v>747</v>
      </c>
      <c r="O291" s="97">
        <v>1</v>
      </c>
      <c r="P291" s="97">
        <v>1</v>
      </c>
      <c r="Q291" s="97">
        <v>1</v>
      </c>
      <c r="R291" s="97">
        <v>1</v>
      </c>
      <c r="S291" s="97">
        <v>1</v>
      </c>
      <c r="T291" s="97">
        <v>1</v>
      </c>
      <c r="U291" s="97">
        <v>1</v>
      </c>
      <c r="V291" s="97">
        <v>1</v>
      </c>
      <c r="W291" s="403">
        <v>1</v>
      </c>
      <c r="X291" s="403">
        <v>1</v>
      </c>
      <c r="Y291" s="403">
        <v>1</v>
      </c>
      <c r="Z291" s="403">
        <v>1</v>
      </c>
      <c r="AA291" s="403">
        <v>1</v>
      </c>
      <c r="AB291" s="403">
        <v>1</v>
      </c>
      <c r="AC291" s="403">
        <v>1</v>
      </c>
      <c r="AD291" s="403">
        <v>1</v>
      </c>
      <c r="AE291" s="403">
        <v>1</v>
      </c>
      <c r="AF291" s="403">
        <v>1</v>
      </c>
      <c r="AG291" s="403">
        <v>1</v>
      </c>
      <c r="AH291" s="403">
        <v>1</v>
      </c>
      <c r="AI291" s="403">
        <v>1</v>
      </c>
      <c r="AJ291" s="403">
        <v>1</v>
      </c>
      <c r="AK291" s="403">
        <v>1</v>
      </c>
      <c r="AL291" s="403">
        <v>1</v>
      </c>
      <c r="AM291" s="403">
        <v>1</v>
      </c>
      <c r="AN291" s="403">
        <v>1</v>
      </c>
      <c r="AO291" s="403">
        <v>1</v>
      </c>
      <c r="AP291" s="403">
        <v>1</v>
      </c>
    </row>
    <row r="292" spans="1:42" ht="15" customHeight="1" x14ac:dyDescent="0.25">
      <c r="A292" s="400">
        <v>2018</v>
      </c>
      <c r="B292" s="408">
        <v>0.21387350323740159</v>
      </c>
      <c r="C292" s="385">
        <v>0.49069323918977076</v>
      </c>
      <c r="D292" s="385">
        <v>0.29543325757282757</v>
      </c>
      <c r="E292" s="385">
        <v>0.99999999999999989</v>
      </c>
      <c r="F292" s="385"/>
      <c r="G292" s="405">
        <v>8.7045029362423115E-2</v>
      </c>
      <c r="H292" s="385"/>
      <c r="I292" s="385"/>
      <c r="J292" s="385"/>
      <c r="K292" s="385"/>
      <c r="L292" s="385"/>
      <c r="M292" s="385"/>
      <c r="N292" s="812" t="s">
        <v>1723</v>
      </c>
      <c r="O292" s="97">
        <v>1</v>
      </c>
      <c r="P292" s="97">
        <v>1</v>
      </c>
      <c r="Q292" s="97">
        <v>1</v>
      </c>
      <c r="R292" s="97">
        <v>1</v>
      </c>
      <c r="S292" s="97">
        <v>1</v>
      </c>
      <c r="T292" s="97">
        <v>1</v>
      </c>
      <c r="U292" s="97">
        <v>1</v>
      </c>
      <c r="V292" s="97">
        <v>1</v>
      </c>
      <c r="W292" s="403">
        <v>1</v>
      </c>
      <c r="X292" s="403">
        <v>1</v>
      </c>
      <c r="Y292" s="403">
        <v>1</v>
      </c>
      <c r="Z292" s="403">
        <v>1</v>
      </c>
      <c r="AA292" s="403">
        <v>1</v>
      </c>
      <c r="AB292" s="403">
        <v>1</v>
      </c>
      <c r="AC292" s="403">
        <v>1</v>
      </c>
      <c r="AD292" s="403">
        <v>1</v>
      </c>
      <c r="AE292" s="403">
        <v>1</v>
      </c>
      <c r="AF292" s="403">
        <v>1</v>
      </c>
      <c r="AG292" s="403">
        <v>1</v>
      </c>
      <c r="AH292" s="403">
        <v>1</v>
      </c>
      <c r="AI292" s="403">
        <v>1</v>
      </c>
      <c r="AJ292" s="403">
        <v>1</v>
      </c>
      <c r="AK292" s="403">
        <v>1</v>
      </c>
      <c r="AL292" s="403">
        <v>1</v>
      </c>
      <c r="AM292" s="403">
        <v>1</v>
      </c>
      <c r="AN292" s="403">
        <v>1</v>
      </c>
      <c r="AO292" s="403">
        <v>1</v>
      </c>
      <c r="AP292" s="403">
        <v>1</v>
      </c>
    </row>
    <row r="293" spans="1:42" ht="15" customHeight="1" x14ac:dyDescent="0.25">
      <c r="A293" s="400">
        <v>2019</v>
      </c>
      <c r="B293" s="408">
        <v>0.20122360989561724</v>
      </c>
      <c r="C293" s="385">
        <v>0.49858919125963186</v>
      </c>
      <c r="D293" s="385">
        <v>0.30018719884475087</v>
      </c>
      <c r="E293" s="385">
        <v>1</v>
      </c>
      <c r="F293" s="385"/>
      <c r="G293" s="405">
        <v>7.4395136020638769E-2</v>
      </c>
      <c r="H293" s="385"/>
      <c r="I293" s="385"/>
      <c r="J293" s="385"/>
      <c r="K293" s="385"/>
      <c r="L293" s="385"/>
      <c r="M293" s="385"/>
      <c r="N293" s="812" t="s">
        <v>151</v>
      </c>
      <c r="O293" s="97">
        <v>1</v>
      </c>
      <c r="P293" s="97">
        <v>1</v>
      </c>
      <c r="Q293" s="97">
        <v>1</v>
      </c>
      <c r="R293" s="97">
        <v>1</v>
      </c>
      <c r="S293" s="97">
        <v>1</v>
      </c>
      <c r="T293" s="97">
        <v>1</v>
      </c>
      <c r="U293" s="97">
        <v>1</v>
      </c>
      <c r="V293" s="97">
        <v>1</v>
      </c>
      <c r="W293" s="403">
        <v>1</v>
      </c>
      <c r="X293" s="403">
        <v>1</v>
      </c>
      <c r="Y293" s="403">
        <v>1</v>
      </c>
      <c r="Z293" s="403">
        <v>1</v>
      </c>
      <c r="AA293" s="403">
        <v>1</v>
      </c>
      <c r="AB293" s="403">
        <v>1</v>
      </c>
      <c r="AC293" s="403">
        <v>1</v>
      </c>
      <c r="AD293" s="403">
        <v>1</v>
      </c>
      <c r="AE293" s="403">
        <v>1</v>
      </c>
      <c r="AF293" s="403">
        <v>1</v>
      </c>
      <c r="AG293" s="403">
        <v>1</v>
      </c>
      <c r="AH293" s="403">
        <v>1</v>
      </c>
      <c r="AI293" s="403">
        <v>1</v>
      </c>
      <c r="AJ293" s="403">
        <v>1</v>
      </c>
      <c r="AK293" s="403">
        <v>1</v>
      </c>
      <c r="AL293" s="403">
        <v>1</v>
      </c>
      <c r="AM293" s="403">
        <v>1</v>
      </c>
      <c r="AN293" s="403">
        <v>1</v>
      </c>
      <c r="AO293" s="403">
        <v>1</v>
      </c>
      <c r="AP293" s="403">
        <v>1</v>
      </c>
    </row>
    <row r="294" spans="1:42" ht="15" customHeight="1" x14ac:dyDescent="0.25">
      <c r="A294" s="400">
        <v>2020</v>
      </c>
      <c r="B294" s="408">
        <v>0.19041207312319261</v>
      </c>
      <c r="C294" s="385">
        <v>0.50533765734152558</v>
      </c>
      <c r="D294" s="385">
        <v>0.30425026953528173</v>
      </c>
      <c r="E294" s="385">
        <v>1</v>
      </c>
      <c r="F294" s="385"/>
      <c r="G294" s="405">
        <v>6.3583599248214134E-2</v>
      </c>
      <c r="H294" s="385"/>
      <c r="I294" s="385"/>
      <c r="J294" s="385"/>
      <c r="K294" s="385"/>
      <c r="L294" s="385"/>
      <c r="M294" s="385"/>
      <c r="N294" s="812" t="s">
        <v>154</v>
      </c>
      <c r="O294" s="97">
        <v>1</v>
      </c>
      <c r="P294" s="97">
        <v>1</v>
      </c>
      <c r="Q294" s="97">
        <v>1</v>
      </c>
      <c r="R294" s="97">
        <v>1</v>
      </c>
      <c r="S294" s="97">
        <v>1</v>
      </c>
      <c r="T294" s="97">
        <v>1</v>
      </c>
      <c r="U294" s="97">
        <v>1</v>
      </c>
      <c r="V294" s="97">
        <v>1</v>
      </c>
      <c r="W294" s="403">
        <v>1</v>
      </c>
      <c r="X294" s="403">
        <v>1</v>
      </c>
      <c r="Y294" s="403">
        <v>1</v>
      </c>
      <c r="Z294" s="403">
        <v>1</v>
      </c>
      <c r="AA294" s="403">
        <v>1</v>
      </c>
      <c r="AB294" s="403">
        <v>1</v>
      </c>
      <c r="AC294" s="403">
        <v>1</v>
      </c>
      <c r="AD294" s="403">
        <v>1</v>
      </c>
      <c r="AE294" s="403">
        <v>1</v>
      </c>
      <c r="AF294" s="403">
        <v>1</v>
      </c>
      <c r="AG294" s="403">
        <v>1</v>
      </c>
      <c r="AH294" s="403">
        <v>1</v>
      </c>
      <c r="AI294" s="403">
        <v>1</v>
      </c>
      <c r="AJ294" s="403">
        <v>1</v>
      </c>
      <c r="AK294" s="403">
        <v>1</v>
      </c>
      <c r="AL294" s="403">
        <v>1</v>
      </c>
      <c r="AM294" s="403">
        <v>1</v>
      </c>
      <c r="AN294" s="403">
        <v>1</v>
      </c>
      <c r="AO294" s="403">
        <v>1</v>
      </c>
      <c r="AP294" s="403">
        <v>1</v>
      </c>
    </row>
    <row r="295" spans="1:42" ht="15" customHeight="1" x14ac:dyDescent="0.25">
      <c r="A295" s="400">
        <v>2021</v>
      </c>
      <c r="B295" s="408">
        <v>0.18117173217933752</v>
      </c>
      <c r="C295" s="385">
        <v>0.51110539681809919</v>
      </c>
      <c r="D295" s="385">
        <v>0.30772287100256324</v>
      </c>
      <c r="E295" s="385">
        <v>1</v>
      </c>
      <c r="F295" s="385"/>
      <c r="G295" s="405">
        <v>5.4343258304359036E-2</v>
      </c>
      <c r="H295" s="385"/>
      <c r="I295" s="385"/>
      <c r="J295" s="385"/>
      <c r="K295" s="385"/>
      <c r="L295" s="385"/>
      <c r="M295" s="385"/>
      <c r="N295" s="812"/>
      <c r="O295" s="97"/>
      <c r="Q295" s="97"/>
      <c r="R295" s="97"/>
      <c r="S295" s="97"/>
      <c r="T295" s="97"/>
      <c r="U295" s="97"/>
      <c r="V295" s="97"/>
      <c r="W295" s="97"/>
      <c r="X295" s="97"/>
      <c r="Y295" s="97"/>
      <c r="Z295" s="97"/>
    </row>
    <row r="296" spans="1:42" ht="15" customHeight="1" x14ac:dyDescent="0.25">
      <c r="A296" s="400">
        <v>2022</v>
      </c>
      <c r="B296" s="408">
        <v>0.17327425168642252</v>
      </c>
      <c r="C296" s="385">
        <v>0.51603493462208538</v>
      </c>
      <c r="D296" s="385">
        <v>0.31069081369149204</v>
      </c>
      <c r="E296" s="385">
        <v>1</v>
      </c>
      <c r="F296" s="385"/>
      <c r="G296" s="405">
        <v>4.6445777811444051E-2</v>
      </c>
      <c r="H296" s="385"/>
      <c r="I296" s="385"/>
      <c r="J296" s="385"/>
      <c r="K296" s="385"/>
      <c r="L296" s="385"/>
      <c r="M296" s="385"/>
      <c r="N296" s="812"/>
      <c r="O296" s="97"/>
      <c r="Q296" s="97"/>
      <c r="R296" s="97"/>
      <c r="S296" s="97"/>
      <c r="T296" s="97"/>
      <c r="U296" s="97"/>
      <c r="V296" s="97" t="s">
        <v>426</v>
      </c>
      <c r="W296" s="97">
        <f>SUM(W280,W283,W286)</f>
        <v>0.24599186233191472</v>
      </c>
      <c r="X296" s="97">
        <f t="shared" ref="X296:AA296" si="0">SUM(X280,X283,X286)</f>
        <v>0.2286743409838595</v>
      </c>
      <c r="Y296" s="97">
        <f t="shared" si="0"/>
        <v>0.21387350323740159</v>
      </c>
      <c r="Z296" s="97">
        <f t="shared" si="0"/>
        <v>0.20122360989561724</v>
      </c>
      <c r="AA296" s="97">
        <f t="shared" si="0"/>
        <v>0.19041207312319264</v>
      </c>
      <c r="AB296" s="97">
        <f t="shared" ref="AB296:AP296" si="1">SUM(AB280,AB283,AB286)</f>
        <v>0.18117173217933752</v>
      </c>
      <c r="AC296" s="97">
        <f t="shared" si="1"/>
        <v>0.17327425168642252</v>
      </c>
      <c r="AD296" s="97">
        <f t="shared" si="1"/>
        <v>0.16652447930085978</v>
      </c>
      <c r="AE296" s="97">
        <f t="shared" si="1"/>
        <v>0.16075562336031524</v>
      </c>
      <c r="AF296" s="97">
        <f t="shared" si="1"/>
        <v>0.15582513134343784</v>
      </c>
      <c r="AG296" s="97">
        <f t="shared" si="1"/>
        <v>0.15161116729596735</v>
      </c>
      <c r="AH296" s="97">
        <f t="shared" si="1"/>
        <v>0.15161116729596735</v>
      </c>
      <c r="AI296" s="97">
        <f t="shared" si="1"/>
        <v>0.15161116729596735</v>
      </c>
      <c r="AJ296" s="97">
        <f t="shared" si="1"/>
        <v>0.15161116729596735</v>
      </c>
      <c r="AK296" s="97">
        <f t="shared" si="1"/>
        <v>0.15161116729596735</v>
      </c>
      <c r="AL296" s="97">
        <f t="shared" si="1"/>
        <v>0.15161116729596735</v>
      </c>
      <c r="AM296" s="97">
        <f t="shared" si="1"/>
        <v>0.15161116729596735</v>
      </c>
      <c r="AN296" s="97">
        <f t="shared" si="1"/>
        <v>0.15161116729596735</v>
      </c>
      <c r="AO296" s="97">
        <f t="shared" si="1"/>
        <v>0.15161116729596735</v>
      </c>
      <c r="AP296" s="97">
        <f t="shared" si="1"/>
        <v>0.15161116729596735</v>
      </c>
    </row>
    <row r="297" spans="1:42" ht="15" customHeight="1" x14ac:dyDescent="0.25">
      <c r="A297" s="400">
        <v>2023</v>
      </c>
      <c r="B297" s="408">
        <v>0.16652447930085978</v>
      </c>
      <c r="C297" s="385">
        <v>0.52024808312847093</v>
      </c>
      <c r="D297" s="385">
        <v>0.31322743757066923</v>
      </c>
      <c r="E297" s="385">
        <v>1</v>
      </c>
      <c r="F297" s="385"/>
      <c r="G297" s="405">
        <v>3.9696005425881316E-2</v>
      </c>
      <c r="H297" s="385"/>
      <c r="I297" s="385"/>
      <c r="J297" s="385"/>
      <c r="K297" s="385"/>
      <c r="L297" s="385"/>
      <c r="M297" s="385"/>
      <c r="N297" s="812"/>
      <c r="O297" s="97"/>
      <c r="Q297" s="97"/>
      <c r="R297" s="97"/>
      <c r="S297" s="97"/>
      <c r="T297" s="97"/>
      <c r="U297" s="97"/>
      <c r="V297" s="48" t="s">
        <v>427</v>
      </c>
      <c r="W297" s="427">
        <f>SUM(W281:W282,W284:W285,W287)</f>
        <v>0.75400813766808539</v>
      </c>
      <c r="X297" s="427">
        <f t="shared" ref="X297:AA297" si="2">SUM(X281:X282,X284:X285,X287)</f>
        <v>0.77132565901614059</v>
      </c>
      <c r="Y297" s="427">
        <f t="shared" si="2"/>
        <v>0.78612649676259838</v>
      </c>
      <c r="Z297" s="427">
        <f t="shared" si="2"/>
        <v>0.79877639010438273</v>
      </c>
      <c r="AA297" s="427">
        <f t="shared" si="2"/>
        <v>0.80958792687680736</v>
      </c>
      <c r="AB297" s="427">
        <f t="shared" ref="AB297:AP297" si="3">SUM(AB281:AB282,AB284:AB285,AB287)</f>
        <v>0.81882826782066243</v>
      </c>
      <c r="AC297" s="427">
        <f t="shared" si="3"/>
        <v>0.82672574831357737</v>
      </c>
      <c r="AD297" s="427">
        <f t="shared" si="3"/>
        <v>0.8334755206991401</v>
      </c>
      <c r="AE297" s="427">
        <f t="shared" si="3"/>
        <v>0.83924437663968465</v>
      </c>
      <c r="AF297" s="427">
        <f t="shared" si="3"/>
        <v>0.84417486865656222</v>
      </c>
      <c r="AG297" s="427">
        <f t="shared" si="3"/>
        <v>0.84838883270403276</v>
      </c>
      <c r="AH297" s="427">
        <f t="shared" si="3"/>
        <v>0.84838883270403276</v>
      </c>
      <c r="AI297" s="427">
        <f t="shared" si="3"/>
        <v>0.84838883270403276</v>
      </c>
      <c r="AJ297" s="427">
        <f t="shared" si="3"/>
        <v>0.84838883270403276</v>
      </c>
      <c r="AK297" s="427">
        <f t="shared" si="3"/>
        <v>0.84838883270403276</v>
      </c>
      <c r="AL297" s="427">
        <f t="shared" si="3"/>
        <v>0.84838883270403276</v>
      </c>
      <c r="AM297" s="427">
        <f t="shared" si="3"/>
        <v>0.84838883270403276</v>
      </c>
      <c r="AN297" s="427">
        <f t="shared" si="3"/>
        <v>0.84838883270403276</v>
      </c>
      <c r="AO297" s="427">
        <f t="shared" si="3"/>
        <v>0.84838883270403276</v>
      </c>
      <c r="AP297" s="427">
        <f t="shared" si="3"/>
        <v>0.84838883270403276</v>
      </c>
    </row>
    <row r="298" spans="1:42" ht="15" customHeight="1" x14ac:dyDescent="0.25">
      <c r="A298" s="400">
        <v>2024</v>
      </c>
      <c r="B298" s="408">
        <v>0.16075562336031524</v>
      </c>
      <c r="C298" s="385">
        <v>0.52384895222465644</v>
      </c>
      <c r="D298" s="385">
        <v>0.31539542441502832</v>
      </c>
      <c r="E298" s="385">
        <v>1</v>
      </c>
      <c r="F298" s="385"/>
      <c r="G298" s="405">
        <v>3.3927149485336754E-2</v>
      </c>
      <c r="H298" s="385"/>
      <c r="I298" s="385"/>
      <c r="J298" s="385"/>
      <c r="K298" s="385"/>
      <c r="L298" s="385"/>
      <c r="M298" s="385"/>
      <c r="N298" s="812"/>
      <c r="O298" s="97"/>
      <c r="Q298" s="97"/>
      <c r="R298" s="97"/>
      <c r="S298" s="97"/>
      <c r="T298" s="97"/>
      <c r="U298" s="97"/>
      <c r="V298" s="97" t="s">
        <v>1829</v>
      </c>
      <c r="W298" s="97">
        <f>SUM(W280:W285)</f>
        <v>0.88769240947012995</v>
      </c>
      <c r="X298" s="97">
        <f t="shared" ref="X298:AA298" si="4">SUM(X280:X285)</f>
        <v>0.88769240947012995</v>
      </c>
      <c r="Y298" s="97">
        <f t="shared" si="4"/>
        <v>0.88769240947012984</v>
      </c>
      <c r="Z298" s="97">
        <f t="shared" si="4"/>
        <v>0.88769240947012995</v>
      </c>
      <c r="AA298" s="97">
        <f t="shared" si="4"/>
        <v>0.88769240947012984</v>
      </c>
      <c r="AB298" s="97">
        <f t="shared" ref="AB298:AP298" si="5">SUM(AB280:AB285)</f>
        <v>0.88769240947012984</v>
      </c>
      <c r="AC298" s="97">
        <f t="shared" si="5"/>
        <v>0.88769240947012973</v>
      </c>
      <c r="AD298" s="97">
        <f t="shared" si="5"/>
        <v>0.88769240947012995</v>
      </c>
      <c r="AE298" s="97">
        <f t="shared" si="5"/>
        <v>0.88769240947012995</v>
      </c>
      <c r="AF298" s="97">
        <f t="shared" si="5"/>
        <v>0.88769240947012995</v>
      </c>
      <c r="AG298" s="97">
        <f t="shared" si="5"/>
        <v>0.88769240947012995</v>
      </c>
      <c r="AH298" s="97">
        <f t="shared" si="5"/>
        <v>0.88769240947012995</v>
      </c>
      <c r="AI298" s="97">
        <f t="shared" si="5"/>
        <v>0.88769240947012995</v>
      </c>
      <c r="AJ298" s="97">
        <f t="shared" si="5"/>
        <v>0.88769240947012995</v>
      </c>
      <c r="AK298" s="97">
        <f t="shared" si="5"/>
        <v>0.88769240947012995</v>
      </c>
      <c r="AL298" s="97">
        <f t="shared" si="5"/>
        <v>0.88769240947012995</v>
      </c>
      <c r="AM298" s="97">
        <f t="shared" si="5"/>
        <v>0.88769240947012995</v>
      </c>
      <c r="AN298" s="97">
        <f t="shared" si="5"/>
        <v>0.88769240947012995</v>
      </c>
      <c r="AO298" s="97">
        <f t="shared" si="5"/>
        <v>0.88769240947012995</v>
      </c>
      <c r="AP298" s="97">
        <f t="shared" si="5"/>
        <v>0.88769240947012995</v>
      </c>
    </row>
    <row r="299" spans="1:42" ht="15" customHeight="1" x14ac:dyDescent="0.25">
      <c r="A299" s="400">
        <v>2025</v>
      </c>
      <c r="B299" s="408">
        <v>0.15582513134343784</v>
      </c>
      <c r="C299" s="385">
        <v>0.5269265219396122</v>
      </c>
      <c r="D299" s="385">
        <v>0.31724834671694996</v>
      </c>
      <c r="E299" s="385">
        <v>1</v>
      </c>
      <c r="F299" s="385"/>
      <c r="G299" s="405">
        <v>2.8996657468459378E-2</v>
      </c>
      <c r="H299" s="385"/>
      <c r="I299" s="385"/>
      <c r="J299" s="385"/>
      <c r="K299" s="385"/>
      <c r="L299" s="385"/>
      <c r="M299" s="385"/>
      <c r="N299" s="383"/>
      <c r="V299" s="48" t="s">
        <v>429</v>
      </c>
      <c r="W299" s="427">
        <f>SUM(W286:W287)</f>
        <v>0.11230759052987009</v>
      </c>
      <c r="X299" s="427">
        <f t="shared" ref="X299:AA299" si="6">SUM(X286:X287)</f>
        <v>0.11230759052987009</v>
      </c>
      <c r="Y299" s="427">
        <f t="shared" si="6"/>
        <v>0.11230759052987009</v>
      </c>
      <c r="Z299" s="427">
        <f t="shared" si="6"/>
        <v>0.11230759052987008</v>
      </c>
      <c r="AA299" s="427">
        <f t="shared" si="6"/>
        <v>0.11230759052987009</v>
      </c>
      <c r="AB299" s="427">
        <f t="shared" ref="AB299:AP299" si="7">SUM(AB286:AB287)</f>
        <v>0.11230759052987009</v>
      </c>
      <c r="AC299" s="427">
        <f t="shared" si="7"/>
        <v>0.11230759052987009</v>
      </c>
      <c r="AD299" s="427">
        <f t="shared" si="7"/>
        <v>0.11230759052987009</v>
      </c>
      <c r="AE299" s="427">
        <f t="shared" si="7"/>
        <v>0.11230759052987009</v>
      </c>
      <c r="AF299" s="427">
        <f t="shared" si="7"/>
        <v>0.11230759052987009</v>
      </c>
      <c r="AG299" s="427">
        <f t="shared" si="7"/>
        <v>0.11230759052987009</v>
      </c>
      <c r="AH299" s="427">
        <f t="shared" si="7"/>
        <v>0.11230759052987009</v>
      </c>
      <c r="AI299" s="427">
        <f t="shared" si="7"/>
        <v>0.11230759052987009</v>
      </c>
      <c r="AJ299" s="427">
        <f t="shared" si="7"/>
        <v>0.11230759052987009</v>
      </c>
      <c r="AK299" s="427">
        <f t="shared" si="7"/>
        <v>0.11230759052987009</v>
      </c>
      <c r="AL299" s="427">
        <f t="shared" si="7"/>
        <v>0.11230759052987009</v>
      </c>
      <c r="AM299" s="427">
        <f t="shared" si="7"/>
        <v>0.11230759052987009</v>
      </c>
      <c r="AN299" s="427">
        <f t="shared" si="7"/>
        <v>0.11230759052987009</v>
      </c>
      <c r="AO299" s="427">
        <f t="shared" si="7"/>
        <v>0.11230759052987009</v>
      </c>
      <c r="AP299" s="427">
        <f t="shared" si="7"/>
        <v>0.11230759052987009</v>
      </c>
    </row>
    <row r="300" spans="1:42" ht="15" customHeight="1" x14ac:dyDescent="0.25">
      <c r="A300" s="400">
        <v>2026</v>
      </c>
      <c r="B300" s="408">
        <v>0.15161116729596735</v>
      </c>
      <c r="C300" s="385">
        <v>0.529556841203494</v>
      </c>
      <c r="D300" s="385">
        <v>0.3188319915005387</v>
      </c>
      <c r="E300" s="385">
        <v>1</v>
      </c>
      <c r="F300" s="385"/>
      <c r="G300" s="405">
        <v>2.478269342098887E-2</v>
      </c>
      <c r="H300" s="385"/>
      <c r="I300" s="385"/>
      <c r="J300" s="385"/>
      <c r="K300" s="385"/>
      <c r="L300" s="385"/>
      <c r="M300" s="385"/>
      <c r="N300" s="383"/>
    </row>
    <row r="301" spans="1:42" ht="15" customHeight="1" x14ac:dyDescent="0.25">
      <c r="A301" s="400">
        <v>2027</v>
      </c>
      <c r="B301" s="408">
        <v>0.14800960117790266</v>
      </c>
      <c r="C301" s="385">
        <v>0.53180490707063777</v>
      </c>
      <c r="D301" s="385">
        <v>0.32018549175145961</v>
      </c>
      <c r="E301" s="385">
        <v>1</v>
      </c>
      <c r="F301" s="385"/>
      <c r="G301" s="405">
        <v>2.1181127302924176E-2</v>
      </c>
      <c r="H301" s="385"/>
      <c r="I301" s="385"/>
      <c r="J301" s="385"/>
      <c r="K301" s="385"/>
      <c r="L301" s="385"/>
      <c r="M301" s="385"/>
      <c r="N301" s="383"/>
    </row>
    <row r="302" spans="1:42" ht="15" customHeight="1" x14ac:dyDescent="0.25">
      <c r="A302" s="400">
        <v>2028</v>
      </c>
      <c r="B302" s="408">
        <v>0.14493143573636838</v>
      </c>
      <c r="C302" s="385">
        <v>0.53372627084286606</v>
      </c>
      <c r="D302" s="385">
        <v>0.32134229342076553</v>
      </c>
      <c r="E302" s="385">
        <v>1</v>
      </c>
      <c r="F302" s="385"/>
      <c r="G302" s="405">
        <v>1.8102961861389901E-2</v>
      </c>
      <c r="H302" s="385"/>
      <c r="I302" s="385"/>
      <c r="J302" s="385"/>
      <c r="K302" s="385"/>
      <c r="L302" s="385"/>
      <c r="M302" s="385"/>
      <c r="N302" s="383"/>
    </row>
    <row r="303" spans="1:42" ht="15" customHeight="1" x14ac:dyDescent="0.25">
      <c r="A303" s="400">
        <v>2029</v>
      </c>
      <c r="B303" s="408">
        <v>0.14230060732038269</v>
      </c>
      <c r="C303" s="385">
        <v>0.53536841078155128</v>
      </c>
      <c r="D303" s="385">
        <v>0.32233098189806603</v>
      </c>
      <c r="E303" s="385">
        <v>1</v>
      </c>
      <c r="F303" s="385"/>
      <c r="G303" s="405">
        <v>1.5472133445404204E-2</v>
      </c>
      <c r="H303" s="385"/>
      <c r="I303" s="385"/>
      <c r="J303" s="385"/>
      <c r="K303" s="385"/>
      <c r="L303" s="385"/>
      <c r="M303" s="385"/>
      <c r="N303" s="383"/>
    </row>
    <row r="304" spans="1:42" ht="15" customHeight="1" x14ac:dyDescent="0.25">
      <c r="A304" s="400">
        <v>2030</v>
      </c>
      <c r="B304" s="408">
        <v>0.14005210629410073</v>
      </c>
      <c r="C304" s="385">
        <v>0.53677190532912278</v>
      </c>
      <c r="D304" s="385">
        <v>0.32317598837677652</v>
      </c>
      <c r="E304" s="385">
        <v>1</v>
      </c>
      <c r="F304" s="385"/>
      <c r="G304" s="405">
        <v>1.3223632419122239E-2</v>
      </c>
      <c r="H304" s="385"/>
      <c r="I304" s="385"/>
      <c r="J304" s="385"/>
      <c r="K304" s="385"/>
      <c r="L304" s="385"/>
      <c r="M304" s="385"/>
      <c r="N304" s="383"/>
    </row>
    <row r="305" spans="1:19" ht="15" customHeight="1" x14ac:dyDescent="0.25">
      <c r="A305" s="400">
        <v>2031</v>
      </c>
      <c r="B305" s="408">
        <v>0.13813037060260733</v>
      </c>
      <c r="C305" s="385">
        <v>0.53797143583115881</v>
      </c>
      <c r="D305" s="385">
        <v>0.32389819356623378</v>
      </c>
      <c r="E305" s="385">
        <v>1</v>
      </c>
      <c r="F305" s="385"/>
      <c r="G305" s="405">
        <v>1.1301896727628859E-2</v>
      </c>
      <c r="H305" s="385"/>
      <c r="I305" s="385"/>
      <c r="J305" s="385"/>
      <c r="K305" s="385"/>
      <c r="L305" s="385"/>
      <c r="M305" s="385"/>
      <c r="N305" s="383"/>
    </row>
    <row r="306" spans="1:19" ht="15" customHeight="1" x14ac:dyDescent="0.25">
      <c r="A306" s="400">
        <v>2032</v>
      </c>
      <c r="B306" s="408">
        <v>0.13648791279414246</v>
      </c>
      <c r="C306" s="385">
        <v>0.53899664353702692</v>
      </c>
      <c r="D306" s="385">
        <v>0.32451544366883045</v>
      </c>
      <c r="E306" s="385">
        <v>0.99999999999999978</v>
      </c>
      <c r="F306" s="385"/>
      <c r="G306" s="405">
        <v>9.6594389191639787E-3</v>
      </c>
      <c r="H306" s="385"/>
      <c r="I306" s="385"/>
      <c r="J306" s="385"/>
      <c r="K306" s="385"/>
      <c r="L306" s="385"/>
      <c r="M306" s="385"/>
      <c r="N306" s="383"/>
    </row>
    <row r="307" spans="1:19" ht="15" customHeight="1" x14ac:dyDescent="0.25">
      <c r="A307" s="400">
        <v>2033</v>
      </c>
      <c r="B307" s="408">
        <v>0.13508414657148834</v>
      </c>
      <c r="C307" s="385">
        <v>0.53987286205617879</v>
      </c>
      <c r="D307" s="385">
        <v>0.32504299137233278</v>
      </c>
      <c r="E307" s="385">
        <v>1</v>
      </c>
      <c r="F307" s="385"/>
      <c r="G307" s="405">
        <v>8.2556726965098675E-3</v>
      </c>
      <c r="H307" s="385"/>
      <c r="I307" s="385"/>
      <c r="J307" s="385"/>
      <c r="K307" s="385"/>
      <c r="L307" s="385"/>
      <c r="M307" s="385"/>
      <c r="N307" s="383"/>
    </row>
    <row r="308" spans="1:19" ht="15" customHeight="1" x14ac:dyDescent="0.25">
      <c r="A308" s="400">
        <v>2034</v>
      </c>
      <c r="B308" s="408">
        <v>0.13388438387578391</v>
      </c>
      <c r="C308" s="385">
        <v>0.54062174336960445</v>
      </c>
      <c r="D308" s="385">
        <v>0.32549387275461161</v>
      </c>
      <c r="E308" s="385">
        <v>1</v>
      </c>
      <c r="F308" s="385"/>
      <c r="G308" s="405">
        <v>7.0559100008054489E-3</v>
      </c>
      <c r="H308" s="385"/>
      <c r="I308" s="385"/>
      <c r="J308" s="385"/>
      <c r="K308" s="385"/>
      <c r="L308" s="385"/>
      <c r="M308" s="385"/>
      <c r="N308" s="383"/>
    </row>
    <row r="309" spans="1:19" ht="15" customHeight="1" x14ac:dyDescent="0.25">
      <c r="A309" s="400">
        <v>2035</v>
      </c>
      <c r="B309" s="408">
        <v>0.13285897771999083</v>
      </c>
      <c r="C309" s="385">
        <v>0.54126179286563758</v>
      </c>
      <c r="D309" s="385">
        <v>0.32587922941437147</v>
      </c>
      <c r="E309" s="385">
        <v>1</v>
      </c>
      <c r="F309" s="385"/>
      <c r="G309" s="405">
        <v>6.0305038450123643E-3</v>
      </c>
      <c r="H309" s="385"/>
      <c r="I309" s="385"/>
      <c r="J309" s="385"/>
      <c r="K309" s="385"/>
      <c r="L309" s="385"/>
      <c r="M309" s="385"/>
      <c r="N309" s="383"/>
    </row>
    <row r="311" spans="1:19" ht="15" customHeight="1" x14ac:dyDescent="0.25">
      <c r="A311" s="877" t="s">
        <v>1830</v>
      </c>
      <c r="B311" s="877"/>
      <c r="C311" s="877"/>
      <c r="D311" s="877"/>
      <c r="E311" s="877"/>
      <c r="F311" s="877"/>
      <c r="G311" s="877"/>
      <c r="H311" s="877"/>
      <c r="I311" s="877"/>
      <c r="J311" s="877"/>
      <c r="K311" s="877"/>
      <c r="L311" s="877"/>
      <c r="M311" s="877"/>
      <c r="N311" s="877"/>
      <c r="O311" s="877"/>
      <c r="P311" s="877"/>
      <c r="Q311" s="877"/>
      <c r="R311" s="877"/>
    </row>
    <row r="312" spans="1:19" ht="15" customHeight="1" x14ac:dyDescent="0.25">
      <c r="A312" s="409"/>
      <c r="B312" s="878" t="s">
        <v>1831</v>
      </c>
      <c r="C312" s="878"/>
      <c r="D312" s="878"/>
      <c r="E312" s="878"/>
      <c r="F312" s="878"/>
      <c r="G312" s="878"/>
      <c r="H312"/>
      <c r="I312"/>
      <c r="J312"/>
      <c r="K312"/>
      <c r="L312"/>
      <c r="M312" s="878" t="s">
        <v>1832</v>
      </c>
      <c r="N312" s="878"/>
      <c r="O312" s="878"/>
      <c r="P312" s="878"/>
      <c r="Q312" s="878"/>
      <c r="R312" s="878"/>
      <c r="S312" s="824" t="s">
        <v>1713</v>
      </c>
    </row>
    <row r="313" spans="1:19" ht="15" customHeight="1" x14ac:dyDescent="0.25">
      <c r="A313" s="143" t="s">
        <v>1715</v>
      </c>
      <c r="B313" s="813" t="s">
        <v>1833</v>
      </c>
      <c r="C313" s="813" t="s">
        <v>1834</v>
      </c>
      <c r="D313" s="813" t="s">
        <v>1835</v>
      </c>
      <c r="E313" s="813" t="s">
        <v>1836</v>
      </c>
      <c r="F313" s="813" t="s">
        <v>1837</v>
      </c>
      <c r="G313" s="410" t="s">
        <v>1838</v>
      </c>
      <c r="H313" s="813" t="s">
        <v>746</v>
      </c>
      <c r="I313" s="813" t="s">
        <v>1723</v>
      </c>
      <c r="J313" s="813" t="s">
        <v>151</v>
      </c>
      <c r="K313" s="813" t="s">
        <v>1724</v>
      </c>
      <c r="L313" s="813" t="s">
        <v>341</v>
      </c>
      <c r="M313" s="813" t="s">
        <v>1833</v>
      </c>
      <c r="N313" s="813" t="s">
        <v>1834</v>
      </c>
      <c r="O313" s="813" t="s">
        <v>1835</v>
      </c>
      <c r="P313" s="813" t="s">
        <v>1836</v>
      </c>
      <c r="Q313" s="813" t="s">
        <v>1837</v>
      </c>
      <c r="R313" s="410" t="s">
        <v>1838</v>
      </c>
      <c r="S313" s="143" t="s">
        <v>1725</v>
      </c>
    </row>
    <row r="314" spans="1:19" ht="15" customHeight="1" x14ac:dyDescent="0.25">
      <c r="A314" s="7" t="s">
        <v>1727</v>
      </c>
      <c r="B314" s="369">
        <v>0.28886647848116381</v>
      </c>
      <c r="C314" s="369">
        <v>5.9012032227971885E-3</v>
      </c>
      <c r="D314" s="369">
        <v>1.4617784677224615E-2</v>
      </c>
      <c r="E314" s="369">
        <v>0.60893132387784821</v>
      </c>
      <c r="F314" s="369">
        <v>5.9031120397414656E-2</v>
      </c>
      <c r="G314" s="369">
        <v>0.97734791065644855</v>
      </c>
      <c r="H314" s="369">
        <v>3.6403776250211206E-3</v>
      </c>
      <c r="I314" s="369">
        <v>3.4856288053626496E-3</v>
      </c>
      <c r="J314" s="369">
        <v>1.4534208502658304E-2</v>
      </c>
      <c r="K314" s="369">
        <v>9.9187441050948015E-4</v>
      </c>
      <c r="L314" s="369">
        <v>1</v>
      </c>
      <c r="M314" s="411">
        <v>0.29556156546868029</v>
      </c>
      <c r="N314" s="411">
        <v>6.0379759944783305E-3</v>
      </c>
      <c r="O314" s="411">
        <v>1.4956582520759048E-2</v>
      </c>
      <c r="P314" s="411">
        <v>0.62304458549346209</v>
      </c>
      <c r="Q314" s="411">
        <v>6.0399290522620171E-2</v>
      </c>
      <c r="R314" s="412">
        <v>0.99999999999999989</v>
      </c>
      <c r="S314" s="144">
        <v>1</v>
      </c>
    </row>
    <row r="315" spans="1:19" ht="15" customHeight="1" x14ac:dyDescent="0.25">
      <c r="A315" s="7" t="s">
        <v>1728</v>
      </c>
      <c r="B315" s="369">
        <v>0.28886647848116381</v>
      </c>
      <c r="C315" s="369">
        <v>5.9012032227971885E-3</v>
      </c>
      <c r="D315" s="369">
        <v>1.4617784677224615E-2</v>
      </c>
      <c r="E315" s="369">
        <v>0.60893132387784821</v>
      </c>
      <c r="F315" s="369">
        <v>5.9031120397414656E-2</v>
      </c>
      <c r="G315" s="369">
        <v>0.97734791065644855</v>
      </c>
      <c r="H315" s="369">
        <v>3.6403776250211206E-3</v>
      </c>
      <c r="I315" s="369">
        <v>3.4856288053626496E-3</v>
      </c>
      <c r="J315" s="369">
        <v>1.4534208502658304E-2</v>
      </c>
      <c r="K315" s="369">
        <v>9.9187441050948015E-4</v>
      </c>
      <c r="L315" s="369">
        <v>1</v>
      </c>
      <c r="M315" s="411">
        <v>0.29556156546868029</v>
      </c>
      <c r="N315" s="411">
        <v>6.0379759944783305E-3</v>
      </c>
      <c r="O315" s="411">
        <v>1.4956582520759048E-2</v>
      </c>
      <c r="P315" s="411">
        <v>0.62304458549346209</v>
      </c>
      <c r="Q315" s="411">
        <v>6.0399290522620171E-2</v>
      </c>
      <c r="R315" s="412">
        <v>0.99999999999999989</v>
      </c>
      <c r="S315" s="144">
        <v>3</v>
      </c>
    </row>
    <row r="316" spans="1:19" ht="15" customHeight="1" x14ac:dyDescent="0.25">
      <c r="A316" s="7" t="s">
        <v>1729</v>
      </c>
      <c r="B316" s="369">
        <v>0.28886647848116381</v>
      </c>
      <c r="C316" s="369">
        <v>5.9012032227971885E-3</v>
      </c>
      <c r="D316" s="369">
        <v>1.4617784677224615E-2</v>
      </c>
      <c r="E316" s="369">
        <v>0.60893132387784821</v>
      </c>
      <c r="F316" s="369">
        <v>5.9031120397414656E-2</v>
      </c>
      <c r="G316" s="369">
        <v>0.97734791065644855</v>
      </c>
      <c r="H316" s="369">
        <v>3.6403776250211206E-3</v>
      </c>
      <c r="I316" s="369">
        <v>3.4856288053626496E-3</v>
      </c>
      <c r="J316" s="369">
        <v>1.4534208502658304E-2</v>
      </c>
      <c r="K316" s="369">
        <v>9.9187441050948015E-4</v>
      </c>
      <c r="L316" s="369">
        <v>1</v>
      </c>
      <c r="M316" s="411">
        <v>0.29556156546868029</v>
      </c>
      <c r="N316" s="411">
        <v>6.0379759944783305E-3</v>
      </c>
      <c r="O316" s="411">
        <v>1.4956582520759048E-2</v>
      </c>
      <c r="P316" s="411">
        <v>0.62304458549346209</v>
      </c>
      <c r="Q316" s="411">
        <v>6.0399290522620171E-2</v>
      </c>
      <c r="R316" s="412">
        <v>0.99999999999999989</v>
      </c>
      <c r="S316" s="144">
        <v>1</v>
      </c>
    </row>
    <row r="317" spans="1:19" ht="15" customHeight="1" x14ac:dyDescent="0.25">
      <c r="A317" s="7" t="s">
        <v>1730</v>
      </c>
      <c r="B317" s="369">
        <v>0.28886647848116381</v>
      </c>
      <c r="C317" s="369">
        <v>5.9012032227971885E-3</v>
      </c>
      <c r="D317" s="369">
        <v>1.4617784677224615E-2</v>
      </c>
      <c r="E317" s="369">
        <v>0.60893132387784821</v>
      </c>
      <c r="F317" s="369">
        <v>5.9031120397414656E-2</v>
      </c>
      <c r="G317" s="369">
        <v>0.97734791065644855</v>
      </c>
      <c r="H317" s="369">
        <v>3.6403776250211206E-3</v>
      </c>
      <c r="I317" s="369">
        <v>3.4856288053626496E-3</v>
      </c>
      <c r="J317" s="369">
        <v>1.4534208502658304E-2</v>
      </c>
      <c r="K317" s="369">
        <v>9.9187441050948015E-4</v>
      </c>
      <c r="L317" s="369">
        <v>1</v>
      </c>
      <c r="M317" s="411">
        <v>0.29556156546868029</v>
      </c>
      <c r="N317" s="411">
        <v>6.0379759944783305E-3</v>
      </c>
      <c r="O317" s="411">
        <v>1.4956582520759048E-2</v>
      </c>
      <c r="P317" s="411">
        <v>0.62304458549346209</v>
      </c>
      <c r="Q317" s="411">
        <v>6.0399290522620171E-2</v>
      </c>
      <c r="R317" s="412">
        <v>0.99999999999999989</v>
      </c>
      <c r="S317" s="144">
        <v>1</v>
      </c>
    </row>
    <row r="318" spans="1:19" ht="15" customHeight="1" x14ac:dyDescent="0.25">
      <c r="A318" s="7" t="s">
        <v>1731</v>
      </c>
      <c r="B318" s="369">
        <v>0.28886647848116381</v>
      </c>
      <c r="C318" s="369">
        <v>5.9012032227971885E-3</v>
      </c>
      <c r="D318" s="369">
        <v>1.4617784677224615E-2</v>
      </c>
      <c r="E318" s="369">
        <v>0.60893132387784821</v>
      </c>
      <c r="F318" s="369">
        <v>5.9031120397414656E-2</v>
      </c>
      <c r="G318" s="369">
        <v>0.97734791065644855</v>
      </c>
      <c r="H318" s="369">
        <v>3.6403776250211206E-3</v>
      </c>
      <c r="I318" s="369">
        <v>3.4856288053626496E-3</v>
      </c>
      <c r="J318" s="369">
        <v>1.4534208502658304E-2</v>
      </c>
      <c r="K318" s="369">
        <v>9.9187441050948015E-4</v>
      </c>
      <c r="L318" s="369">
        <v>1</v>
      </c>
      <c r="M318" s="411">
        <v>0.29556156546868029</v>
      </c>
      <c r="N318" s="411">
        <v>6.0379759944783305E-3</v>
      </c>
      <c r="O318" s="411">
        <v>1.4956582520759048E-2</v>
      </c>
      <c r="P318" s="411">
        <v>0.62304458549346209</v>
      </c>
      <c r="Q318" s="411">
        <v>6.0399290522620171E-2</v>
      </c>
      <c r="R318" s="412">
        <v>0.99999999999999989</v>
      </c>
      <c r="S318" s="144">
        <v>3</v>
      </c>
    </row>
    <row r="319" spans="1:19" ht="15" customHeight="1" x14ac:dyDescent="0.25">
      <c r="A319" s="7" t="s">
        <v>1732</v>
      </c>
      <c r="B319" s="369">
        <v>0.28886647848116381</v>
      </c>
      <c r="C319" s="369">
        <v>5.9012032227971885E-3</v>
      </c>
      <c r="D319" s="369">
        <v>1.4617784677224615E-2</v>
      </c>
      <c r="E319" s="369">
        <v>0.60893132387784821</v>
      </c>
      <c r="F319" s="369">
        <v>5.9031120397414656E-2</v>
      </c>
      <c r="G319" s="369">
        <v>0.97734791065644855</v>
      </c>
      <c r="H319" s="369">
        <v>3.6403776250211206E-3</v>
      </c>
      <c r="I319" s="369">
        <v>3.4856288053626496E-3</v>
      </c>
      <c r="J319" s="369">
        <v>1.4534208502658304E-2</v>
      </c>
      <c r="K319" s="369">
        <v>9.9187441050948015E-4</v>
      </c>
      <c r="L319" s="369">
        <v>1</v>
      </c>
      <c r="M319" s="411">
        <v>0.29556156546868029</v>
      </c>
      <c r="N319" s="411">
        <v>6.0379759944783305E-3</v>
      </c>
      <c r="O319" s="411">
        <v>1.4956582520759048E-2</v>
      </c>
      <c r="P319" s="411">
        <v>0.62304458549346209</v>
      </c>
      <c r="Q319" s="411">
        <v>6.0399290522620171E-2</v>
      </c>
      <c r="R319" s="412">
        <v>0.99999999999999989</v>
      </c>
      <c r="S319" s="144">
        <v>1</v>
      </c>
    </row>
    <row r="320" spans="1:19" ht="15" customHeight="1" x14ac:dyDescent="0.25">
      <c r="A320" s="7" t="s">
        <v>1733</v>
      </c>
      <c r="B320" s="369">
        <v>0.28886647848116381</v>
      </c>
      <c r="C320" s="369">
        <v>5.9012032227971885E-3</v>
      </c>
      <c r="D320" s="369">
        <v>1.4617784677224615E-2</v>
      </c>
      <c r="E320" s="369">
        <v>0.60893132387784821</v>
      </c>
      <c r="F320" s="369">
        <v>5.9031120397414656E-2</v>
      </c>
      <c r="G320" s="369">
        <v>0.97734791065644855</v>
      </c>
      <c r="H320" s="369">
        <v>3.6403776250211206E-3</v>
      </c>
      <c r="I320" s="369">
        <v>3.4856288053626496E-3</v>
      </c>
      <c r="J320" s="369">
        <v>1.4534208502658304E-2</v>
      </c>
      <c r="K320" s="369">
        <v>9.9187441050948015E-4</v>
      </c>
      <c r="L320" s="369">
        <v>1</v>
      </c>
      <c r="M320" s="411">
        <v>0.29556156546868029</v>
      </c>
      <c r="N320" s="411">
        <v>6.0379759944783305E-3</v>
      </c>
      <c r="O320" s="411">
        <v>1.4956582520759048E-2</v>
      </c>
      <c r="P320" s="411">
        <v>0.62304458549346209</v>
      </c>
      <c r="Q320" s="411">
        <v>6.0399290522620171E-2</v>
      </c>
      <c r="R320" s="412">
        <v>0.99999999999999989</v>
      </c>
      <c r="S320" s="144">
        <v>5</v>
      </c>
    </row>
    <row r="321" spans="1:19" ht="15" customHeight="1" x14ac:dyDescent="0.25">
      <c r="A321" s="7" t="s">
        <v>1734</v>
      </c>
      <c r="B321" s="369">
        <v>0.28886647848116381</v>
      </c>
      <c r="C321" s="369">
        <v>5.9012032227971885E-3</v>
      </c>
      <c r="D321" s="369">
        <v>1.4617784677224615E-2</v>
      </c>
      <c r="E321" s="369">
        <v>0.60893132387784821</v>
      </c>
      <c r="F321" s="369">
        <v>5.9031120397414656E-2</v>
      </c>
      <c r="G321" s="369">
        <v>0.97734791065644855</v>
      </c>
      <c r="H321" s="369">
        <v>3.6403776250211206E-3</v>
      </c>
      <c r="I321" s="369">
        <v>3.4856288053626496E-3</v>
      </c>
      <c r="J321" s="369">
        <v>1.4534208502658304E-2</v>
      </c>
      <c r="K321" s="369">
        <v>9.9187441050948015E-4</v>
      </c>
      <c r="L321" s="369">
        <v>1</v>
      </c>
      <c r="M321" s="411">
        <v>0.29556156546868029</v>
      </c>
      <c r="N321" s="411">
        <v>6.0379759944783305E-3</v>
      </c>
      <c r="O321" s="411">
        <v>1.4956582520759048E-2</v>
      </c>
      <c r="P321" s="411">
        <v>0.62304458549346209</v>
      </c>
      <c r="Q321" s="411">
        <v>6.0399290522620171E-2</v>
      </c>
      <c r="R321" s="412">
        <v>0.99999999999999989</v>
      </c>
      <c r="S321" s="144">
        <v>4</v>
      </c>
    </row>
    <row r="322" spans="1:19" ht="15" customHeight="1" x14ac:dyDescent="0.25">
      <c r="A322" s="7" t="s">
        <v>1735</v>
      </c>
      <c r="B322" s="369">
        <v>0.28886647848116381</v>
      </c>
      <c r="C322" s="369">
        <v>5.9012032227971885E-3</v>
      </c>
      <c r="D322" s="369">
        <v>1.4617784677224615E-2</v>
      </c>
      <c r="E322" s="369">
        <v>0.60893132387784821</v>
      </c>
      <c r="F322" s="369">
        <v>5.9031120397414656E-2</v>
      </c>
      <c r="G322" s="369">
        <v>0.97734791065644855</v>
      </c>
      <c r="H322" s="369">
        <v>3.6403776250211206E-3</v>
      </c>
      <c r="I322" s="369">
        <v>3.4856288053626496E-3</v>
      </c>
      <c r="J322" s="369">
        <v>1.4534208502658304E-2</v>
      </c>
      <c r="K322" s="369">
        <v>9.9187441050948015E-4</v>
      </c>
      <c r="L322" s="369">
        <v>1</v>
      </c>
      <c r="M322" s="411">
        <v>0.29556156546868029</v>
      </c>
      <c r="N322" s="411">
        <v>6.0379759944783305E-3</v>
      </c>
      <c r="O322" s="411">
        <v>1.4956582520759048E-2</v>
      </c>
      <c r="P322" s="411">
        <v>0.62304458549346209</v>
      </c>
      <c r="Q322" s="411">
        <v>6.0399290522620171E-2</v>
      </c>
      <c r="R322" s="412">
        <v>0.99999999999999989</v>
      </c>
      <c r="S322" s="144">
        <v>15</v>
      </c>
    </row>
    <row r="323" spans="1:19" ht="15" customHeight="1" x14ac:dyDescent="0.25">
      <c r="A323" s="7" t="s">
        <v>1736</v>
      </c>
      <c r="B323" s="369">
        <v>0.28886647848116381</v>
      </c>
      <c r="C323" s="369">
        <v>5.9012032227971885E-3</v>
      </c>
      <c r="D323" s="369">
        <v>1.4617784677224615E-2</v>
      </c>
      <c r="E323" s="369">
        <v>0.60893132387784821</v>
      </c>
      <c r="F323" s="369">
        <v>5.9031120397414656E-2</v>
      </c>
      <c r="G323" s="369">
        <v>0.97734791065644855</v>
      </c>
      <c r="H323" s="369">
        <v>3.6403776250211206E-3</v>
      </c>
      <c r="I323" s="369">
        <v>3.4856288053626496E-3</v>
      </c>
      <c r="J323" s="369">
        <v>1.4534208502658304E-2</v>
      </c>
      <c r="K323" s="369">
        <v>9.9187441050948015E-4</v>
      </c>
      <c r="L323" s="369">
        <v>1</v>
      </c>
      <c r="M323" s="411">
        <v>0.29556156546868029</v>
      </c>
      <c r="N323" s="411">
        <v>6.0379759944783305E-3</v>
      </c>
      <c r="O323" s="411">
        <v>1.4956582520759048E-2</v>
      </c>
      <c r="P323" s="411">
        <v>0.62304458549346209</v>
      </c>
      <c r="Q323" s="411">
        <v>6.0399290522620171E-2</v>
      </c>
      <c r="R323" s="412">
        <v>0.99999999999999989</v>
      </c>
      <c r="S323" s="144">
        <v>1</v>
      </c>
    </row>
    <row r="324" spans="1:19" ht="15" customHeight="1" x14ac:dyDescent="0.25">
      <c r="A324" s="7" t="s">
        <v>1737</v>
      </c>
      <c r="B324" s="369">
        <v>0.28886647848116381</v>
      </c>
      <c r="C324" s="369">
        <v>5.9012032227971885E-3</v>
      </c>
      <c r="D324" s="369">
        <v>1.4617784677224615E-2</v>
      </c>
      <c r="E324" s="369">
        <v>0.60893132387784821</v>
      </c>
      <c r="F324" s="369">
        <v>5.9031120397414656E-2</v>
      </c>
      <c r="G324" s="369">
        <v>0.97734791065644855</v>
      </c>
      <c r="H324" s="369">
        <v>3.6403776250211206E-3</v>
      </c>
      <c r="I324" s="369">
        <v>3.4856288053626496E-3</v>
      </c>
      <c r="J324" s="369">
        <v>1.4534208502658304E-2</v>
      </c>
      <c r="K324" s="369">
        <v>9.9187441050948015E-4</v>
      </c>
      <c r="L324" s="369">
        <v>1</v>
      </c>
      <c r="M324" s="411">
        <v>0.29556156546868029</v>
      </c>
      <c r="N324" s="411">
        <v>6.0379759944783305E-3</v>
      </c>
      <c r="O324" s="411">
        <v>1.4956582520759048E-2</v>
      </c>
      <c r="P324" s="411">
        <v>0.62304458549346209</v>
      </c>
      <c r="Q324" s="411">
        <v>6.0399290522620171E-2</v>
      </c>
      <c r="R324" s="412">
        <v>0.99999999999999989</v>
      </c>
      <c r="S324" s="144">
        <v>3</v>
      </c>
    </row>
    <row r="325" spans="1:19" ht="15" customHeight="1" x14ac:dyDescent="0.25">
      <c r="A325" s="7" t="s">
        <v>1738</v>
      </c>
      <c r="B325" s="369">
        <v>0.39737330962916739</v>
      </c>
      <c r="C325" s="369">
        <v>7.2838731540447775E-3</v>
      </c>
      <c r="D325" s="369">
        <v>6.8624234472745987E-3</v>
      </c>
      <c r="E325" s="369">
        <v>0.49318147581197469</v>
      </c>
      <c r="F325" s="369">
        <v>7.6018998400675414E-2</v>
      </c>
      <c r="G325" s="369">
        <v>0.98072008044313685</v>
      </c>
      <c r="H325" s="369">
        <v>3.2177353820391711E-4</v>
      </c>
      <c r="I325" s="369">
        <v>1.933091087235048E-3</v>
      </c>
      <c r="J325" s="369">
        <v>0</v>
      </c>
      <c r="K325" s="369">
        <v>1.7025054931424186E-2</v>
      </c>
      <c r="L325" s="369">
        <v>1</v>
      </c>
      <c r="M325" s="411">
        <v>0.40518524862834959</v>
      </c>
      <c r="N325" s="411">
        <v>7.4270663967169618E-3</v>
      </c>
      <c r="O325" s="411">
        <v>6.997331434443377E-3</v>
      </c>
      <c r="P325" s="411">
        <v>0.50287690203011992</v>
      </c>
      <c r="Q325" s="411">
        <v>7.751345151037016E-2</v>
      </c>
      <c r="R325" s="412">
        <v>1</v>
      </c>
      <c r="S325" s="144">
        <v>67</v>
      </c>
    </row>
    <row r="326" spans="1:19" ht="15" customHeight="1" x14ac:dyDescent="0.25">
      <c r="A326" s="7" t="s">
        <v>1739</v>
      </c>
      <c r="B326" s="369">
        <v>0.28886647848116381</v>
      </c>
      <c r="C326" s="369">
        <v>5.9012032227971885E-3</v>
      </c>
      <c r="D326" s="369">
        <v>1.4617784677224615E-2</v>
      </c>
      <c r="E326" s="369">
        <v>0.60893132387784821</v>
      </c>
      <c r="F326" s="369">
        <v>5.9031120397414656E-2</v>
      </c>
      <c r="G326" s="369">
        <v>0.97734791065644855</v>
      </c>
      <c r="H326" s="369">
        <v>3.6403776250211206E-3</v>
      </c>
      <c r="I326" s="369">
        <v>3.4856288053626496E-3</v>
      </c>
      <c r="J326" s="369">
        <v>1.4534208502658304E-2</v>
      </c>
      <c r="K326" s="369">
        <v>9.9187441050948015E-4</v>
      </c>
      <c r="L326" s="369">
        <v>1</v>
      </c>
      <c r="M326" s="411">
        <v>0.29556156546868029</v>
      </c>
      <c r="N326" s="411">
        <v>6.0379759944783305E-3</v>
      </c>
      <c r="O326" s="411">
        <v>1.4956582520759048E-2</v>
      </c>
      <c r="P326" s="411">
        <v>0.62304458549346209</v>
      </c>
      <c r="Q326" s="411">
        <v>6.0399290522620171E-2</v>
      </c>
      <c r="R326" s="412">
        <v>0.99999999999999989</v>
      </c>
      <c r="S326" s="144">
        <v>28</v>
      </c>
    </row>
    <row r="327" spans="1:19" ht="15" customHeight="1" x14ac:dyDescent="0.25">
      <c r="A327" s="7" t="s">
        <v>1740</v>
      </c>
      <c r="B327" s="369">
        <v>0.28886647848116381</v>
      </c>
      <c r="C327" s="369">
        <v>5.9012032227971885E-3</v>
      </c>
      <c r="D327" s="369">
        <v>1.4617784677224615E-2</v>
      </c>
      <c r="E327" s="369">
        <v>0.60893132387784821</v>
      </c>
      <c r="F327" s="369">
        <v>5.9031120397414656E-2</v>
      </c>
      <c r="G327" s="369">
        <v>0.97734791065644855</v>
      </c>
      <c r="H327" s="369">
        <v>3.6403776250211206E-3</v>
      </c>
      <c r="I327" s="369">
        <v>3.4856288053626496E-3</v>
      </c>
      <c r="J327" s="369">
        <v>1.4534208502658304E-2</v>
      </c>
      <c r="K327" s="369">
        <v>9.9187441050948015E-4</v>
      </c>
      <c r="L327" s="369">
        <v>1</v>
      </c>
      <c r="M327" s="411">
        <v>0.29556156546868029</v>
      </c>
      <c r="N327" s="411">
        <v>6.0379759944783305E-3</v>
      </c>
      <c r="O327" s="411">
        <v>1.4956582520759048E-2</v>
      </c>
      <c r="P327" s="411">
        <v>0.62304458549346209</v>
      </c>
      <c r="Q327" s="411">
        <v>6.0399290522620171E-2</v>
      </c>
      <c r="R327" s="412">
        <v>0.99999999999999989</v>
      </c>
      <c r="S327" s="144">
        <v>12</v>
      </c>
    </row>
    <row r="328" spans="1:19" ht="15" customHeight="1" x14ac:dyDescent="0.25">
      <c r="A328" s="7" t="s">
        <v>1741</v>
      </c>
      <c r="B328" s="369">
        <v>0.28886647848116381</v>
      </c>
      <c r="C328" s="369">
        <v>5.9012032227971885E-3</v>
      </c>
      <c r="D328" s="369">
        <v>1.4617784677224615E-2</v>
      </c>
      <c r="E328" s="369">
        <v>0.60893132387784821</v>
      </c>
      <c r="F328" s="369">
        <v>5.9031120397414656E-2</v>
      </c>
      <c r="G328" s="369">
        <v>0.97734791065644855</v>
      </c>
      <c r="H328" s="369">
        <v>3.6403776250211206E-3</v>
      </c>
      <c r="I328" s="369">
        <v>3.4856288053626496E-3</v>
      </c>
      <c r="J328" s="369">
        <v>1.4534208502658304E-2</v>
      </c>
      <c r="K328" s="369">
        <v>9.9187441050948015E-4</v>
      </c>
      <c r="L328" s="369">
        <v>1</v>
      </c>
      <c r="M328" s="411">
        <v>0.29556156546868029</v>
      </c>
      <c r="N328" s="411">
        <v>6.0379759944783305E-3</v>
      </c>
      <c r="O328" s="411">
        <v>1.4956582520759048E-2</v>
      </c>
      <c r="P328" s="411">
        <v>0.62304458549346209</v>
      </c>
      <c r="Q328" s="411">
        <v>6.0399290522620171E-2</v>
      </c>
      <c r="R328" s="412">
        <v>0.99999999999999989</v>
      </c>
      <c r="S328" s="144">
        <v>1</v>
      </c>
    </row>
    <row r="329" spans="1:19" ht="15" customHeight="1" x14ac:dyDescent="0.25">
      <c r="A329" s="7" t="s">
        <v>1742</v>
      </c>
      <c r="B329" s="369">
        <v>0.28886647848116381</v>
      </c>
      <c r="C329" s="369">
        <v>5.9012032227971885E-3</v>
      </c>
      <c r="D329" s="369">
        <v>1.4617784677224615E-2</v>
      </c>
      <c r="E329" s="369">
        <v>0.60893132387784821</v>
      </c>
      <c r="F329" s="369">
        <v>5.9031120397414656E-2</v>
      </c>
      <c r="G329" s="369">
        <v>0.97734791065644855</v>
      </c>
      <c r="H329" s="369">
        <v>3.6403776250211206E-3</v>
      </c>
      <c r="I329" s="369">
        <v>3.4856288053626496E-3</v>
      </c>
      <c r="J329" s="369">
        <v>1.4534208502658304E-2</v>
      </c>
      <c r="K329" s="369">
        <v>9.9187441050948015E-4</v>
      </c>
      <c r="L329" s="369">
        <v>1</v>
      </c>
      <c r="M329" s="411">
        <v>0.29556156546868029</v>
      </c>
      <c r="N329" s="411">
        <v>6.0379759944783305E-3</v>
      </c>
      <c r="O329" s="411">
        <v>1.4956582520759048E-2</v>
      </c>
      <c r="P329" s="411">
        <v>0.62304458549346209</v>
      </c>
      <c r="Q329" s="411">
        <v>6.0399290522620171E-2</v>
      </c>
      <c r="R329" s="412">
        <v>0.99999999999999989</v>
      </c>
      <c r="S329" s="144">
        <v>15</v>
      </c>
    </row>
    <row r="330" spans="1:19" ht="15" customHeight="1" x14ac:dyDescent="0.25">
      <c r="A330" s="7" t="s">
        <v>1743</v>
      </c>
      <c r="B330" s="369">
        <v>0.28886647848116381</v>
      </c>
      <c r="C330" s="369">
        <v>5.9012032227971885E-3</v>
      </c>
      <c r="D330" s="369">
        <v>1.4617784677224615E-2</v>
      </c>
      <c r="E330" s="369">
        <v>0.60893132387784821</v>
      </c>
      <c r="F330" s="369">
        <v>5.9031120397414656E-2</v>
      </c>
      <c r="G330" s="369">
        <v>0.97734791065644855</v>
      </c>
      <c r="H330" s="369">
        <v>3.6403776250211206E-3</v>
      </c>
      <c r="I330" s="369">
        <v>3.4856288053626496E-3</v>
      </c>
      <c r="J330" s="369">
        <v>1.4534208502658304E-2</v>
      </c>
      <c r="K330" s="369">
        <v>9.9187441050948015E-4</v>
      </c>
      <c r="L330" s="369">
        <v>1</v>
      </c>
      <c r="M330" s="411">
        <v>0.29556156546868029</v>
      </c>
      <c r="N330" s="411">
        <v>6.0379759944783305E-3</v>
      </c>
      <c r="O330" s="411">
        <v>1.4956582520759048E-2</v>
      </c>
      <c r="P330" s="411">
        <v>0.62304458549346209</v>
      </c>
      <c r="Q330" s="411">
        <v>6.0399290522620171E-2</v>
      </c>
      <c r="R330" s="412">
        <v>0.99999999999999989</v>
      </c>
      <c r="S330" s="144">
        <v>2</v>
      </c>
    </row>
    <row r="331" spans="1:19" ht="15" customHeight="1" x14ac:dyDescent="0.25">
      <c r="A331" s="7" t="s">
        <v>1744</v>
      </c>
      <c r="B331" s="369">
        <v>0.28886647848116381</v>
      </c>
      <c r="C331" s="369">
        <v>5.9012032227971885E-3</v>
      </c>
      <c r="D331" s="369">
        <v>1.4617784677224615E-2</v>
      </c>
      <c r="E331" s="369">
        <v>0.60893132387784821</v>
      </c>
      <c r="F331" s="369">
        <v>5.9031120397414656E-2</v>
      </c>
      <c r="G331" s="369">
        <v>0.97734791065644855</v>
      </c>
      <c r="H331" s="369">
        <v>3.6403776250211206E-3</v>
      </c>
      <c r="I331" s="369">
        <v>3.4856288053626496E-3</v>
      </c>
      <c r="J331" s="369">
        <v>1.4534208502658304E-2</v>
      </c>
      <c r="K331" s="369">
        <v>9.9187441050948015E-4</v>
      </c>
      <c r="L331" s="369">
        <v>1</v>
      </c>
      <c r="M331" s="411">
        <v>0.29556156546868029</v>
      </c>
      <c r="N331" s="411">
        <v>6.0379759944783305E-3</v>
      </c>
      <c r="O331" s="411">
        <v>1.4956582520759048E-2</v>
      </c>
      <c r="P331" s="411">
        <v>0.62304458549346209</v>
      </c>
      <c r="Q331" s="411">
        <v>6.0399290522620171E-2</v>
      </c>
      <c r="R331" s="412">
        <v>0.99999999999999989</v>
      </c>
      <c r="S331" s="144">
        <v>29</v>
      </c>
    </row>
    <row r="332" spans="1:19" ht="15" customHeight="1" x14ac:dyDescent="0.25">
      <c r="A332" s="7" t="s">
        <v>1745</v>
      </c>
      <c r="B332" s="369">
        <v>0.17925467374187332</v>
      </c>
      <c r="C332" s="369">
        <v>4.3801581170601301E-3</v>
      </c>
      <c r="D332" s="369">
        <v>2.1665276210927373E-2</v>
      </c>
      <c r="E332" s="369">
        <v>0.7516692496006574</v>
      </c>
      <c r="F332" s="369">
        <v>3.6135856302768707E-2</v>
      </c>
      <c r="G332" s="369">
        <v>0.99310521397328699</v>
      </c>
      <c r="H332" s="369">
        <v>4.337363929576849E-3</v>
      </c>
      <c r="I332" s="369">
        <v>2.5574220971363304E-3</v>
      </c>
      <c r="J332" s="369">
        <v>0</v>
      </c>
      <c r="K332" s="369">
        <v>0</v>
      </c>
      <c r="L332" s="369">
        <v>1.0000000000000002</v>
      </c>
      <c r="M332" s="411">
        <v>0.18049917694490625</v>
      </c>
      <c r="N332" s="411">
        <v>4.4105680399518571E-3</v>
      </c>
      <c r="O332" s="411">
        <v>2.1815690730539388E-2</v>
      </c>
      <c r="P332" s="411">
        <v>0.75688782922941755</v>
      </c>
      <c r="Q332" s="411">
        <v>3.6386735055184902E-2</v>
      </c>
      <c r="R332" s="412">
        <v>0.99999999999999989</v>
      </c>
      <c r="S332" s="144">
        <v>74</v>
      </c>
    </row>
    <row r="333" spans="1:19" ht="15" customHeight="1" x14ac:dyDescent="0.25">
      <c r="A333" s="7" t="s">
        <v>1746</v>
      </c>
      <c r="B333" s="369">
        <v>0.28886647848116381</v>
      </c>
      <c r="C333" s="369">
        <v>5.9012032227971885E-3</v>
      </c>
      <c r="D333" s="369">
        <v>1.4617784677224615E-2</v>
      </c>
      <c r="E333" s="369">
        <v>0.60893132387784821</v>
      </c>
      <c r="F333" s="369">
        <v>5.9031120397414656E-2</v>
      </c>
      <c r="G333" s="369">
        <v>0.97734791065644855</v>
      </c>
      <c r="H333" s="369">
        <v>3.6403776250211206E-3</v>
      </c>
      <c r="I333" s="369">
        <v>3.4856288053626496E-3</v>
      </c>
      <c r="J333" s="369">
        <v>1.4534208502658304E-2</v>
      </c>
      <c r="K333" s="369">
        <v>9.9187441050948015E-4</v>
      </c>
      <c r="L333" s="369">
        <v>1</v>
      </c>
      <c r="M333" s="411">
        <v>0.29556156546868029</v>
      </c>
      <c r="N333" s="411">
        <v>6.0379759944783305E-3</v>
      </c>
      <c r="O333" s="411">
        <v>1.4956582520759048E-2</v>
      </c>
      <c r="P333" s="411">
        <v>0.62304458549346209</v>
      </c>
      <c r="Q333" s="411">
        <v>6.0399290522620171E-2</v>
      </c>
      <c r="R333" s="412">
        <v>0.99999999999999989</v>
      </c>
      <c r="S333" s="144">
        <v>35</v>
      </c>
    </row>
    <row r="334" spans="1:19" ht="15" customHeight="1" x14ac:dyDescent="0.25">
      <c r="A334" s="7" t="s">
        <v>1747</v>
      </c>
      <c r="B334" s="369">
        <v>0.28886647848116381</v>
      </c>
      <c r="C334" s="369">
        <v>5.9012032227971885E-3</v>
      </c>
      <c r="D334" s="369">
        <v>1.4617784677224615E-2</v>
      </c>
      <c r="E334" s="369">
        <v>0.60893132387784821</v>
      </c>
      <c r="F334" s="369">
        <v>5.9031120397414656E-2</v>
      </c>
      <c r="G334" s="369">
        <v>0.97734791065644855</v>
      </c>
      <c r="H334" s="369">
        <v>3.6403776250211206E-3</v>
      </c>
      <c r="I334" s="369">
        <v>3.4856288053626496E-3</v>
      </c>
      <c r="J334" s="369">
        <v>1.4534208502658304E-2</v>
      </c>
      <c r="K334" s="369">
        <v>9.9187441050948015E-4</v>
      </c>
      <c r="L334" s="369">
        <v>1</v>
      </c>
      <c r="M334" s="411">
        <v>0.29556156546868029</v>
      </c>
      <c r="N334" s="411">
        <v>6.0379759944783305E-3</v>
      </c>
      <c r="O334" s="411">
        <v>1.4956582520759048E-2</v>
      </c>
      <c r="P334" s="411">
        <v>0.62304458549346209</v>
      </c>
      <c r="Q334" s="411">
        <v>6.0399290522620171E-2</v>
      </c>
      <c r="R334" s="412">
        <v>0.99999999999999989</v>
      </c>
      <c r="S334" s="144">
        <v>11</v>
      </c>
    </row>
    <row r="335" spans="1:19" ht="15" customHeight="1" x14ac:dyDescent="0.25">
      <c r="A335" s="7" t="s">
        <v>1748</v>
      </c>
      <c r="B335" s="369">
        <v>0.28886647848116381</v>
      </c>
      <c r="C335" s="369">
        <v>5.9012032227971885E-3</v>
      </c>
      <c r="D335" s="369">
        <v>1.4617784677224615E-2</v>
      </c>
      <c r="E335" s="369">
        <v>0.60893132387784821</v>
      </c>
      <c r="F335" s="369">
        <v>5.9031120397414656E-2</v>
      </c>
      <c r="G335" s="369">
        <v>0.97734791065644855</v>
      </c>
      <c r="H335" s="369">
        <v>3.6403776250211206E-3</v>
      </c>
      <c r="I335" s="369">
        <v>3.4856288053626496E-3</v>
      </c>
      <c r="J335" s="369">
        <v>1.4534208502658304E-2</v>
      </c>
      <c r="K335" s="369">
        <v>9.9187441050948015E-4</v>
      </c>
      <c r="L335" s="369">
        <v>1</v>
      </c>
      <c r="M335" s="411">
        <v>0.29556156546868029</v>
      </c>
      <c r="N335" s="411">
        <v>6.0379759944783305E-3</v>
      </c>
      <c r="O335" s="411">
        <v>1.4956582520759048E-2</v>
      </c>
      <c r="P335" s="411">
        <v>0.62304458549346209</v>
      </c>
      <c r="Q335" s="411">
        <v>6.0399290522620171E-2</v>
      </c>
      <c r="R335" s="412">
        <v>0.99999999999999989</v>
      </c>
      <c r="S335" s="144">
        <v>35</v>
      </c>
    </row>
    <row r="336" spans="1:19" ht="15" customHeight="1" x14ac:dyDescent="0.25">
      <c r="A336" s="7" t="s">
        <v>1749</v>
      </c>
      <c r="B336" s="369">
        <v>0.25316508814533184</v>
      </c>
      <c r="C336" s="369">
        <v>1.4749530852368978E-2</v>
      </c>
      <c r="D336" s="369">
        <v>2.0844169897726101E-2</v>
      </c>
      <c r="E336" s="369">
        <v>0.66300033476972919</v>
      </c>
      <c r="F336" s="369">
        <v>1.8895750960571625E-2</v>
      </c>
      <c r="G336" s="369">
        <v>0.97065487462572775</v>
      </c>
      <c r="H336" s="369">
        <v>0</v>
      </c>
      <c r="I336" s="369">
        <v>0</v>
      </c>
      <c r="J336" s="369">
        <v>2.9345125374272151E-2</v>
      </c>
      <c r="K336" s="369">
        <v>0</v>
      </c>
      <c r="L336" s="369">
        <v>0.99999999999999989</v>
      </c>
      <c r="M336" s="411">
        <v>0.26081884999851168</v>
      </c>
      <c r="N336" s="411">
        <v>1.5195443033298742E-2</v>
      </c>
      <c r="O336" s="411">
        <v>2.1474337009602253E-2</v>
      </c>
      <c r="P336" s="411">
        <v>0.68304435706396027</v>
      </c>
      <c r="Q336" s="411">
        <v>1.9467012894627031E-2</v>
      </c>
      <c r="R336" s="412">
        <v>1</v>
      </c>
      <c r="S336" s="144">
        <v>59</v>
      </c>
    </row>
    <row r="337" spans="1:19" ht="15" customHeight="1" x14ac:dyDescent="0.25">
      <c r="A337" s="7" t="s">
        <v>1750</v>
      </c>
      <c r="B337" s="369">
        <v>8.6954292804736141E-2</v>
      </c>
      <c r="C337" s="369">
        <v>1.3583242826716713E-2</v>
      </c>
      <c r="D337" s="369">
        <v>5.8273453495054257E-3</v>
      </c>
      <c r="E337" s="369">
        <v>0.84634677248611645</v>
      </c>
      <c r="F337" s="369">
        <v>1.2193315158077554E-2</v>
      </c>
      <c r="G337" s="369">
        <v>0.96490496862515229</v>
      </c>
      <c r="H337" s="369">
        <v>1.724824693229458E-2</v>
      </c>
      <c r="I337" s="369">
        <v>9.8491060284337361E-3</v>
      </c>
      <c r="J337" s="369">
        <v>7.6911874842941735E-4</v>
      </c>
      <c r="K337" s="369">
        <v>7.2285596656900125E-3</v>
      </c>
      <c r="L337" s="369">
        <v>1</v>
      </c>
      <c r="M337" s="411">
        <v>9.0116949992115003E-2</v>
      </c>
      <c r="N337" s="411">
        <v>1.4077285606758598E-2</v>
      </c>
      <c r="O337" s="411">
        <v>6.0392945823551265E-3</v>
      </c>
      <c r="P337" s="411">
        <v>0.87712966562089134</v>
      </c>
      <c r="Q337" s="411">
        <v>1.2636804197879959E-2</v>
      </c>
      <c r="R337" s="412">
        <v>1</v>
      </c>
      <c r="S337" s="144">
        <v>171</v>
      </c>
    </row>
    <row r="338" spans="1:19" ht="15" customHeight="1" x14ac:dyDescent="0.25">
      <c r="A338" s="7" t="s">
        <v>1751</v>
      </c>
      <c r="B338" s="369">
        <v>0.24719700656713328</v>
      </c>
      <c r="C338" s="369">
        <v>1.2100207634382649E-2</v>
      </c>
      <c r="D338" s="369">
        <v>0</v>
      </c>
      <c r="E338" s="369">
        <v>0.70635151266634377</v>
      </c>
      <c r="F338" s="369">
        <v>2.8443191758062231E-2</v>
      </c>
      <c r="G338" s="369">
        <v>0.99409191862592194</v>
      </c>
      <c r="H338" s="369">
        <v>5.9080813740782076E-3</v>
      </c>
      <c r="I338" s="369">
        <v>0</v>
      </c>
      <c r="J338" s="369">
        <v>0</v>
      </c>
      <c r="K338" s="369">
        <v>0</v>
      </c>
      <c r="L338" s="369">
        <v>1.0000000000000002</v>
      </c>
      <c r="M338" s="411">
        <v>0.24866614639501342</v>
      </c>
      <c r="N338" s="411">
        <v>1.217212151881095E-2</v>
      </c>
      <c r="O338" s="411">
        <v>0</v>
      </c>
      <c r="P338" s="411">
        <v>0.71054949691442437</v>
      </c>
      <c r="Q338" s="411">
        <v>2.8612235171751196E-2</v>
      </c>
      <c r="R338" s="412">
        <v>0.99999999999999989</v>
      </c>
      <c r="S338" s="144">
        <v>70</v>
      </c>
    </row>
    <row r="339" spans="1:19" ht="15" customHeight="1" x14ac:dyDescent="0.25">
      <c r="A339" s="7" t="s">
        <v>1752</v>
      </c>
      <c r="B339" s="369">
        <v>0.26386208507451958</v>
      </c>
      <c r="C339" s="369">
        <v>5.5136606543028793E-3</v>
      </c>
      <c r="D339" s="369">
        <v>3.8959774580978597E-3</v>
      </c>
      <c r="E339" s="369">
        <v>0.63292247573303628</v>
      </c>
      <c r="F339" s="369">
        <v>8.8782121372738193E-2</v>
      </c>
      <c r="G339" s="369">
        <v>0.99497632029269478</v>
      </c>
      <c r="H339" s="369">
        <v>5.0236797073051447E-3</v>
      </c>
      <c r="I339" s="369">
        <v>0</v>
      </c>
      <c r="J339" s="369">
        <v>0</v>
      </c>
      <c r="K339" s="369">
        <v>0</v>
      </c>
      <c r="L339" s="369">
        <v>0.99999999999999989</v>
      </c>
      <c r="M339" s="411">
        <v>0.26519433648119239</v>
      </c>
      <c r="N339" s="411">
        <v>5.5414993722472826E-3</v>
      </c>
      <c r="O339" s="411">
        <v>3.9156484216144663E-3</v>
      </c>
      <c r="P339" s="411">
        <v>0.63611812947151125</v>
      </c>
      <c r="Q339" s="411">
        <v>8.9230386253434574E-2</v>
      </c>
      <c r="R339" s="412">
        <v>1</v>
      </c>
      <c r="S339" s="144">
        <v>68</v>
      </c>
    </row>
    <row r="340" spans="1:19" ht="15" customHeight="1" x14ac:dyDescent="0.25">
      <c r="A340" s="7" t="s">
        <v>1753</v>
      </c>
      <c r="B340" s="369">
        <v>0.28886647848116381</v>
      </c>
      <c r="C340" s="369">
        <v>5.9012032227971885E-3</v>
      </c>
      <c r="D340" s="369">
        <v>1.4617784677224615E-2</v>
      </c>
      <c r="E340" s="369">
        <v>0.60893132387784821</v>
      </c>
      <c r="F340" s="369">
        <v>5.9031120397414656E-2</v>
      </c>
      <c r="G340" s="369">
        <v>0.97734791065644855</v>
      </c>
      <c r="H340" s="369">
        <v>3.6403776250211206E-3</v>
      </c>
      <c r="I340" s="369">
        <v>3.4856288053626496E-3</v>
      </c>
      <c r="J340" s="369">
        <v>1.4534208502658304E-2</v>
      </c>
      <c r="K340" s="369">
        <v>9.9187441050948015E-4</v>
      </c>
      <c r="L340" s="369">
        <v>1</v>
      </c>
      <c r="M340" s="411">
        <v>0.29556156546868029</v>
      </c>
      <c r="N340" s="411">
        <v>6.0379759944783305E-3</v>
      </c>
      <c r="O340" s="411">
        <v>1.4956582520759048E-2</v>
      </c>
      <c r="P340" s="411">
        <v>0.62304458549346209</v>
      </c>
      <c r="Q340" s="411">
        <v>6.0399290522620171E-2</v>
      </c>
      <c r="R340" s="412">
        <v>0.99999999999999989</v>
      </c>
      <c r="S340" s="144">
        <v>5</v>
      </c>
    </row>
    <row r="341" spans="1:19" ht="15" customHeight="1" x14ac:dyDescent="0.25">
      <c r="A341" s="7" t="s">
        <v>1754</v>
      </c>
      <c r="B341" s="369">
        <v>0.28886647848116381</v>
      </c>
      <c r="C341" s="369">
        <v>5.9012032227971885E-3</v>
      </c>
      <c r="D341" s="369">
        <v>1.4617784677224615E-2</v>
      </c>
      <c r="E341" s="369">
        <v>0.60893132387784821</v>
      </c>
      <c r="F341" s="369">
        <v>5.9031120397414656E-2</v>
      </c>
      <c r="G341" s="369">
        <v>0.97734791065644855</v>
      </c>
      <c r="H341" s="369">
        <v>3.6403776250211206E-3</v>
      </c>
      <c r="I341" s="369">
        <v>3.4856288053626496E-3</v>
      </c>
      <c r="J341" s="369">
        <v>1.4534208502658304E-2</v>
      </c>
      <c r="K341" s="369">
        <v>9.9187441050948015E-4</v>
      </c>
      <c r="L341" s="369">
        <v>1</v>
      </c>
      <c r="M341" s="411">
        <v>0.29556156546868029</v>
      </c>
      <c r="N341" s="411">
        <v>6.0379759944783305E-3</v>
      </c>
      <c r="O341" s="411">
        <v>1.4956582520759048E-2</v>
      </c>
      <c r="P341" s="411">
        <v>0.62304458549346209</v>
      </c>
      <c r="Q341" s="411">
        <v>6.0399290522620171E-2</v>
      </c>
      <c r="R341" s="412">
        <v>0.99999999999999989</v>
      </c>
      <c r="S341" s="144">
        <v>1</v>
      </c>
    </row>
    <row r="342" spans="1:19" ht="15" customHeight="1" x14ac:dyDescent="0.25">
      <c r="A342" s="7" t="s">
        <v>1755</v>
      </c>
      <c r="B342" s="369">
        <v>0.17875603003087628</v>
      </c>
      <c r="C342" s="369">
        <v>0</v>
      </c>
      <c r="D342" s="369">
        <v>1.06999158513636E-2</v>
      </c>
      <c r="E342" s="369">
        <v>0.69758574529309691</v>
      </c>
      <c r="F342" s="369">
        <v>2.1698978387826369E-2</v>
      </c>
      <c r="G342" s="369">
        <v>0.90874066956316324</v>
      </c>
      <c r="H342" s="369">
        <v>1.2542762073888074E-5</v>
      </c>
      <c r="I342" s="369">
        <v>8.2585866674465505E-2</v>
      </c>
      <c r="J342" s="369">
        <v>4.2366663005133053E-3</v>
      </c>
      <c r="K342" s="369">
        <v>4.4242546997841532E-3</v>
      </c>
      <c r="L342" s="369">
        <v>1.0000000000000002</v>
      </c>
      <c r="M342" s="411">
        <v>0.19670741721816556</v>
      </c>
      <c r="N342" s="411">
        <v>0</v>
      </c>
      <c r="O342" s="411">
        <v>1.1774443699660884E-2</v>
      </c>
      <c r="P342" s="411">
        <v>0.76764006350505953</v>
      </c>
      <c r="Q342" s="411">
        <v>2.3878075577113973E-2</v>
      </c>
      <c r="R342" s="412">
        <v>1</v>
      </c>
      <c r="S342" s="144">
        <v>108</v>
      </c>
    </row>
    <row r="343" spans="1:19" ht="15" customHeight="1" x14ac:dyDescent="0.25">
      <c r="A343" s="7" t="s">
        <v>1756</v>
      </c>
      <c r="B343" s="369">
        <v>0.1132543292109537</v>
      </c>
      <c r="C343" s="369">
        <v>2.6954586477012433E-3</v>
      </c>
      <c r="D343" s="369">
        <v>5.3329450268133809E-3</v>
      </c>
      <c r="E343" s="369">
        <v>0.80923905716062206</v>
      </c>
      <c r="F343" s="369">
        <v>1.1927743717271962E-2</v>
      </c>
      <c r="G343" s="369">
        <v>0.94244953376336238</v>
      </c>
      <c r="H343" s="369">
        <v>3.6850886939729238E-3</v>
      </c>
      <c r="I343" s="369">
        <v>3.74846883835964E-2</v>
      </c>
      <c r="J343" s="369">
        <v>0</v>
      </c>
      <c r="K343" s="369">
        <v>1.6380689159068262E-2</v>
      </c>
      <c r="L343" s="369">
        <v>1</v>
      </c>
      <c r="M343" s="411">
        <v>0.12017017904259528</v>
      </c>
      <c r="N343" s="411">
        <v>2.8600562164191596E-3</v>
      </c>
      <c r="O343" s="411">
        <v>5.6586001008648371E-3</v>
      </c>
      <c r="P343" s="411">
        <v>0.85865505596802827</v>
      </c>
      <c r="Q343" s="411">
        <v>1.2656108672092433E-2</v>
      </c>
      <c r="R343" s="412">
        <v>1</v>
      </c>
      <c r="S343" s="144">
        <v>326</v>
      </c>
    </row>
    <row r="344" spans="1:19" ht="15" customHeight="1" x14ac:dyDescent="0.25">
      <c r="A344" s="7" t="s">
        <v>1757</v>
      </c>
      <c r="B344" s="369">
        <v>0.2433504767602335</v>
      </c>
      <c r="C344" s="369">
        <v>1.2820740404561666E-2</v>
      </c>
      <c r="D344" s="369">
        <v>6.9022422316094463E-3</v>
      </c>
      <c r="E344" s="369">
        <v>0.67350440340628193</v>
      </c>
      <c r="F344" s="369">
        <v>1.5420278282003099E-2</v>
      </c>
      <c r="G344" s="369">
        <v>0.95199814108468972</v>
      </c>
      <c r="H344" s="369">
        <v>5.2591598979398815E-4</v>
      </c>
      <c r="I344" s="369">
        <v>4.6663385466814075E-3</v>
      </c>
      <c r="J344" s="369">
        <v>0</v>
      </c>
      <c r="K344" s="369">
        <v>4.280960437883502E-2</v>
      </c>
      <c r="L344" s="369">
        <v>1.0000000000000002</v>
      </c>
      <c r="M344" s="411">
        <v>0.25562074783356648</v>
      </c>
      <c r="N344" s="411">
        <v>1.34671905871097E-2</v>
      </c>
      <c r="O344" s="411">
        <v>7.2502686021478514E-3</v>
      </c>
      <c r="P344" s="411">
        <v>0.70746399004403837</v>
      </c>
      <c r="Q344" s="411">
        <v>1.6197802933137568E-2</v>
      </c>
      <c r="R344" s="412">
        <v>1</v>
      </c>
      <c r="S344" s="144">
        <v>120</v>
      </c>
    </row>
    <row r="345" spans="1:19" ht="15" customHeight="1" x14ac:dyDescent="0.25">
      <c r="A345" s="7" t="s">
        <v>1758</v>
      </c>
      <c r="B345" s="369">
        <v>0.28886647848116381</v>
      </c>
      <c r="C345" s="369">
        <v>5.9012032227971885E-3</v>
      </c>
      <c r="D345" s="369">
        <v>1.4617784677224615E-2</v>
      </c>
      <c r="E345" s="369">
        <v>0.60893132387784821</v>
      </c>
      <c r="F345" s="369">
        <v>5.9031120397414656E-2</v>
      </c>
      <c r="G345" s="369">
        <v>0.97734791065644855</v>
      </c>
      <c r="H345" s="369">
        <v>3.6403776250211206E-3</v>
      </c>
      <c r="I345" s="369">
        <v>3.4856288053626496E-3</v>
      </c>
      <c r="J345" s="369">
        <v>1.4534208502658304E-2</v>
      </c>
      <c r="K345" s="369">
        <v>9.9187441050948015E-4</v>
      </c>
      <c r="L345" s="369">
        <v>1</v>
      </c>
      <c r="M345" s="411">
        <v>0.29556156546868029</v>
      </c>
      <c r="N345" s="411">
        <v>6.0379759944783305E-3</v>
      </c>
      <c r="O345" s="411">
        <v>1.4956582520759048E-2</v>
      </c>
      <c r="P345" s="411">
        <v>0.62304458549346209</v>
      </c>
      <c r="Q345" s="411">
        <v>6.0399290522620171E-2</v>
      </c>
      <c r="R345" s="412">
        <v>0.99999999999999989</v>
      </c>
      <c r="S345" s="144">
        <v>8</v>
      </c>
    </row>
    <row r="346" spans="1:19" ht="15" customHeight="1" x14ac:dyDescent="0.25">
      <c r="A346" s="7" t="s">
        <v>1759</v>
      </c>
      <c r="B346" s="369">
        <v>0.28886647848116381</v>
      </c>
      <c r="C346" s="369">
        <v>5.9012032227971885E-3</v>
      </c>
      <c r="D346" s="369">
        <v>1.4617784677224615E-2</v>
      </c>
      <c r="E346" s="369">
        <v>0.60893132387784821</v>
      </c>
      <c r="F346" s="369">
        <v>5.9031120397414656E-2</v>
      </c>
      <c r="G346" s="369">
        <v>0.97734791065644855</v>
      </c>
      <c r="H346" s="369">
        <v>3.6403776250211206E-3</v>
      </c>
      <c r="I346" s="369">
        <v>3.4856288053626496E-3</v>
      </c>
      <c r="J346" s="369">
        <v>1.4534208502658304E-2</v>
      </c>
      <c r="K346" s="369">
        <v>9.9187441050948015E-4</v>
      </c>
      <c r="L346" s="369">
        <v>1</v>
      </c>
      <c r="M346" s="411">
        <v>0.29556156546868029</v>
      </c>
      <c r="N346" s="411">
        <v>6.0379759944783305E-3</v>
      </c>
      <c r="O346" s="411">
        <v>1.4956582520759048E-2</v>
      </c>
      <c r="P346" s="411">
        <v>0.62304458549346209</v>
      </c>
      <c r="Q346" s="411">
        <v>6.0399290522620171E-2</v>
      </c>
      <c r="R346" s="412">
        <v>0.99999999999999989</v>
      </c>
      <c r="S346" s="144">
        <v>16</v>
      </c>
    </row>
    <row r="347" spans="1:19" ht="15" customHeight="1" x14ac:dyDescent="0.25">
      <c r="A347" s="7" t="s">
        <v>1760</v>
      </c>
      <c r="B347" s="369">
        <v>0.11508456855042304</v>
      </c>
      <c r="C347" s="369">
        <v>2.0897761427072568E-3</v>
      </c>
      <c r="D347" s="369">
        <v>4.4299357114611377E-3</v>
      </c>
      <c r="E347" s="369">
        <v>0.73751569184763821</v>
      </c>
      <c r="F347" s="369">
        <v>2.3714258956975084E-2</v>
      </c>
      <c r="G347" s="369">
        <v>0.88283423120920468</v>
      </c>
      <c r="H347" s="369">
        <v>2.5038098322013244E-2</v>
      </c>
      <c r="I347" s="369">
        <v>7.0835117900947958E-2</v>
      </c>
      <c r="J347" s="369">
        <v>1.6566003012928796E-3</v>
      </c>
      <c r="K347" s="369">
        <v>1.9635952266540989E-2</v>
      </c>
      <c r="L347" s="369">
        <v>0.99999999999999978</v>
      </c>
      <c r="M347" s="411">
        <v>0.13035807231080454</v>
      </c>
      <c r="N347" s="411">
        <v>2.3671217866630774E-3</v>
      </c>
      <c r="O347" s="411">
        <v>5.0178567559546507E-3</v>
      </c>
      <c r="P347" s="411">
        <v>0.83539544092833162</v>
      </c>
      <c r="Q347" s="411">
        <v>2.6861508218246163E-2</v>
      </c>
      <c r="R347" s="412">
        <v>1</v>
      </c>
      <c r="S347" s="144">
        <v>221</v>
      </c>
    </row>
    <row r="348" spans="1:19" ht="15" customHeight="1" x14ac:dyDescent="0.25">
      <c r="A348" s="7" t="s">
        <v>1761</v>
      </c>
      <c r="B348" s="369">
        <v>9.1373212969409673E-2</v>
      </c>
      <c r="C348" s="369">
        <v>5.3690899298624549E-3</v>
      </c>
      <c r="D348" s="369">
        <v>2.3283391068327692E-3</v>
      </c>
      <c r="E348" s="369">
        <v>0.84160745750190535</v>
      </c>
      <c r="F348" s="369">
        <v>1.8275720162633766E-2</v>
      </c>
      <c r="G348" s="369">
        <v>0.95895381967064408</v>
      </c>
      <c r="H348" s="369">
        <v>2.6870951750734427E-3</v>
      </c>
      <c r="I348" s="369">
        <v>7.3108193454019766E-3</v>
      </c>
      <c r="J348" s="369">
        <v>4.1695070155012915E-3</v>
      </c>
      <c r="K348" s="369">
        <v>2.6878758793379358E-2</v>
      </c>
      <c r="L348" s="369">
        <v>1.0000000000000002</v>
      </c>
      <c r="M348" s="411">
        <v>9.5284268225546156E-2</v>
      </c>
      <c r="N348" s="411">
        <v>5.598903533964218E-3</v>
      </c>
      <c r="O348" s="411">
        <v>2.4279991998284599E-3</v>
      </c>
      <c r="P348" s="411">
        <v>0.87763085170353483</v>
      </c>
      <c r="Q348" s="411">
        <v>1.9057977337126226E-2</v>
      </c>
      <c r="R348" s="412">
        <v>0.99999999999999989</v>
      </c>
      <c r="S348" s="144">
        <v>621</v>
      </c>
    </row>
    <row r="349" spans="1:19" ht="15" customHeight="1" x14ac:dyDescent="0.25">
      <c r="A349" s="7" t="s">
        <v>1762</v>
      </c>
      <c r="B349" s="369">
        <v>0.16047663571219506</v>
      </c>
      <c r="C349" s="369">
        <v>3.3372491972854954E-2</v>
      </c>
      <c r="D349" s="369">
        <v>2.1276228429014526E-2</v>
      </c>
      <c r="E349" s="369">
        <v>0.67845404222815187</v>
      </c>
      <c r="F349" s="369">
        <v>6.6175812058910613E-2</v>
      </c>
      <c r="G349" s="369">
        <v>0.9597552104011271</v>
      </c>
      <c r="H349" s="369">
        <v>2.0451318802125638E-3</v>
      </c>
      <c r="I349" s="369">
        <v>1.105439626735963E-2</v>
      </c>
      <c r="J349" s="369">
        <v>2.7145261451300758E-2</v>
      </c>
      <c r="K349" s="369">
        <v>0</v>
      </c>
      <c r="L349" s="369">
        <v>1</v>
      </c>
      <c r="M349" s="411">
        <v>0.16720579786706682</v>
      </c>
      <c r="N349" s="411">
        <v>3.4771878924113382E-2</v>
      </c>
      <c r="O349" s="411">
        <v>2.216839064632135E-2</v>
      </c>
      <c r="P349" s="411">
        <v>0.70690321331477202</v>
      </c>
      <c r="Q349" s="411">
        <v>6.8950719247726319E-2</v>
      </c>
      <c r="R349" s="412">
        <v>0.99999999999999989</v>
      </c>
      <c r="S349" s="144">
        <v>73</v>
      </c>
    </row>
    <row r="350" spans="1:19" ht="15" customHeight="1" x14ac:dyDescent="0.25">
      <c r="A350" s="7" t="s">
        <v>1763</v>
      </c>
      <c r="B350" s="369">
        <v>0.28886647848116381</v>
      </c>
      <c r="C350" s="369">
        <v>5.9012032227971885E-3</v>
      </c>
      <c r="D350" s="369">
        <v>1.4617784677224615E-2</v>
      </c>
      <c r="E350" s="369">
        <v>0.60893132387784821</v>
      </c>
      <c r="F350" s="369">
        <v>5.9031120397414656E-2</v>
      </c>
      <c r="G350" s="369">
        <v>0.97734791065644855</v>
      </c>
      <c r="H350" s="369">
        <v>3.6403776250211206E-3</v>
      </c>
      <c r="I350" s="369">
        <v>3.4856288053626496E-3</v>
      </c>
      <c r="J350" s="369">
        <v>1.4534208502658304E-2</v>
      </c>
      <c r="K350" s="369">
        <v>9.9187441050948015E-4</v>
      </c>
      <c r="L350" s="369">
        <v>1</v>
      </c>
      <c r="M350" s="411">
        <v>0.29556156546868029</v>
      </c>
      <c r="N350" s="411">
        <v>6.0379759944783305E-3</v>
      </c>
      <c r="O350" s="411">
        <v>1.4956582520759048E-2</v>
      </c>
      <c r="P350" s="411">
        <v>0.62304458549346209</v>
      </c>
      <c r="Q350" s="411">
        <v>6.0399290522620171E-2</v>
      </c>
      <c r="R350" s="412">
        <v>0.99999999999999989</v>
      </c>
      <c r="S350" s="144">
        <v>26</v>
      </c>
    </row>
    <row r="351" spans="1:19" ht="15" customHeight="1" x14ac:dyDescent="0.25">
      <c r="A351" s="7" t="s">
        <v>1764</v>
      </c>
      <c r="B351" s="369">
        <v>0.28886647848116381</v>
      </c>
      <c r="C351" s="369">
        <v>5.9012032227971885E-3</v>
      </c>
      <c r="D351" s="369">
        <v>1.4617784677224615E-2</v>
      </c>
      <c r="E351" s="369">
        <v>0.60893132387784821</v>
      </c>
      <c r="F351" s="369">
        <v>5.9031120397414656E-2</v>
      </c>
      <c r="G351" s="369">
        <v>0.97734791065644855</v>
      </c>
      <c r="H351" s="369">
        <v>3.6403776250211206E-3</v>
      </c>
      <c r="I351" s="369">
        <v>3.4856288053626496E-3</v>
      </c>
      <c r="J351" s="369">
        <v>1.4534208502658304E-2</v>
      </c>
      <c r="K351" s="369">
        <v>9.9187441050948015E-4</v>
      </c>
      <c r="L351" s="369">
        <v>1</v>
      </c>
      <c r="M351" s="411">
        <v>0.29556156546868029</v>
      </c>
      <c r="N351" s="411">
        <v>6.0379759944783305E-3</v>
      </c>
      <c r="O351" s="411">
        <v>1.4956582520759048E-2</v>
      </c>
      <c r="P351" s="411">
        <v>0.62304458549346209</v>
      </c>
      <c r="Q351" s="411">
        <v>6.0399290522620171E-2</v>
      </c>
      <c r="R351" s="412">
        <v>0.99999999999999989</v>
      </c>
      <c r="S351" s="144">
        <v>1</v>
      </c>
    </row>
    <row r="352" spans="1:19" ht="15" customHeight="1" x14ac:dyDescent="0.25">
      <c r="A352" s="7" t="s">
        <v>1765</v>
      </c>
      <c r="B352" s="369">
        <v>0.28886647848116381</v>
      </c>
      <c r="C352" s="369">
        <v>5.9012032227971885E-3</v>
      </c>
      <c r="D352" s="369">
        <v>1.4617784677224615E-2</v>
      </c>
      <c r="E352" s="369">
        <v>0.60893132387784821</v>
      </c>
      <c r="F352" s="369">
        <v>5.9031120397414656E-2</v>
      </c>
      <c r="G352" s="369">
        <v>0.97734791065644855</v>
      </c>
      <c r="H352" s="369">
        <v>3.6403776250211206E-3</v>
      </c>
      <c r="I352" s="369">
        <v>3.4856288053626496E-3</v>
      </c>
      <c r="J352" s="369">
        <v>1.4534208502658304E-2</v>
      </c>
      <c r="K352" s="369">
        <v>9.9187441050948015E-4</v>
      </c>
      <c r="L352" s="369">
        <v>1</v>
      </c>
      <c r="M352" s="411">
        <v>0.29556156546868029</v>
      </c>
      <c r="N352" s="411">
        <v>6.0379759944783305E-3</v>
      </c>
      <c r="O352" s="411">
        <v>1.4956582520759048E-2</v>
      </c>
      <c r="P352" s="411">
        <v>0.62304458549346209</v>
      </c>
      <c r="Q352" s="411">
        <v>6.0399290522620171E-2</v>
      </c>
      <c r="R352" s="412">
        <v>0.99999999999999989</v>
      </c>
      <c r="S352" s="144">
        <v>1</v>
      </c>
    </row>
    <row r="353" spans="1:19" ht="15" customHeight="1" x14ac:dyDescent="0.25">
      <c r="A353" s="7" t="s">
        <v>1766</v>
      </c>
      <c r="B353" s="369">
        <v>0.28886647848116381</v>
      </c>
      <c r="C353" s="369">
        <v>5.9012032227971885E-3</v>
      </c>
      <c r="D353" s="369">
        <v>1.4617784677224615E-2</v>
      </c>
      <c r="E353" s="369">
        <v>0.60893132387784821</v>
      </c>
      <c r="F353" s="369">
        <v>5.9031120397414656E-2</v>
      </c>
      <c r="G353" s="369">
        <v>0.97734791065644855</v>
      </c>
      <c r="H353" s="369">
        <v>3.6403776250211206E-3</v>
      </c>
      <c r="I353" s="369">
        <v>3.4856288053626496E-3</v>
      </c>
      <c r="J353" s="369">
        <v>1.4534208502658304E-2</v>
      </c>
      <c r="K353" s="369">
        <v>9.9187441050948015E-4</v>
      </c>
      <c r="L353" s="369">
        <v>1</v>
      </c>
      <c r="M353" s="411">
        <v>0.29556156546868029</v>
      </c>
      <c r="N353" s="411">
        <v>6.0379759944783305E-3</v>
      </c>
      <c r="O353" s="411">
        <v>1.4956582520759048E-2</v>
      </c>
      <c r="P353" s="411">
        <v>0.62304458549346209</v>
      </c>
      <c r="Q353" s="411">
        <v>6.0399290522620171E-2</v>
      </c>
      <c r="R353" s="412">
        <v>0.99999999999999989</v>
      </c>
      <c r="S353" s="144">
        <v>6</v>
      </c>
    </row>
    <row r="354" spans="1:19" ht="15" customHeight="1" x14ac:dyDescent="0.25">
      <c r="A354" s="7" t="s">
        <v>1767</v>
      </c>
      <c r="B354" s="369">
        <v>0.28886647848116381</v>
      </c>
      <c r="C354" s="369">
        <v>5.9012032227971885E-3</v>
      </c>
      <c r="D354" s="369">
        <v>1.4617784677224615E-2</v>
      </c>
      <c r="E354" s="369">
        <v>0.60893132387784821</v>
      </c>
      <c r="F354" s="369">
        <v>5.9031120397414656E-2</v>
      </c>
      <c r="G354" s="369">
        <v>0.97734791065644855</v>
      </c>
      <c r="H354" s="369">
        <v>3.6403776250211206E-3</v>
      </c>
      <c r="I354" s="369">
        <v>3.4856288053626496E-3</v>
      </c>
      <c r="J354" s="369">
        <v>1.4534208502658304E-2</v>
      </c>
      <c r="K354" s="369">
        <v>9.9187441050948015E-4</v>
      </c>
      <c r="L354" s="369">
        <v>1</v>
      </c>
      <c r="M354" s="411">
        <v>0.29556156546868029</v>
      </c>
      <c r="N354" s="411">
        <v>6.0379759944783305E-3</v>
      </c>
      <c r="O354" s="411">
        <v>1.4956582520759048E-2</v>
      </c>
      <c r="P354" s="411">
        <v>0.62304458549346209</v>
      </c>
      <c r="Q354" s="411">
        <v>6.0399290522620171E-2</v>
      </c>
      <c r="R354" s="412">
        <v>0.99999999999999989</v>
      </c>
      <c r="S354" s="144">
        <v>10</v>
      </c>
    </row>
    <row r="355" spans="1:19" ht="15" customHeight="1" x14ac:dyDescent="0.25">
      <c r="A355" s="7" t="s">
        <v>1768</v>
      </c>
      <c r="B355" s="369">
        <v>0.28886647848116381</v>
      </c>
      <c r="C355" s="369">
        <v>5.9012032227971885E-3</v>
      </c>
      <c r="D355" s="369">
        <v>1.4617784677224615E-2</v>
      </c>
      <c r="E355" s="369">
        <v>0.60893132387784821</v>
      </c>
      <c r="F355" s="369">
        <v>5.9031120397414656E-2</v>
      </c>
      <c r="G355" s="369">
        <v>0.97734791065644855</v>
      </c>
      <c r="H355" s="369">
        <v>3.6403776250211206E-3</v>
      </c>
      <c r="I355" s="369">
        <v>3.4856288053626496E-3</v>
      </c>
      <c r="J355" s="369">
        <v>1.4534208502658304E-2</v>
      </c>
      <c r="K355" s="369">
        <v>9.9187441050948015E-4</v>
      </c>
      <c r="L355" s="369">
        <v>1</v>
      </c>
      <c r="M355" s="411">
        <v>0.29556156546868029</v>
      </c>
      <c r="N355" s="411">
        <v>6.0379759944783305E-3</v>
      </c>
      <c r="O355" s="411">
        <v>1.4956582520759048E-2</v>
      </c>
      <c r="P355" s="411">
        <v>0.62304458549346209</v>
      </c>
      <c r="Q355" s="411">
        <v>6.0399290522620171E-2</v>
      </c>
      <c r="R355" s="412">
        <v>0.99999999999999989</v>
      </c>
      <c r="S355" s="144">
        <v>24</v>
      </c>
    </row>
    <row r="356" spans="1:19" ht="15" customHeight="1" x14ac:dyDescent="0.25">
      <c r="A356" s="7" t="s">
        <v>1769</v>
      </c>
      <c r="B356" s="369">
        <v>0.17178878172224407</v>
      </c>
      <c r="C356" s="369">
        <v>0</v>
      </c>
      <c r="D356" s="369">
        <v>2.4590308719753151E-2</v>
      </c>
      <c r="E356" s="369">
        <v>0.75645368629226184</v>
      </c>
      <c r="F356" s="369">
        <v>3.8626165895038971E-2</v>
      </c>
      <c r="G356" s="369">
        <v>0.99145894262929801</v>
      </c>
      <c r="H356" s="369">
        <v>1.15301987746385E-4</v>
      </c>
      <c r="I356" s="369">
        <v>5.1720837710647425E-3</v>
      </c>
      <c r="J356" s="369">
        <v>0</v>
      </c>
      <c r="K356" s="369">
        <v>3.2536716118909347E-3</v>
      </c>
      <c r="L356" s="369">
        <v>1</v>
      </c>
      <c r="M356" s="411">
        <v>0.17326867945400651</v>
      </c>
      <c r="N356" s="411">
        <v>0</v>
      </c>
      <c r="O356" s="411">
        <v>2.4802145265381256E-2</v>
      </c>
      <c r="P356" s="411">
        <v>0.76297025904692095</v>
      </c>
      <c r="Q356" s="411">
        <v>3.8958916233691299E-2</v>
      </c>
      <c r="R356" s="412">
        <v>1</v>
      </c>
      <c r="S356" s="144">
        <v>57</v>
      </c>
    </row>
    <row r="357" spans="1:19" ht="15" customHeight="1" x14ac:dyDescent="0.25">
      <c r="A357" s="7" t="s">
        <v>1770</v>
      </c>
      <c r="B357" s="369">
        <v>0.28886647848116381</v>
      </c>
      <c r="C357" s="369">
        <v>5.9012032227971885E-3</v>
      </c>
      <c r="D357" s="369">
        <v>1.4617784677224615E-2</v>
      </c>
      <c r="E357" s="369">
        <v>0.60893132387784821</v>
      </c>
      <c r="F357" s="369">
        <v>5.9031120397414656E-2</v>
      </c>
      <c r="G357" s="369">
        <v>0.97734791065644855</v>
      </c>
      <c r="H357" s="369">
        <v>3.6403776250211206E-3</v>
      </c>
      <c r="I357" s="369">
        <v>3.4856288053626496E-3</v>
      </c>
      <c r="J357" s="369">
        <v>1.4534208502658304E-2</v>
      </c>
      <c r="K357" s="369">
        <v>9.9187441050948015E-4</v>
      </c>
      <c r="L357" s="369">
        <v>1</v>
      </c>
      <c r="M357" s="411">
        <v>0.29556156546868029</v>
      </c>
      <c r="N357" s="411">
        <v>6.0379759944783305E-3</v>
      </c>
      <c r="O357" s="411">
        <v>1.4956582520759048E-2</v>
      </c>
      <c r="P357" s="411">
        <v>0.62304458549346209</v>
      </c>
      <c r="Q357" s="411">
        <v>6.0399290522620171E-2</v>
      </c>
      <c r="R357" s="412">
        <v>0.99999999999999989</v>
      </c>
      <c r="S357" s="144">
        <v>40</v>
      </c>
    </row>
    <row r="358" spans="1:19" ht="15" customHeight="1" x14ac:dyDescent="0.25">
      <c r="A358" s="7" t="s">
        <v>1771</v>
      </c>
      <c r="B358" s="369">
        <v>0.28886647848116381</v>
      </c>
      <c r="C358" s="369">
        <v>5.9012032227971885E-3</v>
      </c>
      <c r="D358" s="369">
        <v>1.4617784677224615E-2</v>
      </c>
      <c r="E358" s="369">
        <v>0.60893132387784821</v>
      </c>
      <c r="F358" s="369">
        <v>5.9031120397414656E-2</v>
      </c>
      <c r="G358" s="369">
        <v>0.97734791065644855</v>
      </c>
      <c r="H358" s="369">
        <v>3.6403776250211206E-3</v>
      </c>
      <c r="I358" s="369">
        <v>3.4856288053626496E-3</v>
      </c>
      <c r="J358" s="369">
        <v>1.4534208502658304E-2</v>
      </c>
      <c r="K358" s="369">
        <v>9.9187441050948015E-4</v>
      </c>
      <c r="L358" s="369">
        <v>1</v>
      </c>
      <c r="M358" s="411">
        <v>0.29556156546868029</v>
      </c>
      <c r="N358" s="411">
        <v>6.0379759944783305E-3</v>
      </c>
      <c r="O358" s="411">
        <v>1.4956582520759048E-2</v>
      </c>
      <c r="P358" s="411">
        <v>0.62304458549346209</v>
      </c>
      <c r="Q358" s="411">
        <v>6.0399290522620171E-2</v>
      </c>
      <c r="R358" s="412">
        <v>0.99999999999999989</v>
      </c>
      <c r="S358" s="144">
        <v>10</v>
      </c>
    </row>
    <row r="359" spans="1:19" ht="15" customHeight="1" x14ac:dyDescent="0.25">
      <c r="A359" s="7" t="s">
        <v>1772</v>
      </c>
      <c r="B359" s="369">
        <v>0.28886647848116381</v>
      </c>
      <c r="C359" s="369">
        <v>5.9012032227971885E-3</v>
      </c>
      <c r="D359" s="369">
        <v>1.4617784677224615E-2</v>
      </c>
      <c r="E359" s="369">
        <v>0.60893132387784821</v>
      </c>
      <c r="F359" s="369">
        <v>5.9031120397414656E-2</v>
      </c>
      <c r="G359" s="369">
        <v>0.97734791065644855</v>
      </c>
      <c r="H359" s="369">
        <v>3.6403776250211206E-3</v>
      </c>
      <c r="I359" s="369">
        <v>3.4856288053626496E-3</v>
      </c>
      <c r="J359" s="369">
        <v>1.4534208502658304E-2</v>
      </c>
      <c r="K359" s="369">
        <v>9.9187441050948015E-4</v>
      </c>
      <c r="L359" s="369">
        <v>1</v>
      </c>
      <c r="M359" s="411">
        <v>0.29556156546868029</v>
      </c>
      <c r="N359" s="411">
        <v>6.0379759944783305E-3</v>
      </c>
      <c r="O359" s="411">
        <v>1.4956582520759048E-2</v>
      </c>
      <c r="P359" s="411">
        <v>0.62304458549346209</v>
      </c>
      <c r="Q359" s="411">
        <v>6.0399290522620171E-2</v>
      </c>
      <c r="R359" s="412">
        <v>0.99999999999999989</v>
      </c>
      <c r="S359" s="144">
        <v>2</v>
      </c>
    </row>
    <row r="360" spans="1:19" ht="15" customHeight="1" x14ac:dyDescent="0.25">
      <c r="A360" s="7" t="s">
        <v>1773</v>
      </c>
      <c r="B360" s="369">
        <v>0.28886647848116381</v>
      </c>
      <c r="C360" s="369">
        <v>5.9012032227971885E-3</v>
      </c>
      <c r="D360" s="369">
        <v>1.4617784677224615E-2</v>
      </c>
      <c r="E360" s="369">
        <v>0.60893132387784821</v>
      </c>
      <c r="F360" s="369">
        <v>5.9031120397414656E-2</v>
      </c>
      <c r="G360" s="369">
        <v>0.97734791065644855</v>
      </c>
      <c r="H360" s="369">
        <v>3.6403776250211206E-3</v>
      </c>
      <c r="I360" s="369">
        <v>3.4856288053626496E-3</v>
      </c>
      <c r="J360" s="369">
        <v>1.4534208502658304E-2</v>
      </c>
      <c r="K360" s="369">
        <v>9.9187441050948015E-4</v>
      </c>
      <c r="L360" s="369">
        <v>1</v>
      </c>
      <c r="M360" s="411">
        <v>0.29556156546868029</v>
      </c>
      <c r="N360" s="411">
        <v>6.0379759944783305E-3</v>
      </c>
      <c r="O360" s="411">
        <v>1.4956582520759048E-2</v>
      </c>
      <c r="P360" s="411">
        <v>0.62304458549346209</v>
      </c>
      <c r="Q360" s="411">
        <v>6.0399290522620171E-2</v>
      </c>
      <c r="R360" s="412">
        <v>0.99999999999999989</v>
      </c>
      <c r="S360" s="144">
        <v>16</v>
      </c>
    </row>
    <row r="361" spans="1:19" ht="15" customHeight="1" x14ac:dyDescent="0.25">
      <c r="A361" s="7" t="s">
        <v>1774</v>
      </c>
      <c r="B361" s="369">
        <v>0.20014942556179471</v>
      </c>
      <c r="C361" s="369">
        <v>6.682141932180365E-3</v>
      </c>
      <c r="D361" s="369">
        <v>2.3608157966040731E-2</v>
      </c>
      <c r="E361" s="369">
        <v>0.70975490207320846</v>
      </c>
      <c r="F361" s="369">
        <v>2.5177640270759302E-2</v>
      </c>
      <c r="G361" s="369">
        <v>0.96537226780398355</v>
      </c>
      <c r="H361" s="369">
        <v>2.5653942419180966E-3</v>
      </c>
      <c r="I361" s="369">
        <v>5.3201869690294324E-3</v>
      </c>
      <c r="J361" s="369">
        <v>2.3680907209181912E-2</v>
      </c>
      <c r="K361" s="369">
        <v>3.0612437758868586E-3</v>
      </c>
      <c r="L361" s="369">
        <v>1</v>
      </c>
      <c r="M361" s="411">
        <v>0.20732874999309028</v>
      </c>
      <c r="N361" s="411">
        <v>6.9218291793080155E-3</v>
      </c>
      <c r="O361" s="411">
        <v>2.4454978409255805E-2</v>
      </c>
      <c r="P361" s="411">
        <v>0.73521368465219106</v>
      </c>
      <c r="Q361" s="411">
        <v>2.6080757766154889E-2</v>
      </c>
      <c r="R361" s="412">
        <v>1</v>
      </c>
      <c r="S361" s="144">
        <v>96</v>
      </c>
    </row>
    <row r="362" spans="1:19" ht="15" customHeight="1" x14ac:dyDescent="0.25">
      <c r="A362" s="7" t="s">
        <v>1775</v>
      </c>
      <c r="B362" s="369">
        <v>0.28886647848116381</v>
      </c>
      <c r="C362" s="369">
        <v>5.9012032227971885E-3</v>
      </c>
      <c r="D362" s="369">
        <v>1.4617784677224615E-2</v>
      </c>
      <c r="E362" s="369">
        <v>0.60893132387784821</v>
      </c>
      <c r="F362" s="369">
        <v>5.9031120397414656E-2</v>
      </c>
      <c r="G362" s="369">
        <v>0.97734791065644855</v>
      </c>
      <c r="H362" s="369">
        <v>3.6403776250211206E-3</v>
      </c>
      <c r="I362" s="369">
        <v>3.4856288053626496E-3</v>
      </c>
      <c r="J362" s="369">
        <v>1.4534208502658304E-2</v>
      </c>
      <c r="K362" s="369">
        <v>9.9187441050948015E-4</v>
      </c>
      <c r="L362" s="369">
        <v>1</v>
      </c>
      <c r="M362" s="411">
        <v>0.29556156546868029</v>
      </c>
      <c r="N362" s="411">
        <v>6.0379759944783305E-3</v>
      </c>
      <c r="O362" s="411">
        <v>1.4956582520759048E-2</v>
      </c>
      <c r="P362" s="411">
        <v>0.62304458549346209</v>
      </c>
      <c r="Q362" s="411">
        <v>6.0399290522620171E-2</v>
      </c>
      <c r="R362" s="412">
        <v>0.99999999999999989</v>
      </c>
      <c r="S362" s="144">
        <v>9</v>
      </c>
    </row>
    <row r="363" spans="1:19" ht="15" customHeight="1" x14ac:dyDescent="0.25">
      <c r="A363" s="7" t="s">
        <v>1776</v>
      </c>
      <c r="B363" s="369">
        <v>0.28886647848116381</v>
      </c>
      <c r="C363" s="369">
        <v>5.9012032227971885E-3</v>
      </c>
      <c r="D363" s="369">
        <v>1.4617784677224615E-2</v>
      </c>
      <c r="E363" s="369">
        <v>0.60893132387784821</v>
      </c>
      <c r="F363" s="369">
        <v>5.9031120397414656E-2</v>
      </c>
      <c r="G363" s="369">
        <v>0.97734791065644855</v>
      </c>
      <c r="H363" s="369">
        <v>3.6403776250211206E-3</v>
      </c>
      <c r="I363" s="369">
        <v>3.4856288053626496E-3</v>
      </c>
      <c r="J363" s="369">
        <v>1.4534208502658304E-2</v>
      </c>
      <c r="K363" s="369">
        <v>9.9187441050948015E-4</v>
      </c>
      <c r="L363" s="369">
        <v>1</v>
      </c>
      <c r="M363" s="411">
        <v>0.29556156546868029</v>
      </c>
      <c r="N363" s="411">
        <v>6.0379759944783305E-3</v>
      </c>
      <c r="O363" s="411">
        <v>1.4956582520759048E-2</v>
      </c>
      <c r="P363" s="411">
        <v>0.62304458549346209</v>
      </c>
      <c r="Q363" s="411">
        <v>6.0399290522620171E-2</v>
      </c>
      <c r="R363" s="412">
        <v>0.99999999999999989</v>
      </c>
      <c r="S363" s="144">
        <v>24</v>
      </c>
    </row>
    <row r="364" spans="1:19" ht="15" customHeight="1" x14ac:dyDescent="0.25">
      <c r="A364" s="7" t="s">
        <v>1777</v>
      </c>
      <c r="B364" s="369">
        <v>0.28886647848116381</v>
      </c>
      <c r="C364" s="369">
        <v>5.9012032227971885E-3</v>
      </c>
      <c r="D364" s="369">
        <v>1.4617784677224615E-2</v>
      </c>
      <c r="E364" s="369">
        <v>0.60893132387784821</v>
      </c>
      <c r="F364" s="369">
        <v>5.9031120397414656E-2</v>
      </c>
      <c r="G364" s="369">
        <v>0.97734791065644855</v>
      </c>
      <c r="H364" s="369">
        <v>3.6403776250211206E-3</v>
      </c>
      <c r="I364" s="369">
        <v>3.4856288053626496E-3</v>
      </c>
      <c r="J364" s="369">
        <v>1.4534208502658304E-2</v>
      </c>
      <c r="K364" s="369">
        <v>9.9187441050948015E-4</v>
      </c>
      <c r="L364" s="369">
        <v>1</v>
      </c>
      <c r="M364" s="411">
        <v>0.29556156546868029</v>
      </c>
      <c r="N364" s="411">
        <v>6.0379759944783305E-3</v>
      </c>
      <c r="O364" s="411">
        <v>1.4956582520759048E-2</v>
      </c>
      <c r="P364" s="411">
        <v>0.62304458549346209</v>
      </c>
      <c r="Q364" s="411">
        <v>6.0399290522620171E-2</v>
      </c>
      <c r="R364" s="412">
        <v>0.99999999999999989</v>
      </c>
      <c r="S364" s="144">
        <v>40</v>
      </c>
    </row>
    <row r="365" spans="1:19" ht="15" customHeight="1" x14ac:dyDescent="0.25">
      <c r="A365" s="7" t="s">
        <v>1778</v>
      </c>
      <c r="B365" s="369">
        <v>0.28886647848116381</v>
      </c>
      <c r="C365" s="369">
        <v>5.9012032227971885E-3</v>
      </c>
      <c r="D365" s="369">
        <v>1.4617784677224615E-2</v>
      </c>
      <c r="E365" s="369">
        <v>0.60893132387784821</v>
      </c>
      <c r="F365" s="369">
        <v>5.9031120397414656E-2</v>
      </c>
      <c r="G365" s="369">
        <v>0.97734791065644855</v>
      </c>
      <c r="H365" s="369">
        <v>3.6403776250211206E-3</v>
      </c>
      <c r="I365" s="369">
        <v>3.4856288053626496E-3</v>
      </c>
      <c r="J365" s="369">
        <v>1.4534208502658304E-2</v>
      </c>
      <c r="K365" s="369">
        <v>9.9187441050948015E-4</v>
      </c>
      <c r="L365" s="369">
        <v>1</v>
      </c>
      <c r="M365" s="411">
        <v>0.29556156546868029</v>
      </c>
      <c r="N365" s="411">
        <v>6.0379759944783305E-3</v>
      </c>
      <c r="O365" s="411">
        <v>1.4956582520759048E-2</v>
      </c>
      <c r="P365" s="411">
        <v>0.62304458549346209</v>
      </c>
      <c r="Q365" s="411">
        <v>6.0399290522620171E-2</v>
      </c>
      <c r="R365" s="412">
        <v>0.99999999999999989</v>
      </c>
      <c r="S365" s="144">
        <v>4</v>
      </c>
    </row>
    <row r="366" spans="1:19" ht="15" customHeight="1" x14ac:dyDescent="0.25">
      <c r="A366" s="7" t="s">
        <v>1779</v>
      </c>
      <c r="B366" s="369">
        <v>0.28886647848116381</v>
      </c>
      <c r="C366" s="369">
        <v>5.9012032227971885E-3</v>
      </c>
      <c r="D366" s="369">
        <v>1.4617784677224615E-2</v>
      </c>
      <c r="E366" s="369">
        <v>0.60893132387784821</v>
      </c>
      <c r="F366" s="369">
        <v>5.9031120397414656E-2</v>
      </c>
      <c r="G366" s="369">
        <v>0.97734791065644855</v>
      </c>
      <c r="H366" s="369">
        <v>3.6403776250211206E-3</v>
      </c>
      <c r="I366" s="369">
        <v>3.4856288053626496E-3</v>
      </c>
      <c r="J366" s="369">
        <v>1.4534208502658304E-2</v>
      </c>
      <c r="K366" s="369">
        <v>9.9187441050948015E-4</v>
      </c>
      <c r="L366" s="369">
        <v>1</v>
      </c>
      <c r="M366" s="411">
        <v>0.29556156546868029</v>
      </c>
      <c r="N366" s="411">
        <v>6.0379759944783305E-3</v>
      </c>
      <c r="O366" s="411">
        <v>1.4956582520759048E-2</v>
      </c>
      <c r="P366" s="411">
        <v>0.62304458549346209</v>
      </c>
      <c r="Q366" s="411">
        <v>6.0399290522620171E-2</v>
      </c>
      <c r="R366" s="412">
        <v>0.99999999999999989</v>
      </c>
      <c r="S366" s="144">
        <v>1</v>
      </c>
    </row>
    <row r="367" spans="1:19" ht="15" customHeight="1" x14ac:dyDescent="0.25">
      <c r="A367" s="7" t="s">
        <v>1780</v>
      </c>
      <c r="B367" s="369">
        <v>0.28886647848116381</v>
      </c>
      <c r="C367" s="369">
        <v>5.9012032227971885E-3</v>
      </c>
      <c r="D367" s="369">
        <v>1.4617784677224615E-2</v>
      </c>
      <c r="E367" s="369">
        <v>0.60893132387784821</v>
      </c>
      <c r="F367" s="369">
        <v>5.9031120397414656E-2</v>
      </c>
      <c r="G367" s="369">
        <v>0.97734791065644855</v>
      </c>
      <c r="H367" s="369">
        <v>3.6403776250211206E-3</v>
      </c>
      <c r="I367" s="369">
        <v>3.4856288053626496E-3</v>
      </c>
      <c r="J367" s="369">
        <v>1.4534208502658304E-2</v>
      </c>
      <c r="K367" s="369">
        <v>9.9187441050948015E-4</v>
      </c>
      <c r="L367" s="369">
        <v>1</v>
      </c>
      <c r="M367" s="411">
        <v>0.29556156546868029</v>
      </c>
      <c r="N367" s="411">
        <v>6.0379759944783305E-3</v>
      </c>
      <c r="O367" s="411">
        <v>1.4956582520759048E-2</v>
      </c>
      <c r="P367" s="411">
        <v>0.62304458549346209</v>
      </c>
      <c r="Q367" s="411">
        <v>6.0399290522620171E-2</v>
      </c>
      <c r="R367" s="412">
        <v>0.99999999999999989</v>
      </c>
      <c r="S367" s="144">
        <v>17</v>
      </c>
    </row>
    <row r="368" spans="1:19" ht="15" customHeight="1" x14ac:dyDescent="0.25">
      <c r="A368" s="7" t="s">
        <v>1781</v>
      </c>
      <c r="B368" s="369">
        <v>0.24201562640199398</v>
      </c>
      <c r="C368" s="369">
        <v>8.303023243373335E-3</v>
      </c>
      <c r="D368" s="369">
        <v>3.2854940327892983E-2</v>
      </c>
      <c r="E368" s="369">
        <v>0.68018759720104649</v>
      </c>
      <c r="F368" s="369">
        <v>3.6308696718606238E-2</v>
      </c>
      <c r="G368" s="369">
        <v>0.99966988389291311</v>
      </c>
      <c r="H368" s="369">
        <v>3.3011610708698228E-4</v>
      </c>
      <c r="I368" s="369">
        <v>0</v>
      </c>
      <c r="J368" s="369">
        <v>0</v>
      </c>
      <c r="K368" s="369">
        <v>0</v>
      </c>
      <c r="L368" s="369">
        <v>1</v>
      </c>
      <c r="M368" s="411">
        <v>0.24209554604119618</v>
      </c>
      <c r="N368" s="411">
        <v>8.3057651102178987E-3</v>
      </c>
      <c r="O368" s="411">
        <v>3.2865789854496084E-2</v>
      </c>
      <c r="P368" s="411">
        <v>0.68041221223176285</v>
      </c>
      <c r="Q368" s="411">
        <v>3.6320686762326942E-2</v>
      </c>
      <c r="R368" s="412">
        <v>0.99999999999999989</v>
      </c>
      <c r="S368" s="144">
        <v>96</v>
      </c>
    </row>
    <row r="369" spans="1:38" ht="15" customHeight="1" x14ac:dyDescent="0.25">
      <c r="A369" s="7" t="s">
        <v>1782</v>
      </c>
      <c r="B369" s="369">
        <v>0.28886647848116381</v>
      </c>
      <c r="C369" s="369">
        <v>5.9012032227971885E-3</v>
      </c>
      <c r="D369" s="369">
        <v>1.4617784677224615E-2</v>
      </c>
      <c r="E369" s="369">
        <v>0.60893132387784821</v>
      </c>
      <c r="F369" s="369">
        <v>5.9031120397414656E-2</v>
      </c>
      <c r="G369" s="369">
        <v>0.97734791065644855</v>
      </c>
      <c r="H369" s="369">
        <v>3.6403776250211206E-3</v>
      </c>
      <c r="I369" s="369">
        <v>3.4856288053626496E-3</v>
      </c>
      <c r="J369" s="369">
        <v>1.4534208502658304E-2</v>
      </c>
      <c r="K369" s="369">
        <v>9.9187441050948015E-4</v>
      </c>
      <c r="L369" s="369">
        <v>1</v>
      </c>
      <c r="M369" s="411">
        <v>0.29556156546868029</v>
      </c>
      <c r="N369" s="411">
        <v>6.0379759944783305E-3</v>
      </c>
      <c r="O369" s="411">
        <v>1.4956582520759048E-2</v>
      </c>
      <c r="P369" s="411">
        <v>0.62304458549346209</v>
      </c>
      <c r="Q369" s="411">
        <v>6.0399290522620171E-2</v>
      </c>
      <c r="R369" s="412">
        <v>0.99999999999999989</v>
      </c>
      <c r="S369" s="144">
        <v>18</v>
      </c>
    </row>
    <row r="370" spans="1:38" ht="15" customHeight="1" x14ac:dyDescent="0.25">
      <c r="A370" s="7" t="s">
        <v>1783</v>
      </c>
      <c r="B370" s="369">
        <v>0.28886647848116381</v>
      </c>
      <c r="C370" s="369">
        <v>5.9012032227971885E-3</v>
      </c>
      <c r="D370" s="369">
        <v>1.4617784677224615E-2</v>
      </c>
      <c r="E370" s="369">
        <v>0.60893132387784821</v>
      </c>
      <c r="F370" s="369">
        <v>5.9031120397414656E-2</v>
      </c>
      <c r="G370" s="369">
        <v>0.97734791065644855</v>
      </c>
      <c r="H370" s="369">
        <v>3.6403776250211206E-3</v>
      </c>
      <c r="I370" s="369">
        <v>3.4856288053626496E-3</v>
      </c>
      <c r="J370" s="369">
        <v>1.4534208502658304E-2</v>
      </c>
      <c r="K370" s="369">
        <v>9.9187441050948015E-4</v>
      </c>
      <c r="L370" s="369">
        <v>1</v>
      </c>
      <c r="M370" s="411">
        <v>0.29556156546868029</v>
      </c>
      <c r="N370" s="411">
        <v>6.0379759944783305E-3</v>
      </c>
      <c r="O370" s="411">
        <v>1.4956582520759048E-2</v>
      </c>
      <c r="P370" s="411">
        <v>0.62304458549346209</v>
      </c>
      <c r="Q370" s="411">
        <v>6.0399290522620171E-2</v>
      </c>
      <c r="R370" s="412">
        <v>0.99999999999999989</v>
      </c>
      <c r="S370" s="144">
        <v>36</v>
      </c>
    </row>
    <row r="371" spans="1:38" ht="15" customHeight="1" x14ac:dyDescent="0.25">
      <c r="A371" s="7" t="s">
        <v>1784</v>
      </c>
      <c r="B371" s="369">
        <v>0.28886647848116381</v>
      </c>
      <c r="C371" s="369">
        <v>5.9012032227971885E-3</v>
      </c>
      <c r="D371" s="369">
        <v>1.4617784677224615E-2</v>
      </c>
      <c r="E371" s="369">
        <v>0.60893132387784821</v>
      </c>
      <c r="F371" s="369">
        <v>5.9031120397414656E-2</v>
      </c>
      <c r="G371" s="369">
        <v>0.97734791065644855</v>
      </c>
      <c r="H371" s="369">
        <v>3.6403776250211206E-3</v>
      </c>
      <c r="I371" s="369">
        <v>3.4856288053626496E-3</v>
      </c>
      <c r="J371" s="369">
        <v>1.4534208502658304E-2</v>
      </c>
      <c r="K371" s="369">
        <v>9.9187441050948015E-4</v>
      </c>
      <c r="L371" s="369">
        <v>1</v>
      </c>
      <c r="M371" s="411">
        <v>0.29556156546868029</v>
      </c>
      <c r="N371" s="411">
        <v>6.0379759944783305E-3</v>
      </c>
      <c r="O371" s="411">
        <v>1.4956582520759048E-2</v>
      </c>
      <c r="P371" s="411">
        <v>0.62304458549346209</v>
      </c>
      <c r="Q371" s="411">
        <v>6.0399290522620171E-2</v>
      </c>
      <c r="R371" s="412">
        <v>0.99999999999999989</v>
      </c>
      <c r="S371" s="144">
        <v>1</v>
      </c>
    </row>
    <row r="372" spans="1:38" ht="15" customHeight="1" x14ac:dyDescent="0.25">
      <c r="A372" s="413" t="s">
        <v>1785</v>
      </c>
      <c r="B372" s="414">
        <v>0.2074982463299434</v>
      </c>
      <c r="C372" s="414">
        <v>1.033024200296589E-2</v>
      </c>
      <c r="D372" s="414">
        <v>1.3903610549326675E-2</v>
      </c>
      <c r="E372" s="414">
        <v>0.72566215735056594</v>
      </c>
      <c r="F372" s="414">
        <v>1.5515914031306465E-2</v>
      </c>
      <c r="G372" s="414">
        <v>0.97291017026410842</v>
      </c>
      <c r="H372" s="414">
        <v>6.6496774419884841E-4</v>
      </c>
      <c r="I372" s="414">
        <v>0</v>
      </c>
      <c r="J372" s="414">
        <v>2.6424861991692802E-2</v>
      </c>
      <c r="K372" s="414">
        <v>0</v>
      </c>
      <c r="L372" s="414">
        <v>1</v>
      </c>
      <c r="M372" s="415">
        <v>0.21327585287099574</v>
      </c>
      <c r="N372" s="415">
        <v>1.0617878524346825E-2</v>
      </c>
      <c r="O372" s="415">
        <v>1.429074438141845E-2</v>
      </c>
      <c r="P372" s="415">
        <v>0.74586758318455648</v>
      </c>
      <c r="Q372" s="415">
        <v>1.5947941038682408E-2</v>
      </c>
      <c r="R372" s="416">
        <v>0.99999999999999989</v>
      </c>
      <c r="S372" s="144">
        <v>85</v>
      </c>
      <c r="U372" s="144" t="s">
        <v>1785</v>
      </c>
      <c r="V372" s="369">
        <v>0.2074982463299434</v>
      </c>
      <c r="W372" s="369">
        <v>1.033024200296589E-2</v>
      </c>
      <c r="X372" s="369">
        <v>1.3903610549326675E-2</v>
      </c>
      <c r="Y372" s="369">
        <v>0.72566215735056594</v>
      </c>
      <c r="Z372" s="369">
        <v>1.5515914031306465E-2</v>
      </c>
      <c r="AA372" s="369">
        <v>0.97291017026410842</v>
      </c>
      <c r="AB372" s="369">
        <v>6.6496774419884841E-4</v>
      </c>
      <c r="AC372" s="369">
        <v>0</v>
      </c>
      <c r="AD372" s="369">
        <v>2.6424861991692802E-2</v>
      </c>
      <c r="AE372" s="369">
        <v>0</v>
      </c>
      <c r="AF372" s="369">
        <v>1</v>
      </c>
      <c r="AG372" s="369">
        <v>0.21327585287099574</v>
      </c>
      <c r="AH372" s="369">
        <v>1.0617878524346825E-2</v>
      </c>
      <c r="AI372" s="369">
        <v>1.429074438141845E-2</v>
      </c>
      <c r="AJ372" s="369">
        <v>0.74586758318455648</v>
      </c>
      <c r="AK372" s="369">
        <v>1.5947941038682408E-2</v>
      </c>
      <c r="AL372" s="369">
        <v>0.99999999999999989</v>
      </c>
    </row>
    <row r="373" spans="1:38" ht="15" customHeight="1" x14ac:dyDescent="0.25">
      <c r="A373" s="413" t="s">
        <v>1786</v>
      </c>
      <c r="B373" s="414">
        <v>0.26842276118288877</v>
      </c>
      <c r="C373" s="414">
        <v>3.5070439827807704E-3</v>
      </c>
      <c r="D373" s="414">
        <v>3.3041241039039243E-2</v>
      </c>
      <c r="E373" s="414">
        <v>0.62816216878929465</v>
      </c>
      <c r="F373" s="414">
        <v>2.7768405437803689E-2</v>
      </c>
      <c r="G373" s="414">
        <v>0.96090162043180716</v>
      </c>
      <c r="H373" s="414">
        <v>9.3443912157567307E-3</v>
      </c>
      <c r="I373" s="414">
        <v>6.2049730249079107E-3</v>
      </c>
      <c r="J373" s="414">
        <v>2.3549015327528129E-2</v>
      </c>
      <c r="K373" s="414">
        <v>0</v>
      </c>
      <c r="L373" s="414">
        <v>0.99999999999999989</v>
      </c>
      <c r="M373" s="415">
        <v>0.27934468573615867</v>
      </c>
      <c r="N373" s="415">
        <v>3.6497430207317011E-3</v>
      </c>
      <c r="O373" s="415">
        <v>3.4385664813627086E-2</v>
      </c>
      <c r="P373" s="415">
        <v>0.65372162501611031</v>
      </c>
      <c r="Q373" s="415">
        <v>2.8898281413372164E-2</v>
      </c>
      <c r="R373" s="416">
        <v>0.99999999999999989</v>
      </c>
      <c r="S373" s="144">
        <v>123</v>
      </c>
      <c r="U373" s="144" t="s">
        <v>1786</v>
      </c>
      <c r="V373" s="369">
        <v>0.26842276118288877</v>
      </c>
      <c r="W373" s="369">
        <v>3.5070439827807704E-3</v>
      </c>
      <c r="X373" s="369">
        <v>3.3041241039039243E-2</v>
      </c>
      <c r="Y373" s="369">
        <v>0.62816216878929465</v>
      </c>
      <c r="Z373" s="369">
        <v>2.7768405437803689E-2</v>
      </c>
      <c r="AA373" s="369">
        <v>0.96090162043180716</v>
      </c>
      <c r="AB373" s="369">
        <v>9.3443912157567307E-3</v>
      </c>
      <c r="AC373" s="369">
        <v>6.2049730249079107E-3</v>
      </c>
      <c r="AD373" s="369">
        <v>2.3549015327528129E-2</v>
      </c>
      <c r="AE373" s="369">
        <v>0</v>
      </c>
      <c r="AF373" s="369">
        <v>0.99999999999999989</v>
      </c>
      <c r="AG373" s="369">
        <v>0.27934468573615867</v>
      </c>
      <c r="AH373" s="369">
        <v>3.6497430207317011E-3</v>
      </c>
      <c r="AI373" s="369">
        <v>3.4385664813627086E-2</v>
      </c>
      <c r="AJ373" s="369">
        <v>0.65372162501611031</v>
      </c>
      <c r="AK373" s="369">
        <v>2.8898281413372164E-2</v>
      </c>
      <c r="AL373" s="369">
        <v>0.99999999999999989</v>
      </c>
    </row>
    <row r="374" spans="1:38" ht="15" customHeight="1" x14ac:dyDescent="0.25">
      <c r="A374" s="7" t="s">
        <v>1787</v>
      </c>
      <c r="B374" s="369">
        <v>0.28886647848116381</v>
      </c>
      <c r="C374" s="369">
        <v>5.9012032227971885E-3</v>
      </c>
      <c r="D374" s="369">
        <v>1.4617784677224615E-2</v>
      </c>
      <c r="E374" s="369">
        <v>0.60893132387784821</v>
      </c>
      <c r="F374" s="369">
        <v>5.9031120397414656E-2</v>
      </c>
      <c r="G374" s="369">
        <v>0.97734791065644855</v>
      </c>
      <c r="H374" s="369">
        <v>3.6403776250211206E-3</v>
      </c>
      <c r="I374" s="369">
        <v>3.4856288053626496E-3</v>
      </c>
      <c r="J374" s="369">
        <v>1.4534208502658304E-2</v>
      </c>
      <c r="K374" s="369">
        <v>9.9187441050948015E-4</v>
      </c>
      <c r="L374" s="369">
        <v>1</v>
      </c>
      <c r="M374" s="411">
        <v>0.29556156546868029</v>
      </c>
      <c r="N374" s="411">
        <v>6.0379759944783305E-3</v>
      </c>
      <c r="O374" s="411">
        <v>1.4956582520759048E-2</v>
      </c>
      <c r="P374" s="411">
        <v>0.62304458549346209</v>
      </c>
      <c r="Q374" s="411">
        <v>6.0399290522620171E-2</v>
      </c>
      <c r="R374" s="412">
        <v>0.99999999999999989</v>
      </c>
      <c r="S374" s="144">
        <v>32</v>
      </c>
      <c r="U374" s="144" t="s">
        <v>1792</v>
      </c>
      <c r="V374" s="369">
        <v>0.29823959572111042</v>
      </c>
      <c r="W374" s="369">
        <v>7.0592953484171755E-3</v>
      </c>
      <c r="X374" s="369">
        <v>3.5471145928866785E-2</v>
      </c>
      <c r="Y374" s="369">
        <v>0.62998874494553114</v>
      </c>
      <c r="Z374" s="369">
        <v>1.1226691921194408E-2</v>
      </c>
      <c r="AA374" s="369">
        <v>0.98198547386511992</v>
      </c>
      <c r="AB374" s="369">
        <v>9.1684650689754336E-3</v>
      </c>
      <c r="AC374" s="369">
        <v>6.6612965109615124E-3</v>
      </c>
      <c r="AD374" s="369">
        <v>2.1847645549429996E-3</v>
      </c>
      <c r="AE374" s="369">
        <v>0</v>
      </c>
      <c r="AF374" s="369">
        <v>0.99999999999999978</v>
      </c>
      <c r="AG374" s="369">
        <v>0.30371080189937205</v>
      </c>
      <c r="AH374" s="369">
        <v>7.1887981403957113E-3</v>
      </c>
      <c r="AI374" s="369">
        <v>3.6121864195456425E-2</v>
      </c>
      <c r="AJ374" s="369">
        <v>0.64154589015036989</v>
      </c>
      <c r="AK374" s="369">
        <v>1.1432645614405946E-2</v>
      </c>
      <c r="AL374" s="369">
        <v>1</v>
      </c>
    </row>
    <row r="375" spans="1:38" ht="15" customHeight="1" x14ac:dyDescent="0.25">
      <c r="A375" s="7" t="s">
        <v>1788</v>
      </c>
      <c r="B375" s="369">
        <v>0.28886647848116381</v>
      </c>
      <c r="C375" s="369">
        <v>5.9012032227971885E-3</v>
      </c>
      <c r="D375" s="369">
        <v>1.4617784677224615E-2</v>
      </c>
      <c r="E375" s="369">
        <v>0.60893132387784821</v>
      </c>
      <c r="F375" s="369">
        <v>5.9031120397414656E-2</v>
      </c>
      <c r="G375" s="369">
        <v>0.97734791065644855</v>
      </c>
      <c r="H375" s="369">
        <v>3.6403776250211206E-3</v>
      </c>
      <c r="I375" s="369">
        <v>3.4856288053626496E-3</v>
      </c>
      <c r="J375" s="369">
        <v>1.4534208502658304E-2</v>
      </c>
      <c r="K375" s="369">
        <v>9.9187441050948015E-4</v>
      </c>
      <c r="L375" s="369">
        <v>1</v>
      </c>
      <c r="M375" s="411">
        <v>0.29556156546868029</v>
      </c>
      <c r="N375" s="411">
        <v>6.0379759944783305E-3</v>
      </c>
      <c r="O375" s="411">
        <v>1.4956582520759048E-2</v>
      </c>
      <c r="P375" s="411">
        <v>0.62304458549346209</v>
      </c>
      <c r="Q375" s="411">
        <v>6.0399290522620171E-2</v>
      </c>
      <c r="R375" s="412">
        <v>0.99999999999999989</v>
      </c>
      <c r="S375" s="144">
        <v>19</v>
      </c>
      <c r="U375" s="144" t="s">
        <v>1793</v>
      </c>
      <c r="V375" s="369">
        <v>0.24530498163358674</v>
      </c>
      <c r="W375" s="369">
        <v>0</v>
      </c>
      <c r="X375" s="369">
        <v>1.8752781299800472E-2</v>
      </c>
      <c r="Y375" s="369">
        <v>0.71285384830642307</v>
      </c>
      <c r="Z375" s="369">
        <v>8.5182467756854622E-3</v>
      </c>
      <c r="AA375" s="369">
        <v>0.98542985801549576</v>
      </c>
      <c r="AB375" s="369">
        <v>2.4180829556784537E-3</v>
      </c>
      <c r="AC375" s="369">
        <v>0</v>
      </c>
      <c r="AD375" s="369">
        <v>8.6627618344844275E-3</v>
      </c>
      <c r="AE375" s="369">
        <v>3.4892971943412026E-3</v>
      </c>
      <c r="AF375" s="369">
        <v>0.99999999999999989</v>
      </c>
      <c r="AG375" s="369">
        <v>0.24893195557073261</v>
      </c>
      <c r="AH375" s="369">
        <v>0</v>
      </c>
      <c r="AI375" s="369">
        <v>1.903005185733431E-2</v>
      </c>
      <c r="AJ375" s="369">
        <v>0.72339379866366249</v>
      </c>
      <c r="AK375" s="369">
        <v>8.6441939082705505E-3</v>
      </c>
      <c r="AL375" s="369">
        <v>0.99999999999999989</v>
      </c>
    </row>
    <row r="376" spans="1:38" ht="15" customHeight="1" x14ac:dyDescent="0.25">
      <c r="A376" s="7" t="s">
        <v>1789</v>
      </c>
      <c r="B376" s="369">
        <v>0.28886647848116381</v>
      </c>
      <c r="C376" s="369">
        <v>5.9012032227971885E-3</v>
      </c>
      <c r="D376" s="369">
        <v>1.4617784677224615E-2</v>
      </c>
      <c r="E376" s="369">
        <v>0.60893132387784821</v>
      </c>
      <c r="F376" s="369">
        <v>5.9031120397414656E-2</v>
      </c>
      <c r="G376" s="369">
        <v>0.97734791065644855</v>
      </c>
      <c r="H376" s="369">
        <v>3.6403776250211206E-3</v>
      </c>
      <c r="I376" s="369">
        <v>3.4856288053626496E-3</v>
      </c>
      <c r="J376" s="369">
        <v>1.4534208502658304E-2</v>
      </c>
      <c r="K376" s="369">
        <v>9.9187441050948015E-4</v>
      </c>
      <c r="L376" s="369">
        <v>1</v>
      </c>
      <c r="M376" s="411">
        <v>0.29556156546868029</v>
      </c>
      <c r="N376" s="411">
        <v>6.0379759944783305E-3</v>
      </c>
      <c r="O376" s="411">
        <v>1.4956582520759048E-2</v>
      </c>
      <c r="P376" s="411">
        <v>0.62304458549346209</v>
      </c>
      <c r="Q376" s="411">
        <v>6.0399290522620171E-2</v>
      </c>
      <c r="R376" s="412">
        <v>0.99999999999999989</v>
      </c>
      <c r="S376" s="144">
        <v>10</v>
      </c>
      <c r="U376" s="144" t="s">
        <v>1812</v>
      </c>
      <c r="V376" s="369">
        <v>0.28886647848116381</v>
      </c>
      <c r="W376" s="369">
        <v>5.9012032227971885E-3</v>
      </c>
      <c r="X376" s="369">
        <v>1.4617784677224615E-2</v>
      </c>
      <c r="Y376" s="369">
        <v>0.60893132387784821</v>
      </c>
      <c r="Z376" s="369">
        <v>5.9031120397414656E-2</v>
      </c>
      <c r="AA376" s="369">
        <v>0.97734791065644855</v>
      </c>
      <c r="AB376" s="369">
        <v>3.6403776250211206E-3</v>
      </c>
      <c r="AC376" s="369">
        <v>3.4856288053626496E-3</v>
      </c>
      <c r="AD376" s="369">
        <v>1.4534208502658304E-2</v>
      </c>
      <c r="AE376" s="369">
        <v>9.9187441050948015E-4</v>
      </c>
      <c r="AF376" s="369">
        <v>1</v>
      </c>
      <c r="AG376" s="369">
        <v>0.29556156546868029</v>
      </c>
      <c r="AH376" s="369">
        <v>6.0379759944783305E-3</v>
      </c>
      <c r="AI376" s="369">
        <v>1.4956582520759048E-2</v>
      </c>
      <c r="AJ376" s="369">
        <v>0.62304458549346209</v>
      </c>
      <c r="AK376" s="369">
        <v>6.0399290522620171E-2</v>
      </c>
      <c r="AL376" s="369">
        <v>0.99999999999999989</v>
      </c>
    </row>
    <row r="377" spans="1:38" ht="15" customHeight="1" x14ac:dyDescent="0.25">
      <c r="A377" s="7" t="s">
        <v>1790</v>
      </c>
      <c r="B377" s="369">
        <v>0.28886647848116381</v>
      </c>
      <c r="C377" s="369">
        <v>5.9012032227971885E-3</v>
      </c>
      <c r="D377" s="369">
        <v>1.4617784677224615E-2</v>
      </c>
      <c r="E377" s="369">
        <v>0.60893132387784821</v>
      </c>
      <c r="F377" s="369">
        <v>5.9031120397414656E-2</v>
      </c>
      <c r="G377" s="369">
        <v>0.97734791065644855</v>
      </c>
      <c r="H377" s="369">
        <v>3.6403776250211206E-3</v>
      </c>
      <c r="I377" s="369">
        <v>3.4856288053626496E-3</v>
      </c>
      <c r="J377" s="369">
        <v>1.4534208502658304E-2</v>
      </c>
      <c r="K377" s="369">
        <v>9.9187441050948015E-4</v>
      </c>
      <c r="L377" s="369">
        <v>1</v>
      </c>
      <c r="M377" s="411">
        <v>0.29556156546868029</v>
      </c>
      <c r="N377" s="411">
        <v>6.0379759944783305E-3</v>
      </c>
      <c r="O377" s="411">
        <v>1.4956582520759048E-2</v>
      </c>
      <c r="P377" s="411">
        <v>0.62304458549346209</v>
      </c>
      <c r="Q377" s="411">
        <v>6.0399290522620171E-2</v>
      </c>
      <c r="R377" s="412">
        <v>0.99999999999999989</v>
      </c>
      <c r="S377" s="144">
        <v>1</v>
      </c>
    </row>
    <row r="378" spans="1:38" ht="15" customHeight="1" x14ac:dyDescent="0.25">
      <c r="A378" s="7" t="s">
        <v>1791</v>
      </c>
      <c r="B378" s="369">
        <v>0.28886647848116381</v>
      </c>
      <c r="C378" s="369">
        <v>5.9012032227971885E-3</v>
      </c>
      <c r="D378" s="369">
        <v>1.4617784677224615E-2</v>
      </c>
      <c r="E378" s="369">
        <v>0.60893132387784821</v>
      </c>
      <c r="F378" s="369">
        <v>5.9031120397414656E-2</v>
      </c>
      <c r="G378" s="369">
        <v>0.97734791065644855</v>
      </c>
      <c r="H378" s="369">
        <v>3.6403776250211206E-3</v>
      </c>
      <c r="I378" s="369">
        <v>3.4856288053626496E-3</v>
      </c>
      <c r="J378" s="369">
        <v>1.4534208502658304E-2</v>
      </c>
      <c r="K378" s="369">
        <v>9.9187441050948015E-4</v>
      </c>
      <c r="L378" s="369">
        <v>1</v>
      </c>
      <c r="M378" s="411">
        <v>0.29556156546868029</v>
      </c>
      <c r="N378" s="411">
        <v>6.0379759944783305E-3</v>
      </c>
      <c r="O378" s="411">
        <v>1.4956582520759048E-2</v>
      </c>
      <c r="P378" s="411">
        <v>0.62304458549346209</v>
      </c>
      <c r="Q378" s="411">
        <v>6.0399290522620171E-2</v>
      </c>
      <c r="R378" s="412">
        <v>0.99999999999999989</v>
      </c>
      <c r="S378" s="144">
        <v>2</v>
      </c>
      <c r="T378" s="48" t="s">
        <v>1715</v>
      </c>
      <c r="U378" s="144" t="s">
        <v>1785</v>
      </c>
      <c r="V378" s="144" t="s">
        <v>1786</v>
      </c>
      <c r="W378" s="144" t="s">
        <v>1792</v>
      </c>
      <c r="X378" s="144" t="s">
        <v>1793</v>
      </c>
      <c r="Y378" s="144" t="s">
        <v>1812</v>
      </c>
    </row>
    <row r="379" spans="1:38" ht="15" customHeight="1" x14ac:dyDescent="0.25">
      <c r="A379" s="413" t="s">
        <v>1792</v>
      </c>
      <c r="B379" s="414">
        <v>0.29823959572111042</v>
      </c>
      <c r="C379" s="414">
        <v>7.0592953484171755E-3</v>
      </c>
      <c r="D379" s="414">
        <v>3.5471145928866785E-2</v>
      </c>
      <c r="E379" s="414">
        <v>0.62998874494553114</v>
      </c>
      <c r="F379" s="414">
        <v>1.1226691921194408E-2</v>
      </c>
      <c r="G379" s="414">
        <v>0.98198547386511992</v>
      </c>
      <c r="H379" s="414">
        <v>9.1684650689754336E-3</v>
      </c>
      <c r="I379" s="414">
        <v>6.6612965109615124E-3</v>
      </c>
      <c r="J379" s="414">
        <v>2.1847645549429996E-3</v>
      </c>
      <c r="K379" s="414">
        <v>0</v>
      </c>
      <c r="L379" s="414">
        <v>0.99999999999999978</v>
      </c>
      <c r="M379" s="415">
        <v>0.30371080189937205</v>
      </c>
      <c r="N379" s="415">
        <v>7.1887981403957113E-3</v>
      </c>
      <c r="O379" s="415">
        <v>3.6121864195456425E-2</v>
      </c>
      <c r="P379" s="415">
        <v>0.64154589015036989</v>
      </c>
      <c r="Q379" s="415">
        <v>1.1432645614405946E-2</v>
      </c>
      <c r="R379" s="416">
        <v>1</v>
      </c>
      <c r="S379" s="144">
        <v>134</v>
      </c>
      <c r="T379" s="48" t="s">
        <v>1833</v>
      </c>
      <c r="U379" s="369">
        <v>0.2074982463299434</v>
      </c>
      <c r="V379" s="369">
        <v>0.26842276118288877</v>
      </c>
      <c r="W379" s="369">
        <v>0.29823959572111042</v>
      </c>
      <c r="X379" s="369">
        <v>0.24530498163358674</v>
      </c>
      <c r="Y379" s="369">
        <v>0.28886647848116381</v>
      </c>
    </row>
    <row r="380" spans="1:38" ht="15" customHeight="1" x14ac:dyDescent="0.25">
      <c r="A380" s="413" t="s">
        <v>1793</v>
      </c>
      <c r="B380" s="414">
        <v>0.24530498163358674</v>
      </c>
      <c r="C380" s="414">
        <v>0</v>
      </c>
      <c r="D380" s="414">
        <v>1.8752781299800472E-2</v>
      </c>
      <c r="E380" s="414">
        <v>0.71285384830642307</v>
      </c>
      <c r="F380" s="414">
        <v>8.5182467756854622E-3</v>
      </c>
      <c r="G380" s="414">
        <v>0.98542985801549576</v>
      </c>
      <c r="H380" s="414">
        <v>2.4180829556784537E-3</v>
      </c>
      <c r="I380" s="414">
        <v>0</v>
      </c>
      <c r="J380" s="414">
        <v>8.6627618344844275E-3</v>
      </c>
      <c r="K380" s="414">
        <v>3.4892971943412026E-3</v>
      </c>
      <c r="L380" s="414">
        <v>0.99999999999999989</v>
      </c>
      <c r="M380" s="415">
        <v>0.24893195557073261</v>
      </c>
      <c r="N380" s="415">
        <v>0</v>
      </c>
      <c r="O380" s="415">
        <v>1.903005185733431E-2</v>
      </c>
      <c r="P380" s="415">
        <v>0.72339379866366249</v>
      </c>
      <c r="Q380" s="415">
        <v>8.6441939082705505E-3</v>
      </c>
      <c r="R380" s="416">
        <v>0.99999999999999989</v>
      </c>
      <c r="S380" s="144">
        <v>81</v>
      </c>
      <c r="T380" s="48" t="s">
        <v>1834</v>
      </c>
      <c r="U380" s="369">
        <v>1.033024200296589E-2</v>
      </c>
      <c r="V380" s="369">
        <v>3.5070439827807704E-3</v>
      </c>
      <c r="W380" s="369">
        <v>7.0592953484171755E-3</v>
      </c>
      <c r="X380" s="369">
        <v>0</v>
      </c>
      <c r="Y380" s="369">
        <v>5.9012032227971885E-3</v>
      </c>
    </row>
    <row r="381" spans="1:38" ht="15" customHeight="1" x14ac:dyDescent="0.25">
      <c r="A381" s="7" t="s">
        <v>1794</v>
      </c>
      <c r="B381" s="369">
        <v>0.28886647848116381</v>
      </c>
      <c r="C381" s="369">
        <v>5.9012032227971885E-3</v>
      </c>
      <c r="D381" s="369">
        <v>1.4617784677224615E-2</v>
      </c>
      <c r="E381" s="369">
        <v>0.60893132387784821</v>
      </c>
      <c r="F381" s="369">
        <v>5.9031120397414656E-2</v>
      </c>
      <c r="G381" s="369">
        <v>0.97734791065644855</v>
      </c>
      <c r="H381" s="369">
        <v>3.6403776250211206E-3</v>
      </c>
      <c r="I381" s="369">
        <v>3.4856288053626496E-3</v>
      </c>
      <c r="J381" s="369">
        <v>1.4534208502658304E-2</v>
      </c>
      <c r="K381" s="369">
        <v>9.9187441050948015E-4</v>
      </c>
      <c r="L381" s="369">
        <v>1</v>
      </c>
      <c r="M381" s="411">
        <v>0.29556156546868029</v>
      </c>
      <c r="N381" s="411">
        <v>6.0379759944783305E-3</v>
      </c>
      <c r="O381" s="411">
        <v>1.4956582520759048E-2</v>
      </c>
      <c r="P381" s="411">
        <v>0.62304458549346209</v>
      </c>
      <c r="Q381" s="411">
        <v>6.0399290522620171E-2</v>
      </c>
      <c r="R381" s="412">
        <v>0.99999999999999989</v>
      </c>
      <c r="S381" s="144">
        <v>5</v>
      </c>
      <c r="T381" s="48" t="s">
        <v>1835</v>
      </c>
      <c r="U381" s="369">
        <v>1.3903610549326675E-2</v>
      </c>
      <c r="V381" s="369">
        <v>3.3041241039039243E-2</v>
      </c>
      <c r="W381" s="369">
        <v>3.5471145928866785E-2</v>
      </c>
      <c r="X381" s="369">
        <v>1.8752781299800472E-2</v>
      </c>
      <c r="Y381" s="369">
        <v>1.4617784677224615E-2</v>
      </c>
    </row>
    <row r="382" spans="1:38" ht="15" customHeight="1" x14ac:dyDescent="0.25">
      <c r="A382" s="7" t="s">
        <v>1795</v>
      </c>
      <c r="B382" s="369">
        <v>0.28886647848116381</v>
      </c>
      <c r="C382" s="369">
        <v>5.9012032227971885E-3</v>
      </c>
      <c r="D382" s="369">
        <v>1.4617784677224615E-2</v>
      </c>
      <c r="E382" s="369">
        <v>0.60893132387784821</v>
      </c>
      <c r="F382" s="369">
        <v>5.9031120397414656E-2</v>
      </c>
      <c r="G382" s="369">
        <v>0.97734791065644855</v>
      </c>
      <c r="H382" s="369">
        <v>3.6403776250211206E-3</v>
      </c>
      <c r="I382" s="369">
        <v>3.4856288053626496E-3</v>
      </c>
      <c r="J382" s="369">
        <v>1.4534208502658304E-2</v>
      </c>
      <c r="K382" s="369">
        <v>9.9187441050948015E-4</v>
      </c>
      <c r="L382" s="369">
        <v>1</v>
      </c>
      <c r="M382" s="411">
        <v>0.29556156546868029</v>
      </c>
      <c r="N382" s="411">
        <v>6.0379759944783305E-3</v>
      </c>
      <c r="O382" s="411">
        <v>1.4956582520759048E-2</v>
      </c>
      <c r="P382" s="411">
        <v>0.62304458549346209</v>
      </c>
      <c r="Q382" s="411">
        <v>6.0399290522620171E-2</v>
      </c>
      <c r="R382" s="412">
        <v>0.99999999999999989</v>
      </c>
      <c r="S382" s="144">
        <v>2</v>
      </c>
      <c r="T382" s="48" t="s">
        <v>1836</v>
      </c>
      <c r="U382" s="369">
        <v>0.72566215735056594</v>
      </c>
      <c r="V382" s="369">
        <v>0.62816216878929465</v>
      </c>
      <c r="W382" s="369">
        <v>0.62998874494553114</v>
      </c>
      <c r="X382" s="369">
        <v>0.71285384830642307</v>
      </c>
      <c r="Y382" s="369">
        <v>0.60893132387784821</v>
      </c>
    </row>
    <row r="383" spans="1:38" ht="15" customHeight="1" x14ac:dyDescent="0.25">
      <c r="A383" s="7" t="s">
        <v>1796</v>
      </c>
      <c r="B383" s="369">
        <v>0.28886647848116381</v>
      </c>
      <c r="C383" s="369">
        <v>5.9012032227971885E-3</v>
      </c>
      <c r="D383" s="369">
        <v>1.4617784677224615E-2</v>
      </c>
      <c r="E383" s="369">
        <v>0.60893132387784821</v>
      </c>
      <c r="F383" s="369">
        <v>5.9031120397414656E-2</v>
      </c>
      <c r="G383" s="369">
        <v>0.97734791065644855</v>
      </c>
      <c r="H383" s="369">
        <v>3.6403776250211206E-3</v>
      </c>
      <c r="I383" s="369">
        <v>3.4856288053626496E-3</v>
      </c>
      <c r="J383" s="369">
        <v>1.4534208502658304E-2</v>
      </c>
      <c r="K383" s="369">
        <v>9.9187441050948015E-4</v>
      </c>
      <c r="L383" s="369">
        <v>1</v>
      </c>
      <c r="M383" s="411">
        <v>0.29556156546868029</v>
      </c>
      <c r="N383" s="411">
        <v>6.0379759944783305E-3</v>
      </c>
      <c r="O383" s="411">
        <v>1.4956582520759048E-2</v>
      </c>
      <c r="P383" s="411">
        <v>0.62304458549346209</v>
      </c>
      <c r="Q383" s="411">
        <v>6.0399290522620171E-2</v>
      </c>
      <c r="R383" s="412">
        <v>0.99999999999999989</v>
      </c>
      <c r="S383" s="144">
        <v>16</v>
      </c>
      <c r="T383" s="48" t="s">
        <v>1837</v>
      </c>
      <c r="U383" s="369">
        <v>1.5515914031306465E-2</v>
      </c>
      <c r="V383" s="369">
        <v>2.7768405437803689E-2</v>
      </c>
      <c r="W383" s="369">
        <v>1.1226691921194408E-2</v>
      </c>
      <c r="X383" s="369">
        <v>8.5182467756854622E-3</v>
      </c>
      <c r="Y383" s="369">
        <v>5.9031120397414656E-2</v>
      </c>
    </row>
    <row r="384" spans="1:38" ht="15" customHeight="1" x14ac:dyDescent="0.25">
      <c r="A384" s="7" t="s">
        <v>1797</v>
      </c>
      <c r="B384" s="369">
        <v>0.28886647848116381</v>
      </c>
      <c r="C384" s="369">
        <v>5.9012032227971885E-3</v>
      </c>
      <c r="D384" s="369">
        <v>1.4617784677224615E-2</v>
      </c>
      <c r="E384" s="369">
        <v>0.60893132387784821</v>
      </c>
      <c r="F384" s="369">
        <v>5.9031120397414656E-2</v>
      </c>
      <c r="G384" s="369">
        <v>0.97734791065644855</v>
      </c>
      <c r="H384" s="369">
        <v>3.6403776250211206E-3</v>
      </c>
      <c r="I384" s="369">
        <v>3.4856288053626496E-3</v>
      </c>
      <c r="J384" s="369">
        <v>1.4534208502658304E-2</v>
      </c>
      <c r="K384" s="369">
        <v>9.9187441050948015E-4</v>
      </c>
      <c r="L384" s="369">
        <v>1</v>
      </c>
      <c r="M384" s="411">
        <v>0.29556156546868029</v>
      </c>
      <c r="N384" s="411">
        <v>6.0379759944783305E-3</v>
      </c>
      <c r="O384" s="411">
        <v>1.4956582520759048E-2</v>
      </c>
      <c r="P384" s="411">
        <v>0.62304458549346209</v>
      </c>
      <c r="Q384" s="411">
        <v>6.0399290522620171E-2</v>
      </c>
      <c r="R384" s="412">
        <v>0.99999999999999989</v>
      </c>
      <c r="S384" s="144">
        <v>2</v>
      </c>
      <c r="T384" s="48" t="s">
        <v>1838</v>
      </c>
      <c r="U384" s="369">
        <v>0.97291017026410842</v>
      </c>
      <c r="V384" s="369">
        <v>0.96090162043180716</v>
      </c>
      <c r="W384" s="369">
        <v>0.98198547386511992</v>
      </c>
      <c r="X384" s="369">
        <v>0.98542985801549576</v>
      </c>
      <c r="Y384" s="369">
        <v>0.97734791065644855</v>
      </c>
    </row>
    <row r="385" spans="1:25" ht="15" customHeight="1" x14ac:dyDescent="0.25">
      <c r="A385" s="7" t="s">
        <v>1798</v>
      </c>
      <c r="B385" s="369">
        <v>0.28886647848116381</v>
      </c>
      <c r="C385" s="369">
        <v>5.9012032227971885E-3</v>
      </c>
      <c r="D385" s="369">
        <v>1.4617784677224615E-2</v>
      </c>
      <c r="E385" s="369">
        <v>0.60893132387784821</v>
      </c>
      <c r="F385" s="369">
        <v>5.9031120397414656E-2</v>
      </c>
      <c r="G385" s="369">
        <v>0.97734791065644855</v>
      </c>
      <c r="H385" s="369">
        <v>3.6403776250211206E-3</v>
      </c>
      <c r="I385" s="369">
        <v>3.4856288053626496E-3</v>
      </c>
      <c r="J385" s="369">
        <v>1.4534208502658304E-2</v>
      </c>
      <c r="K385" s="369">
        <v>9.9187441050948015E-4</v>
      </c>
      <c r="L385" s="369">
        <v>1</v>
      </c>
      <c r="M385" s="411">
        <v>0.29556156546868029</v>
      </c>
      <c r="N385" s="411">
        <v>6.0379759944783305E-3</v>
      </c>
      <c r="O385" s="411">
        <v>1.4956582520759048E-2</v>
      </c>
      <c r="P385" s="411">
        <v>0.62304458549346209</v>
      </c>
      <c r="Q385" s="411">
        <v>6.0399290522620171E-2</v>
      </c>
      <c r="R385" s="412">
        <v>0.99999999999999989</v>
      </c>
      <c r="S385" s="144">
        <v>1</v>
      </c>
      <c r="T385" s="48" t="s">
        <v>746</v>
      </c>
      <c r="U385" s="369">
        <v>6.6496774419884841E-4</v>
      </c>
      <c r="V385" s="369">
        <v>9.3443912157567307E-3</v>
      </c>
      <c r="W385" s="369">
        <v>9.1684650689754336E-3</v>
      </c>
      <c r="X385" s="369">
        <v>2.4180829556784537E-3</v>
      </c>
      <c r="Y385" s="369">
        <v>3.6403776250211206E-3</v>
      </c>
    </row>
    <row r="386" spans="1:25" ht="15" customHeight="1" x14ac:dyDescent="0.25">
      <c r="A386" s="7" t="s">
        <v>1799</v>
      </c>
      <c r="B386" s="369">
        <v>0.28886647848116381</v>
      </c>
      <c r="C386" s="369">
        <v>5.9012032227971885E-3</v>
      </c>
      <c r="D386" s="369">
        <v>1.4617784677224615E-2</v>
      </c>
      <c r="E386" s="369">
        <v>0.60893132387784821</v>
      </c>
      <c r="F386" s="369">
        <v>5.9031120397414656E-2</v>
      </c>
      <c r="G386" s="369">
        <v>0.97734791065644855</v>
      </c>
      <c r="H386" s="369">
        <v>3.6403776250211206E-3</v>
      </c>
      <c r="I386" s="369">
        <v>3.4856288053626496E-3</v>
      </c>
      <c r="J386" s="369">
        <v>1.4534208502658304E-2</v>
      </c>
      <c r="K386" s="369">
        <v>9.9187441050948015E-4</v>
      </c>
      <c r="L386" s="369">
        <v>1</v>
      </c>
      <c r="M386" s="411">
        <v>0.29556156546868029</v>
      </c>
      <c r="N386" s="411">
        <v>6.0379759944783305E-3</v>
      </c>
      <c r="O386" s="411">
        <v>1.4956582520759048E-2</v>
      </c>
      <c r="P386" s="411">
        <v>0.62304458549346209</v>
      </c>
      <c r="Q386" s="411">
        <v>6.0399290522620171E-2</v>
      </c>
      <c r="R386" s="412">
        <v>0.99999999999999989</v>
      </c>
      <c r="S386" s="144">
        <v>1</v>
      </c>
      <c r="T386" s="48" t="s">
        <v>1723</v>
      </c>
      <c r="U386" s="369">
        <v>0</v>
      </c>
      <c r="V386" s="369">
        <v>6.2049730249079107E-3</v>
      </c>
      <c r="W386" s="369">
        <v>6.6612965109615124E-3</v>
      </c>
      <c r="X386" s="369">
        <v>0</v>
      </c>
      <c r="Y386" s="369">
        <v>3.4856288053626496E-3</v>
      </c>
    </row>
    <row r="387" spans="1:25" ht="15" customHeight="1" x14ac:dyDescent="0.25">
      <c r="A387" s="7" t="s">
        <v>1800</v>
      </c>
      <c r="B387" s="369">
        <v>0.28886647848116381</v>
      </c>
      <c r="C387" s="369">
        <v>5.9012032227971885E-3</v>
      </c>
      <c r="D387" s="369">
        <v>1.4617784677224615E-2</v>
      </c>
      <c r="E387" s="369">
        <v>0.60893132387784821</v>
      </c>
      <c r="F387" s="369">
        <v>5.9031120397414656E-2</v>
      </c>
      <c r="G387" s="369">
        <v>0.97734791065644855</v>
      </c>
      <c r="H387" s="369">
        <v>3.6403776250211206E-3</v>
      </c>
      <c r="I387" s="369">
        <v>3.4856288053626496E-3</v>
      </c>
      <c r="J387" s="369">
        <v>1.4534208502658304E-2</v>
      </c>
      <c r="K387" s="369">
        <v>9.9187441050948015E-4</v>
      </c>
      <c r="L387" s="369">
        <v>1</v>
      </c>
      <c r="M387" s="411">
        <v>0.29556156546868029</v>
      </c>
      <c r="N387" s="411">
        <v>6.0379759944783305E-3</v>
      </c>
      <c r="O387" s="411">
        <v>1.4956582520759048E-2</v>
      </c>
      <c r="P387" s="411">
        <v>0.62304458549346209</v>
      </c>
      <c r="Q387" s="411">
        <v>6.0399290522620171E-2</v>
      </c>
      <c r="R387" s="412">
        <v>0.99999999999999989</v>
      </c>
      <c r="S387" s="144">
        <v>1</v>
      </c>
      <c r="T387" s="48" t="s">
        <v>151</v>
      </c>
      <c r="U387" s="369">
        <v>2.6424861991692802E-2</v>
      </c>
      <c r="V387" s="369">
        <v>2.3549015327528129E-2</v>
      </c>
      <c r="W387" s="369">
        <v>2.1847645549429996E-3</v>
      </c>
      <c r="X387" s="369">
        <v>8.6627618344844275E-3</v>
      </c>
      <c r="Y387" s="369">
        <v>1.4534208502658304E-2</v>
      </c>
    </row>
    <row r="388" spans="1:25" ht="15" customHeight="1" x14ac:dyDescent="0.25">
      <c r="A388" s="7" t="s">
        <v>1801</v>
      </c>
      <c r="B388" s="369">
        <v>0.28886647848116381</v>
      </c>
      <c r="C388" s="369">
        <v>5.9012032227971885E-3</v>
      </c>
      <c r="D388" s="369">
        <v>1.4617784677224615E-2</v>
      </c>
      <c r="E388" s="369">
        <v>0.60893132387784821</v>
      </c>
      <c r="F388" s="369">
        <v>5.9031120397414656E-2</v>
      </c>
      <c r="G388" s="369">
        <v>0.97734791065644855</v>
      </c>
      <c r="H388" s="369">
        <v>3.6403776250211206E-3</v>
      </c>
      <c r="I388" s="369">
        <v>3.4856288053626496E-3</v>
      </c>
      <c r="J388" s="369">
        <v>1.4534208502658304E-2</v>
      </c>
      <c r="K388" s="369">
        <v>9.9187441050948015E-4</v>
      </c>
      <c r="L388" s="369">
        <v>1</v>
      </c>
      <c r="M388" s="411">
        <v>0.29556156546868029</v>
      </c>
      <c r="N388" s="411">
        <v>6.0379759944783305E-3</v>
      </c>
      <c r="O388" s="411">
        <v>1.4956582520759048E-2</v>
      </c>
      <c r="P388" s="411">
        <v>0.62304458549346209</v>
      </c>
      <c r="Q388" s="411">
        <v>6.0399290522620171E-2</v>
      </c>
      <c r="R388" s="412">
        <v>0.99999999999999989</v>
      </c>
      <c r="S388" s="144">
        <v>2</v>
      </c>
      <c r="T388" s="48" t="s">
        <v>1724</v>
      </c>
      <c r="U388" s="369">
        <v>0</v>
      </c>
      <c r="V388" s="369">
        <v>0</v>
      </c>
      <c r="W388" s="369">
        <v>0</v>
      </c>
      <c r="X388" s="369">
        <v>3.4892971943412026E-3</v>
      </c>
      <c r="Y388" s="369">
        <v>9.9187441050948015E-4</v>
      </c>
    </row>
    <row r="389" spans="1:25" ht="15" customHeight="1" x14ac:dyDescent="0.25">
      <c r="A389" s="7" t="s">
        <v>1802</v>
      </c>
      <c r="B389" s="369">
        <v>0.28886647848116381</v>
      </c>
      <c r="C389" s="369">
        <v>5.9012032227971885E-3</v>
      </c>
      <c r="D389" s="369">
        <v>1.4617784677224615E-2</v>
      </c>
      <c r="E389" s="369">
        <v>0.60893132387784821</v>
      </c>
      <c r="F389" s="369">
        <v>5.9031120397414656E-2</v>
      </c>
      <c r="G389" s="369">
        <v>0.97734791065644855</v>
      </c>
      <c r="H389" s="369">
        <v>3.6403776250211206E-3</v>
      </c>
      <c r="I389" s="369">
        <v>3.4856288053626496E-3</v>
      </c>
      <c r="J389" s="369">
        <v>1.4534208502658304E-2</v>
      </c>
      <c r="K389" s="369">
        <v>9.9187441050948015E-4</v>
      </c>
      <c r="L389" s="369">
        <v>1</v>
      </c>
      <c r="M389" s="411">
        <v>0.29556156546868029</v>
      </c>
      <c r="N389" s="411">
        <v>6.0379759944783305E-3</v>
      </c>
      <c r="O389" s="411">
        <v>1.4956582520759048E-2</v>
      </c>
      <c r="P389" s="411">
        <v>0.62304458549346209</v>
      </c>
      <c r="Q389" s="411">
        <v>6.0399290522620171E-2</v>
      </c>
      <c r="R389" s="412">
        <v>0.99999999999999989</v>
      </c>
      <c r="S389" s="144">
        <v>1</v>
      </c>
      <c r="T389" s="48" t="s">
        <v>341</v>
      </c>
      <c r="U389" s="369">
        <v>1</v>
      </c>
      <c r="V389" s="369">
        <v>0.99999999999999989</v>
      </c>
      <c r="W389" s="369">
        <v>0.99999999999999978</v>
      </c>
      <c r="X389" s="369">
        <v>0.99999999999999989</v>
      </c>
      <c r="Y389" s="369">
        <v>1</v>
      </c>
    </row>
    <row r="390" spans="1:25" ht="15" customHeight="1" x14ac:dyDescent="0.25">
      <c r="A390" s="7" t="s">
        <v>1803</v>
      </c>
      <c r="B390" s="369">
        <v>0.28886647848116381</v>
      </c>
      <c r="C390" s="369">
        <v>5.9012032227971885E-3</v>
      </c>
      <c r="D390" s="369">
        <v>1.4617784677224615E-2</v>
      </c>
      <c r="E390" s="369">
        <v>0.60893132387784821</v>
      </c>
      <c r="F390" s="369">
        <v>5.9031120397414656E-2</v>
      </c>
      <c r="G390" s="369">
        <v>0.97734791065644855</v>
      </c>
      <c r="H390" s="369">
        <v>3.6403776250211206E-3</v>
      </c>
      <c r="I390" s="369">
        <v>3.4856288053626496E-3</v>
      </c>
      <c r="J390" s="369">
        <v>1.4534208502658304E-2</v>
      </c>
      <c r="K390" s="369">
        <v>9.9187441050948015E-4</v>
      </c>
      <c r="L390" s="369">
        <v>1</v>
      </c>
      <c r="M390" s="411">
        <v>0.29556156546868029</v>
      </c>
      <c r="N390" s="411">
        <v>6.0379759944783305E-3</v>
      </c>
      <c r="O390" s="411">
        <v>1.4956582520759048E-2</v>
      </c>
      <c r="P390" s="411">
        <v>0.62304458549346209</v>
      </c>
      <c r="Q390" s="411">
        <v>6.0399290522620171E-2</v>
      </c>
      <c r="R390" s="412">
        <v>0.99999999999999989</v>
      </c>
      <c r="S390" s="144">
        <v>8</v>
      </c>
      <c r="T390" s="48" t="s">
        <v>1833</v>
      </c>
      <c r="U390" s="369">
        <v>0.21327585287099574</v>
      </c>
      <c r="V390" s="369">
        <v>0.27934468573615867</v>
      </c>
      <c r="W390" s="369">
        <v>0.30371080189937205</v>
      </c>
      <c r="X390" s="369">
        <v>0.24893195557073261</v>
      </c>
      <c r="Y390" s="369">
        <v>0.29556156546868029</v>
      </c>
    </row>
    <row r="391" spans="1:25" ht="15" customHeight="1" x14ac:dyDescent="0.25">
      <c r="A391" s="7" t="s">
        <v>1804</v>
      </c>
      <c r="B391" s="369">
        <v>0.28886647848116381</v>
      </c>
      <c r="C391" s="369">
        <v>5.9012032227971885E-3</v>
      </c>
      <c r="D391" s="369">
        <v>1.4617784677224615E-2</v>
      </c>
      <c r="E391" s="369">
        <v>0.60893132387784821</v>
      </c>
      <c r="F391" s="369">
        <v>5.9031120397414656E-2</v>
      </c>
      <c r="G391" s="369">
        <v>0.97734791065644855</v>
      </c>
      <c r="H391" s="369">
        <v>3.6403776250211206E-3</v>
      </c>
      <c r="I391" s="369">
        <v>3.4856288053626496E-3</v>
      </c>
      <c r="J391" s="369">
        <v>1.4534208502658304E-2</v>
      </c>
      <c r="K391" s="369">
        <v>9.9187441050948015E-4</v>
      </c>
      <c r="L391" s="369">
        <v>1</v>
      </c>
      <c r="M391" s="411">
        <v>0.29556156546868029</v>
      </c>
      <c r="N391" s="411">
        <v>6.0379759944783305E-3</v>
      </c>
      <c r="O391" s="411">
        <v>1.4956582520759048E-2</v>
      </c>
      <c r="P391" s="411">
        <v>0.62304458549346209</v>
      </c>
      <c r="Q391" s="411">
        <v>6.0399290522620171E-2</v>
      </c>
      <c r="R391" s="412">
        <v>0.99999999999999989</v>
      </c>
      <c r="S391" s="144">
        <v>4</v>
      </c>
      <c r="T391" s="48" t="s">
        <v>1834</v>
      </c>
      <c r="U391" s="369">
        <v>1.0617878524346825E-2</v>
      </c>
      <c r="V391" s="369">
        <v>3.6497430207317011E-3</v>
      </c>
      <c r="W391" s="369">
        <v>7.1887981403957113E-3</v>
      </c>
      <c r="X391" s="369">
        <v>0</v>
      </c>
      <c r="Y391" s="369">
        <v>6.0379759944783305E-3</v>
      </c>
    </row>
    <row r="392" spans="1:25" ht="15" customHeight="1" x14ac:dyDescent="0.25">
      <c r="A392" s="7" t="s">
        <v>1805</v>
      </c>
      <c r="B392" s="369">
        <v>0.28886647848116381</v>
      </c>
      <c r="C392" s="369">
        <v>5.9012032227971885E-3</v>
      </c>
      <c r="D392" s="369">
        <v>1.4617784677224615E-2</v>
      </c>
      <c r="E392" s="369">
        <v>0.60893132387784821</v>
      </c>
      <c r="F392" s="369">
        <v>5.9031120397414656E-2</v>
      </c>
      <c r="G392" s="369">
        <v>0.97734791065644855</v>
      </c>
      <c r="H392" s="369">
        <v>3.6403776250211206E-3</v>
      </c>
      <c r="I392" s="369">
        <v>3.4856288053626496E-3</v>
      </c>
      <c r="J392" s="369">
        <v>1.4534208502658304E-2</v>
      </c>
      <c r="K392" s="369">
        <v>9.9187441050948015E-4</v>
      </c>
      <c r="L392" s="369">
        <v>1</v>
      </c>
      <c r="M392" s="411">
        <v>0.29556156546868029</v>
      </c>
      <c r="N392" s="411">
        <v>6.0379759944783305E-3</v>
      </c>
      <c r="O392" s="411">
        <v>1.4956582520759048E-2</v>
      </c>
      <c r="P392" s="411">
        <v>0.62304458549346209</v>
      </c>
      <c r="Q392" s="411">
        <v>6.0399290522620171E-2</v>
      </c>
      <c r="R392" s="412">
        <v>0.99999999999999989</v>
      </c>
      <c r="S392" s="144">
        <v>2</v>
      </c>
      <c r="T392" s="48" t="s">
        <v>1835</v>
      </c>
      <c r="U392" s="369">
        <v>1.429074438141845E-2</v>
      </c>
      <c r="V392" s="369">
        <v>3.4385664813627086E-2</v>
      </c>
      <c r="W392" s="369">
        <v>3.6121864195456425E-2</v>
      </c>
      <c r="X392" s="369">
        <v>1.903005185733431E-2</v>
      </c>
      <c r="Y392" s="369">
        <v>1.4956582520759048E-2</v>
      </c>
    </row>
    <row r="393" spans="1:25" ht="15" customHeight="1" x14ac:dyDescent="0.25">
      <c r="A393" s="7" t="s">
        <v>1806</v>
      </c>
      <c r="B393" s="369">
        <v>0.28886647848116381</v>
      </c>
      <c r="C393" s="369">
        <v>5.9012032227971885E-3</v>
      </c>
      <c r="D393" s="369">
        <v>1.4617784677224615E-2</v>
      </c>
      <c r="E393" s="369">
        <v>0.60893132387784821</v>
      </c>
      <c r="F393" s="369">
        <v>5.9031120397414656E-2</v>
      </c>
      <c r="G393" s="369">
        <v>0.97734791065644855</v>
      </c>
      <c r="H393" s="369">
        <v>3.6403776250211206E-3</v>
      </c>
      <c r="I393" s="369">
        <v>3.4856288053626496E-3</v>
      </c>
      <c r="J393" s="369">
        <v>1.4534208502658304E-2</v>
      </c>
      <c r="K393" s="369">
        <v>9.9187441050948015E-4</v>
      </c>
      <c r="L393" s="369">
        <v>1</v>
      </c>
      <c r="M393" s="411">
        <v>0.29556156546868029</v>
      </c>
      <c r="N393" s="411">
        <v>6.0379759944783305E-3</v>
      </c>
      <c r="O393" s="411">
        <v>1.4956582520759048E-2</v>
      </c>
      <c r="P393" s="411">
        <v>0.62304458549346209</v>
      </c>
      <c r="Q393" s="411">
        <v>6.0399290522620171E-2</v>
      </c>
      <c r="R393" s="412">
        <v>0.99999999999999989</v>
      </c>
      <c r="S393" s="144">
        <v>1</v>
      </c>
      <c r="T393" s="48" t="s">
        <v>1836</v>
      </c>
      <c r="U393" s="369">
        <v>0.74586758318455648</v>
      </c>
      <c r="V393" s="369">
        <v>0.65372162501611031</v>
      </c>
      <c r="W393" s="369">
        <v>0.64154589015036989</v>
      </c>
      <c r="X393" s="369">
        <v>0.72339379866366249</v>
      </c>
      <c r="Y393" s="369">
        <v>0.62304458549346209</v>
      </c>
    </row>
    <row r="394" spans="1:25" ht="15" customHeight="1" x14ac:dyDescent="0.25">
      <c r="A394" s="7" t="s">
        <v>1807</v>
      </c>
      <c r="B394" s="369">
        <v>0.28886647848116381</v>
      </c>
      <c r="C394" s="369">
        <v>5.9012032227971885E-3</v>
      </c>
      <c r="D394" s="369">
        <v>1.4617784677224615E-2</v>
      </c>
      <c r="E394" s="369">
        <v>0.60893132387784821</v>
      </c>
      <c r="F394" s="369">
        <v>5.9031120397414656E-2</v>
      </c>
      <c r="G394" s="369">
        <v>0.97734791065644855</v>
      </c>
      <c r="H394" s="369">
        <v>3.6403776250211206E-3</v>
      </c>
      <c r="I394" s="369">
        <v>3.4856288053626496E-3</v>
      </c>
      <c r="J394" s="369">
        <v>1.4534208502658304E-2</v>
      </c>
      <c r="K394" s="369">
        <v>9.9187441050948015E-4</v>
      </c>
      <c r="L394" s="369">
        <v>1</v>
      </c>
      <c r="M394" s="411">
        <v>0.29556156546868029</v>
      </c>
      <c r="N394" s="411">
        <v>6.0379759944783305E-3</v>
      </c>
      <c r="O394" s="411">
        <v>1.4956582520759048E-2</v>
      </c>
      <c r="P394" s="411">
        <v>0.62304458549346209</v>
      </c>
      <c r="Q394" s="411">
        <v>6.0399290522620171E-2</v>
      </c>
      <c r="R394" s="412">
        <v>0.99999999999999989</v>
      </c>
      <c r="S394" s="144">
        <v>6</v>
      </c>
      <c r="T394" s="48" t="s">
        <v>1837</v>
      </c>
      <c r="U394" s="369">
        <v>1.5947941038682408E-2</v>
      </c>
      <c r="V394" s="369">
        <v>2.8898281413372164E-2</v>
      </c>
      <c r="W394" s="369">
        <v>1.1432645614405946E-2</v>
      </c>
      <c r="X394" s="369">
        <v>8.6441939082705505E-3</v>
      </c>
      <c r="Y394" s="369">
        <v>6.0399290522620171E-2</v>
      </c>
    </row>
    <row r="395" spans="1:25" ht="15" customHeight="1" x14ac:dyDescent="0.25">
      <c r="A395" s="7" t="s">
        <v>1808</v>
      </c>
      <c r="B395" s="369">
        <v>0.28886647848116381</v>
      </c>
      <c r="C395" s="369">
        <v>5.9012032227971885E-3</v>
      </c>
      <c r="D395" s="369">
        <v>1.4617784677224615E-2</v>
      </c>
      <c r="E395" s="369">
        <v>0.60893132387784821</v>
      </c>
      <c r="F395" s="369">
        <v>5.9031120397414656E-2</v>
      </c>
      <c r="G395" s="369">
        <v>0.97734791065644855</v>
      </c>
      <c r="H395" s="369">
        <v>3.6403776250211206E-3</v>
      </c>
      <c r="I395" s="369">
        <v>3.4856288053626496E-3</v>
      </c>
      <c r="J395" s="369">
        <v>1.4534208502658304E-2</v>
      </c>
      <c r="K395" s="369">
        <v>9.9187441050948015E-4</v>
      </c>
      <c r="L395" s="369">
        <v>1</v>
      </c>
      <c r="M395" s="411">
        <v>0.29556156546868029</v>
      </c>
      <c r="N395" s="411">
        <v>6.0379759944783305E-3</v>
      </c>
      <c r="O395" s="411">
        <v>1.4956582520759048E-2</v>
      </c>
      <c r="P395" s="411">
        <v>0.62304458549346209</v>
      </c>
      <c r="Q395" s="411">
        <v>6.0399290522620171E-2</v>
      </c>
      <c r="R395" s="412">
        <v>0.99999999999999989</v>
      </c>
      <c r="S395" s="144">
        <v>3</v>
      </c>
      <c r="T395" s="48" t="s">
        <v>1838</v>
      </c>
      <c r="U395" s="369">
        <v>0.99999999999999989</v>
      </c>
      <c r="V395" s="369">
        <v>0.99999999999999989</v>
      </c>
      <c r="W395" s="369">
        <v>1</v>
      </c>
      <c r="X395" s="369">
        <v>0.99999999999999989</v>
      </c>
      <c r="Y395" s="369">
        <v>0.99999999999999989</v>
      </c>
    </row>
    <row r="396" spans="1:25" ht="15" customHeight="1" x14ac:dyDescent="0.25">
      <c r="A396" s="7" t="s">
        <v>1809</v>
      </c>
      <c r="B396" s="369">
        <v>0.28886647848116381</v>
      </c>
      <c r="C396" s="369">
        <v>5.9012032227971885E-3</v>
      </c>
      <c r="D396" s="369">
        <v>1.4617784677224615E-2</v>
      </c>
      <c r="E396" s="369">
        <v>0.60893132387784821</v>
      </c>
      <c r="F396" s="369">
        <v>5.9031120397414656E-2</v>
      </c>
      <c r="G396" s="369">
        <v>0.97734791065644855</v>
      </c>
      <c r="H396" s="369">
        <v>3.6403776250211206E-3</v>
      </c>
      <c r="I396" s="369">
        <v>3.4856288053626496E-3</v>
      </c>
      <c r="J396" s="369">
        <v>1.4534208502658304E-2</v>
      </c>
      <c r="K396" s="369">
        <v>9.9187441050948015E-4</v>
      </c>
      <c r="L396" s="369">
        <v>1</v>
      </c>
      <c r="M396" s="411">
        <v>0.29556156546868029</v>
      </c>
      <c r="N396" s="411">
        <v>6.0379759944783305E-3</v>
      </c>
      <c r="O396" s="411">
        <v>1.4956582520759048E-2</v>
      </c>
      <c r="P396" s="411">
        <v>0.62304458549346209</v>
      </c>
      <c r="Q396" s="411">
        <v>6.0399290522620171E-2</v>
      </c>
      <c r="R396" s="412">
        <v>0.99999999999999989</v>
      </c>
      <c r="S396" s="144">
        <v>11</v>
      </c>
    </row>
    <row r="397" spans="1:25" ht="15" customHeight="1" x14ac:dyDescent="0.25">
      <c r="A397" s="370" t="s">
        <v>1810</v>
      </c>
      <c r="B397" s="374">
        <v>0.28886647848116381</v>
      </c>
      <c r="C397" s="374">
        <v>5.9012032227971885E-3</v>
      </c>
      <c r="D397" s="374">
        <v>1.4617784677224615E-2</v>
      </c>
      <c r="E397" s="374">
        <v>0.60893132387784821</v>
      </c>
      <c r="F397" s="374">
        <v>5.9031120397414656E-2</v>
      </c>
      <c r="G397" s="374">
        <v>0.97734791065644855</v>
      </c>
      <c r="H397" s="374">
        <v>3.6403776250211206E-3</v>
      </c>
      <c r="I397" s="374">
        <v>3.4856288053626496E-3</v>
      </c>
      <c r="J397" s="374">
        <v>1.4534208502658304E-2</v>
      </c>
      <c r="K397" s="374">
        <v>9.9187441050948015E-4</v>
      </c>
      <c r="L397" s="374">
        <v>1</v>
      </c>
      <c r="M397" s="417">
        <v>0.29556156546868029</v>
      </c>
      <c r="N397" s="417">
        <v>6.0379759944783305E-3</v>
      </c>
      <c r="O397" s="417">
        <v>1.4956582520759048E-2</v>
      </c>
      <c r="P397" s="417">
        <v>0.62304458549346209</v>
      </c>
      <c r="Q397" s="417">
        <v>6.0399290522620171E-2</v>
      </c>
      <c r="R397" s="418">
        <v>0.99999999999999989</v>
      </c>
      <c r="S397" s="373">
        <v>4</v>
      </c>
    </row>
    <row r="398" spans="1:25" ht="15" customHeight="1" x14ac:dyDescent="0.25">
      <c r="A398" s="823" t="s">
        <v>1811</v>
      </c>
      <c r="B398" s="419">
        <v>0.19989914412024398</v>
      </c>
      <c r="C398" s="419">
        <v>6.6191088913094996E-3</v>
      </c>
      <c r="D398" s="419">
        <v>1.3097452065551966E-2</v>
      </c>
      <c r="E398" s="419">
        <v>0.71274987715469129</v>
      </c>
      <c r="F398" s="419">
        <v>3.0869581697330933E-2</v>
      </c>
      <c r="G398" s="420">
        <v>0.96323516392912767</v>
      </c>
      <c r="H398" s="419">
        <v>5.1794067162623959E-3</v>
      </c>
      <c r="I398" s="419">
        <v>1.3442602780446355E-2</v>
      </c>
      <c r="J398" s="419">
        <v>7.981042117985053E-3</v>
      </c>
      <c r="K398" s="419">
        <v>1.0161784456178919E-2</v>
      </c>
      <c r="L398" s="420">
        <v>1.0000000000000004</v>
      </c>
      <c r="M398" s="421">
        <v>0.20752891049454258</v>
      </c>
      <c r="N398" s="421">
        <v>6.8717475640211537E-3</v>
      </c>
      <c r="O398" s="421">
        <v>1.3597356653930921E-2</v>
      </c>
      <c r="P398" s="421">
        <v>0.73995417094961202</v>
      </c>
      <c r="Q398" s="421">
        <v>3.2047814337893332E-2</v>
      </c>
      <c r="R398" s="422">
        <v>1</v>
      </c>
      <c r="S398" s="153">
        <v>3306</v>
      </c>
    </row>
    <row r="399" spans="1:25" ht="15" customHeight="1" x14ac:dyDescent="0.25">
      <c r="A399" s="375" t="s">
        <v>1812</v>
      </c>
      <c r="B399" s="393">
        <v>0.28886647848116381</v>
      </c>
      <c r="C399" s="393">
        <v>5.9012032227971885E-3</v>
      </c>
      <c r="D399" s="393">
        <v>1.4617784677224615E-2</v>
      </c>
      <c r="E399" s="393">
        <v>0.60893132387784821</v>
      </c>
      <c r="F399" s="393">
        <v>5.9031120397414656E-2</v>
      </c>
      <c r="G399" s="423">
        <v>0.97734791065644855</v>
      </c>
      <c r="H399" s="393">
        <v>3.6403776250211206E-3</v>
      </c>
      <c r="I399" s="393">
        <v>3.4856288053626496E-3</v>
      </c>
      <c r="J399" s="393">
        <v>1.4534208502658304E-2</v>
      </c>
      <c r="K399" s="393">
        <v>9.9187441050948015E-4</v>
      </c>
      <c r="L399" s="423">
        <v>1</v>
      </c>
      <c r="M399" s="424">
        <v>0.29556156546868029</v>
      </c>
      <c r="N399" s="424">
        <v>6.0379759944783305E-3</v>
      </c>
      <c r="O399" s="424">
        <v>1.4956582520759048E-2</v>
      </c>
      <c r="P399" s="424">
        <v>0.62304458549346209</v>
      </c>
      <c r="Q399" s="424">
        <v>6.0399290522620171E-2</v>
      </c>
      <c r="R399" s="425">
        <v>0.99999999999999989</v>
      </c>
      <c r="S399" s="377">
        <v>656</v>
      </c>
    </row>
    <row r="400" spans="1:25" ht="15" customHeight="1" x14ac:dyDescent="0.25">
      <c r="A400" s="384"/>
      <c r="B400" s="385"/>
      <c r="C400" s="385"/>
      <c r="D400" s="385"/>
      <c r="E400" s="385"/>
      <c r="F400" s="385"/>
      <c r="G400" s="385"/>
      <c r="H400" s="385"/>
      <c r="I400" s="385"/>
      <c r="J400" s="385"/>
      <c r="K400" s="385"/>
      <c r="L400" s="385"/>
      <c r="M400" s="385"/>
      <c r="N400" s="383"/>
    </row>
    <row r="401" spans="1:16" ht="15" customHeight="1" x14ac:dyDescent="0.25">
      <c r="A401" s="876" t="s">
        <v>1839</v>
      </c>
      <c r="B401" s="876"/>
      <c r="C401" s="876"/>
      <c r="D401" s="876"/>
      <c r="E401" s="876"/>
      <c r="F401" s="876"/>
      <c r="G401" s="876"/>
      <c r="H401" s="876"/>
      <c r="I401" s="876"/>
      <c r="J401" s="876"/>
      <c r="K401" s="876"/>
      <c r="L401" s="876"/>
      <c r="M401" s="876"/>
      <c r="N401" s="876"/>
      <c r="O401" s="824" t="s">
        <v>806</v>
      </c>
    </row>
    <row r="402" spans="1:16" ht="15" customHeight="1" x14ac:dyDescent="0.25">
      <c r="O402" s="824" t="s">
        <v>1840</v>
      </c>
    </row>
    <row r="403" spans="1:16" ht="15" customHeight="1" x14ac:dyDescent="0.25">
      <c r="A403" s="143" t="s">
        <v>1715</v>
      </c>
      <c r="B403" s="143" t="s">
        <v>1716</v>
      </c>
      <c r="C403" s="143" t="s">
        <v>1717</v>
      </c>
      <c r="D403" s="143" t="s">
        <v>1718</v>
      </c>
      <c r="E403" s="143" t="s">
        <v>1719</v>
      </c>
      <c r="F403" s="143" t="s">
        <v>137</v>
      </c>
      <c r="G403" s="143" t="s">
        <v>1539</v>
      </c>
      <c r="H403" s="143" t="s">
        <v>1721</v>
      </c>
      <c r="I403" s="143" t="s">
        <v>746</v>
      </c>
      <c r="J403" s="143" t="s">
        <v>1722</v>
      </c>
      <c r="K403" s="143" t="s">
        <v>1723</v>
      </c>
      <c r="L403" s="143" t="s">
        <v>151</v>
      </c>
      <c r="M403" s="143" t="s">
        <v>1724</v>
      </c>
      <c r="N403" s="143" t="s">
        <v>616</v>
      </c>
      <c r="O403" s="143" t="s">
        <v>1726</v>
      </c>
    </row>
    <row r="404" spans="1:16" ht="15" customHeight="1" x14ac:dyDescent="0.25">
      <c r="A404" s="7" t="s">
        <v>1727</v>
      </c>
      <c r="B404" s="144">
        <v>0</v>
      </c>
      <c r="C404" s="144">
        <v>0</v>
      </c>
      <c r="D404" s="144">
        <v>0</v>
      </c>
      <c r="E404" s="144">
        <v>0</v>
      </c>
      <c r="F404" s="144">
        <v>0</v>
      </c>
      <c r="G404" s="144">
        <v>0</v>
      </c>
      <c r="H404" s="144">
        <v>0</v>
      </c>
      <c r="I404" s="144">
        <v>0</v>
      </c>
      <c r="J404" s="144">
        <v>0</v>
      </c>
      <c r="K404" s="144">
        <v>0</v>
      </c>
      <c r="L404" s="144">
        <v>0</v>
      </c>
      <c r="M404" s="144">
        <v>0</v>
      </c>
      <c r="N404" s="144">
        <v>1</v>
      </c>
      <c r="O404" s="426">
        <v>3.0248033877797946E-4</v>
      </c>
    </row>
    <row r="405" spans="1:16" ht="15" customHeight="1" x14ac:dyDescent="0.25">
      <c r="A405" s="7" t="s">
        <v>1728</v>
      </c>
      <c r="B405" s="144">
        <v>3</v>
      </c>
      <c r="C405" s="144">
        <v>0</v>
      </c>
      <c r="D405" s="144">
        <v>0</v>
      </c>
      <c r="E405" s="144">
        <v>0</v>
      </c>
      <c r="F405" s="144">
        <v>0</v>
      </c>
      <c r="G405" s="144">
        <v>0</v>
      </c>
      <c r="H405" s="144">
        <v>0</v>
      </c>
      <c r="I405" s="144">
        <v>0</v>
      </c>
      <c r="J405" s="144">
        <v>0</v>
      </c>
      <c r="K405" s="144">
        <v>0</v>
      </c>
      <c r="L405" s="144">
        <v>0</v>
      </c>
      <c r="M405" s="144">
        <v>0</v>
      </c>
      <c r="N405" s="144">
        <v>3</v>
      </c>
      <c r="O405" s="426">
        <v>9.0744101633393826E-4</v>
      </c>
    </row>
    <row r="406" spans="1:16" ht="15" customHeight="1" x14ac:dyDescent="0.25">
      <c r="A406" s="7" t="s">
        <v>1729</v>
      </c>
      <c r="B406" s="144">
        <v>1</v>
      </c>
      <c r="C406" s="144">
        <v>0</v>
      </c>
      <c r="D406" s="144">
        <v>0</v>
      </c>
      <c r="E406" s="144">
        <v>0</v>
      </c>
      <c r="F406" s="144">
        <v>0</v>
      </c>
      <c r="G406" s="144">
        <v>0</v>
      </c>
      <c r="H406" s="144">
        <v>1</v>
      </c>
      <c r="I406" s="144">
        <v>0</v>
      </c>
      <c r="J406" s="144">
        <v>0</v>
      </c>
      <c r="K406" s="144">
        <v>0</v>
      </c>
      <c r="L406" s="144">
        <v>0</v>
      </c>
      <c r="M406" s="144">
        <v>0</v>
      </c>
      <c r="N406" s="144">
        <v>1</v>
      </c>
      <c r="O406" s="426">
        <v>3.0248033877797946E-4</v>
      </c>
    </row>
    <row r="407" spans="1:16" ht="15" customHeight="1" x14ac:dyDescent="0.25">
      <c r="A407" s="7" t="s">
        <v>1730</v>
      </c>
      <c r="B407" s="144">
        <v>1</v>
      </c>
      <c r="C407" s="144">
        <v>0</v>
      </c>
      <c r="D407" s="144">
        <v>0</v>
      </c>
      <c r="E407" s="144">
        <v>0</v>
      </c>
      <c r="F407" s="144">
        <v>0</v>
      </c>
      <c r="G407" s="144">
        <v>0</v>
      </c>
      <c r="H407" s="144">
        <v>0</v>
      </c>
      <c r="I407" s="144">
        <v>0</v>
      </c>
      <c r="J407" s="144">
        <v>1</v>
      </c>
      <c r="K407" s="144">
        <v>0</v>
      </c>
      <c r="L407" s="144">
        <v>0</v>
      </c>
      <c r="M407" s="144">
        <v>0</v>
      </c>
      <c r="N407" s="144">
        <v>1</v>
      </c>
      <c r="O407" s="426">
        <v>3.0248033877797946E-4</v>
      </c>
    </row>
    <row r="408" spans="1:16" ht="15" customHeight="1" x14ac:dyDescent="0.25">
      <c r="A408" s="7" t="s">
        <v>1731</v>
      </c>
      <c r="B408" s="144">
        <v>2</v>
      </c>
      <c r="C408" s="144">
        <v>0</v>
      </c>
      <c r="D408" s="144">
        <v>0</v>
      </c>
      <c r="E408" s="144">
        <v>0</v>
      </c>
      <c r="F408" s="144">
        <v>0</v>
      </c>
      <c r="G408" s="144">
        <v>0</v>
      </c>
      <c r="H408" s="144">
        <v>1</v>
      </c>
      <c r="I408" s="144">
        <v>0</v>
      </c>
      <c r="J408" s="144">
        <v>2</v>
      </c>
      <c r="K408" s="144">
        <v>0</v>
      </c>
      <c r="L408" s="144">
        <v>0</v>
      </c>
      <c r="M408" s="144">
        <v>0</v>
      </c>
      <c r="N408" s="144">
        <v>3</v>
      </c>
      <c r="O408" s="426">
        <v>9.0744101633393826E-4</v>
      </c>
    </row>
    <row r="409" spans="1:16" ht="15" customHeight="1" x14ac:dyDescent="0.25">
      <c r="A409" s="7" t="s">
        <v>1732</v>
      </c>
      <c r="B409" s="144">
        <v>0</v>
      </c>
      <c r="C409" s="144">
        <v>0</v>
      </c>
      <c r="D409" s="144">
        <v>0</v>
      </c>
      <c r="E409" s="144">
        <v>0</v>
      </c>
      <c r="F409" s="144">
        <v>1</v>
      </c>
      <c r="G409" s="144">
        <v>0</v>
      </c>
      <c r="H409" s="144">
        <v>1</v>
      </c>
      <c r="I409" s="144">
        <v>0</v>
      </c>
      <c r="J409" s="144">
        <v>0</v>
      </c>
      <c r="K409" s="144">
        <v>0</v>
      </c>
      <c r="L409" s="144">
        <v>0</v>
      </c>
      <c r="M409" s="144">
        <v>0</v>
      </c>
      <c r="N409" s="144">
        <v>1</v>
      </c>
      <c r="O409" s="426">
        <v>3.0248033877797946E-4</v>
      </c>
    </row>
    <row r="410" spans="1:16" ht="15" customHeight="1" x14ac:dyDescent="0.25">
      <c r="A410" s="7" t="s">
        <v>1733</v>
      </c>
      <c r="B410" s="144">
        <v>4</v>
      </c>
      <c r="C410" s="144">
        <v>0</v>
      </c>
      <c r="D410" s="144">
        <v>0</v>
      </c>
      <c r="E410" s="144">
        <v>0</v>
      </c>
      <c r="F410" s="144">
        <v>0</v>
      </c>
      <c r="G410" s="144">
        <v>0</v>
      </c>
      <c r="H410" s="144">
        <v>1</v>
      </c>
      <c r="I410" s="144">
        <v>0</v>
      </c>
      <c r="J410" s="144">
        <v>3</v>
      </c>
      <c r="K410" s="144">
        <v>0</v>
      </c>
      <c r="L410" s="144">
        <v>0</v>
      </c>
      <c r="M410" s="144">
        <v>0</v>
      </c>
      <c r="N410" s="144">
        <v>5</v>
      </c>
      <c r="O410" s="426">
        <v>1.5124016938898972E-3</v>
      </c>
      <c r="P410" s="427"/>
    </row>
    <row r="411" spans="1:16" ht="15" customHeight="1" x14ac:dyDescent="0.25">
      <c r="A411" s="7" t="s">
        <v>1734</v>
      </c>
      <c r="B411" s="144">
        <v>2</v>
      </c>
      <c r="C411" s="144">
        <v>0</v>
      </c>
      <c r="D411" s="144">
        <v>0</v>
      </c>
      <c r="E411" s="144">
        <v>0</v>
      </c>
      <c r="F411" s="144">
        <v>0</v>
      </c>
      <c r="G411" s="144">
        <v>0</v>
      </c>
      <c r="H411" s="144">
        <v>1</v>
      </c>
      <c r="I411" s="144">
        <v>1</v>
      </c>
      <c r="J411" s="144">
        <v>2</v>
      </c>
      <c r="K411" s="144">
        <v>0</v>
      </c>
      <c r="L411" s="144">
        <v>0</v>
      </c>
      <c r="M411" s="144">
        <v>0</v>
      </c>
      <c r="N411" s="144">
        <v>4</v>
      </c>
      <c r="O411" s="426">
        <v>1.2099213551119178E-3</v>
      </c>
      <c r="P411" s="427"/>
    </row>
    <row r="412" spans="1:16" ht="15" customHeight="1" x14ac:dyDescent="0.25">
      <c r="A412" s="7" t="s">
        <v>1735</v>
      </c>
      <c r="B412" s="144">
        <v>9</v>
      </c>
      <c r="C412" s="144">
        <v>0</v>
      </c>
      <c r="D412" s="144">
        <v>0</v>
      </c>
      <c r="E412" s="144">
        <v>0</v>
      </c>
      <c r="F412" s="144">
        <v>0</v>
      </c>
      <c r="G412" s="144">
        <v>0</v>
      </c>
      <c r="H412" s="144">
        <v>9</v>
      </c>
      <c r="I412" s="144">
        <v>0</v>
      </c>
      <c r="J412" s="144">
        <v>4</v>
      </c>
      <c r="K412" s="144">
        <v>0</v>
      </c>
      <c r="L412" s="144">
        <v>0</v>
      </c>
      <c r="M412" s="144">
        <v>0</v>
      </c>
      <c r="N412" s="144">
        <v>15</v>
      </c>
      <c r="O412" s="426">
        <v>4.5372050816696917E-3</v>
      </c>
      <c r="P412" s="427"/>
    </row>
    <row r="413" spans="1:16" ht="15" customHeight="1" x14ac:dyDescent="0.25">
      <c r="A413" s="7" t="s">
        <v>1736</v>
      </c>
      <c r="B413" s="144">
        <v>0</v>
      </c>
      <c r="C413" s="144">
        <v>0</v>
      </c>
      <c r="D413" s="144">
        <v>0</v>
      </c>
      <c r="E413" s="144">
        <v>0</v>
      </c>
      <c r="F413" s="144">
        <v>0</v>
      </c>
      <c r="G413" s="144">
        <v>0</v>
      </c>
      <c r="H413" s="144">
        <v>0</v>
      </c>
      <c r="I413" s="144">
        <v>0</v>
      </c>
      <c r="J413" s="144">
        <v>0</v>
      </c>
      <c r="K413" s="144">
        <v>0</v>
      </c>
      <c r="L413" s="144">
        <v>0</v>
      </c>
      <c r="M413" s="144">
        <v>0</v>
      </c>
      <c r="N413" s="144">
        <v>1</v>
      </c>
      <c r="O413" s="426">
        <v>3.0248033877797946E-4</v>
      </c>
      <c r="P413" s="427"/>
    </row>
    <row r="414" spans="1:16" ht="15" customHeight="1" x14ac:dyDescent="0.25">
      <c r="A414" s="7" t="s">
        <v>1737</v>
      </c>
      <c r="B414" s="144">
        <v>1</v>
      </c>
      <c r="C414" s="144">
        <v>0</v>
      </c>
      <c r="D414" s="144">
        <v>0</v>
      </c>
      <c r="E414" s="144">
        <v>0</v>
      </c>
      <c r="F414" s="144">
        <v>0</v>
      </c>
      <c r="G414" s="144">
        <v>0</v>
      </c>
      <c r="H414" s="144">
        <v>2</v>
      </c>
      <c r="I414" s="144">
        <v>0</v>
      </c>
      <c r="J414" s="144">
        <v>1</v>
      </c>
      <c r="K414" s="144">
        <v>0</v>
      </c>
      <c r="L414" s="144">
        <v>0</v>
      </c>
      <c r="M414" s="144">
        <v>0</v>
      </c>
      <c r="N414" s="144">
        <v>3</v>
      </c>
      <c r="O414" s="426">
        <v>9.0744101633393826E-4</v>
      </c>
      <c r="P414" s="427"/>
    </row>
    <row r="415" spans="1:16" ht="15" customHeight="1" x14ac:dyDescent="0.25">
      <c r="A415" s="7" t="s">
        <v>1738</v>
      </c>
      <c r="B415" s="144">
        <v>40</v>
      </c>
      <c r="C415" s="144">
        <v>2</v>
      </c>
      <c r="D415" s="144">
        <v>0</v>
      </c>
      <c r="E415" s="144">
        <v>2</v>
      </c>
      <c r="F415" s="144">
        <v>2</v>
      </c>
      <c r="G415" s="144">
        <v>0</v>
      </c>
      <c r="H415" s="144">
        <v>43</v>
      </c>
      <c r="I415" s="144">
        <v>1</v>
      </c>
      <c r="J415" s="144">
        <v>14</v>
      </c>
      <c r="K415" s="144">
        <v>1</v>
      </c>
      <c r="L415" s="144">
        <v>0</v>
      </c>
      <c r="M415" s="144">
        <v>1</v>
      </c>
      <c r="N415" s="144">
        <v>67</v>
      </c>
      <c r="O415" s="426">
        <v>2.0266182698124621E-2</v>
      </c>
      <c r="P415" s="427"/>
    </row>
    <row r="416" spans="1:16" ht="15" customHeight="1" x14ac:dyDescent="0.25">
      <c r="A416" s="7" t="s">
        <v>1739</v>
      </c>
      <c r="B416" s="144">
        <v>12</v>
      </c>
      <c r="C416" s="144">
        <v>0</v>
      </c>
      <c r="D416" s="144">
        <v>2</v>
      </c>
      <c r="E416" s="144">
        <v>0</v>
      </c>
      <c r="F416" s="144">
        <v>0</v>
      </c>
      <c r="G416" s="144">
        <v>0</v>
      </c>
      <c r="H416" s="144">
        <v>19</v>
      </c>
      <c r="I416" s="144">
        <v>1</v>
      </c>
      <c r="J416" s="144">
        <v>4</v>
      </c>
      <c r="K416" s="144">
        <v>0</v>
      </c>
      <c r="L416" s="144">
        <v>0</v>
      </c>
      <c r="M416" s="144">
        <v>0</v>
      </c>
      <c r="N416" s="144">
        <v>28</v>
      </c>
      <c r="O416" s="426">
        <v>8.4694494857834243E-3</v>
      </c>
      <c r="P416" s="427"/>
    </row>
    <row r="417" spans="1:16" ht="15" customHeight="1" x14ac:dyDescent="0.25">
      <c r="A417" s="7" t="s">
        <v>1740</v>
      </c>
      <c r="B417" s="144">
        <v>8</v>
      </c>
      <c r="C417" s="144">
        <v>0</v>
      </c>
      <c r="D417" s="144">
        <v>0</v>
      </c>
      <c r="E417" s="144">
        <v>0</v>
      </c>
      <c r="F417" s="144">
        <v>0</v>
      </c>
      <c r="G417" s="144">
        <v>0</v>
      </c>
      <c r="H417" s="144">
        <v>8</v>
      </c>
      <c r="I417" s="144">
        <v>0</v>
      </c>
      <c r="J417" s="144">
        <v>3</v>
      </c>
      <c r="K417" s="144">
        <v>0</v>
      </c>
      <c r="L417" s="144">
        <v>0</v>
      </c>
      <c r="M417" s="144">
        <v>0</v>
      </c>
      <c r="N417" s="144">
        <v>12</v>
      </c>
      <c r="O417" s="426">
        <v>3.629764065335753E-3</v>
      </c>
      <c r="P417" s="427"/>
    </row>
    <row r="418" spans="1:16" ht="15" customHeight="1" x14ac:dyDescent="0.25">
      <c r="A418" s="7" t="s">
        <v>1741</v>
      </c>
      <c r="B418" s="144">
        <v>1</v>
      </c>
      <c r="C418" s="144">
        <v>0</v>
      </c>
      <c r="D418" s="144">
        <v>0</v>
      </c>
      <c r="E418" s="144">
        <v>0</v>
      </c>
      <c r="F418" s="144">
        <v>0</v>
      </c>
      <c r="G418" s="144">
        <v>0</v>
      </c>
      <c r="H418" s="144">
        <v>0</v>
      </c>
      <c r="I418" s="144">
        <v>0</v>
      </c>
      <c r="J418" s="144">
        <v>1</v>
      </c>
      <c r="K418" s="144">
        <v>0</v>
      </c>
      <c r="L418" s="144">
        <v>0</v>
      </c>
      <c r="M418" s="144">
        <v>0</v>
      </c>
      <c r="N418" s="144">
        <v>1</v>
      </c>
      <c r="O418" s="426">
        <v>3.0248033877797946E-4</v>
      </c>
      <c r="P418" s="427"/>
    </row>
    <row r="419" spans="1:16" ht="15" customHeight="1" x14ac:dyDescent="0.25">
      <c r="A419" s="7" t="s">
        <v>1742</v>
      </c>
      <c r="B419" s="144">
        <v>11</v>
      </c>
      <c r="C419" s="144">
        <v>0</v>
      </c>
      <c r="D419" s="144">
        <v>0</v>
      </c>
      <c r="E419" s="144">
        <v>0</v>
      </c>
      <c r="F419" s="144">
        <v>0</v>
      </c>
      <c r="G419" s="144">
        <v>0</v>
      </c>
      <c r="H419" s="144">
        <v>12</v>
      </c>
      <c r="I419" s="144">
        <v>0</v>
      </c>
      <c r="J419" s="144">
        <v>2</v>
      </c>
      <c r="K419" s="144">
        <v>0</v>
      </c>
      <c r="L419" s="144">
        <v>0</v>
      </c>
      <c r="M419" s="144">
        <v>0</v>
      </c>
      <c r="N419" s="144">
        <v>15</v>
      </c>
      <c r="O419" s="426">
        <v>4.5372050816696917E-3</v>
      </c>
      <c r="P419" s="427"/>
    </row>
    <row r="420" spans="1:16" ht="15" customHeight="1" x14ac:dyDescent="0.25">
      <c r="A420" s="7" t="s">
        <v>1743</v>
      </c>
      <c r="B420" s="144">
        <v>0</v>
      </c>
      <c r="C420" s="144">
        <v>0</v>
      </c>
      <c r="D420" s="144">
        <v>0</v>
      </c>
      <c r="E420" s="144">
        <v>0</v>
      </c>
      <c r="F420" s="144">
        <v>0</v>
      </c>
      <c r="G420" s="144">
        <v>0</v>
      </c>
      <c r="H420" s="144">
        <v>1</v>
      </c>
      <c r="I420" s="144">
        <v>0</v>
      </c>
      <c r="J420" s="144">
        <v>1</v>
      </c>
      <c r="K420" s="144">
        <v>0</v>
      </c>
      <c r="L420" s="144">
        <v>0</v>
      </c>
      <c r="M420" s="144">
        <v>0</v>
      </c>
      <c r="N420" s="144">
        <v>2</v>
      </c>
      <c r="O420" s="426">
        <v>6.0496067755595891E-4</v>
      </c>
      <c r="P420" s="427"/>
    </row>
    <row r="421" spans="1:16" ht="15" customHeight="1" x14ac:dyDescent="0.25">
      <c r="A421" s="7" t="s">
        <v>1744</v>
      </c>
      <c r="B421" s="144">
        <v>8</v>
      </c>
      <c r="C421" s="144">
        <v>3</v>
      </c>
      <c r="D421" s="144">
        <v>2</v>
      </c>
      <c r="E421" s="144">
        <v>3</v>
      </c>
      <c r="F421" s="144">
        <v>0</v>
      </c>
      <c r="G421" s="144">
        <v>0</v>
      </c>
      <c r="H421" s="144">
        <v>21</v>
      </c>
      <c r="I421" s="144">
        <v>2</v>
      </c>
      <c r="J421" s="144">
        <v>2</v>
      </c>
      <c r="K421" s="144">
        <v>0</v>
      </c>
      <c r="L421" s="144">
        <v>0</v>
      </c>
      <c r="M421" s="144">
        <v>0</v>
      </c>
      <c r="N421" s="144">
        <v>29</v>
      </c>
      <c r="O421" s="426">
        <v>8.771929824561403E-3</v>
      </c>
      <c r="P421" s="427"/>
    </row>
    <row r="422" spans="1:16" ht="15" customHeight="1" x14ac:dyDescent="0.25">
      <c r="A422" s="7" t="s">
        <v>1745</v>
      </c>
      <c r="B422" s="144">
        <v>19</v>
      </c>
      <c r="C422" s="144">
        <v>3</v>
      </c>
      <c r="D422" s="144">
        <v>3</v>
      </c>
      <c r="E422" s="144">
        <v>3</v>
      </c>
      <c r="F422" s="144">
        <v>2</v>
      </c>
      <c r="G422" s="144">
        <v>0</v>
      </c>
      <c r="H422" s="144">
        <v>54</v>
      </c>
      <c r="I422" s="144">
        <v>1</v>
      </c>
      <c r="J422" s="144">
        <v>6</v>
      </c>
      <c r="K422" s="144">
        <v>2</v>
      </c>
      <c r="L422" s="144">
        <v>0</v>
      </c>
      <c r="M422" s="144">
        <v>0</v>
      </c>
      <c r="N422" s="144">
        <v>74</v>
      </c>
      <c r="O422" s="426">
        <v>2.2383545069570479E-2</v>
      </c>
      <c r="P422" s="427"/>
    </row>
    <row r="423" spans="1:16" ht="15" customHeight="1" x14ac:dyDescent="0.25">
      <c r="A423" s="7" t="s">
        <v>1746</v>
      </c>
      <c r="B423" s="144">
        <v>9</v>
      </c>
      <c r="C423" s="144">
        <v>4</v>
      </c>
      <c r="D423" s="144">
        <v>0</v>
      </c>
      <c r="E423" s="144">
        <v>4</v>
      </c>
      <c r="F423" s="144">
        <v>0</v>
      </c>
      <c r="G423" s="144">
        <v>0</v>
      </c>
      <c r="H423" s="144">
        <v>24</v>
      </c>
      <c r="I423" s="144">
        <v>1</v>
      </c>
      <c r="J423" s="144">
        <v>5</v>
      </c>
      <c r="K423" s="144">
        <v>0</v>
      </c>
      <c r="L423" s="144">
        <v>0</v>
      </c>
      <c r="M423" s="144">
        <v>0</v>
      </c>
      <c r="N423" s="144">
        <v>35</v>
      </c>
      <c r="O423" s="426">
        <v>1.058681185722928E-2</v>
      </c>
      <c r="P423" s="427"/>
    </row>
    <row r="424" spans="1:16" ht="15" customHeight="1" x14ac:dyDescent="0.25">
      <c r="A424" s="7" t="s">
        <v>1747</v>
      </c>
      <c r="B424" s="144">
        <v>6</v>
      </c>
      <c r="C424" s="144">
        <v>0</v>
      </c>
      <c r="D424" s="144">
        <v>1</v>
      </c>
      <c r="E424" s="144">
        <v>0</v>
      </c>
      <c r="F424" s="144">
        <v>0</v>
      </c>
      <c r="G424" s="144">
        <v>0</v>
      </c>
      <c r="H424" s="144">
        <v>4</v>
      </c>
      <c r="I424" s="144">
        <v>0</v>
      </c>
      <c r="J424" s="144">
        <v>2</v>
      </c>
      <c r="K424" s="144">
        <v>0</v>
      </c>
      <c r="L424" s="144">
        <v>0</v>
      </c>
      <c r="M424" s="144">
        <v>0</v>
      </c>
      <c r="N424" s="144">
        <v>11</v>
      </c>
      <c r="O424" s="426">
        <v>3.3272837265577739E-3</v>
      </c>
      <c r="P424" s="427"/>
    </row>
    <row r="425" spans="1:16" ht="15" customHeight="1" x14ac:dyDescent="0.25">
      <c r="A425" s="7" t="s">
        <v>1748</v>
      </c>
      <c r="B425" s="144">
        <v>16</v>
      </c>
      <c r="C425" s="144">
        <v>0</v>
      </c>
      <c r="D425" s="144">
        <v>0</v>
      </c>
      <c r="E425" s="144">
        <v>0</v>
      </c>
      <c r="F425" s="144">
        <v>0</v>
      </c>
      <c r="G425" s="144">
        <v>1</v>
      </c>
      <c r="H425" s="144">
        <v>23</v>
      </c>
      <c r="I425" s="144">
        <v>0</v>
      </c>
      <c r="J425" s="144">
        <v>7</v>
      </c>
      <c r="K425" s="144">
        <v>0</v>
      </c>
      <c r="L425" s="144">
        <v>0</v>
      </c>
      <c r="M425" s="144">
        <v>0</v>
      </c>
      <c r="N425" s="144">
        <v>35</v>
      </c>
      <c r="O425" s="426">
        <v>1.058681185722928E-2</v>
      </c>
      <c r="P425" s="427"/>
    </row>
    <row r="426" spans="1:16" ht="15" customHeight="1" x14ac:dyDescent="0.25">
      <c r="A426" s="7" t="s">
        <v>1749</v>
      </c>
      <c r="B426" s="144">
        <v>25</v>
      </c>
      <c r="C426" s="144">
        <v>2</v>
      </c>
      <c r="D426" s="144">
        <v>1</v>
      </c>
      <c r="E426" s="144">
        <v>2</v>
      </c>
      <c r="F426" s="144">
        <v>2</v>
      </c>
      <c r="G426" s="144">
        <v>0</v>
      </c>
      <c r="H426" s="144">
        <v>47</v>
      </c>
      <c r="I426" s="144">
        <v>0</v>
      </c>
      <c r="J426" s="144">
        <v>3</v>
      </c>
      <c r="K426" s="144">
        <v>0</v>
      </c>
      <c r="L426" s="144">
        <v>2</v>
      </c>
      <c r="M426" s="144">
        <v>0</v>
      </c>
      <c r="N426" s="144">
        <v>59</v>
      </c>
      <c r="O426" s="426">
        <v>1.7846339987900785E-2</v>
      </c>
      <c r="P426" s="427"/>
    </row>
    <row r="427" spans="1:16" ht="15" customHeight="1" x14ac:dyDescent="0.25">
      <c r="A427" s="7" t="s">
        <v>1750</v>
      </c>
      <c r="B427" s="144">
        <v>34</v>
      </c>
      <c r="C427" s="144">
        <v>1</v>
      </c>
      <c r="D427" s="144">
        <v>0</v>
      </c>
      <c r="E427" s="144">
        <v>1</v>
      </c>
      <c r="F427" s="144">
        <v>5</v>
      </c>
      <c r="G427" s="144">
        <v>3</v>
      </c>
      <c r="H427" s="144">
        <v>132</v>
      </c>
      <c r="I427" s="144">
        <v>4</v>
      </c>
      <c r="J427" s="144">
        <v>7</v>
      </c>
      <c r="K427" s="144">
        <v>2</v>
      </c>
      <c r="L427" s="144">
        <v>1</v>
      </c>
      <c r="M427" s="144">
        <v>1</v>
      </c>
      <c r="N427" s="144">
        <v>171</v>
      </c>
      <c r="O427" s="426">
        <v>5.1724137931034482E-2</v>
      </c>
      <c r="P427" s="427"/>
    </row>
    <row r="428" spans="1:16" ht="15" customHeight="1" x14ac:dyDescent="0.25">
      <c r="A428" s="7" t="s">
        <v>1751</v>
      </c>
      <c r="B428" s="144">
        <v>29</v>
      </c>
      <c r="C428" s="144">
        <v>3</v>
      </c>
      <c r="D428" s="144">
        <v>4</v>
      </c>
      <c r="E428" s="144">
        <v>2</v>
      </c>
      <c r="F428" s="144">
        <v>3</v>
      </c>
      <c r="G428" s="144">
        <v>0</v>
      </c>
      <c r="H428" s="144">
        <v>51</v>
      </c>
      <c r="I428" s="144">
        <v>1</v>
      </c>
      <c r="J428" s="144">
        <v>7</v>
      </c>
      <c r="K428" s="144">
        <v>0</v>
      </c>
      <c r="L428" s="144">
        <v>0</v>
      </c>
      <c r="M428" s="144">
        <v>0</v>
      </c>
      <c r="N428" s="144">
        <v>70</v>
      </c>
      <c r="O428" s="426">
        <v>2.1173623714458561E-2</v>
      </c>
      <c r="P428" s="427"/>
    </row>
    <row r="429" spans="1:16" ht="15" customHeight="1" x14ac:dyDescent="0.25">
      <c r="A429" s="7" t="s">
        <v>1752</v>
      </c>
      <c r="B429" s="144">
        <v>29</v>
      </c>
      <c r="C429" s="144">
        <v>1</v>
      </c>
      <c r="D429" s="144">
        <v>1</v>
      </c>
      <c r="E429" s="144">
        <v>1</v>
      </c>
      <c r="F429" s="144">
        <v>2</v>
      </c>
      <c r="G429" s="144">
        <v>1</v>
      </c>
      <c r="H429" s="144">
        <v>40</v>
      </c>
      <c r="I429" s="144">
        <v>1</v>
      </c>
      <c r="J429" s="144">
        <v>17</v>
      </c>
      <c r="K429" s="144">
        <v>0</v>
      </c>
      <c r="L429" s="144">
        <v>0</v>
      </c>
      <c r="M429" s="144">
        <v>0</v>
      </c>
      <c r="N429" s="144">
        <v>68</v>
      </c>
      <c r="O429" s="426">
        <v>2.05686630369026E-2</v>
      </c>
      <c r="P429" s="427"/>
    </row>
    <row r="430" spans="1:16" ht="15" customHeight="1" x14ac:dyDescent="0.25">
      <c r="A430" s="7" t="s">
        <v>1753</v>
      </c>
      <c r="B430" s="144">
        <v>4</v>
      </c>
      <c r="C430" s="144">
        <v>0</v>
      </c>
      <c r="D430" s="144">
        <v>0</v>
      </c>
      <c r="E430" s="144">
        <v>0</v>
      </c>
      <c r="F430" s="144">
        <v>0</v>
      </c>
      <c r="G430" s="144">
        <v>0</v>
      </c>
      <c r="H430" s="144">
        <v>5</v>
      </c>
      <c r="I430" s="144">
        <v>0</v>
      </c>
      <c r="J430" s="144">
        <v>0</v>
      </c>
      <c r="K430" s="144">
        <v>0</v>
      </c>
      <c r="L430" s="144">
        <v>0</v>
      </c>
      <c r="M430" s="144">
        <v>0</v>
      </c>
      <c r="N430" s="144">
        <v>5</v>
      </c>
      <c r="O430" s="426">
        <v>1.5124016938898972E-3</v>
      </c>
      <c r="P430" s="427"/>
    </row>
    <row r="431" spans="1:16" ht="15" customHeight="1" x14ac:dyDescent="0.25">
      <c r="A431" s="7" t="s">
        <v>1754</v>
      </c>
      <c r="B431" s="144">
        <v>1</v>
      </c>
      <c r="C431" s="144">
        <v>0</v>
      </c>
      <c r="D431" s="144">
        <v>0</v>
      </c>
      <c r="E431" s="144">
        <v>0</v>
      </c>
      <c r="F431" s="144">
        <v>0</v>
      </c>
      <c r="G431" s="144">
        <v>0</v>
      </c>
      <c r="H431" s="144">
        <v>1</v>
      </c>
      <c r="I431" s="144">
        <v>0</v>
      </c>
      <c r="J431" s="144">
        <v>0</v>
      </c>
      <c r="K431" s="144">
        <v>0</v>
      </c>
      <c r="L431" s="144">
        <v>0</v>
      </c>
      <c r="M431" s="144">
        <v>0</v>
      </c>
      <c r="N431" s="144">
        <v>1</v>
      </c>
      <c r="O431" s="426">
        <v>3.0248033877797946E-4</v>
      </c>
      <c r="P431" s="427"/>
    </row>
    <row r="432" spans="1:16" ht="15" customHeight="1" x14ac:dyDescent="0.25">
      <c r="A432" s="7" t="s">
        <v>1755</v>
      </c>
      <c r="B432" s="144">
        <v>14</v>
      </c>
      <c r="C432" s="144">
        <v>3</v>
      </c>
      <c r="D432" s="144">
        <v>1</v>
      </c>
      <c r="E432" s="144">
        <v>4</v>
      </c>
      <c r="F432" s="144">
        <v>0</v>
      </c>
      <c r="G432" s="144">
        <v>1</v>
      </c>
      <c r="H432" s="144">
        <v>63</v>
      </c>
      <c r="I432" s="144">
        <v>1</v>
      </c>
      <c r="J432" s="144">
        <v>4</v>
      </c>
      <c r="K432" s="144">
        <v>7</v>
      </c>
      <c r="L432" s="144">
        <v>1</v>
      </c>
      <c r="M432" s="144">
        <v>1</v>
      </c>
      <c r="N432" s="144">
        <v>108</v>
      </c>
      <c r="O432" s="426">
        <v>3.2667876588021776E-2</v>
      </c>
      <c r="P432" s="427"/>
    </row>
    <row r="433" spans="1:16" ht="15" customHeight="1" x14ac:dyDescent="0.25">
      <c r="A433" s="7" t="s">
        <v>1756</v>
      </c>
      <c r="B433" s="144">
        <v>51</v>
      </c>
      <c r="C433" s="144">
        <v>7</v>
      </c>
      <c r="D433" s="144">
        <v>3</v>
      </c>
      <c r="E433" s="144">
        <v>7</v>
      </c>
      <c r="F433" s="144">
        <v>1</v>
      </c>
      <c r="G433" s="144">
        <v>2</v>
      </c>
      <c r="H433" s="144">
        <v>235</v>
      </c>
      <c r="I433" s="144">
        <v>3</v>
      </c>
      <c r="J433" s="144">
        <v>14</v>
      </c>
      <c r="K433" s="144">
        <v>10</v>
      </c>
      <c r="L433" s="144">
        <v>0</v>
      </c>
      <c r="M433" s="144">
        <v>2</v>
      </c>
      <c r="N433" s="144">
        <v>326</v>
      </c>
      <c r="O433" s="426">
        <v>9.8608590441621291E-2</v>
      </c>
      <c r="P433" s="427"/>
    </row>
    <row r="434" spans="1:16" ht="15" customHeight="1" x14ac:dyDescent="0.25">
      <c r="A434" s="7" t="s">
        <v>1757</v>
      </c>
      <c r="B434" s="144">
        <v>50</v>
      </c>
      <c r="C434" s="144">
        <v>3</v>
      </c>
      <c r="D434" s="144">
        <v>5</v>
      </c>
      <c r="E434" s="144">
        <v>4</v>
      </c>
      <c r="F434" s="144">
        <v>3</v>
      </c>
      <c r="G434" s="144">
        <v>0</v>
      </c>
      <c r="H434" s="144">
        <v>93</v>
      </c>
      <c r="I434" s="144">
        <v>2</v>
      </c>
      <c r="J434" s="144">
        <v>4</v>
      </c>
      <c r="K434" s="144">
        <v>2</v>
      </c>
      <c r="L434" s="144">
        <v>0</v>
      </c>
      <c r="M434" s="144">
        <v>1</v>
      </c>
      <c r="N434" s="144">
        <v>120</v>
      </c>
      <c r="O434" s="426">
        <v>3.6297640653357534E-2</v>
      </c>
      <c r="P434" s="427"/>
    </row>
    <row r="435" spans="1:16" ht="15" customHeight="1" x14ac:dyDescent="0.25">
      <c r="A435" s="7" t="s">
        <v>1758</v>
      </c>
      <c r="B435" s="144">
        <v>6</v>
      </c>
      <c r="C435" s="144">
        <v>0</v>
      </c>
      <c r="D435" s="144">
        <v>0</v>
      </c>
      <c r="E435" s="144">
        <v>1</v>
      </c>
      <c r="F435" s="144">
        <v>0</v>
      </c>
      <c r="G435" s="144">
        <v>0</v>
      </c>
      <c r="H435" s="144">
        <v>2</v>
      </c>
      <c r="I435" s="144">
        <v>0</v>
      </c>
      <c r="J435" s="144">
        <v>5</v>
      </c>
      <c r="K435" s="144">
        <v>0</v>
      </c>
      <c r="L435" s="144">
        <v>0</v>
      </c>
      <c r="M435" s="144">
        <v>0</v>
      </c>
      <c r="N435" s="144">
        <v>8</v>
      </c>
      <c r="O435" s="426">
        <v>2.4198427102238356E-3</v>
      </c>
      <c r="P435" s="427"/>
    </row>
    <row r="436" spans="1:16" ht="15" customHeight="1" x14ac:dyDescent="0.25">
      <c r="A436" s="7" t="s">
        <v>1759</v>
      </c>
      <c r="B436" s="144">
        <v>9</v>
      </c>
      <c r="C436" s="144">
        <v>0</v>
      </c>
      <c r="D436" s="144">
        <v>0</v>
      </c>
      <c r="E436" s="144">
        <v>0</v>
      </c>
      <c r="F436" s="144">
        <v>0</v>
      </c>
      <c r="G436" s="144">
        <v>0</v>
      </c>
      <c r="H436" s="144">
        <v>7</v>
      </c>
      <c r="I436" s="144">
        <v>0</v>
      </c>
      <c r="J436" s="144">
        <v>7</v>
      </c>
      <c r="K436" s="144">
        <v>0</v>
      </c>
      <c r="L436" s="144">
        <v>0</v>
      </c>
      <c r="M436" s="144">
        <v>0</v>
      </c>
      <c r="N436" s="144">
        <v>16</v>
      </c>
      <c r="O436" s="426">
        <v>4.8396854204476713E-3</v>
      </c>
      <c r="P436" s="427"/>
    </row>
    <row r="437" spans="1:16" ht="15" customHeight="1" x14ac:dyDescent="0.25">
      <c r="A437" s="7" t="s">
        <v>1760</v>
      </c>
      <c r="B437" s="144">
        <v>23</v>
      </c>
      <c r="C437" s="144">
        <v>2</v>
      </c>
      <c r="D437" s="144">
        <v>3</v>
      </c>
      <c r="E437" s="144">
        <v>3</v>
      </c>
      <c r="F437" s="144">
        <v>2</v>
      </c>
      <c r="G437" s="144">
        <v>0</v>
      </c>
      <c r="H437" s="144">
        <v>123</v>
      </c>
      <c r="I437" s="144">
        <v>7</v>
      </c>
      <c r="J437" s="144">
        <v>10</v>
      </c>
      <c r="K437" s="144">
        <v>13</v>
      </c>
      <c r="L437" s="144">
        <v>3</v>
      </c>
      <c r="M437" s="144">
        <v>4</v>
      </c>
      <c r="N437" s="144">
        <v>221</v>
      </c>
      <c r="O437" s="426">
        <v>6.6848154869933452E-2</v>
      </c>
      <c r="P437" s="427"/>
    </row>
    <row r="438" spans="1:16" ht="15" customHeight="1" x14ac:dyDescent="0.25">
      <c r="A438" s="7" t="s">
        <v>1761</v>
      </c>
      <c r="B438" s="144">
        <v>72</v>
      </c>
      <c r="C438" s="144">
        <v>9</v>
      </c>
      <c r="D438" s="144">
        <v>10</v>
      </c>
      <c r="E438" s="144">
        <v>10</v>
      </c>
      <c r="F438" s="144">
        <v>6</v>
      </c>
      <c r="G438" s="144">
        <v>4</v>
      </c>
      <c r="H438" s="144">
        <v>434</v>
      </c>
      <c r="I438" s="144">
        <v>11</v>
      </c>
      <c r="J438" s="144">
        <v>19</v>
      </c>
      <c r="K438" s="144">
        <v>6</v>
      </c>
      <c r="L438" s="144">
        <v>7</v>
      </c>
      <c r="M438" s="144">
        <v>11</v>
      </c>
      <c r="N438" s="144">
        <v>621</v>
      </c>
      <c r="O438" s="426">
        <v>0.18784029038112524</v>
      </c>
      <c r="P438" s="427"/>
    </row>
    <row r="439" spans="1:16" ht="15" customHeight="1" x14ac:dyDescent="0.25">
      <c r="A439" s="7" t="s">
        <v>1762</v>
      </c>
      <c r="B439" s="144">
        <v>17</v>
      </c>
      <c r="C439" s="144">
        <v>0</v>
      </c>
      <c r="D439" s="144">
        <v>3</v>
      </c>
      <c r="E439" s="144">
        <v>0</v>
      </c>
      <c r="F439" s="144">
        <v>6</v>
      </c>
      <c r="G439" s="144">
        <v>0</v>
      </c>
      <c r="H439" s="144">
        <v>50</v>
      </c>
      <c r="I439" s="144">
        <v>3</v>
      </c>
      <c r="J439" s="144">
        <v>7</v>
      </c>
      <c r="K439" s="144">
        <v>2</v>
      </c>
      <c r="L439" s="144">
        <v>2</v>
      </c>
      <c r="M439" s="144">
        <v>0</v>
      </c>
      <c r="N439" s="144">
        <v>73</v>
      </c>
      <c r="O439" s="426">
        <v>2.2081064730792497E-2</v>
      </c>
      <c r="P439" s="427"/>
    </row>
    <row r="440" spans="1:16" ht="15" customHeight="1" x14ac:dyDescent="0.25">
      <c r="A440" s="7" t="s">
        <v>1763</v>
      </c>
      <c r="B440" s="144">
        <v>9</v>
      </c>
      <c r="C440" s="144">
        <v>2</v>
      </c>
      <c r="D440" s="144">
        <v>0</v>
      </c>
      <c r="E440" s="144">
        <v>2</v>
      </c>
      <c r="F440" s="144">
        <v>0</v>
      </c>
      <c r="G440" s="144">
        <v>0</v>
      </c>
      <c r="H440" s="144">
        <v>18</v>
      </c>
      <c r="I440" s="144">
        <v>0</v>
      </c>
      <c r="J440" s="144">
        <v>2</v>
      </c>
      <c r="K440" s="144">
        <v>0</v>
      </c>
      <c r="L440" s="144">
        <v>0</v>
      </c>
      <c r="M440" s="144">
        <v>0</v>
      </c>
      <c r="N440" s="144">
        <v>26</v>
      </c>
      <c r="O440" s="426">
        <v>7.8644888082274652E-3</v>
      </c>
      <c r="P440" s="427"/>
    </row>
    <row r="441" spans="1:16" ht="15" customHeight="1" x14ac:dyDescent="0.25">
      <c r="A441" s="7" t="s">
        <v>1764</v>
      </c>
      <c r="B441" s="144">
        <v>0</v>
      </c>
      <c r="C441" s="144">
        <v>0</v>
      </c>
      <c r="D441" s="144">
        <v>0</v>
      </c>
      <c r="E441" s="144">
        <v>0</v>
      </c>
      <c r="F441" s="144">
        <v>0</v>
      </c>
      <c r="G441" s="144">
        <v>0</v>
      </c>
      <c r="H441" s="144">
        <v>1</v>
      </c>
      <c r="I441" s="144">
        <v>0</v>
      </c>
      <c r="J441" s="144">
        <v>0</v>
      </c>
      <c r="K441" s="144">
        <v>0</v>
      </c>
      <c r="L441" s="144">
        <v>0</v>
      </c>
      <c r="M441" s="144">
        <v>0</v>
      </c>
      <c r="N441" s="144">
        <v>1</v>
      </c>
      <c r="O441" s="426">
        <v>3.0248033877797946E-4</v>
      </c>
      <c r="P441" s="427"/>
    </row>
    <row r="442" spans="1:16" ht="15" customHeight="1" x14ac:dyDescent="0.25">
      <c r="A442" s="7" t="s">
        <v>1765</v>
      </c>
      <c r="B442" s="144">
        <v>1</v>
      </c>
      <c r="C442" s="144">
        <v>0</v>
      </c>
      <c r="D442" s="144">
        <v>0</v>
      </c>
      <c r="E442" s="144">
        <v>0</v>
      </c>
      <c r="F442" s="144">
        <v>0</v>
      </c>
      <c r="G442" s="144">
        <v>0</v>
      </c>
      <c r="H442" s="144">
        <v>0</v>
      </c>
      <c r="I442" s="144">
        <v>0</v>
      </c>
      <c r="J442" s="144">
        <v>1</v>
      </c>
      <c r="K442" s="144">
        <v>0</v>
      </c>
      <c r="L442" s="144">
        <v>0</v>
      </c>
      <c r="M442" s="144">
        <v>0</v>
      </c>
      <c r="N442" s="144">
        <v>1</v>
      </c>
      <c r="O442" s="426">
        <v>3.0248033877797946E-4</v>
      </c>
      <c r="P442" s="427"/>
    </row>
    <row r="443" spans="1:16" ht="15" customHeight="1" x14ac:dyDescent="0.25">
      <c r="A443" s="7" t="s">
        <v>1766</v>
      </c>
      <c r="B443" s="144">
        <v>3</v>
      </c>
      <c r="C443" s="144">
        <v>0</v>
      </c>
      <c r="D443" s="144">
        <v>0</v>
      </c>
      <c r="E443" s="144">
        <v>0</v>
      </c>
      <c r="F443" s="144">
        <v>0</v>
      </c>
      <c r="G443" s="144">
        <v>1</v>
      </c>
      <c r="H443" s="144">
        <v>1</v>
      </c>
      <c r="I443" s="144">
        <v>0</v>
      </c>
      <c r="J443" s="144">
        <v>2</v>
      </c>
      <c r="K443" s="144">
        <v>0</v>
      </c>
      <c r="L443" s="144">
        <v>0</v>
      </c>
      <c r="M443" s="144">
        <v>0</v>
      </c>
      <c r="N443" s="144">
        <v>6</v>
      </c>
      <c r="O443" s="426">
        <v>1.8148820326678765E-3</v>
      </c>
      <c r="P443" s="427"/>
    </row>
    <row r="444" spans="1:16" ht="15" customHeight="1" x14ac:dyDescent="0.25">
      <c r="A444" s="7" t="s">
        <v>1767</v>
      </c>
      <c r="B444" s="144">
        <v>3</v>
      </c>
      <c r="C444" s="144">
        <v>1</v>
      </c>
      <c r="D444" s="144">
        <v>0</v>
      </c>
      <c r="E444" s="144">
        <v>1</v>
      </c>
      <c r="F444" s="144">
        <v>0</v>
      </c>
      <c r="G444" s="144">
        <v>0</v>
      </c>
      <c r="H444" s="144">
        <v>7</v>
      </c>
      <c r="I444" s="144">
        <v>0</v>
      </c>
      <c r="J444" s="144">
        <v>1</v>
      </c>
      <c r="K444" s="144">
        <v>0</v>
      </c>
      <c r="L444" s="144">
        <v>0</v>
      </c>
      <c r="M444" s="144">
        <v>0</v>
      </c>
      <c r="N444" s="144">
        <v>10</v>
      </c>
      <c r="O444" s="426">
        <v>3.0248033877797943E-3</v>
      </c>
      <c r="P444" s="427"/>
    </row>
    <row r="445" spans="1:16" ht="15" customHeight="1" x14ac:dyDescent="0.25">
      <c r="A445" s="7" t="s">
        <v>1768</v>
      </c>
      <c r="B445" s="144">
        <v>3</v>
      </c>
      <c r="C445" s="144">
        <v>0</v>
      </c>
      <c r="D445" s="144">
        <v>0</v>
      </c>
      <c r="E445" s="144">
        <v>0</v>
      </c>
      <c r="F445" s="144">
        <v>1</v>
      </c>
      <c r="G445" s="144">
        <v>0</v>
      </c>
      <c r="H445" s="144">
        <v>7</v>
      </c>
      <c r="I445" s="144">
        <v>0</v>
      </c>
      <c r="J445" s="144">
        <v>0</v>
      </c>
      <c r="K445" s="144">
        <v>2</v>
      </c>
      <c r="L445" s="144">
        <v>0</v>
      </c>
      <c r="M445" s="144">
        <v>1</v>
      </c>
      <c r="N445" s="144">
        <v>24</v>
      </c>
      <c r="O445" s="426">
        <v>7.2595281306715061E-3</v>
      </c>
      <c r="P445" s="427"/>
    </row>
    <row r="446" spans="1:16" ht="15" customHeight="1" x14ac:dyDescent="0.25">
      <c r="A446" s="7" t="s">
        <v>1769</v>
      </c>
      <c r="B446" s="144">
        <v>11</v>
      </c>
      <c r="C446" s="144">
        <v>2</v>
      </c>
      <c r="D446" s="144">
        <v>2</v>
      </c>
      <c r="E446" s="144">
        <v>2</v>
      </c>
      <c r="F446" s="144">
        <v>0</v>
      </c>
      <c r="G446" s="144">
        <v>2</v>
      </c>
      <c r="H446" s="144">
        <v>41</v>
      </c>
      <c r="I446" s="144">
        <v>1</v>
      </c>
      <c r="J446" s="144">
        <v>5</v>
      </c>
      <c r="K446" s="144">
        <v>1</v>
      </c>
      <c r="L446" s="144">
        <v>0</v>
      </c>
      <c r="M446" s="144">
        <v>1</v>
      </c>
      <c r="N446" s="144">
        <v>57</v>
      </c>
      <c r="O446" s="426">
        <v>1.7241379310344827E-2</v>
      </c>
      <c r="P446" s="427"/>
    </row>
    <row r="447" spans="1:16" ht="15" customHeight="1" x14ac:dyDescent="0.25">
      <c r="A447" s="7" t="s">
        <v>1770</v>
      </c>
      <c r="B447" s="144">
        <v>10</v>
      </c>
      <c r="C447" s="144">
        <v>0</v>
      </c>
      <c r="D447" s="144">
        <v>1</v>
      </c>
      <c r="E447" s="144">
        <v>0</v>
      </c>
      <c r="F447" s="144">
        <v>1</v>
      </c>
      <c r="G447" s="144">
        <v>0</v>
      </c>
      <c r="H447" s="144">
        <v>24</v>
      </c>
      <c r="I447" s="144">
        <v>1</v>
      </c>
      <c r="J447" s="144">
        <v>7</v>
      </c>
      <c r="K447" s="144">
        <v>0</v>
      </c>
      <c r="L447" s="144">
        <v>2</v>
      </c>
      <c r="M447" s="144">
        <v>0</v>
      </c>
      <c r="N447" s="144">
        <v>40</v>
      </c>
      <c r="O447" s="426">
        <v>1.2099213551119177E-2</v>
      </c>
      <c r="P447" s="427"/>
    </row>
    <row r="448" spans="1:16" ht="15" customHeight="1" x14ac:dyDescent="0.25">
      <c r="A448" s="7" t="s">
        <v>1771</v>
      </c>
      <c r="B448" s="144">
        <v>4</v>
      </c>
      <c r="C448" s="144">
        <v>0</v>
      </c>
      <c r="D448" s="144">
        <v>1</v>
      </c>
      <c r="E448" s="144">
        <v>0</v>
      </c>
      <c r="F448" s="144">
        <v>0</v>
      </c>
      <c r="G448" s="144">
        <v>0</v>
      </c>
      <c r="H448" s="144">
        <v>4</v>
      </c>
      <c r="I448" s="144">
        <v>0</v>
      </c>
      <c r="J448" s="144">
        <v>3</v>
      </c>
      <c r="K448" s="144">
        <v>0</v>
      </c>
      <c r="L448" s="144">
        <v>0</v>
      </c>
      <c r="M448" s="144">
        <v>0</v>
      </c>
      <c r="N448" s="144">
        <v>10</v>
      </c>
      <c r="O448" s="426">
        <v>3.0248033877797943E-3</v>
      </c>
      <c r="P448" s="427"/>
    </row>
    <row r="449" spans="1:16" ht="15" customHeight="1" x14ac:dyDescent="0.25">
      <c r="A449" s="7" t="s">
        <v>1772</v>
      </c>
      <c r="B449" s="144">
        <v>2</v>
      </c>
      <c r="C449" s="144">
        <v>0</v>
      </c>
      <c r="D449" s="144">
        <v>0</v>
      </c>
      <c r="E449" s="144">
        <v>0</v>
      </c>
      <c r="F449" s="144">
        <v>0</v>
      </c>
      <c r="G449" s="144">
        <v>0</v>
      </c>
      <c r="H449" s="144">
        <v>0</v>
      </c>
      <c r="I449" s="144">
        <v>0</v>
      </c>
      <c r="J449" s="144">
        <v>0</v>
      </c>
      <c r="K449" s="144">
        <v>0</v>
      </c>
      <c r="L449" s="144">
        <v>0</v>
      </c>
      <c r="M449" s="144">
        <v>0</v>
      </c>
      <c r="N449" s="144">
        <v>2</v>
      </c>
      <c r="O449" s="426">
        <v>6.0496067755595891E-4</v>
      </c>
      <c r="P449" s="427"/>
    </row>
    <row r="450" spans="1:16" ht="15" customHeight="1" x14ac:dyDescent="0.25">
      <c r="A450" s="7" t="s">
        <v>1773</v>
      </c>
      <c r="B450" s="144">
        <v>3</v>
      </c>
      <c r="C450" s="144">
        <v>2</v>
      </c>
      <c r="D450" s="144">
        <v>0</v>
      </c>
      <c r="E450" s="144">
        <v>2</v>
      </c>
      <c r="F450" s="144">
        <v>0</v>
      </c>
      <c r="G450" s="144">
        <v>0</v>
      </c>
      <c r="H450" s="144">
        <v>14</v>
      </c>
      <c r="I450" s="144">
        <v>0</v>
      </c>
      <c r="J450" s="144">
        <v>0</v>
      </c>
      <c r="K450" s="144">
        <v>0</v>
      </c>
      <c r="L450" s="144">
        <v>1</v>
      </c>
      <c r="M450" s="144">
        <v>0</v>
      </c>
      <c r="N450" s="144">
        <v>16</v>
      </c>
      <c r="O450" s="426">
        <v>4.8396854204476713E-3</v>
      </c>
      <c r="P450" s="427"/>
    </row>
    <row r="451" spans="1:16" ht="15" customHeight="1" x14ac:dyDescent="0.25">
      <c r="A451" s="7" t="s">
        <v>1774</v>
      </c>
      <c r="B451" s="144">
        <v>25</v>
      </c>
      <c r="C451" s="144">
        <v>7</v>
      </c>
      <c r="D451" s="144">
        <v>2</v>
      </c>
      <c r="E451" s="144">
        <v>7</v>
      </c>
      <c r="F451" s="144">
        <v>3</v>
      </c>
      <c r="G451" s="144">
        <v>2</v>
      </c>
      <c r="H451" s="144">
        <v>62</v>
      </c>
      <c r="I451" s="144">
        <v>1</v>
      </c>
      <c r="J451" s="144">
        <v>5</v>
      </c>
      <c r="K451" s="144">
        <v>2</v>
      </c>
      <c r="L451" s="144">
        <v>3</v>
      </c>
      <c r="M451" s="144">
        <v>1</v>
      </c>
      <c r="N451" s="144">
        <v>96</v>
      </c>
      <c r="O451" s="426">
        <v>2.9038112522686024E-2</v>
      </c>
      <c r="P451" s="427"/>
    </row>
    <row r="452" spans="1:16" ht="15" customHeight="1" x14ac:dyDescent="0.25">
      <c r="A452" s="7" t="s">
        <v>1775</v>
      </c>
      <c r="B452" s="144">
        <v>6</v>
      </c>
      <c r="C452" s="144">
        <v>0</v>
      </c>
      <c r="D452" s="144">
        <v>0</v>
      </c>
      <c r="E452" s="144">
        <v>0</v>
      </c>
      <c r="F452" s="144">
        <v>0</v>
      </c>
      <c r="G452" s="144">
        <v>0</v>
      </c>
      <c r="H452" s="144">
        <v>5</v>
      </c>
      <c r="I452" s="144">
        <v>0</v>
      </c>
      <c r="J452" s="144">
        <v>0</v>
      </c>
      <c r="K452" s="144">
        <v>0</v>
      </c>
      <c r="L452" s="144">
        <v>0</v>
      </c>
      <c r="M452" s="144">
        <v>0</v>
      </c>
      <c r="N452" s="144">
        <v>9</v>
      </c>
      <c r="O452" s="426">
        <v>2.7223230490018148E-3</v>
      </c>
      <c r="P452" s="427"/>
    </row>
    <row r="453" spans="1:16" ht="15" customHeight="1" x14ac:dyDescent="0.25">
      <c r="A453" s="7" t="s">
        <v>1776</v>
      </c>
      <c r="B453" s="144">
        <v>7</v>
      </c>
      <c r="C453" s="144">
        <v>1</v>
      </c>
      <c r="D453" s="144">
        <v>1</v>
      </c>
      <c r="E453" s="144">
        <v>0</v>
      </c>
      <c r="F453" s="144">
        <v>0</v>
      </c>
      <c r="G453" s="144">
        <v>2</v>
      </c>
      <c r="H453" s="144">
        <v>18</v>
      </c>
      <c r="I453" s="144">
        <v>1</v>
      </c>
      <c r="J453" s="144">
        <v>1</v>
      </c>
      <c r="K453" s="144">
        <v>1</v>
      </c>
      <c r="L453" s="144">
        <v>0</v>
      </c>
      <c r="M453" s="144">
        <v>0</v>
      </c>
      <c r="N453" s="144">
        <v>24</v>
      </c>
      <c r="O453" s="426">
        <v>7.2595281306715061E-3</v>
      </c>
      <c r="P453" s="427"/>
    </row>
    <row r="454" spans="1:16" ht="15" customHeight="1" x14ac:dyDescent="0.25">
      <c r="A454" s="7" t="s">
        <v>1777</v>
      </c>
      <c r="B454" s="144">
        <v>15</v>
      </c>
      <c r="C454" s="144">
        <v>1</v>
      </c>
      <c r="D454" s="144">
        <v>3</v>
      </c>
      <c r="E454" s="144">
        <v>1</v>
      </c>
      <c r="F454" s="144">
        <v>2</v>
      </c>
      <c r="G454" s="144">
        <v>0</v>
      </c>
      <c r="H454" s="144">
        <v>30</v>
      </c>
      <c r="I454" s="144">
        <v>1</v>
      </c>
      <c r="J454" s="144">
        <v>3</v>
      </c>
      <c r="K454" s="144">
        <v>0</v>
      </c>
      <c r="L454" s="144">
        <v>0</v>
      </c>
      <c r="M454" s="144">
        <v>0</v>
      </c>
      <c r="N454" s="144">
        <v>40</v>
      </c>
      <c r="O454" s="426">
        <v>1.2099213551119177E-2</v>
      </c>
      <c r="P454" s="427"/>
    </row>
    <row r="455" spans="1:16" ht="15" customHeight="1" x14ac:dyDescent="0.25">
      <c r="A455" s="7" t="s">
        <v>1778</v>
      </c>
      <c r="B455" s="144">
        <v>1</v>
      </c>
      <c r="C455" s="144">
        <v>1</v>
      </c>
      <c r="D455" s="144">
        <v>0</v>
      </c>
      <c r="E455" s="144">
        <v>1</v>
      </c>
      <c r="F455" s="144">
        <v>0</v>
      </c>
      <c r="G455" s="144">
        <v>0</v>
      </c>
      <c r="H455" s="144">
        <v>2</v>
      </c>
      <c r="I455" s="144">
        <v>0</v>
      </c>
      <c r="J455" s="144">
        <v>1</v>
      </c>
      <c r="K455" s="144">
        <v>0</v>
      </c>
      <c r="L455" s="144">
        <v>1</v>
      </c>
      <c r="M455" s="144">
        <v>0</v>
      </c>
      <c r="N455" s="144">
        <v>4</v>
      </c>
      <c r="O455" s="426">
        <v>1.2099213551119178E-3</v>
      </c>
      <c r="P455" s="427"/>
    </row>
    <row r="456" spans="1:16" ht="15" customHeight="1" x14ac:dyDescent="0.25">
      <c r="A456" s="7" t="s">
        <v>1779</v>
      </c>
      <c r="B456" s="144">
        <v>1</v>
      </c>
      <c r="C456" s="144">
        <v>0</v>
      </c>
      <c r="D456" s="144">
        <v>0</v>
      </c>
      <c r="E456" s="144">
        <v>0</v>
      </c>
      <c r="F456" s="144">
        <v>0</v>
      </c>
      <c r="G456" s="144">
        <v>0</v>
      </c>
      <c r="H456" s="144">
        <v>0</v>
      </c>
      <c r="I456" s="144">
        <v>0</v>
      </c>
      <c r="J456" s="144">
        <v>1</v>
      </c>
      <c r="K456" s="144">
        <v>0</v>
      </c>
      <c r="L456" s="144">
        <v>0</v>
      </c>
      <c r="M456" s="144">
        <v>0</v>
      </c>
      <c r="N456" s="144">
        <v>1</v>
      </c>
      <c r="O456" s="426">
        <v>3.0248033877797946E-4</v>
      </c>
      <c r="P456" s="427"/>
    </row>
    <row r="457" spans="1:16" ht="15" customHeight="1" x14ac:dyDescent="0.25">
      <c r="A457" s="7" t="s">
        <v>1780</v>
      </c>
      <c r="B457" s="144">
        <v>8</v>
      </c>
      <c r="C457" s="144">
        <v>1</v>
      </c>
      <c r="D457" s="144">
        <v>0</v>
      </c>
      <c r="E457" s="144">
        <v>1</v>
      </c>
      <c r="F457" s="144">
        <v>0</v>
      </c>
      <c r="G457" s="144">
        <v>0</v>
      </c>
      <c r="H457" s="144">
        <v>9</v>
      </c>
      <c r="I457" s="144">
        <v>0</v>
      </c>
      <c r="J457" s="144">
        <v>1</v>
      </c>
      <c r="K457" s="144">
        <v>0</v>
      </c>
      <c r="L457" s="144">
        <v>1</v>
      </c>
      <c r="M457" s="144">
        <v>0</v>
      </c>
      <c r="N457" s="144">
        <v>17</v>
      </c>
      <c r="O457" s="426">
        <v>5.14216575922565E-3</v>
      </c>
      <c r="P457" s="427"/>
    </row>
    <row r="458" spans="1:16" ht="15" customHeight="1" x14ac:dyDescent="0.25">
      <c r="A458" s="7" t="s">
        <v>1781</v>
      </c>
      <c r="B458" s="144">
        <v>31</v>
      </c>
      <c r="C458" s="144">
        <v>6</v>
      </c>
      <c r="D458" s="144">
        <v>0</v>
      </c>
      <c r="E458" s="144">
        <v>5</v>
      </c>
      <c r="F458" s="144">
        <v>2</v>
      </c>
      <c r="G458" s="144">
        <v>3</v>
      </c>
      <c r="H458" s="144">
        <v>71</v>
      </c>
      <c r="I458" s="144">
        <v>1</v>
      </c>
      <c r="J458" s="144">
        <v>9</v>
      </c>
      <c r="K458" s="144">
        <v>0</v>
      </c>
      <c r="L458" s="144">
        <v>0</v>
      </c>
      <c r="M458" s="144">
        <v>0</v>
      </c>
      <c r="N458" s="144">
        <v>96</v>
      </c>
      <c r="O458" s="426">
        <v>2.9038112522686024E-2</v>
      </c>
      <c r="P458" s="427"/>
    </row>
    <row r="459" spans="1:16" ht="15" customHeight="1" x14ac:dyDescent="0.25">
      <c r="A459" s="7" t="s">
        <v>1782</v>
      </c>
      <c r="B459" s="144">
        <v>9</v>
      </c>
      <c r="C459" s="144">
        <v>0</v>
      </c>
      <c r="D459" s="144">
        <v>1</v>
      </c>
      <c r="E459" s="144">
        <v>0</v>
      </c>
      <c r="F459" s="144">
        <v>0</v>
      </c>
      <c r="G459" s="144">
        <v>1</v>
      </c>
      <c r="H459" s="144">
        <v>15</v>
      </c>
      <c r="I459" s="144">
        <v>1</v>
      </c>
      <c r="J459" s="144">
        <v>1</v>
      </c>
      <c r="K459" s="144">
        <v>0</v>
      </c>
      <c r="L459" s="144">
        <v>1</v>
      </c>
      <c r="M459" s="144">
        <v>0</v>
      </c>
      <c r="N459" s="144">
        <v>18</v>
      </c>
      <c r="O459" s="426">
        <v>5.4446460980036296E-3</v>
      </c>
      <c r="P459" s="427"/>
    </row>
    <row r="460" spans="1:16" ht="15" customHeight="1" x14ac:dyDescent="0.25">
      <c r="A460" s="7" t="s">
        <v>1783</v>
      </c>
      <c r="B460" s="144">
        <v>11</v>
      </c>
      <c r="C460" s="144">
        <v>0</v>
      </c>
      <c r="D460" s="144">
        <v>0</v>
      </c>
      <c r="E460" s="144">
        <v>0</v>
      </c>
      <c r="F460" s="144">
        <v>1</v>
      </c>
      <c r="G460" s="144">
        <v>0</v>
      </c>
      <c r="H460" s="144">
        <v>26</v>
      </c>
      <c r="I460" s="144">
        <v>1</v>
      </c>
      <c r="J460" s="144">
        <v>4</v>
      </c>
      <c r="K460" s="144">
        <v>0</v>
      </c>
      <c r="L460" s="144">
        <v>0</v>
      </c>
      <c r="M460" s="144">
        <v>0</v>
      </c>
      <c r="N460" s="144">
        <v>36</v>
      </c>
      <c r="O460" s="426">
        <v>1.0889292196007259E-2</v>
      </c>
      <c r="P460" s="427"/>
    </row>
    <row r="461" spans="1:16" ht="15" customHeight="1" x14ac:dyDescent="0.25">
      <c r="A461" s="7" t="s">
        <v>1784</v>
      </c>
      <c r="B461" s="144">
        <v>1</v>
      </c>
      <c r="C461" s="144">
        <v>0</v>
      </c>
      <c r="D461" s="144">
        <v>0</v>
      </c>
      <c r="E461" s="144">
        <v>0</v>
      </c>
      <c r="F461" s="144">
        <v>0</v>
      </c>
      <c r="G461" s="144">
        <v>0</v>
      </c>
      <c r="H461" s="144">
        <v>0</v>
      </c>
      <c r="I461" s="144">
        <v>0</v>
      </c>
      <c r="J461" s="144">
        <v>0</v>
      </c>
      <c r="K461" s="144">
        <v>0</v>
      </c>
      <c r="L461" s="144">
        <v>0</v>
      </c>
      <c r="M461" s="144">
        <v>0</v>
      </c>
      <c r="N461" s="144">
        <v>1</v>
      </c>
      <c r="O461" s="426">
        <v>3.0248033877797946E-4</v>
      </c>
      <c r="P461" s="427"/>
    </row>
    <row r="462" spans="1:16" ht="15" customHeight="1" x14ac:dyDescent="0.25">
      <c r="A462" s="7" t="s">
        <v>1785</v>
      </c>
      <c r="B462" s="144">
        <v>22</v>
      </c>
      <c r="C462" s="144">
        <v>3</v>
      </c>
      <c r="D462" s="144">
        <v>3</v>
      </c>
      <c r="E462" s="144">
        <v>3</v>
      </c>
      <c r="F462" s="144">
        <v>2</v>
      </c>
      <c r="G462" s="144">
        <v>0</v>
      </c>
      <c r="H462" s="144">
        <v>69</v>
      </c>
      <c r="I462" s="144">
        <v>3</v>
      </c>
      <c r="J462" s="144">
        <v>3</v>
      </c>
      <c r="K462" s="144">
        <v>0</v>
      </c>
      <c r="L462" s="144">
        <v>1</v>
      </c>
      <c r="M462" s="144">
        <v>0</v>
      </c>
      <c r="N462" s="144">
        <v>85</v>
      </c>
      <c r="O462" s="426">
        <v>2.5710828796128252E-2</v>
      </c>
      <c r="P462" s="427"/>
    </row>
    <row r="463" spans="1:16" ht="15" customHeight="1" x14ac:dyDescent="0.25">
      <c r="A463" s="7" t="s">
        <v>1786</v>
      </c>
      <c r="B463" s="144">
        <v>41</v>
      </c>
      <c r="C463" s="144">
        <v>4</v>
      </c>
      <c r="D463" s="144">
        <v>1</v>
      </c>
      <c r="E463" s="144">
        <v>3</v>
      </c>
      <c r="F463" s="144">
        <v>2</v>
      </c>
      <c r="G463" s="144">
        <v>2</v>
      </c>
      <c r="H463" s="144">
        <v>84</v>
      </c>
      <c r="I463" s="144">
        <v>3</v>
      </c>
      <c r="J463" s="144">
        <v>12</v>
      </c>
      <c r="K463" s="144">
        <v>2</v>
      </c>
      <c r="L463" s="144">
        <v>2</v>
      </c>
      <c r="M463" s="144">
        <v>0</v>
      </c>
      <c r="N463" s="144">
        <v>123</v>
      </c>
      <c r="O463" s="426">
        <v>3.720508166969147E-2</v>
      </c>
      <c r="P463" s="427"/>
    </row>
    <row r="464" spans="1:16" ht="15" customHeight="1" x14ac:dyDescent="0.25">
      <c r="A464" s="7" t="s">
        <v>1787</v>
      </c>
      <c r="B464" s="144">
        <v>14</v>
      </c>
      <c r="C464" s="144">
        <v>2</v>
      </c>
      <c r="D464" s="144">
        <v>2</v>
      </c>
      <c r="E464" s="144">
        <v>2</v>
      </c>
      <c r="F464" s="144">
        <v>0</v>
      </c>
      <c r="G464" s="144">
        <v>0</v>
      </c>
      <c r="H464" s="144">
        <v>26</v>
      </c>
      <c r="I464" s="144">
        <v>0</v>
      </c>
      <c r="J464" s="144">
        <v>0</v>
      </c>
      <c r="K464" s="144">
        <v>0</v>
      </c>
      <c r="L464" s="144">
        <v>0</v>
      </c>
      <c r="M464" s="144">
        <v>0</v>
      </c>
      <c r="N464" s="144">
        <v>32</v>
      </c>
      <c r="O464" s="426">
        <v>9.6793708408953426E-3</v>
      </c>
      <c r="P464" s="427"/>
    </row>
    <row r="465" spans="1:16" ht="15" customHeight="1" x14ac:dyDescent="0.25">
      <c r="A465" s="7" t="s">
        <v>1788</v>
      </c>
      <c r="B465" s="144">
        <v>8</v>
      </c>
      <c r="C465" s="144">
        <v>1</v>
      </c>
      <c r="D465" s="144">
        <v>0</v>
      </c>
      <c r="E465" s="144">
        <v>1</v>
      </c>
      <c r="F465" s="144">
        <v>0</v>
      </c>
      <c r="G465" s="144">
        <v>0</v>
      </c>
      <c r="H465" s="144">
        <v>14</v>
      </c>
      <c r="I465" s="144">
        <v>0</v>
      </c>
      <c r="J465" s="144">
        <v>0</v>
      </c>
      <c r="K465" s="144">
        <v>0</v>
      </c>
      <c r="L465" s="144">
        <v>0</v>
      </c>
      <c r="M465" s="144">
        <v>0</v>
      </c>
      <c r="N465" s="144">
        <v>19</v>
      </c>
      <c r="O465" s="426">
        <v>5.7471264367816091E-3</v>
      </c>
      <c r="P465" s="427"/>
    </row>
    <row r="466" spans="1:16" ht="15" customHeight="1" x14ac:dyDescent="0.25">
      <c r="A466" s="7" t="s">
        <v>1789</v>
      </c>
      <c r="B466" s="144">
        <v>2</v>
      </c>
      <c r="C466" s="144">
        <v>0</v>
      </c>
      <c r="D466" s="144">
        <v>0</v>
      </c>
      <c r="E466" s="144">
        <v>0</v>
      </c>
      <c r="F466" s="144">
        <v>1</v>
      </c>
      <c r="G466" s="144">
        <v>0</v>
      </c>
      <c r="H466" s="144">
        <v>9</v>
      </c>
      <c r="I466" s="144">
        <v>0</v>
      </c>
      <c r="J466" s="144">
        <v>0</v>
      </c>
      <c r="K466" s="144">
        <v>0</v>
      </c>
      <c r="L466" s="144">
        <v>0</v>
      </c>
      <c r="M466" s="144">
        <v>0</v>
      </c>
      <c r="N466" s="144">
        <v>10</v>
      </c>
      <c r="O466" s="426">
        <v>3.0248033877797943E-3</v>
      </c>
      <c r="P466" s="427"/>
    </row>
    <row r="467" spans="1:16" ht="15" customHeight="1" x14ac:dyDescent="0.25">
      <c r="A467" s="7" t="s">
        <v>1790</v>
      </c>
      <c r="B467" s="144">
        <v>1</v>
      </c>
      <c r="C467" s="144">
        <v>0</v>
      </c>
      <c r="D467" s="144">
        <v>0</v>
      </c>
      <c r="E467" s="144">
        <v>0</v>
      </c>
      <c r="F467" s="144">
        <v>0</v>
      </c>
      <c r="G467" s="144">
        <v>0</v>
      </c>
      <c r="H467" s="144">
        <v>1</v>
      </c>
      <c r="I467" s="144">
        <v>0</v>
      </c>
      <c r="J467" s="144">
        <v>0</v>
      </c>
      <c r="K467" s="144">
        <v>0</v>
      </c>
      <c r="L467" s="144">
        <v>0</v>
      </c>
      <c r="M467" s="144">
        <v>0</v>
      </c>
      <c r="N467" s="144">
        <v>1</v>
      </c>
      <c r="O467" s="426">
        <v>3.0248033877797946E-4</v>
      </c>
      <c r="P467" s="427"/>
    </row>
    <row r="468" spans="1:16" ht="15" customHeight="1" x14ac:dyDescent="0.25">
      <c r="A468" s="7" t="s">
        <v>1791</v>
      </c>
      <c r="B468" s="144">
        <v>0</v>
      </c>
      <c r="C468" s="144">
        <v>0</v>
      </c>
      <c r="D468" s="144">
        <v>0</v>
      </c>
      <c r="E468" s="144">
        <v>0</v>
      </c>
      <c r="F468" s="144">
        <v>0</v>
      </c>
      <c r="G468" s="144">
        <v>0</v>
      </c>
      <c r="H468" s="144">
        <v>2</v>
      </c>
      <c r="I468" s="144">
        <v>0</v>
      </c>
      <c r="J468" s="144">
        <v>0</v>
      </c>
      <c r="K468" s="144">
        <v>0</v>
      </c>
      <c r="L468" s="144">
        <v>0</v>
      </c>
      <c r="M468" s="144">
        <v>0</v>
      </c>
      <c r="N468" s="144">
        <v>2</v>
      </c>
      <c r="O468" s="426">
        <v>6.0496067755595891E-4</v>
      </c>
      <c r="P468" s="427"/>
    </row>
    <row r="469" spans="1:16" ht="15" customHeight="1" x14ac:dyDescent="0.25">
      <c r="A469" s="7" t="s">
        <v>1792</v>
      </c>
      <c r="B469" s="144">
        <v>48</v>
      </c>
      <c r="C469" s="144">
        <v>11</v>
      </c>
      <c r="D469" s="144">
        <v>2</v>
      </c>
      <c r="E469" s="144">
        <v>12</v>
      </c>
      <c r="F469" s="144">
        <v>1</v>
      </c>
      <c r="G469" s="144">
        <v>3</v>
      </c>
      <c r="H469" s="144">
        <v>106</v>
      </c>
      <c r="I469" s="144">
        <v>6</v>
      </c>
      <c r="J469" s="144">
        <v>6</v>
      </c>
      <c r="K469" s="144">
        <v>1</v>
      </c>
      <c r="L469" s="144">
        <v>2</v>
      </c>
      <c r="M469" s="144">
        <v>0</v>
      </c>
      <c r="N469" s="144">
        <v>134</v>
      </c>
      <c r="O469" s="426">
        <v>4.0532365396249243E-2</v>
      </c>
      <c r="P469" s="427"/>
    </row>
    <row r="470" spans="1:16" ht="15" customHeight="1" x14ac:dyDescent="0.25">
      <c r="A470" s="7" t="s">
        <v>1793</v>
      </c>
      <c r="B470" s="144">
        <v>29</v>
      </c>
      <c r="C470" s="144">
        <v>4</v>
      </c>
      <c r="D470" s="144">
        <v>0</v>
      </c>
      <c r="E470" s="144">
        <v>4</v>
      </c>
      <c r="F470" s="144">
        <v>0</v>
      </c>
      <c r="G470" s="144">
        <v>0</v>
      </c>
      <c r="H470" s="144">
        <v>65</v>
      </c>
      <c r="I470" s="144">
        <v>2</v>
      </c>
      <c r="J470" s="144">
        <v>3</v>
      </c>
      <c r="K470" s="144">
        <v>0</v>
      </c>
      <c r="L470" s="144">
        <v>2</v>
      </c>
      <c r="M470" s="144">
        <v>1</v>
      </c>
      <c r="N470" s="144">
        <v>81</v>
      </c>
      <c r="O470" s="426">
        <v>2.4500907441016333E-2</v>
      </c>
      <c r="P470" s="427"/>
    </row>
    <row r="471" spans="1:16" ht="15" customHeight="1" x14ac:dyDescent="0.25">
      <c r="A471" s="7" t="s">
        <v>1794</v>
      </c>
      <c r="B471" s="144">
        <v>3</v>
      </c>
      <c r="C471" s="144">
        <v>0</v>
      </c>
      <c r="D471" s="144">
        <v>0</v>
      </c>
      <c r="E471" s="144">
        <v>0</v>
      </c>
      <c r="F471" s="144">
        <v>1</v>
      </c>
      <c r="G471" s="144">
        <v>0</v>
      </c>
      <c r="H471" s="144">
        <v>1</v>
      </c>
      <c r="I471" s="144">
        <v>0</v>
      </c>
      <c r="J471" s="144">
        <v>4</v>
      </c>
      <c r="K471" s="144">
        <v>0</v>
      </c>
      <c r="L471" s="144">
        <v>0</v>
      </c>
      <c r="M471" s="144">
        <v>0</v>
      </c>
      <c r="N471" s="144">
        <v>5</v>
      </c>
      <c r="O471" s="426">
        <v>1.5124016938898972E-3</v>
      </c>
      <c r="P471" s="427"/>
    </row>
    <row r="472" spans="1:16" ht="15" customHeight="1" x14ac:dyDescent="0.25">
      <c r="A472" s="7" t="s">
        <v>1795</v>
      </c>
      <c r="B472" s="144">
        <v>1</v>
      </c>
      <c r="C472" s="144">
        <v>0</v>
      </c>
      <c r="D472" s="144">
        <v>0</v>
      </c>
      <c r="E472" s="144">
        <v>0</v>
      </c>
      <c r="F472" s="144">
        <v>0</v>
      </c>
      <c r="G472" s="144">
        <v>0</v>
      </c>
      <c r="H472" s="144">
        <v>1</v>
      </c>
      <c r="I472" s="144">
        <v>0</v>
      </c>
      <c r="J472" s="144">
        <v>0</v>
      </c>
      <c r="K472" s="144">
        <v>0</v>
      </c>
      <c r="L472" s="144">
        <v>0</v>
      </c>
      <c r="M472" s="144">
        <v>0</v>
      </c>
      <c r="N472" s="144">
        <v>2</v>
      </c>
      <c r="O472" s="426">
        <v>6.0496067755595891E-4</v>
      </c>
      <c r="P472" s="427"/>
    </row>
    <row r="473" spans="1:16" ht="15" customHeight="1" x14ac:dyDescent="0.25">
      <c r="A473" s="7" t="s">
        <v>1796</v>
      </c>
      <c r="B473" s="144">
        <v>5</v>
      </c>
      <c r="C473" s="144">
        <v>1</v>
      </c>
      <c r="D473" s="144">
        <v>0</v>
      </c>
      <c r="E473" s="144">
        <v>1</v>
      </c>
      <c r="F473" s="144">
        <v>0</v>
      </c>
      <c r="G473" s="144">
        <v>0</v>
      </c>
      <c r="H473" s="144">
        <v>12</v>
      </c>
      <c r="I473" s="144">
        <v>1</v>
      </c>
      <c r="J473" s="144">
        <v>0</v>
      </c>
      <c r="K473" s="144">
        <v>0</v>
      </c>
      <c r="L473" s="144">
        <v>0</v>
      </c>
      <c r="M473" s="144">
        <v>0</v>
      </c>
      <c r="N473" s="144">
        <v>16</v>
      </c>
      <c r="O473" s="426">
        <v>4.8396854204476713E-3</v>
      </c>
      <c r="P473" s="427"/>
    </row>
    <row r="474" spans="1:16" ht="15" customHeight="1" x14ac:dyDescent="0.25">
      <c r="A474" s="7" t="s">
        <v>1797</v>
      </c>
      <c r="B474" s="144">
        <v>1</v>
      </c>
      <c r="C474" s="144">
        <v>0</v>
      </c>
      <c r="D474" s="144">
        <v>0</v>
      </c>
      <c r="E474" s="144">
        <v>0</v>
      </c>
      <c r="F474" s="144">
        <v>0</v>
      </c>
      <c r="G474" s="144">
        <v>0</v>
      </c>
      <c r="H474" s="144">
        <v>1</v>
      </c>
      <c r="I474" s="144">
        <v>0</v>
      </c>
      <c r="J474" s="144">
        <v>1</v>
      </c>
      <c r="K474" s="144">
        <v>0</v>
      </c>
      <c r="L474" s="144">
        <v>0</v>
      </c>
      <c r="M474" s="144">
        <v>0</v>
      </c>
      <c r="N474" s="144">
        <v>2</v>
      </c>
      <c r="O474" s="426">
        <v>6.0496067755595891E-4</v>
      </c>
      <c r="P474" s="427"/>
    </row>
    <row r="475" spans="1:16" ht="15" customHeight="1" x14ac:dyDescent="0.25">
      <c r="A475" s="7" t="s">
        <v>1798</v>
      </c>
      <c r="B475" s="144">
        <v>1</v>
      </c>
      <c r="C475" s="144">
        <v>0</v>
      </c>
      <c r="D475" s="144">
        <v>0</v>
      </c>
      <c r="E475" s="144">
        <v>0</v>
      </c>
      <c r="F475" s="144">
        <v>0</v>
      </c>
      <c r="G475" s="144">
        <v>0</v>
      </c>
      <c r="H475" s="144">
        <v>0</v>
      </c>
      <c r="I475" s="144">
        <v>0</v>
      </c>
      <c r="J475" s="144">
        <v>1</v>
      </c>
      <c r="K475" s="144">
        <v>0</v>
      </c>
      <c r="L475" s="144">
        <v>0</v>
      </c>
      <c r="M475" s="144">
        <v>0</v>
      </c>
      <c r="N475" s="144">
        <v>1</v>
      </c>
      <c r="O475" s="426">
        <v>3.0248033877797946E-4</v>
      </c>
      <c r="P475" s="427"/>
    </row>
    <row r="476" spans="1:16" ht="15" customHeight="1" x14ac:dyDescent="0.25">
      <c r="A476" s="7" t="s">
        <v>1799</v>
      </c>
      <c r="B476" s="144">
        <v>1</v>
      </c>
      <c r="C476" s="144">
        <v>0</v>
      </c>
      <c r="D476" s="144">
        <v>0</v>
      </c>
      <c r="E476" s="144">
        <v>0</v>
      </c>
      <c r="F476" s="144">
        <v>0</v>
      </c>
      <c r="G476" s="144">
        <v>0</v>
      </c>
      <c r="H476" s="144">
        <v>0</v>
      </c>
      <c r="I476" s="144">
        <v>0</v>
      </c>
      <c r="J476" s="144">
        <v>1</v>
      </c>
      <c r="K476" s="144">
        <v>0</v>
      </c>
      <c r="L476" s="144">
        <v>0</v>
      </c>
      <c r="M476" s="144">
        <v>0</v>
      </c>
      <c r="N476" s="144">
        <v>1</v>
      </c>
      <c r="O476" s="426">
        <v>3.0248033877797946E-4</v>
      </c>
      <c r="P476" s="427"/>
    </row>
    <row r="477" spans="1:16" ht="15" customHeight="1" x14ac:dyDescent="0.25">
      <c r="A477" s="7" t="s">
        <v>1800</v>
      </c>
      <c r="B477" s="144">
        <v>1</v>
      </c>
      <c r="C477" s="144">
        <v>0</v>
      </c>
      <c r="D477" s="144">
        <v>0</v>
      </c>
      <c r="E477" s="144">
        <v>0</v>
      </c>
      <c r="F477" s="144">
        <v>0</v>
      </c>
      <c r="G477" s="144">
        <v>0</v>
      </c>
      <c r="H477" s="144">
        <v>1</v>
      </c>
      <c r="I477" s="144">
        <v>0</v>
      </c>
      <c r="J477" s="144">
        <v>0</v>
      </c>
      <c r="K477" s="144">
        <v>0</v>
      </c>
      <c r="L477" s="144">
        <v>0</v>
      </c>
      <c r="M477" s="144">
        <v>0</v>
      </c>
      <c r="N477" s="144">
        <v>1</v>
      </c>
      <c r="O477" s="426">
        <v>3.0248033877797946E-4</v>
      </c>
      <c r="P477" s="427"/>
    </row>
    <row r="478" spans="1:16" ht="15" customHeight="1" x14ac:dyDescent="0.25">
      <c r="A478" s="7" t="s">
        <v>1801</v>
      </c>
      <c r="B478" s="144">
        <v>0</v>
      </c>
      <c r="C478" s="144">
        <v>0</v>
      </c>
      <c r="D478" s="144">
        <v>0</v>
      </c>
      <c r="E478" s="144">
        <v>0</v>
      </c>
      <c r="F478" s="144">
        <v>0</v>
      </c>
      <c r="G478" s="144">
        <v>0</v>
      </c>
      <c r="H478" s="144">
        <v>2</v>
      </c>
      <c r="I478" s="144">
        <v>1</v>
      </c>
      <c r="J478" s="144">
        <v>0</v>
      </c>
      <c r="K478" s="144">
        <v>0</v>
      </c>
      <c r="L478" s="144">
        <v>0</v>
      </c>
      <c r="M478" s="144">
        <v>0</v>
      </c>
      <c r="N478" s="144">
        <v>2</v>
      </c>
      <c r="O478" s="426">
        <v>6.0496067755595891E-4</v>
      </c>
      <c r="P478" s="427"/>
    </row>
    <row r="479" spans="1:16" ht="15" customHeight="1" x14ac:dyDescent="0.25">
      <c r="A479" s="7" t="s">
        <v>1802</v>
      </c>
      <c r="B479" s="144">
        <v>1</v>
      </c>
      <c r="C479" s="144">
        <v>0</v>
      </c>
      <c r="D479" s="144">
        <v>0</v>
      </c>
      <c r="E479" s="144">
        <v>0</v>
      </c>
      <c r="F479" s="144">
        <v>0</v>
      </c>
      <c r="G479" s="144">
        <v>0</v>
      </c>
      <c r="H479" s="144">
        <v>1</v>
      </c>
      <c r="I479" s="144">
        <v>0</v>
      </c>
      <c r="J479" s="144">
        <v>0</v>
      </c>
      <c r="K479" s="144">
        <v>0</v>
      </c>
      <c r="L479" s="144">
        <v>0</v>
      </c>
      <c r="M479" s="144">
        <v>0</v>
      </c>
      <c r="N479" s="144">
        <v>1</v>
      </c>
      <c r="O479" s="426">
        <v>3.0248033877797946E-4</v>
      </c>
      <c r="P479" s="427"/>
    </row>
    <row r="480" spans="1:16" ht="15" customHeight="1" x14ac:dyDescent="0.25">
      <c r="A480" s="7" t="s">
        <v>1803</v>
      </c>
      <c r="B480" s="144">
        <v>3</v>
      </c>
      <c r="C480" s="144">
        <v>0</v>
      </c>
      <c r="D480" s="144">
        <v>0</v>
      </c>
      <c r="E480" s="144">
        <v>0</v>
      </c>
      <c r="F480" s="144">
        <v>0</v>
      </c>
      <c r="G480" s="144">
        <v>0</v>
      </c>
      <c r="H480" s="144">
        <v>6</v>
      </c>
      <c r="I480" s="144">
        <v>0</v>
      </c>
      <c r="J480" s="144">
        <v>0</v>
      </c>
      <c r="K480" s="144">
        <v>0</v>
      </c>
      <c r="L480" s="144">
        <v>0</v>
      </c>
      <c r="M480" s="144">
        <v>0</v>
      </c>
      <c r="N480" s="144">
        <v>8</v>
      </c>
      <c r="O480" s="426">
        <v>2.4198427102238356E-3</v>
      </c>
      <c r="P480" s="427"/>
    </row>
    <row r="481" spans="1:16" ht="15" customHeight="1" x14ac:dyDescent="0.25">
      <c r="A481" s="7" t="s">
        <v>1804</v>
      </c>
      <c r="B481" s="144">
        <v>0</v>
      </c>
      <c r="C481" s="144">
        <v>0</v>
      </c>
      <c r="D481" s="144">
        <v>0</v>
      </c>
      <c r="E481" s="144">
        <v>0</v>
      </c>
      <c r="F481" s="144">
        <v>0</v>
      </c>
      <c r="G481" s="144">
        <v>0</v>
      </c>
      <c r="H481" s="144">
        <v>3</v>
      </c>
      <c r="I481" s="144">
        <v>0</v>
      </c>
      <c r="J481" s="144">
        <v>0</v>
      </c>
      <c r="K481" s="144">
        <v>0</v>
      </c>
      <c r="L481" s="144">
        <v>2</v>
      </c>
      <c r="M481" s="144">
        <v>0</v>
      </c>
      <c r="N481" s="144">
        <v>4</v>
      </c>
      <c r="O481" s="426">
        <v>1.2099213551119178E-3</v>
      </c>
      <c r="P481" s="427"/>
    </row>
    <row r="482" spans="1:16" ht="15" customHeight="1" x14ac:dyDescent="0.25">
      <c r="A482" s="7" t="s">
        <v>1805</v>
      </c>
      <c r="B482" s="144">
        <v>0</v>
      </c>
      <c r="C482" s="144">
        <v>0</v>
      </c>
      <c r="D482" s="144">
        <v>0</v>
      </c>
      <c r="E482" s="144">
        <v>0</v>
      </c>
      <c r="F482" s="144">
        <v>0</v>
      </c>
      <c r="G482" s="144">
        <v>0</v>
      </c>
      <c r="H482" s="144">
        <v>2</v>
      </c>
      <c r="I482" s="144">
        <v>0</v>
      </c>
      <c r="J482" s="144">
        <v>0</v>
      </c>
      <c r="K482" s="144">
        <v>0</v>
      </c>
      <c r="L482" s="144">
        <v>0</v>
      </c>
      <c r="M482" s="144">
        <v>0</v>
      </c>
      <c r="N482" s="144">
        <v>2</v>
      </c>
      <c r="O482" s="426">
        <v>6.0496067755595891E-4</v>
      </c>
      <c r="P482" s="427"/>
    </row>
    <row r="483" spans="1:16" ht="15" customHeight="1" x14ac:dyDescent="0.25">
      <c r="A483" s="7" t="s">
        <v>1806</v>
      </c>
      <c r="B483" s="144">
        <v>1</v>
      </c>
      <c r="C483" s="144">
        <v>0</v>
      </c>
      <c r="D483" s="144">
        <v>0</v>
      </c>
      <c r="E483" s="144">
        <v>0</v>
      </c>
      <c r="F483" s="144">
        <v>0</v>
      </c>
      <c r="G483" s="144">
        <v>0</v>
      </c>
      <c r="H483" s="144">
        <v>1</v>
      </c>
      <c r="I483" s="144">
        <v>0</v>
      </c>
      <c r="J483" s="144">
        <v>0</v>
      </c>
      <c r="K483" s="144">
        <v>0</v>
      </c>
      <c r="L483" s="144">
        <v>0</v>
      </c>
      <c r="M483" s="144">
        <v>0</v>
      </c>
      <c r="N483" s="144">
        <v>1</v>
      </c>
      <c r="O483" s="426">
        <v>3.0248033877797946E-4</v>
      </c>
      <c r="P483" s="427"/>
    </row>
    <row r="484" spans="1:16" ht="15" customHeight="1" x14ac:dyDescent="0.25">
      <c r="A484" s="7" t="s">
        <v>1807</v>
      </c>
      <c r="B484" s="144">
        <v>5</v>
      </c>
      <c r="C484" s="144">
        <v>0</v>
      </c>
      <c r="D484" s="144">
        <v>0</v>
      </c>
      <c r="E484" s="144">
        <v>0</v>
      </c>
      <c r="F484" s="144">
        <v>0</v>
      </c>
      <c r="G484" s="144">
        <v>0</v>
      </c>
      <c r="H484" s="144">
        <v>4</v>
      </c>
      <c r="I484" s="144">
        <v>1</v>
      </c>
      <c r="J484" s="144">
        <v>2</v>
      </c>
      <c r="K484" s="144">
        <v>0</v>
      </c>
      <c r="L484" s="144">
        <v>0</v>
      </c>
      <c r="M484" s="144">
        <v>0</v>
      </c>
      <c r="N484" s="144">
        <v>6</v>
      </c>
      <c r="O484" s="426">
        <v>1.8148820326678765E-3</v>
      </c>
      <c r="P484" s="427"/>
    </row>
    <row r="485" spans="1:16" ht="15" customHeight="1" x14ac:dyDescent="0.25">
      <c r="A485" s="7" t="s">
        <v>1808</v>
      </c>
      <c r="B485" s="144">
        <v>2</v>
      </c>
      <c r="C485" s="144">
        <v>0</v>
      </c>
      <c r="D485" s="144">
        <v>0</v>
      </c>
      <c r="E485" s="144">
        <v>0</v>
      </c>
      <c r="F485" s="144">
        <v>0</v>
      </c>
      <c r="G485" s="144">
        <v>0</v>
      </c>
      <c r="H485" s="144">
        <v>1</v>
      </c>
      <c r="I485" s="144">
        <v>0</v>
      </c>
      <c r="J485" s="144">
        <v>2</v>
      </c>
      <c r="K485" s="144">
        <v>0</v>
      </c>
      <c r="L485" s="144">
        <v>0</v>
      </c>
      <c r="M485" s="144">
        <v>0</v>
      </c>
      <c r="N485" s="144">
        <v>3</v>
      </c>
      <c r="O485" s="426">
        <v>9.0744101633393826E-4</v>
      </c>
      <c r="P485" s="427"/>
    </row>
    <row r="486" spans="1:16" ht="15" customHeight="1" x14ac:dyDescent="0.25">
      <c r="A486" s="7" t="s">
        <v>1809</v>
      </c>
      <c r="B486" s="144">
        <v>7</v>
      </c>
      <c r="C486" s="144">
        <v>0</v>
      </c>
      <c r="D486" s="144">
        <v>0</v>
      </c>
      <c r="E486" s="144">
        <v>0</v>
      </c>
      <c r="F486" s="144">
        <v>0</v>
      </c>
      <c r="G486" s="144">
        <v>0</v>
      </c>
      <c r="H486" s="144">
        <v>6</v>
      </c>
      <c r="I486" s="144">
        <v>1</v>
      </c>
      <c r="J486" s="144">
        <v>3</v>
      </c>
      <c r="K486" s="144">
        <v>1</v>
      </c>
      <c r="L486" s="144">
        <v>0</v>
      </c>
      <c r="M486" s="144">
        <v>0</v>
      </c>
      <c r="N486" s="144">
        <v>11</v>
      </c>
      <c r="O486" s="426">
        <v>3.3272837265577739E-3</v>
      </c>
      <c r="P486" s="427"/>
    </row>
    <row r="487" spans="1:16" ht="15" customHeight="1" x14ac:dyDescent="0.25">
      <c r="A487" s="370" t="s">
        <v>1810</v>
      </c>
      <c r="B487" s="373">
        <v>2</v>
      </c>
      <c r="C487" s="373">
        <v>0</v>
      </c>
      <c r="D487" s="373">
        <v>0</v>
      </c>
      <c r="E487" s="373">
        <v>0</v>
      </c>
      <c r="F487" s="373">
        <v>0</v>
      </c>
      <c r="G487" s="373">
        <v>1</v>
      </c>
      <c r="H487" s="373">
        <v>3</v>
      </c>
      <c r="I487" s="373">
        <v>0</v>
      </c>
      <c r="J487" s="373">
        <v>0</v>
      </c>
      <c r="K487" s="373">
        <v>0</v>
      </c>
      <c r="L487" s="373">
        <v>0</v>
      </c>
      <c r="M487" s="373">
        <v>0</v>
      </c>
      <c r="N487" s="373">
        <v>4</v>
      </c>
      <c r="O487" s="428">
        <v>1.2099213551119178E-3</v>
      </c>
      <c r="P487" s="427"/>
    </row>
    <row r="488" spans="1:16" ht="15" customHeight="1" x14ac:dyDescent="0.25">
      <c r="A488" s="823" t="s">
        <v>1811</v>
      </c>
      <c r="B488" s="153">
        <v>880</v>
      </c>
      <c r="C488" s="153">
        <v>93</v>
      </c>
      <c r="D488" s="153">
        <v>58</v>
      </c>
      <c r="E488" s="153">
        <v>95</v>
      </c>
      <c r="F488" s="153">
        <v>52</v>
      </c>
      <c r="G488" s="153">
        <v>29</v>
      </c>
      <c r="H488" s="153">
        <v>2284</v>
      </c>
      <c r="I488" s="153">
        <v>66</v>
      </c>
      <c r="J488" s="153">
        <v>249</v>
      </c>
      <c r="K488" s="153">
        <v>55</v>
      </c>
      <c r="L488" s="153">
        <v>34</v>
      </c>
      <c r="M488" s="153">
        <v>25</v>
      </c>
      <c r="N488" s="153">
        <v>3306</v>
      </c>
      <c r="O488" s="426">
        <v>1.0000000000000004</v>
      </c>
      <c r="P488" s="427"/>
    </row>
    <row r="489" spans="1:16" ht="15" customHeight="1" x14ac:dyDescent="0.25">
      <c r="A489" s="375" t="s">
        <v>1812</v>
      </c>
      <c r="B489" s="377">
        <v>270</v>
      </c>
      <c r="C489" s="377">
        <v>20</v>
      </c>
      <c r="D489" s="377">
        <v>14</v>
      </c>
      <c r="E489" s="377">
        <v>20</v>
      </c>
      <c r="F489" s="377">
        <v>8</v>
      </c>
      <c r="G489" s="377">
        <v>6</v>
      </c>
      <c r="H489" s="377">
        <v>421</v>
      </c>
      <c r="I489" s="377">
        <v>14</v>
      </c>
      <c r="J489" s="377">
        <v>94</v>
      </c>
      <c r="K489" s="377">
        <v>4</v>
      </c>
      <c r="L489" s="377">
        <v>8</v>
      </c>
      <c r="M489" s="377">
        <v>1</v>
      </c>
      <c r="N489" s="377">
        <v>656</v>
      </c>
      <c r="O489" s="377">
        <v>880</v>
      </c>
      <c r="P489" s="427"/>
    </row>
    <row r="490" spans="1:16" ht="15" customHeight="1" x14ac:dyDescent="0.25">
      <c r="A490" s="384"/>
      <c r="B490" s="385"/>
      <c r="C490" s="385"/>
      <c r="D490" s="385"/>
      <c r="E490" s="385"/>
      <c r="F490" s="385"/>
      <c r="G490" s="385"/>
      <c r="H490" s="385"/>
      <c r="I490" s="385"/>
      <c r="J490" s="385"/>
      <c r="K490" s="385"/>
      <c r="L490" s="385"/>
      <c r="M490" s="385"/>
      <c r="N490" s="383"/>
    </row>
    <row r="491" spans="1:16" ht="15" customHeight="1" x14ac:dyDescent="0.25">
      <c r="A491" s="876" t="s">
        <v>1841</v>
      </c>
      <c r="B491" s="876"/>
      <c r="C491" s="876"/>
      <c r="D491" s="876"/>
      <c r="E491" s="876"/>
      <c r="F491" s="876"/>
      <c r="G491" s="876"/>
      <c r="H491" s="876"/>
      <c r="I491" s="876"/>
      <c r="J491" s="876"/>
      <c r="K491" s="876"/>
      <c r="L491" s="876"/>
      <c r="M491" s="876"/>
      <c r="N491" s="876"/>
    </row>
    <row r="492" spans="1:16" ht="15" customHeight="1" x14ac:dyDescent="0.25">
      <c r="A492" s="824"/>
      <c r="B492" s="382"/>
      <c r="C492" s="382"/>
      <c r="D492" s="382"/>
      <c r="E492" s="382"/>
      <c r="F492" s="382"/>
      <c r="G492" s="382"/>
      <c r="H492" s="382"/>
      <c r="I492" s="382"/>
      <c r="J492" s="382"/>
      <c r="K492" s="382"/>
      <c r="L492" s="382"/>
    </row>
    <row r="493" spans="1:16" ht="15" customHeight="1" x14ac:dyDescent="0.25">
      <c r="A493" s="143" t="s">
        <v>1715</v>
      </c>
      <c r="B493" s="143" t="s">
        <v>1716</v>
      </c>
      <c r="C493" s="143" t="s">
        <v>1717</v>
      </c>
      <c r="D493" s="143" t="s">
        <v>1718</v>
      </c>
      <c r="E493" s="143" t="s">
        <v>1719</v>
      </c>
      <c r="F493" s="143" t="s">
        <v>137</v>
      </c>
      <c r="G493" s="143" t="s">
        <v>1539</v>
      </c>
      <c r="H493" s="143" t="s">
        <v>1721</v>
      </c>
      <c r="I493" s="143" t="s">
        <v>746</v>
      </c>
      <c r="J493" s="143" t="s">
        <v>1722</v>
      </c>
      <c r="K493" s="143" t="s">
        <v>1723</v>
      </c>
      <c r="L493" s="143" t="s">
        <v>151</v>
      </c>
      <c r="M493" s="143" t="s">
        <v>1724</v>
      </c>
      <c r="N493" s="143" t="s">
        <v>341</v>
      </c>
    </row>
    <row r="494" spans="1:16" ht="15" customHeight="1" x14ac:dyDescent="0.25">
      <c r="A494" s="7" t="s">
        <v>1727</v>
      </c>
      <c r="B494" s="429">
        <v>0</v>
      </c>
      <c r="C494" s="429">
        <v>0</v>
      </c>
      <c r="D494" s="429">
        <v>0</v>
      </c>
      <c r="E494" s="429">
        <v>0</v>
      </c>
      <c r="F494" s="429">
        <v>0</v>
      </c>
      <c r="G494" s="429">
        <v>0</v>
      </c>
      <c r="H494" s="429">
        <v>0</v>
      </c>
      <c r="I494" s="429">
        <v>0</v>
      </c>
      <c r="J494" s="429">
        <v>0</v>
      </c>
      <c r="K494" s="429">
        <v>0</v>
      </c>
      <c r="L494" s="429">
        <v>0</v>
      </c>
      <c r="M494" s="429">
        <v>0</v>
      </c>
      <c r="N494" s="430">
        <v>0</v>
      </c>
    </row>
    <row r="495" spans="1:16" ht="15" customHeight="1" x14ac:dyDescent="0.25">
      <c r="A495" s="7" t="s">
        <v>1728</v>
      </c>
      <c r="B495" s="429">
        <v>335818.35063829011</v>
      </c>
      <c r="C495" s="429">
        <v>0</v>
      </c>
      <c r="D495" s="429">
        <v>0</v>
      </c>
      <c r="E495" s="429">
        <v>0</v>
      </c>
      <c r="F495" s="429">
        <v>0</v>
      </c>
      <c r="G495" s="429">
        <v>0</v>
      </c>
      <c r="H495" s="429">
        <v>0</v>
      </c>
      <c r="I495" s="429">
        <v>0</v>
      </c>
      <c r="J495" s="429">
        <v>0</v>
      </c>
      <c r="K495" s="429">
        <v>0</v>
      </c>
      <c r="L495" s="429">
        <v>0</v>
      </c>
      <c r="M495" s="429">
        <v>0</v>
      </c>
      <c r="N495" s="430">
        <v>335818.35063829011</v>
      </c>
    </row>
    <row r="496" spans="1:16" ht="15" customHeight="1" x14ac:dyDescent="0.25">
      <c r="A496" s="7" t="s">
        <v>1729</v>
      </c>
      <c r="B496" s="429">
        <v>111939.45021276336</v>
      </c>
      <c r="C496" s="429">
        <v>0</v>
      </c>
      <c r="D496" s="429">
        <v>0</v>
      </c>
      <c r="E496" s="429">
        <v>0</v>
      </c>
      <c r="F496" s="429">
        <v>0</v>
      </c>
      <c r="G496" s="429">
        <v>0</v>
      </c>
      <c r="H496" s="429">
        <v>734340.65934065939</v>
      </c>
      <c r="I496" s="429">
        <v>0</v>
      </c>
      <c r="J496" s="429">
        <v>0</v>
      </c>
      <c r="K496" s="429">
        <v>0</v>
      </c>
      <c r="L496" s="429">
        <v>0</v>
      </c>
      <c r="M496" s="429">
        <v>0</v>
      </c>
      <c r="N496" s="430">
        <v>846280.10955342278</v>
      </c>
    </row>
    <row r="497" spans="1:14" ht="15" customHeight="1" x14ac:dyDescent="0.25">
      <c r="A497" s="7" t="s">
        <v>1730</v>
      </c>
      <c r="B497" s="429">
        <v>447757.80085105344</v>
      </c>
      <c r="C497" s="429">
        <v>0</v>
      </c>
      <c r="D497" s="429">
        <v>0</v>
      </c>
      <c r="E497" s="429">
        <v>0</v>
      </c>
      <c r="F497" s="429">
        <v>0</v>
      </c>
      <c r="G497" s="429">
        <v>0</v>
      </c>
      <c r="H497" s="429">
        <v>0</v>
      </c>
      <c r="I497" s="429">
        <v>0</v>
      </c>
      <c r="J497" s="429">
        <v>74175.824175824178</v>
      </c>
      <c r="K497" s="429">
        <v>0</v>
      </c>
      <c r="L497" s="429">
        <v>0</v>
      </c>
      <c r="M497" s="429">
        <v>0</v>
      </c>
      <c r="N497" s="430">
        <v>521933.62502687762</v>
      </c>
    </row>
    <row r="498" spans="1:14" ht="15" customHeight="1" x14ac:dyDescent="0.25">
      <c r="A498" s="7" t="s">
        <v>1731</v>
      </c>
      <c r="B498" s="429">
        <v>261192.05049644783</v>
      </c>
      <c r="C498" s="429">
        <v>0</v>
      </c>
      <c r="D498" s="429">
        <v>0</v>
      </c>
      <c r="E498" s="429">
        <v>0</v>
      </c>
      <c r="F498" s="429">
        <v>0</v>
      </c>
      <c r="G498" s="429">
        <v>0</v>
      </c>
      <c r="H498" s="429">
        <v>395604.3956043956</v>
      </c>
      <c r="I498" s="429">
        <v>0</v>
      </c>
      <c r="J498" s="429">
        <v>222527.47252747254</v>
      </c>
      <c r="K498" s="429">
        <v>0</v>
      </c>
      <c r="L498" s="429">
        <v>0</v>
      </c>
      <c r="M498" s="429">
        <v>0</v>
      </c>
      <c r="N498" s="430">
        <v>879323.91862831602</v>
      </c>
    </row>
    <row r="499" spans="1:14" ht="15" customHeight="1" x14ac:dyDescent="0.25">
      <c r="A499" s="7" t="s">
        <v>1732</v>
      </c>
      <c r="B499" s="429">
        <v>0</v>
      </c>
      <c r="C499" s="429">
        <v>0</v>
      </c>
      <c r="D499" s="429">
        <v>0</v>
      </c>
      <c r="E499" s="429">
        <v>0</v>
      </c>
      <c r="F499" s="429">
        <v>447757.80085105344</v>
      </c>
      <c r="G499" s="429">
        <v>0</v>
      </c>
      <c r="H499" s="429">
        <v>593406.59340659343</v>
      </c>
      <c r="I499" s="429">
        <v>0</v>
      </c>
      <c r="J499" s="429">
        <v>0</v>
      </c>
      <c r="K499" s="429">
        <v>0</v>
      </c>
      <c r="L499" s="429">
        <v>0</v>
      </c>
      <c r="M499" s="429">
        <v>0</v>
      </c>
      <c r="N499" s="430">
        <v>1041164.3942576469</v>
      </c>
    </row>
    <row r="500" spans="1:14" ht="15" customHeight="1" x14ac:dyDescent="0.25">
      <c r="A500" s="7" t="s">
        <v>1733</v>
      </c>
      <c r="B500" s="429">
        <v>291042.57055318472</v>
      </c>
      <c r="C500" s="429">
        <v>0</v>
      </c>
      <c r="D500" s="429">
        <v>0</v>
      </c>
      <c r="E500" s="429">
        <v>0</v>
      </c>
      <c r="F500" s="429">
        <v>0</v>
      </c>
      <c r="G500" s="429">
        <v>0</v>
      </c>
      <c r="H500" s="429">
        <v>133516.48351648351</v>
      </c>
      <c r="I500" s="429">
        <v>0</v>
      </c>
      <c r="J500" s="429">
        <v>25219.780219780219</v>
      </c>
      <c r="K500" s="429">
        <v>0</v>
      </c>
      <c r="L500" s="429">
        <v>0</v>
      </c>
      <c r="M500" s="429">
        <v>0</v>
      </c>
      <c r="N500" s="430">
        <v>449778.83428944845</v>
      </c>
    </row>
    <row r="501" spans="1:14" ht="15" customHeight="1" x14ac:dyDescent="0.25">
      <c r="A501" s="7" t="s">
        <v>1734</v>
      </c>
      <c r="B501" s="429">
        <v>139924.31276595421</v>
      </c>
      <c r="C501" s="429">
        <v>0</v>
      </c>
      <c r="D501" s="429">
        <v>0</v>
      </c>
      <c r="E501" s="429">
        <v>0</v>
      </c>
      <c r="F501" s="429">
        <v>0</v>
      </c>
      <c r="G501" s="429">
        <v>0</v>
      </c>
      <c r="H501" s="429">
        <v>111263.73626373627</v>
      </c>
      <c r="I501" s="429">
        <v>9271.9780219780223</v>
      </c>
      <c r="J501" s="429">
        <v>101991.75824175825</v>
      </c>
      <c r="K501" s="429">
        <v>0</v>
      </c>
      <c r="L501" s="429">
        <v>0</v>
      </c>
      <c r="M501" s="429">
        <v>0</v>
      </c>
      <c r="N501" s="430">
        <v>362451.78529342671</v>
      </c>
    </row>
    <row r="502" spans="1:14" ht="15" customHeight="1" x14ac:dyDescent="0.25">
      <c r="A502" s="7" t="s">
        <v>1735</v>
      </c>
      <c r="B502" s="429">
        <v>179103.12034042139</v>
      </c>
      <c r="C502" s="429">
        <v>0</v>
      </c>
      <c r="D502" s="429">
        <v>0</v>
      </c>
      <c r="E502" s="429">
        <v>0</v>
      </c>
      <c r="F502" s="429">
        <v>0</v>
      </c>
      <c r="G502" s="429">
        <v>0</v>
      </c>
      <c r="H502" s="429">
        <v>271978.02197802201</v>
      </c>
      <c r="I502" s="429">
        <v>0</v>
      </c>
      <c r="J502" s="429">
        <v>52912.087912087911</v>
      </c>
      <c r="K502" s="429">
        <v>0</v>
      </c>
      <c r="L502" s="429">
        <v>0</v>
      </c>
      <c r="M502" s="429">
        <v>0</v>
      </c>
      <c r="N502" s="430">
        <v>503993.23023053125</v>
      </c>
    </row>
    <row r="503" spans="1:14" ht="15" customHeight="1" x14ac:dyDescent="0.25">
      <c r="A503" s="7" t="s">
        <v>1736</v>
      </c>
      <c r="B503" s="429">
        <v>0</v>
      </c>
      <c r="C503" s="429">
        <v>0</v>
      </c>
      <c r="D503" s="429">
        <v>0</v>
      </c>
      <c r="E503" s="429">
        <v>0</v>
      </c>
      <c r="F503" s="429">
        <v>0</v>
      </c>
      <c r="G503" s="429">
        <v>0</v>
      </c>
      <c r="H503" s="429">
        <v>0</v>
      </c>
      <c r="I503" s="429">
        <v>0</v>
      </c>
      <c r="J503" s="429">
        <v>0</v>
      </c>
      <c r="K503" s="429">
        <v>0</v>
      </c>
      <c r="L503" s="429">
        <v>0</v>
      </c>
      <c r="M503" s="429">
        <v>0</v>
      </c>
      <c r="N503" s="430">
        <v>0</v>
      </c>
    </row>
    <row r="504" spans="1:14" ht="15" customHeight="1" x14ac:dyDescent="0.25">
      <c r="A504" s="7" t="s">
        <v>1737</v>
      </c>
      <c r="B504" s="429">
        <v>74626.300141842235</v>
      </c>
      <c r="C504" s="429">
        <v>0</v>
      </c>
      <c r="D504" s="429">
        <v>0</v>
      </c>
      <c r="E504" s="429">
        <v>0</v>
      </c>
      <c r="F504" s="429">
        <v>0</v>
      </c>
      <c r="G504" s="429">
        <v>0</v>
      </c>
      <c r="H504" s="429">
        <v>370879.12087912089</v>
      </c>
      <c r="I504" s="429">
        <v>0</v>
      </c>
      <c r="J504" s="429">
        <v>148351.64835164836</v>
      </c>
      <c r="K504" s="429">
        <v>0</v>
      </c>
      <c r="L504" s="429">
        <v>0</v>
      </c>
      <c r="M504" s="429">
        <v>0</v>
      </c>
      <c r="N504" s="430">
        <v>593857.06937261147</v>
      </c>
    </row>
    <row r="505" spans="1:14" ht="15" customHeight="1" x14ac:dyDescent="0.25">
      <c r="A505" s="7" t="s">
        <v>1738</v>
      </c>
      <c r="B505" s="429">
        <v>252448.5213007245</v>
      </c>
      <c r="C505" s="429">
        <v>10496.965720846318</v>
      </c>
      <c r="D505" s="429">
        <v>0</v>
      </c>
      <c r="E505" s="429">
        <v>10496.965720846318</v>
      </c>
      <c r="F505" s="429">
        <v>5012.2141886311947</v>
      </c>
      <c r="G505" s="429">
        <v>4722.2041684958331</v>
      </c>
      <c r="H505" s="429">
        <v>339370.433608138</v>
      </c>
      <c r="I505" s="429">
        <v>221.42037067410203</v>
      </c>
      <c r="J505" s="429">
        <v>52310.5625717566</v>
      </c>
      <c r="K505" s="429">
        <v>1330.2080322438915</v>
      </c>
      <c r="L505" s="429">
        <v>0</v>
      </c>
      <c r="M505" s="429">
        <v>11715.363527730266</v>
      </c>
      <c r="N505" s="430">
        <v>688124.85921008699</v>
      </c>
    </row>
    <row r="506" spans="1:14" ht="15" customHeight="1" x14ac:dyDescent="0.25">
      <c r="A506" s="7" t="s">
        <v>1739</v>
      </c>
      <c r="B506" s="429">
        <v>219881.06291792804</v>
      </c>
      <c r="C506" s="429">
        <v>0</v>
      </c>
      <c r="D506" s="429">
        <v>15991.350030394766</v>
      </c>
      <c r="E506" s="429">
        <v>0</v>
      </c>
      <c r="F506" s="429">
        <v>0</v>
      </c>
      <c r="G506" s="429">
        <v>0</v>
      </c>
      <c r="H506" s="429">
        <v>307079.08163265308</v>
      </c>
      <c r="I506" s="429">
        <v>283.93746813590639</v>
      </c>
      <c r="J506" s="429">
        <v>72287.640012720396</v>
      </c>
      <c r="K506" s="429">
        <v>0</v>
      </c>
      <c r="L506" s="429">
        <v>0</v>
      </c>
      <c r="M506" s="429">
        <v>0</v>
      </c>
      <c r="N506" s="430">
        <v>615523.07206183218</v>
      </c>
    </row>
    <row r="507" spans="1:14" ht="15" customHeight="1" x14ac:dyDescent="0.25">
      <c r="A507" s="7" t="s">
        <v>1740</v>
      </c>
      <c r="B507" s="429">
        <v>159779.01647341682</v>
      </c>
      <c r="C507" s="429">
        <v>0</v>
      </c>
      <c r="D507" s="429">
        <v>0</v>
      </c>
      <c r="E507" s="429">
        <v>0</v>
      </c>
      <c r="F507" s="429">
        <v>0</v>
      </c>
      <c r="G507" s="429">
        <v>0</v>
      </c>
      <c r="H507" s="429">
        <v>529093.14139771939</v>
      </c>
      <c r="I507" s="429">
        <v>0</v>
      </c>
      <c r="J507" s="429">
        <v>61813.18681318681</v>
      </c>
      <c r="K507" s="429">
        <v>0</v>
      </c>
      <c r="L507" s="429">
        <v>0</v>
      </c>
      <c r="M507" s="429">
        <v>0</v>
      </c>
      <c r="N507" s="430">
        <v>750685.34468432306</v>
      </c>
    </row>
    <row r="508" spans="1:14" ht="15" customHeight="1" x14ac:dyDescent="0.25">
      <c r="A508" s="7" t="s">
        <v>1741</v>
      </c>
      <c r="B508" s="429">
        <v>335818.35063829005</v>
      </c>
      <c r="C508" s="429">
        <v>0</v>
      </c>
      <c r="D508" s="429">
        <v>0</v>
      </c>
      <c r="E508" s="429">
        <v>0</v>
      </c>
      <c r="F508" s="429">
        <v>0</v>
      </c>
      <c r="G508" s="429">
        <v>0</v>
      </c>
      <c r="H508" s="429">
        <v>0</v>
      </c>
      <c r="I508" s="429">
        <v>0</v>
      </c>
      <c r="J508" s="429">
        <v>185439.56043956045</v>
      </c>
      <c r="K508" s="429">
        <v>0</v>
      </c>
      <c r="L508" s="429">
        <v>0</v>
      </c>
      <c r="M508" s="429">
        <v>0</v>
      </c>
      <c r="N508" s="430">
        <v>521257.91107785044</v>
      </c>
    </row>
    <row r="509" spans="1:14" ht="15" customHeight="1" x14ac:dyDescent="0.25">
      <c r="A509" s="7" t="s">
        <v>1742</v>
      </c>
      <c r="B509" s="429">
        <v>298505.200567369</v>
      </c>
      <c r="C509" s="429">
        <v>0</v>
      </c>
      <c r="D509" s="429">
        <v>0</v>
      </c>
      <c r="E509" s="429">
        <v>0</v>
      </c>
      <c r="F509" s="429">
        <v>0</v>
      </c>
      <c r="G509" s="429">
        <v>10546.25597630736</v>
      </c>
      <c r="H509" s="429">
        <v>557554.94505494507</v>
      </c>
      <c r="I509" s="429">
        <v>0</v>
      </c>
      <c r="J509" s="429">
        <v>13351.648351648351</v>
      </c>
      <c r="K509" s="429">
        <v>0</v>
      </c>
      <c r="L509" s="429">
        <v>0</v>
      </c>
      <c r="M509" s="429">
        <v>0</v>
      </c>
      <c r="N509" s="430">
        <v>879958.04995026975</v>
      </c>
    </row>
    <row r="510" spans="1:14" ht="15" customHeight="1" x14ac:dyDescent="0.25">
      <c r="A510" s="7" t="s">
        <v>1743</v>
      </c>
      <c r="B510" s="429">
        <v>0</v>
      </c>
      <c r="C510" s="429">
        <v>0</v>
      </c>
      <c r="D510" s="429">
        <v>0</v>
      </c>
      <c r="E510" s="429">
        <v>0</v>
      </c>
      <c r="F510" s="429">
        <v>0</v>
      </c>
      <c r="G510" s="429">
        <v>0</v>
      </c>
      <c r="H510" s="429">
        <v>407967.03296703298</v>
      </c>
      <c r="I510" s="429">
        <v>0</v>
      </c>
      <c r="J510" s="429">
        <v>55631.868131868134</v>
      </c>
      <c r="K510" s="429">
        <v>0</v>
      </c>
      <c r="L510" s="429">
        <v>0</v>
      </c>
      <c r="M510" s="429">
        <v>0</v>
      </c>
      <c r="N510" s="430">
        <v>463598.90109890111</v>
      </c>
    </row>
    <row r="511" spans="1:14" ht="15" customHeight="1" x14ac:dyDescent="0.25">
      <c r="A511" s="7" t="s">
        <v>1744</v>
      </c>
      <c r="B511" s="429">
        <v>69479.658752749674</v>
      </c>
      <c r="C511" s="429">
        <v>18431.223948465329</v>
      </c>
      <c r="D511" s="429">
        <v>38599.810418194262</v>
      </c>
      <c r="E511" s="429">
        <v>18431.223948465329</v>
      </c>
      <c r="F511" s="429">
        <v>0</v>
      </c>
      <c r="G511" s="429">
        <v>10909.919975490373</v>
      </c>
      <c r="H511" s="429">
        <v>558741.20395535021</v>
      </c>
      <c r="I511" s="429">
        <v>12916.824554755589</v>
      </c>
      <c r="J511" s="429">
        <v>21996.968548692686</v>
      </c>
      <c r="K511" s="429">
        <v>0</v>
      </c>
      <c r="L511" s="429">
        <v>0</v>
      </c>
      <c r="M511" s="429">
        <v>0</v>
      </c>
      <c r="N511" s="430">
        <v>749506.83410216344</v>
      </c>
    </row>
    <row r="512" spans="1:14" ht="15" customHeight="1" x14ac:dyDescent="0.25">
      <c r="A512" s="7" t="s">
        <v>1745</v>
      </c>
      <c r="B512" s="429">
        <v>86223.630569290704</v>
      </c>
      <c r="C512" s="429">
        <v>14256.014256014256</v>
      </c>
      <c r="D512" s="429">
        <v>9076.1716388727054</v>
      </c>
      <c r="E512" s="429">
        <v>14256.014256014256</v>
      </c>
      <c r="F512" s="429">
        <v>3025.3905462909015</v>
      </c>
      <c r="G512" s="429">
        <v>14964.282128544228</v>
      </c>
      <c r="H512" s="429">
        <v>519180.58227672568</v>
      </c>
      <c r="I512" s="429">
        <v>2995.8324511746878</v>
      </c>
      <c r="J512" s="429">
        <v>24959.16245916246</v>
      </c>
      <c r="K512" s="429">
        <v>1766.4203959707172</v>
      </c>
      <c r="L512" s="429">
        <v>0</v>
      </c>
      <c r="M512" s="429">
        <v>0</v>
      </c>
      <c r="N512" s="430">
        <v>690703.50097806053</v>
      </c>
    </row>
    <row r="513" spans="1:14" ht="15" customHeight="1" x14ac:dyDescent="0.25">
      <c r="A513" s="7" t="s">
        <v>1746</v>
      </c>
      <c r="B513" s="429">
        <v>79956.750151973829</v>
      </c>
      <c r="C513" s="429">
        <v>14819.466248037677</v>
      </c>
      <c r="D513" s="429">
        <v>0</v>
      </c>
      <c r="E513" s="429">
        <v>14819.466248037677</v>
      </c>
      <c r="F513" s="429">
        <v>0</v>
      </c>
      <c r="G513" s="429">
        <v>0</v>
      </c>
      <c r="H513" s="429">
        <v>437133.90460757149</v>
      </c>
      <c r="I513" s="429">
        <v>105.96546310832025</v>
      </c>
      <c r="J513" s="429">
        <v>23728.415302708217</v>
      </c>
      <c r="K513" s="429">
        <v>0</v>
      </c>
      <c r="L513" s="429">
        <v>0</v>
      </c>
      <c r="M513" s="429">
        <v>0</v>
      </c>
      <c r="N513" s="430">
        <v>570563.96802143718</v>
      </c>
    </row>
    <row r="514" spans="1:14" ht="15" customHeight="1" x14ac:dyDescent="0.25">
      <c r="A514" s="7" t="s">
        <v>1747</v>
      </c>
      <c r="B514" s="429">
        <v>259495.9982204969</v>
      </c>
      <c r="C514" s="429">
        <v>0</v>
      </c>
      <c r="D514" s="429">
        <v>10176.313655705761</v>
      </c>
      <c r="E514" s="429">
        <v>0</v>
      </c>
      <c r="F514" s="429">
        <v>0</v>
      </c>
      <c r="G514" s="429">
        <v>0</v>
      </c>
      <c r="H514" s="429">
        <v>151723.27672327674</v>
      </c>
      <c r="I514" s="429">
        <v>0</v>
      </c>
      <c r="J514" s="429">
        <v>47202.797202797206</v>
      </c>
      <c r="K514" s="429">
        <v>0</v>
      </c>
      <c r="L514" s="429">
        <v>0</v>
      </c>
      <c r="M514" s="429">
        <v>0</v>
      </c>
      <c r="N514" s="430">
        <v>468598.38580227661</v>
      </c>
    </row>
    <row r="515" spans="1:14" ht="15" customHeight="1" x14ac:dyDescent="0.25">
      <c r="A515" s="7" t="s">
        <v>1748</v>
      </c>
      <c r="B515" s="429">
        <v>188697.93035865822</v>
      </c>
      <c r="C515" s="429">
        <v>0</v>
      </c>
      <c r="D515" s="429">
        <v>0</v>
      </c>
      <c r="E515" s="429">
        <v>0</v>
      </c>
      <c r="F515" s="429">
        <v>0</v>
      </c>
      <c r="G515" s="429">
        <v>0</v>
      </c>
      <c r="H515" s="429">
        <v>469914.442700157</v>
      </c>
      <c r="I515" s="429">
        <v>0</v>
      </c>
      <c r="J515" s="429">
        <v>38253.532182103612</v>
      </c>
      <c r="K515" s="429">
        <v>0</v>
      </c>
      <c r="L515" s="429">
        <v>0</v>
      </c>
      <c r="M515" s="429">
        <v>0</v>
      </c>
      <c r="N515" s="430">
        <v>696865.90524091886</v>
      </c>
    </row>
    <row r="516" spans="1:14" ht="15" customHeight="1" x14ac:dyDescent="0.25">
      <c r="A516" s="7" t="s">
        <v>1749</v>
      </c>
      <c r="B516" s="429">
        <v>169996.18201802706</v>
      </c>
      <c r="C516" s="429">
        <v>7954.9906551659906</v>
      </c>
      <c r="D516" s="429">
        <v>9486.3940858274036</v>
      </c>
      <c r="E516" s="429">
        <v>7954.9906551659906</v>
      </c>
      <c r="F516" s="429">
        <v>11383.672902992885</v>
      </c>
      <c r="G516" s="429">
        <v>16087.509116401059</v>
      </c>
      <c r="H516" s="429">
        <v>511702.98371769337</v>
      </c>
      <c r="I516" s="429">
        <v>0</v>
      </c>
      <c r="J516" s="429">
        <v>14583.721363382379</v>
      </c>
      <c r="K516" s="429">
        <v>0</v>
      </c>
      <c r="L516" s="429">
        <v>22648.537902775191</v>
      </c>
      <c r="M516" s="429">
        <v>0</v>
      </c>
      <c r="N516" s="430">
        <v>771798.98241743131</v>
      </c>
    </row>
    <row r="517" spans="1:14" ht="15" customHeight="1" x14ac:dyDescent="0.25">
      <c r="A517" s="7" t="s">
        <v>1750</v>
      </c>
      <c r="B517" s="429">
        <v>52132.481238319</v>
      </c>
      <c r="C517" s="429">
        <v>1542.3173317910159</v>
      </c>
      <c r="D517" s="429">
        <v>0</v>
      </c>
      <c r="E517" s="429">
        <v>1542.3173317910159</v>
      </c>
      <c r="F517" s="429">
        <v>8625.5372712965236</v>
      </c>
      <c r="G517" s="429">
        <v>3700.4406934411791</v>
      </c>
      <c r="H517" s="429">
        <v>537441.29613598983</v>
      </c>
      <c r="I517" s="429">
        <v>10952.862926547137</v>
      </c>
      <c r="J517" s="429">
        <v>7742.9149797570853</v>
      </c>
      <c r="K517" s="429">
        <v>6254.311449848472</v>
      </c>
      <c r="L517" s="429">
        <v>488.40048840048843</v>
      </c>
      <c r="M517" s="429">
        <v>4590.2301541399293</v>
      </c>
      <c r="N517" s="430">
        <v>635013.11000132165</v>
      </c>
    </row>
    <row r="518" spans="1:14" ht="15" customHeight="1" x14ac:dyDescent="0.25">
      <c r="A518" s="7" t="s">
        <v>1751</v>
      </c>
      <c r="B518" s="429">
        <v>115652.71255184125</v>
      </c>
      <c r="C518" s="429">
        <v>14819.466248037677</v>
      </c>
      <c r="D518" s="429">
        <v>15914.245678854857</v>
      </c>
      <c r="E518" s="429">
        <v>8791.2087912087918</v>
      </c>
      <c r="F518" s="429">
        <v>7595.8912644375132</v>
      </c>
      <c r="G518" s="429">
        <v>0</v>
      </c>
      <c r="H518" s="429">
        <v>443411.34026814939</v>
      </c>
      <c r="I518" s="429">
        <v>3708.7912087912086</v>
      </c>
      <c r="J518" s="429">
        <v>17855.180533751962</v>
      </c>
      <c r="K518" s="429">
        <v>0</v>
      </c>
      <c r="L518" s="429">
        <v>0</v>
      </c>
      <c r="M518" s="429">
        <v>0</v>
      </c>
      <c r="N518" s="430">
        <v>627748.83654507261</v>
      </c>
    </row>
    <row r="519" spans="1:14" ht="15" customHeight="1" x14ac:dyDescent="0.25">
      <c r="A519" s="7" t="s">
        <v>1752</v>
      </c>
      <c r="B519" s="429">
        <v>144862.81792239964</v>
      </c>
      <c r="C519" s="429">
        <v>3878.4744667097607</v>
      </c>
      <c r="D519" s="429">
        <v>4938.5051564454425</v>
      </c>
      <c r="E519" s="429">
        <v>3878.4744667097607</v>
      </c>
      <c r="F519" s="429">
        <v>3292.3367709636282</v>
      </c>
      <c r="G519" s="429">
        <v>2326.3799947736825</v>
      </c>
      <c r="H519" s="429">
        <v>377932.93252442189</v>
      </c>
      <c r="I519" s="429">
        <v>2999.7575953458309</v>
      </c>
      <c r="J519" s="429">
        <v>53013.897866839041</v>
      </c>
      <c r="K519" s="429">
        <v>0</v>
      </c>
      <c r="L519" s="429">
        <v>0</v>
      </c>
      <c r="M519" s="429">
        <v>0</v>
      </c>
      <c r="N519" s="430">
        <v>597123.57676460873</v>
      </c>
    </row>
    <row r="520" spans="1:14" ht="15" customHeight="1" x14ac:dyDescent="0.25">
      <c r="A520" s="7" t="s">
        <v>1753</v>
      </c>
      <c r="B520" s="429">
        <v>313430.46059573739</v>
      </c>
      <c r="C520" s="429">
        <v>0</v>
      </c>
      <c r="D520" s="429">
        <v>0</v>
      </c>
      <c r="E520" s="429">
        <v>0</v>
      </c>
      <c r="F520" s="429">
        <v>0</v>
      </c>
      <c r="G520" s="429">
        <v>0</v>
      </c>
      <c r="H520" s="429">
        <v>624560.43956043955</v>
      </c>
      <c r="I520" s="429">
        <v>0</v>
      </c>
      <c r="J520" s="429">
        <v>0</v>
      </c>
      <c r="K520" s="429">
        <v>0</v>
      </c>
      <c r="L520" s="429">
        <v>0</v>
      </c>
      <c r="M520" s="429">
        <v>0</v>
      </c>
      <c r="N520" s="430">
        <v>937990.900156177</v>
      </c>
    </row>
    <row r="521" spans="1:14" ht="15" customHeight="1" x14ac:dyDescent="0.25">
      <c r="A521" s="7" t="s">
        <v>1754</v>
      </c>
      <c r="B521" s="429">
        <v>783576.15148934349</v>
      </c>
      <c r="C521" s="429">
        <v>0</v>
      </c>
      <c r="D521" s="429">
        <v>0</v>
      </c>
      <c r="E521" s="429">
        <v>0</v>
      </c>
      <c r="F521" s="429">
        <v>0</v>
      </c>
      <c r="G521" s="429">
        <v>0</v>
      </c>
      <c r="H521" s="429">
        <v>667582.41758241761</v>
      </c>
      <c r="I521" s="429">
        <v>0</v>
      </c>
      <c r="J521" s="429">
        <v>0</v>
      </c>
      <c r="K521" s="429">
        <v>0</v>
      </c>
      <c r="L521" s="429">
        <v>0</v>
      </c>
      <c r="M521" s="429">
        <v>0</v>
      </c>
      <c r="N521" s="430">
        <v>1451158.5690717611</v>
      </c>
    </row>
    <row r="522" spans="1:14" ht="15" customHeight="1" x14ac:dyDescent="0.25">
      <c r="A522" s="7" t="s">
        <v>1755</v>
      </c>
      <c r="B522" s="429">
        <v>79394.091539793284</v>
      </c>
      <c r="C522" s="429">
        <v>6284.0862840862837</v>
      </c>
      <c r="D522" s="429">
        <v>1036.47639085892</v>
      </c>
      <c r="E522" s="429">
        <v>11168.091168091169</v>
      </c>
      <c r="F522" s="429">
        <v>0</v>
      </c>
      <c r="G522" s="429">
        <v>5859.0310979485339</v>
      </c>
      <c r="H522" s="429">
        <v>381982.12321800546</v>
      </c>
      <c r="I522" s="429">
        <v>6.8681318681318677</v>
      </c>
      <c r="J522" s="429">
        <v>11881.868131868132</v>
      </c>
      <c r="K522" s="429">
        <v>45222.14639987659</v>
      </c>
      <c r="L522" s="429">
        <v>2319.90231990232</v>
      </c>
      <c r="M522" s="429">
        <v>2422.6214702405177</v>
      </c>
      <c r="N522" s="430">
        <v>547577.30615253933</v>
      </c>
    </row>
    <row r="523" spans="1:14" ht="15" customHeight="1" x14ac:dyDescent="0.25">
      <c r="A523" s="7" t="s">
        <v>1756</v>
      </c>
      <c r="B523" s="429">
        <v>62459.46623834865</v>
      </c>
      <c r="C523" s="429">
        <v>3532.6636553630419</v>
      </c>
      <c r="D523" s="429">
        <v>2746.9803733193462</v>
      </c>
      <c r="E523" s="429">
        <v>3397.8291647003302</v>
      </c>
      <c r="F523" s="429">
        <v>1716.8627333245915</v>
      </c>
      <c r="G523" s="429">
        <v>3396.8002377677085</v>
      </c>
      <c r="H523" s="429">
        <v>515441.91960602941</v>
      </c>
      <c r="I523" s="429">
        <v>2347.2040474720525</v>
      </c>
      <c r="J523" s="429">
        <v>7597.3336479471445</v>
      </c>
      <c r="K523" s="429">
        <v>23875.738034774302</v>
      </c>
      <c r="L523" s="429">
        <v>0</v>
      </c>
      <c r="M523" s="429">
        <v>10433.62130128125</v>
      </c>
      <c r="N523" s="430">
        <v>636946.41904032789</v>
      </c>
    </row>
    <row r="524" spans="1:14" ht="15" customHeight="1" x14ac:dyDescent="0.25">
      <c r="A524" s="7" t="s">
        <v>1757</v>
      </c>
      <c r="B524" s="429">
        <v>160258.01411315188</v>
      </c>
      <c r="C524" s="429">
        <v>5373.5213685359104</v>
      </c>
      <c r="D524" s="429">
        <v>13992.43127659542</v>
      </c>
      <c r="E524" s="429">
        <v>6289.272284286827</v>
      </c>
      <c r="F524" s="429">
        <v>9794.7018936167951</v>
      </c>
      <c r="G524" s="429">
        <v>5273.1279881536802</v>
      </c>
      <c r="H524" s="429">
        <v>514539.30484822881</v>
      </c>
      <c r="I524" s="429">
        <v>401.78571428571428</v>
      </c>
      <c r="J524" s="429">
        <v>11780.679127946009</v>
      </c>
      <c r="K524" s="429">
        <v>3564.9575264136288</v>
      </c>
      <c r="L524" s="429">
        <v>0</v>
      </c>
      <c r="M524" s="429">
        <v>32705.389848246996</v>
      </c>
      <c r="N524" s="430">
        <v>763973.18598946161</v>
      </c>
    </row>
    <row r="525" spans="1:14" ht="15" customHeight="1" x14ac:dyDescent="0.25">
      <c r="A525" s="7" t="s">
        <v>1758</v>
      </c>
      <c r="B525" s="429">
        <v>181901.60659574045</v>
      </c>
      <c r="C525" s="429">
        <v>0</v>
      </c>
      <c r="D525" s="429">
        <v>0</v>
      </c>
      <c r="E525" s="429">
        <v>18681.31868131868</v>
      </c>
      <c r="F525" s="429">
        <v>0</v>
      </c>
      <c r="G525" s="429">
        <v>19774.229955576302</v>
      </c>
      <c r="H525" s="429">
        <v>152987.63736263735</v>
      </c>
      <c r="I525" s="429">
        <v>0</v>
      </c>
      <c r="J525" s="429">
        <v>69539.835164835167</v>
      </c>
      <c r="K525" s="429">
        <v>0</v>
      </c>
      <c r="L525" s="429">
        <v>0</v>
      </c>
      <c r="M525" s="429">
        <v>0</v>
      </c>
      <c r="N525" s="430">
        <v>442884.62776010804</v>
      </c>
    </row>
    <row r="526" spans="1:14" ht="15" customHeight="1" x14ac:dyDescent="0.25">
      <c r="A526" s="7" t="s">
        <v>1759</v>
      </c>
      <c r="B526" s="429">
        <v>167909.17531914503</v>
      </c>
      <c r="C526" s="429">
        <v>0</v>
      </c>
      <c r="D526" s="429">
        <v>0</v>
      </c>
      <c r="E526" s="429">
        <v>0</v>
      </c>
      <c r="F526" s="429">
        <v>0</v>
      </c>
      <c r="G526" s="429">
        <v>0</v>
      </c>
      <c r="H526" s="429">
        <v>255906.5934065934</v>
      </c>
      <c r="I526" s="429">
        <v>0</v>
      </c>
      <c r="J526" s="429">
        <v>81593.406593406587</v>
      </c>
      <c r="K526" s="429">
        <v>0</v>
      </c>
      <c r="L526" s="429">
        <v>0</v>
      </c>
      <c r="M526" s="429">
        <v>0</v>
      </c>
      <c r="N526" s="430">
        <v>505409.17531914503</v>
      </c>
    </row>
    <row r="527" spans="1:14" ht="15" customHeight="1" x14ac:dyDescent="0.25">
      <c r="A527" s="7" t="s">
        <v>1760</v>
      </c>
      <c r="B527" s="429">
        <v>41094.61983123605</v>
      </c>
      <c r="C527" s="429">
        <v>5171.2992889463476</v>
      </c>
      <c r="D527" s="429">
        <v>4052.1067950321576</v>
      </c>
      <c r="E527" s="429">
        <v>5469.6434786932523</v>
      </c>
      <c r="F527" s="429">
        <v>1013.0266987580394</v>
      </c>
      <c r="G527" s="429">
        <v>2147.4276874833995</v>
      </c>
      <c r="H527" s="429">
        <v>357513.45387012779</v>
      </c>
      <c r="I527" s="429">
        <v>12137.310579816203</v>
      </c>
      <c r="J527" s="429">
        <v>11495.574561185422</v>
      </c>
      <c r="K527" s="429">
        <v>34337.584862258576</v>
      </c>
      <c r="L527" s="429">
        <v>803.0431107354184</v>
      </c>
      <c r="M527" s="429">
        <v>9518.6003395441021</v>
      </c>
      <c r="N527" s="430">
        <v>484753.69110381685</v>
      </c>
    </row>
    <row r="528" spans="1:14" ht="15" customHeight="1" x14ac:dyDescent="0.25">
      <c r="A528" s="7" t="s">
        <v>1761</v>
      </c>
      <c r="B528" s="429">
        <v>40985.305531117752</v>
      </c>
      <c r="C528" s="429">
        <v>3057.8117534639273</v>
      </c>
      <c r="D528" s="429">
        <v>2884.1082180422118</v>
      </c>
      <c r="E528" s="429">
        <v>3057.8825361434056</v>
      </c>
      <c r="F528" s="429">
        <v>2937.1249132268113</v>
      </c>
      <c r="G528" s="429">
        <v>1273.7024125975072</v>
      </c>
      <c r="H528" s="429">
        <v>460395.75847626867</v>
      </c>
      <c r="I528" s="429">
        <v>1469.9575320992908</v>
      </c>
      <c r="J528" s="429">
        <v>9997.6110845676067</v>
      </c>
      <c r="K528" s="429">
        <v>3999.3350672058427</v>
      </c>
      <c r="L528" s="429">
        <v>2280.9010635097593</v>
      </c>
      <c r="M528" s="429">
        <v>14703.846111713607</v>
      </c>
      <c r="N528" s="430">
        <v>547043.34469995636</v>
      </c>
    </row>
    <row r="529" spans="1:14" ht="15" customHeight="1" x14ac:dyDescent="0.25">
      <c r="A529" s="7" t="s">
        <v>1762</v>
      </c>
      <c r="B529" s="429">
        <v>93469.511267892551</v>
      </c>
      <c r="C529" s="429">
        <v>0</v>
      </c>
      <c r="D529" s="429">
        <v>4600.2513786067129</v>
      </c>
      <c r="E529" s="429">
        <v>0</v>
      </c>
      <c r="F529" s="429">
        <v>20394.447778489761</v>
      </c>
      <c r="G529" s="429">
        <v>13002.233395447432</v>
      </c>
      <c r="H529" s="429">
        <v>414613.79466603935</v>
      </c>
      <c r="I529" s="429">
        <v>1249.8118320036128</v>
      </c>
      <c r="J529" s="429">
        <v>40441.065783531536</v>
      </c>
      <c r="K529" s="429">
        <v>6755.5131208294788</v>
      </c>
      <c r="L529" s="429">
        <v>16588.890561493303</v>
      </c>
      <c r="M529" s="429">
        <v>0</v>
      </c>
      <c r="N529" s="430">
        <v>611115.51978433377</v>
      </c>
    </row>
    <row r="530" spans="1:14" ht="15" customHeight="1" x14ac:dyDescent="0.25">
      <c r="A530" s="7" t="s">
        <v>1763</v>
      </c>
      <c r="B530" s="429">
        <v>118397.49541734584</v>
      </c>
      <c r="C530" s="429">
        <v>19273.034657650041</v>
      </c>
      <c r="D530" s="429">
        <v>0</v>
      </c>
      <c r="E530" s="429">
        <v>19273.034657650041</v>
      </c>
      <c r="F530" s="429">
        <v>0</v>
      </c>
      <c r="G530" s="429">
        <v>12168.756895739263</v>
      </c>
      <c r="H530" s="429">
        <v>380573.21419953328</v>
      </c>
      <c r="I530" s="429">
        <v>0</v>
      </c>
      <c r="J530" s="429">
        <v>17117.497886728655</v>
      </c>
      <c r="K530" s="429">
        <v>0</v>
      </c>
      <c r="L530" s="429">
        <v>0</v>
      </c>
      <c r="M530" s="429">
        <v>0</v>
      </c>
      <c r="N530" s="430">
        <v>566803.03371464717</v>
      </c>
    </row>
    <row r="531" spans="1:14" ht="15" customHeight="1" x14ac:dyDescent="0.25">
      <c r="A531" s="7" t="s">
        <v>1764</v>
      </c>
      <c r="B531" s="429">
        <v>0</v>
      </c>
      <c r="C531" s="429">
        <v>0</v>
      </c>
      <c r="D531" s="429">
        <v>0</v>
      </c>
      <c r="E531" s="429">
        <v>0</v>
      </c>
      <c r="F531" s="429">
        <v>0</v>
      </c>
      <c r="G531" s="429">
        <v>158193.83964461042</v>
      </c>
      <c r="H531" s="429">
        <v>519230.76923076925</v>
      </c>
      <c r="I531" s="429">
        <v>0</v>
      </c>
      <c r="J531" s="429">
        <v>0</v>
      </c>
      <c r="K531" s="429">
        <v>0</v>
      </c>
      <c r="L531" s="429">
        <v>0</v>
      </c>
      <c r="M531" s="429">
        <v>0</v>
      </c>
      <c r="N531" s="430">
        <v>677424.60887537966</v>
      </c>
    </row>
    <row r="532" spans="1:14" ht="15" customHeight="1" x14ac:dyDescent="0.25">
      <c r="A532" s="7" t="s">
        <v>1765</v>
      </c>
      <c r="B532" s="429">
        <v>111939.45021276336</v>
      </c>
      <c r="C532" s="429">
        <v>0</v>
      </c>
      <c r="D532" s="429">
        <v>0</v>
      </c>
      <c r="E532" s="429">
        <v>0</v>
      </c>
      <c r="F532" s="429">
        <v>0</v>
      </c>
      <c r="G532" s="429">
        <v>0</v>
      </c>
      <c r="H532" s="429">
        <v>0</v>
      </c>
      <c r="I532" s="429">
        <v>0</v>
      </c>
      <c r="J532" s="429">
        <v>370879.12087912089</v>
      </c>
      <c r="K532" s="429">
        <v>0</v>
      </c>
      <c r="L532" s="429">
        <v>0</v>
      </c>
      <c r="M532" s="429">
        <v>0</v>
      </c>
      <c r="N532" s="430">
        <v>482818.57109188428</v>
      </c>
    </row>
    <row r="533" spans="1:14" ht="15" customHeight="1" x14ac:dyDescent="0.25">
      <c r="A533" s="7" t="s">
        <v>1766</v>
      </c>
      <c r="B533" s="429">
        <v>244418.24908841908</v>
      </c>
      <c r="C533" s="429">
        <v>0</v>
      </c>
      <c r="D533" s="429">
        <v>0</v>
      </c>
      <c r="E533" s="429">
        <v>0</v>
      </c>
      <c r="F533" s="429">
        <v>0</v>
      </c>
      <c r="G533" s="429">
        <v>0</v>
      </c>
      <c r="H533" s="429">
        <v>74175.824175824178</v>
      </c>
      <c r="I533" s="429">
        <v>0</v>
      </c>
      <c r="J533" s="429">
        <v>86538.461538461532</v>
      </c>
      <c r="K533" s="429">
        <v>0</v>
      </c>
      <c r="L533" s="429">
        <v>0</v>
      </c>
      <c r="M533" s="429">
        <v>0</v>
      </c>
      <c r="N533" s="430">
        <v>405132.53480270482</v>
      </c>
    </row>
    <row r="534" spans="1:14" ht="15" customHeight="1" x14ac:dyDescent="0.25">
      <c r="A534" s="7" t="s">
        <v>1767</v>
      </c>
      <c r="B534" s="429">
        <v>134327.340255316</v>
      </c>
      <c r="C534" s="429">
        <v>8791.2087912087918</v>
      </c>
      <c r="D534" s="429">
        <v>0</v>
      </c>
      <c r="E534" s="429">
        <v>8791.2087912087918</v>
      </c>
      <c r="F534" s="429">
        <v>0</v>
      </c>
      <c r="G534" s="429">
        <v>0</v>
      </c>
      <c r="H534" s="429">
        <v>203241.75824175825</v>
      </c>
      <c r="I534" s="429">
        <v>0</v>
      </c>
      <c r="J534" s="429">
        <v>29670.329670329669</v>
      </c>
      <c r="K534" s="429">
        <v>0</v>
      </c>
      <c r="L534" s="429">
        <v>0</v>
      </c>
      <c r="M534" s="429">
        <v>0</v>
      </c>
      <c r="N534" s="430">
        <v>384821.84574982151</v>
      </c>
    </row>
    <row r="535" spans="1:14" ht="15" customHeight="1" x14ac:dyDescent="0.25">
      <c r="A535" s="7" t="s">
        <v>1768</v>
      </c>
      <c r="B535" s="429">
        <v>51305.581347516534</v>
      </c>
      <c r="C535" s="429">
        <v>0</v>
      </c>
      <c r="D535" s="429">
        <v>0</v>
      </c>
      <c r="E535" s="429">
        <v>0</v>
      </c>
      <c r="F535" s="429">
        <v>18656.575035460559</v>
      </c>
      <c r="G535" s="429">
        <v>0</v>
      </c>
      <c r="H535" s="429">
        <v>153717.28788762534</v>
      </c>
      <c r="I535" s="429">
        <v>0</v>
      </c>
      <c r="J535" s="429">
        <v>0</v>
      </c>
      <c r="K535" s="429">
        <v>37134.974233475295</v>
      </c>
      <c r="L535" s="429">
        <v>0</v>
      </c>
      <c r="M535" s="429">
        <v>17442.87458573173</v>
      </c>
      <c r="N535" s="430">
        <v>278257.29308980942</v>
      </c>
    </row>
    <row r="536" spans="1:14" ht="15" customHeight="1" x14ac:dyDescent="0.25">
      <c r="A536" s="7" t="s">
        <v>1769</v>
      </c>
      <c r="B536" s="429">
        <v>43990.240083612262</v>
      </c>
      <c r="C536" s="429">
        <v>16657.027183342972</v>
      </c>
      <c r="D536" s="429">
        <v>19638.500037326907</v>
      </c>
      <c r="E536" s="429">
        <v>16657.027183342972</v>
      </c>
      <c r="F536" s="429">
        <v>0</v>
      </c>
      <c r="G536" s="429">
        <v>13876.652600404421</v>
      </c>
      <c r="H536" s="429">
        <v>426877.31710097857</v>
      </c>
      <c r="I536" s="429">
        <v>65.066512434933486</v>
      </c>
      <c r="J536" s="429">
        <v>21797.281665702718</v>
      </c>
      <c r="K536" s="429">
        <v>2918.6786765959532</v>
      </c>
      <c r="L536" s="429">
        <v>0</v>
      </c>
      <c r="M536" s="429">
        <v>1836.0920616559715</v>
      </c>
      <c r="N536" s="430">
        <v>564313.88310539757</v>
      </c>
    </row>
    <row r="537" spans="1:14" ht="15" customHeight="1" x14ac:dyDescent="0.25">
      <c r="A537" s="7" t="s">
        <v>1770</v>
      </c>
      <c r="B537" s="429">
        <v>117536.42272340153</v>
      </c>
      <c r="C537" s="429">
        <v>0</v>
      </c>
      <c r="D537" s="429">
        <v>11193.945021276335</v>
      </c>
      <c r="E537" s="429">
        <v>0</v>
      </c>
      <c r="F537" s="429">
        <v>8395.4587659572517</v>
      </c>
      <c r="G537" s="429">
        <v>3954.8459911152604</v>
      </c>
      <c r="H537" s="429">
        <v>454485.93977783271</v>
      </c>
      <c r="I537" s="429">
        <v>11126.373626373626</v>
      </c>
      <c r="J537" s="429">
        <v>86322.11538461539</v>
      </c>
      <c r="K537" s="429">
        <v>0</v>
      </c>
      <c r="L537" s="429">
        <v>2714.2857142857142</v>
      </c>
      <c r="M537" s="429">
        <v>0</v>
      </c>
      <c r="N537" s="430">
        <v>695729.38700485777</v>
      </c>
    </row>
    <row r="538" spans="1:14" ht="15" customHeight="1" x14ac:dyDescent="0.25">
      <c r="A538" s="7" t="s">
        <v>1771</v>
      </c>
      <c r="B538" s="429">
        <v>226117.68942978198</v>
      </c>
      <c r="C538" s="429">
        <v>0</v>
      </c>
      <c r="D538" s="429">
        <v>44775.78008510534</v>
      </c>
      <c r="E538" s="429">
        <v>0</v>
      </c>
      <c r="F538" s="429">
        <v>0</v>
      </c>
      <c r="G538" s="429">
        <v>0</v>
      </c>
      <c r="H538" s="429">
        <v>363461.53846153844</v>
      </c>
      <c r="I538" s="429">
        <v>0</v>
      </c>
      <c r="J538" s="429">
        <v>52182.64933212789</v>
      </c>
      <c r="K538" s="429">
        <v>0</v>
      </c>
      <c r="L538" s="429">
        <v>0</v>
      </c>
      <c r="M538" s="429">
        <v>0</v>
      </c>
      <c r="N538" s="430">
        <v>686537.65730855369</v>
      </c>
    </row>
    <row r="539" spans="1:14" ht="15" customHeight="1" x14ac:dyDescent="0.25">
      <c r="A539" s="7" t="s">
        <v>1772</v>
      </c>
      <c r="B539" s="429">
        <v>559697.25106381683</v>
      </c>
      <c r="C539" s="429">
        <v>0</v>
      </c>
      <c r="D539" s="429">
        <v>0</v>
      </c>
      <c r="E539" s="429">
        <v>0</v>
      </c>
      <c r="F539" s="429">
        <v>0</v>
      </c>
      <c r="G539" s="429">
        <v>79096.919822305208</v>
      </c>
      <c r="H539" s="429">
        <v>0</v>
      </c>
      <c r="I539" s="429">
        <v>0</v>
      </c>
      <c r="J539" s="429">
        <v>0</v>
      </c>
      <c r="K539" s="429">
        <v>0</v>
      </c>
      <c r="L539" s="429">
        <v>0</v>
      </c>
      <c r="M539" s="429">
        <v>0</v>
      </c>
      <c r="N539" s="430">
        <v>638794.17088612204</v>
      </c>
    </row>
    <row r="540" spans="1:14" ht="15" customHeight="1" x14ac:dyDescent="0.25">
      <c r="A540" s="7" t="s">
        <v>1773</v>
      </c>
      <c r="B540" s="429">
        <v>97947.018936167951</v>
      </c>
      <c r="C540" s="429">
        <v>30219.780219780219</v>
      </c>
      <c r="D540" s="429">
        <v>0</v>
      </c>
      <c r="E540" s="429">
        <v>30219.780219780219</v>
      </c>
      <c r="F540" s="429">
        <v>0</v>
      </c>
      <c r="G540" s="429">
        <v>19774.229955576302</v>
      </c>
      <c r="H540" s="429">
        <v>382932.69230769231</v>
      </c>
      <c r="I540" s="429">
        <v>0</v>
      </c>
      <c r="J540" s="429">
        <v>0</v>
      </c>
      <c r="K540" s="429">
        <v>0</v>
      </c>
      <c r="L540" s="429">
        <v>31318.68131868132</v>
      </c>
      <c r="M540" s="429">
        <v>0</v>
      </c>
      <c r="N540" s="430">
        <v>592412.18295767833</v>
      </c>
    </row>
    <row r="541" spans="1:14" ht="15" customHeight="1" x14ac:dyDescent="0.25">
      <c r="A541" s="7" t="s">
        <v>1774</v>
      </c>
      <c r="B541" s="429">
        <v>104826.63098049401</v>
      </c>
      <c r="C541" s="429">
        <v>12191.802450423142</v>
      </c>
      <c r="D541" s="429">
        <v>10494.323457446566</v>
      </c>
      <c r="E541" s="429">
        <v>12191.802450423142</v>
      </c>
      <c r="F541" s="429">
        <v>4664.1437588651397</v>
      </c>
      <c r="G541" s="429">
        <v>16478.524962980249</v>
      </c>
      <c r="H541" s="429">
        <v>495409.84469159867</v>
      </c>
      <c r="I541" s="429">
        <v>1790.648517183859</v>
      </c>
      <c r="J541" s="429">
        <v>17574.025652803786</v>
      </c>
      <c r="K541" s="429">
        <v>3713.4974233475305</v>
      </c>
      <c r="L541" s="429">
        <v>16529.304029304029</v>
      </c>
      <c r="M541" s="429">
        <v>2136.7521367521367</v>
      </c>
      <c r="N541" s="430">
        <v>698001.30051162234</v>
      </c>
    </row>
    <row r="542" spans="1:14" ht="15" customHeight="1" x14ac:dyDescent="0.25">
      <c r="A542" s="7" t="s">
        <v>1775</v>
      </c>
      <c r="B542" s="429">
        <v>294695.26790210471</v>
      </c>
      <c r="C542" s="429">
        <v>0</v>
      </c>
      <c r="D542" s="429">
        <v>0</v>
      </c>
      <c r="E542" s="429">
        <v>0</v>
      </c>
      <c r="F542" s="429">
        <v>0</v>
      </c>
      <c r="G542" s="429">
        <v>0</v>
      </c>
      <c r="H542" s="429">
        <v>267857.14285714284</v>
      </c>
      <c r="I542" s="429">
        <v>0</v>
      </c>
      <c r="J542" s="429">
        <v>0</v>
      </c>
      <c r="K542" s="429">
        <v>0</v>
      </c>
      <c r="L542" s="429">
        <v>0</v>
      </c>
      <c r="M542" s="429">
        <v>0</v>
      </c>
      <c r="N542" s="430">
        <v>562552.41075924761</v>
      </c>
    </row>
    <row r="543" spans="1:14" ht="15" customHeight="1" x14ac:dyDescent="0.25">
      <c r="A543" s="7" t="s">
        <v>1776</v>
      </c>
      <c r="B543" s="429">
        <v>97014.190184394916</v>
      </c>
      <c r="C543" s="429">
        <v>7326.0073260073259</v>
      </c>
      <c r="D543" s="429">
        <v>4664.1437588651397</v>
      </c>
      <c r="E543" s="429">
        <v>0</v>
      </c>
      <c r="F543" s="429">
        <v>0</v>
      </c>
      <c r="G543" s="429">
        <v>13182.8199703842</v>
      </c>
      <c r="H543" s="429">
        <v>403598.56876993977</v>
      </c>
      <c r="I543" s="429">
        <v>1236.2637362637363</v>
      </c>
      <c r="J543" s="429">
        <v>15453.296703296703</v>
      </c>
      <c r="K543" s="429">
        <v>23766.383509424195</v>
      </c>
      <c r="L543" s="429">
        <v>0</v>
      </c>
      <c r="M543" s="429">
        <v>0</v>
      </c>
      <c r="N543" s="430">
        <v>566241.67395857594</v>
      </c>
    </row>
    <row r="544" spans="1:14" ht="15" customHeight="1" x14ac:dyDescent="0.25">
      <c r="A544" s="7" t="s">
        <v>1777</v>
      </c>
      <c r="B544" s="429">
        <v>163764.58928267908</v>
      </c>
      <c r="C544" s="429">
        <v>2197.802197802198</v>
      </c>
      <c r="D544" s="429">
        <v>30783.348808509927</v>
      </c>
      <c r="E544" s="429">
        <v>2197.802197802198</v>
      </c>
      <c r="F544" s="429">
        <v>11893.566585106106</v>
      </c>
      <c r="G544" s="429">
        <v>0</v>
      </c>
      <c r="H544" s="429">
        <v>440139.78952451097</v>
      </c>
      <c r="I544" s="429">
        <v>5563.1868131868132</v>
      </c>
      <c r="J544" s="429">
        <v>31988.324175824175</v>
      </c>
      <c r="K544" s="429">
        <v>0</v>
      </c>
      <c r="L544" s="429">
        <v>0</v>
      </c>
      <c r="M544" s="429">
        <v>0</v>
      </c>
      <c r="N544" s="430">
        <v>688528.40958542144</v>
      </c>
    </row>
    <row r="545" spans="1:14" ht="15" customHeight="1" x14ac:dyDescent="0.25">
      <c r="A545" s="7" t="s">
        <v>1778</v>
      </c>
      <c r="B545" s="429">
        <v>111939.45021276336</v>
      </c>
      <c r="C545" s="429">
        <v>13186.813186813188</v>
      </c>
      <c r="D545" s="429">
        <v>0</v>
      </c>
      <c r="E545" s="429">
        <v>13186.813186813188</v>
      </c>
      <c r="F545" s="429">
        <v>0</v>
      </c>
      <c r="G545" s="429">
        <v>0</v>
      </c>
      <c r="H545" s="429">
        <v>778846.15384615387</v>
      </c>
      <c r="I545" s="429">
        <v>0</v>
      </c>
      <c r="J545" s="429">
        <v>111263.73626373627</v>
      </c>
      <c r="K545" s="429">
        <v>0</v>
      </c>
      <c r="L545" s="429">
        <v>417582.41758241761</v>
      </c>
      <c r="M545" s="429">
        <v>0</v>
      </c>
      <c r="N545" s="430">
        <v>1446005.3842786974</v>
      </c>
    </row>
    <row r="546" spans="1:14" ht="15" customHeight="1" x14ac:dyDescent="0.25">
      <c r="A546" s="7" t="s">
        <v>1779</v>
      </c>
      <c r="B546" s="429">
        <v>447757.80085105344</v>
      </c>
      <c r="C546" s="429">
        <v>0</v>
      </c>
      <c r="D546" s="429">
        <v>0</v>
      </c>
      <c r="E546" s="429">
        <v>0</v>
      </c>
      <c r="F546" s="429">
        <v>0</v>
      </c>
      <c r="G546" s="429">
        <v>0</v>
      </c>
      <c r="H546" s="429">
        <v>0</v>
      </c>
      <c r="I546" s="429">
        <v>0</v>
      </c>
      <c r="J546" s="429">
        <v>59340.659340659338</v>
      </c>
      <c r="K546" s="429">
        <v>0</v>
      </c>
      <c r="L546" s="429">
        <v>0</v>
      </c>
      <c r="M546" s="429">
        <v>0</v>
      </c>
      <c r="N546" s="430">
        <v>507098.46019171277</v>
      </c>
    </row>
    <row r="547" spans="1:14" ht="15" customHeight="1" x14ac:dyDescent="0.25">
      <c r="A547" s="7" t="s">
        <v>1780</v>
      </c>
      <c r="B547" s="429">
        <v>230463.57396745399</v>
      </c>
      <c r="C547" s="429">
        <v>20685.19715578539</v>
      </c>
      <c r="D547" s="429">
        <v>0</v>
      </c>
      <c r="E547" s="429">
        <v>20685.19715578539</v>
      </c>
      <c r="F547" s="429">
        <v>0</v>
      </c>
      <c r="G547" s="429">
        <v>37222.07991637892</v>
      </c>
      <c r="H547" s="429">
        <v>309793.14802844217</v>
      </c>
      <c r="I547" s="429">
        <v>0</v>
      </c>
      <c r="J547" s="429">
        <v>1090.8209437621201</v>
      </c>
      <c r="K547" s="429">
        <v>0</v>
      </c>
      <c r="L547" s="429">
        <v>4421.4608920491273</v>
      </c>
      <c r="M547" s="429">
        <v>0</v>
      </c>
      <c r="N547" s="430">
        <v>624361.47805965715</v>
      </c>
    </row>
    <row r="548" spans="1:14" ht="15" customHeight="1" x14ac:dyDescent="0.25">
      <c r="A548" s="7" t="s">
        <v>1781</v>
      </c>
      <c r="B548" s="429">
        <v>118505.66253801387</v>
      </c>
      <c r="C548" s="429">
        <v>27089.519774545592</v>
      </c>
      <c r="D548" s="429">
        <v>0</v>
      </c>
      <c r="E548" s="429">
        <v>24342.267027292844</v>
      </c>
      <c r="F548" s="429">
        <v>5830.1796985814253</v>
      </c>
      <c r="G548" s="429">
        <v>23069.934948172351</v>
      </c>
      <c r="H548" s="429">
        <v>477611.08263708523</v>
      </c>
      <c r="I548" s="429">
        <v>231.79945054945054</v>
      </c>
      <c r="J548" s="429">
        <v>25495.078152372444</v>
      </c>
      <c r="K548" s="429">
        <v>0</v>
      </c>
      <c r="L548" s="429">
        <v>0</v>
      </c>
      <c r="M548" s="429">
        <v>0</v>
      </c>
      <c r="N548" s="430">
        <v>702175.52422661323</v>
      </c>
    </row>
    <row r="549" spans="1:14" ht="15" customHeight="1" x14ac:dyDescent="0.25">
      <c r="A549" s="7" t="s">
        <v>1782</v>
      </c>
      <c r="B549" s="429">
        <v>230097.75877068023</v>
      </c>
      <c r="C549" s="429">
        <v>0</v>
      </c>
      <c r="D549" s="429">
        <v>6218.8583451535196</v>
      </c>
      <c r="E549" s="429">
        <v>0</v>
      </c>
      <c r="F549" s="429">
        <v>0</v>
      </c>
      <c r="G549" s="429">
        <v>43942.733234613996</v>
      </c>
      <c r="H549" s="429">
        <v>393646.01978164597</v>
      </c>
      <c r="I549" s="429">
        <v>329.67032967032969</v>
      </c>
      <c r="J549" s="429">
        <v>12362.637362637362</v>
      </c>
      <c r="K549" s="429">
        <v>0</v>
      </c>
      <c r="L549" s="429">
        <v>18559.21855921856</v>
      </c>
      <c r="M549" s="429">
        <v>0</v>
      </c>
      <c r="N549" s="430">
        <v>705156.89638361998</v>
      </c>
    </row>
    <row r="550" spans="1:14" ht="15" customHeight="1" x14ac:dyDescent="0.25">
      <c r="A550" s="7" t="s">
        <v>1783</v>
      </c>
      <c r="B550" s="429">
        <v>130596.02524822393</v>
      </c>
      <c r="C550" s="429">
        <v>0</v>
      </c>
      <c r="D550" s="429">
        <v>0</v>
      </c>
      <c r="E550" s="429">
        <v>0</v>
      </c>
      <c r="F550" s="429">
        <v>6218.8583451535196</v>
      </c>
      <c r="G550" s="429">
        <v>13182.819970384202</v>
      </c>
      <c r="H550" s="429">
        <v>434475.32125132933</v>
      </c>
      <c r="I550" s="429">
        <v>6181.3186813186812</v>
      </c>
      <c r="J550" s="429">
        <v>26270.604395604394</v>
      </c>
      <c r="K550" s="429">
        <v>0</v>
      </c>
      <c r="L550" s="429">
        <v>0</v>
      </c>
      <c r="M550" s="429">
        <v>0</v>
      </c>
      <c r="N550" s="430">
        <v>616924.94789201405</v>
      </c>
    </row>
    <row r="551" spans="1:14" ht="15" customHeight="1" x14ac:dyDescent="0.25">
      <c r="A551" s="7" t="s">
        <v>1784</v>
      </c>
      <c r="B551" s="429">
        <v>1007455.0519148703</v>
      </c>
      <c r="C551" s="429">
        <v>0</v>
      </c>
      <c r="D551" s="429">
        <v>0</v>
      </c>
      <c r="E551" s="429">
        <v>0</v>
      </c>
      <c r="F551" s="429">
        <v>0</v>
      </c>
      <c r="G551" s="429">
        <v>0</v>
      </c>
      <c r="H551" s="429">
        <v>0</v>
      </c>
      <c r="I551" s="429">
        <v>0</v>
      </c>
      <c r="J551" s="429">
        <v>0</v>
      </c>
      <c r="K551" s="429">
        <v>0</v>
      </c>
      <c r="L551" s="429">
        <v>0</v>
      </c>
      <c r="M551" s="429">
        <v>0</v>
      </c>
      <c r="N551" s="430">
        <v>1007455.0519148703</v>
      </c>
    </row>
    <row r="552" spans="1:14" ht="15" customHeight="1" x14ac:dyDescent="0.25">
      <c r="A552" s="7" t="s">
        <v>1785</v>
      </c>
      <c r="B552" s="429">
        <v>118524.1237546906</v>
      </c>
      <c r="C552" s="429">
        <v>4447.3173884938587</v>
      </c>
      <c r="D552" s="429">
        <v>11457.331962953425</v>
      </c>
      <c r="E552" s="429">
        <v>4447.3173884938587</v>
      </c>
      <c r="F552" s="429">
        <v>6913.9072190236193</v>
      </c>
      <c r="G552" s="429">
        <v>9305.5199790947281</v>
      </c>
      <c r="H552" s="429">
        <v>485676.98867440544</v>
      </c>
      <c r="I552" s="429">
        <v>445.05494505494505</v>
      </c>
      <c r="J552" s="429">
        <v>10384.615384615385</v>
      </c>
      <c r="K552" s="429">
        <v>0</v>
      </c>
      <c r="L552" s="429">
        <v>17685.843568196509</v>
      </c>
      <c r="M552" s="429">
        <v>0</v>
      </c>
      <c r="N552" s="430">
        <v>669288.02026502229</v>
      </c>
    </row>
    <row r="553" spans="1:14" ht="15" customHeight="1" x14ac:dyDescent="0.25">
      <c r="A553" s="7" t="s">
        <v>1786</v>
      </c>
      <c r="B553" s="429">
        <v>194943.86825406548</v>
      </c>
      <c r="C553" s="429">
        <v>6718.484767265255</v>
      </c>
      <c r="D553" s="429">
        <v>2730.2304929942284</v>
      </c>
      <c r="E553" s="429">
        <v>4574.2875011167698</v>
      </c>
      <c r="F553" s="429">
        <v>2730.2304929942284</v>
      </c>
      <c r="G553" s="429">
        <v>25722.57555196917</v>
      </c>
      <c r="H553" s="429">
        <v>489023.66671034932</v>
      </c>
      <c r="I553" s="429">
        <v>7274.5999083528577</v>
      </c>
      <c r="J553" s="429">
        <v>21617.677919170139</v>
      </c>
      <c r="K553" s="429">
        <v>4830.5657539480062</v>
      </c>
      <c r="L553" s="429">
        <v>18332.886625569554</v>
      </c>
      <c r="M553" s="429">
        <v>0</v>
      </c>
      <c r="N553" s="430">
        <v>778499.07397779508</v>
      </c>
    </row>
    <row r="554" spans="1:14" ht="15" customHeight="1" x14ac:dyDescent="0.25">
      <c r="A554" s="7" t="s">
        <v>1787</v>
      </c>
      <c r="B554" s="429">
        <v>146920.52840425191</v>
      </c>
      <c r="C554" s="429">
        <v>10373.24744221296</v>
      </c>
      <c r="D554" s="429">
        <v>27984.86255319084</v>
      </c>
      <c r="E554" s="429">
        <v>10373.24744221296</v>
      </c>
      <c r="F554" s="429">
        <v>0</v>
      </c>
      <c r="G554" s="429">
        <v>4943.5574888940755</v>
      </c>
      <c r="H554" s="429">
        <v>506056.6181871341</v>
      </c>
      <c r="I554" s="429">
        <v>0</v>
      </c>
      <c r="J554" s="429">
        <v>0</v>
      </c>
      <c r="K554" s="429">
        <v>0</v>
      </c>
      <c r="L554" s="429">
        <v>0</v>
      </c>
      <c r="M554" s="429">
        <v>0</v>
      </c>
      <c r="N554" s="430">
        <v>706652.06151789695</v>
      </c>
    </row>
    <row r="555" spans="1:14" ht="15" customHeight="1" x14ac:dyDescent="0.25">
      <c r="A555" s="7" t="s">
        <v>1788</v>
      </c>
      <c r="B555" s="429">
        <v>187940.44535721847</v>
      </c>
      <c r="C555" s="429">
        <v>22209.369577790629</v>
      </c>
      <c r="D555" s="429">
        <v>0</v>
      </c>
      <c r="E555" s="429">
        <v>22209.369577790629</v>
      </c>
      <c r="F555" s="429">
        <v>0</v>
      </c>
      <c r="G555" s="429">
        <v>24977.974680727959</v>
      </c>
      <c r="H555" s="429">
        <v>284315.16941061668</v>
      </c>
      <c r="I555" s="429">
        <v>0</v>
      </c>
      <c r="J555" s="429">
        <v>0</v>
      </c>
      <c r="K555" s="429">
        <v>0</v>
      </c>
      <c r="L555" s="429">
        <v>0</v>
      </c>
      <c r="M555" s="429">
        <v>0</v>
      </c>
      <c r="N555" s="430">
        <v>541652.32860414439</v>
      </c>
    </row>
    <row r="556" spans="1:14" ht="15" customHeight="1" x14ac:dyDescent="0.25">
      <c r="A556" s="7" t="s">
        <v>1789</v>
      </c>
      <c r="B556" s="429">
        <v>55969.72510638168</v>
      </c>
      <c r="C556" s="429">
        <v>0</v>
      </c>
      <c r="D556" s="429">
        <v>0</v>
      </c>
      <c r="E556" s="429">
        <v>0</v>
      </c>
      <c r="F556" s="429">
        <v>44775.78008510534</v>
      </c>
      <c r="G556" s="429">
        <v>0</v>
      </c>
      <c r="H556" s="429">
        <v>845604.39560439566</v>
      </c>
      <c r="I556" s="429">
        <v>0</v>
      </c>
      <c r="J556" s="429">
        <v>0</v>
      </c>
      <c r="K556" s="429">
        <v>0</v>
      </c>
      <c r="L556" s="429">
        <v>0</v>
      </c>
      <c r="M556" s="429">
        <v>0</v>
      </c>
      <c r="N556" s="430">
        <v>946349.90079588257</v>
      </c>
    </row>
    <row r="557" spans="1:14" ht="15" customHeight="1" x14ac:dyDescent="0.25">
      <c r="A557" s="7" t="s">
        <v>1790</v>
      </c>
      <c r="B557" s="429">
        <v>111939.45021276336</v>
      </c>
      <c r="C557" s="429">
        <v>0</v>
      </c>
      <c r="D557" s="429">
        <v>0</v>
      </c>
      <c r="E557" s="429">
        <v>0</v>
      </c>
      <c r="F557" s="429">
        <v>0</v>
      </c>
      <c r="G557" s="429">
        <v>0</v>
      </c>
      <c r="H557" s="429">
        <v>370879.12087912089</v>
      </c>
      <c r="I557" s="429">
        <v>0</v>
      </c>
      <c r="J557" s="429">
        <v>0</v>
      </c>
      <c r="K557" s="429">
        <v>0</v>
      </c>
      <c r="L557" s="429">
        <v>0</v>
      </c>
      <c r="M557" s="429">
        <v>0</v>
      </c>
      <c r="N557" s="430">
        <v>482818.57109188428</v>
      </c>
    </row>
    <row r="558" spans="1:14" ht="15" customHeight="1" x14ac:dyDescent="0.25">
      <c r="A558" s="7" t="s">
        <v>1791</v>
      </c>
      <c r="B558" s="429">
        <v>0</v>
      </c>
      <c r="C558" s="429">
        <v>0</v>
      </c>
      <c r="D558" s="429">
        <v>0</v>
      </c>
      <c r="E558" s="429">
        <v>0</v>
      </c>
      <c r="F558" s="429">
        <v>0</v>
      </c>
      <c r="G558" s="429">
        <v>0</v>
      </c>
      <c r="H558" s="429">
        <v>741758.24175824178</v>
      </c>
      <c r="I558" s="429">
        <v>0</v>
      </c>
      <c r="J558" s="429">
        <v>0</v>
      </c>
      <c r="K558" s="429">
        <v>0</v>
      </c>
      <c r="L558" s="429">
        <v>0</v>
      </c>
      <c r="M558" s="429">
        <v>0</v>
      </c>
      <c r="N558" s="430">
        <v>741758.24175824178</v>
      </c>
    </row>
    <row r="559" spans="1:14" ht="15" customHeight="1" x14ac:dyDescent="0.25">
      <c r="A559" s="7" t="s">
        <v>1792</v>
      </c>
      <c r="B559" s="429">
        <v>184257.76697979376</v>
      </c>
      <c r="C559" s="429">
        <v>16467.11497457766</v>
      </c>
      <c r="D559" s="429">
        <v>5680.5094137820215</v>
      </c>
      <c r="E559" s="429">
        <v>31818.927341315401</v>
      </c>
      <c r="F559" s="429">
        <v>5638.7409622100949</v>
      </c>
      <c r="G559" s="429">
        <v>28333.225010974998</v>
      </c>
      <c r="H559" s="429">
        <v>503215.00468912884</v>
      </c>
      <c r="I559" s="429">
        <v>7323.478760045924</v>
      </c>
      <c r="J559" s="429">
        <v>8967.5250123011319</v>
      </c>
      <c r="K559" s="429">
        <v>5320.8321289755659</v>
      </c>
      <c r="L559" s="429">
        <v>1745.1205510907002</v>
      </c>
      <c r="M559" s="429">
        <v>0</v>
      </c>
      <c r="N559" s="430">
        <v>798768.24582419614</v>
      </c>
    </row>
    <row r="560" spans="1:14" ht="15" customHeight="1" x14ac:dyDescent="0.25">
      <c r="A560" s="7" t="s">
        <v>1793</v>
      </c>
      <c r="B560" s="429">
        <v>172469.67143892427</v>
      </c>
      <c r="C560" s="429">
        <v>15954.415954415954</v>
      </c>
      <c r="D560" s="429">
        <v>0</v>
      </c>
      <c r="E560" s="429">
        <v>15954.415954415954</v>
      </c>
      <c r="F560" s="429">
        <v>0</v>
      </c>
      <c r="G560" s="429">
        <v>15624.082927862757</v>
      </c>
      <c r="H560" s="429">
        <v>593921.90754681046</v>
      </c>
      <c r="I560" s="429">
        <v>2014.6520146520147</v>
      </c>
      <c r="J560" s="429">
        <v>7097.069597069597</v>
      </c>
      <c r="K560" s="429">
        <v>0</v>
      </c>
      <c r="L560" s="429">
        <v>7217.4738841405506</v>
      </c>
      <c r="M560" s="429">
        <v>2907.1457642886212</v>
      </c>
      <c r="N560" s="430">
        <v>833160.83508258034</v>
      </c>
    </row>
    <row r="561" spans="1:14" ht="15" customHeight="1" x14ac:dyDescent="0.25">
      <c r="A561" s="7" t="s">
        <v>1794</v>
      </c>
      <c r="B561" s="429">
        <v>268654.68051063205</v>
      </c>
      <c r="C561" s="429">
        <v>0</v>
      </c>
      <c r="D561" s="429">
        <v>0</v>
      </c>
      <c r="E561" s="429">
        <v>0</v>
      </c>
      <c r="F561" s="429">
        <v>22387.89004255267</v>
      </c>
      <c r="G561" s="429">
        <v>0</v>
      </c>
      <c r="H561" s="429">
        <v>89010.989010989011</v>
      </c>
      <c r="I561" s="429">
        <v>0</v>
      </c>
      <c r="J561" s="429">
        <v>308382.21264266281</v>
      </c>
      <c r="K561" s="429">
        <v>0</v>
      </c>
      <c r="L561" s="429">
        <v>0</v>
      </c>
      <c r="M561" s="429">
        <v>0</v>
      </c>
      <c r="N561" s="430">
        <v>688435.7722068365</v>
      </c>
    </row>
    <row r="562" spans="1:14" ht="15" customHeight="1" x14ac:dyDescent="0.25">
      <c r="A562" s="7" t="s">
        <v>1795</v>
      </c>
      <c r="B562" s="429">
        <v>335818.35063829005</v>
      </c>
      <c r="C562" s="429">
        <v>0</v>
      </c>
      <c r="D562" s="429">
        <v>0</v>
      </c>
      <c r="E562" s="429">
        <v>0</v>
      </c>
      <c r="F562" s="429">
        <v>0</v>
      </c>
      <c r="G562" s="429">
        <v>79096.919822305208</v>
      </c>
      <c r="H562" s="429">
        <v>519230.76923076925</v>
      </c>
      <c r="I562" s="429">
        <v>0</v>
      </c>
      <c r="J562" s="429">
        <v>0</v>
      </c>
      <c r="K562" s="429">
        <v>0</v>
      </c>
      <c r="L562" s="429">
        <v>0</v>
      </c>
      <c r="M562" s="429">
        <v>0</v>
      </c>
      <c r="N562" s="430">
        <v>934146.03969136451</v>
      </c>
    </row>
    <row r="563" spans="1:14" ht="15" customHeight="1" x14ac:dyDescent="0.25">
      <c r="A563" s="7" t="s">
        <v>1796</v>
      </c>
      <c r="B563" s="429">
        <v>139924.31276595421</v>
      </c>
      <c r="C563" s="429">
        <v>27472.527472527472</v>
      </c>
      <c r="D563" s="429">
        <v>0</v>
      </c>
      <c r="E563" s="429">
        <v>27472.527472527472</v>
      </c>
      <c r="F563" s="429">
        <v>0</v>
      </c>
      <c r="G563" s="429">
        <v>69209.804844517057</v>
      </c>
      <c r="H563" s="429">
        <v>413669.6587216183</v>
      </c>
      <c r="I563" s="429">
        <v>927.19780219780216</v>
      </c>
      <c r="J563" s="429">
        <v>0</v>
      </c>
      <c r="K563" s="429">
        <v>0</v>
      </c>
      <c r="L563" s="429">
        <v>0</v>
      </c>
      <c r="M563" s="429">
        <v>0</v>
      </c>
      <c r="N563" s="430">
        <v>678676.02907934226</v>
      </c>
    </row>
    <row r="564" spans="1:14" ht="15" customHeight="1" x14ac:dyDescent="0.25">
      <c r="A564" s="7" t="s">
        <v>1797</v>
      </c>
      <c r="B564" s="429">
        <v>111939.45021276336</v>
      </c>
      <c r="C564" s="429">
        <v>0</v>
      </c>
      <c r="D564" s="429">
        <v>0</v>
      </c>
      <c r="E564" s="429">
        <v>0</v>
      </c>
      <c r="F564" s="429">
        <v>0</v>
      </c>
      <c r="G564" s="429">
        <v>0</v>
      </c>
      <c r="H564" s="429">
        <v>445054.94505494507</v>
      </c>
      <c r="I564" s="429">
        <v>0</v>
      </c>
      <c r="J564" s="429">
        <v>92719.780219780223</v>
      </c>
      <c r="K564" s="429">
        <v>0</v>
      </c>
      <c r="L564" s="429">
        <v>0</v>
      </c>
      <c r="M564" s="429">
        <v>0</v>
      </c>
      <c r="N564" s="430">
        <v>649714.17548748862</v>
      </c>
    </row>
    <row r="565" spans="1:14" ht="15" customHeight="1" x14ac:dyDescent="0.25">
      <c r="A565" s="7" t="s">
        <v>1798</v>
      </c>
      <c r="B565" s="429">
        <v>559697.25106381683</v>
      </c>
      <c r="C565" s="429">
        <v>0</v>
      </c>
      <c r="D565" s="429">
        <v>0</v>
      </c>
      <c r="E565" s="429">
        <v>0</v>
      </c>
      <c r="F565" s="429">
        <v>0</v>
      </c>
      <c r="G565" s="429">
        <v>0</v>
      </c>
      <c r="H565" s="429">
        <v>0</v>
      </c>
      <c r="I565" s="429">
        <v>0</v>
      </c>
      <c r="J565" s="429">
        <v>37087.912087912089</v>
      </c>
      <c r="K565" s="429">
        <v>0</v>
      </c>
      <c r="L565" s="429">
        <v>0</v>
      </c>
      <c r="M565" s="429">
        <v>0</v>
      </c>
      <c r="N565" s="430">
        <v>596785.16315172892</v>
      </c>
    </row>
    <row r="566" spans="1:14" ht="15" customHeight="1" x14ac:dyDescent="0.25">
      <c r="A566" s="7" t="s">
        <v>1799</v>
      </c>
      <c r="B566" s="429">
        <v>559697.25106381683</v>
      </c>
      <c r="C566" s="429">
        <v>0</v>
      </c>
      <c r="D566" s="429">
        <v>0</v>
      </c>
      <c r="E566" s="429">
        <v>0</v>
      </c>
      <c r="F566" s="429">
        <v>0</v>
      </c>
      <c r="G566" s="429">
        <v>0</v>
      </c>
      <c r="H566" s="429">
        <v>0</v>
      </c>
      <c r="I566" s="429">
        <v>0</v>
      </c>
      <c r="J566" s="429">
        <v>445054.94505494507</v>
      </c>
      <c r="K566" s="429">
        <v>0</v>
      </c>
      <c r="L566" s="429">
        <v>0</v>
      </c>
      <c r="M566" s="429">
        <v>0</v>
      </c>
      <c r="N566" s="430">
        <v>1004752.1961187619</v>
      </c>
    </row>
    <row r="567" spans="1:14" ht="15" customHeight="1" x14ac:dyDescent="0.25">
      <c r="A567" s="7" t="s">
        <v>1800</v>
      </c>
      <c r="B567" s="429">
        <v>559697.25106381683</v>
      </c>
      <c r="C567" s="429">
        <v>0</v>
      </c>
      <c r="D567" s="429">
        <v>0</v>
      </c>
      <c r="E567" s="429">
        <v>0</v>
      </c>
      <c r="F567" s="429">
        <v>0</v>
      </c>
      <c r="G567" s="429">
        <v>0</v>
      </c>
      <c r="H567" s="429">
        <v>445054.94505494507</v>
      </c>
      <c r="I567" s="429">
        <v>0</v>
      </c>
      <c r="J567" s="429">
        <v>0</v>
      </c>
      <c r="K567" s="429">
        <v>0</v>
      </c>
      <c r="L567" s="429">
        <v>0</v>
      </c>
      <c r="M567" s="429">
        <v>0</v>
      </c>
      <c r="N567" s="430">
        <v>1004752.1961187619</v>
      </c>
    </row>
    <row r="568" spans="1:14" ht="15" customHeight="1" x14ac:dyDescent="0.25">
      <c r="A568" s="7" t="s">
        <v>1801</v>
      </c>
      <c r="B568" s="429">
        <v>0</v>
      </c>
      <c r="C568" s="429">
        <v>0</v>
      </c>
      <c r="D568" s="429">
        <v>0</v>
      </c>
      <c r="E568" s="429">
        <v>0</v>
      </c>
      <c r="F568" s="429">
        <v>0</v>
      </c>
      <c r="G568" s="429">
        <v>0</v>
      </c>
      <c r="H568" s="429">
        <v>834478.02197802195</v>
      </c>
      <c r="I568" s="429">
        <v>43632.83775048481</v>
      </c>
      <c r="J568" s="429">
        <v>0</v>
      </c>
      <c r="K568" s="429">
        <v>0</v>
      </c>
      <c r="L568" s="429">
        <v>0</v>
      </c>
      <c r="M568" s="429">
        <v>0</v>
      </c>
      <c r="N568" s="430">
        <v>878110.85972850677</v>
      </c>
    </row>
    <row r="569" spans="1:14" ht="15" customHeight="1" x14ac:dyDescent="0.25">
      <c r="A569" s="7" t="s">
        <v>1802</v>
      </c>
      <c r="B569" s="429">
        <v>783576.15148934349</v>
      </c>
      <c r="C569" s="429">
        <v>0</v>
      </c>
      <c r="D569" s="429">
        <v>0</v>
      </c>
      <c r="E569" s="429">
        <v>0</v>
      </c>
      <c r="F569" s="429">
        <v>0</v>
      </c>
      <c r="G569" s="429">
        <v>0</v>
      </c>
      <c r="H569" s="429">
        <v>163186.81318681317</v>
      </c>
      <c r="I569" s="429">
        <v>0</v>
      </c>
      <c r="J569" s="429">
        <v>0</v>
      </c>
      <c r="K569" s="429">
        <v>0</v>
      </c>
      <c r="L569" s="429">
        <v>0</v>
      </c>
      <c r="M569" s="429">
        <v>0</v>
      </c>
      <c r="N569" s="430">
        <v>946762.96467615664</v>
      </c>
    </row>
    <row r="570" spans="1:14" ht="15" customHeight="1" x14ac:dyDescent="0.25">
      <c r="A570" s="7" t="s">
        <v>1803</v>
      </c>
      <c r="B570" s="429">
        <v>195894.03787233587</v>
      </c>
      <c r="C570" s="429">
        <v>0</v>
      </c>
      <c r="D570" s="429">
        <v>0</v>
      </c>
      <c r="E570" s="429">
        <v>0</v>
      </c>
      <c r="F570" s="429">
        <v>0</v>
      </c>
      <c r="G570" s="429">
        <v>0</v>
      </c>
      <c r="H570" s="429">
        <v>434625.34846844384</v>
      </c>
      <c r="I570" s="429">
        <v>0</v>
      </c>
      <c r="J570" s="429">
        <v>0</v>
      </c>
      <c r="K570" s="429">
        <v>0</v>
      </c>
      <c r="L570" s="429">
        <v>0</v>
      </c>
      <c r="M570" s="429">
        <v>0</v>
      </c>
      <c r="N570" s="430">
        <v>630519.38634077972</v>
      </c>
    </row>
    <row r="571" spans="1:14" ht="15" customHeight="1" x14ac:dyDescent="0.25">
      <c r="A571" s="7" t="s">
        <v>1804</v>
      </c>
      <c r="B571" s="429">
        <v>0</v>
      </c>
      <c r="C571" s="429">
        <v>0</v>
      </c>
      <c r="D571" s="429">
        <v>0</v>
      </c>
      <c r="E571" s="429">
        <v>0</v>
      </c>
      <c r="F571" s="429">
        <v>0</v>
      </c>
      <c r="G571" s="429">
        <v>39548.459911152604</v>
      </c>
      <c r="H571" s="429">
        <v>203983.51648351649</v>
      </c>
      <c r="I571" s="429">
        <v>0</v>
      </c>
      <c r="J571" s="429">
        <v>0</v>
      </c>
      <c r="K571" s="429">
        <v>0</v>
      </c>
      <c r="L571" s="429">
        <v>861263.73626373627</v>
      </c>
      <c r="M571" s="429">
        <v>0</v>
      </c>
      <c r="N571" s="430">
        <v>1104795.7126584053</v>
      </c>
    </row>
    <row r="572" spans="1:14" ht="15" customHeight="1" x14ac:dyDescent="0.25">
      <c r="A572" s="7" t="s">
        <v>1805</v>
      </c>
      <c r="B572" s="429">
        <v>0</v>
      </c>
      <c r="C572" s="429">
        <v>0</v>
      </c>
      <c r="D572" s="429">
        <v>0</v>
      </c>
      <c r="E572" s="429">
        <v>0</v>
      </c>
      <c r="F572" s="429">
        <v>0</v>
      </c>
      <c r="G572" s="429">
        <v>0</v>
      </c>
      <c r="H572" s="429">
        <v>1686901.8078695501</v>
      </c>
      <c r="I572" s="429">
        <v>0</v>
      </c>
      <c r="J572" s="429">
        <v>0</v>
      </c>
      <c r="K572" s="429">
        <v>0</v>
      </c>
      <c r="L572" s="429">
        <v>0</v>
      </c>
      <c r="M572" s="429">
        <v>0</v>
      </c>
      <c r="N572" s="430">
        <v>1686901.8078695501</v>
      </c>
    </row>
    <row r="573" spans="1:14" ht="15" customHeight="1" x14ac:dyDescent="0.25">
      <c r="A573" s="7" t="s">
        <v>1806</v>
      </c>
      <c r="B573" s="429">
        <v>335818.35063829005</v>
      </c>
      <c r="C573" s="429">
        <v>0</v>
      </c>
      <c r="D573" s="429">
        <v>0</v>
      </c>
      <c r="E573" s="429">
        <v>0</v>
      </c>
      <c r="F573" s="429">
        <v>0</v>
      </c>
      <c r="G573" s="429">
        <v>0</v>
      </c>
      <c r="H573" s="429">
        <v>770157.81104035478</v>
      </c>
      <c r="I573" s="429">
        <v>0</v>
      </c>
      <c r="J573" s="429">
        <v>0</v>
      </c>
      <c r="K573" s="429">
        <v>0</v>
      </c>
      <c r="L573" s="429">
        <v>0</v>
      </c>
      <c r="M573" s="429">
        <v>0</v>
      </c>
      <c r="N573" s="430">
        <v>1105976.1616786448</v>
      </c>
    </row>
    <row r="574" spans="1:14" ht="15" customHeight="1" x14ac:dyDescent="0.25">
      <c r="A574" s="7" t="s">
        <v>1807</v>
      </c>
      <c r="B574" s="429">
        <v>578353.82609927736</v>
      </c>
      <c r="C574" s="429">
        <v>0</v>
      </c>
      <c r="D574" s="429">
        <v>0</v>
      </c>
      <c r="E574" s="429">
        <v>0</v>
      </c>
      <c r="F574" s="429">
        <v>0</v>
      </c>
      <c r="G574" s="429">
        <v>0</v>
      </c>
      <c r="H574" s="429">
        <v>401785.71428571426</v>
      </c>
      <c r="I574" s="429">
        <v>9271.9780219780223</v>
      </c>
      <c r="J574" s="429">
        <v>81960.836049090445</v>
      </c>
      <c r="K574" s="429">
        <v>0</v>
      </c>
      <c r="L574" s="429">
        <v>0</v>
      </c>
      <c r="M574" s="429">
        <v>0</v>
      </c>
      <c r="N574" s="430">
        <v>1071372.3544560601</v>
      </c>
    </row>
    <row r="575" spans="1:14" ht="15" customHeight="1" x14ac:dyDescent="0.25">
      <c r="A575" s="7" t="s">
        <v>1808</v>
      </c>
      <c r="B575" s="429">
        <v>261192.05049644783</v>
      </c>
      <c r="C575" s="429">
        <v>0</v>
      </c>
      <c r="D575" s="429">
        <v>0</v>
      </c>
      <c r="E575" s="429">
        <v>0</v>
      </c>
      <c r="F575" s="429">
        <v>0</v>
      </c>
      <c r="G575" s="429">
        <v>0</v>
      </c>
      <c r="H575" s="429">
        <v>247252.74725274724</v>
      </c>
      <c r="I575" s="429">
        <v>0</v>
      </c>
      <c r="J575" s="429">
        <v>197802.1978021978</v>
      </c>
      <c r="K575" s="429">
        <v>0</v>
      </c>
      <c r="L575" s="429">
        <v>0</v>
      </c>
      <c r="M575" s="429">
        <v>0</v>
      </c>
      <c r="N575" s="430">
        <v>706246.9955513929</v>
      </c>
    </row>
    <row r="576" spans="1:14" ht="15" customHeight="1" x14ac:dyDescent="0.25">
      <c r="A576" s="7" t="s">
        <v>1809</v>
      </c>
      <c r="B576" s="429">
        <v>150609.44210444525</v>
      </c>
      <c r="C576" s="429">
        <v>0</v>
      </c>
      <c r="D576" s="429">
        <v>0</v>
      </c>
      <c r="E576" s="429">
        <v>0</v>
      </c>
      <c r="F576" s="429">
        <v>0</v>
      </c>
      <c r="G576" s="429">
        <v>0</v>
      </c>
      <c r="H576" s="429">
        <v>280114.88511488511</v>
      </c>
      <c r="I576" s="429">
        <v>2697.3026973026972</v>
      </c>
      <c r="J576" s="429">
        <v>155094.90509490509</v>
      </c>
      <c r="K576" s="429">
        <v>864.23212761542516</v>
      </c>
      <c r="L576" s="429">
        <v>0</v>
      </c>
      <c r="M576" s="429">
        <v>0</v>
      </c>
      <c r="N576" s="430">
        <v>589380.76713915356</v>
      </c>
    </row>
    <row r="577" spans="1:14" ht="15" customHeight="1" x14ac:dyDescent="0.25">
      <c r="A577" s="370" t="s">
        <v>1810</v>
      </c>
      <c r="B577" s="431">
        <v>335818.35063829011</v>
      </c>
      <c r="C577" s="431">
        <v>0</v>
      </c>
      <c r="D577" s="431">
        <v>0</v>
      </c>
      <c r="E577" s="431">
        <v>0</v>
      </c>
      <c r="F577" s="431">
        <v>0</v>
      </c>
      <c r="G577" s="431">
        <v>39548.459911152604</v>
      </c>
      <c r="H577" s="431">
        <v>537774.72527472524</v>
      </c>
      <c r="I577" s="431">
        <v>0</v>
      </c>
      <c r="J577" s="431">
        <v>0</v>
      </c>
      <c r="K577" s="431">
        <v>0</v>
      </c>
      <c r="L577" s="431">
        <v>0</v>
      </c>
      <c r="M577" s="431">
        <v>0</v>
      </c>
      <c r="N577" s="432">
        <v>913141.53582416801</v>
      </c>
    </row>
    <row r="578" spans="1:14" ht="15" customHeight="1" x14ac:dyDescent="0.25">
      <c r="A578" s="823" t="s">
        <v>1811</v>
      </c>
      <c r="B578" s="430">
        <v>107506.12734206524</v>
      </c>
      <c r="C578" s="430">
        <v>6872.4786956816752</v>
      </c>
      <c r="D578" s="430">
        <v>5297.3764832697125</v>
      </c>
      <c r="E578" s="430">
        <v>7399.0072185804347</v>
      </c>
      <c r="F578" s="430">
        <v>4207.7378477542416</v>
      </c>
      <c r="G578" s="430">
        <v>8325.9915602426499</v>
      </c>
      <c r="H578" s="430">
        <v>453091.90154335974</v>
      </c>
      <c r="I578" s="430">
        <v>3292.5256294761211</v>
      </c>
      <c r="J578" s="430">
        <v>19623.654692059888</v>
      </c>
      <c r="K578" s="430">
        <v>8545.4023223389413</v>
      </c>
      <c r="L578" s="430">
        <v>5073.5126942023489</v>
      </c>
      <c r="M578" s="430">
        <v>6459.8008219994235</v>
      </c>
      <c r="N578" s="430">
        <v>635695.51685103017</v>
      </c>
    </row>
    <row r="579" spans="1:14" ht="15" customHeight="1" x14ac:dyDescent="0.25">
      <c r="A579" s="375" t="s">
        <v>1812</v>
      </c>
      <c r="B579" s="433">
        <v>166227.01665087778</v>
      </c>
      <c r="C579" s="433">
        <v>6078.2447157552288</v>
      </c>
      <c r="D579" s="433">
        <v>7508.1338557341269</v>
      </c>
      <c r="E579" s="433">
        <v>6038.0410170149444</v>
      </c>
      <c r="F579" s="433">
        <v>3796.7267793200981</v>
      </c>
      <c r="G579" s="433">
        <v>9404.8166861887275</v>
      </c>
      <c r="H579" s="433">
        <v>391775.33408822294</v>
      </c>
      <c r="I579" s="433">
        <v>2342.1527261357296</v>
      </c>
      <c r="J579" s="433">
        <v>37979.548774105286</v>
      </c>
      <c r="K579" s="433">
        <v>2242.5901512703622</v>
      </c>
      <c r="L579" s="433">
        <v>9351.0452961672472</v>
      </c>
      <c r="M579" s="433">
        <v>638.15394825847795</v>
      </c>
      <c r="N579" s="433">
        <v>643381.80468905088</v>
      </c>
    </row>
    <row r="580" spans="1:14" ht="15" customHeight="1" x14ac:dyDescent="0.25">
      <c r="A580" s="384"/>
      <c r="B580" s="434"/>
      <c r="C580" s="434"/>
      <c r="D580" s="434"/>
      <c r="E580" s="434"/>
      <c r="F580" s="434"/>
      <c r="G580" s="434"/>
      <c r="H580" s="434"/>
      <c r="I580" s="434"/>
      <c r="J580" s="434"/>
      <c r="K580" s="434"/>
      <c r="L580" s="434"/>
      <c r="M580" s="434"/>
      <c r="N580" s="434"/>
    </row>
    <row r="581" spans="1:14" ht="15" customHeight="1" x14ac:dyDescent="0.25">
      <c r="A581" s="824"/>
      <c r="B581" s="382"/>
      <c r="C581" s="382"/>
      <c r="D581" s="382"/>
      <c r="E581" s="382"/>
      <c r="F581" s="382"/>
      <c r="G581" s="382"/>
      <c r="H581" s="382"/>
      <c r="I581" s="382"/>
      <c r="J581" s="382"/>
      <c r="K581" s="382"/>
      <c r="L581" s="382"/>
    </row>
    <row r="582" spans="1:14" ht="15" customHeight="1" x14ac:dyDescent="0.25">
      <c r="A582" s="824"/>
      <c r="B582" s="382"/>
      <c r="C582" s="382"/>
      <c r="D582" s="382"/>
      <c r="E582" s="382"/>
      <c r="F582" s="382"/>
      <c r="G582" s="382"/>
      <c r="H582" s="382"/>
      <c r="I582" s="382"/>
      <c r="J582" s="382"/>
      <c r="K582" s="382"/>
      <c r="L582" s="382"/>
    </row>
    <row r="583" spans="1:14" ht="15" customHeight="1" x14ac:dyDescent="0.25">
      <c r="A583" s="876" t="s">
        <v>1842</v>
      </c>
      <c r="B583" s="876"/>
      <c r="C583" s="876"/>
      <c r="D583" s="876"/>
      <c r="E583" s="876"/>
      <c r="F583" s="876"/>
      <c r="G583" s="876"/>
      <c r="H583" s="876"/>
      <c r="I583" s="876"/>
      <c r="J583" s="876"/>
      <c r="K583" s="876"/>
      <c r="L583" s="876"/>
      <c r="M583" s="876"/>
      <c r="N583" s="876"/>
    </row>
    <row r="585" spans="1:14" ht="15" customHeight="1" x14ac:dyDescent="0.25">
      <c r="A585" s="143" t="s">
        <v>1715</v>
      </c>
      <c r="B585" s="143" t="s">
        <v>1716</v>
      </c>
      <c r="C585" s="143" t="s">
        <v>1717</v>
      </c>
      <c r="D585" s="143" t="s">
        <v>1718</v>
      </c>
      <c r="E585" s="143" t="s">
        <v>1719</v>
      </c>
      <c r="F585" s="143" t="s">
        <v>137</v>
      </c>
      <c r="G585" s="143" t="s">
        <v>1539</v>
      </c>
      <c r="H585" s="143" t="s">
        <v>1721</v>
      </c>
      <c r="I585" s="143" t="s">
        <v>746</v>
      </c>
      <c r="J585" s="143" t="s">
        <v>1722</v>
      </c>
      <c r="K585" s="143" t="s">
        <v>1723</v>
      </c>
      <c r="L585" s="143" t="s">
        <v>151</v>
      </c>
      <c r="M585" s="143" t="s">
        <v>1724</v>
      </c>
      <c r="N585" s="143" t="s">
        <v>341</v>
      </c>
    </row>
    <row r="586" spans="1:14" ht="15" customHeight="1" x14ac:dyDescent="0.25">
      <c r="A586" s="7" t="s">
        <v>1727</v>
      </c>
      <c r="B586" s="429" t="s">
        <v>336</v>
      </c>
      <c r="C586" s="429" t="s">
        <v>336</v>
      </c>
      <c r="D586" s="429" t="s">
        <v>336</v>
      </c>
      <c r="E586" s="429" t="s">
        <v>336</v>
      </c>
      <c r="F586" s="429" t="s">
        <v>336</v>
      </c>
      <c r="G586" s="429" t="s">
        <v>336</v>
      </c>
      <c r="H586" s="429" t="s">
        <v>336</v>
      </c>
      <c r="I586" s="429" t="s">
        <v>336</v>
      </c>
      <c r="J586" s="429" t="s">
        <v>336</v>
      </c>
      <c r="K586" s="429" t="s">
        <v>336</v>
      </c>
      <c r="L586" s="429" t="s">
        <v>336</v>
      </c>
      <c r="M586" s="429" t="s">
        <v>336</v>
      </c>
      <c r="N586" s="430">
        <v>0</v>
      </c>
    </row>
    <row r="587" spans="1:14" ht="15" customHeight="1" x14ac:dyDescent="0.25">
      <c r="A587" s="7" t="s">
        <v>1728</v>
      </c>
      <c r="B587" s="429">
        <v>335818.35063829011</v>
      </c>
      <c r="C587" s="429" t="s">
        <v>336</v>
      </c>
      <c r="D587" s="429" t="s">
        <v>336</v>
      </c>
      <c r="E587" s="429" t="s">
        <v>336</v>
      </c>
      <c r="F587" s="429" t="s">
        <v>336</v>
      </c>
      <c r="G587" s="429" t="s">
        <v>336</v>
      </c>
      <c r="H587" s="429" t="s">
        <v>336</v>
      </c>
      <c r="I587" s="429" t="s">
        <v>336</v>
      </c>
      <c r="J587" s="429" t="s">
        <v>336</v>
      </c>
      <c r="K587" s="429" t="s">
        <v>336</v>
      </c>
      <c r="L587" s="429" t="s">
        <v>336</v>
      </c>
      <c r="M587" s="429" t="s">
        <v>336</v>
      </c>
      <c r="N587" s="430">
        <v>335818.35063829011</v>
      </c>
    </row>
    <row r="588" spans="1:14" ht="15" customHeight="1" x14ac:dyDescent="0.25">
      <c r="A588" s="7" t="s">
        <v>1729</v>
      </c>
      <c r="B588" s="429">
        <v>111939.45021276336</v>
      </c>
      <c r="C588" s="429" t="s">
        <v>336</v>
      </c>
      <c r="D588" s="429" t="s">
        <v>336</v>
      </c>
      <c r="E588" s="429" t="s">
        <v>336</v>
      </c>
      <c r="F588" s="429" t="s">
        <v>336</v>
      </c>
      <c r="G588" s="429" t="s">
        <v>336</v>
      </c>
      <c r="H588" s="429">
        <v>734340.65934065939</v>
      </c>
      <c r="I588" s="429" t="s">
        <v>336</v>
      </c>
      <c r="J588" s="429" t="s">
        <v>336</v>
      </c>
      <c r="K588" s="429" t="s">
        <v>336</v>
      </c>
      <c r="L588" s="429" t="s">
        <v>336</v>
      </c>
      <c r="M588" s="429" t="s">
        <v>336</v>
      </c>
      <c r="N588" s="430">
        <v>846280.10955342278</v>
      </c>
    </row>
    <row r="589" spans="1:14" ht="15" customHeight="1" x14ac:dyDescent="0.25">
      <c r="A589" s="7" t="s">
        <v>1730</v>
      </c>
      <c r="B589" s="429">
        <v>447757.80085105344</v>
      </c>
      <c r="C589" s="429" t="s">
        <v>336</v>
      </c>
      <c r="D589" s="429" t="s">
        <v>336</v>
      </c>
      <c r="E589" s="429" t="s">
        <v>336</v>
      </c>
      <c r="F589" s="429" t="s">
        <v>336</v>
      </c>
      <c r="G589" s="429" t="s">
        <v>336</v>
      </c>
      <c r="H589" s="429" t="s">
        <v>336</v>
      </c>
      <c r="I589" s="429" t="s">
        <v>336</v>
      </c>
      <c r="J589" s="429">
        <v>74175.824175824178</v>
      </c>
      <c r="K589" s="429" t="s">
        <v>336</v>
      </c>
      <c r="L589" s="429" t="s">
        <v>336</v>
      </c>
      <c r="M589" s="429" t="s">
        <v>336</v>
      </c>
      <c r="N589" s="430">
        <v>521933.62502687762</v>
      </c>
    </row>
    <row r="590" spans="1:14" ht="15" customHeight="1" x14ac:dyDescent="0.25">
      <c r="A590" s="7" t="s">
        <v>1731</v>
      </c>
      <c r="B590" s="429">
        <v>391788.07574467175</v>
      </c>
      <c r="C590" s="429" t="s">
        <v>336</v>
      </c>
      <c r="D590" s="429" t="s">
        <v>336</v>
      </c>
      <c r="E590" s="429" t="s">
        <v>336</v>
      </c>
      <c r="F590" s="429" t="s">
        <v>336</v>
      </c>
      <c r="G590" s="429" t="s">
        <v>336</v>
      </c>
      <c r="H590" s="429">
        <v>1186813.1868131869</v>
      </c>
      <c r="I590" s="429" t="s">
        <v>336</v>
      </c>
      <c r="J590" s="429">
        <v>333791.2087912088</v>
      </c>
      <c r="K590" s="429" t="s">
        <v>336</v>
      </c>
      <c r="L590" s="429" t="s">
        <v>336</v>
      </c>
      <c r="M590" s="429" t="s">
        <v>336</v>
      </c>
      <c r="N590" s="430">
        <v>879323.91862831602</v>
      </c>
    </row>
    <row r="591" spans="1:14" ht="15" customHeight="1" x14ac:dyDescent="0.25">
      <c r="A591" s="7" t="s">
        <v>1732</v>
      </c>
      <c r="B591" s="429" t="s">
        <v>336</v>
      </c>
      <c r="C591" s="429" t="s">
        <v>336</v>
      </c>
      <c r="D591" s="429" t="s">
        <v>336</v>
      </c>
      <c r="E591" s="429" t="s">
        <v>336</v>
      </c>
      <c r="F591" s="429">
        <v>447757.80085105344</v>
      </c>
      <c r="G591" s="429" t="s">
        <v>336</v>
      </c>
      <c r="H591" s="429">
        <v>593406.59340659343</v>
      </c>
      <c r="I591" s="429" t="s">
        <v>336</v>
      </c>
      <c r="J591" s="429" t="s">
        <v>336</v>
      </c>
      <c r="K591" s="429" t="s">
        <v>336</v>
      </c>
      <c r="L591" s="429" t="s">
        <v>336</v>
      </c>
      <c r="M591" s="429" t="s">
        <v>336</v>
      </c>
      <c r="N591" s="430">
        <v>1041164.3942576469</v>
      </c>
    </row>
    <row r="592" spans="1:14" ht="15" customHeight="1" x14ac:dyDescent="0.25">
      <c r="A592" s="7" t="s">
        <v>1733</v>
      </c>
      <c r="B592" s="429">
        <v>363803.2131914809</v>
      </c>
      <c r="C592" s="429" t="s">
        <v>336</v>
      </c>
      <c r="D592" s="429" t="s">
        <v>336</v>
      </c>
      <c r="E592" s="429" t="s">
        <v>336</v>
      </c>
      <c r="F592" s="429" t="s">
        <v>336</v>
      </c>
      <c r="G592" s="429" t="s">
        <v>336</v>
      </c>
      <c r="H592" s="429">
        <v>667582.41758241761</v>
      </c>
      <c r="I592" s="429" t="s">
        <v>336</v>
      </c>
      <c r="J592" s="429">
        <v>42032.967032967033</v>
      </c>
      <c r="K592" s="429" t="s">
        <v>336</v>
      </c>
      <c r="L592" s="429" t="s">
        <v>336</v>
      </c>
      <c r="M592" s="429" t="s">
        <v>336</v>
      </c>
      <c r="N592" s="430">
        <v>449778.83428944845</v>
      </c>
    </row>
    <row r="593" spans="1:14" ht="15" customHeight="1" x14ac:dyDescent="0.25">
      <c r="A593" s="7" t="s">
        <v>1734</v>
      </c>
      <c r="B593" s="429">
        <v>279848.62553190842</v>
      </c>
      <c r="C593" s="429" t="s">
        <v>336</v>
      </c>
      <c r="D593" s="429" t="s">
        <v>336</v>
      </c>
      <c r="E593" s="429" t="s">
        <v>336</v>
      </c>
      <c r="F593" s="429" t="s">
        <v>336</v>
      </c>
      <c r="G593" s="429" t="s">
        <v>336</v>
      </c>
      <c r="H593" s="429">
        <v>445054.94505494507</v>
      </c>
      <c r="I593" s="429">
        <v>37087.912087912089</v>
      </c>
      <c r="J593" s="429">
        <v>203983.51648351649</v>
      </c>
      <c r="K593" s="429" t="s">
        <v>336</v>
      </c>
      <c r="L593" s="429" t="s">
        <v>336</v>
      </c>
      <c r="M593" s="429" t="s">
        <v>336</v>
      </c>
      <c r="N593" s="430">
        <v>362451.78529342671</v>
      </c>
    </row>
    <row r="594" spans="1:14" ht="15" customHeight="1" x14ac:dyDescent="0.25">
      <c r="A594" s="7" t="s">
        <v>1735</v>
      </c>
      <c r="B594" s="429">
        <v>298505.200567369</v>
      </c>
      <c r="C594" s="429" t="s">
        <v>336</v>
      </c>
      <c r="D594" s="429" t="s">
        <v>336</v>
      </c>
      <c r="E594" s="429" t="s">
        <v>336</v>
      </c>
      <c r="F594" s="429" t="s">
        <v>336</v>
      </c>
      <c r="G594" s="429" t="s">
        <v>336</v>
      </c>
      <c r="H594" s="429">
        <v>453296.70329670329</v>
      </c>
      <c r="I594" s="429" t="s">
        <v>336</v>
      </c>
      <c r="J594" s="429">
        <v>198420.32967032967</v>
      </c>
      <c r="K594" s="429" t="s">
        <v>336</v>
      </c>
      <c r="L594" s="429" t="s">
        <v>336</v>
      </c>
      <c r="M594" s="429" t="s">
        <v>336</v>
      </c>
      <c r="N594" s="430">
        <v>503993.23023053125</v>
      </c>
    </row>
    <row r="595" spans="1:14" ht="15" customHeight="1" x14ac:dyDescent="0.25">
      <c r="A595" s="7" t="s">
        <v>1736</v>
      </c>
      <c r="B595" s="429" t="s">
        <v>336</v>
      </c>
      <c r="C595" s="429" t="s">
        <v>336</v>
      </c>
      <c r="D595" s="429" t="s">
        <v>336</v>
      </c>
      <c r="E595" s="429" t="s">
        <v>336</v>
      </c>
      <c r="F595" s="429" t="s">
        <v>336</v>
      </c>
      <c r="G595" s="429" t="s">
        <v>336</v>
      </c>
      <c r="H595" s="429" t="s">
        <v>336</v>
      </c>
      <c r="I595" s="429" t="s">
        <v>336</v>
      </c>
      <c r="J595" s="429" t="s">
        <v>336</v>
      </c>
      <c r="K595" s="429" t="s">
        <v>336</v>
      </c>
      <c r="L595" s="429" t="s">
        <v>336</v>
      </c>
      <c r="M595" s="429" t="s">
        <v>336</v>
      </c>
      <c r="N595" s="430">
        <v>0</v>
      </c>
    </row>
    <row r="596" spans="1:14" ht="15" customHeight="1" x14ac:dyDescent="0.25">
      <c r="A596" s="7" t="s">
        <v>1737</v>
      </c>
      <c r="B596" s="429">
        <v>223878.90042552672</v>
      </c>
      <c r="C596" s="429" t="s">
        <v>336</v>
      </c>
      <c r="D596" s="429" t="s">
        <v>336</v>
      </c>
      <c r="E596" s="429" t="s">
        <v>336</v>
      </c>
      <c r="F596" s="429" t="s">
        <v>336</v>
      </c>
      <c r="G596" s="429" t="s">
        <v>336</v>
      </c>
      <c r="H596" s="429">
        <v>556318.68131868134</v>
      </c>
      <c r="I596" s="429" t="s">
        <v>336</v>
      </c>
      <c r="J596" s="429">
        <v>445054.94505494507</v>
      </c>
      <c r="K596" s="429" t="s">
        <v>336</v>
      </c>
      <c r="L596" s="429" t="s">
        <v>336</v>
      </c>
      <c r="M596" s="429" t="s">
        <v>336</v>
      </c>
      <c r="N596" s="430">
        <v>593857.06937261147</v>
      </c>
    </row>
    <row r="597" spans="1:14" ht="15" customHeight="1" x14ac:dyDescent="0.25">
      <c r="A597" s="7" t="s">
        <v>1738</v>
      </c>
      <c r="B597" s="429">
        <v>422851.27317871351</v>
      </c>
      <c r="C597" s="429">
        <v>351648.35164835164</v>
      </c>
      <c r="D597" s="429" t="s">
        <v>336</v>
      </c>
      <c r="E597" s="429">
        <v>351648.35164835164</v>
      </c>
      <c r="F597" s="429">
        <v>167909.17531914503</v>
      </c>
      <c r="G597" s="429" t="s">
        <v>336</v>
      </c>
      <c r="H597" s="429">
        <v>528786.48957547091</v>
      </c>
      <c r="I597" s="429">
        <v>14835.164835164835</v>
      </c>
      <c r="J597" s="429">
        <v>250343.4065934066</v>
      </c>
      <c r="K597" s="429">
        <v>89123.938160340724</v>
      </c>
      <c r="L597" s="429" t="s">
        <v>336</v>
      </c>
      <c r="M597" s="429">
        <v>784929.35635792778</v>
      </c>
      <c r="N597" s="430">
        <v>688124.85921008699</v>
      </c>
    </row>
    <row r="598" spans="1:14" ht="15" customHeight="1" x14ac:dyDescent="0.25">
      <c r="A598" s="7" t="s">
        <v>1739</v>
      </c>
      <c r="B598" s="429">
        <v>513055.8134751654</v>
      </c>
      <c r="C598" s="429" t="s">
        <v>336</v>
      </c>
      <c r="D598" s="429">
        <v>223878.90042552672</v>
      </c>
      <c r="E598" s="429" t="s">
        <v>336</v>
      </c>
      <c r="F598" s="429" t="s">
        <v>336</v>
      </c>
      <c r="G598" s="429" t="s">
        <v>336</v>
      </c>
      <c r="H598" s="429">
        <v>452537.59398496238</v>
      </c>
      <c r="I598" s="429">
        <v>7950.249107805379</v>
      </c>
      <c r="J598" s="429">
        <v>506013.4800890428</v>
      </c>
      <c r="K598" s="429" t="s">
        <v>336</v>
      </c>
      <c r="L598" s="429" t="s">
        <v>336</v>
      </c>
      <c r="M598" s="429" t="s">
        <v>336</v>
      </c>
      <c r="N598" s="430">
        <v>615523.07206183218</v>
      </c>
    </row>
    <row r="599" spans="1:14" ht="15" customHeight="1" x14ac:dyDescent="0.25">
      <c r="A599" s="7" t="s">
        <v>1740</v>
      </c>
      <c r="B599" s="429">
        <v>239668.52471012523</v>
      </c>
      <c r="C599" s="429" t="s">
        <v>336</v>
      </c>
      <c r="D599" s="429" t="s">
        <v>336</v>
      </c>
      <c r="E599" s="429" t="s">
        <v>336</v>
      </c>
      <c r="F599" s="429" t="s">
        <v>336</v>
      </c>
      <c r="G599" s="429" t="s">
        <v>336</v>
      </c>
      <c r="H599" s="429">
        <v>793639.71209657914</v>
      </c>
      <c r="I599" s="429" t="s">
        <v>336</v>
      </c>
      <c r="J599" s="429">
        <v>247252.74725274724</v>
      </c>
      <c r="K599" s="429" t="s">
        <v>336</v>
      </c>
      <c r="L599" s="429" t="s">
        <v>336</v>
      </c>
      <c r="M599" s="429" t="s">
        <v>336</v>
      </c>
      <c r="N599" s="430">
        <v>750685.34468432306</v>
      </c>
    </row>
    <row r="600" spans="1:14" ht="15" customHeight="1" x14ac:dyDescent="0.25">
      <c r="A600" s="7" t="s">
        <v>1741</v>
      </c>
      <c r="B600" s="429">
        <v>335818.35063829005</v>
      </c>
      <c r="C600" s="429" t="s">
        <v>336</v>
      </c>
      <c r="D600" s="429" t="s">
        <v>336</v>
      </c>
      <c r="E600" s="429" t="s">
        <v>336</v>
      </c>
      <c r="F600" s="429" t="s">
        <v>336</v>
      </c>
      <c r="G600" s="429" t="s">
        <v>336</v>
      </c>
      <c r="H600" s="429" t="s">
        <v>336</v>
      </c>
      <c r="I600" s="429" t="s">
        <v>336</v>
      </c>
      <c r="J600" s="429">
        <v>185439.56043956045</v>
      </c>
      <c r="K600" s="429" t="s">
        <v>336</v>
      </c>
      <c r="L600" s="429" t="s">
        <v>336</v>
      </c>
      <c r="M600" s="429" t="s">
        <v>336</v>
      </c>
      <c r="N600" s="430">
        <v>521257.91107785044</v>
      </c>
    </row>
    <row r="601" spans="1:14" ht="15" customHeight="1" x14ac:dyDescent="0.25">
      <c r="A601" s="7" t="s">
        <v>1742</v>
      </c>
      <c r="B601" s="429">
        <v>407052.54622823041</v>
      </c>
      <c r="C601" s="429" t="s">
        <v>336</v>
      </c>
      <c r="D601" s="429" t="s">
        <v>336</v>
      </c>
      <c r="E601" s="429" t="s">
        <v>336</v>
      </c>
      <c r="F601" s="429" t="s">
        <v>336</v>
      </c>
      <c r="G601" s="429" t="s">
        <v>336</v>
      </c>
      <c r="H601" s="429">
        <v>696943.68131868134</v>
      </c>
      <c r="I601" s="429" t="s">
        <v>336</v>
      </c>
      <c r="J601" s="429">
        <v>100137.36263736263</v>
      </c>
      <c r="K601" s="429" t="s">
        <v>336</v>
      </c>
      <c r="L601" s="429" t="s">
        <v>336</v>
      </c>
      <c r="M601" s="429" t="s">
        <v>336</v>
      </c>
      <c r="N601" s="430">
        <v>879958.04995026975</v>
      </c>
    </row>
    <row r="602" spans="1:14" ht="15" customHeight="1" x14ac:dyDescent="0.25">
      <c r="A602" s="7" t="s">
        <v>1743</v>
      </c>
      <c r="B602" s="429" t="s">
        <v>336</v>
      </c>
      <c r="C602" s="429" t="s">
        <v>336</v>
      </c>
      <c r="D602" s="429" t="s">
        <v>336</v>
      </c>
      <c r="E602" s="429" t="s">
        <v>336</v>
      </c>
      <c r="F602" s="429" t="s">
        <v>336</v>
      </c>
      <c r="G602" s="429" t="s">
        <v>336</v>
      </c>
      <c r="H602" s="429">
        <v>815934.06593406596</v>
      </c>
      <c r="I602" s="429" t="s">
        <v>336</v>
      </c>
      <c r="J602" s="429">
        <v>111263.73626373627</v>
      </c>
      <c r="K602" s="429" t="s">
        <v>336</v>
      </c>
      <c r="L602" s="429" t="s">
        <v>336</v>
      </c>
      <c r="M602" s="429" t="s">
        <v>336</v>
      </c>
      <c r="N602" s="430">
        <v>463598.90109890111</v>
      </c>
    </row>
    <row r="603" spans="1:14" ht="15" customHeight="1" x14ac:dyDescent="0.25">
      <c r="A603" s="7" t="s">
        <v>1744</v>
      </c>
      <c r="B603" s="429">
        <v>251863.76297871757</v>
      </c>
      <c r="C603" s="429">
        <v>178168.49816849816</v>
      </c>
      <c r="D603" s="429">
        <v>559697.25106381683</v>
      </c>
      <c r="E603" s="429">
        <v>178168.49816849816</v>
      </c>
      <c r="F603" s="429" t="s">
        <v>336</v>
      </c>
      <c r="G603" s="429" t="s">
        <v>336</v>
      </c>
      <c r="H603" s="429">
        <v>771594.99593834078</v>
      </c>
      <c r="I603" s="429">
        <v>187293.95604395604</v>
      </c>
      <c r="J603" s="429">
        <v>318956.04395604396</v>
      </c>
      <c r="K603" s="429" t="s">
        <v>336</v>
      </c>
      <c r="L603" s="429" t="s">
        <v>336</v>
      </c>
      <c r="M603" s="429" t="s">
        <v>336</v>
      </c>
      <c r="N603" s="430">
        <v>749506.83410216344</v>
      </c>
    </row>
    <row r="604" spans="1:14" ht="15" customHeight="1" x14ac:dyDescent="0.25">
      <c r="A604" s="7" t="s">
        <v>1745</v>
      </c>
      <c r="B604" s="429">
        <v>335818.35063829011</v>
      </c>
      <c r="C604" s="429">
        <v>351648.35164835164</v>
      </c>
      <c r="D604" s="429">
        <v>223878.90042552675</v>
      </c>
      <c r="E604" s="429">
        <v>351648.35164835164</v>
      </c>
      <c r="F604" s="429">
        <v>111939.45021276336</v>
      </c>
      <c r="G604" s="429" t="s">
        <v>336</v>
      </c>
      <c r="H604" s="429">
        <v>711469.68682366109</v>
      </c>
      <c r="I604" s="429">
        <v>221691.60138692689</v>
      </c>
      <c r="J604" s="429">
        <v>307829.67032967031</v>
      </c>
      <c r="K604" s="429">
        <v>65357.554650916536</v>
      </c>
      <c r="L604" s="429" t="s">
        <v>336</v>
      </c>
      <c r="M604" s="429" t="s">
        <v>336</v>
      </c>
      <c r="N604" s="430">
        <v>690703.50097806053</v>
      </c>
    </row>
    <row r="605" spans="1:14" ht="15" customHeight="1" x14ac:dyDescent="0.25">
      <c r="A605" s="7" t="s">
        <v>1746</v>
      </c>
      <c r="B605" s="429">
        <v>310942.91725767596</v>
      </c>
      <c r="C605" s="429">
        <v>129670.32967032967</v>
      </c>
      <c r="D605" s="429" t="s">
        <v>336</v>
      </c>
      <c r="E605" s="429">
        <v>129670.32967032967</v>
      </c>
      <c r="F605" s="429" t="s">
        <v>336</v>
      </c>
      <c r="G605" s="429" t="s">
        <v>336</v>
      </c>
      <c r="H605" s="429">
        <v>637486.94421937503</v>
      </c>
      <c r="I605" s="429">
        <v>3708.7912087912086</v>
      </c>
      <c r="J605" s="429">
        <v>166098.90711895752</v>
      </c>
      <c r="K605" s="429" t="s">
        <v>336</v>
      </c>
      <c r="L605" s="429" t="s">
        <v>336</v>
      </c>
      <c r="M605" s="429" t="s">
        <v>336</v>
      </c>
      <c r="N605" s="430">
        <v>570563.96802143718</v>
      </c>
    </row>
    <row r="606" spans="1:14" ht="15" customHeight="1" x14ac:dyDescent="0.25">
      <c r="A606" s="7" t="s">
        <v>1747</v>
      </c>
      <c r="B606" s="429">
        <v>475742.66340424429</v>
      </c>
      <c r="C606" s="429" t="s">
        <v>336</v>
      </c>
      <c r="D606" s="429">
        <v>111939.45021276336</v>
      </c>
      <c r="E606" s="429" t="s">
        <v>336</v>
      </c>
      <c r="F606" s="429" t="s">
        <v>336</v>
      </c>
      <c r="G606" s="429" t="s">
        <v>336</v>
      </c>
      <c r="H606" s="429">
        <v>417239.01098901097</v>
      </c>
      <c r="I606" s="429" t="s">
        <v>336</v>
      </c>
      <c r="J606" s="429">
        <v>259615.38461538462</v>
      </c>
      <c r="K606" s="429" t="s">
        <v>336</v>
      </c>
      <c r="L606" s="429" t="s">
        <v>336</v>
      </c>
      <c r="M606" s="429" t="s">
        <v>336</v>
      </c>
      <c r="N606" s="430">
        <v>468598.38580227661</v>
      </c>
    </row>
    <row r="607" spans="1:14" ht="15" customHeight="1" x14ac:dyDescent="0.25">
      <c r="A607" s="7" t="s">
        <v>1748</v>
      </c>
      <c r="B607" s="429">
        <v>412776.72265956487</v>
      </c>
      <c r="C607" s="429" t="s">
        <v>336</v>
      </c>
      <c r="D607" s="429" t="s">
        <v>336</v>
      </c>
      <c r="E607" s="429" t="s">
        <v>336</v>
      </c>
      <c r="F607" s="429" t="s">
        <v>336</v>
      </c>
      <c r="G607" s="429">
        <v>0</v>
      </c>
      <c r="H607" s="429">
        <v>715087.19541328237</v>
      </c>
      <c r="I607" s="429" t="s">
        <v>336</v>
      </c>
      <c r="J607" s="429">
        <v>191267.66091051805</v>
      </c>
      <c r="K607" s="429" t="s">
        <v>336</v>
      </c>
      <c r="L607" s="429" t="s">
        <v>336</v>
      </c>
      <c r="M607" s="429" t="s">
        <v>336</v>
      </c>
      <c r="N607" s="430">
        <v>696865.90524091886</v>
      </c>
    </row>
    <row r="608" spans="1:14" ht="15" customHeight="1" x14ac:dyDescent="0.25">
      <c r="A608" s="7" t="s">
        <v>1749</v>
      </c>
      <c r="B608" s="429">
        <v>401190.98956254381</v>
      </c>
      <c r="C608" s="429">
        <v>234672.22432739672</v>
      </c>
      <c r="D608" s="429">
        <v>559697.25106381683</v>
      </c>
      <c r="E608" s="429">
        <v>234672.22432739672</v>
      </c>
      <c r="F608" s="429">
        <v>335818.35063829011</v>
      </c>
      <c r="G608" s="429" t="s">
        <v>336</v>
      </c>
      <c r="H608" s="429">
        <v>642350.55402859382</v>
      </c>
      <c r="I608" s="429" t="s">
        <v>336</v>
      </c>
      <c r="J608" s="429">
        <v>286813.1868131868</v>
      </c>
      <c r="K608" s="429" t="s">
        <v>336</v>
      </c>
      <c r="L608" s="429">
        <v>668131.86813186808</v>
      </c>
      <c r="M608" s="429" t="s">
        <v>336</v>
      </c>
      <c r="N608" s="430">
        <v>771798.98241743131</v>
      </c>
    </row>
    <row r="609" spans="1:14" ht="15" customHeight="1" x14ac:dyDescent="0.25">
      <c r="A609" s="7" t="s">
        <v>1750</v>
      </c>
      <c r="B609" s="429">
        <v>262195.71446331026</v>
      </c>
      <c r="C609" s="429">
        <v>263736.26373626373</v>
      </c>
      <c r="D609" s="429" t="s">
        <v>336</v>
      </c>
      <c r="E609" s="429">
        <v>263736.26373626373</v>
      </c>
      <c r="F609" s="429">
        <v>294993.37467834109</v>
      </c>
      <c r="G609" s="429">
        <v>210925.1195261472</v>
      </c>
      <c r="H609" s="429">
        <v>696230.76999435038</v>
      </c>
      <c r="I609" s="429">
        <v>468234.89010989008</v>
      </c>
      <c r="J609" s="429">
        <v>189148.35164835164</v>
      </c>
      <c r="K609" s="429">
        <v>534743.62896204437</v>
      </c>
      <c r="L609" s="429">
        <v>83516.483516483509</v>
      </c>
      <c r="M609" s="429">
        <v>784929.35635792778</v>
      </c>
      <c r="N609" s="430">
        <v>635013.11000132165</v>
      </c>
    </row>
    <row r="610" spans="1:14" ht="15" customHeight="1" x14ac:dyDescent="0.25">
      <c r="A610" s="7" t="s">
        <v>1751</v>
      </c>
      <c r="B610" s="429">
        <v>279161.71995272028</v>
      </c>
      <c r="C610" s="429">
        <v>345787.54578754579</v>
      </c>
      <c r="D610" s="429">
        <v>278499.29937995999</v>
      </c>
      <c r="E610" s="429">
        <v>307692.30769230769</v>
      </c>
      <c r="F610" s="429">
        <v>177237.46283687532</v>
      </c>
      <c r="G610" s="429" t="s">
        <v>336</v>
      </c>
      <c r="H610" s="429">
        <v>608603.80036804813</v>
      </c>
      <c r="I610" s="429">
        <v>259615.38461538462</v>
      </c>
      <c r="J610" s="429">
        <v>178551.80533751962</v>
      </c>
      <c r="K610" s="429" t="s">
        <v>336</v>
      </c>
      <c r="L610" s="429" t="s">
        <v>336</v>
      </c>
      <c r="M610" s="429" t="s">
        <v>336</v>
      </c>
      <c r="N610" s="430">
        <v>627748.83654507261</v>
      </c>
    </row>
    <row r="611" spans="1:14" ht="15" customHeight="1" x14ac:dyDescent="0.25">
      <c r="A611" s="7" t="s">
        <v>1752</v>
      </c>
      <c r="B611" s="429">
        <v>339678.33168010955</v>
      </c>
      <c r="C611" s="429">
        <v>263736.26373626373</v>
      </c>
      <c r="D611" s="429">
        <v>335818.35063829005</v>
      </c>
      <c r="E611" s="429">
        <v>263736.26373626373</v>
      </c>
      <c r="F611" s="429">
        <v>111939.45021276336</v>
      </c>
      <c r="G611" s="429">
        <v>158193.83964461042</v>
      </c>
      <c r="H611" s="429">
        <v>642485.98529151722</v>
      </c>
      <c r="I611" s="429">
        <v>203983.51648351649</v>
      </c>
      <c r="J611" s="429">
        <v>212055.59146735616</v>
      </c>
      <c r="K611" s="429" t="s">
        <v>336</v>
      </c>
      <c r="L611" s="429" t="s">
        <v>336</v>
      </c>
      <c r="M611" s="429" t="s">
        <v>336</v>
      </c>
      <c r="N611" s="430">
        <v>597123.57676460873</v>
      </c>
    </row>
    <row r="612" spans="1:14" ht="15" customHeight="1" x14ac:dyDescent="0.25">
      <c r="A612" s="7" t="s">
        <v>1753</v>
      </c>
      <c r="B612" s="429">
        <v>391788.07574467175</v>
      </c>
      <c r="C612" s="429" t="s">
        <v>336</v>
      </c>
      <c r="D612" s="429" t="s">
        <v>336</v>
      </c>
      <c r="E612" s="429" t="s">
        <v>336</v>
      </c>
      <c r="F612" s="429" t="s">
        <v>336</v>
      </c>
      <c r="G612" s="429" t="s">
        <v>336</v>
      </c>
      <c r="H612" s="429">
        <v>624560.43956043955</v>
      </c>
      <c r="I612" s="429" t="s">
        <v>336</v>
      </c>
      <c r="J612" s="429" t="s">
        <v>336</v>
      </c>
      <c r="K612" s="429" t="s">
        <v>336</v>
      </c>
      <c r="L612" s="429" t="s">
        <v>336</v>
      </c>
      <c r="M612" s="429" t="s">
        <v>336</v>
      </c>
      <c r="N612" s="430">
        <v>937990.900156177</v>
      </c>
    </row>
    <row r="613" spans="1:14" ht="15" customHeight="1" x14ac:dyDescent="0.25">
      <c r="A613" s="7" t="s">
        <v>1754</v>
      </c>
      <c r="B613" s="429">
        <v>783576.15148934349</v>
      </c>
      <c r="C613" s="429" t="s">
        <v>336</v>
      </c>
      <c r="D613" s="429" t="s">
        <v>336</v>
      </c>
      <c r="E613" s="429" t="s">
        <v>336</v>
      </c>
      <c r="F613" s="429" t="s">
        <v>336</v>
      </c>
      <c r="G613" s="429" t="s">
        <v>336</v>
      </c>
      <c r="H613" s="429">
        <v>667582.41758241761</v>
      </c>
      <c r="I613" s="429" t="s">
        <v>336</v>
      </c>
      <c r="J613" s="429" t="s">
        <v>336</v>
      </c>
      <c r="K613" s="429" t="s">
        <v>336</v>
      </c>
      <c r="L613" s="429" t="s">
        <v>336</v>
      </c>
      <c r="M613" s="429" t="s">
        <v>336</v>
      </c>
      <c r="N613" s="430">
        <v>1451158.5690717611</v>
      </c>
    </row>
    <row r="614" spans="1:14" ht="15" customHeight="1" x14ac:dyDescent="0.25">
      <c r="A614" s="7" t="s">
        <v>1755</v>
      </c>
      <c r="B614" s="429">
        <v>612468.70616411953</v>
      </c>
      <c r="C614" s="429">
        <v>226227.10622710624</v>
      </c>
      <c r="D614" s="429">
        <v>111939.45021276336</v>
      </c>
      <c r="E614" s="429">
        <v>301538.46153846156</v>
      </c>
      <c r="F614" s="429" t="s">
        <v>336</v>
      </c>
      <c r="G614" s="429">
        <v>632775.35857844166</v>
      </c>
      <c r="H614" s="429">
        <v>654826.49694515218</v>
      </c>
      <c r="I614" s="429">
        <v>741.75824175824175</v>
      </c>
      <c r="J614" s="429">
        <v>320810.43956043955</v>
      </c>
      <c r="K614" s="429">
        <v>697713.11588381033</v>
      </c>
      <c r="L614" s="429">
        <v>250549.45054945056</v>
      </c>
      <c r="M614" s="429">
        <v>261643.11878597594</v>
      </c>
      <c r="N614" s="430">
        <v>547577.30615253933</v>
      </c>
    </row>
    <row r="615" spans="1:14" ht="15" customHeight="1" x14ac:dyDescent="0.25">
      <c r="A615" s="7" t="s">
        <v>1756</v>
      </c>
      <c r="B615" s="429">
        <v>399250.70575885609</v>
      </c>
      <c r="C615" s="429">
        <v>164521.19309262166</v>
      </c>
      <c r="D615" s="429">
        <v>298505.20056736894</v>
      </c>
      <c r="E615" s="429">
        <v>158241.75824175825</v>
      </c>
      <c r="F615" s="429">
        <v>559697.25106381683</v>
      </c>
      <c r="G615" s="429">
        <v>553678.43875613646</v>
      </c>
      <c r="H615" s="429">
        <v>715038.57783644937</v>
      </c>
      <c r="I615" s="429">
        <v>255062.83982529637</v>
      </c>
      <c r="J615" s="429">
        <v>176909.34065934067</v>
      </c>
      <c r="K615" s="429">
        <v>778349.05993364227</v>
      </c>
      <c r="L615" s="429" t="s">
        <v>336</v>
      </c>
      <c r="M615" s="429">
        <v>1700680.2721088438</v>
      </c>
      <c r="N615" s="430">
        <v>636946.41904032789</v>
      </c>
    </row>
    <row r="616" spans="1:14" ht="15" customHeight="1" x14ac:dyDescent="0.25">
      <c r="A616" s="7" t="s">
        <v>1757</v>
      </c>
      <c r="B616" s="429">
        <v>384619.2338715645</v>
      </c>
      <c r="C616" s="429">
        <v>214940.8547414364</v>
      </c>
      <c r="D616" s="429">
        <v>335818.35063829011</v>
      </c>
      <c r="E616" s="429">
        <v>188678.16852860482</v>
      </c>
      <c r="F616" s="429">
        <v>391788.07574467181</v>
      </c>
      <c r="G616" s="429" t="s">
        <v>336</v>
      </c>
      <c r="H616" s="429">
        <v>663921.68367513397</v>
      </c>
      <c r="I616" s="429">
        <v>24107.142857142859</v>
      </c>
      <c r="J616" s="429">
        <v>353420.37383838027</v>
      </c>
      <c r="K616" s="429">
        <v>213897.45158481773</v>
      </c>
      <c r="L616" s="429" t="s">
        <v>336</v>
      </c>
      <c r="M616" s="429">
        <v>3924646.7817896395</v>
      </c>
      <c r="N616" s="430">
        <v>763973.18598946161</v>
      </c>
    </row>
    <row r="617" spans="1:14" ht="15" customHeight="1" x14ac:dyDescent="0.25">
      <c r="A617" s="7" t="s">
        <v>1758</v>
      </c>
      <c r="B617" s="429">
        <v>242535.47546098728</v>
      </c>
      <c r="C617" s="429" t="s">
        <v>336</v>
      </c>
      <c r="D617" s="429" t="s">
        <v>336</v>
      </c>
      <c r="E617" s="429">
        <v>149450.54945054944</v>
      </c>
      <c r="F617" s="429" t="s">
        <v>336</v>
      </c>
      <c r="G617" s="429" t="s">
        <v>336</v>
      </c>
      <c r="H617" s="429">
        <v>611950.54945054941</v>
      </c>
      <c r="I617" s="429" t="s">
        <v>336</v>
      </c>
      <c r="J617" s="429">
        <v>111263.73626373627</v>
      </c>
      <c r="K617" s="429" t="s">
        <v>336</v>
      </c>
      <c r="L617" s="429" t="s">
        <v>336</v>
      </c>
      <c r="M617" s="429" t="s">
        <v>336</v>
      </c>
      <c r="N617" s="430">
        <v>442884.62776010804</v>
      </c>
    </row>
    <row r="618" spans="1:14" ht="15" customHeight="1" x14ac:dyDescent="0.25">
      <c r="A618" s="7" t="s">
        <v>1759</v>
      </c>
      <c r="B618" s="429">
        <v>298505.20056736894</v>
      </c>
      <c r="C618" s="429" t="s">
        <v>336</v>
      </c>
      <c r="D618" s="429" t="s">
        <v>336</v>
      </c>
      <c r="E618" s="429" t="s">
        <v>336</v>
      </c>
      <c r="F618" s="429" t="s">
        <v>336</v>
      </c>
      <c r="G618" s="429" t="s">
        <v>336</v>
      </c>
      <c r="H618" s="429">
        <v>584929.35635792778</v>
      </c>
      <c r="I618" s="429" t="s">
        <v>336</v>
      </c>
      <c r="J618" s="429">
        <v>186499.21507064364</v>
      </c>
      <c r="K618" s="429" t="s">
        <v>336</v>
      </c>
      <c r="L618" s="429" t="s">
        <v>336</v>
      </c>
      <c r="M618" s="429" t="s">
        <v>336</v>
      </c>
      <c r="N618" s="430">
        <v>505409.17531914503</v>
      </c>
    </row>
    <row r="619" spans="1:14" ht="15" customHeight="1" x14ac:dyDescent="0.25">
      <c r="A619" s="7" t="s">
        <v>1760</v>
      </c>
      <c r="B619" s="429">
        <v>394865.69490013772</v>
      </c>
      <c r="C619" s="429">
        <v>571428.57142857148</v>
      </c>
      <c r="D619" s="429">
        <v>298505.20056736894</v>
      </c>
      <c r="E619" s="429">
        <v>402930.40293040295</v>
      </c>
      <c r="F619" s="429">
        <v>111939.45021276336</v>
      </c>
      <c r="G619" s="429" t="s">
        <v>336</v>
      </c>
      <c r="H619" s="429">
        <v>642361.57158779062</v>
      </c>
      <c r="I619" s="429">
        <v>383192.23401991156</v>
      </c>
      <c r="J619" s="429">
        <v>254052.1978021978</v>
      </c>
      <c r="K619" s="429">
        <v>583738.94265839574</v>
      </c>
      <c r="L619" s="429">
        <v>59157.509157509157</v>
      </c>
      <c r="M619" s="429">
        <v>525902.66875981167</v>
      </c>
      <c r="N619" s="430">
        <v>484753.69110381685</v>
      </c>
    </row>
    <row r="620" spans="1:14" ht="15" customHeight="1" x14ac:dyDescent="0.25">
      <c r="A620" s="7" t="s">
        <v>1761</v>
      </c>
      <c r="B620" s="429">
        <v>353498.26020589058</v>
      </c>
      <c r="C620" s="429">
        <v>210989.010989011</v>
      </c>
      <c r="D620" s="429">
        <v>179103.12034042133</v>
      </c>
      <c r="E620" s="429">
        <v>189894.50549450549</v>
      </c>
      <c r="F620" s="429">
        <v>303992.42851897498</v>
      </c>
      <c r="G620" s="429">
        <v>197742.29955576299</v>
      </c>
      <c r="H620" s="429">
        <v>658769.04611466092</v>
      </c>
      <c r="I620" s="429">
        <v>82985.784312150878</v>
      </c>
      <c r="J620" s="429">
        <v>326764.02544823597</v>
      </c>
      <c r="K620" s="429">
        <v>413931.17945580475</v>
      </c>
      <c r="L620" s="429">
        <v>202348.50863422293</v>
      </c>
      <c r="M620" s="429">
        <v>830098.94867037726</v>
      </c>
      <c r="N620" s="430">
        <v>547043.34469995636</v>
      </c>
    </row>
    <row r="621" spans="1:14" ht="15" customHeight="1" x14ac:dyDescent="0.25">
      <c r="A621" s="7" t="s">
        <v>1762</v>
      </c>
      <c r="B621" s="429">
        <v>401369.07779742096</v>
      </c>
      <c r="C621" s="429" t="s">
        <v>336</v>
      </c>
      <c r="D621" s="429">
        <v>111939.45021276336</v>
      </c>
      <c r="E621" s="429" t="s">
        <v>336</v>
      </c>
      <c r="F621" s="429">
        <v>248132.44797162543</v>
      </c>
      <c r="G621" s="429" t="s">
        <v>336</v>
      </c>
      <c r="H621" s="429">
        <v>605336.14021241746</v>
      </c>
      <c r="I621" s="429">
        <v>30412.087912087911</v>
      </c>
      <c r="J621" s="429">
        <v>421742.54317111458</v>
      </c>
      <c r="K621" s="429">
        <v>246576.228910276</v>
      </c>
      <c r="L621" s="429">
        <v>605494.50549450552</v>
      </c>
      <c r="M621" s="429" t="s">
        <v>336</v>
      </c>
      <c r="N621" s="430">
        <v>611115.51978433377</v>
      </c>
    </row>
    <row r="622" spans="1:14" ht="15" customHeight="1" x14ac:dyDescent="0.25">
      <c r="A622" s="7" t="s">
        <v>1763</v>
      </c>
      <c r="B622" s="429">
        <v>342037.2089834435</v>
      </c>
      <c r="C622" s="429">
        <v>250549.45054945056</v>
      </c>
      <c r="D622" s="429" t="s">
        <v>336</v>
      </c>
      <c r="E622" s="429">
        <v>250549.45054945056</v>
      </c>
      <c r="F622" s="429" t="s">
        <v>336</v>
      </c>
      <c r="G622" s="429" t="s">
        <v>336</v>
      </c>
      <c r="H622" s="429">
        <v>549716.86495488137</v>
      </c>
      <c r="I622" s="429" t="s">
        <v>336</v>
      </c>
      <c r="J622" s="429">
        <v>222527.47252747254</v>
      </c>
      <c r="K622" s="429" t="s">
        <v>336</v>
      </c>
      <c r="L622" s="429" t="s">
        <v>336</v>
      </c>
      <c r="M622" s="429" t="s">
        <v>336</v>
      </c>
      <c r="N622" s="430">
        <v>566803.03371464717</v>
      </c>
    </row>
    <row r="623" spans="1:14" ht="15" customHeight="1" x14ac:dyDescent="0.25">
      <c r="A623" s="7" t="s">
        <v>1764</v>
      </c>
      <c r="B623" s="429" t="s">
        <v>336</v>
      </c>
      <c r="C623" s="429" t="s">
        <v>336</v>
      </c>
      <c r="D623" s="429" t="s">
        <v>336</v>
      </c>
      <c r="E623" s="429" t="s">
        <v>336</v>
      </c>
      <c r="F623" s="429" t="s">
        <v>336</v>
      </c>
      <c r="G623" s="429" t="s">
        <v>336</v>
      </c>
      <c r="H623" s="429">
        <v>519230.76923076925</v>
      </c>
      <c r="I623" s="429" t="s">
        <v>336</v>
      </c>
      <c r="J623" s="429" t="s">
        <v>336</v>
      </c>
      <c r="K623" s="429" t="s">
        <v>336</v>
      </c>
      <c r="L623" s="429" t="s">
        <v>336</v>
      </c>
      <c r="M623" s="429" t="s">
        <v>336</v>
      </c>
      <c r="N623" s="430">
        <v>677424.60887537966</v>
      </c>
    </row>
    <row r="624" spans="1:14" ht="15" customHeight="1" x14ac:dyDescent="0.25">
      <c r="A624" s="7" t="s">
        <v>1765</v>
      </c>
      <c r="B624" s="429">
        <v>111939.45021276336</v>
      </c>
      <c r="C624" s="429" t="s">
        <v>336</v>
      </c>
      <c r="D624" s="429" t="s">
        <v>336</v>
      </c>
      <c r="E624" s="429" t="s">
        <v>336</v>
      </c>
      <c r="F624" s="429" t="s">
        <v>336</v>
      </c>
      <c r="G624" s="429" t="s">
        <v>336</v>
      </c>
      <c r="H624" s="429" t="s">
        <v>336</v>
      </c>
      <c r="I624" s="429" t="s">
        <v>336</v>
      </c>
      <c r="J624" s="429">
        <v>370879.12087912089</v>
      </c>
      <c r="K624" s="429" t="s">
        <v>336</v>
      </c>
      <c r="L624" s="429" t="s">
        <v>336</v>
      </c>
      <c r="M624" s="429" t="s">
        <v>336</v>
      </c>
      <c r="N624" s="430">
        <v>482818.57109188428</v>
      </c>
    </row>
    <row r="625" spans="1:14" ht="15" customHeight="1" x14ac:dyDescent="0.25">
      <c r="A625" s="7" t="s">
        <v>1766</v>
      </c>
      <c r="B625" s="429">
        <v>488836.49817683815</v>
      </c>
      <c r="C625" s="429" t="s">
        <v>336</v>
      </c>
      <c r="D625" s="429" t="s">
        <v>336</v>
      </c>
      <c r="E625" s="429" t="s">
        <v>336</v>
      </c>
      <c r="F625" s="429" t="s">
        <v>336</v>
      </c>
      <c r="G625" s="429">
        <v>0</v>
      </c>
      <c r="H625" s="429">
        <v>445054.94505494507</v>
      </c>
      <c r="I625" s="429" t="s">
        <v>336</v>
      </c>
      <c r="J625" s="429">
        <v>259615.38461538462</v>
      </c>
      <c r="K625" s="429" t="s">
        <v>336</v>
      </c>
      <c r="L625" s="429" t="s">
        <v>336</v>
      </c>
      <c r="M625" s="429" t="s">
        <v>336</v>
      </c>
      <c r="N625" s="430">
        <v>405132.53480270482</v>
      </c>
    </row>
    <row r="626" spans="1:14" ht="15" customHeight="1" x14ac:dyDescent="0.25">
      <c r="A626" s="7" t="s">
        <v>1767</v>
      </c>
      <c r="B626" s="429">
        <v>447757.80085105338</v>
      </c>
      <c r="C626" s="429">
        <v>87912.087912087911</v>
      </c>
      <c r="D626" s="429" t="s">
        <v>336</v>
      </c>
      <c r="E626" s="429">
        <v>87912.087912087911</v>
      </c>
      <c r="F626" s="429" t="s">
        <v>336</v>
      </c>
      <c r="G626" s="429" t="s">
        <v>336</v>
      </c>
      <c r="H626" s="429">
        <v>290345.36891679751</v>
      </c>
      <c r="I626" s="429" t="s">
        <v>336</v>
      </c>
      <c r="J626" s="429">
        <v>296703.29670329671</v>
      </c>
      <c r="K626" s="429" t="s">
        <v>336</v>
      </c>
      <c r="L626" s="429" t="s">
        <v>336</v>
      </c>
      <c r="M626" s="429" t="s">
        <v>336</v>
      </c>
      <c r="N626" s="430">
        <v>384821.84574982151</v>
      </c>
    </row>
    <row r="627" spans="1:14" ht="15" customHeight="1" x14ac:dyDescent="0.25">
      <c r="A627" s="7" t="s">
        <v>1768</v>
      </c>
      <c r="B627" s="429">
        <v>410444.65078013227</v>
      </c>
      <c r="C627" s="429" t="s">
        <v>336</v>
      </c>
      <c r="D627" s="429" t="s">
        <v>336</v>
      </c>
      <c r="E627" s="429" t="s">
        <v>336</v>
      </c>
      <c r="F627" s="429">
        <v>447757.80085105344</v>
      </c>
      <c r="G627" s="429" t="s">
        <v>336</v>
      </c>
      <c r="H627" s="429">
        <v>527030.70132900123</v>
      </c>
      <c r="I627" s="429" t="s">
        <v>336</v>
      </c>
      <c r="J627" s="429" t="s">
        <v>336</v>
      </c>
      <c r="K627" s="429">
        <v>445619.6908017036</v>
      </c>
      <c r="L627" s="429" t="s">
        <v>336</v>
      </c>
      <c r="M627" s="429">
        <v>418628.99005756149</v>
      </c>
      <c r="N627" s="430">
        <v>278257.29308980942</v>
      </c>
    </row>
    <row r="628" spans="1:14" ht="15" customHeight="1" x14ac:dyDescent="0.25">
      <c r="A628" s="7" t="s">
        <v>1769</v>
      </c>
      <c r="B628" s="429">
        <v>227949.42588780899</v>
      </c>
      <c r="C628" s="429">
        <v>474725.27472527471</v>
      </c>
      <c r="D628" s="429">
        <v>559697.25106381683</v>
      </c>
      <c r="E628" s="429">
        <v>474725.27472527471</v>
      </c>
      <c r="F628" s="429" t="s">
        <v>336</v>
      </c>
      <c r="G628" s="429">
        <v>395484.59911152598</v>
      </c>
      <c r="H628" s="429">
        <v>593463.58718916529</v>
      </c>
      <c r="I628" s="429">
        <v>3708.7912087912086</v>
      </c>
      <c r="J628" s="429">
        <v>248489.010989011</v>
      </c>
      <c r="K628" s="429">
        <v>166364.68456596934</v>
      </c>
      <c r="L628" s="429" t="s">
        <v>336</v>
      </c>
      <c r="M628" s="429">
        <v>104657.24751439037</v>
      </c>
      <c r="N628" s="430">
        <v>564313.88310539757</v>
      </c>
    </row>
    <row r="629" spans="1:14" ht="15" customHeight="1" x14ac:dyDescent="0.25">
      <c r="A629" s="7" t="s">
        <v>1770</v>
      </c>
      <c r="B629" s="429">
        <v>470145.69089360611</v>
      </c>
      <c r="C629" s="429" t="s">
        <v>336</v>
      </c>
      <c r="D629" s="429">
        <v>447757.80085105344</v>
      </c>
      <c r="E629" s="429" t="s">
        <v>336</v>
      </c>
      <c r="F629" s="429">
        <v>335818.35063829005</v>
      </c>
      <c r="G629" s="429" t="s">
        <v>336</v>
      </c>
      <c r="H629" s="429">
        <v>757476.56629638781</v>
      </c>
      <c r="I629" s="429">
        <v>445054.94505494507</v>
      </c>
      <c r="J629" s="429">
        <v>493269.23076923075</v>
      </c>
      <c r="K629" s="429" t="s">
        <v>336</v>
      </c>
      <c r="L629" s="429">
        <v>54285.714285714283</v>
      </c>
      <c r="M629" s="429" t="s">
        <v>336</v>
      </c>
      <c r="N629" s="430">
        <v>695729.38700485777</v>
      </c>
    </row>
    <row r="630" spans="1:14" ht="15" customHeight="1" x14ac:dyDescent="0.25">
      <c r="A630" s="7" t="s">
        <v>1771</v>
      </c>
      <c r="B630" s="429">
        <v>565294.22357445501</v>
      </c>
      <c r="C630" s="429" t="s">
        <v>336</v>
      </c>
      <c r="D630" s="429">
        <v>447757.80085105344</v>
      </c>
      <c r="E630" s="429" t="s">
        <v>336</v>
      </c>
      <c r="F630" s="429" t="s">
        <v>336</v>
      </c>
      <c r="G630" s="429" t="s">
        <v>336</v>
      </c>
      <c r="H630" s="429">
        <v>908653.84615384613</v>
      </c>
      <c r="I630" s="429" t="s">
        <v>336</v>
      </c>
      <c r="J630" s="429">
        <v>173942.16444042631</v>
      </c>
      <c r="K630" s="429" t="s">
        <v>336</v>
      </c>
      <c r="L630" s="429" t="s">
        <v>336</v>
      </c>
      <c r="M630" s="429" t="s">
        <v>336</v>
      </c>
      <c r="N630" s="430">
        <v>686537.65730855369</v>
      </c>
    </row>
    <row r="631" spans="1:14" ht="15" customHeight="1" x14ac:dyDescent="0.25">
      <c r="A631" s="7" t="s">
        <v>1772</v>
      </c>
      <c r="B631" s="429">
        <v>559697.25106381683</v>
      </c>
      <c r="C631" s="429" t="s">
        <v>336</v>
      </c>
      <c r="D631" s="429" t="s">
        <v>336</v>
      </c>
      <c r="E631" s="429" t="s">
        <v>336</v>
      </c>
      <c r="F631" s="429" t="s">
        <v>336</v>
      </c>
      <c r="G631" s="429" t="s">
        <v>336</v>
      </c>
      <c r="H631" s="429" t="s">
        <v>336</v>
      </c>
      <c r="I631" s="429" t="s">
        <v>336</v>
      </c>
      <c r="J631" s="429" t="s">
        <v>336</v>
      </c>
      <c r="K631" s="429" t="s">
        <v>336</v>
      </c>
      <c r="L631" s="429" t="s">
        <v>336</v>
      </c>
      <c r="M631" s="429" t="s">
        <v>336</v>
      </c>
      <c r="N631" s="430">
        <v>638794.17088612204</v>
      </c>
    </row>
    <row r="632" spans="1:14" ht="15" customHeight="1" x14ac:dyDescent="0.25">
      <c r="A632" s="7" t="s">
        <v>1773</v>
      </c>
      <c r="B632" s="429">
        <v>522384.10099289572</v>
      </c>
      <c r="C632" s="429">
        <v>241758.24175824175</v>
      </c>
      <c r="D632" s="429" t="s">
        <v>336</v>
      </c>
      <c r="E632" s="429">
        <v>241758.24175824175</v>
      </c>
      <c r="F632" s="429" t="s">
        <v>336</v>
      </c>
      <c r="G632" s="429" t="s">
        <v>336</v>
      </c>
      <c r="H632" s="429">
        <v>437637.36263736262</v>
      </c>
      <c r="I632" s="429" t="s">
        <v>336</v>
      </c>
      <c r="J632" s="429" t="s">
        <v>336</v>
      </c>
      <c r="K632" s="429" t="s">
        <v>336</v>
      </c>
      <c r="L632" s="429">
        <v>501098.90109890111</v>
      </c>
      <c r="M632" s="429" t="s">
        <v>336</v>
      </c>
      <c r="N632" s="430">
        <v>592412.18295767833</v>
      </c>
    </row>
    <row r="633" spans="1:14" ht="15" customHeight="1" x14ac:dyDescent="0.25">
      <c r="A633" s="7" t="s">
        <v>1774</v>
      </c>
      <c r="B633" s="429">
        <v>402534.26296509703</v>
      </c>
      <c r="C633" s="429">
        <v>167201.86217723164</v>
      </c>
      <c r="D633" s="429">
        <v>503727.52595743514</v>
      </c>
      <c r="E633" s="429">
        <v>167201.86217723164</v>
      </c>
      <c r="F633" s="429">
        <v>149252.60028368447</v>
      </c>
      <c r="G633" s="429">
        <v>790969.19822305196</v>
      </c>
      <c r="H633" s="429">
        <v>767086.21113537857</v>
      </c>
      <c r="I633" s="429">
        <v>171902.25764965048</v>
      </c>
      <c r="J633" s="429">
        <v>337421.29253383272</v>
      </c>
      <c r="K633" s="429">
        <v>178247.87632068148</v>
      </c>
      <c r="L633" s="429">
        <v>528937.72893772891</v>
      </c>
      <c r="M633" s="429">
        <v>205128.20512820515</v>
      </c>
      <c r="N633" s="430">
        <v>698001.30051162234</v>
      </c>
    </row>
    <row r="634" spans="1:14" ht="15" customHeight="1" x14ac:dyDescent="0.25">
      <c r="A634" s="7" t="s">
        <v>1775</v>
      </c>
      <c r="B634" s="429">
        <v>442042.90185315703</v>
      </c>
      <c r="C634" s="429" t="s">
        <v>336</v>
      </c>
      <c r="D634" s="429" t="s">
        <v>336</v>
      </c>
      <c r="E634" s="429" t="s">
        <v>336</v>
      </c>
      <c r="F634" s="429" t="s">
        <v>336</v>
      </c>
      <c r="G634" s="429" t="s">
        <v>336</v>
      </c>
      <c r="H634" s="429">
        <v>482142.85714285716</v>
      </c>
      <c r="I634" s="429" t="s">
        <v>336</v>
      </c>
      <c r="J634" s="429" t="s">
        <v>336</v>
      </c>
      <c r="K634" s="429" t="s">
        <v>336</v>
      </c>
      <c r="L634" s="429" t="s">
        <v>336</v>
      </c>
      <c r="M634" s="429" t="s">
        <v>336</v>
      </c>
      <c r="N634" s="430">
        <v>562552.41075924761</v>
      </c>
    </row>
    <row r="635" spans="1:14" ht="15" customHeight="1" x14ac:dyDescent="0.25">
      <c r="A635" s="7" t="s">
        <v>1776</v>
      </c>
      <c r="B635" s="429">
        <v>332620.08063221112</v>
      </c>
      <c r="C635" s="429">
        <v>175824.17582417582</v>
      </c>
      <c r="D635" s="429">
        <v>111939.45021276336</v>
      </c>
      <c r="E635" s="429" t="s">
        <v>336</v>
      </c>
      <c r="F635" s="429" t="s">
        <v>336</v>
      </c>
      <c r="G635" s="429">
        <v>158193.83964461042</v>
      </c>
      <c r="H635" s="429">
        <v>538131.4250265864</v>
      </c>
      <c r="I635" s="429">
        <v>29670.329670329669</v>
      </c>
      <c r="J635" s="429">
        <v>370879.12087912089</v>
      </c>
      <c r="K635" s="429">
        <v>570393.20422618068</v>
      </c>
      <c r="L635" s="429" t="s">
        <v>336</v>
      </c>
      <c r="M635" s="429" t="s">
        <v>336</v>
      </c>
      <c r="N635" s="430">
        <v>566241.67395857594</v>
      </c>
    </row>
    <row r="636" spans="1:14" ht="15" customHeight="1" x14ac:dyDescent="0.25">
      <c r="A636" s="7" t="s">
        <v>1777</v>
      </c>
      <c r="B636" s="429">
        <v>436705.57142047753</v>
      </c>
      <c r="C636" s="429">
        <v>87912.087912087911</v>
      </c>
      <c r="D636" s="429">
        <v>410444.65078013233</v>
      </c>
      <c r="E636" s="429">
        <v>87912.087912087911</v>
      </c>
      <c r="F636" s="429">
        <v>237871.33170212212</v>
      </c>
      <c r="G636" s="429" t="s">
        <v>336</v>
      </c>
      <c r="H636" s="429">
        <v>586853.05269934796</v>
      </c>
      <c r="I636" s="429">
        <v>222527.47252747254</v>
      </c>
      <c r="J636" s="429">
        <v>426510.98901098903</v>
      </c>
      <c r="K636" s="429" t="s">
        <v>336</v>
      </c>
      <c r="L636" s="429" t="s">
        <v>336</v>
      </c>
      <c r="M636" s="429" t="s">
        <v>336</v>
      </c>
      <c r="N636" s="430">
        <v>688528.40958542144</v>
      </c>
    </row>
    <row r="637" spans="1:14" ht="15" customHeight="1" x14ac:dyDescent="0.25">
      <c r="A637" s="7" t="s">
        <v>1778</v>
      </c>
      <c r="B637" s="429">
        <v>447757.80085105344</v>
      </c>
      <c r="C637" s="429">
        <v>52747.252747252751</v>
      </c>
      <c r="D637" s="429" t="s">
        <v>336</v>
      </c>
      <c r="E637" s="429">
        <v>52747.252747252751</v>
      </c>
      <c r="F637" s="429" t="s">
        <v>336</v>
      </c>
      <c r="G637" s="429" t="s">
        <v>336</v>
      </c>
      <c r="H637" s="429">
        <v>1557692.3076923077</v>
      </c>
      <c r="I637" s="429" t="s">
        <v>336</v>
      </c>
      <c r="J637" s="429">
        <v>445054.94505494507</v>
      </c>
      <c r="K637" s="429" t="s">
        <v>336</v>
      </c>
      <c r="L637" s="429">
        <v>1670329.6703296704</v>
      </c>
      <c r="M637" s="429" t="s">
        <v>336</v>
      </c>
      <c r="N637" s="430">
        <v>1446005.3842786974</v>
      </c>
    </row>
    <row r="638" spans="1:14" ht="15" customHeight="1" x14ac:dyDescent="0.25">
      <c r="A638" s="7" t="s">
        <v>1779</v>
      </c>
      <c r="B638" s="429">
        <v>447757.80085105344</v>
      </c>
      <c r="C638" s="429" t="s">
        <v>336</v>
      </c>
      <c r="D638" s="429" t="s">
        <v>336</v>
      </c>
      <c r="E638" s="429" t="s">
        <v>336</v>
      </c>
      <c r="F638" s="429" t="s">
        <v>336</v>
      </c>
      <c r="G638" s="429" t="s">
        <v>336</v>
      </c>
      <c r="H638" s="429" t="s">
        <v>336</v>
      </c>
      <c r="I638" s="429" t="s">
        <v>336</v>
      </c>
      <c r="J638" s="429">
        <v>59340.659340659338</v>
      </c>
      <c r="K638" s="429" t="s">
        <v>336</v>
      </c>
      <c r="L638" s="429" t="s">
        <v>336</v>
      </c>
      <c r="M638" s="429" t="s">
        <v>336</v>
      </c>
      <c r="N638" s="430">
        <v>507098.46019171277</v>
      </c>
    </row>
    <row r="639" spans="1:14" ht="15" customHeight="1" x14ac:dyDescent="0.25">
      <c r="A639" s="7" t="s">
        <v>1780</v>
      </c>
      <c r="B639" s="429">
        <v>489735.09468083974</v>
      </c>
      <c r="C639" s="429">
        <v>351648.35164835164</v>
      </c>
      <c r="D639" s="429" t="s">
        <v>336</v>
      </c>
      <c r="E639" s="429">
        <v>351648.35164835164</v>
      </c>
      <c r="F639" s="429" t="s">
        <v>336</v>
      </c>
      <c r="G639" s="429" t="s">
        <v>336</v>
      </c>
      <c r="H639" s="429">
        <v>585164.83516483521</v>
      </c>
      <c r="I639" s="429" t="s">
        <v>336</v>
      </c>
      <c r="J639" s="429">
        <v>18543.956043956045</v>
      </c>
      <c r="K639" s="429" t="s">
        <v>336</v>
      </c>
      <c r="L639" s="429">
        <v>75164.835164835167</v>
      </c>
      <c r="M639" s="429" t="s">
        <v>336</v>
      </c>
      <c r="N639" s="430">
        <v>624361.47805965715</v>
      </c>
    </row>
    <row r="640" spans="1:14" ht="15" customHeight="1" x14ac:dyDescent="0.25">
      <c r="A640" s="7" t="s">
        <v>1781</v>
      </c>
      <c r="B640" s="429">
        <v>366985.27753707522</v>
      </c>
      <c r="C640" s="429">
        <v>433432.31639272947</v>
      </c>
      <c r="D640" s="429" t="s">
        <v>336</v>
      </c>
      <c r="E640" s="429">
        <v>467371.52692402259</v>
      </c>
      <c r="F640" s="429">
        <v>279848.62553190842</v>
      </c>
      <c r="G640" s="429">
        <v>738237.91834151524</v>
      </c>
      <c r="H640" s="429">
        <v>645783.99905859411</v>
      </c>
      <c r="I640" s="429">
        <v>22252.747252747253</v>
      </c>
      <c r="J640" s="429">
        <v>271947.50029197271</v>
      </c>
      <c r="K640" s="429" t="s">
        <v>336</v>
      </c>
      <c r="L640" s="429" t="s">
        <v>336</v>
      </c>
      <c r="M640" s="429" t="s">
        <v>336</v>
      </c>
      <c r="N640" s="430">
        <v>702175.52422661323</v>
      </c>
    </row>
    <row r="641" spans="1:14" ht="15" customHeight="1" x14ac:dyDescent="0.25">
      <c r="A641" s="7" t="s">
        <v>1782</v>
      </c>
      <c r="B641" s="429">
        <v>460195.51754136046</v>
      </c>
      <c r="C641" s="429" t="s">
        <v>336</v>
      </c>
      <c r="D641" s="429">
        <v>111939.45021276336</v>
      </c>
      <c r="E641" s="429" t="s">
        <v>336</v>
      </c>
      <c r="F641" s="429" t="s">
        <v>336</v>
      </c>
      <c r="G641" s="429">
        <v>790969.19822305196</v>
      </c>
      <c r="H641" s="429">
        <v>472375.22373797518</v>
      </c>
      <c r="I641" s="429">
        <v>5934.065934065934</v>
      </c>
      <c r="J641" s="429">
        <v>222527.47252747254</v>
      </c>
      <c r="K641" s="429" t="s">
        <v>336</v>
      </c>
      <c r="L641" s="429">
        <v>334065.93406593404</v>
      </c>
      <c r="M641" s="429" t="s">
        <v>336</v>
      </c>
      <c r="N641" s="430">
        <v>705156.89638361998</v>
      </c>
    </row>
    <row r="642" spans="1:14" ht="15" customHeight="1" x14ac:dyDescent="0.25">
      <c r="A642" s="7" t="s">
        <v>1783</v>
      </c>
      <c r="B642" s="429">
        <v>427405.17353964195</v>
      </c>
      <c r="C642" s="429" t="s">
        <v>336</v>
      </c>
      <c r="D642" s="429" t="s">
        <v>336</v>
      </c>
      <c r="E642" s="429" t="s">
        <v>336</v>
      </c>
      <c r="F642" s="429">
        <v>223878.90042552672</v>
      </c>
      <c r="G642" s="429" t="s">
        <v>336</v>
      </c>
      <c r="H642" s="429">
        <v>601581.21404030221</v>
      </c>
      <c r="I642" s="429">
        <v>222527.47252747254</v>
      </c>
      <c r="J642" s="429">
        <v>236435.43956043955</v>
      </c>
      <c r="K642" s="429" t="s">
        <v>336</v>
      </c>
      <c r="L642" s="429" t="s">
        <v>336</v>
      </c>
      <c r="M642" s="429" t="s">
        <v>336</v>
      </c>
      <c r="N642" s="430">
        <v>616924.94789201405</v>
      </c>
    </row>
    <row r="643" spans="1:14" ht="15" customHeight="1" x14ac:dyDescent="0.25">
      <c r="A643" s="7" t="s">
        <v>1784</v>
      </c>
      <c r="B643" s="429">
        <v>1007455.0519148703</v>
      </c>
      <c r="C643" s="429" t="s">
        <v>336</v>
      </c>
      <c r="D643" s="429" t="s">
        <v>336</v>
      </c>
      <c r="E643" s="429" t="s">
        <v>336</v>
      </c>
      <c r="F643" s="429" t="s">
        <v>336</v>
      </c>
      <c r="G643" s="429" t="s">
        <v>336</v>
      </c>
      <c r="H643" s="429" t="s">
        <v>336</v>
      </c>
      <c r="I643" s="429" t="s">
        <v>336</v>
      </c>
      <c r="J643" s="429" t="s">
        <v>336</v>
      </c>
      <c r="K643" s="429" t="s">
        <v>336</v>
      </c>
      <c r="L643" s="429" t="s">
        <v>336</v>
      </c>
      <c r="M643" s="429" t="s">
        <v>336</v>
      </c>
      <c r="N643" s="430">
        <v>1007455.0519148703</v>
      </c>
    </row>
    <row r="644" spans="1:14" ht="15" customHeight="1" x14ac:dyDescent="0.25">
      <c r="A644" s="7" t="s">
        <v>1785</v>
      </c>
      <c r="B644" s="429">
        <v>457934.11450675916</v>
      </c>
      <c r="C644" s="429">
        <v>126007.326007326</v>
      </c>
      <c r="D644" s="429">
        <v>324624.40561701375</v>
      </c>
      <c r="E644" s="429">
        <v>126007.326007326</v>
      </c>
      <c r="F644" s="429">
        <v>293841.05680850381</v>
      </c>
      <c r="G644" s="429" t="s">
        <v>336</v>
      </c>
      <c r="H644" s="429">
        <v>598297.73967136897</v>
      </c>
      <c r="I644" s="429">
        <v>12609.89010989011</v>
      </c>
      <c r="J644" s="429">
        <v>294230.76923076925</v>
      </c>
      <c r="K644" s="429" t="s">
        <v>336</v>
      </c>
      <c r="L644" s="429">
        <v>1503296.7032967033</v>
      </c>
      <c r="M644" s="429" t="s">
        <v>336</v>
      </c>
      <c r="N644" s="430">
        <v>669288.02026502229</v>
      </c>
    </row>
    <row r="645" spans="1:14" ht="15" customHeight="1" x14ac:dyDescent="0.25">
      <c r="A645" s="7" t="s">
        <v>1786</v>
      </c>
      <c r="B645" s="429">
        <v>584831.60476219642</v>
      </c>
      <c r="C645" s="429">
        <v>206593.4065934066</v>
      </c>
      <c r="D645" s="429">
        <v>335818.35063829005</v>
      </c>
      <c r="E645" s="429">
        <v>187545.78754578755</v>
      </c>
      <c r="F645" s="429">
        <v>167909.17531914503</v>
      </c>
      <c r="G645" s="429">
        <v>1581938.3964461039</v>
      </c>
      <c r="H645" s="429">
        <v>716070.36911158299</v>
      </c>
      <c r="I645" s="429">
        <v>298258.59624246717</v>
      </c>
      <c r="J645" s="429">
        <v>221581.19867149394</v>
      </c>
      <c r="K645" s="429">
        <v>297079.79386780236</v>
      </c>
      <c r="L645" s="429">
        <v>1127472.5274725275</v>
      </c>
      <c r="M645" s="429" t="s">
        <v>336</v>
      </c>
      <c r="N645" s="430">
        <v>778499.07397779508</v>
      </c>
    </row>
    <row r="646" spans="1:14" ht="15" customHeight="1" x14ac:dyDescent="0.25">
      <c r="A646" s="7" t="s">
        <v>1787</v>
      </c>
      <c r="B646" s="429">
        <v>335818.35063829005</v>
      </c>
      <c r="C646" s="429">
        <v>165971.95907540736</v>
      </c>
      <c r="D646" s="429">
        <v>447757.80085105344</v>
      </c>
      <c r="E646" s="429">
        <v>165971.95907540736</v>
      </c>
      <c r="F646" s="429" t="s">
        <v>336</v>
      </c>
      <c r="G646" s="429" t="s">
        <v>336</v>
      </c>
      <c r="H646" s="429">
        <v>622838.9146918573</v>
      </c>
      <c r="I646" s="429" t="s">
        <v>336</v>
      </c>
      <c r="J646" s="429" t="s">
        <v>336</v>
      </c>
      <c r="K646" s="429" t="s">
        <v>336</v>
      </c>
      <c r="L646" s="429" t="s">
        <v>336</v>
      </c>
      <c r="M646" s="429" t="s">
        <v>336</v>
      </c>
      <c r="N646" s="430">
        <v>706652.06151789695</v>
      </c>
    </row>
    <row r="647" spans="1:14" ht="15" customHeight="1" x14ac:dyDescent="0.25">
      <c r="A647" s="7" t="s">
        <v>1788</v>
      </c>
      <c r="B647" s="429">
        <v>446358.5577233939</v>
      </c>
      <c r="C647" s="429">
        <v>421978.02197802201</v>
      </c>
      <c r="D647" s="429" t="s">
        <v>336</v>
      </c>
      <c r="E647" s="429">
        <v>421978.02197802201</v>
      </c>
      <c r="F647" s="429" t="s">
        <v>336</v>
      </c>
      <c r="G647" s="429" t="s">
        <v>336</v>
      </c>
      <c r="H647" s="429">
        <v>385856.30134297977</v>
      </c>
      <c r="I647" s="429" t="s">
        <v>336</v>
      </c>
      <c r="J647" s="429" t="s">
        <v>336</v>
      </c>
      <c r="K647" s="429" t="s">
        <v>336</v>
      </c>
      <c r="L647" s="429" t="s">
        <v>336</v>
      </c>
      <c r="M647" s="429" t="s">
        <v>336</v>
      </c>
      <c r="N647" s="430">
        <v>541652.32860414439</v>
      </c>
    </row>
    <row r="648" spans="1:14" ht="15" customHeight="1" x14ac:dyDescent="0.25">
      <c r="A648" s="7" t="s">
        <v>1789</v>
      </c>
      <c r="B648" s="429">
        <v>279848.62553190842</v>
      </c>
      <c r="C648" s="429" t="s">
        <v>336</v>
      </c>
      <c r="D648" s="429" t="s">
        <v>336</v>
      </c>
      <c r="E648" s="429" t="s">
        <v>336</v>
      </c>
      <c r="F648" s="429">
        <v>447757.80085105344</v>
      </c>
      <c r="G648" s="429" t="s">
        <v>336</v>
      </c>
      <c r="H648" s="429">
        <v>939560.43956043955</v>
      </c>
      <c r="I648" s="429" t="s">
        <v>336</v>
      </c>
      <c r="J648" s="429" t="s">
        <v>336</v>
      </c>
      <c r="K648" s="429" t="s">
        <v>336</v>
      </c>
      <c r="L648" s="429" t="s">
        <v>336</v>
      </c>
      <c r="M648" s="429" t="s">
        <v>336</v>
      </c>
      <c r="N648" s="430">
        <v>946349.90079588257</v>
      </c>
    </row>
    <row r="649" spans="1:14" ht="15" customHeight="1" x14ac:dyDescent="0.25">
      <c r="A649" s="7" t="s">
        <v>1790</v>
      </c>
      <c r="B649" s="429">
        <v>111939.45021276336</v>
      </c>
      <c r="C649" s="429" t="s">
        <v>336</v>
      </c>
      <c r="D649" s="429" t="s">
        <v>336</v>
      </c>
      <c r="E649" s="429" t="s">
        <v>336</v>
      </c>
      <c r="F649" s="429" t="s">
        <v>336</v>
      </c>
      <c r="G649" s="429" t="s">
        <v>336</v>
      </c>
      <c r="H649" s="429">
        <v>370879.12087912089</v>
      </c>
      <c r="I649" s="429" t="s">
        <v>336</v>
      </c>
      <c r="J649" s="429" t="s">
        <v>336</v>
      </c>
      <c r="K649" s="429" t="s">
        <v>336</v>
      </c>
      <c r="L649" s="429" t="s">
        <v>336</v>
      </c>
      <c r="M649" s="429" t="s">
        <v>336</v>
      </c>
      <c r="N649" s="430">
        <v>482818.57109188428</v>
      </c>
    </row>
    <row r="650" spans="1:14" ht="15" customHeight="1" x14ac:dyDescent="0.25">
      <c r="A650" s="7" t="s">
        <v>1791</v>
      </c>
      <c r="B650" s="429" t="s">
        <v>336</v>
      </c>
      <c r="C650" s="429" t="s">
        <v>336</v>
      </c>
      <c r="D650" s="429" t="s">
        <v>336</v>
      </c>
      <c r="E650" s="429" t="s">
        <v>336</v>
      </c>
      <c r="F650" s="429" t="s">
        <v>336</v>
      </c>
      <c r="G650" s="429" t="s">
        <v>336</v>
      </c>
      <c r="H650" s="429">
        <v>741758.24175824178</v>
      </c>
      <c r="I650" s="429" t="s">
        <v>336</v>
      </c>
      <c r="J650" s="429" t="s">
        <v>336</v>
      </c>
      <c r="K650" s="429" t="s">
        <v>336</v>
      </c>
      <c r="L650" s="429" t="s">
        <v>336</v>
      </c>
      <c r="M650" s="429" t="s">
        <v>336</v>
      </c>
      <c r="N650" s="430">
        <v>741758.24175824178</v>
      </c>
    </row>
    <row r="651" spans="1:14" ht="15" customHeight="1" x14ac:dyDescent="0.25">
      <c r="A651" s="7" t="s">
        <v>1792</v>
      </c>
      <c r="B651" s="429">
        <v>514386.26615192427</v>
      </c>
      <c r="C651" s="429">
        <v>200599.4005994006</v>
      </c>
      <c r="D651" s="429">
        <v>380594.13072339544</v>
      </c>
      <c r="E651" s="429">
        <v>355311.35531135532</v>
      </c>
      <c r="F651" s="429">
        <v>755591.2889361527</v>
      </c>
      <c r="G651" s="429">
        <v>1265550.7171568833</v>
      </c>
      <c r="H651" s="429">
        <v>636139.72290889872</v>
      </c>
      <c r="I651" s="429">
        <v>163557.69230769231</v>
      </c>
      <c r="J651" s="429">
        <v>200274.72527472526</v>
      </c>
      <c r="K651" s="429">
        <v>712991.50528272579</v>
      </c>
      <c r="L651" s="429">
        <v>116923.07692307692</v>
      </c>
      <c r="M651" s="429" t="s">
        <v>336</v>
      </c>
      <c r="N651" s="430">
        <v>798768.24582419614</v>
      </c>
    </row>
    <row r="652" spans="1:14" ht="15" customHeight="1" x14ac:dyDescent="0.25">
      <c r="A652" s="7" t="s">
        <v>1793</v>
      </c>
      <c r="B652" s="429">
        <v>481725.63401906431</v>
      </c>
      <c r="C652" s="429">
        <v>323076.92307692306</v>
      </c>
      <c r="D652" s="429" t="s">
        <v>336</v>
      </c>
      <c r="E652" s="429">
        <v>323076.92307692306</v>
      </c>
      <c r="F652" s="429" t="s">
        <v>336</v>
      </c>
      <c r="G652" s="429" t="s">
        <v>336</v>
      </c>
      <c r="H652" s="429">
        <v>740118.06940448692</v>
      </c>
      <c r="I652" s="429">
        <v>81593.406593406587</v>
      </c>
      <c r="J652" s="429">
        <v>191620.87912087911</v>
      </c>
      <c r="K652" s="429" t="s">
        <v>336</v>
      </c>
      <c r="L652" s="429">
        <v>292307.69230769231</v>
      </c>
      <c r="M652" s="429">
        <v>235478.80690737831</v>
      </c>
      <c r="N652" s="430">
        <v>833160.83508258034</v>
      </c>
    </row>
    <row r="653" spans="1:14" ht="15" customHeight="1" x14ac:dyDescent="0.25">
      <c r="A653" s="7" t="s">
        <v>1794</v>
      </c>
      <c r="B653" s="429">
        <v>447757.80085105344</v>
      </c>
      <c r="C653" s="429" t="s">
        <v>336</v>
      </c>
      <c r="D653" s="429" t="s">
        <v>336</v>
      </c>
      <c r="E653" s="429" t="s">
        <v>336</v>
      </c>
      <c r="F653" s="429">
        <v>111939.45021276336</v>
      </c>
      <c r="G653" s="429" t="s">
        <v>336</v>
      </c>
      <c r="H653" s="429">
        <v>445054.94505494507</v>
      </c>
      <c r="I653" s="429" t="s">
        <v>336</v>
      </c>
      <c r="J653" s="429">
        <v>385477.76580332848</v>
      </c>
      <c r="K653" s="429" t="s">
        <v>336</v>
      </c>
      <c r="L653" s="429" t="s">
        <v>336</v>
      </c>
      <c r="M653" s="429" t="s">
        <v>336</v>
      </c>
      <c r="N653" s="430">
        <v>688435.7722068365</v>
      </c>
    </row>
    <row r="654" spans="1:14" ht="15" customHeight="1" x14ac:dyDescent="0.25">
      <c r="A654" s="7" t="s">
        <v>1795</v>
      </c>
      <c r="B654" s="429">
        <v>671636.7012765801</v>
      </c>
      <c r="C654" s="429" t="s">
        <v>336</v>
      </c>
      <c r="D654" s="429" t="s">
        <v>336</v>
      </c>
      <c r="E654" s="429" t="s">
        <v>336</v>
      </c>
      <c r="F654" s="429" t="s">
        <v>336</v>
      </c>
      <c r="G654" s="429" t="s">
        <v>336</v>
      </c>
      <c r="H654" s="429">
        <v>1038461.5384615385</v>
      </c>
      <c r="I654" s="429" t="s">
        <v>336</v>
      </c>
      <c r="J654" s="429" t="s">
        <v>336</v>
      </c>
      <c r="K654" s="429" t="s">
        <v>336</v>
      </c>
      <c r="L654" s="429" t="s">
        <v>336</v>
      </c>
      <c r="M654" s="429" t="s">
        <v>336</v>
      </c>
      <c r="N654" s="430">
        <v>934146.03969136451</v>
      </c>
    </row>
    <row r="655" spans="1:14" ht="15" customHeight="1" x14ac:dyDescent="0.25">
      <c r="A655" s="7" t="s">
        <v>1796</v>
      </c>
      <c r="B655" s="429">
        <v>447757.80085105344</v>
      </c>
      <c r="C655" s="429">
        <v>439560.43956043955</v>
      </c>
      <c r="D655" s="429" t="s">
        <v>336</v>
      </c>
      <c r="E655" s="429">
        <v>439560.43956043955</v>
      </c>
      <c r="F655" s="429" t="s">
        <v>336</v>
      </c>
      <c r="G655" s="429" t="s">
        <v>336</v>
      </c>
      <c r="H655" s="429">
        <v>551559.54496215773</v>
      </c>
      <c r="I655" s="429">
        <v>14835.164835164835</v>
      </c>
      <c r="J655" s="429" t="s">
        <v>336</v>
      </c>
      <c r="K655" s="429" t="s">
        <v>336</v>
      </c>
      <c r="L655" s="429" t="s">
        <v>336</v>
      </c>
      <c r="M655" s="429" t="s">
        <v>336</v>
      </c>
      <c r="N655" s="430">
        <v>678676.02907934226</v>
      </c>
    </row>
    <row r="656" spans="1:14" ht="15" customHeight="1" x14ac:dyDescent="0.25">
      <c r="A656" s="7" t="s">
        <v>1797</v>
      </c>
      <c r="B656" s="429">
        <v>223878.90042552672</v>
      </c>
      <c r="C656" s="429" t="s">
        <v>336</v>
      </c>
      <c r="D656" s="429" t="s">
        <v>336</v>
      </c>
      <c r="E656" s="429" t="s">
        <v>336</v>
      </c>
      <c r="F656" s="429" t="s">
        <v>336</v>
      </c>
      <c r="G656" s="429" t="s">
        <v>336</v>
      </c>
      <c r="H656" s="429">
        <v>890109.89010989014</v>
      </c>
      <c r="I656" s="429" t="s">
        <v>336</v>
      </c>
      <c r="J656" s="429">
        <v>185439.56043956045</v>
      </c>
      <c r="K656" s="429" t="s">
        <v>336</v>
      </c>
      <c r="L656" s="429" t="s">
        <v>336</v>
      </c>
      <c r="M656" s="429" t="s">
        <v>336</v>
      </c>
      <c r="N656" s="430">
        <v>649714.17548748862</v>
      </c>
    </row>
    <row r="657" spans="1:14" ht="15" customHeight="1" x14ac:dyDescent="0.25">
      <c r="A657" s="7" t="s">
        <v>1798</v>
      </c>
      <c r="B657" s="429">
        <v>559697.25106381683</v>
      </c>
      <c r="C657" s="429" t="s">
        <v>336</v>
      </c>
      <c r="D657" s="429" t="s">
        <v>336</v>
      </c>
      <c r="E657" s="429" t="s">
        <v>336</v>
      </c>
      <c r="F657" s="429" t="s">
        <v>336</v>
      </c>
      <c r="G657" s="429" t="s">
        <v>336</v>
      </c>
      <c r="H657" s="429" t="s">
        <v>336</v>
      </c>
      <c r="I657" s="429" t="s">
        <v>336</v>
      </c>
      <c r="J657" s="429">
        <v>37087.912087912089</v>
      </c>
      <c r="K657" s="429" t="s">
        <v>336</v>
      </c>
      <c r="L657" s="429" t="s">
        <v>336</v>
      </c>
      <c r="M657" s="429" t="s">
        <v>336</v>
      </c>
      <c r="N657" s="430">
        <v>596785.16315172892</v>
      </c>
    </row>
    <row r="658" spans="1:14" ht="15" customHeight="1" x14ac:dyDescent="0.25">
      <c r="A658" s="7" t="s">
        <v>1799</v>
      </c>
      <c r="B658" s="429">
        <v>559697.25106381683</v>
      </c>
      <c r="C658" s="429" t="s">
        <v>336</v>
      </c>
      <c r="D658" s="429" t="s">
        <v>336</v>
      </c>
      <c r="E658" s="429" t="s">
        <v>336</v>
      </c>
      <c r="F658" s="429" t="s">
        <v>336</v>
      </c>
      <c r="G658" s="429" t="s">
        <v>336</v>
      </c>
      <c r="H658" s="429" t="s">
        <v>336</v>
      </c>
      <c r="I658" s="429" t="s">
        <v>336</v>
      </c>
      <c r="J658" s="429">
        <v>445054.94505494507</v>
      </c>
      <c r="K658" s="429" t="s">
        <v>336</v>
      </c>
      <c r="L658" s="429" t="s">
        <v>336</v>
      </c>
      <c r="M658" s="429" t="s">
        <v>336</v>
      </c>
      <c r="N658" s="430">
        <v>1004752.1961187619</v>
      </c>
    </row>
    <row r="659" spans="1:14" ht="15" customHeight="1" x14ac:dyDescent="0.25">
      <c r="A659" s="7" t="s">
        <v>1800</v>
      </c>
      <c r="B659" s="429">
        <v>559697.25106381683</v>
      </c>
      <c r="C659" s="429" t="s">
        <v>336</v>
      </c>
      <c r="D659" s="429" t="s">
        <v>336</v>
      </c>
      <c r="E659" s="429" t="s">
        <v>336</v>
      </c>
      <c r="F659" s="429" t="s">
        <v>336</v>
      </c>
      <c r="G659" s="429" t="s">
        <v>336</v>
      </c>
      <c r="H659" s="429">
        <v>445054.94505494507</v>
      </c>
      <c r="I659" s="429" t="s">
        <v>336</v>
      </c>
      <c r="J659" s="429" t="s">
        <v>336</v>
      </c>
      <c r="K659" s="429" t="s">
        <v>336</v>
      </c>
      <c r="L659" s="429" t="s">
        <v>336</v>
      </c>
      <c r="M659" s="429" t="s">
        <v>336</v>
      </c>
      <c r="N659" s="430">
        <v>1004752.1961187619</v>
      </c>
    </row>
    <row r="660" spans="1:14" ht="15" customHeight="1" x14ac:dyDescent="0.25">
      <c r="A660" s="7" t="s">
        <v>1801</v>
      </c>
      <c r="B660" s="429" t="s">
        <v>336</v>
      </c>
      <c r="C660" s="429" t="s">
        <v>336</v>
      </c>
      <c r="D660" s="429" t="s">
        <v>336</v>
      </c>
      <c r="E660" s="429" t="s">
        <v>336</v>
      </c>
      <c r="F660" s="429" t="s">
        <v>336</v>
      </c>
      <c r="G660" s="429" t="s">
        <v>336</v>
      </c>
      <c r="H660" s="429">
        <v>834478.02197802195</v>
      </c>
      <c r="I660" s="429">
        <v>87265.675500969621</v>
      </c>
      <c r="J660" s="429" t="s">
        <v>336</v>
      </c>
      <c r="K660" s="429" t="s">
        <v>336</v>
      </c>
      <c r="L660" s="429" t="s">
        <v>336</v>
      </c>
      <c r="M660" s="429" t="s">
        <v>336</v>
      </c>
      <c r="N660" s="430">
        <v>878110.85972850677</v>
      </c>
    </row>
    <row r="661" spans="1:14" ht="15" customHeight="1" x14ac:dyDescent="0.25">
      <c r="A661" s="7" t="s">
        <v>1802</v>
      </c>
      <c r="B661" s="429">
        <v>783576.15148934349</v>
      </c>
      <c r="C661" s="429" t="s">
        <v>336</v>
      </c>
      <c r="D661" s="429" t="s">
        <v>336</v>
      </c>
      <c r="E661" s="429" t="s">
        <v>336</v>
      </c>
      <c r="F661" s="429" t="s">
        <v>336</v>
      </c>
      <c r="G661" s="429" t="s">
        <v>336</v>
      </c>
      <c r="H661" s="429">
        <v>163186.81318681317</v>
      </c>
      <c r="I661" s="429" t="s">
        <v>336</v>
      </c>
      <c r="J661" s="429" t="s">
        <v>336</v>
      </c>
      <c r="K661" s="429" t="s">
        <v>336</v>
      </c>
      <c r="L661" s="429" t="s">
        <v>336</v>
      </c>
      <c r="M661" s="429" t="s">
        <v>336</v>
      </c>
      <c r="N661" s="430">
        <v>946762.96467615664</v>
      </c>
    </row>
    <row r="662" spans="1:14" ht="15" customHeight="1" x14ac:dyDescent="0.25">
      <c r="A662" s="7" t="s">
        <v>1803</v>
      </c>
      <c r="B662" s="429">
        <v>522384.10099289566</v>
      </c>
      <c r="C662" s="429" t="s">
        <v>336</v>
      </c>
      <c r="D662" s="429" t="s">
        <v>336</v>
      </c>
      <c r="E662" s="429" t="s">
        <v>336</v>
      </c>
      <c r="F662" s="429" t="s">
        <v>336</v>
      </c>
      <c r="G662" s="429" t="s">
        <v>336</v>
      </c>
      <c r="H662" s="429">
        <v>579500.46462459175</v>
      </c>
      <c r="I662" s="429" t="s">
        <v>336</v>
      </c>
      <c r="J662" s="429" t="s">
        <v>336</v>
      </c>
      <c r="K662" s="429" t="s">
        <v>336</v>
      </c>
      <c r="L662" s="429" t="s">
        <v>336</v>
      </c>
      <c r="M662" s="429" t="s">
        <v>336</v>
      </c>
      <c r="N662" s="430">
        <v>630519.38634077972</v>
      </c>
    </row>
    <row r="663" spans="1:14" ht="15" customHeight="1" x14ac:dyDescent="0.25">
      <c r="A663" s="7" t="s">
        <v>1804</v>
      </c>
      <c r="B663" s="429" t="s">
        <v>336</v>
      </c>
      <c r="C663" s="429" t="s">
        <v>336</v>
      </c>
      <c r="D663" s="429" t="s">
        <v>336</v>
      </c>
      <c r="E663" s="429" t="s">
        <v>336</v>
      </c>
      <c r="F663" s="429" t="s">
        <v>336</v>
      </c>
      <c r="G663" s="429" t="s">
        <v>336</v>
      </c>
      <c r="H663" s="429">
        <v>271978.02197802201</v>
      </c>
      <c r="I663" s="429" t="s">
        <v>336</v>
      </c>
      <c r="J663" s="429" t="s">
        <v>336</v>
      </c>
      <c r="K663" s="429" t="s">
        <v>336</v>
      </c>
      <c r="L663" s="429">
        <v>1722527.4725274725</v>
      </c>
      <c r="M663" s="429" t="s">
        <v>336</v>
      </c>
      <c r="N663" s="430">
        <v>1104795.7126584053</v>
      </c>
    </row>
    <row r="664" spans="1:14" ht="15" customHeight="1" x14ac:dyDescent="0.25">
      <c r="A664" s="7" t="s">
        <v>1805</v>
      </c>
      <c r="B664" s="429" t="s">
        <v>336</v>
      </c>
      <c r="C664" s="429" t="s">
        <v>336</v>
      </c>
      <c r="D664" s="429" t="s">
        <v>336</v>
      </c>
      <c r="E664" s="429" t="s">
        <v>336</v>
      </c>
      <c r="F664" s="429" t="s">
        <v>336</v>
      </c>
      <c r="G664" s="429" t="s">
        <v>336</v>
      </c>
      <c r="H664" s="429">
        <v>1686901.8078695501</v>
      </c>
      <c r="I664" s="429" t="s">
        <v>336</v>
      </c>
      <c r="J664" s="429" t="s">
        <v>336</v>
      </c>
      <c r="K664" s="429" t="s">
        <v>336</v>
      </c>
      <c r="L664" s="429" t="s">
        <v>336</v>
      </c>
      <c r="M664" s="429" t="s">
        <v>336</v>
      </c>
      <c r="N664" s="430">
        <v>1686901.8078695501</v>
      </c>
    </row>
    <row r="665" spans="1:14" ht="15" customHeight="1" x14ac:dyDescent="0.25">
      <c r="A665" s="7" t="s">
        <v>1806</v>
      </c>
      <c r="B665" s="429">
        <v>335818.35063829005</v>
      </c>
      <c r="C665" s="429" t="s">
        <v>336</v>
      </c>
      <c r="D665" s="429" t="s">
        <v>336</v>
      </c>
      <c r="E665" s="429" t="s">
        <v>336</v>
      </c>
      <c r="F665" s="429" t="s">
        <v>336</v>
      </c>
      <c r="G665" s="429" t="s">
        <v>336</v>
      </c>
      <c r="H665" s="429">
        <v>770157.81104035478</v>
      </c>
      <c r="I665" s="429" t="s">
        <v>336</v>
      </c>
      <c r="J665" s="429" t="s">
        <v>336</v>
      </c>
      <c r="K665" s="429" t="s">
        <v>336</v>
      </c>
      <c r="L665" s="429" t="s">
        <v>336</v>
      </c>
      <c r="M665" s="429" t="s">
        <v>336</v>
      </c>
      <c r="N665" s="430">
        <v>1105976.1616786448</v>
      </c>
    </row>
    <row r="666" spans="1:14" ht="15" customHeight="1" x14ac:dyDescent="0.25">
      <c r="A666" s="7" t="s">
        <v>1807</v>
      </c>
      <c r="B666" s="429">
        <v>694024.59131913271</v>
      </c>
      <c r="C666" s="429" t="s">
        <v>336</v>
      </c>
      <c r="D666" s="429" t="s">
        <v>336</v>
      </c>
      <c r="E666" s="429" t="s">
        <v>336</v>
      </c>
      <c r="F666" s="429" t="s">
        <v>336</v>
      </c>
      <c r="G666" s="429" t="s">
        <v>336</v>
      </c>
      <c r="H666" s="429">
        <v>602678.57142857148</v>
      </c>
      <c r="I666" s="429">
        <v>55631.868131868134</v>
      </c>
      <c r="J666" s="429">
        <v>245882.50814727132</v>
      </c>
      <c r="K666" s="429" t="s">
        <v>336</v>
      </c>
      <c r="L666" s="429" t="s">
        <v>336</v>
      </c>
      <c r="M666" s="429" t="s">
        <v>336</v>
      </c>
      <c r="N666" s="430">
        <v>1071372.3544560601</v>
      </c>
    </row>
    <row r="667" spans="1:14" ht="15" customHeight="1" x14ac:dyDescent="0.25">
      <c r="A667" s="7" t="s">
        <v>1808</v>
      </c>
      <c r="B667" s="429">
        <v>391788.07574467175</v>
      </c>
      <c r="C667" s="429" t="s">
        <v>336</v>
      </c>
      <c r="D667" s="429" t="s">
        <v>336</v>
      </c>
      <c r="E667" s="429" t="s">
        <v>336</v>
      </c>
      <c r="F667" s="429" t="s">
        <v>336</v>
      </c>
      <c r="G667" s="429" t="s">
        <v>336</v>
      </c>
      <c r="H667" s="429">
        <v>741758.24175824178</v>
      </c>
      <c r="I667" s="429" t="s">
        <v>336</v>
      </c>
      <c r="J667" s="429">
        <v>296703.29670329671</v>
      </c>
      <c r="K667" s="429" t="s">
        <v>336</v>
      </c>
      <c r="L667" s="429" t="s">
        <v>336</v>
      </c>
      <c r="M667" s="429" t="s">
        <v>336</v>
      </c>
      <c r="N667" s="430">
        <v>706246.9955513929</v>
      </c>
    </row>
    <row r="668" spans="1:14" ht="15" customHeight="1" x14ac:dyDescent="0.25">
      <c r="A668" s="7" t="s">
        <v>1809</v>
      </c>
      <c r="B668" s="429">
        <v>236671.98044984252</v>
      </c>
      <c r="C668" s="429" t="s">
        <v>336</v>
      </c>
      <c r="D668" s="429" t="s">
        <v>336</v>
      </c>
      <c r="E668" s="429" t="s">
        <v>336</v>
      </c>
      <c r="F668" s="429" t="s">
        <v>336</v>
      </c>
      <c r="G668" s="429" t="s">
        <v>336</v>
      </c>
      <c r="H668" s="429">
        <v>513543.95604395604</v>
      </c>
      <c r="I668" s="429">
        <v>29670.329670329669</v>
      </c>
      <c r="J668" s="429">
        <v>568681.31868131866</v>
      </c>
      <c r="K668" s="429">
        <v>9506.553403769678</v>
      </c>
      <c r="L668" s="429" t="s">
        <v>336</v>
      </c>
      <c r="M668" s="429" t="s">
        <v>336</v>
      </c>
      <c r="N668" s="430">
        <v>589380.76713915356</v>
      </c>
    </row>
    <row r="669" spans="1:14" ht="15" customHeight="1" x14ac:dyDescent="0.25">
      <c r="A669" s="370" t="s">
        <v>1810</v>
      </c>
      <c r="B669" s="431">
        <v>671636.70127658022</v>
      </c>
      <c r="C669" s="431" t="s">
        <v>336</v>
      </c>
      <c r="D669" s="431" t="s">
        <v>336</v>
      </c>
      <c r="E669" s="431" t="s">
        <v>336</v>
      </c>
      <c r="F669" s="431" t="s">
        <v>336</v>
      </c>
      <c r="G669" s="431">
        <v>158193.83964461042</v>
      </c>
      <c r="H669" s="431">
        <v>717032.96703296702</v>
      </c>
      <c r="I669" s="431" t="s">
        <v>336</v>
      </c>
      <c r="J669" s="431" t="s">
        <v>336</v>
      </c>
      <c r="K669" s="431" t="s">
        <v>336</v>
      </c>
      <c r="L669" s="431" t="s">
        <v>336</v>
      </c>
      <c r="M669" s="431" t="s">
        <v>336</v>
      </c>
      <c r="N669" s="432">
        <v>913141.53582416801</v>
      </c>
    </row>
    <row r="670" spans="1:14" ht="15" customHeight="1" x14ac:dyDescent="0.25">
      <c r="A670" s="823" t="s">
        <v>1811</v>
      </c>
      <c r="B670" s="430">
        <v>403880.97385553148</v>
      </c>
      <c r="C670" s="430">
        <v>244305.53298842601</v>
      </c>
      <c r="D670" s="430">
        <v>301950.45954637363</v>
      </c>
      <c r="E670" s="430">
        <v>257485.4512065991</v>
      </c>
      <c r="F670" s="430">
        <v>267515.02547452931</v>
      </c>
      <c r="G670" s="430">
        <v>949163.03786766203</v>
      </c>
      <c r="H670" s="430">
        <v>655832.67359997693</v>
      </c>
      <c r="I670" s="430">
        <v>164925.60198557662</v>
      </c>
      <c r="J670" s="430">
        <v>260545.39121265057</v>
      </c>
      <c r="K670" s="430">
        <v>513656.36504822795</v>
      </c>
      <c r="L670" s="430">
        <v>493324.49903038138</v>
      </c>
      <c r="M670" s="430">
        <v>854244.06070120377</v>
      </c>
      <c r="N670" s="430">
        <v>635695.51685103017</v>
      </c>
    </row>
    <row r="671" spans="1:14" ht="15" customHeight="1" x14ac:dyDescent="0.25">
      <c r="A671" s="375" t="s">
        <v>1812</v>
      </c>
      <c r="B671" s="433">
        <v>403870.08489991043</v>
      </c>
      <c r="C671" s="433">
        <v>199366.42667677152</v>
      </c>
      <c r="D671" s="433">
        <v>351809.70066868485</v>
      </c>
      <c r="E671" s="433">
        <v>198047.74535809018</v>
      </c>
      <c r="F671" s="433">
        <v>311331.59590424807</v>
      </c>
      <c r="G671" s="433">
        <v>1028259.9576899676</v>
      </c>
      <c r="H671" s="433">
        <v>610462.27829423815</v>
      </c>
      <c r="I671" s="433">
        <v>109746.58488178847</v>
      </c>
      <c r="J671" s="433">
        <v>265048.76591290493</v>
      </c>
      <c r="K671" s="433">
        <v>367784.78480833938</v>
      </c>
      <c r="L671" s="433">
        <v>766785.71428571432</v>
      </c>
      <c r="M671" s="433">
        <v>418628.99005756149</v>
      </c>
      <c r="N671" s="433">
        <v>643381.80468905088</v>
      </c>
    </row>
    <row r="672" spans="1:14" ht="15" customHeight="1" x14ac:dyDescent="0.25">
      <c r="A672" s="384"/>
      <c r="B672" s="434"/>
      <c r="C672" s="434"/>
      <c r="D672" s="434"/>
      <c r="E672" s="434"/>
      <c r="F672" s="434"/>
      <c r="G672" s="434"/>
      <c r="H672" s="434"/>
      <c r="I672" s="434"/>
      <c r="J672" s="434"/>
      <c r="K672" s="434"/>
      <c r="L672" s="434"/>
      <c r="M672" s="434"/>
      <c r="N672" s="434"/>
    </row>
    <row r="673" spans="1:15" ht="15" customHeight="1" x14ac:dyDescent="0.25">
      <c r="A673" s="824"/>
      <c r="B673" s="429"/>
      <c r="C673" s="429"/>
      <c r="D673" s="429"/>
      <c r="E673" s="429"/>
      <c r="F673" s="429"/>
      <c r="G673" s="429"/>
      <c r="H673" s="429"/>
      <c r="I673" s="429"/>
      <c r="J673" s="429"/>
      <c r="K673" s="429"/>
      <c r="L673" s="429"/>
    </row>
    <row r="675" spans="1:15" ht="15" customHeight="1" x14ac:dyDescent="0.25">
      <c r="A675" s="876" t="s">
        <v>1843</v>
      </c>
      <c r="B675" s="876"/>
      <c r="C675" s="876"/>
      <c r="D675" s="876"/>
      <c r="E675" s="876"/>
      <c r="F675" s="876"/>
      <c r="G675" s="876"/>
      <c r="H675" s="876"/>
      <c r="I675" s="876"/>
      <c r="J675" s="876"/>
      <c r="K675" s="876"/>
      <c r="L675" s="876"/>
      <c r="M675" s="876"/>
      <c r="O675" s="824" t="s">
        <v>806</v>
      </c>
    </row>
    <row r="676" spans="1:15" ht="15" customHeight="1" x14ac:dyDescent="0.25">
      <c r="N676" s="824" t="s">
        <v>1713</v>
      </c>
      <c r="O676" s="824" t="s">
        <v>1840</v>
      </c>
    </row>
    <row r="677" spans="1:15" ht="15" customHeight="1" x14ac:dyDescent="0.25">
      <c r="A677" s="143" t="s">
        <v>1715</v>
      </c>
      <c r="B677" s="143" t="s">
        <v>1844</v>
      </c>
      <c r="C677" s="143" t="s">
        <v>1845</v>
      </c>
      <c r="D677" s="143" t="s">
        <v>1846</v>
      </c>
      <c r="E677" s="143" t="s">
        <v>1847</v>
      </c>
      <c r="F677" s="143" t="s">
        <v>1848</v>
      </c>
      <c r="G677" s="143" t="s">
        <v>1849</v>
      </c>
      <c r="H677" s="143" t="s">
        <v>1850</v>
      </c>
      <c r="I677" s="143" t="s">
        <v>1851</v>
      </c>
      <c r="J677" s="143" t="s">
        <v>1852</v>
      </c>
      <c r="K677" s="143" t="s">
        <v>1853</v>
      </c>
      <c r="L677" s="143" t="s">
        <v>1854</v>
      </c>
      <c r="M677" s="143" t="s">
        <v>1855</v>
      </c>
      <c r="N677" s="143" t="s">
        <v>1725</v>
      </c>
      <c r="O677" s="143" t="s">
        <v>1726</v>
      </c>
    </row>
    <row r="678" spans="1:15" ht="15" customHeight="1" x14ac:dyDescent="0.25">
      <c r="A678" s="7" t="s">
        <v>1727</v>
      </c>
      <c r="B678" s="435">
        <v>0</v>
      </c>
      <c r="C678" s="435">
        <v>0</v>
      </c>
      <c r="D678" s="435">
        <v>0</v>
      </c>
      <c r="E678" s="435">
        <v>0</v>
      </c>
      <c r="F678" s="435">
        <v>0</v>
      </c>
      <c r="G678" s="435">
        <v>0</v>
      </c>
      <c r="H678" s="436">
        <v>0</v>
      </c>
      <c r="I678" s="436">
        <v>0</v>
      </c>
      <c r="J678" s="436">
        <v>0</v>
      </c>
      <c r="K678" s="429">
        <v>0</v>
      </c>
      <c r="L678" s="435">
        <v>0</v>
      </c>
      <c r="M678" s="429">
        <v>0</v>
      </c>
      <c r="N678" s="144">
        <v>1</v>
      </c>
      <c r="O678" s="369">
        <v>3.0248033877797946E-4</v>
      </c>
    </row>
    <row r="679" spans="1:15" ht="15" customHeight="1" x14ac:dyDescent="0.25">
      <c r="A679" s="7" t="s">
        <v>1728</v>
      </c>
      <c r="B679" s="435">
        <v>5.0482666287953375</v>
      </c>
      <c r="C679" s="435">
        <v>0</v>
      </c>
      <c r="D679" s="435">
        <v>0</v>
      </c>
      <c r="E679" s="435">
        <v>0</v>
      </c>
      <c r="F679" s="435">
        <v>0</v>
      </c>
      <c r="G679" s="435">
        <v>0</v>
      </c>
      <c r="H679" s="436">
        <v>0</v>
      </c>
      <c r="I679" s="436">
        <v>0</v>
      </c>
      <c r="J679" s="436">
        <v>0</v>
      </c>
      <c r="K679" s="429">
        <v>0</v>
      </c>
      <c r="L679" s="435">
        <v>0</v>
      </c>
      <c r="M679" s="429">
        <v>0</v>
      </c>
      <c r="N679" s="144">
        <v>3</v>
      </c>
      <c r="O679" s="369">
        <v>9.0744101633393826E-4</v>
      </c>
    </row>
    <row r="680" spans="1:15" ht="15" customHeight="1" x14ac:dyDescent="0.25">
      <c r="A680" s="7" t="s">
        <v>1729</v>
      </c>
      <c r="B680" s="435">
        <v>1.6827555429317793</v>
      </c>
      <c r="C680" s="435">
        <v>0</v>
      </c>
      <c r="D680" s="435">
        <v>0</v>
      </c>
      <c r="E680" s="435">
        <v>0</v>
      </c>
      <c r="F680" s="435">
        <v>0</v>
      </c>
      <c r="G680" s="435">
        <v>0</v>
      </c>
      <c r="H680" s="436">
        <v>990</v>
      </c>
      <c r="I680" s="436">
        <v>0</v>
      </c>
      <c r="J680" s="436">
        <v>0</v>
      </c>
      <c r="K680" s="429">
        <v>0</v>
      </c>
      <c r="L680" s="435">
        <v>0</v>
      </c>
      <c r="M680" s="429">
        <v>0</v>
      </c>
      <c r="N680" s="144">
        <v>1</v>
      </c>
      <c r="O680" s="369">
        <v>3.0248033877797946E-4</v>
      </c>
    </row>
    <row r="681" spans="1:15" ht="15" customHeight="1" x14ac:dyDescent="0.25">
      <c r="A681" s="7" t="s">
        <v>1730</v>
      </c>
      <c r="B681" s="435">
        <v>6.7310221717271173</v>
      </c>
      <c r="C681" s="435">
        <v>0</v>
      </c>
      <c r="D681" s="435">
        <v>0</v>
      </c>
      <c r="E681" s="435">
        <v>0</v>
      </c>
      <c r="F681" s="435">
        <v>0</v>
      </c>
      <c r="G681" s="435">
        <v>0</v>
      </c>
      <c r="H681" s="436">
        <v>0</v>
      </c>
      <c r="I681" s="436">
        <v>0</v>
      </c>
      <c r="J681" s="436">
        <v>100</v>
      </c>
      <c r="K681" s="429">
        <v>0</v>
      </c>
      <c r="L681" s="435">
        <v>0</v>
      </c>
      <c r="M681" s="429">
        <v>0</v>
      </c>
      <c r="N681" s="144">
        <v>1</v>
      </c>
      <c r="O681" s="369">
        <v>3.0248033877797946E-4</v>
      </c>
    </row>
    <row r="682" spans="1:15" ht="15" customHeight="1" x14ac:dyDescent="0.25">
      <c r="A682" s="7" t="s">
        <v>1731</v>
      </c>
      <c r="B682" s="435">
        <v>5.8896444002612274</v>
      </c>
      <c r="C682" s="435">
        <v>0</v>
      </c>
      <c r="D682" s="435">
        <v>0</v>
      </c>
      <c r="E682" s="435">
        <v>0</v>
      </c>
      <c r="F682" s="435">
        <v>0</v>
      </c>
      <c r="G682" s="435">
        <v>0</v>
      </c>
      <c r="H682" s="436">
        <v>1600</v>
      </c>
      <c r="I682" s="436">
        <v>0</v>
      </c>
      <c r="J682" s="436">
        <v>450</v>
      </c>
      <c r="K682" s="429">
        <v>0</v>
      </c>
      <c r="L682" s="435">
        <v>0</v>
      </c>
      <c r="M682" s="429">
        <v>0</v>
      </c>
      <c r="N682" s="144">
        <v>3</v>
      </c>
      <c r="O682" s="369">
        <v>9.0744101633393826E-4</v>
      </c>
    </row>
    <row r="683" spans="1:15" ht="15" customHeight="1" x14ac:dyDescent="0.25">
      <c r="A683" s="7" t="s">
        <v>1732</v>
      </c>
      <c r="B683" s="435">
        <v>0</v>
      </c>
      <c r="C683" s="435">
        <v>0</v>
      </c>
      <c r="D683" s="435">
        <v>0</v>
      </c>
      <c r="E683" s="435">
        <v>0</v>
      </c>
      <c r="F683" s="435">
        <v>6.7310221717271173</v>
      </c>
      <c r="G683" s="435">
        <v>0</v>
      </c>
      <c r="H683" s="436">
        <v>800</v>
      </c>
      <c r="I683" s="436">
        <v>0</v>
      </c>
      <c r="J683" s="436">
        <v>0</v>
      </c>
      <c r="K683" s="429">
        <v>0</v>
      </c>
      <c r="L683" s="435">
        <v>0</v>
      </c>
      <c r="M683" s="429">
        <v>0</v>
      </c>
      <c r="N683" s="144">
        <v>1</v>
      </c>
      <c r="O683" s="369">
        <v>3.0248033877797946E-4</v>
      </c>
    </row>
    <row r="684" spans="1:15" ht="15" customHeight="1" x14ac:dyDescent="0.25">
      <c r="A684" s="7" t="s">
        <v>1733</v>
      </c>
      <c r="B684" s="435">
        <v>5.4689555145282824</v>
      </c>
      <c r="C684" s="435">
        <v>0</v>
      </c>
      <c r="D684" s="435">
        <v>0</v>
      </c>
      <c r="E684" s="435">
        <v>0</v>
      </c>
      <c r="F684" s="435">
        <v>0</v>
      </c>
      <c r="G684" s="435">
        <v>0</v>
      </c>
      <c r="H684" s="436">
        <v>900</v>
      </c>
      <c r="I684" s="436">
        <v>0</v>
      </c>
      <c r="J684" s="436">
        <v>56.666666666666664</v>
      </c>
      <c r="K684" s="429">
        <v>0</v>
      </c>
      <c r="L684" s="435">
        <v>0</v>
      </c>
      <c r="M684" s="429">
        <v>0</v>
      </c>
      <c r="N684" s="144">
        <v>5</v>
      </c>
      <c r="O684" s="369">
        <v>1.5124016938898972E-3</v>
      </c>
    </row>
    <row r="685" spans="1:15" ht="15" customHeight="1" x14ac:dyDescent="0.25">
      <c r="A685" s="7" t="s">
        <v>1734</v>
      </c>
      <c r="B685" s="435">
        <v>4.2068888573294485</v>
      </c>
      <c r="C685" s="435">
        <v>0</v>
      </c>
      <c r="D685" s="435">
        <v>0</v>
      </c>
      <c r="E685" s="435">
        <v>0</v>
      </c>
      <c r="F685" s="435">
        <v>0</v>
      </c>
      <c r="G685" s="435">
        <v>0</v>
      </c>
      <c r="H685" s="436">
        <v>600</v>
      </c>
      <c r="I685" s="436">
        <v>50</v>
      </c>
      <c r="J685" s="436">
        <v>275</v>
      </c>
      <c r="K685" s="429">
        <v>0</v>
      </c>
      <c r="L685" s="435">
        <v>0</v>
      </c>
      <c r="M685" s="429">
        <v>0</v>
      </c>
      <c r="N685" s="144">
        <v>4</v>
      </c>
      <c r="O685" s="369">
        <v>1.2099213551119178E-3</v>
      </c>
    </row>
    <row r="686" spans="1:15" ht="15" customHeight="1" x14ac:dyDescent="0.25">
      <c r="A686" s="7" t="s">
        <v>1735</v>
      </c>
      <c r="B686" s="435">
        <v>4.4873481144847451</v>
      </c>
      <c r="C686" s="435">
        <v>0</v>
      </c>
      <c r="D686" s="435">
        <v>0</v>
      </c>
      <c r="E686" s="435">
        <v>0</v>
      </c>
      <c r="F686" s="435">
        <v>0</v>
      </c>
      <c r="G686" s="435">
        <v>0</v>
      </c>
      <c r="H686" s="436">
        <v>611.11111111111109</v>
      </c>
      <c r="I686" s="436">
        <v>0</v>
      </c>
      <c r="J686" s="436">
        <v>300</v>
      </c>
      <c r="K686" s="429">
        <v>0</v>
      </c>
      <c r="L686" s="435">
        <v>0</v>
      </c>
      <c r="M686" s="429">
        <v>0</v>
      </c>
      <c r="N686" s="144">
        <v>15</v>
      </c>
      <c r="O686" s="369">
        <v>4.5372050816696917E-3</v>
      </c>
    </row>
    <row r="687" spans="1:15" ht="15" customHeight="1" x14ac:dyDescent="0.25">
      <c r="A687" s="7" t="s">
        <v>1736</v>
      </c>
      <c r="B687" s="435">
        <v>0</v>
      </c>
      <c r="C687" s="435">
        <v>0</v>
      </c>
      <c r="D687" s="435">
        <v>0</v>
      </c>
      <c r="E687" s="435">
        <v>0</v>
      </c>
      <c r="F687" s="435">
        <v>0</v>
      </c>
      <c r="G687" s="435">
        <v>0</v>
      </c>
      <c r="H687" s="436">
        <v>0</v>
      </c>
      <c r="I687" s="436">
        <v>0</v>
      </c>
      <c r="J687" s="436">
        <v>0</v>
      </c>
      <c r="K687" s="429">
        <v>0</v>
      </c>
      <c r="L687" s="435">
        <v>0</v>
      </c>
      <c r="M687" s="429">
        <v>0</v>
      </c>
      <c r="N687" s="144">
        <v>1</v>
      </c>
      <c r="O687" s="369">
        <v>3.0248033877797946E-4</v>
      </c>
    </row>
    <row r="688" spans="1:15" ht="15" customHeight="1" x14ac:dyDescent="0.25">
      <c r="A688" s="7" t="s">
        <v>1737</v>
      </c>
      <c r="B688" s="435">
        <v>3.3655110858635586</v>
      </c>
      <c r="C688" s="435">
        <v>0</v>
      </c>
      <c r="D688" s="435">
        <v>0</v>
      </c>
      <c r="E688" s="435">
        <v>0</v>
      </c>
      <c r="F688" s="435">
        <v>0</v>
      </c>
      <c r="G688" s="435">
        <v>0</v>
      </c>
      <c r="H688" s="436">
        <v>750</v>
      </c>
      <c r="I688" s="436">
        <v>0</v>
      </c>
      <c r="J688" s="436">
        <v>600</v>
      </c>
      <c r="K688" s="429">
        <v>0</v>
      </c>
      <c r="L688" s="435">
        <v>0</v>
      </c>
      <c r="M688" s="429">
        <v>0</v>
      </c>
      <c r="N688" s="144">
        <v>3</v>
      </c>
      <c r="O688" s="369">
        <v>9.0744101633393826E-4</v>
      </c>
    </row>
    <row r="689" spans="1:15" ht="15" customHeight="1" x14ac:dyDescent="0.25">
      <c r="A689" s="7" t="s">
        <v>1738</v>
      </c>
      <c r="B689" s="435">
        <v>6.3901563053383708</v>
      </c>
      <c r="C689" s="435">
        <v>3</v>
      </c>
      <c r="D689" s="435">
        <v>0</v>
      </c>
      <c r="E689" s="435">
        <v>0</v>
      </c>
      <c r="F689" s="435">
        <v>2.5241333143976687</v>
      </c>
      <c r="G689" s="435">
        <v>0</v>
      </c>
      <c r="H689" s="436">
        <v>712.88252668693121</v>
      </c>
      <c r="I689" s="436">
        <v>20</v>
      </c>
      <c r="J689" s="436">
        <v>337.5</v>
      </c>
      <c r="K689" s="429">
        <v>37499.999999999993</v>
      </c>
      <c r="L689" s="435">
        <v>0</v>
      </c>
      <c r="M689" s="429">
        <v>41856.766146247544</v>
      </c>
      <c r="N689" s="144">
        <v>67</v>
      </c>
      <c r="O689" s="369">
        <v>2.0266182698124621E-2</v>
      </c>
    </row>
    <row r="690" spans="1:15" ht="15" customHeight="1" x14ac:dyDescent="0.25">
      <c r="A690" s="7" t="s">
        <v>1739</v>
      </c>
      <c r="B690" s="435">
        <v>7.7126295717706554</v>
      </c>
      <c r="C690" s="435">
        <v>0</v>
      </c>
      <c r="D690" s="435">
        <v>0</v>
      </c>
      <c r="E690" s="435">
        <v>0</v>
      </c>
      <c r="F690" s="435">
        <v>0</v>
      </c>
      <c r="G690" s="435">
        <v>0</v>
      </c>
      <c r="H690" s="436">
        <v>610.08771929824559</v>
      </c>
      <c r="I690" s="436">
        <v>10.718113612004288</v>
      </c>
      <c r="J690" s="436">
        <v>682.18113612004288</v>
      </c>
      <c r="K690" s="429">
        <v>0</v>
      </c>
      <c r="L690" s="435">
        <v>0</v>
      </c>
      <c r="M690" s="429">
        <v>0</v>
      </c>
      <c r="N690" s="144">
        <v>28</v>
      </c>
      <c r="O690" s="369">
        <v>8.4694494857834243E-3</v>
      </c>
    </row>
    <row r="691" spans="1:15" ht="15" customHeight="1" x14ac:dyDescent="0.25">
      <c r="A691" s="7" t="s">
        <v>1740</v>
      </c>
      <c r="B691" s="435">
        <v>3.6028722461624225</v>
      </c>
      <c r="C691" s="435">
        <v>0</v>
      </c>
      <c r="D691" s="435">
        <v>0</v>
      </c>
      <c r="E691" s="435">
        <v>0</v>
      </c>
      <c r="F691" s="435">
        <v>0</v>
      </c>
      <c r="G691" s="435">
        <v>0</v>
      </c>
      <c r="H691" s="436">
        <v>1069.9439081598325</v>
      </c>
      <c r="I691" s="436">
        <v>0</v>
      </c>
      <c r="J691" s="436">
        <v>333.33333333333331</v>
      </c>
      <c r="K691" s="429">
        <v>0</v>
      </c>
      <c r="L691" s="435">
        <v>0</v>
      </c>
      <c r="M691" s="429">
        <v>0</v>
      </c>
      <c r="N691" s="144">
        <v>12</v>
      </c>
      <c r="O691" s="369">
        <v>3.629764065335753E-3</v>
      </c>
    </row>
    <row r="692" spans="1:15" ht="15" customHeight="1" x14ac:dyDescent="0.25">
      <c r="A692" s="7" t="s">
        <v>1741</v>
      </c>
      <c r="B692" s="435">
        <v>5.0482666287953375</v>
      </c>
      <c r="C692" s="435">
        <v>0</v>
      </c>
      <c r="D692" s="435">
        <v>0</v>
      </c>
      <c r="E692" s="435">
        <v>0</v>
      </c>
      <c r="F692" s="435">
        <v>0</v>
      </c>
      <c r="G692" s="435">
        <v>0</v>
      </c>
      <c r="H692" s="436">
        <v>0</v>
      </c>
      <c r="I692" s="436">
        <v>0</v>
      </c>
      <c r="J692" s="436">
        <v>250</v>
      </c>
      <c r="K692" s="429">
        <v>0</v>
      </c>
      <c r="L692" s="435">
        <v>0</v>
      </c>
      <c r="M692" s="429">
        <v>0</v>
      </c>
      <c r="N692" s="144">
        <v>1</v>
      </c>
      <c r="O692" s="369">
        <v>3.0248033877797946E-4</v>
      </c>
    </row>
    <row r="693" spans="1:15" ht="15" customHeight="1" x14ac:dyDescent="0.25">
      <c r="A693" s="7" t="s">
        <v>1742</v>
      </c>
      <c r="B693" s="435">
        <v>6.1191110652064706</v>
      </c>
      <c r="C693" s="435">
        <v>0</v>
      </c>
      <c r="D693" s="435">
        <v>0</v>
      </c>
      <c r="E693" s="435">
        <v>0</v>
      </c>
      <c r="F693" s="435">
        <v>0</v>
      </c>
      <c r="G693" s="435">
        <v>0</v>
      </c>
      <c r="H693" s="436">
        <v>939.58333333333337</v>
      </c>
      <c r="I693" s="436">
        <v>0</v>
      </c>
      <c r="J693" s="436">
        <v>135</v>
      </c>
      <c r="K693" s="429">
        <v>0</v>
      </c>
      <c r="L693" s="435">
        <v>0</v>
      </c>
      <c r="M693" s="429">
        <v>0</v>
      </c>
      <c r="N693" s="144">
        <v>15</v>
      </c>
      <c r="O693" s="369">
        <v>4.5372050816696917E-3</v>
      </c>
    </row>
    <row r="694" spans="1:15" ht="15" customHeight="1" x14ac:dyDescent="0.25">
      <c r="A694" s="7" t="s">
        <v>1743</v>
      </c>
      <c r="B694" s="435">
        <v>0</v>
      </c>
      <c r="C694" s="435">
        <v>0</v>
      </c>
      <c r="D694" s="435">
        <v>0</v>
      </c>
      <c r="E694" s="435">
        <v>0</v>
      </c>
      <c r="F694" s="435">
        <v>0</v>
      </c>
      <c r="G694" s="435">
        <v>0</v>
      </c>
      <c r="H694" s="436">
        <v>1100</v>
      </c>
      <c r="I694" s="436">
        <v>0</v>
      </c>
      <c r="J694" s="436">
        <v>150</v>
      </c>
      <c r="K694" s="429">
        <v>0</v>
      </c>
      <c r="L694" s="435">
        <v>0</v>
      </c>
      <c r="M694" s="429">
        <v>0</v>
      </c>
      <c r="N694" s="144">
        <v>2</v>
      </c>
      <c r="O694" s="369">
        <v>6.0496067755595891E-4</v>
      </c>
    </row>
    <row r="695" spans="1:15" ht="15" customHeight="1" x14ac:dyDescent="0.25">
      <c r="A695" s="7" t="s">
        <v>1744</v>
      </c>
      <c r="B695" s="435">
        <v>3.7861999715965036</v>
      </c>
      <c r="C695" s="435">
        <v>2.0266666666666668</v>
      </c>
      <c r="D695" s="435">
        <v>0</v>
      </c>
      <c r="E695" s="435">
        <v>0</v>
      </c>
      <c r="F695" s="435">
        <v>0</v>
      </c>
      <c r="G695" s="435">
        <v>0</v>
      </c>
      <c r="H695" s="436">
        <v>1040.2243648946519</v>
      </c>
      <c r="I695" s="436">
        <v>252.5</v>
      </c>
      <c r="J695" s="436">
        <v>430</v>
      </c>
      <c r="K695" s="429">
        <v>0</v>
      </c>
      <c r="L695" s="435">
        <v>0</v>
      </c>
      <c r="M695" s="429">
        <v>0</v>
      </c>
      <c r="N695" s="144">
        <v>29</v>
      </c>
      <c r="O695" s="369">
        <v>8.771929824561403E-3</v>
      </c>
    </row>
    <row r="696" spans="1:15" ht="15" customHeight="1" x14ac:dyDescent="0.25">
      <c r="A696" s="7" t="s">
        <v>1745</v>
      </c>
      <c r="B696" s="435">
        <v>5.2352394668988671</v>
      </c>
      <c r="C696" s="435">
        <v>5.5</v>
      </c>
      <c r="D696" s="435">
        <v>0</v>
      </c>
      <c r="E696" s="435">
        <v>0</v>
      </c>
      <c r="F696" s="435">
        <v>1.6827555429317793</v>
      </c>
      <c r="G696" s="435">
        <v>0</v>
      </c>
      <c r="H696" s="436">
        <v>959.16654075486167</v>
      </c>
      <c r="I696" s="436">
        <v>298.87312186978295</v>
      </c>
      <c r="J696" s="436">
        <v>415</v>
      </c>
      <c r="K696" s="429">
        <v>27500</v>
      </c>
      <c r="L696" s="435">
        <v>0</v>
      </c>
      <c r="M696" s="429">
        <v>0</v>
      </c>
      <c r="N696" s="144">
        <v>74</v>
      </c>
      <c r="O696" s="369">
        <v>2.2383545069570479E-2</v>
      </c>
    </row>
    <row r="697" spans="1:15" ht="15" customHeight="1" x14ac:dyDescent="0.25">
      <c r="A697" s="7" t="s">
        <v>1746</v>
      </c>
      <c r="B697" s="435">
        <v>4.6743209525882765</v>
      </c>
      <c r="C697" s="435">
        <v>1.4750000000000001</v>
      </c>
      <c r="D697" s="435">
        <v>0</v>
      </c>
      <c r="E697" s="435">
        <v>0</v>
      </c>
      <c r="F697" s="435">
        <v>0</v>
      </c>
      <c r="G697" s="435">
        <v>0</v>
      </c>
      <c r="H697" s="436">
        <v>859.42684331797227</v>
      </c>
      <c r="I697" s="436">
        <v>5</v>
      </c>
      <c r="J697" s="436">
        <v>223.92593404185382</v>
      </c>
      <c r="K697" s="429">
        <v>0</v>
      </c>
      <c r="L697" s="435">
        <v>0</v>
      </c>
      <c r="M697" s="429">
        <v>0</v>
      </c>
      <c r="N697" s="144">
        <v>35</v>
      </c>
      <c r="O697" s="369">
        <v>1.058681185722928E-2</v>
      </c>
    </row>
    <row r="698" spans="1:15" ht="15" customHeight="1" x14ac:dyDescent="0.25">
      <c r="A698" s="7" t="s">
        <v>1747</v>
      </c>
      <c r="B698" s="435">
        <v>7.1517110574600622</v>
      </c>
      <c r="C698" s="435">
        <v>0</v>
      </c>
      <c r="D698" s="435">
        <v>0</v>
      </c>
      <c r="E698" s="435">
        <v>0</v>
      </c>
      <c r="F698" s="435">
        <v>0</v>
      </c>
      <c r="G698" s="435">
        <v>0</v>
      </c>
      <c r="H698" s="436">
        <v>562.5</v>
      </c>
      <c r="I698" s="436">
        <v>0</v>
      </c>
      <c r="J698" s="436">
        <v>350</v>
      </c>
      <c r="K698" s="429">
        <v>0</v>
      </c>
      <c r="L698" s="435">
        <v>0</v>
      </c>
      <c r="M698" s="429">
        <v>0</v>
      </c>
      <c r="N698" s="144">
        <v>11</v>
      </c>
      <c r="O698" s="369">
        <v>3.3272837265577739E-3</v>
      </c>
    </row>
    <row r="699" spans="1:15" ht="15" customHeight="1" x14ac:dyDescent="0.25">
      <c r="A699" s="7" t="s">
        <v>1748</v>
      </c>
      <c r="B699" s="435">
        <v>6.2051610645609365</v>
      </c>
      <c r="C699" s="435">
        <v>0</v>
      </c>
      <c r="D699" s="435">
        <v>0</v>
      </c>
      <c r="E699" s="435">
        <v>0</v>
      </c>
      <c r="F699" s="435">
        <v>0</v>
      </c>
      <c r="G699" s="435">
        <v>4</v>
      </c>
      <c r="H699" s="436">
        <v>964.04347826086962</v>
      </c>
      <c r="I699" s="436">
        <v>0</v>
      </c>
      <c r="J699" s="436">
        <v>257.85714285714283</v>
      </c>
      <c r="K699" s="429">
        <v>0</v>
      </c>
      <c r="L699" s="435">
        <v>0</v>
      </c>
      <c r="M699" s="429">
        <v>0</v>
      </c>
      <c r="N699" s="144">
        <v>35</v>
      </c>
      <c r="O699" s="369">
        <v>1.058681185722928E-2</v>
      </c>
    </row>
    <row r="700" spans="1:15" ht="15" customHeight="1" x14ac:dyDescent="0.25">
      <c r="A700" s="7" t="s">
        <v>1749</v>
      </c>
      <c r="B700" s="435">
        <v>6.0309958658674967</v>
      </c>
      <c r="C700" s="435">
        <v>2.6693965517241374</v>
      </c>
      <c r="D700" s="435">
        <v>0</v>
      </c>
      <c r="E700" s="435">
        <v>0</v>
      </c>
      <c r="F700" s="435">
        <v>5.0482666287953384</v>
      </c>
      <c r="G700" s="435">
        <v>0</v>
      </c>
      <c r="H700" s="436">
        <v>878.28770356853306</v>
      </c>
      <c r="I700" s="436">
        <v>0</v>
      </c>
      <c r="J700" s="436">
        <v>386.66666666666669</v>
      </c>
      <c r="K700" s="429">
        <v>0</v>
      </c>
      <c r="L700" s="435">
        <v>8</v>
      </c>
      <c r="M700" s="429">
        <v>0</v>
      </c>
      <c r="N700" s="144">
        <v>59</v>
      </c>
      <c r="O700" s="369">
        <v>1.7846339987900785E-2</v>
      </c>
    </row>
    <row r="701" spans="1:15" ht="15" customHeight="1" x14ac:dyDescent="0.25">
      <c r="A701" s="7" t="s">
        <v>1750</v>
      </c>
      <c r="B701" s="435">
        <v>3.9415174097021444</v>
      </c>
      <c r="C701" s="435">
        <v>3</v>
      </c>
      <c r="D701" s="435">
        <v>0</v>
      </c>
      <c r="E701" s="435">
        <v>0</v>
      </c>
      <c r="F701" s="435">
        <v>4.4345557837260996</v>
      </c>
      <c r="G701" s="435">
        <v>38.142458973120334</v>
      </c>
      <c r="H701" s="436">
        <v>938.62222325164282</v>
      </c>
      <c r="I701" s="436">
        <v>631.25</v>
      </c>
      <c r="J701" s="436">
        <v>255</v>
      </c>
      <c r="K701" s="429">
        <v>225000</v>
      </c>
      <c r="L701" s="435">
        <v>1</v>
      </c>
      <c r="M701" s="429">
        <v>41856.766146247544</v>
      </c>
      <c r="N701" s="144">
        <v>171</v>
      </c>
      <c r="O701" s="369">
        <v>5.1724137931034482E-2</v>
      </c>
    </row>
    <row r="702" spans="1:15" ht="15" customHeight="1" x14ac:dyDescent="0.25">
      <c r="A702" s="7" t="s">
        <v>1751</v>
      </c>
      <c r="B702" s="435">
        <v>4.1965627911512362</v>
      </c>
      <c r="C702" s="435">
        <v>3.9333333333333336</v>
      </c>
      <c r="D702" s="435">
        <v>0</v>
      </c>
      <c r="E702" s="435">
        <v>0</v>
      </c>
      <c r="F702" s="435">
        <v>2.6643629429753171</v>
      </c>
      <c r="G702" s="435">
        <v>0</v>
      </c>
      <c r="H702" s="436">
        <v>820.4880864221094</v>
      </c>
      <c r="I702" s="436">
        <v>350</v>
      </c>
      <c r="J702" s="436">
        <v>240.71428571428572</v>
      </c>
      <c r="K702" s="429">
        <v>0</v>
      </c>
      <c r="L702" s="435">
        <v>0</v>
      </c>
      <c r="M702" s="429">
        <v>0</v>
      </c>
      <c r="N702" s="144">
        <v>70</v>
      </c>
      <c r="O702" s="369">
        <v>2.1173623714458561E-2</v>
      </c>
    </row>
    <row r="703" spans="1:15" ht="15" customHeight="1" x14ac:dyDescent="0.25">
      <c r="A703" s="7" t="s">
        <v>1752</v>
      </c>
      <c r="B703" s="435">
        <v>5.1062926819998804</v>
      </c>
      <c r="C703" s="435">
        <v>3</v>
      </c>
      <c r="D703" s="435">
        <v>0</v>
      </c>
      <c r="E703" s="435">
        <v>0</v>
      </c>
      <c r="F703" s="435">
        <v>1.6827555429317793</v>
      </c>
      <c r="G703" s="435">
        <v>42.06888857329448</v>
      </c>
      <c r="H703" s="436">
        <v>866.1662912818972</v>
      </c>
      <c r="I703" s="436">
        <v>275</v>
      </c>
      <c r="J703" s="436">
        <v>291.25</v>
      </c>
      <c r="K703" s="429">
        <v>0</v>
      </c>
      <c r="L703" s="435">
        <v>0</v>
      </c>
      <c r="M703" s="429">
        <v>0</v>
      </c>
      <c r="N703" s="144">
        <v>68</v>
      </c>
      <c r="O703" s="369">
        <v>2.05686630369026E-2</v>
      </c>
    </row>
    <row r="704" spans="1:15" ht="15" customHeight="1" x14ac:dyDescent="0.25">
      <c r="A704" s="7" t="s">
        <v>1753</v>
      </c>
      <c r="B704" s="435">
        <v>5.8896444002612274</v>
      </c>
      <c r="C704" s="435">
        <v>0</v>
      </c>
      <c r="D704" s="435">
        <v>0</v>
      </c>
      <c r="E704" s="435">
        <v>0</v>
      </c>
      <c r="F704" s="435">
        <v>0</v>
      </c>
      <c r="G704" s="435">
        <v>0</v>
      </c>
      <c r="H704" s="436">
        <v>842</v>
      </c>
      <c r="I704" s="436">
        <v>0</v>
      </c>
      <c r="J704" s="436">
        <v>0</v>
      </c>
      <c r="K704" s="429">
        <v>0</v>
      </c>
      <c r="L704" s="435">
        <v>0</v>
      </c>
      <c r="M704" s="429">
        <v>0</v>
      </c>
      <c r="N704" s="144">
        <v>5</v>
      </c>
      <c r="O704" s="369">
        <v>1.5124016938898972E-3</v>
      </c>
    </row>
    <row r="705" spans="1:15" ht="15" customHeight="1" x14ac:dyDescent="0.25">
      <c r="A705" s="7" t="s">
        <v>1754</v>
      </c>
      <c r="B705" s="435">
        <v>11.779288800522455</v>
      </c>
      <c r="C705" s="435">
        <v>0</v>
      </c>
      <c r="D705" s="435">
        <v>0</v>
      </c>
      <c r="E705" s="435">
        <v>0</v>
      </c>
      <c r="F705" s="435">
        <v>0</v>
      </c>
      <c r="G705" s="435">
        <v>0</v>
      </c>
      <c r="H705" s="436">
        <v>900</v>
      </c>
      <c r="I705" s="436">
        <v>0</v>
      </c>
      <c r="J705" s="436">
        <v>0</v>
      </c>
      <c r="K705" s="429">
        <v>0</v>
      </c>
      <c r="L705" s="435">
        <v>0</v>
      </c>
      <c r="M705" s="429">
        <v>0</v>
      </c>
      <c r="N705" s="144">
        <v>1</v>
      </c>
      <c r="O705" s="369">
        <v>3.0248033877797946E-4</v>
      </c>
    </row>
    <row r="706" spans="1:15" ht="15" customHeight="1" x14ac:dyDescent="0.25">
      <c r="A706" s="7" t="s">
        <v>1755</v>
      </c>
      <c r="B706" s="435">
        <v>9.2070767563267371</v>
      </c>
      <c r="C706" s="435">
        <v>2.5733333333333337</v>
      </c>
      <c r="D706" s="435">
        <v>0</v>
      </c>
      <c r="E706" s="435">
        <v>0</v>
      </c>
      <c r="F706" s="435">
        <v>0</v>
      </c>
      <c r="G706" s="435">
        <v>10.096533257590675</v>
      </c>
      <c r="H706" s="436">
        <v>882.80312921494601</v>
      </c>
      <c r="I706" s="436">
        <v>1</v>
      </c>
      <c r="J706" s="436">
        <v>432.5</v>
      </c>
      <c r="K706" s="429">
        <v>293571.42857142858</v>
      </c>
      <c r="L706" s="435">
        <v>3</v>
      </c>
      <c r="M706" s="429">
        <v>13952.255382082514</v>
      </c>
      <c r="N706" s="144">
        <v>108</v>
      </c>
      <c r="O706" s="369">
        <v>3.2667876588021776E-2</v>
      </c>
    </row>
    <row r="707" spans="1:15" ht="15" customHeight="1" x14ac:dyDescent="0.25">
      <c r="A707" s="7" t="s">
        <v>1756</v>
      </c>
      <c r="B707" s="435">
        <v>6.0018281031233425</v>
      </c>
      <c r="C707" s="435">
        <v>1.8714285714285714</v>
      </c>
      <c r="D707" s="435">
        <v>0</v>
      </c>
      <c r="E707" s="435">
        <v>0</v>
      </c>
      <c r="F707" s="435">
        <v>8.413777714658897</v>
      </c>
      <c r="G707" s="435">
        <v>8.6137777146588963</v>
      </c>
      <c r="H707" s="436">
        <v>965.74707103719345</v>
      </c>
      <c r="I707" s="436">
        <v>343.86249517188099</v>
      </c>
      <c r="J707" s="436">
        <v>238.5</v>
      </c>
      <c r="K707" s="429">
        <v>327500</v>
      </c>
      <c r="L707" s="435">
        <v>0</v>
      </c>
      <c r="M707" s="429">
        <v>90689.659983536345</v>
      </c>
      <c r="N707" s="144">
        <v>326</v>
      </c>
      <c r="O707" s="369">
        <v>9.8608590441621291E-2</v>
      </c>
    </row>
    <row r="708" spans="1:15" ht="15" customHeight="1" x14ac:dyDescent="0.25">
      <c r="A708" s="7" t="s">
        <v>1757</v>
      </c>
      <c r="B708" s="435">
        <v>5.7968487782198839</v>
      </c>
      <c r="C708" s="435">
        <v>2.8915662650602414</v>
      </c>
      <c r="D708" s="435">
        <v>0</v>
      </c>
      <c r="E708" s="435">
        <v>0</v>
      </c>
      <c r="F708" s="435">
        <v>5.8896444002612283</v>
      </c>
      <c r="G708" s="435">
        <v>0</v>
      </c>
      <c r="H708" s="436">
        <v>895.06478836203257</v>
      </c>
      <c r="I708" s="436">
        <v>32.5</v>
      </c>
      <c r="J708" s="436">
        <v>476.46302250803859</v>
      </c>
      <c r="K708" s="429">
        <v>90000</v>
      </c>
      <c r="L708" s="435">
        <v>0</v>
      </c>
      <c r="M708" s="429">
        <v>209283.83073123774</v>
      </c>
      <c r="N708" s="144">
        <v>120</v>
      </c>
      <c r="O708" s="369">
        <v>3.6297640653357534E-2</v>
      </c>
    </row>
    <row r="709" spans="1:15" ht="15" customHeight="1" x14ac:dyDescent="0.25">
      <c r="A709" s="7" t="s">
        <v>1758</v>
      </c>
      <c r="B709" s="435">
        <v>3.6459703430188548</v>
      </c>
      <c r="C709" s="435">
        <v>0</v>
      </c>
      <c r="D709" s="435">
        <v>0</v>
      </c>
      <c r="E709" s="435">
        <v>0</v>
      </c>
      <c r="F709" s="435">
        <v>0</v>
      </c>
      <c r="G709" s="435">
        <v>0</v>
      </c>
      <c r="H709" s="436">
        <v>825</v>
      </c>
      <c r="I709" s="436">
        <v>0</v>
      </c>
      <c r="J709" s="436">
        <v>150</v>
      </c>
      <c r="K709" s="429">
        <v>0</v>
      </c>
      <c r="L709" s="435">
        <v>0</v>
      </c>
      <c r="M709" s="429">
        <v>0</v>
      </c>
      <c r="N709" s="144">
        <v>8</v>
      </c>
      <c r="O709" s="369">
        <v>2.4198427102238356E-3</v>
      </c>
    </row>
    <row r="710" spans="1:15" ht="15" customHeight="1" x14ac:dyDescent="0.25">
      <c r="A710" s="7" t="s">
        <v>1759</v>
      </c>
      <c r="B710" s="435">
        <v>4.4873481144847451</v>
      </c>
      <c r="C710" s="435">
        <v>0</v>
      </c>
      <c r="D710" s="435">
        <v>0</v>
      </c>
      <c r="E710" s="435">
        <v>0</v>
      </c>
      <c r="F710" s="435">
        <v>0</v>
      </c>
      <c r="G710" s="435">
        <v>0</v>
      </c>
      <c r="H710" s="436">
        <v>788.57142857142856</v>
      </c>
      <c r="I710" s="436">
        <v>0</v>
      </c>
      <c r="J710" s="436">
        <v>251.42857142857142</v>
      </c>
      <c r="K710" s="429">
        <v>0</v>
      </c>
      <c r="L710" s="435">
        <v>0</v>
      </c>
      <c r="M710" s="429">
        <v>0</v>
      </c>
      <c r="N710" s="144">
        <v>16</v>
      </c>
      <c r="O710" s="369">
        <v>4.8396854204476713E-3</v>
      </c>
    </row>
    <row r="711" spans="1:15" ht="15" customHeight="1" x14ac:dyDescent="0.25">
      <c r="A711" s="7" t="s">
        <v>1760</v>
      </c>
      <c r="B711" s="435">
        <v>5.9359094183853101</v>
      </c>
      <c r="C711" s="435">
        <v>6.5</v>
      </c>
      <c r="D711" s="435">
        <v>0</v>
      </c>
      <c r="E711" s="435">
        <v>0</v>
      </c>
      <c r="F711" s="435">
        <v>1.6827555429317793</v>
      </c>
      <c r="G711" s="435">
        <v>0</v>
      </c>
      <c r="H711" s="436">
        <v>865.99856317761396</v>
      </c>
      <c r="I711" s="436">
        <v>516.59990067869558</v>
      </c>
      <c r="J711" s="436">
        <v>342.5</v>
      </c>
      <c r="K711" s="429">
        <v>245615.38461538462</v>
      </c>
      <c r="L711" s="435">
        <v>0.70833333333333337</v>
      </c>
      <c r="M711" s="429">
        <v>28044.033317985857</v>
      </c>
      <c r="N711" s="144">
        <v>221</v>
      </c>
      <c r="O711" s="369">
        <v>6.6848154869933452E-2</v>
      </c>
    </row>
    <row r="712" spans="1:15" ht="15" customHeight="1" x14ac:dyDescent="0.25">
      <c r="A712" s="7" t="s">
        <v>1761</v>
      </c>
      <c r="B712" s="435">
        <v>5.3414880622432657</v>
      </c>
      <c r="C712" s="435">
        <v>2.4</v>
      </c>
      <c r="D712" s="435">
        <v>0</v>
      </c>
      <c r="E712" s="435">
        <v>0</v>
      </c>
      <c r="F712" s="435">
        <v>4.5698361312951272</v>
      </c>
      <c r="G712" s="435">
        <v>3.4055110858635587</v>
      </c>
      <c r="H712" s="436">
        <v>888.11826957680205</v>
      </c>
      <c r="I712" s="436">
        <v>111.87713144304784</v>
      </c>
      <c r="J712" s="436">
        <v>462.77777777777777</v>
      </c>
      <c r="K712" s="429">
        <v>174166.66666666666</v>
      </c>
      <c r="L712" s="435">
        <v>2.422857142857143</v>
      </c>
      <c r="M712" s="429">
        <v>44265.458147673213</v>
      </c>
      <c r="N712" s="144">
        <v>621</v>
      </c>
      <c r="O712" s="369">
        <v>0.18784029038112524</v>
      </c>
    </row>
    <row r="713" spans="1:15" ht="15" customHeight="1" x14ac:dyDescent="0.25">
      <c r="A713" s="7" t="s">
        <v>1762</v>
      </c>
      <c r="B713" s="435">
        <v>6.0336730182369314</v>
      </c>
      <c r="C713" s="435">
        <v>0</v>
      </c>
      <c r="D713" s="435">
        <v>0</v>
      </c>
      <c r="E713" s="435">
        <v>0</v>
      </c>
      <c r="F713" s="435">
        <v>3.7301081201654438</v>
      </c>
      <c r="G713" s="435">
        <v>0</v>
      </c>
      <c r="H713" s="436">
        <v>816.0827964345184</v>
      </c>
      <c r="I713" s="436">
        <v>41</v>
      </c>
      <c r="J713" s="436">
        <v>568.57142857142856</v>
      </c>
      <c r="K713" s="429">
        <v>103750</v>
      </c>
      <c r="L713" s="435">
        <v>7.25</v>
      </c>
      <c r="M713" s="429">
        <v>0</v>
      </c>
      <c r="N713" s="144">
        <v>73</v>
      </c>
      <c r="O713" s="369">
        <v>2.2081064730792497E-2</v>
      </c>
    </row>
    <row r="714" spans="1:15" ht="15" customHeight="1" x14ac:dyDescent="0.25">
      <c r="A714" s="7" t="s">
        <v>1763</v>
      </c>
      <c r="B714" s="435">
        <v>5.1417530478471036</v>
      </c>
      <c r="C714" s="435">
        <v>2.85</v>
      </c>
      <c r="D714" s="435">
        <v>0</v>
      </c>
      <c r="E714" s="435">
        <v>0</v>
      </c>
      <c r="F714" s="435">
        <v>0</v>
      </c>
      <c r="G714" s="435">
        <v>0</v>
      </c>
      <c r="H714" s="436">
        <v>741.09977349472911</v>
      </c>
      <c r="I714" s="436">
        <v>0</v>
      </c>
      <c r="J714" s="436">
        <v>300</v>
      </c>
      <c r="K714" s="429">
        <v>0</v>
      </c>
      <c r="L714" s="435">
        <v>0</v>
      </c>
      <c r="M714" s="429">
        <v>0</v>
      </c>
      <c r="N714" s="144">
        <v>26</v>
      </c>
      <c r="O714" s="369">
        <v>7.8644888082274652E-3</v>
      </c>
    </row>
    <row r="715" spans="1:15" ht="15" customHeight="1" x14ac:dyDescent="0.25">
      <c r="A715" s="7" t="s">
        <v>1764</v>
      </c>
      <c r="B715" s="435">
        <v>0</v>
      </c>
      <c r="C715" s="435">
        <v>0</v>
      </c>
      <c r="D715" s="435">
        <v>0</v>
      </c>
      <c r="E715" s="435">
        <v>0</v>
      </c>
      <c r="F715" s="435">
        <v>0</v>
      </c>
      <c r="G715" s="435">
        <v>0</v>
      </c>
      <c r="H715" s="436">
        <v>700</v>
      </c>
      <c r="I715" s="436">
        <v>0</v>
      </c>
      <c r="J715" s="436">
        <v>0</v>
      </c>
      <c r="K715" s="429">
        <v>0</v>
      </c>
      <c r="L715" s="435">
        <v>0</v>
      </c>
      <c r="M715" s="429">
        <v>0</v>
      </c>
      <c r="N715" s="144">
        <v>1</v>
      </c>
      <c r="O715" s="369">
        <v>3.0248033877797946E-4</v>
      </c>
    </row>
    <row r="716" spans="1:15" ht="15" customHeight="1" x14ac:dyDescent="0.25">
      <c r="A716" s="7" t="s">
        <v>1765</v>
      </c>
      <c r="B716" s="435">
        <v>1.6827555429317793</v>
      </c>
      <c r="C716" s="435">
        <v>0</v>
      </c>
      <c r="D716" s="435">
        <v>0</v>
      </c>
      <c r="E716" s="435">
        <v>0</v>
      </c>
      <c r="F716" s="435">
        <v>0</v>
      </c>
      <c r="G716" s="435">
        <v>0</v>
      </c>
      <c r="H716" s="436">
        <v>0</v>
      </c>
      <c r="I716" s="436">
        <v>0</v>
      </c>
      <c r="J716" s="436">
        <v>500</v>
      </c>
      <c r="K716" s="429">
        <v>0</v>
      </c>
      <c r="L716" s="435">
        <v>0</v>
      </c>
      <c r="M716" s="429">
        <v>0</v>
      </c>
      <c r="N716" s="144">
        <v>1</v>
      </c>
      <c r="O716" s="369">
        <v>3.0248033877797946E-4</v>
      </c>
    </row>
    <row r="717" spans="1:15" ht="15" customHeight="1" x14ac:dyDescent="0.25">
      <c r="A717" s="7" t="s">
        <v>1766</v>
      </c>
      <c r="B717" s="435">
        <v>7.3485471416103394</v>
      </c>
      <c r="C717" s="435">
        <v>0</v>
      </c>
      <c r="D717" s="435">
        <v>0</v>
      </c>
      <c r="E717" s="435">
        <v>0</v>
      </c>
      <c r="F717" s="435">
        <v>0</v>
      </c>
      <c r="G717" s="435">
        <v>11.779288800522455</v>
      </c>
      <c r="H717" s="436">
        <v>600</v>
      </c>
      <c r="I717" s="436">
        <v>0</v>
      </c>
      <c r="J717" s="436">
        <v>350</v>
      </c>
      <c r="K717" s="429">
        <v>0</v>
      </c>
      <c r="L717" s="435">
        <v>0</v>
      </c>
      <c r="M717" s="429">
        <v>0</v>
      </c>
      <c r="N717" s="144">
        <v>6</v>
      </c>
      <c r="O717" s="369">
        <v>1.8148820326678765E-3</v>
      </c>
    </row>
    <row r="718" spans="1:15" ht="15" customHeight="1" x14ac:dyDescent="0.25">
      <c r="A718" s="7" t="s">
        <v>1767</v>
      </c>
      <c r="B718" s="435">
        <v>6.7310221717271164</v>
      </c>
      <c r="C718" s="435">
        <v>1</v>
      </c>
      <c r="D718" s="435">
        <v>0</v>
      </c>
      <c r="E718" s="435">
        <v>0</v>
      </c>
      <c r="F718" s="435">
        <v>0</v>
      </c>
      <c r="G718" s="435">
        <v>0</v>
      </c>
      <c r="H718" s="436">
        <v>391.42857142857144</v>
      </c>
      <c r="I718" s="436">
        <v>0</v>
      </c>
      <c r="J718" s="436">
        <v>400</v>
      </c>
      <c r="K718" s="429">
        <v>0</v>
      </c>
      <c r="L718" s="435">
        <v>0</v>
      </c>
      <c r="M718" s="429">
        <v>0</v>
      </c>
      <c r="N718" s="144">
        <v>10</v>
      </c>
      <c r="O718" s="369">
        <v>3.0248033877797943E-3</v>
      </c>
    </row>
    <row r="719" spans="1:15" ht="15" customHeight="1" x14ac:dyDescent="0.25">
      <c r="A719" s="7" t="s">
        <v>1768</v>
      </c>
      <c r="B719" s="435">
        <v>6.1701036574165231</v>
      </c>
      <c r="C719" s="435">
        <v>0</v>
      </c>
      <c r="D719" s="435">
        <v>0</v>
      </c>
      <c r="E719" s="435">
        <v>0</v>
      </c>
      <c r="F719" s="435">
        <v>6.7310221717271173</v>
      </c>
      <c r="G719" s="435">
        <v>0</v>
      </c>
      <c r="H719" s="436">
        <v>710.51546401391272</v>
      </c>
      <c r="I719" s="436">
        <v>0</v>
      </c>
      <c r="J719" s="436">
        <v>0</v>
      </c>
      <c r="K719" s="429">
        <v>187499.99999999997</v>
      </c>
      <c r="L719" s="435">
        <v>0</v>
      </c>
      <c r="M719" s="429">
        <v>22323.608611332023</v>
      </c>
      <c r="N719" s="144">
        <v>24</v>
      </c>
      <c r="O719" s="369">
        <v>7.2595281306715061E-3</v>
      </c>
    </row>
    <row r="720" spans="1:15" ht="15" customHeight="1" x14ac:dyDescent="0.25">
      <c r="A720" s="7" t="s">
        <v>1769</v>
      </c>
      <c r="B720" s="435">
        <v>3.4267021965156235</v>
      </c>
      <c r="C720" s="435">
        <v>5.4</v>
      </c>
      <c r="D720" s="435">
        <v>0</v>
      </c>
      <c r="E720" s="435">
        <v>0</v>
      </c>
      <c r="F720" s="435">
        <v>0</v>
      </c>
      <c r="G720" s="435">
        <v>12.620666571988345</v>
      </c>
      <c r="H720" s="436">
        <v>800.07683606243017</v>
      </c>
      <c r="I720" s="436">
        <v>5</v>
      </c>
      <c r="J720" s="436">
        <v>335</v>
      </c>
      <c r="K720" s="429">
        <v>69999.999999999985</v>
      </c>
      <c r="L720" s="435">
        <v>0</v>
      </c>
      <c r="M720" s="429">
        <v>5580.9021528330059</v>
      </c>
      <c r="N720" s="144">
        <v>57</v>
      </c>
      <c r="O720" s="369">
        <v>1.7241379310344827E-2</v>
      </c>
    </row>
    <row r="721" spans="1:15" ht="15" customHeight="1" x14ac:dyDescent="0.25">
      <c r="A721" s="7" t="s">
        <v>1770</v>
      </c>
      <c r="B721" s="435">
        <v>7.0675732803134732</v>
      </c>
      <c r="C721" s="435">
        <v>0</v>
      </c>
      <c r="D721" s="435">
        <v>0</v>
      </c>
      <c r="E721" s="435">
        <v>0</v>
      </c>
      <c r="F721" s="435">
        <v>5.0482666287953375</v>
      </c>
      <c r="G721" s="435">
        <v>0</v>
      </c>
      <c r="H721" s="436">
        <v>1021.1906301180933</v>
      </c>
      <c r="I721" s="436">
        <v>600</v>
      </c>
      <c r="J721" s="436">
        <v>665</v>
      </c>
      <c r="K721" s="429">
        <v>0</v>
      </c>
      <c r="L721" s="435">
        <v>0.65</v>
      </c>
      <c r="M721" s="429">
        <v>0</v>
      </c>
      <c r="N721" s="144">
        <v>40</v>
      </c>
      <c r="O721" s="369">
        <v>1.2099213551119177E-2</v>
      </c>
    </row>
    <row r="722" spans="1:15" ht="15" customHeight="1" x14ac:dyDescent="0.25">
      <c r="A722" s="7" t="s">
        <v>1771</v>
      </c>
      <c r="B722" s="435">
        <v>8.4979154918054842</v>
      </c>
      <c r="C722" s="435">
        <v>0</v>
      </c>
      <c r="D722" s="435">
        <v>0</v>
      </c>
      <c r="E722" s="435">
        <v>0</v>
      </c>
      <c r="F722" s="435">
        <v>0</v>
      </c>
      <c r="G722" s="435">
        <v>0</v>
      </c>
      <c r="H722" s="436">
        <v>1225</v>
      </c>
      <c r="I722" s="436">
        <v>0</v>
      </c>
      <c r="J722" s="436">
        <v>234.49980687524143</v>
      </c>
      <c r="K722" s="429">
        <v>0</v>
      </c>
      <c r="L722" s="435">
        <v>0</v>
      </c>
      <c r="M722" s="429">
        <v>0</v>
      </c>
      <c r="N722" s="144">
        <v>10</v>
      </c>
      <c r="O722" s="369">
        <v>3.0248033877797943E-3</v>
      </c>
    </row>
    <row r="723" spans="1:15" ht="15" customHeight="1" x14ac:dyDescent="0.25">
      <c r="A723" s="7" t="s">
        <v>1772</v>
      </c>
      <c r="B723" s="435">
        <v>8.413777714658897</v>
      </c>
      <c r="C723" s="435">
        <v>0</v>
      </c>
      <c r="D723" s="435">
        <v>0</v>
      </c>
      <c r="E723" s="435">
        <v>0</v>
      </c>
      <c r="F723" s="435">
        <v>0</v>
      </c>
      <c r="G723" s="435">
        <v>0</v>
      </c>
      <c r="H723" s="436">
        <v>0</v>
      </c>
      <c r="I723" s="436">
        <v>0</v>
      </c>
      <c r="J723" s="436">
        <v>0</v>
      </c>
      <c r="K723" s="429">
        <v>0</v>
      </c>
      <c r="L723" s="435">
        <v>0</v>
      </c>
      <c r="M723" s="429">
        <v>0</v>
      </c>
      <c r="N723" s="144">
        <v>2</v>
      </c>
      <c r="O723" s="369">
        <v>6.0496067755595891E-4</v>
      </c>
    </row>
    <row r="724" spans="1:15" ht="15" customHeight="1" x14ac:dyDescent="0.25">
      <c r="A724" s="7" t="s">
        <v>1773</v>
      </c>
      <c r="B724" s="435">
        <v>7.8528592003483029</v>
      </c>
      <c r="C724" s="435">
        <v>2.75</v>
      </c>
      <c r="D724" s="435">
        <v>0</v>
      </c>
      <c r="E724" s="435">
        <v>0</v>
      </c>
      <c r="F724" s="435">
        <v>0</v>
      </c>
      <c r="G724" s="435">
        <v>0</v>
      </c>
      <c r="H724" s="436">
        <v>590</v>
      </c>
      <c r="I724" s="436">
        <v>0</v>
      </c>
      <c r="J724" s="436">
        <v>0</v>
      </c>
      <c r="K724" s="429">
        <v>0</v>
      </c>
      <c r="L724" s="435">
        <v>6</v>
      </c>
      <c r="M724" s="429">
        <v>0</v>
      </c>
      <c r="N724" s="144">
        <v>16</v>
      </c>
      <c r="O724" s="369">
        <v>4.8396854204476713E-3</v>
      </c>
    </row>
    <row r="725" spans="1:15" ht="15" customHeight="1" x14ac:dyDescent="0.25">
      <c r="A725" s="7" t="s">
        <v>1774</v>
      </c>
      <c r="B725" s="435">
        <v>6.0511889323826757</v>
      </c>
      <c r="C725" s="435">
        <v>1.9019211822660098</v>
      </c>
      <c r="D725" s="435">
        <v>0</v>
      </c>
      <c r="E725" s="435">
        <v>0</v>
      </c>
      <c r="F725" s="435">
        <v>2.2436740572423726</v>
      </c>
      <c r="G725" s="435">
        <v>3.7655110858635585</v>
      </c>
      <c r="H725" s="436">
        <v>1034.1458550121401</v>
      </c>
      <c r="I725" s="436">
        <v>231.74971031286211</v>
      </c>
      <c r="J725" s="436">
        <v>454.89389067524115</v>
      </c>
      <c r="K725" s="429">
        <v>75000</v>
      </c>
      <c r="L725" s="435">
        <v>6.333333333333333</v>
      </c>
      <c r="M725" s="429">
        <v>10938.568219552692</v>
      </c>
      <c r="N725" s="144">
        <v>96</v>
      </c>
      <c r="O725" s="369">
        <v>2.9038112522686024E-2</v>
      </c>
    </row>
    <row r="726" spans="1:15" ht="15" customHeight="1" x14ac:dyDescent="0.25">
      <c r="A726" s="7" t="s">
        <v>1775</v>
      </c>
      <c r="B726" s="435">
        <v>6.6451116375255763</v>
      </c>
      <c r="C726" s="435">
        <v>0</v>
      </c>
      <c r="D726" s="435">
        <v>0</v>
      </c>
      <c r="E726" s="435">
        <v>0</v>
      </c>
      <c r="F726" s="435">
        <v>0</v>
      </c>
      <c r="G726" s="435">
        <v>0</v>
      </c>
      <c r="H726" s="436">
        <v>650</v>
      </c>
      <c r="I726" s="436">
        <v>0</v>
      </c>
      <c r="J726" s="436">
        <v>0</v>
      </c>
      <c r="K726" s="429">
        <v>0</v>
      </c>
      <c r="L726" s="435">
        <v>0</v>
      </c>
      <c r="M726" s="429">
        <v>0</v>
      </c>
      <c r="N726" s="144">
        <v>9</v>
      </c>
      <c r="O726" s="369">
        <v>2.7223230490018148E-3</v>
      </c>
    </row>
    <row r="727" spans="1:15" ht="15" customHeight="1" x14ac:dyDescent="0.25">
      <c r="A727" s="7" t="s">
        <v>1776</v>
      </c>
      <c r="B727" s="435">
        <v>5.0001878989972877</v>
      </c>
      <c r="C727" s="435">
        <v>2</v>
      </c>
      <c r="D727" s="435">
        <v>0</v>
      </c>
      <c r="E727" s="435">
        <v>0</v>
      </c>
      <c r="F727" s="435">
        <v>0</v>
      </c>
      <c r="G727" s="435">
        <v>13.462044343454235</v>
      </c>
      <c r="H727" s="436">
        <v>725.48088410991636</v>
      </c>
      <c r="I727" s="436">
        <v>40</v>
      </c>
      <c r="J727" s="436">
        <v>500</v>
      </c>
      <c r="K727" s="429">
        <v>240000</v>
      </c>
      <c r="L727" s="435">
        <v>0</v>
      </c>
      <c r="M727" s="429">
        <v>0</v>
      </c>
      <c r="N727" s="144">
        <v>24</v>
      </c>
      <c r="O727" s="369">
        <v>7.2595281306715061E-3</v>
      </c>
    </row>
    <row r="728" spans="1:15" ht="15" customHeight="1" x14ac:dyDescent="0.25">
      <c r="A728" s="7" t="s">
        <v>1777</v>
      </c>
      <c r="B728" s="435">
        <v>6.432812652160437</v>
      </c>
      <c r="C728" s="435">
        <v>1</v>
      </c>
      <c r="D728" s="435">
        <v>0</v>
      </c>
      <c r="E728" s="435">
        <v>0</v>
      </c>
      <c r="F728" s="435">
        <v>3.5758555287300311</v>
      </c>
      <c r="G728" s="435">
        <v>0</v>
      </c>
      <c r="H728" s="436">
        <v>791.16485623171366</v>
      </c>
      <c r="I728" s="436">
        <v>300</v>
      </c>
      <c r="J728" s="436">
        <v>575</v>
      </c>
      <c r="K728" s="429">
        <v>0</v>
      </c>
      <c r="L728" s="435">
        <v>0</v>
      </c>
      <c r="M728" s="429">
        <v>0</v>
      </c>
      <c r="N728" s="144">
        <v>40</v>
      </c>
      <c r="O728" s="369">
        <v>1.2099213551119177E-2</v>
      </c>
    </row>
    <row r="729" spans="1:15" ht="15" customHeight="1" x14ac:dyDescent="0.25">
      <c r="A729" s="7" t="s">
        <v>1778</v>
      </c>
      <c r="B729" s="435">
        <v>6.7310221717271173</v>
      </c>
      <c r="C729" s="435">
        <v>0.6</v>
      </c>
      <c r="D729" s="435">
        <v>0</v>
      </c>
      <c r="E729" s="435">
        <v>0</v>
      </c>
      <c r="F729" s="435">
        <v>0</v>
      </c>
      <c r="G729" s="435">
        <v>0</v>
      </c>
      <c r="H729" s="436">
        <v>2100</v>
      </c>
      <c r="I729" s="436">
        <v>0</v>
      </c>
      <c r="J729" s="436">
        <v>600</v>
      </c>
      <c r="K729" s="429">
        <v>0</v>
      </c>
      <c r="L729" s="435">
        <v>20</v>
      </c>
      <c r="M729" s="429">
        <v>0</v>
      </c>
      <c r="N729" s="144">
        <v>4</v>
      </c>
      <c r="O729" s="369">
        <v>1.2099213551119178E-3</v>
      </c>
    </row>
    <row r="730" spans="1:15" ht="15" customHeight="1" x14ac:dyDescent="0.25">
      <c r="A730" s="7" t="s">
        <v>1779</v>
      </c>
      <c r="B730" s="435">
        <v>6.7310221717271173</v>
      </c>
      <c r="C730" s="435">
        <v>0</v>
      </c>
      <c r="D730" s="435">
        <v>0</v>
      </c>
      <c r="E730" s="435">
        <v>0</v>
      </c>
      <c r="F730" s="435">
        <v>0</v>
      </c>
      <c r="G730" s="435">
        <v>0</v>
      </c>
      <c r="H730" s="436">
        <v>0</v>
      </c>
      <c r="I730" s="436">
        <v>0</v>
      </c>
      <c r="J730" s="436">
        <v>80</v>
      </c>
      <c r="K730" s="429">
        <v>0</v>
      </c>
      <c r="L730" s="435">
        <v>0</v>
      </c>
      <c r="M730" s="429">
        <v>0</v>
      </c>
      <c r="N730" s="144">
        <v>1</v>
      </c>
      <c r="O730" s="369">
        <v>3.0248033877797946E-4</v>
      </c>
    </row>
    <row r="731" spans="1:15" ht="15" customHeight="1" x14ac:dyDescent="0.25">
      <c r="A731" s="7" t="s">
        <v>1780</v>
      </c>
      <c r="B731" s="435">
        <v>7.3620555003265356</v>
      </c>
      <c r="C731" s="435">
        <v>4</v>
      </c>
      <c r="D731" s="435">
        <v>0</v>
      </c>
      <c r="E731" s="435">
        <v>0</v>
      </c>
      <c r="F731" s="435">
        <v>0</v>
      </c>
      <c r="G731" s="435">
        <v>0</v>
      </c>
      <c r="H731" s="436">
        <v>788.88888888888891</v>
      </c>
      <c r="I731" s="436">
        <v>0</v>
      </c>
      <c r="J731" s="436">
        <v>25</v>
      </c>
      <c r="K731" s="429">
        <v>0</v>
      </c>
      <c r="L731" s="435">
        <v>0.9</v>
      </c>
      <c r="M731" s="429">
        <v>0</v>
      </c>
      <c r="N731" s="144">
        <v>17</v>
      </c>
      <c r="O731" s="369">
        <v>5.14216575922565E-3</v>
      </c>
    </row>
    <row r="732" spans="1:15" ht="15" customHeight="1" x14ac:dyDescent="0.25">
      <c r="A732" s="7" t="s">
        <v>1781</v>
      </c>
      <c r="B732" s="435">
        <v>5.6819863661626435</v>
      </c>
      <c r="C732" s="435">
        <v>2.7163511187607576</v>
      </c>
      <c r="D732" s="435">
        <v>0</v>
      </c>
      <c r="E732" s="435">
        <v>0</v>
      </c>
      <c r="F732" s="435">
        <v>4.2068888573294476</v>
      </c>
      <c r="G732" s="435">
        <v>20.593066515181352</v>
      </c>
      <c r="H732" s="436">
        <v>870.61250243454924</v>
      </c>
      <c r="I732" s="436">
        <v>30</v>
      </c>
      <c r="J732" s="436">
        <v>366.62551891214099</v>
      </c>
      <c r="K732" s="429">
        <v>0</v>
      </c>
      <c r="L732" s="435">
        <v>0</v>
      </c>
      <c r="M732" s="429">
        <v>0</v>
      </c>
      <c r="N732" s="144">
        <v>96</v>
      </c>
      <c r="O732" s="369">
        <v>2.9038112522686024E-2</v>
      </c>
    </row>
    <row r="733" spans="1:15" ht="15" customHeight="1" x14ac:dyDescent="0.25">
      <c r="A733" s="7" t="s">
        <v>1782</v>
      </c>
      <c r="B733" s="435">
        <v>6.9179950098306495</v>
      </c>
      <c r="C733" s="435">
        <v>0</v>
      </c>
      <c r="D733" s="435">
        <v>0</v>
      </c>
      <c r="E733" s="435">
        <v>0</v>
      </c>
      <c r="F733" s="435">
        <v>0</v>
      </c>
      <c r="G733" s="435">
        <v>1.6827555429317793</v>
      </c>
      <c r="H733" s="436">
        <v>636.83178311341851</v>
      </c>
      <c r="I733" s="436">
        <v>8</v>
      </c>
      <c r="J733" s="436">
        <v>300</v>
      </c>
      <c r="K733" s="429">
        <v>0</v>
      </c>
      <c r="L733" s="435">
        <v>4</v>
      </c>
      <c r="M733" s="429">
        <v>0</v>
      </c>
      <c r="N733" s="144">
        <v>18</v>
      </c>
      <c r="O733" s="369">
        <v>5.4446460980036296E-3</v>
      </c>
    </row>
    <row r="734" spans="1:15" ht="15" customHeight="1" x14ac:dyDescent="0.25">
      <c r="A734" s="7" t="s">
        <v>1783</v>
      </c>
      <c r="B734" s="435">
        <v>6.4250666184667944</v>
      </c>
      <c r="C734" s="435">
        <v>0</v>
      </c>
      <c r="D734" s="435">
        <v>0</v>
      </c>
      <c r="E734" s="435">
        <v>0</v>
      </c>
      <c r="F734" s="435">
        <v>3.3655110858635586</v>
      </c>
      <c r="G734" s="435">
        <v>0</v>
      </c>
      <c r="H734" s="436">
        <v>811.02059966914805</v>
      </c>
      <c r="I734" s="436">
        <v>300</v>
      </c>
      <c r="J734" s="436">
        <v>318.75</v>
      </c>
      <c r="K734" s="429">
        <v>0</v>
      </c>
      <c r="L734" s="435">
        <v>0</v>
      </c>
      <c r="M734" s="429">
        <v>0</v>
      </c>
      <c r="N734" s="144">
        <v>36</v>
      </c>
      <c r="O734" s="369">
        <v>1.0889292196007259E-2</v>
      </c>
    </row>
    <row r="735" spans="1:15" ht="15" customHeight="1" x14ac:dyDescent="0.25">
      <c r="A735" s="7" t="s">
        <v>1784</v>
      </c>
      <c r="B735" s="435">
        <v>15.144799886386014</v>
      </c>
      <c r="C735" s="435">
        <v>0</v>
      </c>
      <c r="D735" s="435">
        <v>0</v>
      </c>
      <c r="E735" s="435">
        <v>0</v>
      </c>
      <c r="F735" s="435">
        <v>0</v>
      </c>
      <c r="G735" s="435">
        <v>0</v>
      </c>
      <c r="H735" s="436">
        <v>0</v>
      </c>
      <c r="I735" s="436">
        <v>0</v>
      </c>
      <c r="J735" s="436">
        <v>0</v>
      </c>
      <c r="K735" s="429">
        <v>0</v>
      </c>
      <c r="L735" s="435">
        <v>0</v>
      </c>
      <c r="M735" s="429">
        <v>0</v>
      </c>
      <c r="N735" s="144">
        <v>1</v>
      </c>
      <c r="O735" s="369">
        <v>3.0248033877797946E-4</v>
      </c>
    </row>
    <row r="736" spans="1:15" ht="15" customHeight="1" x14ac:dyDescent="0.25">
      <c r="A736" s="7" t="s">
        <v>1785</v>
      </c>
      <c r="B736" s="435">
        <v>6.8839999483572774</v>
      </c>
      <c r="C736" s="435">
        <v>1.4333333333333333</v>
      </c>
      <c r="D736" s="435">
        <v>0</v>
      </c>
      <c r="E736" s="435">
        <v>0</v>
      </c>
      <c r="F736" s="435">
        <v>4.417233300195921</v>
      </c>
      <c r="G736" s="435">
        <v>0</v>
      </c>
      <c r="H736" s="436">
        <v>806.59398977917886</v>
      </c>
      <c r="I736" s="436">
        <v>17</v>
      </c>
      <c r="J736" s="436">
        <v>396.66666666666669</v>
      </c>
      <c r="K736" s="429">
        <v>0</v>
      </c>
      <c r="L736" s="435">
        <v>18</v>
      </c>
      <c r="M736" s="429">
        <v>0</v>
      </c>
      <c r="N736" s="144">
        <v>85</v>
      </c>
      <c r="O736" s="369">
        <v>2.5710828796128252E-2</v>
      </c>
    </row>
    <row r="737" spans="1:15" ht="15" customHeight="1" x14ac:dyDescent="0.25">
      <c r="A737" s="7" t="s">
        <v>1786</v>
      </c>
      <c r="B737" s="435">
        <v>8.7916156701211268</v>
      </c>
      <c r="C737" s="435">
        <v>2.35</v>
      </c>
      <c r="D737" s="435">
        <v>0</v>
      </c>
      <c r="E737" s="435">
        <v>0</v>
      </c>
      <c r="F737" s="435">
        <v>2.5241333143976687</v>
      </c>
      <c r="G737" s="435">
        <v>9.2551554861247869</v>
      </c>
      <c r="H737" s="436">
        <v>965.36894206154159</v>
      </c>
      <c r="I737" s="436">
        <v>402.09677419354836</v>
      </c>
      <c r="J737" s="436">
        <v>298.72428265342148</v>
      </c>
      <c r="K737" s="429">
        <v>124999.99999999999</v>
      </c>
      <c r="L737" s="435">
        <v>13.5</v>
      </c>
      <c r="M737" s="429">
        <v>0</v>
      </c>
      <c r="N737" s="144">
        <v>123</v>
      </c>
      <c r="O737" s="369">
        <v>3.720508166969147E-2</v>
      </c>
    </row>
    <row r="738" spans="1:15" ht="15" customHeight="1" x14ac:dyDescent="0.25">
      <c r="A738" s="7" t="s">
        <v>1787</v>
      </c>
      <c r="B738" s="435">
        <v>5.0482666287953384</v>
      </c>
      <c r="C738" s="435">
        <v>1.8879310344827587</v>
      </c>
      <c r="D738" s="435">
        <v>0</v>
      </c>
      <c r="E738" s="435">
        <v>0</v>
      </c>
      <c r="F738" s="435">
        <v>0</v>
      </c>
      <c r="G738" s="435">
        <v>0</v>
      </c>
      <c r="H738" s="436">
        <v>862.30629461388719</v>
      </c>
      <c r="I738" s="436">
        <v>0</v>
      </c>
      <c r="J738" s="436">
        <v>0</v>
      </c>
      <c r="K738" s="429">
        <v>0</v>
      </c>
      <c r="L738" s="435">
        <v>0</v>
      </c>
      <c r="M738" s="429">
        <v>0</v>
      </c>
      <c r="N738" s="144">
        <v>32</v>
      </c>
      <c r="O738" s="369">
        <v>9.6793708408953426E-3</v>
      </c>
    </row>
    <row r="739" spans="1:15" ht="15" customHeight="1" x14ac:dyDescent="0.25">
      <c r="A739" s="7" t="s">
        <v>1788</v>
      </c>
      <c r="B739" s="435">
        <v>6.7099877274404705</v>
      </c>
      <c r="C739" s="435">
        <v>4.8</v>
      </c>
      <c r="D739" s="435">
        <v>0</v>
      </c>
      <c r="E739" s="435">
        <v>0</v>
      </c>
      <c r="F739" s="435">
        <v>0</v>
      </c>
      <c r="G739" s="435">
        <v>0</v>
      </c>
      <c r="H739" s="436">
        <v>520.19145810683199</v>
      </c>
      <c r="I739" s="436">
        <v>0</v>
      </c>
      <c r="J739" s="436">
        <v>0</v>
      </c>
      <c r="K739" s="429">
        <v>0</v>
      </c>
      <c r="L739" s="435">
        <v>0</v>
      </c>
      <c r="M739" s="429">
        <v>0</v>
      </c>
      <c r="N739" s="144">
        <v>19</v>
      </c>
      <c r="O739" s="369">
        <v>5.7471264367816091E-3</v>
      </c>
    </row>
    <row r="740" spans="1:15" ht="15" customHeight="1" x14ac:dyDescent="0.25">
      <c r="A740" s="7" t="s">
        <v>1789</v>
      </c>
      <c r="B740" s="435">
        <v>4.2068888573294476</v>
      </c>
      <c r="C740" s="435">
        <v>0</v>
      </c>
      <c r="D740" s="435">
        <v>0</v>
      </c>
      <c r="E740" s="435">
        <v>0</v>
      </c>
      <c r="F740" s="435">
        <v>6.7310221717271173</v>
      </c>
      <c r="G740" s="435">
        <v>0</v>
      </c>
      <c r="H740" s="436">
        <v>1266.6666666666667</v>
      </c>
      <c r="I740" s="436">
        <v>0</v>
      </c>
      <c r="J740" s="436">
        <v>0</v>
      </c>
      <c r="K740" s="429">
        <v>0</v>
      </c>
      <c r="L740" s="435">
        <v>0</v>
      </c>
      <c r="M740" s="429">
        <v>0</v>
      </c>
      <c r="N740" s="144">
        <v>10</v>
      </c>
      <c r="O740" s="369">
        <v>3.0248033877797943E-3</v>
      </c>
    </row>
    <row r="741" spans="1:15" ht="15" customHeight="1" x14ac:dyDescent="0.25">
      <c r="A741" s="7" t="s">
        <v>1790</v>
      </c>
      <c r="B741" s="435">
        <v>1.6827555429317793</v>
      </c>
      <c r="C741" s="435">
        <v>0</v>
      </c>
      <c r="D741" s="435">
        <v>0</v>
      </c>
      <c r="E741" s="435">
        <v>0</v>
      </c>
      <c r="F741" s="435">
        <v>0</v>
      </c>
      <c r="G741" s="435">
        <v>0</v>
      </c>
      <c r="H741" s="436">
        <v>500</v>
      </c>
      <c r="I741" s="436">
        <v>0</v>
      </c>
      <c r="J741" s="436">
        <v>0</v>
      </c>
      <c r="K741" s="429">
        <v>0</v>
      </c>
      <c r="L741" s="435">
        <v>0</v>
      </c>
      <c r="M741" s="429">
        <v>0</v>
      </c>
      <c r="N741" s="144">
        <v>1</v>
      </c>
      <c r="O741" s="369">
        <v>3.0248033877797946E-4</v>
      </c>
    </row>
    <row r="742" spans="1:15" ht="15" customHeight="1" x14ac:dyDescent="0.25">
      <c r="A742" s="7" t="s">
        <v>1791</v>
      </c>
      <c r="B742" s="435">
        <v>0</v>
      </c>
      <c r="C742" s="435">
        <v>0</v>
      </c>
      <c r="D742" s="435">
        <v>0</v>
      </c>
      <c r="E742" s="435">
        <v>0</v>
      </c>
      <c r="F742" s="435">
        <v>0</v>
      </c>
      <c r="G742" s="435">
        <v>0</v>
      </c>
      <c r="H742" s="436">
        <v>1000</v>
      </c>
      <c r="I742" s="436">
        <v>0</v>
      </c>
      <c r="J742" s="436">
        <v>0</v>
      </c>
      <c r="K742" s="429">
        <v>0</v>
      </c>
      <c r="L742" s="435">
        <v>0</v>
      </c>
      <c r="M742" s="429">
        <v>0</v>
      </c>
      <c r="N742" s="144">
        <v>2</v>
      </c>
      <c r="O742" s="369">
        <v>6.0496067755595891E-4</v>
      </c>
    </row>
    <row r="743" spans="1:15" ht="15" customHeight="1" x14ac:dyDescent="0.25">
      <c r="A743" s="7" t="s">
        <v>1792</v>
      </c>
      <c r="B743" s="435">
        <v>7.7326299077752445</v>
      </c>
      <c r="C743" s="435">
        <v>2.2818181818181817</v>
      </c>
      <c r="D743" s="435">
        <v>0</v>
      </c>
      <c r="E743" s="435">
        <v>0</v>
      </c>
      <c r="F743" s="435">
        <v>11.358599914789512</v>
      </c>
      <c r="G743" s="435">
        <v>10.65745177190127</v>
      </c>
      <c r="H743" s="436">
        <v>857.61058940310795</v>
      </c>
      <c r="I743" s="436">
        <v>220.5</v>
      </c>
      <c r="J743" s="436">
        <v>270</v>
      </c>
      <c r="K743" s="429">
        <v>299999.99999999994</v>
      </c>
      <c r="L743" s="435">
        <v>1.4</v>
      </c>
      <c r="M743" s="429">
        <v>0</v>
      </c>
      <c r="N743" s="144">
        <v>134</v>
      </c>
      <c r="O743" s="369">
        <v>4.0532365396249243E-2</v>
      </c>
    </row>
    <row r="744" spans="1:15" ht="15" customHeight="1" x14ac:dyDescent="0.25">
      <c r="A744" s="7" t="s">
        <v>1793</v>
      </c>
      <c r="B744" s="435">
        <v>7.2416514399271046</v>
      </c>
      <c r="C744" s="435">
        <v>3.6750000000000003</v>
      </c>
      <c r="D744" s="435">
        <v>0</v>
      </c>
      <c r="E744" s="435">
        <v>0</v>
      </c>
      <c r="F744" s="435">
        <v>0</v>
      </c>
      <c r="G744" s="435">
        <v>0</v>
      </c>
      <c r="H744" s="436">
        <v>997.78880467864178</v>
      </c>
      <c r="I744" s="436">
        <v>110</v>
      </c>
      <c r="J744" s="436">
        <v>258.33333333333331</v>
      </c>
      <c r="K744" s="429">
        <v>0</v>
      </c>
      <c r="L744" s="435">
        <v>3.5</v>
      </c>
      <c r="M744" s="429">
        <v>12557.029843874261</v>
      </c>
      <c r="N744" s="144">
        <v>81</v>
      </c>
      <c r="O744" s="369">
        <v>2.4500907441016333E-2</v>
      </c>
    </row>
    <row r="745" spans="1:15" ht="15" customHeight="1" x14ac:dyDescent="0.25">
      <c r="A745" s="7" t="s">
        <v>1794</v>
      </c>
      <c r="B745" s="435">
        <v>6.7310221717271164</v>
      </c>
      <c r="C745" s="435">
        <v>0</v>
      </c>
      <c r="D745" s="435">
        <v>0</v>
      </c>
      <c r="E745" s="435">
        <v>0</v>
      </c>
      <c r="F745" s="435">
        <v>1.6827555429317793</v>
      </c>
      <c r="G745" s="435">
        <v>0</v>
      </c>
      <c r="H745" s="436">
        <v>600</v>
      </c>
      <c r="I745" s="436">
        <v>0</v>
      </c>
      <c r="J745" s="436">
        <v>519.68113612004288</v>
      </c>
      <c r="K745" s="429">
        <v>0</v>
      </c>
      <c r="L745" s="435">
        <v>0</v>
      </c>
      <c r="M745" s="429">
        <v>0</v>
      </c>
      <c r="N745" s="144">
        <v>5</v>
      </c>
      <c r="O745" s="369">
        <v>1.5124016938898972E-3</v>
      </c>
    </row>
    <row r="746" spans="1:15" ht="15" customHeight="1" x14ac:dyDescent="0.25">
      <c r="A746" s="7" t="s">
        <v>1795</v>
      </c>
      <c r="B746" s="435">
        <v>10.096533257590675</v>
      </c>
      <c r="C746" s="435">
        <v>0</v>
      </c>
      <c r="D746" s="435">
        <v>0</v>
      </c>
      <c r="E746" s="435">
        <v>0</v>
      </c>
      <c r="F746" s="435">
        <v>0</v>
      </c>
      <c r="G746" s="435">
        <v>0</v>
      </c>
      <c r="H746" s="436">
        <v>1400</v>
      </c>
      <c r="I746" s="436">
        <v>0</v>
      </c>
      <c r="J746" s="436">
        <v>0</v>
      </c>
      <c r="K746" s="429">
        <v>0</v>
      </c>
      <c r="L746" s="435">
        <v>0</v>
      </c>
      <c r="M746" s="429">
        <v>0</v>
      </c>
      <c r="N746" s="144">
        <v>2</v>
      </c>
      <c r="O746" s="369">
        <v>6.0496067755595891E-4</v>
      </c>
    </row>
    <row r="747" spans="1:15" ht="15" customHeight="1" x14ac:dyDescent="0.25">
      <c r="A747" s="7" t="s">
        <v>1796</v>
      </c>
      <c r="B747" s="435">
        <v>6.7310221717271164</v>
      </c>
      <c r="C747" s="435">
        <v>5</v>
      </c>
      <c r="D747" s="435">
        <v>0</v>
      </c>
      <c r="E747" s="435">
        <v>0</v>
      </c>
      <c r="F747" s="435">
        <v>0</v>
      </c>
      <c r="G747" s="435">
        <v>0</v>
      </c>
      <c r="H747" s="436">
        <v>743.58397913416809</v>
      </c>
      <c r="I747" s="436">
        <v>20</v>
      </c>
      <c r="J747" s="436">
        <v>0</v>
      </c>
      <c r="K747" s="429">
        <v>0</v>
      </c>
      <c r="L747" s="435">
        <v>0</v>
      </c>
      <c r="M747" s="429">
        <v>0</v>
      </c>
      <c r="N747" s="144">
        <v>16</v>
      </c>
      <c r="O747" s="369">
        <v>4.8396854204476713E-3</v>
      </c>
    </row>
    <row r="748" spans="1:15" ht="15" customHeight="1" x14ac:dyDescent="0.25">
      <c r="A748" s="7" t="s">
        <v>1797</v>
      </c>
      <c r="B748" s="435">
        <v>3.3655110858635586</v>
      </c>
      <c r="C748" s="435">
        <v>0</v>
      </c>
      <c r="D748" s="435">
        <v>0</v>
      </c>
      <c r="E748" s="435">
        <v>0</v>
      </c>
      <c r="F748" s="435">
        <v>0</v>
      </c>
      <c r="G748" s="435">
        <v>0</v>
      </c>
      <c r="H748" s="436">
        <v>1200</v>
      </c>
      <c r="I748" s="436">
        <v>0</v>
      </c>
      <c r="J748" s="436">
        <v>250</v>
      </c>
      <c r="K748" s="429">
        <v>0</v>
      </c>
      <c r="L748" s="435">
        <v>0</v>
      </c>
      <c r="M748" s="429">
        <v>0</v>
      </c>
      <c r="N748" s="144">
        <v>2</v>
      </c>
      <c r="O748" s="369">
        <v>6.0496067755595891E-4</v>
      </c>
    </row>
    <row r="749" spans="1:15" ht="15" customHeight="1" x14ac:dyDescent="0.25">
      <c r="A749" s="7" t="s">
        <v>1798</v>
      </c>
      <c r="B749" s="435">
        <v>8.413777714658897</v>
      </c>
      <c r="C749" s="435">
        <v>0</v>
      </c>
      <c r="D749" s="435">
        <v>0</v>
      </c>
      <c r="E749" s="435">
        <v>0</v>
      </c>
      <c r="F749" s="435">
        <v>0</v>
      </c>
      <c r="G749" s="435">
        <v>0</v>
      </c>
      <c r="H749" s="436">
        <v>0</v>
      </c>
      <c r="I749" s="436">
        <v>0</v>
      </c>
      <c r="J749" s="436">
        <v>50</v>
      </c>
      <c r="K749" s="429">
        <v>0</v>
      </c>
      <c r="L749" s="435">
        <v>0</v>
      </c>
      <c r="M749" s="429">
        <v>0</v>
      </c>
      <c r="N749" s="144">
        <v>1</v>
      </c>
      <c r="O749" s="369">
        <v>3.0248033877797946E-4</v>
      </c>
    </row>
    <row r="750" spans="1:15" ht="15" customHeight="1" x14ac:dyDescent="0.25">
      <c r="A750" s="7" t="s">
        <v>1799</v>
      </c>
      <c r="B750" s="435">
        <v>8.413777714658897</v>
      </c>
      <c r="C750" s="435">
        <v>0</v>
      </c>
      <c r="D750" s="435">
        <v>0</v>
      </c>
      <c r="E750" s="435">
        <v>0</v>
      </c>
      <c r="F750" s="435">
        <v>0</v>
      </c>
      <c r="G750" s="435">
        <v>0</v>
      </c>
      <c r="H750" s="436">
        <v>0</v>
      </c>
      <c r="I750" s="436">
        <v>0</v>
      </c>
      <c r="J750" s="436">
        <v>600</v>
      </c>
      <c r="K750" s="429">
        <v>0</v>
      </c>
      <c r="L750" s="435">
        <v>0</v>
      </c>
      <c r="M750" s="429">
        <v>0</v>
      </c>
      <c r="N750" s="144">
        <v>1</v>
      </c>
      <c r="O750" s="369">
        <v>3.0248033877797946E-4</v>
      </c>
    </row>
    <row r="751" spans="1:15" ht="15" customHeight="1" x14ac:dyDescent="0.25">
      <c r="A751" s="7" t="s">
        <v>1800</v>
      </c>
      <c r="B751" s="435">
        <v>8.413777714658897</v>
      </c>
      <c r="C751" s="435">
        <v>0</v>
      </c>
      <c r="D751" s="435">
        <v>0</v>
      </c>
      <c r="E751" s="435">
        <v>0</v>
      </c>
      <c r="F751" s="435">
        <v>0</v>
      </c>
      <c r="G751" s="435">
        <v>0</v>
      </c>
      <c r="H751" s="436">
        <v>600</v>
      </c>
      <c r="I751" s="436">
        <v>0</v>
      </c>
      <c r="J751" s="436">
        <v>0</v>
      </c>
      <c r="K751" s="429">
        <v>0</v>
      </c>
      <c r="L751" s="435">
        <v>0</v>
      </c>
      <c r="M751" s="429">
        <v>0</v>
      </c>
      <c r="N751" s="144">
        <v>1</v>
      </c>
      <c r="O751" s="369">
        <v>3.0248033877797946E-4</v>
      </c>
    </row>
    <row r="752" spans="1:15" ht="15" customHeight="1" x14ac:dyDescent="0.25">
      <c r="A752" s="7" t="s">
        <v>1801</v>
      </c>
      <c r="B752" s="435">
        <v>0</v>
      </c>
      <c r="C752" s="435">
        <v>0</v>
      </c>
      <c r="D752" s="435">
        <v>0</v>
      </c>
      <c r="E752" s="435">
        <v>0</v>
      </c>
      <c r="F752" s="435">
        <v>0</v>
      </c>
      <c r="G752" s="435">
        <v>0</v>
      </c>
      <c r="H752" s="436">
        <v>1125</v>
      </c>
      <c r="I752" s="436">
        <v>117.64705882352942</v>
      </c>
      <c r="J752" s="436">
        <v>0</v>
      </c>
      <c r="K752" s="429">
        <v>0</v>
      </c>
      <c r="L752" s="435">
        <v>0</v>
      </c>
      <c r="M752" s="429">
        <v>0</v>
      </c>
      <c r="N752" s="144">
        <v>2</v>
      </c>
      <c r="O752" s="369">
        <v>6.0496067755595891E-4</v>
      </c>
    </row>
    <row r="753" spans="1:15" ht="15" customHeight="1" x14ac:dyDescent="0.25">
      <c r="A753" s="7" t="s">
        <v>1802</v>
      </c>
      <c r="B753" s="435">
        <v>11.779288800522455</v>
      </c>
      <c r="C753" s="435">
        <v>0</v>
      </c>
      <c r="D753" s="435">
        <v>0</v>
      </c>
      <c r="E753" s="435">
        <v>0</v>
      </c>
      <c r="F753" s="435">
        <v>0</v>
      </c>
      <c r="G753" s="435">
        <v>0</v>
      </c>
      <c r="H753" s="436">
        <v>220</v>
      </c>
      <c r="I753" s="436">
        <v>0</v>
      </c>
      <c r="J753" s="436">
        <v>0</v>
      </c>
      <c r="K753" s="429">
        <v>0</v>
      </c>
      <c r="L753" s="435">
        <v>0</v>
      </c>
      <c r="M753" s="429">
        <v>0</v>
      </c>
      <c r="N753" s="144">
        <v>1</v>
      </c>
      <c r="O753" s="369">
        <v>3.0248033877797946E-4</v>
      </c>
    </row>
    <row r="754" spans="1:15" ht="15" customHeight="1" x14ac:dyDescent="0.25">
      <c r="A754" s="7" t="s">
        <v>1803</v>
      </c>
      <c r="B754" s="435">
        <v>7.8528592003483029</v>
      </c>
      <c r="C754" s="435">
        <v>0</v>
      </c>
      <c r="D754" s="435">
        <v>0</v>
      </c>
      <c r="E754" s="435">
        <v>0</v>
      </c>
      <c r="F754" s="435">
        <v>0</v>
      </c>
      <c r="G754" s="435">
        <v>0</v>
      </c>
      <c r="H754" s="436">
        <v>781.25247823463496</v>
      </c>
      <c r="I754" s="436">
        <v>0</v>
      </c>
      <c r="J754" s="436">
        <v>0</v>
      </c>
      <c r="K754" s="429">
        <v>0</v>
      </c>
      <c r="L754" s="435">
        <v>0</v>
      </c>
      <c r="M754" s="429">
        <v>0</v>
      </c>
      <c r="N754" s="144">
        <v>8</v>
      </c>
      <c r="O754" s="369">
        <v>2.4198427102238356E-3</v>
      </c>
    </row>
    <row r="755" spans="1:15" ht="15" customHeight="1" x14ac:dyDescent="0.25">
      <c r="A755" s="7" t="s">
        <v>1804</v>
      </c>
      <c r="B755" s="435">
        <v>0</v>
      </c>
      <c r="C755" s="435">
        <v>0</v>
      </c>
      <c r="D755" s="435">
        <v>0</v>
      </c>
      <c r="E755" s="435">
        <v>0</v>
      </c>
      <c r="F755" s="435">
        <v>0</v>
      </c>
      <c r="G755" s="435">
        <v>0</v>
      </c>
      <c r="H755" s="436">
        <v>366.66666666666669</v>
      </c>
      <c r="I755" s="436">
        <v>0</v>
      </c>
      <c r="J755" s="436">
        <v>0</v>
      </c>
      <c r="K755" s="429">
        <v>0</v>
      </c>
      <c r="L755" s="435">
        <v>20.625</v>
      </c>
      <c r="M755" s="429">
        <v>0</v>
      </c>
      <c r="N755" s="144">
        <v>4</v>
      </c>
      <c r="O755" s="369">
        <v>1.2099213551119178E-3</v>
      </c>
    </row>
    <row r="756" spans="1:15" ht="15" customHeight="1" x14ac:dyDescent="0.25">
      <c r="A756" s="7" t="s">
        <v>1805</v>
      </c>
      <c r="B756" s="435">
        <v>0</v>
      </c>
      <c r="C756" s="435">
        <v>0</v>
      </c>
      <c r="D756" s="435">
        <v>0</v>
      </c>
      <c r="E756" s="435">
        <v>0</v>
      </c>
      <c r="F756" s="435">
        <v>0</v>
      </c>
      <c r="G756" s="435">
        <v>0</v>
      </c>
      <c r="H756" s="436">
        <v>2274.1935483870966</v>
      </c>
      <c r="I756" s="436">
        <v>0</v>
      </c>
      <c r="J756" s="436">
        <v>0</v>
      </c>
      <c r="K756" s="429">
        <v>0</v>
      </c>
      <c r="L756" s="435">
        <v>0</v>
      </c>
      <c r="M756" s="429">
        <v>0</v>
      </c>
      <c r="N756" s="144">
        <v>2</v>
      </c>
      <c r="O756" s="369">
        <v>6.0496067755595891E-4</v>
      </c>
    </row>
    <row r="757" spans="1:15" ht="15" customHeight="1" x14ac:dyDescent="0.25">
      <c r="A757" s="7" t="s">
        <v>1806</v>
      </c>
      <c r="B757" s="435">
        <v>5.0482666287953375</v>
      </c>
      <c r="C757" s="435">
        <v>0</v>
      </c>
      <c r="D757" s="435">
        <v>0</v>
      </c>
      <c r="E757" s="435">
        <v>0</v>
      </c>
      <c r="F757" s="435">
        <v>0</v>
      </c>
      <c r="G757" s="435">
        <v>0</v>
      </c>
      <c r="H757" s="436">
        <v>1038.2868267358858</v>
      </c>
      <c r="I757" s="436">
        <v>0</v>
      </c>
      <c r="J757" s="436">
        <v>0</v>
      </c>
      <c r="K757" s="429">
        <v>0</v>
      </c>
      <c r="L757" s="435">
        <v>0</v>
      </c>
      <c r="M757" s="429">
        <v>0</v>
      </c>
      <c r="N757" s="144">
        <v>1</v>
      </c>
      <c r="O757" s="369">
        <v>3.0248033877797946E-4</v>
      </c>
    </row>
    <row r="758" spans="1:15" ht="15" customHeight="1" x14ac:dyDescent="0.25">
      <c r="A758" s="7" t="s">
        <v>1807</v>
      </c>
      <c r="B758" s="435">
        <v>10.433084366177031</v>
      </c>
      <c r="C758" s="435">
        <v>0</v>
      </c>
      <c r="D758" s="435">
        <v>0</v>
      </c>
      <c r="E758" s="435">
        <v>0</v>
      </c>
      <c r="F758" s="435">
        <v>0</v>
      </c>
      <c r="G758" s="435">
        <v>0</v>
      </c>
      <c r="H758" s="436">
        <v>812.5</v>
      </c>
      <c r="I758" s="436">
        <v>75</v>
      </c>
      <c r="J758" s="436">
        <v>331.48604802076579</v>
      </c>
      <c r="K758" s="429">
        <v>0</v>
      </c>
      <c r="L758" s="435">
        <v>0</v>
      </c>
      <c r="M758" s="429">
        <v>0</v>
      </c>
      <c r="N758" s="144">
        <v>6</v>
      </c>
      <c r="O758" s="369">
        <v>1.8148820326678765E-3</v>
      </c>
    </row>
    <row r="759" spans="1:15" ht="15" customHeight="1" x14ac:dyDescent="0.25">
      <c r="A759" s="7" t="s">
        <v>1808</v>
      </c>
      <c r="B759" s="435">
        <v>5.8896444002612274</v>
      </c>
      <c r="C759" s="435">
        <v>0</v>
      </c>
      <c r="D759" s="435">
        <v>0</v>
      </c>
      <c r="E759" s="435">
        <v>0</v>
      </c>
      <c r="F759" s="435">
        <v>0</v>
      </c>
      <c r="G759" s="435">
        <v>0</v>
      </c>
      <c r="H759" s="436">
        <v>1000</v>
      </c>
      <c r="I759" s="436">
        <v>0</v>
      </c>
      <c r="J759" s="436">
        <v>400</v>
      </c>
      <c r="K759" s="429">
        <v>0</v>
      </c>
      <c r="L759" s="435">
        <v>0</v>
      </c>
      <c r="M759" s="429">
        <v>0</v>
      </c>
      <c r="N759" s="144">
        <v>3</v>
      </c>
      <c r="O759" s="369">
        <v>9.0744101633393826E-4</v>
      </c>
    </row>
    <row r="760" spans="1:15" ht="15" customHeight="1" x14ac:dyDescent="0.25">
      <c r="A760" s="7" t="s">
        <v>1809</v>
      </c>
      <c r="B760" s="435">
        <v>3.557826005055762</v>
      </c>
      <c r="C760" s="435">
        <v>0</v>
      </c>
      <c r="D760" s="435">
        <v>0</v>
      </c>
      <c r="E760" s="435">
        <v>0</v>
      </c>
      <c r="F760" s="435">
        <v>0</v>
      </c>
      <c r="G760" s="435">
        <v>0</v>
      </c>
      <c r="H760" s="436">
        <v>692.33333333333337</v>
      </c>
      <c r="I760" s="436">
        <v>40</v>
      </c>
      <c r="J760" s="436">
        <v>766.66666666666663</v>
      </c>
      <c r="K760" s="429">
        <v>3999.9999999999995</v>
      </c>
      <c r="L760" s="435">
        <v>0</v>
      </c>
      <c r="M760" s="429">
        <v>0</v>
      </c>
      <c r="N760" s="144">
        <v>11</v>
      </c>
      <c r="O760" s="369">
        <v>3.3272837265577739E-3</v>
      </c>
    </row>
    <row r="761" spans="1:15" ht="15" customHeight="1" x14ac:dyDescent="0.25">
      <c r="A761" s="370" t="s">
        <v>1810</v>
      </c>
      <c r="B761" s="437">
        <v>10.096533257590677</v>
      </c>
      <c r="C761" s="437">
        <v>0</v>
      </c>
      <c r="D761" s="437">
        <v>0</v>
      </c>
      <c r="E761" s="437">
        <v>0</v>
      </c>
      <c r="F761" s="437">
        <v>0</v>
      </c>
      <c r="G761" s="437">
        <v>26.924088686908469</v>
      </c>
      <c r="H761" s="438">
        <v>966.66666666666663</v>
      </c>
      <c r="I761" s="438">
        <v>0</v>
      </c>
      <c r="J761" s="438">
        <v>0</v>
      </c>
      <c r="K761" s="431">
        <v>0</v>
      </c>
      <c r="L761" s="437">
        <v>0</v>
      </c>
      <c r="M761" s="431">
        <v>0</v>
      </c>
      <c r="N761" s="373">
        <v>4</v>
      </c>
      <c r="O761" s="374">
        <v>1.2099213551119178E-3</v>
      </c>
    </row>
    <row r="762" spans="1:15" ht="15" customHeight="1" x14ac:dyDescent="0.25">
      <c r="A762" s="823" t="s">
        <v>1811</v>
      </c>
      <c r="B762" s="439">
        <v>6.0759756023078912</v>
      </c>
      <c r="C762" s="439">
        <v>2.6265211869382989</v>
      </c>
      <c r="D762" s="439">
        <v>0</v>
      </c>
      <c r="E762" s="439">
        <v>0</v>
      </c>
      <c r="F762" s="439">
        <v>3.9220400592795963</v>
      </c>
      <c r="G762" s="439">
        <v>15.496565541804053</v>
      </c>
      <c r="H762" s="440">
        <v>884.62163480241361</v>
      </c>
      <c r="I762" s="440">
        <v>225.62960082637676</v>
      </c>
      <c r="J762" s="440">
        <v>361.52961841284235</v>
      </c>
      <c r="K762" s="430">
        <v>210327.86885245901</v>
      </c>
      <c r="L762" s="439">
        <v>5.6712162162162159</v>
      </c>
      <c r="M762" s="430">
        <v>43118.733212189269</v>
      </c>
      <c r="N762" s="153">
        <v>3306</v>
      </c>
      <c r="O762" s="388">
        <v>1.0000000000000004</v>
      </c>
    </row>
    <row r="763" spans="1:15" ht="15" customHeight="1" x14ac:dyDescent="0.25">
      <c r="A763" s="375" t="s">
        <v>1812</v>
      </c>
      <c r="B763" s="441">
        <v>5.8962313691117316</v>
      </c>
      <c r="C763" s="441">
        <v>0.95809775371460615</v>
      </c>
      <c r="D763" s="441">
        <v>0</v>
      </c>
      <c r="E763" s="441">
        <v>0</v>
      </c>
      <c r="F763" s="441">
        <v>1.0825043279225774</v>
      </c>
      <c r="G763" s="441">
        <v>1.0240102920220158</v>
      </c>
      <c r="H763" s="442">
        <v>805.71461896724429</v>
      </c>
      <c r="I763" s="442">
        <v>87.419056857901182</v>
      </c>
      <c r="J763" s="442">
        <v>284.61939535034634</v>
      </c>
      <c r="K763" s="433">
        <v>15707.317073170732</v>
      </c>
      <c r="L763" s="441">
        <v>0.56676829268292694</v>
      </c>
      <c r="M763" s="433">
        <v>816.71738821946428</v>
      </c>
      <c r="N763" s="377">
        <v>656</v>
      </c>
      <c r="O763" s="443">
        <v>0.1984271022383545</v>
      </c>
    </row>
    <row r="765" spans="1:15" ht="15" customHeight="1" x14ac:dyDescent="0.25">
      <c r="A765" s="444" t="s">
        <v>1856</v>
      </c>
      <c r="B765" s="445">
        <v>3.3384481331362043E-2</v>
      </c>
      <c r="C765" s="445">
        <v>1.4431435093067577E-2</v>
      </c>
      <c r="D765" s="445">
        <v>0</v>
      </c>
      <c r="E765" s="445">
        <v>0</v>
      </c>
      <c r="F765" s="445">
        <v>2.1549670655382398E-2</v>
      </c>
      <c r="G765" s="446">
        <v>8.5145964515406888E-2</v>
      </c>
      <c r="H765" s="447">
        <v>4.8605584329802944</v>
      </c>
      <c r="I765" s="447">
        <v>1.2397230814636087</v>
      </c>
      <c r="J765" s="447">
        <v>1.9864264747958371</v>
      </c>
      <c r="K765" s="448">
        <v>1155.6476310574672</v>
      </c>
      <c r="L765" s="445">
        <v>3.1160528660528659E-2</v>
      </c>
      <c r="M765" s="449">
        <v>236.9161165504905</v>
      </c>
    </row>
  </sheetData>
  <mergeCells count="13">
    <mergeCell ref="A675:M675"/>
    <mergeCell ref="A311:R311"/>
    <mergeCell ref="B312:G312"/>
    <mergeCell ref="M312:R312"/>
    <mergeCell ref="A401:N401"/>
    <mergeCell ref="A491:N491"/>
    <mergeCell ref="A583:N583"/>
    <mergeCell ref="N276:Y276"/>
    <mergeCell ref="A1:O1"/>
    <mergeCell ref="A4:N4"/>
    <mergeCell ref="A94:N94"/>
    <mergeCell ref="A186:E186"/>
    <mergeCell ref="I186:M186"/>
  </mergeCells>
  <conditionalFormatting sqref="O7">
    <cfRule type="cellIs" dxfId="10" priority="11" operator="lessThan">
      <formula>$H$3</formula>
    </cfRule>
  </conditionalFormatting>
  <conditionalFormatting sqref="O8:O92">
    <cfRule type="cellIs" dxfId="9" priority="10" operator="lessThan">
      <formula>$H$3</formula>
    </cfRule>
  </conditionalFormatting>
  <conditionalFormatting sqref="O97">
    <cfRule type="cellIs" dxfId="8" priority="9" operator="lessThan">
      <formula>$H$3</formula>
    </cfRule>
  </conditionalFormatting>
  <conditionalFormatting sqref="F190:F276">
    <cfRule type="cellIs" dxfId="7" priority="7" operator="lessThan">
      <formula>$H$3</formula>
    </cfRule>
  </conditionalFormatting>
  <conditionalFormatting sqref="F189">
    <cfRule type="cellIs" dxfId="6" priority="8" operator="lessThan">
      <formula>$H$3</formula>
    </cfRule>
  </conditionalFormatting>
  <conditionalFormatting sqref="N678">
    <cfRule type="cellIs" dxfId="5" priority="6" operator="lessThan">
      <formula>$H$3</formula>
    </cfRule>
  </conditionalFormatting>
  <conditionalFormatting sqref="N679:N763">
    <cfRule type="cellIs" dxfId="4" priority="5" operator="lessThan">
      <formula>$H$3</formula>
    </cfRule>
  </conditionalFormatting>
  <conditionalFormatting sqref="S314">
    <cfRule type="cellIs" dxfId="3" priority="4" operator="lessThan">
      <formula>$H$3</formula>
    </cfRule>
  </conditionalFormatting>
  <conditionalFormatting sqref="S398:S399">
    <cfRule type="cellIs" dxfId="2" priority="3" operator="lessThan">
      <formula>$H$3</formula>
    </cfRule>
  </conditionalFormatting>
  <conditionalFormatting sqref="S315:S397">
    <cfRule type="cellIs" dxfId="1" priority="2" operator="lessThan">
      <formula>$H$3</formula>
    </cfRule>
  </conditionalFormatting>
  <conditionalFormatting sqref="B314:L397">
    <cfRule type="expression" dxfId="0" priority="1">
      <formula>$S314&lt;=$H$3</formula>
    </cfRule>
  </conditionalFormatting>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tabColor rgb="FFFFFFCC"/>
    <pageSetUpPr fitToPage="1"/>
  </sheetPr>
  <dimension ref="A1:AF72"/>
  <sheetViews>
    <sheetView zoomScale="84" zoomScaleNormal="84" workbookViewId="0">
      <selection activeCell="S40" sqref="S40"/>
    </sheetView>
  </sheetViews>
  <sheetFormatPr defaultRowHeight="15" x14ac:dyDescent="0.25"/>
  <cols>
    <col min="1" max="1" width="33.140625" style="48" customWidth="1"/>
    <col min="2" max="2" width="13.85546875" style="48" customWidth="1"/>
    <col min="3" max="3" width="14.85546875" style="48" customWidth="1"/>
    <col min="4" max="4" width="9.28515625" style="48" bestFit="1" customWidth="1"/>
    <col min="5" max="5" width="9.85546875" style="48" bestFit="1" customWidth="1"/>
    <col min="6" max="6" width="9.28515625" style="48" bestFit="1" customWidth="1"/>
    <col min="7" max="7" width="9.85546875" style="48" bestFit="1" customWidth="1"/>
    <col min="8" max="13" width="9.28515625" style="48" bestFit="1" customWidth="1"/>
    <col min="14" max="15" width="9.28515625" style="48" customWidth="1"/>
    <col min="16" max="16" width="9.28515625" style="48" bestFit="1" customWidth="1"/>
    <col min="17" max="17" width="11.7109375" style="48" customWidth="1"/>
    <col min="18" max="19" width="9.28515625" style="48" bestFit="1" customWidth="1"/>
    <col min="20" max="20" width="12.7109375" style="48" customWidth="1"/>
    <col min="21" max="21" width="9.28515625" style="48" bestFit="1" customWidth="1"/>
    <col min="22" max="22" width="12.7109375" style="48" customWidth="1"/>
    <col min="23" max="24" width="9.28515625" style="48" bestFit="1" customWidth="1"/>
    <col min="25" max="25" width="12.28515625" style="48" customWidth="1"/>
    <col min="26" max="26" width="11.140625" style="48" customWidth="1"/>
    <col min="27" max="27" width="12" style="48" customWidth="1"/>
    <col min="28" max="259" width="8.85546875" style="48"/>
    <col min="260" max="260" width="33.140625" style="48" customWidth="1"/>
    <col min="261" max="261" width="13.85546875" style="48" customWidth="1"/>
    <col min="262" max="262" width="14.85546875" style="48" customWidth="1"/>
    <col min="263" max="515" width="8.85546875" style="48"/>
    <col min="516" max="516" width="33.140625" style="48" customWidth="1"/>
    <col min="517" max="517" width="13.85546875" style="48" customWidth="1"/>
    <col min="518" max="518" width="14.85546875" style="48" customWidth="1"/>
    <col min="519" max="771" width="8.85546875" style="48"/>
    <col min="772" max="772" width="33.140625" style="48" customWidth="1"/>
    <col min="773" max="773" width="13.85546875" style="48" customWidth="1"/>
    <col min="774" max="774" width="14.85546875" style="48" customWidth="1"/>
    <col min="775" max="1027" width="8.85546875" style="48"/>
    <col min="1028" max="1028" width="33.140625" style="48" customWidth="1"/>
    <col min="1029" max="1029" width="13.85546875" style="48" customWidth="1"/>
    <col min="1030" max="1030" width="14.85546875" style="48" customWidth="1"/>
    <col min="1031" max="1283" width="8.85546875" style="48"/>
    <col min="1284" max="1284" width="33.140625" style="48" customWidth="1"/>
    <col min="1285" max="1285" width="13.85546875" style="48" customWidth="1"/>
    <col min="1286" max="1286" width="14.85546875" style="48" customWidth="1"/>
    <col min="1287" max="1539" width="8.85546875" style="48"/>
    <col min="1540" max="1540" width="33.140625" style="48" customWidth="1"/>
    <col min="1541" max="1541" width="13.85546875" style="48" customWidth="1"/>
    <col min="1542" max="1542" width="14.85546875" style="48" customWidth="1"/>
    <col min="1543" max="1795" width="8.85546875" style="48"/>
    <col min="1796" max="1796" width="33.140625" style="48" customWidth="1"/>
    <col min="1797" max="1797" width="13.85546875" style="48" customWidth="1"/>
    <col min="1798" max="1798" width="14.85546875" style="48" customWidth="1"/>
    <col min="1799" max="2051" width="8.85546875" style="48"/>
    <col min="2052" max="2052" width="33.140625" style="48" customWidth="1"/>
    <col min="2053" max="2053" width="13.85546875" style="48" customWidth="1"/>
    <col min="2054" max="2054" width="14.85546875" style="48" customWidth="1"/>
    <col min="2055" max="2307" width="8.85546875" style="48"/>
    <col min="2308" max="2308" width="33.140625" style="48" customWidth="1"/>
    <col min="2309" max="2309" width="13.85546875" style="48" customWidth="1"/>
    <col min="2310" max="2310" width="14.85546875" style="48" customWidth="1"/>
    <col min="2311" max="2563" width="8.85546875" style="48"/>
    <col min="2564" max="2564" width="33.140625" style="48" customWidth="1"/>
    <col min="2565" max="2565" width="13.85546875" style="48" customWidth="1"/>
    <col min="2566" max="2566" width="14.85546875" style="48" customWidth="1"/>
    <col min="2567" max="2819" width="8.85546875" style="48"/>
    <col min="2820" max="2820" width="33.140625" style="48" customWidth="1"/>
    <col min="2821" max="2821" width="13.85546875" style="48" customWidth="1"/>
    <col min="2822" max="2822" width="14.85546875" style="48" customWidth="1"/>
    <col min="2823" max="3075" width="8.85546875" style="48"/>
    <col min="3076" max="3076" width="33.140625" style="48" customWidth="1"/>
    <col min="3077" max="3077" width="13.85546875" style="48" customWidth="1"/>
    <col min="3078" max="3078" width="14.85546875" style="48" customWidth="1"/>
    <col min="3079" max="3331" width="8.85546875" style="48"/>
    <col min="3332" max="3332" width="33.140625" style="48" customWidth="1"/>
    <col min="3333" max="3333" width="13.85546875" style="48" customWidth="1"/>
    <col min="3334" max="3334" width="14.85546875" style="48" customWidth="1"/>
    <col min="3335" max="3587" width="8.85546875" style="48"/>
    <col min="3588" max="3588" width="33.140625" style="48" customWidth="1"/>
    <col min="3589" max="3589" width="13.85546875" style="48" customWidth="1"/>
    <col min="3590" max="3590" width="14.85546875" style="48" customWidth="1"/>
    <col min="3591" max="3843" width="8.85546875" style="48"/>
    <col min="3844" max="3844" width="33.140625" style="48" customWidth="1"/>
    <col min="3845" max="3845" width="13.85546875" style="48" customWidth="1"/>
    <col min="3846" max="3846" width="14.85546875" style="48" customWidth="1"/>
    <col min="3847" max="4099" width="8.85546875" style="48"/>
    <col min="4100" max="4100" width="33.140625" style="48" customWidth="1"/>
    <col min="4101" max="4101" width="13.85546875" style="48" customWidth="1"/>
    <col min="4102" max="4102" width="14.85546875" style="48" customWidth="1"/>
    <col min="4103" max="4355" width="8.85546875" style="48"/>
    <col min="4356" max="4356" width="33.140625" style="48" customWidth="1"/>
    <col min="4357" max="4357" width="13.85546875" style="48" customWidth="1"/>
    <col min="4358" max="4358" width="14.85546875" style="48" customWidth="1"/>
    <col min="4359" max="4611" width="8.85546875" style="48"/>
    <col min="4612" max="4612" width="33.140625" style="48" customWidth="1"/>
    <col min="4613" max="4613" width="13.85546875" style="48" customWidth="1"/>
    <col min="4614" max="4614" width="14.85546875" style="48" customWidth="1"/>
    <col min="4615" max="4867" width="8.85546875" style="48"/>
    <col min="4868" max="4868" width="33.140625" style="48" customWidth="1"/>
    <col min="4869" max="4869" width="13.85546875" style="48" customWidth="1"/>
    <col min="4870" max="4870" width="14.85546875" style="48" customWidth="1"/>
    <col min="4871" max="5123" width="8.85546875" style="48"/>
    <col min="5124" max="5124" width="33.140625" style="48" customWidth="1"/>
    <col min="5125" max="5125" width="13.85546875" style="48" customWidth="1"/>
    <col min="5126" max="5126" width="14.85546875" style="48" customWidth="1"/>
    <col min="5127" max="5379" width="8.85546875" style="48"/>
    <col min="5380" max="5380" width="33.140625" style="48" customWidth="1"/>
    <col min="5381" max="5381" width="13.85546875" style="48" customWidth="1"/>
    <col min="5382" max="5382" width="14.85546875" style="48" customWidth="1"/>
    <col min="5383" max="5635" width="8.85546875" style="48"/>
    <col min="5636" max="5636" width="33.140625" style="48" customWidth="1"/>
    <col min="5637" max="5637" width="13.85546875" style="48" customWidth="1"/>
    <col min="5638" max="5638" width="14.85546875" style="48" customWidth="1"/>
    <col min="5639" max="5891" width="8.85546875" style="48"/>
    <col min="5892" max="5892" width="33.140625" style="48" customWidth="1"/>
    <col min="5893" max="5893" width="13.85546875" style="48" customWidth="1"/>
    <col min="5894" max="5894" width="14.85546875" style="48" customWidth="1"/>
    <col min="5895" max="6147" width="8.85546875" style="48"/>
    <col min="6148" max="6148" width="33.140625" style="48" customWidth="1"/>
    <col min="6149" max="6149" width="13.85546875" style="48" customWidth="1"/>
    <col min="6150" max="6150" width="14.85546875" style="48" customWidth="1"/>
    <col min="6151" max="6403" width="8.85546875" style="48"/>
    <col min="6404" max="6404" width="33.140625" style="48" customWidth="1"/>
    <col min="6405" max="6405" width="13.85546875" style="48" customWidth="1"/>
    <col min="6406" max="6406" width="14.85546875" style="48" customWidth="1"/>
    <col min="6407" max="6659" width="8.85546875" style="48"/>
    <col min="6660" max="6660" width="33.140625" style="48" customWidth="1"/>
    <col min="6661" max="6661" width="13.85546875" style="48" customWidth="1"/>
    <col min="6662" max="6662" width="14.85546875" style="48" customWidth="1"/>
    <col min="6663" max="6915" width="8.85546875" style="48"/>
    <col min="6916" max="6916" width="33.140625" style="48" customWidth="1"/>
    <col min="6917" max="6917" width="13.85546875" style="48" customWidth="1"/>
    <col min="6918" max="6918" width="14.85546875" style="48" customWidth="1"/>
    <col min="6919" max="7171" width="8.85546875" style="48"/>
    <col min="7172" max="7172" width="33.140625" style="48" customWidth="1"/>
    <col min="7173" max="7173" width="13.85546875" style="48" customWidth="1"/>
    <col min="7174" max="7174" width="14.85546875" style="48" customWidth="1"/>
    <col min="7175" max="7427" width="8.85546875" style="48"/>
    <col min="7428" max="7428" width="33.140625" style="48" customWidth="1"/>
    <col min="7429" max="7429" width="13.85546875" style="48" customWidth="1"/>
    <col min="7430" max="7430" width="14.85546875" style="48" customWidth="1"/>
    <col min="7431" max="7683" width="8.85546875" style="48"/>
    <col min="7684" max="7684" width="33.140625" style="48" customWidth="1"/>
    <col min="7685" max="7685" width="13.85546875" style="48" customWidth="1"/>
    <col min="7686" max="7686" width="14.85546875" style="48" customWidth="1"/>
    <col min="7687" max="7939" width="8.85546875" style="48"/>
    <col min="7940" max="7940" width="33.140625" style="48" customWidth="1"/>
    <col min="7941" max="7941" width="13.85546875" style="48" customWidth="1"/>
    <col min="7942" max="7942" width="14.85546875" style="48" customWidth="1"/>
    <col min="7943" max="8195" width="8.85546875" style="48"/>
    <col min="8196" max="8196" width="33.140625" style="48" customWidth="1"/>
    <col min="8197" max="8197" width="13.85546875" style="48" customWidth="1"/>
    <col min="8198" max="8198" width="14.85546875" style="48" customWidth="1"/>
    <col min="8199" max="8451" width="8.85546875" style="48"/>
    <col min="8452" max="8452" width="33.140625" style="48" customWidth="1"/>
    <col min="8453" max="8453" width="13.85546875" style="48" customWidth="1"/>
    <col min="8454" max="8454" width="14.85546875" style="48" customWidth="1"/>
    <col min="8455" max="8707" width="8.85546875" style="48"/>
    <col min="8708" max="8708" width="33.140625" style="48" customWidth="1"/>
    <col min="8709" max="8709" width="13.85546875" style="48" customWidth="1"/>
    <col min="8710" max="8710" width="14.85546875" style="48" customWidth="1"/>
    <col min="8711" max="8963" width="8.85546875" style="48"/>
    <col min="8964" max="8964" width="33.140625" style="48" customWidth="1"/>
    <col min="8965" max="8965" width="13.85546875" style="48" customWidth="1"/>
    <col min="8966" max="8966" width="14.85546875" style="48" customWidth="1"/>
    <col min="8967" max="9219" width="8.85546875" style="48"/>
    <col min="9220" max="9220" width="33.140625" style="48" customWidth="1"/>
    <col min="9221" max="9221" width="13.85546875" style="48" customWidth="1"/>
    <col min="9222" max="9222" width="14.85546875" style="48" customWidth="1"/>
    <col min="9223" max="9475" width="8.85546875" style="48"/>
    <col min="9476" max="9476" width="33.140625" style="48" customWidth="1"/>
    <col min="9477" max="9477" width="13.85546875" style="48" customWidth="1"/>
    <col min="9478" max="9478" width="14.85546875" style="48" customWidth="1"/>
    <col min="9479" max="9731" width="8.85546875" style="48"/>
    <col min="9732" max="9732" width="33.140625" style="48" customWidth="1"/>
    <col min="9733" max="9733" width="13.85546875" style="48" customWidth="1"/>
    <col min="9734" max="9734" width="14.85546875" style="48" customWidth="1"/>
    <col min="9735" max="9987" width="8.85546875" style="48"/>
    <col min="9988" max="9988" width="33.140625" style="48" customWidth="1"/>
    <col min="9989" max="9989" width="13.85546875" style="48" customWidth="1"/>
    <col min="9990" max="9990" width="14.85546875" style="48" customWidth="1"/>
    <col min="9991" max="10243" width="8.85546875" style="48"/>
    <col min="10244" max="10244" width="33.140625" style="48" customWidth="1"/>
    <col min="10245" max="10245" width="13.85546875" style="48" customWidth="1"/>
    <col min="10246" max="10246" width="14.85546875" style="48" customWidth="1"/>
    <col min="10247" max="10499" width="8.85546875" style="48"/>
    <col min="10500" max="10500" width="33.140625" style="48" customWidth="1"/>
    <col min="10501" max="10501" width="13.85546875" style="48" customWidth="1"/>
    <col min="10502" max="10502" width="14.85546875" style="48" customWidth="1"/>
    <col min="10503" max="10755" width="8.85546875" style="48"/>
    <col min="10756" max="10756" width="33.140625" style="48" customWidth="1"/>
    <col min="10757" max="10757" width="13.85546875" style="48" customWidth="1"/>
    <col min="10758" max="10758" width="14.85546875" style="48" customWidth="1"/>
    <col min="10759" max="11011" width="8.85546875" style="48"/>
    <col min="11012" max="11012" width="33.140625" style="48" customWidth="1"/>
    <col min="11013" max="11013" width="13.85546875" style="48" customWidth="1"/>
    <col min="11014" max="11014" width="14.85546875" style="48" customWidth="1"/>
    <col min="11015" max="11267" width="8.85546875" style="48"/>
    <col min="11268" max="11268" width="33.140625" style="48" customWidth="1"/>
    <col min="11269" max="11269" width="13.85546875" style="48" customWidth="1"/>
    <col min="11270" max="11270" width="14.85546875" style="48" customWidth="1"/>
    <col min="11271" max="11523" width="8.85546875" style="48"/>
    <col min="11524" max="11524" width="33.140625" style="48" customWidth="1"/>
    <col min="11525" max="11525" width="13.85546875" style="48" customWidth="1"/>
    <col min="11526" max="11526" width="14.85546875" style="48" customWidth="1"/>
    <col min="11527" max="11779" width="8.85546875" style="48"/>
    <col min="11780" max="11780" width="33.140625" style="48" customWidth="1"/>
    <col min="11781" max="11781" width="13.85546875" style="48" customWidth="1"/>
    <col min="11782" max="11782" width="14.85546875" style="48" customWidth="1"/>
    <col min="11783" max="12035" width="8.85546875" style="48"/>
    <col min="12036" max="12036" width="33.140625" style="48" customWidth="1"/>
    <col min="12037" max="12037" width="13.85546875" style="48" customWidth="1"/>
    <col min="12038" max="12038" width="14.85546875" style="48" customWidth="1"/>
    <col min="12039" max="12291" width="8.85546875" style="48"/>
    <col min="12292" max="12292" width="33.140625" style="48" customWidth="1"/>
    <col min="12293" max="12293" width="13.85546875" style="48" customWidth="1"/>
    <col min="12294" max="12294" width="14.85546875" style="48" customWidth="1"/>
    <col min="12295" max="12547" width="8.85546875" style="48"/>
    <col min="12548" max="12548" width="33.140625" style="48" customWidth="1"/>
    <col min="12549" max="12549" width="13.85546875" style="48" customWidth="1"/>
    <col min="12550" max="12550" width="14.85546875" style="48" customWidth="1"/>
    <col min="12551" max="12803" width="8.85546875" style="48"/>
    <col min="12804" max="12804" width="33.140625" style="48" customWidth="1"/>
    <col min="12805" max="12805" width="13.85546875" style="48" customWidth="1"/>
    <col min="12806" max="12806" width="14.85546875" style="48" customWidth="1"/>
    <col min="12807" max="13059" width="8.85546875" style="48"/>
    <col min="13060" max="13060" width="33.140625" style="48" customWidth="1"/>
    <col min="13061" max="13061" width="13.85546875" style="48" customWidth="1"/>
    <col min="13062" max="13062" width="14.85546875" style="48" customWidth="1"/>
    <col min="13063" max="13315" width="8.85546875" style="48"/>
    <col min="13316" max="13316" width="33.140625" style="48" customWidth="1"/>
    <col min="13317" max="13317" width="13.85546875" style="48" customWidth="1"/>
    <col min="13318" max="13318" width="14.85546875" style="48" customWidth="1"/>
    <col min="13319" max="13571" width="8.85546875" style="48"/>
    <col min="13572" max="13572" width="33.140625" style="48" customWidth="1"/>
    <col min="13573" max="13573" width="13.85546875" style="48" customWidth="1"/>
    <col min="13574" max="13574" width="14.85546875" style="48" customWidth="1"/>
    <col min="13575" max="13827" width="8.85546875" style="48"/>
    <col min="13828" max="13828" width="33.140625" style="48" customWidth="1"/>
    <col min="13829" max="13829" width="13.85546875" style="48" customWidth="1"/>
    <col min="13830" max="13830" width="14.85546875" style="48" customWidth="1"/>
    <col min="13831" max="14083" width="8.85546875" style="48"/>
    <col min="14084" max="14084" width="33.140625" style="48" customWidth="1"/>
    <col min="14085" max="14085" width="13.85546875" style="48" customWidth="1"/>
    <col min="14086" max="14086" width="14.85546875" style="48" customWidth="1"/>
    <col min="14087" max="14339" width="8.85546875" style="48"/>
    <col min="14340" max="14340" width="33.140625" style="48" customWidth="1"/>
    <col min="14341" max="14341" width="13.85546875" style="48" customWidth="1"/>
    <col min="14342" max="14342" width="14.85546875" style="48" customWidth="1"/>
    <col min="14343" max="14595" width="8.85546875" style="48"/>
    <col min="14596" max="14596" width="33.140625" style="48" customWidth="1"/>
    <col min="14597" max="14597" width="13.85546875" style="48" customWidth="1"/>
    <col min="14598" max="14598" width="14.85546875" style="48" customWidth="1"/>
    <col min="14599" max="14851" width="8.85546875" style="48"/>
    <col min="14852" max="14852" width="33.140625" style="48" customWidth="1"/>
    <col min="14853" max="14853" width="13.85546875" style="48" customWidth="1"/>
    <col min="14854" max="14854" width="14.85546875" style="48" customWidth="1"/>
    <col min="14855" max="15107" width="8.85546875" style="48"/>
    <col min="15108" max="15108" width="33.140625" style="48" customWidth="1"/>
    <col min="15109" max="15109" width="13.85546875" style="48" customWidth="1"/>
    <col min="15110" max="15110" width="14.85546875" style="48" customWidth="1"/>
    <col min="15111" max="15363" width="8.85546875" style="48"/>
    <col min="15364" max="15364" width="33.140625" style="48" customWidth="1"/>
    <col min="15365" max="15365" width="13.85546875" style="48" customWidth="1"/>
    <col min="15366" max="15366" width="14.85546875" style="48" customWidth="1"/>
    <col min="15367" max="15619" width="8.85546875" style="48"/>
    <col min="15620" max="15620" width="33.140625" style="48" customWidth="1"/>
    <col min="15621" max="15621" width="13.85546875" style="48" customWidth="1"/>
    <col min="15622" max="15622" width="14.85546875" style="48" customWidth="1"/>
    <col min="15623" max="15875" width="8.85546875" style="48"/>
    <col min="15876" max="15876" width="33.140625" style="48" customWidth="1"/>
    <col min="15877" max="15877" width="13.85546875" style="48" customWidth="1"/>
    <col min="15878" max="15878" width="14.85546875" style="48" customWidth="1"/>
    <col min="15879" max="16131" width="8.85546875" style="48"/>
    <col min="16132" max="16132" width="33.140625" style="48" customWidth="1"/>
    <col min="16133" max="16133" width="13.85546875" style="48" customWidth="1"/>
    <col min="16134" max="16134" width="14.85546875" style="48" customWidth="1"/>
    <col min="16135" max="16384" width="8.85546875" style="48"/>
  </cols>
  <sheetData>
    <row r="1" spans="1:32" x14ac:dyDescent="0.25">
      <c r="A1" s="876" t="s">
        <v>1857</v>
      </c>
      <c r="B1" s="876"/>
    </row>
    <row r="2" spans="1:32" ht="15.75" thickBot="1" x14ac:dyDescent="0.3">
      <c r="A2" s="138" t="s">
        <v>1858</v>
      </c>
      <c r="B2" s="138" t="s">
        <v>684</v>
      </c>
    </row>
    <row r="3" spans="1:32" ht="15.75" thickTop="1" x14ac:dyDescent="0.25">
      <c r="A3" s="824">
        <v>99701</v>
      </c>
      <c r="B3" s="48" t="s">
        <v>1597</v>
      </c>
    </row>
    <row r="4" spans="1:32" x14ac:dyDescent="0.25">
      <c r="A4" s="824">
        <v>99703</v>
      </c>
      <c r="B4" s="48" t="s">
        <v>1598</v>
      </c>
    </row>
    <row r="5" spans="1:32" x14ac:dyDescent="0.25">
      <c r="A5" s="824">
        <v>99705</v>
      </c>
      <c r="B5" s="48" t="s">
        <v>1599</v>
      </c>
    </row>
    <row r="6" spans="1:32" x14ac:dyDescent="0.25">
      <c r="A6" s="824">
        <v>99709</v>
      </c>
      <c r="B6" s="48" t="s">
        <v>1600</v>
      </c>
    </row>
    <row r="7" spans="1:32" x14ac:dyDescent="0.25">
      <c r="A7" s="824">
        <v>99712</v>
      </c>
      <c r="B7" s="48" t="s">
        <v>1601</v>
      </c>
    </row>
    <row r="8" spans="1:32" x14ac:dyDescent="0.25">
      <c r="A8" s="824">
        <v>99775</v>
      </c>
      <c r="B8" s="48" t="s">
        <v>1602</v>
      </c>
    </row>
    <row r="9" spans="1:32" x14ac:dyDescent="0.25">
      <c r="A9" s="824"/>
    </row>
    <row r="11" spans="1:32" ht="15.75" x14ac:dyDescent="0.25">
      <c r="A11" s="883" t="s">
        <v>1859</v>
      </c>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883"/>
      <c r="Z11" s="883"/>
      <c r="AA11" s="883"/>
    </row>
    <row r="12" spans="1:32" x14ac:dyDescent="0.25">
      <c r="Q12" s="876">
        <v>2019</v>
      </c>
      <c r="R12" s="876"/>
      <c r="Z12" s="139"/>
    </row>
    <row r="13" spans="1:32" x14ac:dyDescent="0.25">
      <c r="D13" s="823" t="s">
        <v>1860</v>
      </c>
      <c r="Q13" s="824" t="s">
        <v>1861</v>
      </c>
      <c r="R13" s="824" t="s">
        <v>1862</v>
      </c>
      <c r="W13" s="876" t="s">
        <v>1863</v>
      </c>
      <c r="X13" s="876"/>
      <c r="Y13" s="876"/>
      <c r="Z13" s="876"/>
      <c r="AA13" s="876"/>
      <c r="AB13" s="112">
        <v>0.68227118291301903</v>
      </c>
      <c r="AC13" t="s">
        <v>191</v>
      </c>
      <c r="AE13"/>
      <c r="AF13"/>
    </row>
    <row r="14" spans="1:32" ht="14.45" customHeight="1" x14ac:dyDescent="0.25">
      <c r="A14" s="140"/>
      <c r="B14" s="823" t="s">
        <v>1864</v>
      </c>
      <c r="D14" s="823" t="s">
        <v>532</v>
      </c>
      <c r="F14" s="876" t="s">
        <v>1865</v>
      </c>
      <c r="G14" s="876"/>
      <c r="H14" s="876"/>
      <c r="I14" s="876"/>
      <c r="J14" s="876"/>
      <c r="K14" s="876"/>
      <c r="L14" s="876"/>
      <c r="M14" s="876"/>
      <c r="N14" s="876"/>
      <c r="O14" s="876"/>
      <c r="Q14" s="824" t="s">
        <v>1866</v>
      </c>
      <c r="R14" s="824" t="s">
        <v>1867</v>
      </c>
      <c r="V14" s="824" t="s">
        <v>1868</v>
      </c>
      <c r="X14" s="876" t="s">
        <v>1869</v>
      </c>
      <c r="Y14" s="876"/>
      <c r="Z14" s="876" t="s">
        <v>1870</v>
      </c>
      <c r="AA14" s="876"/>
      <c r="AB14" s="112">
        <v>0.31772881708698097</v>
      </c>
      <c r="AC14" t="s">
        <v>190</v>
      </c>
      <c r="AE14"/>
      <c r="AF14"/>
    </row>
    <row r="15" spans="1:32" x14ac:dyDescent="0.25">
      <c r="A15" s="141" t="s">
        <v>253</v>
      </c>
      <c r="B15" s="142" t="s">
        <v>1871</v>
      </c>
      <c r="C15" s="142" t="s">
        <v>532</v>
      </c>
      <c r="D15" s="142" t="s">
        <v>290</v>
      </c>
      <c r="E15" s="143" t="s">
        <v>1872</v>
      </c>
      <c r="F15" s="142">
        <v>2010</v>
      </c>
      <c r="G15" s="142">
        <v>2011</v>
      </c>
      <c r="H15" s="142">
        <v>2012</v>
      </c>
      <c r="I15" s="142">
        <v>2013</v>
      </c>
      <c r="J15" s="142">
        <v>2014</v>
      </c>
      <c r="K15" s="142">
        <v>2015</v>
      </c>
      <c r="L15" s="142">
        <v>2016</v>
      </c>
      <c r="M15" s="142">
        <v>2017</v>
      </c>
      <c r="N15" s="142">
        <v>2018</v>
      </c>
      <c r="O15" s="142">
        <v>2019</v>
      </c>
      <c r="Q15" s="143" t="s">
        <v>1873</v>
      </c>
      <c r="R15" s="143" t="s">
        <v>1874</v>
      </c>
      <c r="V15" s="143" t="s">
        <v>122</v>
      </c>
      <c r="W15" s="142" t="s">
        <v>302</v>
      </c>
      <c r="X15" s="142" t="s">
        <v>1661</v>
      </c>
      <c r="Y15" s="142" t="s">
        <v>1875</v>
      </c>
      <c r="Z15" s="142" t="s">
        <v>1661</v>
      </c>
      <c r="AA15" s="142" t="s">
        <v>1875</v>
      </c>
      <c r="AB15" s="142" t="s">
        <v>1876</v>
      </c>
      <c r="AE15"/>
      <c r="AF15"/>
    </row>
    <row r="16" spans="1:32" x14ac:dyDescent="0.25">
      <c r="A16" s="48" t="s">
        <v>1877</v>
      </c>
      <c r="B16" s="144">
        <v>3413</v>
      </c>
      <c r="C16" s="48" t="s">
        <v>1878</v>
      </c>
      <c r="D16" s="145">
        <v>1</v>
      </c>
      <c r="E16" s="146">
        <f t="shared" ref="E16:E22" si="0">AVERAGE(F16:K16)</f>
        <v>0.19841666666666669</v>
      </c>
      <c r="F16" s="147">
        <v>0.17499999999999999</v>
      </c>
      <c r="G16" s="147">
        <v>0.1976</v>
      </c>
      <c r="H16" s="147">
        <v>0.22770000000000001</v>
      </c>
      <c r="I16" s="147">
        <v>0.20300000000000001</v>
      </c>
      <c r="J16" s="147">
        <v>0.2072</v>
      </c>
      <c r="K16" s="147">
        <v>0.18</v>
      </c>
      <c r="L16" s="147">
        <v>0.19989999999999999</v>
      </c>
      <c r="M16" s="147">
        <v>0.21099999999999999</v>
      </c>
      <c r="N16" s="147">
        <v>0.20050000000000001</v>
      </c>
      <c r="O16" s="147">
        <v>0.23330000000000001</v>
      </c>
      <c r="Q16" s="148">
        <f t="shared" ref="Q16:Q24" si="1">O16*10^5/(B16*D16)</f>
        <v>6.8356284793436863</v>
      </c>
      <c r="R16" s="149">
        <f>10^5/Q16</f>
        <v>14629.232747535361</v>
      </c>
      <c r="V16" s="824" t="s">
        <v>1879</v>
      </c>
      <c r="W16" s="824">
        <v>2000</v>
      </c>
      <c r="X16" s="150">
        <v>1.3720000000000001</v>
      </c>
      <c r="Y16" s="824" t="s">
        <v>1880</v>
      </c>
      <c r="Z16" s="150">
        <v>1.3120000000000001</v>
      </c>
      <c r="AA16" s="824" t="s">
        <v>1881</v>
      </c>
      <c r="AB16" s="151">
        <f>Z16*$AB$13+X16*$AB$14</f>
        <v>1.331063729025219</v>
      </c>
      <c r="AE16"/>
      <c r="AF16"/>
    </row>
    <row r="17" spans="1:32" x14ac:dyDescent="0.25">
      <c r="A17" s="48" t="s">
        <v>1882</v>
      </c>
      <c r="B17" s="144">
        <v>1000000</v>
      </c>
      <c r="C17" s="48" t="s">
        <v>1883</v>
      </c>
      <c r="D17" s="145">
        <v>1</v>
      </c>
      <c r="E17" s="146">
        <f t="shared" si="0"/>
        <v>23.474999999999998</v>
      </c>
      <c r="F17" s="146">
        <v>23.4</v>
      </c>
      <c r="G17" s="146">
        <v>17.93</v>
      </c>
      <c r="H17" s="146">
        <v>27.03</v>
      </c>
      <c r="I17" s="146">
        <v>27.03</v>
      </c>
      <c r="J17" s="146">
        <v>27.03</v>
      </c>
      <c r="K17" s="146">
        <v>18.43</v>
      </c>
      <c r="L17" s="146">
        <v>18.43</v>
      </c>
      <c r="M17" s="146">
        <v>21.05</v>
      </c>
      <c r="N17" s="146">
        <v>24.41</v>
      </c>
      <c r="O17" s="146">
        <v>24.41</v>
      </c>
      <c r="Q17" s="148">
        <f t="shared" si="1"/>
        <v>2.4409999999999998</v>
      </c>
      <c r="R17" s="149">
        <f t="shared" ref="R17:R27" si="2">10^5/Q17</f>
        <v>40966.816878328558</v>
      </c>
      <c r="V17" s="824" t="s">
        <v>1879</v>
      </c>
      <c r="W17" s="824">
        <v>2001</v>
      </c>
      <c r="X17" s="150">
        <v>1.343</v>
      </c>
      <c r="Y17" s="824" t="s">
        <v>1884</v>
      </c>
      <c r="Z17" s="150">
        <v>1.2829999999999999</v>
      </c>
      <c r="AA17" s="824" t="s">
        <v>1885</v>
      </c>
      <c r="AB17" s="151">
        <f t="shared" ref="AB17:AB35" si="3">Z17*$AB$13+X17*$AB$14</f>
        <v>1.3020637290252188</v>
      </c>
      <c r="AE17"/>
      <c r="AF17"/>
    </row>
    <row r="18" spans="1:32" x14ac:dyDescent="0.25">
      <c r="A18" s="48" t="s">
        <v>1886</v>
      </c>
      <c r="B18" s="144">
        <v>1066000</v>
      </c>
      <c r="C18" s="48" t="s">
        <v>1887</v>
      </c>
      <c r="D18" s="145">
        <v>1</v>
      </c>
      <c r="E18" s="146">
        <f t="shared" si="0"/>
        <v>12.526666666666666</v>
      </c>
      <c r="F18" s="146">
        <v>10.5</v>
      </c>
      <c r="G18" s="146">
        <v>10.5</v>
      </c>
      <c r="H18" s="146">
        <v>10.5</v>
      </c>
      <c r="I18" s="146">
        <v>10.5</v>
      </c>
      <c r="J18" s="146">
        <v>15</v>
      </c>
      <c r="K18" s="146">
        <v>18.16</v>
      </c>
      <c r="L18" s="146">
        <v>18.16</v>
      </c>
      <c r="M18" s="146">
        <v>19.59</v>
      </c>
      <c r="N18" s="146">
        <v>19.59</v>
      </c>
      <c r="O18" s="146">
        <v>19.59</v>
      </c>
      <c r="Q18" s="148">
        <f t="shared" si="1"/>
        <v>1.8377110694183865</v>
      </c>
      <c r="R18" s="149">
        <f t="shared" si="2"/>
        <v>54415.518121490561</v>
      </c>
      <c r="V18" s="824" t="s">
        <v>1879</v>
      </c>
      <c r="W18" s="824">
        <v>2002</v>
      </c>
      <c r="X18" s="150">
        <v>1.212</v>
      </c>
      <c r="Y18" s="824" t="s">
        <v>1888</v>
      </c>
      <c r="Z18" s="150">
        <v>1.175</v>
      </c>
      <c r="AA18" s="824" t="s">
        <v>1889</v>
      </c>
      <c r="AB18" s="151">
        <f t="shared" si="3"/>
        <v>1.1867559662322182</v>
      </c>
      <c r="AE18"/>
      <c r="AF18"/>
    </row>
    <row r="19" spans="1:32" x14ac:dyDescent="0.25">
      <c r="A19" s="48" t="s">
        <v>1890</v>
      </c>
      <c r="B19" s="144">
        <v>135000</v>
      </c>
      <c r="C19" s="48" t="s">
        <v>1891</v>
      </c>
      <c r="D19" s="145">
        <v>0.85</v>
      </c>
      <c r="E19" s="146">
        <f t="shared" si="0"/>
        <v>3.4064166666666669</v>
      </c>
      <c r="F19" s="146">
        <v>3.1</v>
      </c>
      <c r="G19" s="146">
        <v>3.8525</v>
      </c>
      <c r="H19" s="146">
        <v>3.867</v>
      </c>
      <c r="I19" s="146">
        <v>3.7320000000000002</v>
      </c>
      <c r="J19" s="146">
        <v>3.452</v>
      </c>
      <c r="K19" s="146">
        <v>2.4350000000000001</v>
      </c>
      <c r="L19" s="146">
        <v>2.3940000000000001</v>
      </c>
      <c r="M19" s="146">
        <v>2.7829999999999999</v>
      </c>
      <c r="N19" s="146">
        <v>2.9380000000000002</v>
      </c>
      <c r="O19" s="146">
        <v>3.008</v>
      </c>
      <c r="Q19" s="148">
        <f t="shared" si="1"/>
        <v>2.621350762527233</v>
      </c>
      <c r="R19" s="149">
        <f t="shared" si="2"/>
        <v>38148.271276595748</v>
      </c>
      <c r="V19" s="824" t="s">
        <v>1879</v>
      </c>
      <c r="W19" s="824">
        <v>2003</v>
      </c>
      <c r="X19" s="150">
        <v>1.2729999999999999</v>
      </c>
      <c r="Y19" s="824" t="s">
        <v>1892</v>
      </c>
      <c r="Z19" s="150">
        <v>1.224</v>
      </c>
      <c r="AA19" s="824" t="s">
        <v>1893</v>
      </c>
      <c r="AB19" s="151">
        <f t="shared" si="3"/>
        <v>1.239568712037262</v>
      </c>
      <c r="AE19"/>
      <c r="AF19"/>
    </row>
    <row r="20" spans="1:32" x14ac:dyDescent="0.25">
      <c r="A20" s="48" t="s">
        <v>124</v>
      </c>
      <c r="B20" s="144">
        <v>1010000</v>
      </c>
      <c r="C20" s="48" t="s">
        <v>1894</v>
      </c>
      <c r="D20" s="145">
        <v>0.85</v>
      </c>
      <c r="E20" s="146">
        <f t="shared" si="0"/>
        <v>23.349999999999998</v>
      </c>
      <c r="F20" s="146">
        <v>23.35</v>
      </c>
      <c r="G20" s="146">
        <v>23.35</v>
      </c>
      <c r="H20" s="146">
        <v>23.35</v>
      </c>
      <c r="I20" s="146">
        <v>23.35</v>
      </c>
      <c r="J20" s="146">
        <v>23.35</v>
      </c>
      <c r="K20" s="146">
        <v>23.35</v>
      </c>
      <c r="L20" s="146">
        <v>20.2</v>
      </c>
      <c r="M20" s="146">
        <v>20.2</v>
      </c>
      <c r="N20" s="146">
        <v>20.81</v>
      </c>
      <c r="O20" s="146">
        <v>20.81</v>
      </c>
      <c r="Q20" s="148">
        <f t="shared" si="1"/>
        <v>2.4239953407105412</v>
      </c>
      <c r="R20" s="149">
        <f t="shared" si="2"/>
        <v>41254.204709274396</v>
      </c>
      <c r="V20" s="824" t="s">
        <v>1879</v>
      </c>
      <c r="W20" s="824">
        <v>2004</v>
      </c>
      <c r="X20" s="150">
        <v>1.8240000000000001</v>
      </c>
      <c r="Y20" s="824" t="s">
        <v>1895</v>
      </c>
      <c r="Z20" s="150">
        <v>1.8089999999999999</v>
      </c>
      <c r="AA20" s="824" t="s">
        <v>1896</v>
      </c>
      <c r="AB20" s="151">
        <f t="shared" si="3"/>
        <v>1.8137659322563047</v>
      </c>
      <c r="AE20"/>
      <c r="AF20"/>
    </row>
    <row r="21" spans="1:32" x14ac:dyDescent="0.25">
      <c r="A21" s="48" t="s">
        <v>1482</v>
      </c>
      <c r="B21" s="144">
        <v>91333</v>
      </c>
      <c r="C21" s="48" t="s">
        <v>1891</v>
      </c>
      <c r="D21" s="145">
        <v>0.85</v>
      </c>
      <c r="E21" s="146">
        <f t="shared" si="0"/>
        <v>3.8056666666666668</v>
      </c>
      <c r="F21" s="146">
        <v>3.54</v>
      </c>
      <c r="G21" s="146">
        <v>4.07</v>
      </c>
      <c r="H21" s="146">
        <v>4.117</v>
      </c>
      <c r="I21" s="146">
        <v>2.8069999999999999</v>
      </c>
      <c r="J21" s="146">
        <v>4.4400000000000004</v>
      </c>
      <c r="K21" s="146">
        <v>3.86</v>
      </c>
      <c r="L21" s="146">
        <v>3.88</v>
      </c>
      <c r="M21" s="146">
        <v>4.34</v>
      </c>
      <c r="N21" s="146">
        <v>3.43</v>
      </c>
      <c r="O21" s="146">
        <v>4.3499999999999996</v>
      </c>
      <c r="Q21" s="148">
        <f t="shared" si="1"/>
        <v>5.6032836530317942</v>
      </c>
      <c r="R21" s="149">
        <f t="shared" si="2"/>
        <v>17846.678160919542</v>
      </c>
      <c r="V21" s="824" t="s">
        <v>1879</v>
      </c>
      <c r="W21" s="824">
        <v>2005</v>
      </c>
      <c r="X21" s="150">
        <v>2.544</v>
      </c>
      <c r="Y21" s="824" t="s">
        <v>1897</v>
      </c>
      <c r="Z21" s="150">
        <v>2.5230000000000001</v>
      </c>
      <c r="AA21" s="824" t="s">
        <v>1898</v>
      </c>
      <c r="AB21" s="151">
        <f t="shared" si="3"/>
        <v>2.5296723051588268</v>
      </c>
      <c r="AE21"/>
      <c r="AF21"/>
    </row>
    <row r="22" spans="1:32" x14ac:dyDescent="0.25">
      <c r="A22" s="48" t="s">
        <v>1899</v>
      </c>
      <c r="B22" s="144">
        <v>16000000</v>
      </c>
      <c r="C22" s="48" t="s">
        <v>1900</v>
      </c>
      <c r="D22" s="145">
        <v>0.85</v>
      </c>
      <c r="E22" s="146">
        <f t="shared" si="0"/>
        <v>290.5</v>
      </c>
      <c r="F22" s="146">
        <v>295</v>
      </c>
      <c r="G22" s="146">
        <v>295</v>
      </c>
      <c r="H22" s="146">
        <v>282</v>
      </c>
      <c r="I22" s="146">
        <v>282</v>
      </c>
      <c r="J22" s="146">
        <v>294.5</v>
      </c>
      <c r="K22" s="146">
        <v>294.5</v>
      </c>
      <c r="L22" s="146">
        <v>292</v>
      </c>
      <c r="M22" s="146">
        <v>272</v>
      </c>
      <c r="N22" s="146">
        <v>272</v>
      </c>
      <c r="O22" s="146">
        <v>294.5</v>
      </c>
      <c r="Q22" s="148">
        <f t="shared" si="1"/>
        <v>2.1654411764705883</v>
      </c>
      <c r="R22" s="149">
        <f t="shared" si="2"/>
        <v>46179.966044142609</v>
      </c>
      <c r="S22" s="48" t="s">
        <v>1901</v>
      </c>
      <c r="U22" s="152"/>
      <c r="V22" s="824" t="s">
        <v>1879</v>
      </c>
      <c r="W22" s="824">
        <v>2006</v>
      </c>
      <c r="X22" s="150">
        <v>2.4940000000000002</v>
      </c>
      <c r="Y22" s="824" t="s">
        <v>1902</v>
      </c>
      <c r="Z22" s="150">
        <v>2.4790000000000001</v>
      </c>
      <c r="AA22" s="824" t="s">
        <v>1903</v>
      </c>
      <c r="AB22" s="151">
        <f t="shared" si="3"/>
        <v>2.483765932256305</v>
      </c>
      <c r="AE22"/>
      <c r="AF22"/>
    </row>
    <row r="23" spans="1:32" x14ac:dyDescent="0.25">
      <c r="A23" s="48" t="s">
        <v>1904</v>
      </c>
      <c r="B23" s="45">
        <f>23600000</f>
        <v>23600000</v>
      </c>
      <c r="C23" s="48" t="s">
        <v>1905</v>
      </c>
      <c r="D23" s="145">
        <v>0.7</v>
      </c>
      <c r="E23" s="146">
        <f>AVERAGE(F23:K23)</f>
        <v>264.43</v>
      </c>
      <c r="F23" s="146">
        <v>185</v>
      </c>
      <c r="G23" s="146">
        <v>250</v>
      </c>
      <c r="H23" s="146">
        <v>325</v>
      </c>
      <c r="I23" s="146">
        <v>272.33</v>
      </c>
      <c r="J23" s="146">
        <v>260.5</v>
      </c>
      <c r="K23" s="146">
        <v>293.75</v>
      </c>
      <c r="L23" s="146">
        <v>277</v>
      </c>
      <c r="M23" s="146">
        <v>277.77999999999997</v>
      </c>
      <c r="N23" s="146">
        <v>285</v>
      </c>
      <c r="O23" s="146">
        <v>290.63</v>
      </c>
      <c r="Q23" s="148">
        <f t="shared" si="1"/>
        <v>1.7592615012106541</v>
      </c>
      <c r="R23" s="149">
        <f t="shared" si="2"/>
        <v>56842.032825241709</v>
      </c>
      <c r="S23" s="45">
        <v>3964.5620734824852</v>
      </c>
      <c r="T23" s="153">
        <f>B23/S23*2000</f>
        <v>11905476.349002995</v>
      </c>
      <c r="U23" s="152" t="s">
        <v>1900</v>
      </c>
      <c r="V23" s="824" t="s">
        <v>1879</v>
      </c>
      <c r="W23" s="824">
        <v>2007</v>
      </c>
      <c r="X23" s="150">
        <v>2.6829999999999998</v>
      </c>
      <c r="Y23" s="824" t="s">
        <v>1906</v>
      </c>
      <c r="Z23" s="150">
        <v>2.5979999999999999</v>
      </c>
      <c r="AA23" s="824" t="s">
        <v>1907</v>
      </c>
      <c r="AB23" s="151">
        <f t="shared" si="3"/>
        <v>2.6250069494523931</v>
      </c>
      <c r="AE23"/>
      <c r="AF23"/>
    </row>
    <row r="24" spans="1:32" x14ac:dyDescent="0.25">
      <c r="A24" s="48" t="s">
        <v>1908</v>
      </c>
      <c r="B24" s="45">
        <f>18100000</f>
        <v>18100000</v>
      </c>
      <c r="C24" s="48" t="s">
        <v>1905</v>
      </c>
      <c r="D24" s="145">
        <v>0.7</v>
      </c>
      <c r="E24" s="146">
        <f>AVERAGE(F24:K24)</f>
        <v>272.19499999999999</v>
      </c>
      <c r="F24" s="146">
        <v>165</v>
      </c>
      <c r="G24" s="146">
        <v>250</v>
      </c>
      <c r="H24" s="146">
        <v>327</v>
      </c>
      <c r="I24" s="146">
        <v>340</v>
      </c>
      <c r="J24" s="146">
        <v>276.67</v>
      </c>
      <c r="K24" s="146">
        <v>274.5</v>
      </c>
      <c r="L24" s="146">
        <v>258.33</v>
      </c>
      <c r="M24" s="146">
        <v>280</v>
      </c>
      <c r="N24" s="146">
        <v>229.17</v>
      </c>
      <c r="O24" s="146">
        <v>289.08999999999997</v>
      </c>
      <c r="Q24" s="148">
        <f t="shared" si="1"/>
        <v>2.2816890292028411</v>
      </c>
      <c r="R24" s="149">
        <f t="shared" si="2"/>
        <v>43827.1818464838</v>
      </c>
      <c r="S24" s="45">
        <v>2900.8990781579155</v>
      </c>
      <c r="T24" s="153">
        <f t="shared" ref="T24:T25" si="4">B24/S24*2000</f>
        <v>12478889.828524187</v>
      </c>
      <c r="U24" s="152" t="s">
        <v>1900</v>
      </c>
      <c r="V24" s="824" t="s">
        <v>1879</v>
      </c>
      <c r="W24" s="824">
        <v>2008</v>
      </c>
      <c r="X24" s="150">
        <v>3.67</v>
      </c>
      <c r="Y24" s="824" t="s">
        <v>1909</v>
      </c>
      <c r="Z24" s="150">
        <v>3.67</v>
      </c>
      <c r="AA24" s="824" t="s">
        <v>1910</v>
      </c>
      <c r="AB24" s="151">
        <f t="shared" si="3"/>
        <v>3.67</v>
      </c>
      <c r="AE24"/>
      <c r="AF24"/>
    </row>
    <row r="25" spans="1:32" x14ac:dyDescent="0.25">
      <c r="A25" s="48" t="s">
        <v>1911</v>
      </c>
      <c r="B25" s="45">
        <f>16600000</f>
        <v>16600000</v>
      </c>
      <c r="C25" s="48" t="s">
        <v>1905</v>
      </c>
      <c r="D25" s="145">
        <v>0.7</v>
      </c>
      <c r="E25" s="146">
        <f>AVERAGE(F25:K25)</f>
        <v>272.19499999999999</v>
      </c>
      <c r="F25" s="146">
        <f t="shared" ref="F25:O25" si="5">F24</f>
        <v>165</v>
      </c>
      <c r="G25" s="146">
        <f t="shared" si="5"/>
        <v>250</v>
      </c>
      <c r="H25" s="146">
        <f t="shared" si="5"/>
        <v>327</v>
      </c>
      <c r="I25" s="146">
        <f t="shared" si="5"/>
        <v>340</v>
      </c>
      <c r="J25" s="146">
        <f t="shared" si="5"/>
        <v>276.67</v>
      </c>
      <c r="K25" s="146">
        <f t="shared" si="5"/>
        <v>274.5</v>
      </c>
      <c r="L25" s="146">
        <f t="shared" si="5"/>
        <v>258.33</v>
      </c>
      <c r="M25" s="146">
        <f t="shared" si="5"/>
        <v>280</v>
      </c>
      <c r="N25" s="146">
        <f t="shared" si="5"/>
        <v>229.17</v>
      </c>
      <c r="O25" s="146">
        <f t="shared" si="5"/>
        <v>289.08999999999997</v>
      </c>
      <c r="Q25" s="148">
        <f>O25*10^5/(B25*D25)</f>
        <v>2.487865748709122</v>
      </c>
      <c r="R25" s="149">
        <f t="shared" si="2"/>
        <v>40195.094953128784</v>
      </c>
      <c r="S25" s="45">
        <v>2746.1844606561604</v>
      </c>
      <c r="T25" s="153">
        <f t="shared" si="4"/>
        <v>12089501.078914179</v>
      </c>
      <c r="U25" s="152" t="s">
        <v>1900</v>
      </c>
      <c r="V25" s="824" t="s">
        <v>1879</v>
      </c>
      <c r="W25" s="824">
        <v>2009</v>
      </c>
      <c r="X25" s="150">
        <v>2.7309999999999999</v>
      </c>
      <c r="Y25" s="824" t="s">
        <v>1912</v>
      </c>
      <c r="Z25" s="150">
        <v>2.722</v>
      </c>
      <c r="AA25" s="824" t="s">
        <v>1913</v>
      </c>
      <c r="AB25" s="151">
        <f t="shared" si="3"/>
        <v>2.7248595593537828</v>
      </c>
      <c r="AE25"/>
      <c r="AF25"/>
    </row>
    <row r="26" spans="1:32" x14ac:dyDescent="0.25">
      <c r="A26" s="140" t="s">
        <v>1914</v>
      </c>
      <c r="B26" s="153">
        <f>SUMPRODUCT(B23:B25,$J37:$J39)</f>
        <v>20372979.938722931</v>
      </c>
      <c r="C26" s="140" t="s">
        <v>1905</v>
      </c>
      <c r="D26" s="154">
        <v>0.7</v>
      </c>
      <c r="E26" s="155">
        <f t="shared" ref="E26:O26" si="6">SUMPRODUCT(E23:E25,$J37:$J39)</f>
        <v>268.59436513969553</v>
      </c>
      <c r="F26" s="155">
        <f t="shared" si="6"/>
        <v>174.27401123066184</v>
      </c>
      <c r="G26" s="155">
        <f t="shared" si="6"/>
        <v>250</v>
      </c>
      <c r="H26" s="155">
        <f t="shared" si="6"/>
        <v>326.0725988769338</v>
      </c>
      <c r="I26" s="155">
        <f t="shared" si="6"/>
        <v>308.62138300105556</v>
      </c>
      <c r="J26" s="155">
        <f t="shared" si="6"/>
        <v>269.17196192000989</v>
      </c>
      <c r="K26" s="155">
        <f t="shared" si="6"/>
        <v>283.42623580951204</v>
      </c>
      <c r="L26" s="155">
        <f t="shared" si="6"/>
        <v>266.98728948382279</v>
      </c>
      <c r="M26" s="155">
        <f t="shared" si="6"/>
        <v>278.97058475339651</v>
      </c>
      <c r="N26" s="155">
        <f t="shared" si="6"/>
        <v>255.05840235039256</v>
      </c>
      <c r="O26" s="155">
        <f t="shared" si="6"/>
        <v>289.80409886476093</v>
      </c>
      <c r="Q26" s="148">
        <f t="shared" ref="Q26:Q27" si="7">O26*10^5/(B26*D26)</f>
        <v>2.0321320531719858</v>
      </c>
      <c r="R26" s="149">
        <f t="shared" si="2"/>
        <v>49209.400463866747</v>
      </c>
      <c r="T26" s="153">
        <f>SUMPRODUCT(T23:T25,K37:K39)</f>
        <v>12106915.95953868</v>
      </c>
      <c r="U26" s="156" t="s">
        <v>1900</v>
      </c>
      <c r="V26" s="824" t="s">
        <v>1879</v>
      </c>
      <c r="W26" s="824">
        <v>2010</v>
      </c>
      <c r="X26" s="150">
        <v>3.02</v>
      </c>
      <c r="Y26" s="824" t="s">
        <v>1915</v>
      </c>
      <c r="Z26" s="150">
        <v>3</v>
      </c>
      <c r="AA26" s="824" t="s">
        <v>1916</v>
      </c>
      <c r="AB26" s="151">
        <f t="shared" si="3"/>
        <v>3.0063545763417396</v>
      </c>
      <c r="AE26"/>
      <c r="AF26"/>
    </row>
    <row r="27" spans="1:32" x14ac:dyDescent="0.25">
      <c r="A27" s="48" t="s">
        <v>1917</v>
      </c>
      <c r="B27" s="144">
        <v>15200000</v>
      </c>
      <c r="C27" s="48" t="s">
        <v>1900</v>
      </c>
      <c r="D27" s="145">
        <v>0.55000000000000004</v>
      </c>
      <c r="E27" s="146">
        <f>AVERAGE(F27:K27)</f>
        <v>116.66666666666667</v>
      </c>
      <c r="F27" s="146">
        <v>115</v>
      </c>
      <c r="G27" s="146">
        <v>110</v>
      </c>
      <c r="H27" s="146">
        <v>115</v>
      </c>
      <c r="I27" s="146">
        <v>120</v>
      </c>
      <c r="J27" s="146">
        <v>120</v>
      </c>
      <c r="K27" s="146">
        <v>120</v>
      </c>
      <c r="L27" s="146">
        <v>120</v>
      </c>
      <c r="M27" s="146">
        <v>120</v>
      </c>
      <c r="N27" s="146">
        <v>120</v>
      </c>
      <c r="O27" s="146">
        <v>130</v>
      </c>
      <c r="Q27" s="148">
        <f t="shared" si="7"/>
        <v>1.5550239234449759</v>
      </c>
      <c r="R27" s="149">
        <f t="shared" si="2"/>
        <v>64307.692307692319</v>
      </c>
      <c r="V27" s="824" t="s">
        <v>1879</v>
      </c>
      <c r="W27" s="824">
        <v>2011</v>
      </c>
      <c r="X27" s="150">
        <v>3.9220000000000002</v>
      </c>
      <c r="Y27" s="824" t="s">
        <v>1918</v>
      </c>
      <c r="Z27" s="150">
        <v>3.8519999999999999</v>
      </c>
      <c r="AA27" s="824" t="s">
        <v>1919</v>
      </c>
      <c r="AB27" s="151">
        <f t="shared" si="3"/>
        <v>3.8742410171960886</v>
      </c>
      <c r="AE27"/>
      <c r="AF27"/>
    </row>
    <row r="28" spans="1:32" x14ac:dyDescent="0.25">
      <c r="B28" s="144"/>
      <c r="D28" s="145"/>
      <c r="E28" s="146"/>
      <c r="F28" s="146"/>
      <c r="G28" s="146"/>
      <c r="H28" s="146"/>
      <c r="I28" s="146"/>
      <c r="J28" s="146"/>
      <c r="K28" s="146"/>
      <c r="V28" s="824" t="s">
        <v>1879</v>
      </c>
      <c r="W28" s="824">
        <v>2012</v>
      </c>
      <c r="X28" s="150">
        <v>4.0549999999999997</v>
      </c>
      <c r="Y28" s="824" t="s">
        <v>1920</v>
      </c>
      <c r="Z28" s="150">
        <v>3.9769999999999999</v>
      </c>
      <c r="AA28" s="824" t="s">
        <v>1921</v>
      </c>
      <c r="AB28" s="151">
        <f t="shared" si="3"/>
        <v>4.0017828477327839</v>
      </c>
      <c r="AC28" s="146">
        <f>AVERAGE(AB26:AB30)</f>
        <v>3.6972001832618018</v>
      </c>
      <c r="AE28"/>
      <c r="AF28"/>
    </row>
    <row r="29" spans="1:32" x14ac:dyDescent="0.25">
      <c r="A29" s="157" t="s">
        <v>91</v>
      </c>
      <c r="B29" s="144"/>
      <c r="D29" s="145"/>
      <c r="E29" s="146"/>
      <c r="F29" s="146"/>
      <c r="G29" s="146"/>
      <c r="H29" s="146"/>
      <c r="I29" s="146"/>
      <c r="J29" s="146"/>
      <c r="K29" s="146"/>
      <c r="U29" s="158">
        <f>AVERAGE(X27:X31)</f>
        <v>3.6012</v>
      </c>
      <c r="V29" s="824" t="s">
        <v>1879</v>
      </c>
      <c r="W29" s="824">
        <v>2013</v>
      </c>
      <c r="X29" s="150">
        <v>3.887</v>
      </c>
      <c r="Y29" s="824" t="s">
        <v>1922</v>
      </c>
      <c r="Z29" s="150">
        <v>3.8079999999999998</v>
      </c>
      <c r="AA29" s="824" t="s">
        <v>1923</v>
      </c>
      <c r="AB29" s="151">
        <f t="shared" si="3"/>
        <v>3.8331005765498718</v>
      </c>
      <c r="AC29" s="146">
        <f>AVERAGE(AB27:AB31)</f>
        <v>3.5620376341007924</v>
      </c>
      <c r="AD29" s="48" t="s">
        <v>1924</v>
      </c>
      <c r="AE29"/>
      <c r="AF29"/>
    </row>
    <row r="30" spans="1:32" x14ac:dyDescent="0.25">
      <c r="A30" s="48" t="s">
        <v>1925</v>
      </c>
      <c r="B30" s="144"/>
      <c r="D30" s="145"/>
      <c r="E30" s="146"/>
      <c r="F30" s="146"/>
      <c r="G30" s="146"/>
      <c r="H30" s="146" t="s">
        <v>1926</v>
      </c>
      <c r="I30" s="146" t="s">
        <v>1927</v>
      </c>
      <c r="J30" s="146"/>
      <c r="K30" s="146"/>
      <c r="V30" s="824" t="s">
        <v>1879</v>
      </c>
      <c r="W30" s="824">
        <v>2014</v>
      </c>
      <c r="X30" s="150">
        <v>3.806</v>
      </c>
      <c r="Y30" s="824" t="s">
        <v>1928</v>
      </c>
      <c r="Z30" s="150">
        <v>3.754</v>
      </c>
      <c r="AA30" s="824" t="s">
        <v>1929</v>
      </c>
      <c r="AB30" s="151">
        <f t="shared" si="3"/>
        <v>3.7705218984885231</v>
      </c>
      <c r="AE30"/>
      <c r="AF30"/>
    </row>
    <row r="31" spans="1:32" x14ac:dyDescent="0.25">
      <c r="A31" s="48" t="s">
        <v>1930</v>
      </c>
      <c r="B31" s="144"/>
      <c r="D31" s="145"/>
      <c r="E31" s="146"/>
      <c r="F31" s="146"/>
      <c r="G31" s="146"/>
      <c r="H31" s="146"/>
      <c r="I31" s="146"/>
      <c r="J31" s="146"/>
      <c r="K31" s="146"/>
      <c r="V31" s="824" t="s">
        <v>1879</v>
      </c>
      <c r="W31" s="824">
        <v>2015</v>
      </c>
      <c r="X31" s="150">
        <v>2.3359999999999999</v>
      </c>
      <c r="Y31" s="824" t="s">
        <v>1931</v>
      </c>
      <c r="Z31" s="150">
        <v>2.3279999999999998</v>
      </c>
      <c r="AA31" s="824" t="s">
        <v>1932</v>
      </c>
      <c r="AB31" s="151">
        <f t="shared" si="3"/>
        <v>2.3305418305366956</v>
      </c>
      <c r="AE31"/>
      <c r="AF31"/>
    </row>
    <row r="32" spans="1:32" ht="14.25" customHeight="1" x14ac:dyDescent="0.25">
      <c r="A32" s="48" t="s">
        <v>1933</v>
      </c>
      <c r="B32" s="144"/>
      <c r="D32" s="145"/>
      <c r="E32" s="146"/>
      <c r="F32" s="146"/>
      <c r="G32" s="146"/>
      <c r="H32" s="146"/>
      <c r="I32" s="146"/>
      <c r="J32" s="146"/>
      <c r="K32" s="146"/>
      <c r="V32" s="824" t="s">
        <v>1879</v>
      </c>
      <c r="W32" s="824">
        <v>2016</v>
      </c>
      <c r="X32" s="150">
        <v>2.306</v>
      </c>
      <c r="Y32" s="824" t="s">
        <v>1934</v>
      </c>
      <c r="Z32" s="150">
        <v>2.2770000000000001</v>
      </c>
      <c r="AA32" s="824" t="s">
        <v>1935</v>
      </c>
      <c r="AB32" s="151">
        <f t="shared" si="3"/>
        <v>2.2862141356955226</v>
      </c>
      <c r="AE32"/>
      <c r="AF32"/>
    </row>
    <row r="33" spans="1:32" ht="14.25" customHeight="1" x14ac:dyDescent="0.25">
      <c r="A33" s="48" t="s">
        <v>1936</v>
      </c>
      <c r="B33" s="144"/>
      <c r="D33" s="145"/>
      <c r="E33" s="146"/>
      <c r="F33" s="146"/>
      <c r="G33" s="146"/>
      <c r="H33" s="146"/>
      <c r="I33" s="146"/>
      <c r="J33" s="146"/>
      <c r="K33" s="146"/>
      <c r="V33" s="824" t="s">
        <v>1879</v>
      </c>
      <c r="W33" s="824">
        <v>2017</v>
      </c>
      <c r="X33" s="150">
        <v>2.6779999999999999</v>
      </c>
      <c r="Y33" s="824" t="s">
        <v>1937</v>
      </c>
      <c r="Z33" s="150">
        <v>2.62</v>
      </c>
      <c r="AA33" s="824" t="s">
        <v>1938</v>
      </c>
      <c r="AB33" s="151">
        <f t="shared" si="3"/>
        <v>2.638428271391045</v>
      </c>
      <c r="AE33"/>
      <c r="AF33"/>
    </row>
    <row r="34" spans="1:32" x14ac:dyDescent="0.25">
      <c r="A34" s="48" t="s">
        <v>1939</v>
      </c>
      <c r="B34" s="144"/>
      <c r="D34" s="145"/>
      <c r="E34" s="146"/>
      <c r="F34" s="146"/>
      <c r="G34" s="146"/>
      <c r="H34" s="146"/>
      <c r="I34" s="146"/>
      <c r="J34" s="824"/>
      <c r="K34" s="146"/>
      <c r="V34" s="824" t="s">
        <v>1879</v>
      </c>
      <c r="W34" s="824">
        <v>2018</v>
      </c>
      <c r="X34" s="150">
        <v>3.15</v>
      </c>
      <c r="Y34" s="824" t="s">
        <v>1940</v>
      </c>
      <c r="Z34" s="150">
        <v>3.073</v>
      </c>
      <c r="AA34" s="824" t="s">
        <v>1941</v>
      </c>
      <c r="AB34" s="151">
        <f t="shared" si="3"/>
        <v>3.0974651189156974</v>
      </c>
      <c r="AC34" s="824" t="s">
        <v>1942</v>
      </c>
      <c r="AD34" s="824" t="s">
        <v>1943</v>
      </c>
      <c r="AE34"/>
      <c r="AF34"/>
    </row>
    <row r="35" spans="1:32" x14ac:dyDescent="0.25">
      <c r="B35" s="144"/>
      <c r="D35" s="145"/>
      <c r="E35" s="146"/>
      <c r="F35" s="146"/>
      <c r="G35" s="146"/>
      <c r="H35" s="146"/>
      <c r="I35" s="146"/>
      <c r="J35" s="882" t="s">
        <v>1944</v>
      </c>
      <c r="K35" s="882"/>
      <c r="V35" s="824" t="s">
        <v>1879</v>
      </c>
      <c r="W35" s="824">
        <v>2019</v>
      </c>
      <c r="X35" s="150">
        <v>2.944</v>
      </c>
      <c r="Y35" s="824" t="s">
        <v>1945</v>
      </c>
      <c r="Z35" s="150">
        <v>2.8740000000000001</v>
      </c>
      <c r="AA35" s="824" t="s">
        <v>1946</v>
      </c>
      <c r="AB35" s="159">
        <f t="shared" si="3"/>
        <v>2.8962410171960888</v>
      </c>
      <c r="AC35" s="160">
        <v>2.8962410171960888</v>
      </c>
      <c r="AD35" s="160">
        <v>2.8962410171960888</v>
      </c>
      <c r="AE35"/>
      <c r="AF35"/>
    </row>
    <row r="36" spans="1:32" x14ac:dyDescent="0.25">
      <c r="A36" s="161" t="s">
        <v>1947</v>
      </c>
      <c r="B36" s="144"/>
      <c r="D36" s="145"/>
      <c r="E36" s="146"/>
      <c r="F36" s="146"/>
      <c r="G36" s="146"/>
      <c r="H36" s="146"/>
      <c r="I36" s="146"/>
      <c r="J36" s="824" t="s">
        <v>1948</v>
      </c>
      <c r="K36" s="824" t="s">
        <v>1949</v>
      </c>
      <c r="V36" s="824" t="s">
        <v>1950</v>
      </c>
      <c r="W36" s="824">
        <v>2020</v>
      </c>
      <c r="AB36" s="160">
        <v>2.8103743189740982</v>
      </c>
      <c r="AC36" s="160">
        <v>3.4201534133109459</v>
      </c>
      <c r="AD36" s="160">
        <v>2.2028402112732506</v>
      </c>
      <c r="AE36"/>
      <c r="AF36"/>
    </row>
    <row r="37" spans="1:32" x14ac:dyDescent="0.25">
      <c r="A37" s="48" t="s">
        <v>1492</v>
      </c>
      <c r="B37" s="47">
        <v>1.6827555429317793</v>
      </c>
      <c r="C37" s="48" t="s">
        <v>1493</v>
      </c>
      <c r="D37" s="145"/>
      <c r="E37" s="146"/>
      <c r="F37" s="146"/>
      <c r="G37" s="146"/>
      <c r="H37" s="146"/>
      <c r="I37" s="146"/>
      <c r="J37" s="162">
        <v>0.4637005615330928</v>
      </c>
      <c r="K37" s="163">
        <v>0.54623788565977127</v>
      </c>
      <c r="V37" s="824" t="s">
        <v>1950</v>
      </c>
      <c r="W37" s="824">
        <v>2021</v>
      </c>
      <c r="AB37" s="160">
        <v>2.860307585698274</v>
      </c>
      <c r="AC37" s="160">
        <v>3.6098696216844237</v>
      </c>
      <c r="AD37" s="160">
        <v>2.1485342150616171</v>
      </c>
      <c r="AE37"/>
      <c r="AF37"/>
    </row>
    <row r="38" spans="1:32" x14ac:dyDescent="0.25">
      <c r="A38" s="48" t="s">
        <v>1951</v>
      </c>
      <c r="B38" s="144">
        <f>B26/B37</f>
        <v>12106915.959538678</v>
      </c>
      <c r="C38" s="48" t="s">
        <v>1952</v>
      </c>
      <c r="D38" s="145"/>
      <c r="E38" s="146"/>
      <c r="F38" s="146"/>
      <c r="G38" s="146"/>
      <c r="H38" s="146"/>
      <c r="I38" s="146"/>
      <c r="J38" s="162">
        <v>0.35138400532752173</v>
      </c>
      <c r="K38" s="163">
        <v>0.30287510904825726</v>
      </c>
      <c r="V38" s="824" t="s">
        <v>1950</v>
      </c>
      <c r="W38" s="824">
        <v>2022</v>
      </c>
      <c r="AB38" s="160">
        <v>2.9247573551739148</v>
      </c>
      <c r="AC38" s="160">
        <v>3.8618979207681412</v>
      </c>
      <c r="AD38" s="160">
        <v>2.2188257720210918</v>
      </c>
      <c r="AE38"/>
      <c r="AF38"/>
    </row>
    <row r="39" spans="1:32" x14ac:dyDescent="0.25">
      <c r="A39" s="48" t="s">
        <v>1951</v>
      </c>
      <c r="B39" s="144">
        <f>B38/2000</f>
        <v>6053.4579797693386</v>
      </c>
      <c r="C39" s="48" t="s">
        <v>1953</v>
      </c>
      <c r="D39" s="145"/>
      <c r="E39" s="146"/>
      <c r="F39" s="146"/>
      <c r="G39" s="146"/>
      <c r="H39" s="146"/>
      <c r="I39" s="146"/>
      <c r="J39" s="164">
        <v>0.18491543313938538</v>
      </c>
      <c r="K39" s="165">
        <v>0.15088700529197147</v>
      </c>
      <c r="V39" s="824" t="s">
        <v>1950</v>
      </c>
      <c r="W39" s="824">
        <v>2023</v>
      </c>
      <c r="AB39" s="160">
        <v>2.9774981137421901</v>
      </c>
      <c r="AC39" s="160">
        <v>4.2036966724231357</v>
      </c>
      <c r="AD39" s="160">
        <v>2.2709368586030041</v>
      </c>
      <c r="AE39"/>
      <c r="AF39"/>
    </row>
    <row r="40" spans="1:32" x14ac:dyDescent="0.25">
      <c r="J40" s="166">
        <f>SUM(J37:J39)</f>
        <v>1</v>
      </c>
      <c r="K40" s="166">
        <f>SUM(K37:K39)</f>
        <v>1</v>
      </c>
      <c r="S40" s="803">
        <f>AB40/AB35-1</f>
        <v>5.65593713852659E-2</v>
      </c>
      <c r="V40" s="143" t="s">
        <v>1950</v>
      </c>
      <c r="W40" s="143">
        <v>2024</v>
      </c>
      <c r="X40" s="381"/>
      <c r="Y40" s="381"/>
      <c r="Z40" s="381"/>
      <c r="AA40" s="381"/>
      <c r="AB40" s="771">
        <v>3.0600505885089224</v>
      </c>
      <c r="AC40" s="771">
        <v>4.4012508596312827</v>
      </c>
      <c r="AD40" s="771">
        <v>2.3196021702290359</v>
      </c>
      <c r="AE40"/>
      <c r="AF40"/>
    </row>
    <row r="41" spans="1:32" x14ac:dyDescent="0.25">
      <c r="V41" s="824" t="s">
        <v>1950</v>
      </c>
      <c r="W41" s="824">
        <v>2025</v>
      </c>
      <c r="AB41" s="160">
        <v>3.1059959768124172</v>
      </c>
      <c r="AC41" s="160">
        <v>4.5267405253957351</v>
      </c>
      <c r="AD41" s="160">
        <v>2.3649813439165581</v>
      </c>
      <c r="AE41"/>
      <c r="AF41"/>
    </row>
    <row r="42" spans="1:32" x14ac:dyDescent="0.25">
      <c r="V42" s="824" t="s">
        <v>1950</v>
      </c>
      <c r="W42" s="824">
        <v>2026</v>
      </c>
      <c r="AB42" s="160">
        <v>3.1585576239719901</v>
      </c>
      <c r="AC42" s="160">
        <v>4.6045220392441228</v>
      </c>
      <c r="AD42" s="160">
        <v>2.3779090277889039</v>
      </c>
      <c r="AE42"/>
      <c r="AF42"/>
    </row>
    <row r="43" spans="1:32" x14ac:dyDescent="0.25">
      <c r="V43" s="824" t="s">
        <v>1950</v>
      </c>
      <c r="W43" s="824">
        <v>2027</v>
      </c>
      <c r="AB43" s="160">
        <v>3.162308497725387</v>
      </c>
      <c r="AC43" s="160">
        <v>4.6099748688167512</v>
      </c>
      <c r="AD43" s="160">
        <v>2.3919680810623731</v>
      </c>
      <c r="AE43"/>
      <c r="AF43"/>
    </row>
    <row r="44" spans="1:32" x14ac:dyDescent="0.25">
      <c r="V44" s="824" t="s">
        <v>1950</v>
      </c>
      <c r="W44" s="824">
        <v>2028</v>
      </c>
      <c r="AB44" s="160">
        <v>3.2143020755650515</v>
      </c>
      <c r="AC44" s="160">
        <v>4.6656571878279474</v>
      </c>
      <c r="AD44" s="160">
        <v>2.3875830310416251</v>
      </c>
      <c r="AE44"/>
      <c r="AF44"/>
    </row>
    <row r="45" spans="1:32" x14ac:dyDescent="0.25">
      <c r="V45" s="824" t="s">
        <v>1950</v>
      </c>
      <c r="W45" s="824">
        <v>2029</v>
      </c>
      <c r="AB45" s="160">
        <v>3.2401905630228911</v>
      </c>
      <c r="AC45" s="160">
        <v>4.8368335106967848</v>
      </c>
      <c r="AD45" s="160">
        <v>2.3927815012172791</v>
      </c>
    </row>
    <row r="46" spans="1:32" x14ac:dyDescent="0.25">
      <c r="A46" s="829" t="s">
        <v>1954</v>
      </c>
      <c r="B46" s="829"/>
      <c r="C46" s="829"/>
      <c r="D46" s="829"/>
      <c r="E46" s="829"/>
      <c r="F46" s="829"/>
      <c r="G46" s="829"/>
      <c r="H46" s="829"/>
      <c r="I46"/>
      <c r="J46"/>
      <c r="K46"/>
      <c r="U46"/>
      <c r="V46" s="824" t="s">
        <v>1950</v>
      </c>
      <c r="W46" s="824">
        <v>2030</v>
      </c>
      <c r="AB46" s="160">
        <v>3.2757663016187113</v>
      </c>
      <c r="AC46" s="160">
        <v>4.8739082475096671</v>
      </c>
      <c r="AD46" s="160">
        <v>2.4236725226277915</v>
      </c>
    </row>
    <row r="47" spans="1:32" x14ac:dyDescent="0.25">
      <c r="A47"/>
      <c r="B47"/>
      <c r="C47" s="812" t="s">
        <v>1955</v>
      </c>
      <c r="D47"/>
      <c r="E47"/>
      <c r="F47"/>
      <c r="G47"/>
      <c r="H47" s="812" t="s">
        <v>1956</v>
      </c>
      <c r="I47" s="812" t="s">
        <v>1956</v>
      </c>
      <c r="J47"/>
      <c r="K47"/>
      <c r="U47"/>
      <c r="V47" s="824" t="s">
        <v>1950</v>
      </c>
      <c r="W47" s="824">
        <v>2031</v>
      </c>
      <c r="AB47" s="160">
        <v>3.3156746286096532</v>
      </c>
      <c r="AC47" s="160">
        <v>4.9497000614709972</v>
      </c>
      <c r="AD47" s="160">
        <v>2.4270324512871939</v>
      </c>
    </row>
    <row r="48" spans="1:32" x14ac:dyDescent="0.25">
      <c r="A48"/>
      <c r="B48"/>
      <c r="C48" s="813" t="s">
        <v>1957</v>
      </c>
      <c r="D48" s="63" t="s">
        <v>1958</v>
      </c>
      <c r="E48" s="63" t="s">
        <v>1959</v>
      </c>
      <c r="F48" s="63" t="s">
        <v>1960</v>
      </c>
      <c r="G48" s="63" t="s">
        <v>840</v>
      </c>
      <c r="H48" s="63" t="s">
        <v>1961</v>
      </c>
      <c r="I48" s="63" t="s">
        <v>1962</v>
      </c>
      <c r="J48"/>
      <c r="K48"/>
      <c r="U48"/>
      <c r="V48" s="824" t="s">
        <v>1950</v>
      </c>
      <c r="W48" s="824">
        <v>2032</v>
      </c>
      <c r="AB48" s="160">
        <v>3.3373688355944751</v>
      </c>
      <c r="AC48" s="160">
        <v>5.1023192765843586</v>
      </c>
      <c r="AD48" s="160">
        <v>2.4395931687378636</v>
      </c>
    </row>
    <row r="49" spans="1:23" x14ac:dyDescent="0.25">
      <c r="A49"/>
      <c r="B49"/>
      <c r="C49" s="662">
        <v>2</v>
      </c>
      <c r="D49" s="64">
        <v>0.64615384615384608</v>
      </c>
      <c r="E49" s="65">
        <v>3.0333333333333345</v>
      </c>
      <c r="F49" s="65">
        <v>1.4413043478260872</v>
      </c>
      <c r="G49" s="65">
        <f>D49*E49+(1-D49)*F49</f>
        <v>2.4700000000000006</v>
      </c>
      <c r="H49" s="357">
        <f>F49/E49</f>
        <v>0.47515527950310549</v>
      </c>
      <c r="I49" s="697">
        <f>F49/G49</f>
        <v>0.58352402745995413</v>
      </c>
      <c r="J49"/>
      <c r="K49"/>
      <c r="U49"/>
    </row>
    <row r="50" spans="1:23" x14ac:dyDescent="0.25">
      <c r="A50"/>
      <c r="B50"/>
      <c r="C50" s="662">
        <v>2.5</v>
      </c>
      <c r="D50" s="64">
        <v>0.30769230769230771</v>
      </c>
      <c r="E50" s="65">
        <v>3.7499999999999991</v>
      </c>
      <c r="F50" s="65">
        <v>1.9011111111111114</v>
      </c>
      <c r="G50" s="65">
        <f>D50*E50+(1-D50)*F50</f>
        <v>2.4699999999999998</v>
      </c>
      <c r="H50" s="357">
        <f>F50/E50</f>
        <v>0.50696296296296317</v>
      </c>
      <c r="I50" s="697">
        <f>F50/G50</f>
        <v>0.7696806117858751</v>
      </c>
      <c r="J50"/>
      <c r="K50"/>
      <c r="U50"/>
      <c r="V50" s="48" t="s">
        <v>1963</v>
      </c>
    </row>
    <row r="51" spans="1:23" x14ac:dyDescent="0.25">
      <c r="A51"/>
      <c r="B51"/>
      <c r="C51" s="662" t="s">
        <v>1964</v>
      </c>
      <c r="D51" s="64">
        <v>1</v>
      </c>
      <c r="E51" s="65" t="s">
        <v>336</v>
      </c>
      <c r="F51" s="65" t="s">
        <v>336</v>
      </c>
      <c r="G51" s="663" t="s">
        <v>336</v>
      </c>
      <c r="H51"/>
      <c r="I51"/>
      <c r="J51"/>
      <c r="K51"/>
      <c r="U51"/>
      <c r="V51" s="772" t="s">
        <v>1965</v>
      </c>
      <c r="W51" s="48" t="s">
        <v>1966</v>
      </c>
    </row>
    <row r="52" spans="1:23" x14ac:dyDescent="0.25">
      <c r="A52"/>
      <c r="B52"/>
      <c r="C52"/>
      <c r="D52"/>
      <c r="E52"/>
      <c r="F52"/>
      <c r="G52"/>
      <c r="H52"/>
      <c r="I52"/>
      <c r="J52"/>
      <c r="K52"/>
      <c r="U52"/>
      <c r="V52" s="772" t="s">
        <v>1967</v>
      </c>
      <c r="W52" s="48" t="s">
        <v>1968</v>
      </c>
    </row>
    <row r="53" spans="1:23" x14ac:dyDescent="0.25">
      <c r="A53" s="829" t="s">
        <v>1969</v>
      </c>
      <c r="B53" s="829"/>
      <c r="C53" s="829"/>
      <c r="D53" s="829"/>
      <c r="E53" s="829"/>
      <c r="F53" s="829"/>
      <c r="G53" s="829"/>
      <c r="H53" s="829"/>
      <c r="I53" s="829"/>
      <c r="J53"/>
      <c r="K53"/>
    </row>
    <row r="54" spans="1:23" x14ac:dyDescent="0.25">
      <c r="A54"/>
      <c r="B54"/>
      <c r="C54"/>
      <c r="D54"/>
      <c r="E54"/>
      <c r="F54"/>
      <c r="G54"/>
      <c r="H54"/>
      <c r="I54"/>
      <c r="J54"/>
      <c r="K54"/>
    </row>
    <row r="55" spans="1:23" x14ac:dyDescent="0.25">
      <c r="A55"/>
      <c r="B55"/>
      <c r="C55"/>
      <c r="D55" s="812" t="s">
        <v>1970</v>
      </c>
      <c r="E55" s="812" t="s">
        <v>1971</v>
      </c>
      <c r="F55" s="812" t="s">
        <v>1549</v>
      </c>
      <c r="G55"/>
      <c r="H55"/>
      <c r="I55"/>
      <c r="J55"/>
      <c r="K55"/>
    </row>
    <row r="56" spans="1:23" x14ac:dyDescent="0.25">
      <c r="A56" s="813" t="s">
        <v>1972</v>
      </c>
      <c r="B56" s="813" t="s">
        <v>654</v>
      </c>
      <c r="C56" s="813" t="s">
        <v>695</v>
      </c>
      <c r="D56" s="813" t="s">
        <v>1973</v>
      </c>
      <c r="E56" s="813" t="s">
        <v>1974</v>
      </c>
      <c r="F56" s="813" t="s">
        <v>1975</v>
      </c>
      <c r="G56" s="848" t="s">
        <v>1976</v>
      </c>
      <c r="H56" s="848"/>
      <c r="I56" s="848"/>
      <c r="J56"/>
      <c r="K56"/>
    </row>
    <row r="57" spans="1:23" x14ac:dyDescent="0.25">
      <c r="A57" s="879" t="s">
        <v>1977</v>
      </c>
      <c r="B57" s="812" t="s">
        <v>1978</v>
      </c>
      <c r="C57" s="812" t="s">
        <v>1979</v>
      </c>
      <c r="D57" s="66">
        <v>2.6656646216769024</v>
      </c>
      <c r="E57" s="67">
        <v>5.3806464382512003</v>
      </c>
      <c r="F57" s="68">
        <f>IFERROR($D57/E57,"-")</f>
        <v>0.4954171682284495</v>
      </c>
      <c r="G57" t="s">
        <v>1980</v>
      </c>
      <c r="H57"/>
      <c r="I57"/>
      <c r="J57"/>
      <c r="K57"/>
    </row>
    <row r="58" spans="1:23" x14ac:dyDescent="0.25">
      <c r="A58" s="880"/>
      <c r="B58" s="812" t="s">
        <v>1978</v>
      </c>
      <c r="C58" s="812" t="s">
        <v>1979</v>
      </c>
      <c r="D58" s="66">
        <v>2</v>
      </c>
      <c r="E58" s="67">
        <v>5.3806464382512003</v>
      </c>
      <c r="F58" s="68">
        <f>IFERROR($D58/E58,"-")</f>
        <v>0.37170254967543143</v>
      </c>
      <c r="G58" t="s">
        <v>1981</v>
      </c>
      <c r="H58"/>
      <c r="I58"/>
      <c r="J58"/>
      <c r="K58"/>
    </row>
    <row r="59" spans="1:23" x14ac:dyDescent="0.25">
      <c r="A59" s="880"/>
      <c r="B59" s="812" t="s">
        <v>1978</v>
      </c>
      <c r="C59" s="812" t="s">
        <v>1640</v>
      </c>
      <c r="D59" s="66">
        <v>2</v>
      </c>
      <c r="E59" s="67">
        <v>5.107054122659048</v>
      </c>
      <c r="F59" s="68">
        <f t="shared" ref="F59:F61" si="8">IFERROR($D59/E59,"-")</f>
        <v>0.39161519575960091</v>
      </c>
      <c r="G59" t="s">
        <v>1981</v>
      </c>
      <c r="H59"/>
      <c r="I59"/>
      <c r="J59"/>
      <c r="K59"/>
    </row>
    <row r="60" spans="1:23" x14ac:dyDescent="0.25">
      <c r="A60" s="880"/>
      <c r="B60" s="812" t="s">
        <v>1978</v>
      </c>
      <c r="C60" s="812" t="s">
        <v>1979</v>
      </c>
      <c r="D60" s="69"/>
      <c r="E60" s="70"/>
      <c r="F60" s="68" t="str">
        <f t="shared" si="8"/>
        <v>-</v>
      </c>
      <c r="G60" t="s">
        <v>1982</v>
      </c>
      <c r="H60"/>
      <c r="I60"/>
      <c r="J60"/>
      <c r="K60"/>
    </row>
    <row r="61" spans="1:23" x14ac:dyDescent="0.25">
      <c r="A61" s="880"/>
      <c r="B61" s="812" t="s">
        <v>1978</v>
      </c>
      <c r="C61" s="812" t="s">
        <v>1640</v>
      </c>
      <c r="D61" s="69"/>
      <c r="E61" s="70"/>
      <c r="F61" s="68" t="str">
        <f t="shared" si="8"/>
        <v>-</v>
      </c>
      <c r="G61" t="s">
        <v>1982</v>
      </c>
      <c r="H61"/>
      <c r="I61"/>
      <c r="J61"/>
      <c r="K61" t="s">
        <v>1983</v>
      </c>
    </row>
    <row r="62" spans="1:23" x14ac:dyDescent="0.25">
      <c r="A62" s="881"/>
      <c r="B62" s="813" t="s">
        <v>1539</v>
      </c>
      <c r="C62" s="813" t="s">
        <v>1984</v>
      </c>
      <c r="D62" s="71">
        <v>5.1000000000000005</v>
      </c>
      <c r="E62" s="72"/>
      <c r="F62" s="73">
        <v>0.28666666666666668</v>
      </c>
      <c r="G62" s="3" t="s">
        <v>1980</v>
      </c>
      <c r="H62" s="3"/>
      <c r="I62" s="3"/>
      <c r="J62"/>
      <c r="K62" s="13">
        <f>D62/F62</f>
        <v>17.790697674418606</v>
      </c>
    </row>
    <row r="63" spans="1:23" x14ac:dyDescent="0.25">
      <c r="A63" s="879" t="s">
        <v>1985</v>
      </c>
      <c r="B63" s="818" t="s">
        <v>1978</v>
      </c>
      <c r="C63" s="818" t="s">
        <v>1979</v>
      </c>
      <c r="D63" s="74">
        <v>2</v>
      </c>
      <c r="E63" s="75">
        <f>E$14</f>
        <v>0</v>
      </c>
      <c r="F63" s="76" t="str">
        <f>IFERROR($D63/E63,"-")</f>
        <v>-</v>
      </c>
      <c r="G63" s="77" t="s">
        <v>1981</v>
      </c>
      <c r="H63" s="77"/>
      <c r="I63" s="77"/>
      <c r="J63"/>
      <c r="K63"/>
    </row>
    <row r="64" spans="1:23" x14ac:dyDescent="0.25">
      <c r="A64" s="880"/>
      <c r="B64" s="812" t="s">
        <v>1978</v>
      </c>
      <c r="C64" s="812" t="s">
        <v>1640</v>
      </c>
      <c r="D64" s="66">
        <v>2</v>
      </c>
      <c r="E64" s="70" t="str">
        <f>E$15</f>
        <v>MultYrAvg</v>
      </c>
      <c r="F64" s="68" t="str">
        <f>IFERROR($D64/E64,"-")</f>
        <v>-</v>
      </c>
      <c r="G64" t="s">
        <v>1981</v>
      </c>
      <c r="H64"/>
      <c r="I64"/>
      <c r="J64"/>
      <c r="K64"/>
    </row>
    <row r="65" spans="1:11" x14ac:dyDescent="0.25">
      <c r="A65" s="880"/>
      <c r="B65" s="812" t="s">
        <v>1978</v>
      </c>
      <c r="C65" s="812" t="s">
        <v>1979</v>
      </c>
      <c r="D65" s="69">
        <f t="shared" ref="D65:D66" si="9">F$6</f>
        <v>0</v>
      </c>
      <c r="E65" s="70">
        <f>E$14</f>
        <v>0</v>
      </c>
      <c r="F65" s="68" t="str">
        <f>IFERROR($D65/E65,"-")</f>
        <v>-</v>
      </c>
      <c r="G65" t="s">
        <v>1982</v>
      </c>
      <c r="H65"/>
      <c r="I65"/>
      <c r="J65"/>
      <c r="K65"/>
    </row>
    <row r="66" spans="1:11" x14ac:dyDescent="0.25">
      <c r="A66" s="880"/>
      <c r="B66" s="812" t="s">
        <v>1978</v>
      </c>
      <c r="C66" s="812" t="s">
        <v>1640</v>
      </c>
      <c r="D66" s="69">
        <f t="shared" si="9"/>
        <v>0</v>
      </c>
      <c r="E66" s="70" t="str">
        <f>E$15</f>
        <v>MultYrAvg</v>
      </c>
      <c r="F66" s="68" t="str">
        <f>IFERROR($D66/E66,"-")</f>
        <v>-</v>
      </c>
      <c r="G66" t="s">
        <v>1982</v>
      </c>
      <c r="H66"/>
      <c r="I66"/>
      <c r="J66"/>
      <c r="K66"/>
    </row>
    <row r="67" spans="1:11" x14ac:dyDescent="0.25">
      <c r="A67" s="881"/>
      <c r="B67" s="813" t="s">
        <v>1539</v>
      </c>
      <c r="C67" s="813" t="s">
        <v>616</v>
      </c>
      <c r="D67" s="78">
        <f>F67/E67</f>
        <v>3.9626816860465115</v>
      </c>
      <c r="E67" s="72">
        <v>5.0470871961339904E-2</v>
      </c>
      <c r="F67" s="79">
        <v>0.2</v>
      </c>
      <c r="G67" s="3" t="s">
        <v>1981</v>
      </c>
      <c r="H67" s="3"/>
      <c r="I67" s="3"/>
      <c r="J67"/>
      <c r="K67"/>
    </row>
    <row r="68" spans="1:11" x14ac:dyDescent="0.25">
      <c r="A68" s="879" t="s">
        <v>1986</v>
      </c>
      <c r="B68" s="812" t="s">
        <v>1978</v>
      </c>
      <c r="C68" s="812" t="s">
        <v>1979</v>
      </c>
      <c r="D68" s="66">
        <v>2.5</v>
      </c>
      <c r="E68" s="70">
        <f>E58</f>
        <v>5.3806464382512003</v>
      </c>
      <c r="F68" s="68">
        <f>IFERROR($D68/E68,"-")</f>
        <v>0.46462818709428932</v>
      </c>
      <c r="G68" t="s">
        <v>1981</v>
      </c>
      <c r="H68"/>
      <c r="I68"/>
      <c r="J68"/>
      <c r="K68"/>
    </row>
    <row r="69" spans="1:11" x14ac:dyDescent="0.25">
      <c r="A69" s="880"/>
      <c r="B69" s="812" t="s">
        <v>1978</v>
      </c>
      <c r="C69" s="812" t="s">
        <v>1640</v>
      </c>
      <c r="D69" s="66">
        <v>2.5</v>
      </c>
      <c r="E69" s="70">
        <f>E59</f>
        <v>5.107054122659048</v>
      </c>
      <c r="F69" s="68">
        <f>IFERROR($D69/E69,"-")</f>
        <v>0.48951899469950116</v>
      </c>
      <c r="G69" t="s">
        <v>1981</v>
      </c>
      <c r="H69"/>
      <c r="I69"/>
      <c r="J69"/>
      <c r="K69"/>
    </row>
    <row r="70" spans="1:11" x14ac:dyDescent="0.25">
      <c r="A70" s="880"/>
      <c r="B70" s="812" t="s">
        <v>1539</v>
      </c>
      <c r="C70" s="812" t="s">
        <v>616</v>
      </c>
      <c r="D70" s="80">
        <f>F70/E70</f>
        <v>6.3402906976744182</v>
      </c>
      <c r="E70" s="81">
        <v>5.0470871961339904E-2</v>
      </c>
      <c r="F70" s="82">
        <v>0.32</v>
      </c>
      <c r="G70" t="s">
        <v>1982</v>
      </c>
      <c r="H70"/>
      <c r="I70"/>
      <c r="J70"/>
      <c r="K70"/>
    </row>
    <row r="71" spans="1:11" x14ac:dyDescent="0.25">
      <c r="A71" s="880"/>
      <c r="B71" s="812" t="s">
        <v>1978</v>
      </c>
      <c r="C71" s="812" t="s">
        <v>1979</v>
      </c>
      <c r="D71" s="69">
        <f>F$7</f>
        <v>0</v>
      </c>
      <c r="E71" s="70">
        <f>E63</f>
        <v>0</v>
      </c>
      <c r="F71" s="68" t="str">
        <f>IFERROR($D71/E71,"-")</f>
        <v>-</v>
      </c>
      <c r="G71" t="s">
        <v>1982</v>
      </c>
      <c r="H71"/>
      <c r="I71"/>
      <c r="J71"/>
      <c r="K71"/>
    </row>
    <row r="72" spans="1:11" x14ac:dyDescent="0.25">
      <c r="A72" s="881"/>
      <c r="B72" s="813" t="s">
        <v>1978</v>
      </c>
      <c r="C72" s="813" t="s">
        <v>1640</v>
      </c>
      <c r="D72" s="71">
        <f>F$7</f>
        <v>0</v>
      </c>
      <c r="E72" s="83" t="str">
        <f>E64</f>
        <v>MultYrAvg</v>
      </c>
      <c r="F72" s="73" t="str">
        <f>IFERROR($D72/E72,"-")</f>
        <v>-</v>
      </c>
      <c r="G72" s="3" t="s">
        <v>1981</v>
      </c>
      <c r="H72" s="3"/>
      <c r="I72" s="3"/>
      <c r="J72"/>
      <c r="K72"/>
    </row>
  </sheetData>
  <mergeCells count="14">
    <mergeCell ref="A1:B1"/>
    <mergeCell ref="A11:AA11"/>
    <mergeCell ref="Q12:R12"/>
    <mergeCell ref="W13:AA13"/>
    <mergeCell ref="X14:Y14"/>
    <mergeCell ref="Z14:AA14"/>
    <mergeCell ref="F14:O14"/>
    <mergeCell ref="A68:A72"/>
    <mergeCell ref="J35:K35"/>
    <mergeCell ref="A46:H46"/>
    <mergeCell ref="A53:I53"/>
    <mergeCell ref="G56:I56"/>
    <mergeCell ref="A57:A62"/>
    <mergeCell ref="A63:A67"/>
  </mergeCells>
  <printOptions headings="1" gridLines="1"/>
  <pageMargins left="0.25" right="0.25" top="0.75" bottom="0.75" header="0.3" footer="0.3"/>
  <pageSetup scale="45" fitToWidth="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351C-D843-42AF-AD56-FF662FBF82A6}">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2020</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171</v>
      </c>
      <c r="AI3" s="1" t="s">
        <v>109</v>
      </c>
      <c r="AJ3">
        <f>35-SUM(AJ4:AJ5)</f>
        <v>14</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0.3</v>
      </c>
      <c r="AB4" s="833"/>
      <c r="AC4" s="833"/>
      <c r="AD4" s="833"/>
      <c r="AH4" s="1" t="s">
        <v>172</v>
      </c>
      <c r="AI4" s="1" t="s">
        <v>112</v>
      </c>
      <c r="AJ4">
        <v>5</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173</v>
      </c>
      <c r="AI5" s="1" t="s">
        <v>118</v>
      </c>
      <c r="AJ5">
        <v>16</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2020BSR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0.63008554542378492</v>
      </c>
      <c r="D9" s="5">
        <f ca="1">INDIRECT("'DevSumOut-"&amp;$B$2&amp;"BSR'!P50")</f>
        <v>7.2842259586564711E-3</v>
      </c>
      <c r="E9" s="5">
        <f ca="1">OFFSET('WSCOReductions-5PctSIP'!$U$81,0,MATCH($B$2,'WSCOReductions-5PctSIP'!$X$78:$AQ$78,1)+2)</f>
        <v>0.12300650734126532</v>
      </c>
      <c r="F9" s="5">
        <f ca="1">OFFSET('WSCOReductions-5PctSIP'!$U$84,0,MATCH($B$2,'WSCOReductions-5PctSIP'!$X$78:$AQ$78,1)+2)</f>
        <v>-3.9202492431138084E-4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4.7937569676700112E-2</v>
      </c>
      <c r="N9" s="5">
        <f ca="1">'BACM-R8'!O153*($B$2-$M$3+1)*$M$4/SCCRedFacsFull!$M$4</f>
        <v>4.7937569676700119E-2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0.28089903772818581</v>
      </c>
      <c r="Z9" s="510">
        <f ca="1">1-(1-F9)*(1-H9)*(1-J9)*(1-L9)*(1-N9)*(1-P9)*(1-R9)*(1-T9)*(1-X9)</f>
        <v>0.17971698331397401</v>
      </c>
      <c r="AA9" s="617">
        <f ca="1">VLOOKUP($B9,INDIRECT("'CurtailCalcs"&amp;$B$2&amp;"-2Stage'!$AS$91:$BE$109"),10,FALSE)</f>
        <v>0</v>
      </c>
      <c r="AB9" s="617">
        <f ca="1">VLOOKUP($B9,INDIRECT("'CurtailCalcs"&amp;$B$2&amp;"-2Stage'!$AS$91:$BE$109"),11,FALSE)</f>
        <v>0.28795766284735758</v>
      </c>
      <c r="AC9" s="617">
        <f ca="1">VLOOKUP($B9,INDIRECT("'CurtailCalcs"&amp;$B$2&amp;"-2Stage'!$AS$91:$BE$109"),12,FALSE)</f>
        <v>0</v>
      </c>
      <c r="AD9" s="617">
        <f ca="1">VLOOKUP($B9,INDIRECT("'CurtailCalcs"&amp;$B$2&amp;"-2Stage'!$AS$91:$BE$109"),13,FALSE)</f>
        <v>5.6185178519436274E-2</v>
      </c>
      <c r="AE9" s="510">
        <f ca="1">1-(1-$Y9)*(1-AA9)</f>
        <v>0.28089903772818581</v>
      </c>
      <c r="AF9" s="510">
        <f ca="1">1-(1-$Y9)*(1-AB9)</f>
        <v>0.48796967017526327</v>
      </c>
      <c r="AG9" s="510">
        <f ca="1">1-(1-$Z9)*(1-AC9)</f>
        <v>0.17971698331397401</v>
      </c>
      <c r="AH9" s="510">
        <f ca="1">1-(1-$Z9)*(1-AD9)</f>
        <v>0.22580473104294008</v>
      </c>
      <c r="AI9" s="530">
        <f ca="1">(Y9*$AJ$3+AE9*$AJ$4+AF9*$AJ$5)/35</f>
        <v>0.37555989827542124</v>
      </c>
      <c r="AJ9" s="530">
        <f ca="1">(Z9*$AJ$3+AG9*$AJ$4+AH9*$AJ$5)/35</f>
        <v>0.20078566799007277</v>
      </c>
    </row>
    <row r="10" spans="1:36" x14ac:dyDescent="0.25">
      <c r="A10" s="812" t="s">
        <v>138</v>
      </c>
      <c r="B10" s="812">
        <v>2104008210</v>
      </c>
      <c r="C10" s="5">
        <f ca="1">INDIRECT("'DevSumOut-"&amp;$B$2&amp;"BSR'!R51")</f>
        <v>4.9176230144171558E-2</v>
      </c>
      <c r="D10" s="5">
        <f ca="1">INDIRECT("'DevSumOut-"&amp;$B$2&amp;"BSR'!P51")</f>
        <v>6.4282653783230776E-4</v>
      </c>
      <c r="E10" s="5">
        <f ca="1">OFFSET('WSCOReductions-5PctSIP'!$U$81,0,MATCH($B$2,'WSCOReductions-5PctSIP'!$X$78:$AQ$78,1)+2)</f>
        <v>0.12300650734126532</v>
      </c>
      <c r="F10" s="5">
        <f ca="1">OFFSET('WSCOReductions-5PctSIP'!$U$84,0,MATCH($B$2,'WSCOReductions-5PctSIP'!$X$78:$AQ$78,1)+2)</f>
        <v>-3.9202492431138084E-4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8.1081081081081086E-2</v>
      </c>
      <c r="N10" s="5">
        <f ca="1">'BACM-R8'!O154*($B$2-$M$3+1)*$M$4/SCCRedFacsFull!$M$4</f>
        <v>8.1081081081081086E-2</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0.30555264631164158</v>
      </c>
      <c r="Z10" s="510">
        <f t="shared" ca="1" si="0"/>
        <v>0.20783951058350303</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-1.0366561227460784</v>
      </c>
      <c r="AD10" s="617">
        <f ca="1">VLOOKUP($B10,INDIRECT("'CurtailCalcs"&amp;$B$2&amp;"-2Stage'!$AS$91:$BE$109"),13,FALSE)</f>
        <v>-1.0366561227460784</v>
      </c>
      <c r="AE10" s="510">
        <f t="shared" ref="AE10:AF26" ca="1" si="1">1-(1-$Y10)*(1-AA10)</f>
        <v>0.50536351742186481</v>
      </c>
      <c r="AF10" s="510">
        <f t="shared" ca="1" si="1"/>
        <v>0.50536351742186481</v>
      </c>
      <c r="AG10" s="510">
        <f t="shared" ref="AG10:AH26" ca="1" si="2">1-(1-$Z10)*(1-AC10)</f>
        <v>-0.61335851096763871</v>
      </c>
      <c r="AH10" s="510">
        <f t="shared" ca="1" si="2"/>
        <v>-0.61335851096763871</v>
      </c>
      <c r="AI10" s="530">
        <f t="shared" ref="AI10:AI26" ca="1" si="3">(Y10*$AJ$3+AE10*$AJ$4+AF10*$AJ$5)/35</f>
        <v>0.42543916897777551</v>
      </c>
      <c r="AJ10" s="530">
        <f t="shared" ref="AJ10:AJ26" ca="1" si="4">(Z10*$AJ$3+AG10*$AJ$4+AH10*$AJ$5)/35</f>
        <v>-0.28487930234718201</v>
      </c>
    </row>
    <row r="11" spans="1:36" x14ac:dyDescent="0.25">
      <c r="A11" s="812" t="s">
        <v>139</v>
      </c>
      <c r="B11" s="812">
        <v>2104008220</v>
      </c>
      <c r="C11" s="5">
        <f ca="1">INDIRECT("'DevSumOut-"&amp;$B$2&amp;"BSR'!R52")</f>
        <v>4.06025242645318E-2</v>
      </c>
      <c r="D11" s="5">
        <f ca="1">INDIRECT("'DevSumOut-"&amp;$B$2&amp;"BSR'!P52")</f>
        <v>1.3534174754843934E-3</v>
      </c>
      <c r="E11" s="5">
        <f ca="1">OFFSET('WSCOReductions-5PctSIP'!$U$81,0,MATCH($B$2,'WSCOReductions-5PctSIP'!$X$78:$AQ$78,1)+2)</f>
        <v>0.12300650734126532</v>
      </c>
      <c r="F11" s="5">
        <f ca="1">OFFSET('WSCOReductions-5PctSIP'!$U$84,0,MATCH($B$2,'WSCOReductions-5PctSIP'!$X$78:$AQ$78,1)+2)</f>
        <v>-3.9202492431138084E-4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3.3446161030045343E-2</v>
      </c>
      <c r="N11" s="5">
        <f ca="1">'BACM-R8'!O155*($B$2-$M$3+1)*$M$4/SCCRedFacsFull!$M$4</f>
        <v>1.1095539879353944E-2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0.85968507680374873</v>
      </c>
      <c r="Z11" s="510">
        <f t="shared" ca="1" si="0"/>
        <v>0.82658415648142358</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-1.8976826025310296</v>
      </c>
      <c r="AE11" s="510">
        <f t="shared" ca="1" si="1"/>
        <v>0.90096630779016396</v>
      </c>
      <c r="AF11" s="510">
        <f t="shared" ca="1" si="1"/>
        <v>0.89993427701550366</v>
      </c>
      <c r="AG11" s="510">
        <f t="shared" ca="1" si="2"/>
        <v>0.48905776750865859</v>
      </c>
      <c r="AH11" s="510">
        <f t="shared" ca="1" si="2"/>
        <v>0.49749592723297775</v>
      </c>
      <c r="AI11" s="530">
        <f t="shared" ca="1" si="3"/>
        <v>0.8839820298986103</v>
      </c>
      <c r="AJ11" s="530">
        <f t="shared" ca="1" si="4"/>
        <v>0.62792576754316753</v>
      </c>
    </row>
    <row r="12" spans="1:36" x14ac:dyDescent="0.25">
      <c r="A12" s="812" t="s">
        <v>140</v>
      </c>
      <c r="B12" s="812">
        <v>2104008230</v>
      </c>
      <c r="C12" s="5">
        <f ca="1">INDIRECT("'DevSumOut-"&amp;$B$2&amp;"BSR'!R53")</f>
        <v>2.6482833480044356E-2</v>
      </c>
      <c r="D12" s="5">
        <f ca="1">INDIRECT("'DevSumOut-"&amp;$B$2&amp;"BSR'!P53")</f>
        <v>8.1485641477059556E-4</v>
      </c>
      <c r="E12" s="5">
        <f ca="1">OFFSET('WSCOReductions-5PctSIP'!$U$81,0,MATCH($B$2,'WSCOReductions-5PctSIP'!$X$78:$AQ$78,1)+2)</f>
        <v>0.12300650734126532</v>
      </c>
      <c r="F12" s="5">
        <f ca="1">OFFSET('WSCOReductions-5PctSIP'!$U$84,0,MATCH($B$2,'WSCOReductions-5PctSIP'!$X$78:$AQ$78,1)+2)</f>
        <v>-3.9202492431138084E-4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3.3446161030045357E-2</v>
      </c>
      <c r="N12" s="5">
        <f ca="1">'BACM-R8'!O156*($B$2-$M$3+1)*$M$4/SCCRedFacsFull!$M$4</f>
        <v>1.2020168202633446E-2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0</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0.8596850768037485</v>
      </c>
      <c r="Z12" s="510">
        <f t="shared" ca="1" si="0"/>
        <v>0.89467242120006862</v>
      </c>
      <c r="AA12" s="617">
        <f t="shared" ca="1" si="5"/>
        <v>0.29422890297323068</v>
      </c>
      <c r="AB12" s="617">
        <f t="shared" ca="1" si="6"/>
        <v>0.28687318039889986</v>
      </c>
      <c r="AC12" s="617">
        <f t="shared" ca="1" si="7"/>
        <v>-2.0822032972365507</v>
      </c>
      <c r="AD12" s="617">
        <f t="shared" ca="1" si="8"/>
        <v>-2.0301482148056369</v>
      </c>
      <c r="AE12" s="510">
        <f t="shared" ca="1" si="1"/>
        <v>0.9009697827265547</v>
      </c>
      <c r="AF12" s="510">
        <f t="shared" ca="1" si="1"/>
        <v>0.89993766507848449</v>
      </c>
      <c r="AG12" s="510">
        <f t="shared" ca="1" si="2"/>
        <v>0.67535898933290883</v>
      </c>
      <c r="AH12" s="510">
        <f t="shared" ca="1" si="2"/>
        <v>0.68084182512958791</v>
      </c>
      <c r="AI12" s="530">
        <f t="shared" ca="1" si="3"/>
        <v>0.88398407514688593</v>
      </c>
      <c r="AJ12" s="530">
        <f t="shared" ca="1" si="4"/>
        <v>0.76559080130111179</v>
      </c>
    </row>
    <row r="13" spans="1:36" x14ac:dyDescent="0.25">
      <c r="A13" s="812" t="s">
        <v>141</v>
      </c>
      <c r="B13" s="812">
        <v>2104008310</v>
      </c>
      <c r="C13" s="5">
        <f ca="1">INDIRECT("'DevSumOut-"&amp;$B$2&amp;"BSR'!R54")</f>
        <v>0.39600207736849047</v>
      </c>
      <c r="D13" s="5">
        <f ca="1">INDIRECT("'DevSumOut-"&amp;$B$2&amp;"BSR'!P54")</f>
        <v>1.3045663613548463E-2</v>
      </c>
      <c r="E13" s="5">
        <f ca="1">OFFSET('WSCOReductions-5PctSIP'!$U$81,0,MATCH($B$2,'WSCOReductions-5PctSIP'!$X$78:$AQ$78,1)+2)</f>
        <v>0.12300650734126532</v>
      </c>
      <c r="F13" s="5">
        <f ca="1">OFFSET('WSCOReductions-5PctSIP'!$U$84,0,MATCH($B$2,'WSCOReductions-5PctSIP'!$X$78:$AQ$78,1)+2)</f>
        <v>-3.9202492431138084E-4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7.7253218884120164E-2</v>
      </c>
      <c r="N13" s="5">
        <f ca="1">'BACM-R8'!O157*($B$2-$M$3+1)*$M$4/SCCRedFacsFull!$M$4</f>
        <v>7.7253218884120164E-2</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0.2096573852685647</v>
      </c>
      <c r="Z13" s="510">
        <f t="shared" ca="1" si="0"/>
        <v>9.804391625867015E-2</v>
      </c>
      <c r="AA13" s="617">
        <f t="shared" ca="1" si="5"/>
        <v>0.28706931613340025</v>
      </c>
      <c r="AB13" s="617">
        <f t="shared" ca="1" si="6"/>
        <v>0.28706931613340025</v>
      </c>
      <c r="AC13" s="617">
        <f t="shared" ca="1" si="7"/>
        <v>-1.500285765707206</v>
      </c>
      <c r="AD13" s="617">
        <f t="shared" ca="1" si="8"/>
        <v>-1.500285765707206</v>
      </c>
      <c r="AE13" s="510">
        <f t="shared" ca="1" si="1"/>
        <v>0.43654049919060123</v>
      </c>
      <c r="AF13" s="510">
        <f t="shared" ca="1" si="1"/>
        <v>0.43654049919060123</v>
      </c>
      <c r="AG13" s="510">
        <f t="shared" ca="1" si="2"/>
        <v>-1.2551479574714635</v>
      </c>
      <c r="AH13" s="510">
        <f t="shared" ca="1" si="2"/>
        <v>-1.2551479574714635</v>
      </c>
      <c r="AI13" s="530">
        <f t="shared" ca="1" si="3"/>
        <v>0.34578725362178658</v>
      </c>
      <c r="AJ13" s="530">
        <f t="shared" ca="1" si="4"/>
        <v>-0.71387120797940995</v>
      </c>
    </row>
    <row r="14" spans="1:36" x14ac:dyDescent="0.25">
      <c r="A14" s="812" t="s">
        <v>142</v>
      </c>
      <c r="B14" s="812">
        <v>2104008320</v>
      </c>
      <c r="C14" s="5">
        <f ca="1">INDIRECT("'DevSumOut-"&amp;$B$2&amp;"BSR'!R55")</f>
        <v>0.54418968075648921</v>
      </c>
      <c r="D14" s="5">
        <f ca="1">INDIRECT("'DevSumOut-"&amp;$B$2&amp;"BSR'!P55")</f>
        <v>2.7466552910846539E-2</v>
      </c>
      <c r="E14" s="5">
        <f ca="1">OFFSET('WSCOReductions-5PctSIP'!$U$81,0,MATCH($B$2,'WSCOReductions-5PctSIP'!$X$78:$AQ$78,1)+2)</f>
        <v>0.12300650734126532</v>
      </c>
      <c r="F14" s="5">
        <f ca="1">OFFSET('WSCOReductions-5PctSIP'!$U$84,0,MATCH($B$2,'WSCOReductions-5PctSIP'!$X$78:$AQ$78,1)+2)</f>
        <v>-3.9202492431138084E-4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1.7270455321147779E-2</v>
      </c>
      <c r="N14" s="5">
        <f ca="1">'BACM-R8'!O158*($B$2-$M$3+1)*$M$4/SCCRedFacsFull!$M$4</f>
        <v>-4.844197389724943E-3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0.25873618055878367</v>
      </c>
      <c r="Z14" s="510">
        <f t="shared" ca="1" si="0"/>
        <v>0.12984437971949181</v>
      </c>
      <c r="AA14" s="617">
        <f t="shared" ca="1" si="5"/>
        <v>0.2935430045257772</v>
      </c>
      <c r="AB14" s="617">
        <f t="shared" ca="1" si="6"/>
        <v>0.28620442941263291</v>
      </c>
      <c r="AC14" s="617">
        <f t="shared" ca="1" si="7"/>
        <v>-2.0142722140188036</v>
      </c>
      <c r="AD14" s="617">
        <f t="shared" ca="1" si="8"/>
        <v>-1.9639154086683335</v>
      </c>
      <c r="AE14" s="510">
        <f t="shared" ca="1" si="1"/>
        <v>0.47632898926381151</v>
      </c>
      <c r="AF14" s="510">
        <f t="shared" ca="1" si="1"/>
        <v>0.47088916904618594</v>
      </c>
      <c r="AG14" s="510">
        <f t="shared" ca="1" si="2"/>
        <v>-1.6228859080838327</v>
      </c>
      <c r="AH14" s="510">
        <f t="shared" ca="1" si="2"/>
        <v>-1.5790676508887498</v>
      </c>
      <c r="AI14" s="530">
        <f t="shared" ca="1" si="3"/>
        <v>0.38680509082517156</v>
      </c>
      <c r="AJ14" s="530">
        <f t="shared" ca="1" si="4"/>
        <v>-0.90176258967332212</v>
      </c>
    </row>
    <row r="15" spans="1:36" x14ac:dyDescent="0.25">
      <c r="A15" s="812" t="s">
        <v>143</v>
      </c>
      <c r="B15" s="812">
        <v>2104008330</v>
      </c>
      <c r="C15" s="5">
        <f ca="1">INDIRECT("'DevSumOut-"&amp;$B$2&amp;"BSR'!R56")</f>
        <v>0.36354800844110946</v>
      </c>
      <c r="D15" s="5">
        <f ca="1">INDIRECT("'DevSumOut-"&amp;$B$2&amp;"BSR'!P56")</f>
        <v>1.653687589856848E-2</v>
      </c>
      <c r="E15" s="5">
        <f ca="1">OFFSET('WSCOReductions-5PctSIP'!$U$81,0,MATCH($B$2,'WSCOReductions-5PctSIP'!$X$78:$AQ$78,1)+2)</f>
        <v>0.12300650734126532</v>
      </c>
      <c r="F15" s="5">
        <f ca="1">OFFSET('WSCOReductions-5PctSIP'!$U$84,0,MATCH($B$2,'WSCOReductions-5PctSIP'!$X$78:$AQ$78,1)+2)</f>
        <v>-3.9202492431138084E-4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1.7270455321147772E-2</v>
      </c>
      <c r="N15" s="5">
        <f ca="1">'BACM-R8'!O159*($B$2-$M$3+1)*$M$4/SCCRedFacsFull!$M$4</f>
        <v>-5.3750683365441157E-3</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0.25873618055878367</v>
      </c>
      <c r="Z15" s="510">
        <f t="shared" ca="1" si="0"/>
        <v>0.1441960489809474</v>
      </c>
      <c r="AA15" s="617">
        <f t="shared" ca="1" si="5"/>
        <v>0.29362726123173721</v>
      </c>
      <c r="AB15" s="617">
        <f t="shared" ca="1" si="6"/>
        <v>0.28628657970094373</v>
      </c>
      <c r="AC15" s="617">
        <f t="shared" ca="1" si="7"/>
        <v>-2.1501343804542983</v>
      </c>
      <c r="AD15" s="617">
        <f t="shared" ca="1" si="8"/>
        <v>-2.0963810209429412</v>
      </c>
      <c r="AE15" s="510">
        <f t="shared" ca="1" si="1"/>
        <v>0.47639144571148495</v>
      </c>
      <c r="AF15" s="510">
        <f t="shared" ca="1" si="1"/>
        <v>0.47095006408266737</v>
      </c>
      <c r="AG15" s="510">
        <f t="shared" ca="1" si="2"/>
        <v>-1.695897449033744</v>
      </c>
      <c r="AH15" s="510">
        <f t="shared" ca="1" si="2"/>
        <v>-1.6498951115833771</v>
      </c>
      <c r="AI15" s="530">
        <f t="shared" ca="1" si="3"/>
        <v>0.38684185090580214</v>
      </c>
      <c r="AJ15" s="530">
        <f t="shared" ca="1" si="4"/>
        <v>-0.93883040985055699</v>
      </c>
    </row>
    <row r="16" spans="1:36" x14ac:dyDescent="0.25">
      <c r="A16" s="812" t="s">
        <v>144</v>
      </c>
      <c r="B16" s="812">
        <v>2104008410</v>
      </c>
      <c r="C16" s="5">
        <f ca="1">INDIRECT("'DevSumOut-"&amp;$B$2&amp;"BSR'!R57")</f>
        <v>1.3414446597388096E-2</v>
      </c>
      <c r="D16" s="5">
        <f ca="1">INDIRECT("'DevSumOut-"&amp;$B$2&amp;"BSR'!P57")</f>
        <v>1.4502104429608754E-3</v>
      </c>
      <c r="E16" s="5">
        <f ca="1">OFFSET('WSCOReductions-5PctSIP'!$U$81,0,MATCH($B$2,'WSCOReductions-5PctSIP'!$X$78:$AQ$78,1)+2)</f>
        <v>0.12300650734126532</v>
      </c>
      <c r="F16" s="5">
        <f ca="1">OFFSET('WSCOReductions-5PctSIP'!$U$84,0,MATCH($B$2,'WSCOReductions-5PctSIP'!$X$78:$AQ$78,1)+2)</f>
        <v>-3.9202492431138084E-4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0.24077900748358383</v>
      </c>
      <c r="Z16" s="510">
        <f t="shared" ca="1" si="0"/>
        <v>0.13395181101520981</v>
      </c>
      <c r="AA16" s="617">
        <f t="shared" ca="1" si="5"/>
        <v>0.28421768990847995</v>
      </c>
      <c r="AB16" s="617">
        <f t="shared" ca="1" si="6"/>
        <v>0.28421768990847995</v>
      </c>
      <c r="AC16" s="617">
        <f t="shared" ca="1" si="7"/>
        <v>-1.9266357697207885</v>
      </c>
      <c r="AD16" s="617">
        <f t="shared" ca="1" si="8"/>
        <v>-1.9266357697207885</v>
      </c>
      <c r="AE16" s="510">
        <f t="shared" ca="1" si="1"/>
        <v>0.45656304410662296</v>
      </c>
      <c r="AF16" s="510">
        <f t="shared" ca="1" si="1"/>
        <v>0.45656304410662296</v>
      </c>
      <c r="AG16" s="510">
        <f t="shared" ca="1" si="2"/>
        <v>-1.5346076081847966</v>
      </c>
      <c r="AH16" s="510">
        <f t="shared" ca="1" si="2"/>
        <v>-1.5346076081847966</v>
      </c>
      <c r="AI16" s="530">
        <f t="shared" ca="1" si="3"/>
        <v>0.37024942945740735</v>
      </c>
      <c r="AJ16" s="530">
        <f t="shared" ca="1" si="4"/>
        <v>-0.86718384050479402</v>
      </c>
    </row>
    <row r="17" spans="1:40" x14ac:dyDescent="0.25">
      <c r="A17" s="812" t="s">
        <v>145</v>
      </c>
      <c r="B17" s="812">
        <v>2104008420</v>
      </c>
      <c r="C17" s="5">
        <f ca="1">INDIRECT("'DevSumOut-"&amp;$B$2&amp;"BSR'!R58")</f>
        <v>4.5247345275163664E-2</v>
      </c>
      <c r="D17" s="5">
        <f ca="1">INDIRECT("'DevSumOut-"&amp;$B$2&amp;"BSR'!P58")</f>
        <v>4.8916048946122887E-3</v>
      </c>
      <c r="E17" s="5">
        <f ca="1">OFFSET('WSCOReductions-5PctSIP'!$U$81,0,MATCH($B$2,'WSCOReductions-5PctSIP'!$X$78:$AQ$78,1)+2)</f>
        <v>0.12300650734126532</v>
      </c>
      <c r="F17" s="5">
        <f ca="1">OFFSET('WSCOReductions-5PctSIP'!$U$84,0,MATCH($B$2,'WSCOReductions-5PctSIP'!$X$78:$AQ$78,1)+2)</f>
        <v>-3.9202492431138084E-4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0.2534827047239121</v>
      </c>
      <c r="Z17" s="510">
        <f t="shared" ca="1" si="0"/>
        <v>0.14844299882066225</v>
      </c>
      <c r="AA17" s="617">
        <f t="shared" ca="1" si="5"/>
        <v>0.28273178237252561</v>
      </c>
      <c r="AB17" s="617">
        <f t="shared" ca="1" si="6"/>
        <v>0.28273178237252561</v>
      </c>
      <c r="AC17" s="617">
        <f t="shared" ca="1" si="7"/>
        <v>-2.7966712506825275</v>
      </c>
      <c r="AD17" s="617">
        <f t="shared" ca="1" si="8"/>
        <v>-2.7966712506825275</v>
      </c>
      <c r="AE17" s="510">
        <f t="shared" ca="1" si="1"/>
        <v>0.46454687018923746</v>
      </c>
      <c r="AF17" s="510">
        <f t="shared" ca="1" si="1"/>
        <v>0.46454687018923746</v>
      </c>
      <c r="AG17" s="510">
        <f t="shared" ca="1" si="2"/>
        <v>-2.2330819846950187</v>
      </c>
      <c r="AH17" s="510">
        <f t="shared" ca="1" si="2"/>
        <v>-2.2330819846950187</v>
      </c>
      <c r="AI17" s="530">
        <f t="shared" ca="1" si="3"/>
        <v>0.38012120400310728</v>
      </c>
      <c r="AJ17" s="530">
        <f t="shared" ca="1" si="4"/>
        <v>-1.2804719912887463</v>
      </c>
    </row>
    <row r="18" spans="1:40" x14ac:dyDescent="0.25">
      <c r="A18" s="812" t="s">
        <v>146</v>
      </c>
      <c r="B18" s="812">
        <v>2104008610</v>
      </c>
      <c r="C18" s="5">
        <f ca="1">INDIRECT("'DevSumOut-"&amp;$B$2&amp;"BSR'!R59")</f>
        <v>0.22480413436572588</v>
      </c>
      <c r="D18" s="5">
        <f ca="1">INDIRECT("'DevSumOut-"&amp;$B$2&amp;"BSR'!P59")</f>
        <v>9.1104628402659382E-3</v>
      </c>
      <c r="E18" s="5">
        <f ca="1">OFFSET('WSCOReductions-5PctSIP'!$U$81,0,MATCH($B$2,'WSCOReductions-5PctSIP'!$X$78:$AQ$78,1)+2)</f>
        <v>0.12300650734126532</v>
      </c>
      <c r="F18" s="5">
        <f ca="1">OFFSET('WSCOReductions-5PctSIP'!$U$84,0,MATCH($B$2,'WSCOReductions-5PctSIP'!$X$78:$AQ$78,1)+2)</f>
        <v>-3.9202492431138084E-4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6.6276978182150864E-2</v>
      </c>
      <c r="N18" s="5">
        <f ca="1">'BACM-R8'!O162*($B$2-$M$3+1)*$M$4/SCCRedFacsFull!$M$4</f>
        <v>2.6602739238806326E-2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0.27243501400906889</v>
      </c>
      <c r="Z18" s="510">
        <f t="shared" ca="1" si="0"/>
        <v>0.13479764396180072</v>
      </c>
      <c r="AA18" s="617">
        <f t="shared" ca="1" si="5"/>
        <v>0.26509857267883641</v>
      </c>
      <c r="AB18" s="617">
        <f t="shared" ca="1" si="6"/>
        <v>0.28708831603468465</v>
      </c>
      <c r="AC18" s="617">
        <f t="shared" ca="1" si="7"/>
        <v>-1.0489921575897503</v>
      </c>
      <c r="AD18" s="617">
        <f t="shared" ca="1" si="8"/>
        <v>-1.1360053319520338</v>
      </c>
      <c r="AE18" s="510">
        <f t="shared" ca="1" si="1"/>
        <v>0.46531145332636237</v>
      </c>
      <c r="AF18" s="510">
        <f t="shared" ca="1" si="1"/>
        <v>0.48131042064300422</v>
      </c>
      <c r="AG18" s="510">
        <f t="shared" ca="1" si="2"/>
        <v>-0.77279284225044531</v>
      </c>
      <c r="AH18" s="510">
        <f t="shared" ca="1" si="2"/>
        <v>-0.84807684571505559</v>
      </c>
      <c r="AI18" s="530">
        <f t="shared" ca="1" si="3"/>
        <v>0.39547469122990986</v>
      </c>
      <c r="AJ18" s="530">
        <f t="shared" ca="1" si="4"/>
        <v>-0.44417219220651161</v>
      </c>
    </row>
    <row r="19" spans="1:40" x14ac:dyDescent="0.25">
      <c r="A19" s="812" t="s">
        <v>147</v>
      </c>
      <c r="B19" s="812">
        <v>2104004000</v>
      </c>
      <c r="C19" s="5">
        <f ca="1">INDIRECT("'DevSumOut-"&amp;$B$2&amp;"BSR'!R60")+INDIRECT("'DevSumOut-"&amp;$B$2&amp;"BSR'!R62")+INDIRECT("'DevSumOut-"&amp;$B$2&amp;"BSR'!R63")</f>
        <v>5.1816325613546599E-2</v>
      </c>
      <c r="D19" s="5">
        <f ca="1">INDIRECT("'DevSumOut-"&amp;$B$2&amp;"BSR'!P60")+INDIRECT("'DevSumOut-"&amp;$B$2&amp;"BSR'!P62")+INDIRECT("'DevSumOut-"&amp;$B$2&amp;"BSR'!P63")</f>
        <v>3.2826541580159634</v>
      </c>
      <c r="E19" s="5">
        <f ca="1">OFFSET('WSCOReductions-5PctSIP'!$U$81,0,MATCH($B$2,'WSCOReductions-5PctSIP'!$X$78:$AQ$78,1)+2)</f>
        <v>0.12300650734126532</v>
      </c>
      <c r="F19" s="5">
        <f ca="1">OFFSET('WSCOReductions-5PctSIP'!$U$84,0,MATCH($B$2,'WSCOReductions-5PctSIP'!$X$78:$AQ$78,1)+2)</f>
        <v>-3.9202492431138084E-4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0.12108753172591025</v>
      </c>
      <c r="Z19" s="510">
        <f t="shared" ca="1" si="0"/>
        <v>-2.5828140591688253E-3</v>
      </c>
      <c r="AA19" s="617">
        <f t="shared" ca="1" si="5"/>
        <v>0</v>
      </c>
      <c r="AB19" s="617">
        <f t="shared" ca="1" si="6"/>
        <v>0</v>
      </c>
      <c r="AC19" s="617">
        <f t="shared" ca="1" si="7"/>
        <v>0</v>
      </c>
      <c r="AD19" s="617">
        <f t="shared" ca="1" si="8"/>
        <v>0</v>
      </c>
      <c r="AE19" s="510">
        <f t="shared" ca="1" si="1"/>
        <v>0.12108753172591025</v>
      </c>
      <c r="AF19" s="510">
        <f t="shared" ca="1" si="1"/>
        <v>0.12108753172591025</v>
      </c>
      <c r="AG19" s="510">
        <f t="shared" ca="1" si="2"/>
        <v>-2.5828140591688253E-3</v>
      </c>
      <c r="AH19" s="510">
        <f t="shared" ca="1" si="2"/>
        <v>-2.5828140591688253E-3</v>
      </c>
      <c r="AI19" s="530">
        <f t="shared" ca="1" si="3"/>
        <v>0.12108753172591025</v>
      </c>
      <c r="AJ19" s="530">
        <f t="shared" ca="1" si="4"/>
        <v>-2.5828140591688253E-3</v>
      </c>
    </row>
    <row r="20" spans="1:40" x14ac:dyDescent="0.25">
      <c r="A20" s="812" t="s">
        <v>148</v>
      </c>
      <c r="B20" s="812">
        <v>2103004001</v>
      </c>
      <c r="C20" s="5">
        <f ca="1">INDIRECT("'DevSumOut-"&amp;$B$2&amp;"BSR'!R61")</f>
        <v>1.5716246790971777E-2</v>
      </c>
      <c r="D20" s="5">
        <f ca="1">INDIRECT("'DevSumOut-"&amp;$B$2&amp;"BSR'!P61")</f>
        <v>0.43793740989064345</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5.8529310125197154E-6</v>
      </c>
      <c r="D21" s="5">
        <f ca="1">INDIRECT("'DevSumOut-"&amp;$B$2&amp;"BSR'!P64")</f>
        <v>7.089878477573757E-5</v>
      </c>
      <c r="E21" s="5">
        <f ca="1">OFFSET('WSCOReductions-5PctSIP'!$U$81,0,MATCH($B$2,'WSCOReductions-5PctSIP'!$X$78:$AQ$78,1)+2)</f>
        <v>0.12300650734126532</v>
      </c>
      <c r="F21" s="5">
        <f ca="1">OFFSET('WSCOReductions-5PctSIP'!$U$84,0,MATCH($B$2,'WSCOReductions-5PctSIP'!$X$78:$AQ$78,1)+2)</f>
        <v>-3.9202492431138084E-4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0.12300650734126528</v>
      </c>
      <c r="Z21" s="510">
        <f t="shared" ca="1" si="0"/>
        <v>-3.9202492431145153E-4</v>
      </c>
      <c r="AA21" s="617">
        <f t="shared" ca="1" si="5"/>
        <v>0</v>
      </c>
      <c r="AB21" s="617">
        <f t="shared" ca="1" si="6"/>
        <v>0</v>
      </c>
      <c r="AC21" s="617">
        <f t="shared" ca="1" si="7"/>
        <v>0</v>
      </c>
      <c r="AD21" s="617">
        <f t="shared" ca="1" si="8"/>
        <v>0</v>
      </c>
      <c r="AE21" s="510">
        <f t="shared" ca="1" si="1"/>
        <v>0.12300650734126528</v>
      </c>
      <c r="AF21" s="510">
        <f t="shared" ca="1" si="1"/>
        <v>0.12300650734126528</v>
      </c>
      <c r="AG21" s="510">
        <f t="shared" ca="1" si="2"/>
        <v>-3.9202492431145153E-4</v>
      </c>
      <c r="AH21" s="510">
        <f t="shared" ca="1" si="2"/>
        <v>-3.9202492431145153E-4</v>
      </c>
      <c r="AI21" s="530">
        <f t="shared" ca="1" si="3"/>
        <v>0.12300650734126529</v>
      </c>
      <c r="AJ21" s="530">
        <f t="shared" ca="1" si="4"/>
        <v>-3.9202492431145153E-4</v>
      </c>
    </row>
    <row r="22" spans="1:40" x14ac:dyDescent="0.25">
      <c r="A22" s="812" t="s">
        <v>150</v>
      </c>
      <c r="B22" s="812">
        <v>2103006000</v>
      </c>
      <c r="C22" s="5">
        <f ca="1">INDIRECT("'DevSumOut-"&amp;$B$2&amp;"BSR'!R65")</f>
        <v>1.0079518569867291E-2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8.9380357379555991E-2</v>
      </c>
      <c r="D23" s="5">
        <f ca="1">INDIRECT("'DevSumOut-"&amp;$B$2&amp;"BSR'!P66")</f>
        <v>0.10403470883978358</v>
      </c>
      <c r="E23" s="5">
        <f ca="1">OFFSET('WSCOReductions-5PctSIP'!$U$81,0,MATCH($B$2,'WSCOReductions-5PctSIP'!$X$78:$AQ$78,1)+2)</f>
        <v>0.12300650734126532</v>
      </c>
      <c r="F23" s="5">
        <f ca="1">OFFSET('WSCOReductions-5PctSIP'!$U$84,0,MATCH($B$2,'WSCOReductions-5PctSIP'!$X$78:$AQ$78,1)+2)</f>
        <v>-3.9202492431138084E-4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0.12300650734126528</v>
      </c>
      <c r="Z23" s="510">
        <f t="shared" ca="1" si="0"/>
        <v>-3.9202492431145153E-4</v>
      </c>
      <c r="AA23" s="617">
        <f t="shared" ca="1" si="5"/>
        <v>0.29896926355238951</v>
      </c>
      <c r="AB23" s="617">
        <f t="shared" ca="1" si="6"/>
        <v>0.29896926355238951</v>
      </c>
      <c r="AC23" s="617">
        <f t="shared" ca="1" si="7"/>
        <v>0.2461871314670373</v>
      </c>
      <c r="AD23" s="617">
        <f t="shared" ca="1" si="8"/>
        <v>0.2461871314670373</v>
      </c>
      <c r="AE23" s="510">
        <f t="shared" ca="1" si="1"/>
        <v>0.38520060598168515</v>
      </c>
      <c r="AF23" s="510">
        <f t="shared" ca="1" si="1"/>
        <v>0.38520060598168515</v>
      </c>
      <c r="AG23" s="510">
        <f t="shared" ca="1" si="2"/>
        <v>0.2458916180343057</v>
      </c>
      <c r="AH23" s="510">
        <f t="shared" ca="1" si="2"/>
        <v>0.2458916180343057</v>
      </c>
      <c r="AI23" s="530">
        <f t="shared" ca="1" si="3"/>
        <v>0.28032296652551719</v>
      </c>
      <c r="AJ23" s="530">
        <f t="shared" ca="1" si="4"/>
        <v>0.14737816085085884</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7.5369704121824456E-6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2.5034373567279267</v>
      </c>
      <c r="D27" s="450">
        <f ca="1">INDIRECT("'DevSumOut-"&amp;$B$2&amp;"BSR'!P70")</f>
        <v>3.9252055415799574</v>
      </c>
      <c r="E27" s="450">
        <f ca="1">$C27-E28</f>
        <v>2.199026343119193</v>
      </c>
      <c r="F27" s="450">
        <f ca="1">$D27-F28</f>
        <v>3.9265656157846283</v>
      </c>
      <c r="G27" s="450">
        <f ca="1">$C27-G28</f>
        <v>2.5034373567279267</v>
      </c>
      <c r="H27" s="450">
        <f ca="1">$D27-H28</f>
        <v>3.9252055415799574</v>
      </c>
      <c r="I27" s="450">
        <f ca="1">$C27-I28</f>
        <v>2.5034373567279267</v>
      </c>
      <c r="J27" s="450">
        <f ca="1">$D27-J28</f>
        <v>3.9252055415799574</v>
      </c>
      <c r="K27" s="450">
        <f ca="1">$C27-K28</f>
        <v>2.5034373567279267</v>
      </c>
      <c r="L27" s="450">
        <f ca="1">$D27-L28</f>
        <v>3.9252055415799574</v>
      </c>
      <c r="M27" s="450">
        <f ca="1">$C27-M28</f>
        <v>2.4058327603356897</v>
      </c>
      <c r="N27" s="450">
        <f ca="1">$D27-N28</f>
        <v>3.9237511782791819</v>
      </c>
      <c r="O27" s="450">
        <f ca="1">$C27-O28</f>
        <v>2.5034373567279267</v>
      </c>
      <c r="P27" s="450">
        <f ca="1">$D27-P28</f>
        <v>3.9252055415799574</v>
      </c>
      <c r="Q27" s="450">
        <f ca="1">$C27-Q28</f>
        <v>2.1834922151112481</v>
      </c>
      <c r="R27" s="450">
        <f ca="1">$D27-R28</f>
        <v>3.9210566332703851</v>
      </c>
      <c r="S27" s="450">
        <f ca="1">$C27-S28</f>
        <v>2.5034373567279267</v>
      </c>
      <c r="T27" s="450">
        <f ca="1">$D27-T28</f>
        <v>3.9252055415799574</v>
      </c>
      <c r="U27" s="786">
        <f ca="1">$C27-U28</f>
        <v>2.5034373567279267</v>
      </c>
      <c r="V27" s="786">
        <f ca="1">$D27-V28</f>
        <v>3.9252055415799574</v>
      </c>
      <c r="W27" s="450">
        <f ca="1">$C27-W28</f>
        <v>2.5034373567279267</v>
      </c>
      <c r="X27" s="450">
        <f ca="1">$D27-X28</f>
        <v>3.9252055415799574</v>
      </c>
      <c r="Y27" s="450">
        <f ca="1">$C27-Y28</f>
        <v>1.8426461317952367</v>
      </c>
      <c r="Z27" s="450">
        <f ca="1">$D27-Z28</f>
        <v>3.9210559626269372</v>
      </c>
      <c r="AA27" s="450">
        <f ca="1">$C27-AA28</f>
        <v>1.986457163091131</v>
      </c>
      <c r="AB27" s="450">
        <f ca="1">$C27-AB28</f>
        <v>1.8072315199581706</v>
      </c>
      <c r="AC27" s="450">
        <f ca="1">$D27-AC28</f>
        <v>4.0410757192618476</v>
      </c>
      <c r="AD27" s="450">
        <f ca="1">$D27-AD28</f>
        <v>4.0390788708033432</v>
      </c>
      <c r="AE27" s="450">
        <f ca="1">$C27-AE28</f>
        <v>1.4634255047017184</v>
      </c>
      <c r="AF27" s="450">
        <f ca="1">$C27-AF28</f>
        <v>1.3343643922529929</v>
      </c>
      <c r="AG27" s="450">
        <f ca="1">$D27-AG28</f>
        <v>4.0151592804462224</v>
      </c>
      <c r="AH27" s="450">
        <f ca="1">$D27-AH28</f>
        <v>4.0135292794919479</v>
      </c>
      <c r="AI27" s="787">
        <f ca="1">$C27-AI28</f>
        <v>1.5561143898482794</v>
      </c>
      <c r="AJ27" s="787">
        <f ca="1">$D27-AJ28</f>
        <v>3.9767728100251256</v>
      </c>
    </row>
    <row r="28" spans="1:40" x14ac:dyDescent="0.25">
      <c r="B28" s="244" t="s">
        <v>156</v>
      </c>
      <c r="E28" s="450">
        <f ca="1">SUMPRODUCT($C9:$C26,E9:E26)</f>
        <v>0.30441101360873379</v>
      </c>
      <c r="F28" s="450">
        <f ca="1">SUMPRODUCT($D9:$D26,F9:F26)</f>
        <v>-1.3600742046709689E-3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9.7604596392236911E-2</v>
      </c>
      <c r="N28" s="450">
        <f ca="1">SUMPRODUCT($D9:$D26,N9:N26)</f>
        <v>1.4543633007754347E-3</v>
      </c>
      <c r="O28" s="450">
        <f ca="1">SUMPRODUCT($C9:$C26,O9:O26)</f>
        <v>0</v>
      </c>
      <c r="P28" s="450">
        <f ca="1">SUMPRODUCT($D9:$D26,P9:P26)</f>
        <v>0</v>
      </c>
      <c r="Q28" s="450">
        <f ca="1">SUMPRODUCT($C9:$C26,Q9:Q26)</f>
        <v>0.31994514161667864</v>
      </c>
      <c r="R28" s="450">
        <f ca="1">SUMPRODUCT($D9:$D26,R9:R26)</f>
        <v>4.1489083095724126E-3</v>
      </c>
      <c r="S28" s="450">
        <f ca="1">SUMPRODUCT($C9:$C26,S9:S26)</f>
        <v>0</v>
      </c>
      <c r="T28" s="450">
        <f ca="1">SUMPRODUCT($D9:$D26,T9:T26)</f>
        <v>0</v>
      </c>
      <c r="U28" s="786">
        <f ca="1">SUMPRODUCT($C9:$C26,U9:U26)</f>
        <v>0</v>
      </c>
      <c r="V28" s="786">
        <f ca="1">SUMPRODUCT($D9:$D26,V9:V26)</f>
        <v>0</v>
      </c>
      <c r="W28" s="450">
        <f ca="1">SUMPRODUCT($C9:$C26,W9:W26)</f>
        <v>0</v>
      </c>
      <c r="X28" s="450">
        <f ca="1">SUMPRODUCT($D9:$D26,X9:X26)</f>
        <v>0</v>
      </c>
      <c r="Y28" s="450">
        <f ca="1">SUMPRODUCT($C9:$C26,Y9:Y26)</f>
        <v>0.66079122493268994</v>
      </c>
      <c r="Z28" s="450">
        <f ca="1">SUMPRODUCT($D9:$D26,Z9:Z26)</f>
        <v>4.1495789530199556E-3</v>
      </c>
      <c r="AA28" s="450">
        <f ca="1">SUMPRODUCT($C9:$C26,AA9:AA26)</f>
        <v>0.51698019363679559</v>
      </c>
      <c r="AB28" s="450">
        <f ca="1">SUMPRODUCT($C9:$C26,AB9:AB26)</f>
        <v>0.69620583676975611</v>
      </c>
      <c r="AC28" s="450">
        <f ca="1">SUMPRODUCT($D9:$D26,AC9:AC26)</f>
        <v>-0.11587017768189048</v>
      </c>
      <c r="AD28" s="450">
        <f ca="1">SUMPRODUCT($D9:$D26,AD9:AD26)</f>
        <v>-0.11387332922338603</v>
      </c>
      <c r="AE28" s="450">
        <f ca="1">SUMPRODUCT($C9:$C26,AE9:AE26)</f>
        <v>1.0400118520262083</v>
      </c>
      <c r="AF28" s="450">
        <f ca="1">SUMPRODUCT($C9:$C26,AF9:AF26)</f>
        <v>1.1690729644749338</v>
      </c>
      <c r="AG28" s="450">
        <f ca="1">SUMPRODUCT($D9:$D26,AG9:AG26)</f>
        <v>-8.9953738866265315E-2</v>
      </c>
      <c r="AH28" s="450">
        <f ca="1">SUMPRODUCT($D9:$D26,AH9:AH26)</f>
        <v>-8.8323737911990274E-2</v>
      </c>
      <c r="AI28" s="450">
        <f ca="1">SUMPRODUCT($C9:$C26,AI9:AI26)</f>
        <v>0.94732296687964712</v>
      </c>
      <c r="AJ28" s="450">
        <f ca="1">SUMPRODUCT($D9:$D26,AJ9:AJ26)</f>
        <v>-5.1567268445168332E-2</v>
      </c>
    </row>
    <row r="29" spans="1:40" x14ac:dyDescent="0.25">
      <c r="E29" s="659">
        <f ca="1">E28/$C27</f>
        <v>0.12159721623975796</v>
      </c>
      <c r="F29" s="693">
        <f ca="1">F28/$D27</f>
        <v>-3.4649757579918158E-4</v>
      </c>
      <c r="G29" s="659">
        <f ca="1">G28/$C27</f>
        <v>0</v>
      </c>
      <c r="H29" s="693">
        <f ca="1">H28/$D27</f>
        <v>0</v>
      </c>
      <c r="I29" s="659">
        <f ca="1">I28/$C27</f>
        <v>0</v>
      </c>
      <c r="J29" s="693">
        <f ca="1">J28/$D27</f>
        <v>0</v>
      </c>
      <c r="K29" s="659">
        <f ca="1">K28/$C27</f>
        <v>0</v>
      </c>
      <c r="L29" s="693">
        <f ca="1">L28/$D27</f>
        <v>0</v>
      </c>
      <c r="M29" s="659">
        <f ca="1">M28/$C27</f>
        <v>3.8988231972302778E-2</v>
      </c>
      <c r="N29" s="693">
        <f ca="1">N28/$D27</f>
        <v>3.7051901750603116E-4</v>
      </c>
      <c r="O29" s="659">
        <f ca="1">O28/$C27</f>
        <v>0</v>
      </c>
      <c r="P29" s="693">
        <f ca="1">P28/$D27</f>
        <v>0</v>
      </c>
      <c r="Q29" s="659">
        <f ca="1">Q28/$C27</f>
        <v>0.1278023357592048</v>
      </c>
      <c r="R29" s="693">
        <f ca="1">R28/$D27</f>
        <v>1.0569913513121178E-3</v>
      </c>
      <c r="S29" s="659">
        <f ca="1">S28/$C27</f>
        <v>0</v>
      </c>
      <c r="T29" s="693">
        <f ca="1">T28/$D27</f>
        <v>0</v>
      </c>
      <c r="U29" s="700">
        <f ca="1">U28/$C27</f>
        <v>0</v>
      </c>
      <c r="V29" s="700">
        <f ca="1">V28/$D27</f>
        <v>0</v>
      </c>
      <c r="W29" s="659">
        <f ca="1">W28/$C27</f>
        <v>0</v>
      </c>
      <c r="X29" s="693">
        <f ca="1">X28/$D27</f>
        <v>0</v>
      </c>
      <c r="Y29" s="659">
        <f ca="1">Y28/$C27</f>
        <v>0.26395356894264987</v>
      </c>
      <c r="Z29" s="693">
        <f t="shared" ref="Z29" ca="1" si="9">Z28/$D27</f>
        <v>1.0571622069374957E-3</v>
      </c>
      <c r="AA29" s="838">
        <f ca="1">(AA28*$AJ$4+AB28*$AJ$5)/SUM($AJ$4:$AJ$5)</f>
        <v>0.65353306459524174</v>
      </c>
      <c r="AB29" s="838"/>
      <c r="AC29" s="838">
        <f ca="1">(AC28*$AJ$4+AD28*$AJ$5)/SUM($AJ$4:$AJ$5)</f>
        <v>-0.11434876933255375</v>
      </c>
      <c r="AD29" s="838"/>
      <c r="AE29" s="659">
        <f ca="1">AE28/$C27</f>
        <v>0.41543354349618611</v>
      </c>
      <c r="AF29" s="659">
        <f ca="1">AF28/$C27</f>
        <v>0.46698710528269416</v>
      </c>
      <c r="AG29" s="693">
        <f t="shared" ref="AG29:AH29" ca="1" si="10">AG28/$D27</f>
        <v>-2.2916949931253157E-2</v>
      </c>
      <c r="AH29" s="693">
        <f t="shared" ca="1" si="10"/>
        <v>-2.2501684810227435E-2</v>
      </c>
      <c r="AI29" s="659">
        <f ca="1">AI28/$C27</f>
        <v>0.3784088962057468</v>
      </c>
      <c r="AJ29" s="693">
        <f t="shared" ref="AJ29" ca="1" si="11">AJ28/$D27</f>
        <v>-1.3137469592079423E-2</v>
      </c>
      <c r="AK29" s="5"/>
      <c r="AL29" s="5"/>
      <c r="AN29" s="5"/>
    </row>
    <row r="30" spans="1:40" x14ac:dyDescent="0.25">
      <c r="B30" s="244" t="s">
        <v>157</v>
      </c>
      <c r="E30" s="450">
        <f ca="1">E28*($Y28/$Y30)</f>
        <v>0.27861919933293988</v>
      </c>
      <c r="F30" s="450">
        <f ca="1">F28*($Z28/$Z30)</f>
        <v>-1.3300666348205676E-3</v>
      </c>
      <c r="G30" s="450">
        <f ca="1">G28*($Y28/$Y30)</f>
        <v>0</v>
      </c>
      <c r="H30" s="450">
        <f ca="1">H28*($Z28/$Z30)</f>
        <v>0</v>
      </c>
      <c r="I30" s="450">
        <f ca="1">I28*($Y28/$Y30)</f>
        <v>0</v>
      </c>
      <c r="J30" s="450">
        <f ca="1">J28*($Z28/$Z30)</f>
        <v>0</v>
      </c>
      <c r="K30" s="450">
        <f ca="1">K28*($Y28/$Y30)</f>
        <v>0</v>
      </c>
      <c r="L30" s="450">
        <f ca="1">L28*($Z28/$Z30)</f>
        <v>0</v>
      </c>
      <c r="M30" s="450">
        <f ca="1">M28*($Y28/$Y30)</f>
        <v>8.9334857420676345E-2</v>
      </c>
      <c r="N30" s="450">
        <f ca="1">N28*($Z28/$Z30)</f>
        <v>1.4222754130807798E-3</v>
      </c>
      <c r="O30" s="450">
        <f ca="1">O28*($Y28/$Y30)</f>
        <v>0</v>
      </c>
      <c r="P30" s="450">
        <f ca="1">P28*($Z28/$Z30)</f>
        <v>0</v>
      </c>
      <c r="Q30" s="450">
        <f ca="1">Q28*($Y28/$Y30)</f>
        <v>0.29283716817907368</v>
      </c>
      <c r="R30" s="450">
        <f ca="1">R28*($Z28/$Z30)</f>
        <v>4.0573701747597434E-3</v>
      </c>
      <c r="S30" s="450">
        <f ca="1">S28*($Y28/$Y30)</f>
        <v>0</v>
      </c>
      <c r="T30" s="450">
        <f ca="1">T28*($Z28/$Z30)</f>
        <v>0</v>
      </c>
      <c r="U30" s="786">
        <f ca="1">U28*($Y28/$Y30)</f>
        <v>0</v>
      </c>
      <c r="V30" s="786">
        <f ca="1">V28*($Z28/$Z30)</f>
        <v>0</v>
      </c>
      <c r="W30" s="450">
        <f ca="1">W28*($Y28/$Y30)</f>
        <v>0</v>
      </c>
      <c r="X30" s="450">
        <f ca="1">X28*($Z28/$Z30)</f>
        <v>0</v>
      </c>
      <c r="Y30" s="450">
        <f ca="1">SUM($E28,$G28,$I28,$K28,$M28,$O28,$Q28,$S28,$W28)</f>
        <v>0.72196075161764939</v>
      </c>
      <c r="Z30" s="450">
        <f ca="1">SUM($F28,$H28,$J28,$L28,$N28,$P28,$R28,$T28,$X28)</f>
        <v>4.2431974056768781E-3</v>
      </c>
      <c r="AA30" s="450">
        <f ca="1">AE28-$Y28</f>
        <v>0.37922062709351834</v>
      </c>
      <c r="AB30" s="450">
        <f ca="1">AF28-$Y28</f>
        <v>0.50828173954224387</v>
      </c>
      <c r="AC30" s="450">
        <f ca="1">AG28-$Z28</f>
        <v>-9.410331781928527E-2</v>
      </c>
      <c r="AD30" s="450">
        <f ca="1">AH28-$Z28</f>
        <v>-9.247331686501023E-2</v>
      </c>
      <c r="AE30" s="450">
        <f ca="1">SUM($E28,$G28,$I28,$K28,$M28,$O28,$Q28,$S28,$W28,AA28)</f>
        <v>1.2389409452544449</v>
      </c>
      <c r="AF30" s="450">
        <f ca="1">SUM($E28,$G28,$I28,$K28,$M28,$O28,$Q28,$S28,$W28,AB28)</f>
        <v>1.4181665883874055</v>
      </c>
      <c r="AG30" s="450">
        <f ca="1">SUM($F28,$H28,$J28,$L28,$N28,$P28,$R28,$T28,$X28,AC28)</f>
        <v>-0.11162698027621359</v>
      </c>
      <c r="AH30" s="450">
        <f ca="1">SUM($F28,$H28,$J28,$L28,$N28,$P28,$R28,$T28,$X28,AD28)</f>
        <v>-0.10963013181770914</v>
      </c>
    </row>
    <row r="31" spans="1:40" x14ac:dyDescent="0.25">
      <c r="Y31" s="659">
        <f ca="1">Y30/$C27</f>
        <v>0.28838778397126558</v>
      </c>
      <c r="Z31" s="659">
        <f ca="1">Z30/$C27</f>
        <v>1.6949485052115999E-3</v>
      </c>
      <c r="AA31" s="839" t="s">
        <v>158</v>
      </c>
      <c r="AB31" s="839"/>
      <c r="AC31" s="839"/>
      <c r="AD31" s="839"/>
      <c r="AE31" s="659">
        <f ca="1">AE30/$C27</f>
        <v>0.49489592456740383</v>
      </c>
      <c r="AF31" s="659">
        <f ca="1">AF30/$C27</f>
        <v>0.56648774716735673</v>
      </c>
      <c r="AG31" s="693">
        <f ca="1">AG30/$D27</f>
        <v>-2.8438505727596108E-2</v>
      </c>
      <c r="AH31" s="693">
        <f ca="1">AH30/$D27</f>
        <v>-2.792978116849934E-2</v>
      </c>
    </row>
    <row r="32" spans="1:40" x14ac:dyDescent="0.25">
      <c r="Y32" s="698">
        <f ca="1">SUM($E30,$G30,$I30,$K30,$M30,$O30,$Q30,$S30,$W30)</f>
        <v>0.66079122493268994</v>
      </c>
      <c r="Z32" s="698">
        <f ca="1">SUM($F30,$H30,$J30,$L30,$N30,$P30,$R30,$T30,$X30)</f>
        <v>4.1495789530199556E-3</v>
      </c>
      <c r="AA32" s="838">
        <f ca="1">(AA30*$AJ$4+AB30*$AJ$5)/SUM($AJ$4:$AJ$5)</f>
        <v>0.47755290324492822</v>
      </c>
      <c r="AB32" s="838"/>
      <c r="AC32" s="838">
        <f ca="1">(AC30*$AJ$4+AD30*$AJ$5)/SUM($AJ$4:$AJ$5)</f>
        <v>-9.2861412330313808E-2</v>
      </c>
      <c r="AD32" s="838"/>
    </row>
    <row r="33" spans="2:34" x14ac:dyDescent="0.25">
      <c r="C33" s="450">
        <f ca="1">SUM(C9:C18)</f>
        <v>2.3335528261168994</v>
      </c>
      <c r="D33" s="450">
        <f ca="1">SUM(D9:D18)</f>
        <v>8.2596696987546347E-2</v>
      </c>
      <c r="Z33" s="616"/>
      <c r="AA33" s="616"/>
    </row>
    <row r="34" spans="2:34" x14ac:dyDescent="0.25">
      <c r="B34" s="244" t="s">
        <v>159</v>
      </c>
      <c r="E34" s="450">
        <f ca="1">SUMPRODUCT($C9:$C18,E9:E18)</f>
        <v>0.28704218283697885</v>
      </c>
      <c r="F34" s="450">
        <f ca="1">SUMPRODUCT($D9:$D18,F9:F18)</f>
        <v>-3.2379963884912915E-5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9.7604596392236911E-2</v>
      </c>
      <c r="N34" s="450">
        <f ca="1">SUMPRODUCT($D9:$D18,N9:N18)</f>
        <v>1.4543633007754347E-3</v>
      </c>
      <c r="O34" s="450">
        <f ca="1">SUMPRODUCT($C9:$C18,O9:O18)</f>
        <v>0</v>
      </c>
      <c r="P34" s="450">
        <f ca="1">SUMPRODUCT($D9:$D18,P9:P18)</f>
        <v>0</v>
      </c>
      <c r="Q34" s="450">
        <f ca="1">SUMPRODUCT($C9:$C18,Q9:Q18)</f>
        <v>0.32005852246404187</v>
      </c>
      <c r="R34" s="450">
        <f ca="1">SUMPRODUCT($D9:$D18,R9:R18)</f>
        <v>1.1337693189599558E-2</v>
      </c>
      <c r="S34" s="450"/>
      <c r="T34" s="450"/>
      <c r="U34" s="450">
        <f ca="1">SUMPRODUCT($C9:$C18,U9:U18)</f>
        <v>0</v>
      </c>
      <c r="V34" s="450">
        <f ca="1">SUMPRODUCT($D9:$D18,V9:V18)</f>
        <v>0</v>
      </c>
      <c r="W34" s="450">
        <f ca="1">SUMPRODUCT($C9:$C18,W9:W18)</f>
        <v>0</v>
      </c>
      <c r="X34" s="450">
        <f ca="1">SUMPRODUCT($D9:$D18,X9:X18)</f>
        <v>0</v>
      </c>
      <c r="Y34" s="450">
        <f ca="1">SUMPRODUCT($C9:$C18,Y9:Y18)</f>
        <v>0.64352182842626471</v>
      </c>
      <c r="Z34" s="450">
        <f ca="1">SUMPRODUCT($D9:$D18,Z9:Z18)</f>
        <v>1.2668876256682005E-2</v>
      </c>
      <c r="AE34" s="450">
        <f ca="1">SUMPRODUCT($C9:$C18,AE9:AE18)</f>
        <v>0.99930745328049175</v>
      </c>
      <c r="AF34" s="450">
        <f ca="1">SUMPRODUCT($C9:$C18,AF9:AF18)</f>
        <v>1.1283685657292173</v>
      </c>
      <c r="AG34" s="450">
        <f ca="1">SUMPRODUCT($D9:$D18,AG9:AG18)</f>
        <v>-0.10705648864980422</v>
      </c>
      <c r="AH34" s="450">
        <f ca="1">SUMPRODUCT($D9:$D18,AH9:AH18)</f>
        <v>-0.10542648769552918</v>
      </c>
    </row>
    <row r="35" spans="2:34" x14ac:dyDescent="0.25">
      <c r="C35" s="450">
        <f ca="1">SUM(C19:C20)</f>
        <v>6.7532572404518376E-2</v>
      </c>
      <c r="D35" s="450">
        <f ca="1">SUM(D19:D20)</f>
        <v>3.7205915679066068</v>
      </c>
      <c r="AD35" s="244" t="s">
        <v>160</v>
      </c>
      <c r="AE35" s="604">
        <f ca="1">AE34/$C33</f>
        <v>0.42823433954283724</v>
      </c>
      <c r="AF35" s="604">
        <f ca="1">AF34/$C33</f>
        <v>0.48354104226852057</v>
      </c>
      <c r="AG35" s="604">
        <f t="shared" ref="AG35:AH37" ca="1" si="12">AG34/$D33</f>
        <v>-1.2961352276102014</v>
      </c>
      <c r="AH35" s="604">
        <f t="shared" ca="1" si="12"/>
        <v>-1.2764007707405665</v>
      </c>
    </row>
    <row r="36" spans="2:34" x14ac:dyDescent="0.25">
      <c r="B36" s="244" t="s">
        <v>161</v>
      </c>
      <c r="E36" s="450">
        <f ca="1">SUMPRODUCT($C19:$C20,E19:E20)</f>
        <v>6.3737452369801145E-3</v>
      </c>
      <c r="F36" s="450">
        <f ca="1">SUMPRODUCT($D19:$D20,F19:F20)</f>
        <v>-1.2868822478366477E-3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-1.1338084736323481E-4</v>
      </c>
      <c r="R36" s="450">
        <f ca="1">SUMPRODUCT($D19:$D20,R19:R20)</f>
        <v>-7.1887848800271451E-3</v>
      </c>
      <c r="S36" s="450"/>
      <c r="T36" s="450"/>
      <c r="U36" s="450">
        <f ca="1">SUMPRODUCT($C19:$C20,U19:U20)</f>
        <v>0</v>
      </c>
      <c r="V36" s="450">
        <f ca="1">SUMPRODUCT($D19:$D20,V19:V20)</f>
        <v>0</v>
      </c>
      <c r="W36" s="450">
        <f ca="1">SUMPRODUCT($C19:$C20,W19:W20)</f>
        <v>0</v>
      </c>
      <c r="X36" s="450">
        <f ca="1">SUMPRODUCT($D19:$D20,X19:X20)</f>
        <v>0</v>
      </c>
      <c r="Y36" s="450">
        <f ca="1">SUMPRODUCT($C19:$C20,Y19:Y20)</f>
        <v>6.2743109716504198E-3</v>
      </c>
      <c r="Z36" s="450">
        <f ca="1">SUMPRODUCT($D19:$D20,Z19:Z20)</f>
        <v>-8.4784853107126336E-3</v>
      </c>
      <c r="AE36" s="450">
        <f ca="1">SUMPRODUCT($C19:$C20,AE19:AE20)</f>
        <v>6.2743109716504198E-3</v>
      </c>
      <c r="AF36" s="450">
        <f ca="1">SUMPRODUCT($C19:$C20,AF19:AF20)</f>
        <v>6.2743109716504198E-3</v>
      </c>
      <c r="AG36" s="450">
        <f ca="1">SUMPRODUCT($D19:$D20,AG19:AG20)</f>
        <v>-8.4784853107126336E-3</v>
      </c>
      <c r="AH36" s="450">
        <f ca="1">SUMPRODUCT($D19:$D20,AH19:AH20)</f>
        <v>-8.4784853107126336E-3</v>
      </c>
    </row>
    <row r="37" spans="2:34" x14ac:dyDescent="0.25">
      <c r="AD37" s="244" t="s">
        <v>162</v>
      </c>
      <c r="AE37" s="694">
        <f ca="1">AE36/$C35</f>
        <v>9.2907922033051815E-2</v>
      </c>
      <c r="AF37" s="694">
        <f ca="1">AF36/$C35</f>
        <v>9.2907922033051815E-2</v>
      </c>
      <c r="AG37" s="694">
        <f t="shared" ca="1" si="12"/>
        <v>-2.2788003348303719E-3</v>
      </c>
      <c r="AH37" s="694">
        <f t="shared" ca="1" si="12"/>
        <v>-2.2788003348303719E-3</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Q3:R3"/>
    <mergeCell ref="S3:T3"/>
    <mergeCell ref="U3:V3"/>
    <mergeCell ref="W3:X3"/>
    <mergeCell ref="U5:V5"/>
    <mergeCell ref="W5:X5"/>
    <mergeCell ref="Q6:R6"/>
    <mergeCell ref="S5:T5"/>
    <mergeCell ref="Y7:Z7"/>
    <mergeCell ref="AA7:AD7"/>
    <mergeCell ref="O4:P4"/>
    <mergeCell ref="S4:T4"/>
    <mergeCell ref="U4:V4"/>
    <mergeCell ref="W4:X4"/>
    <mergeCell ref="E3:F3"/>
    <mergeCell ref="G3:H3"/>
    <mergeCell ref="I3:J3"/>
    <mergeCell ref="K3:L3"/>
    <mergeCell ref="M3:N3"/>
    <mergeCell ref="O3:P3"/>
    <mergeCell ref="E4:F4"/>
    <mergeCell ref="G4:H4"/>
    <mergeCell ref="I4:J4"/>
    <mergeCell ref="K4:L4"/>
    <mergeCell ref="M4:N4"/>
    <mergeCell ref="E5:F5"/>
    <mergeCell ref="G5:H5"/>
    <mergeCell ref="I5:J5"/>
    <mergeCell ref="K5:L5"/>
    <mergeCell ref="M5:N5"/>
    <mergeCell ref="O5:P5"/>
    <mergeCell ref="G7:H7"/>
    <mergeCell ref="I7:J7"/>
    <mergeCell ref="K7:L7"/>
    <mergeCell ref="Q5:R5"/>
    <mergeCell ref="G6:H6"/>
    <mergeCell ref="I6:J6"/>
    <mergeCell ref="K6:L6"/>
    <mergeCell ref="M6:N6"/>
    <mergeCell ref="O6:P6"/>
    <mergeCell ref="A1:AJ1"/>
    <mergeCell ref="AI6:AJ6"/>
    <mergeCell ref="AI7:AJ7"/>
    <mergeCell ref="M7:N7"/>
    <mergeCell ref="O7:P7"/>
    <mergeCell ref="Q7:R7"/>
    <mergeCell ref="S7:T7"/>
    <mergeCell ref="U7:V7"/>
    <mergeCell ref="W7:X7"/>
    <mergeCell ref="S6:T6"/>
    <mergeCell ref="U6:V6"/>
    <mergeCell ref="W6:X6"/>
    <mergeCell ref="Y6:Z6"/>
    <mergeCell ref="AE6:AH6"/>
    <mergeCell ref="C7:D7"/>
    <mergeCell ref="E7:F7"/>
    <mergeCell ref="AE7:AH7"/>
    <mergeCell ref="AA31:AD31"/>
    <mergeCell ref="AA4:AD4"/>
    <mergeCell ref="AA29:AB29"/>
    <mergeCell ref="AC29:AD29"/>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C14E-78EF-4CE3-99D2-9243891B7845}">
  <sheetPr>
    <tabColor rgb="FFFF0000"/>
  </sheetPr>
  <dimension ref="A1:AE83"/>
  <sheetViews>
    <sheetView zoomScale="84" zoomScaleNormal="84" workbookViewId="0">
      <pane ySplit="5" topLeftCell="A6" activePane="bottomLeft" state="frozen"/>
      <selection activeCell="A6" sqref="A6"/>
      <selection pane="bottomLeft" activeCell="V79" sqref="V79"/>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1988</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5.350828766869598</v>
      </c>
      <c r="E6" s="133">
        <v>6.0751767658781451E-2</v>
      </c>
      <c r="F6" s="133">
        <v>9.3464257936586893E-3</v>
      </c>
      <c r="G6" s="133">
        <v>0.80846583115147652</v>
      </c>
      <c r="H6" s="133">
        <v>0.80846583115147652</v>
      </c>
      <c r="I6" s="133">
        <v>4.2058916071464093E-2</v>
      </c>
      <c r="J6" s="133">
        <v>5.9022678886954605</v>
      </c>
      <c r="K6" s="45">
        <v>751.92061993606342</v>
      </c>
      <c r="L6" s="134">
        <v>66.760735689810687</v>
      </c>
      <c r="M6" s="45" t="s">
        <v>738</v>
      </c>
      <c r="N6" s="133">
        <v>4.930368813435563</v>
      </c>
      <c r="O6" s="133">
        <v>5.5977986528089385E-2</v>
      </c>
      <c r="P6" s="133">
        <v>8.6119979273983679E-3</v>
      </c>
      <c r="Q6" s="133">
        <v>0.74493782071995884</v>
      </c>
      <c r="R6" s="133">
        <v>0.74493782071995884</v>
      </c>
      <c r="S6" s="133">
        <v>3.8753990673292639E-2</v>
      </c>
      <c r="T6" s="133">
        <v>5.4384766911520677</v>
      </c>
      <c r="U6" s="45">
        <v>692.83584585360552</v>
      </c>
      <c r="V6" s="134">
        <v>61.514779027328757</v>
      </c>
      <c r="W6" t="s">
        <v>738</v>
      </c>
    </row>
    <row r="7" spans="1:23" x14ac:dyDescent="0.25">
      <c r="A7" s="812" t="s">
        <v>1996</v>
      </c>
      <c r="B7" s="812">
        <v>2104008210</v>
      </c>
      <c r="C7" s="812" t="s">
        <v>138</v>
      </c>
      <c r="D7" s="133">
        <v>0.11037117379516068</v>
      </c>
      <c r="E7" s="133">
        <v>5.8309299363481113E-3</v>
      </c>
      <c r="F7" s="133">
        <v>8.3298999090687296E-4</v>
      </c>
      <c r="G7" s="133">
        <v>6.3723734304375779E-2</v>
      </c>
      <c r="H7" s="133">
        <v>6.3723734304375779E-2</v>
      </c>
      <c r="I7" s="133">
        <v>3.5402074613542106E-3</v>
      </c>
      <c r="J7" s="133">
        <v>0.48063522475326576</v>
      </c>
      <c r="K7" s="45">
        <v>67.014104021260138</v>
      </c>
      <c r="L7" s="134">
        <v>5.949977653802403</v>
      </c>
      <c r="M7" s="45" t="s">
        <v>738</v>
      </c>
      <c r="N7" s="133">
        <v>9.5915312039997133E-2</v>
      </c>
      <c r="O7" s="133">
        <v>5.0672240323017363E-3</v>
      </c>
      <c r="P7" s="133">
        <v>7.2388914747167638E-4</v>
      </c>
      <c r="Q7" s="133">
        <v>5.537751978158325E-2</v>
      </c>
      <c r="R7" s="133">
        <v>5.537751978158325E-2</v>
      </c>
      <c r="S7" s="133">
        <v>3.0765288767546244E-3</v>
      </c>
      <c r="T7" s="133">
        <v>0.41768403809115739</v>
      </c>
      <c r="U7" s="45">
        <v>58.236933406264249</v>
      </c>
      <c r="V7" s="134">
        <v>5.1706794779099283</v>
      </c>
      <c r="W7" t="s">
        <v>738</v>
      </c>
    </row>
    <row r="8" spans="1:23" x14ac:dyDescent="0.25">
      <c r="A8" s="812" t="s">
        <v>1996</v>
      </c>
      <c r="B8" s="812">
        <v>2104008220</v>
      </c>
      <c r="C8" s="812" t="s">
        <v>139</v>
      </c>
      <c r="D8" s="133">
        <v>5.2613721318909443E-2</v>
      </c>
      <c r="E8" s="133">
        <v>8.7689535531515726E-3</v>
      </c>
      <c r="F8" s="133">
        <v>1.7537907106303144E-3</v>
      </c>
      <c r="G8" s="133">
        <v>5.2613721318909443E-2</v>
      </c>
      <c r="H8" s="133">
        <v>5.2613721318909443E-2</v>
      </c>
      <c r="I8" s="133">
        <v>3.9460290989182098E-3</v>
      </c>
      <c r="J8" s="133">
        <v>0.61733433014187089</v>
      </c>
      <c r="K8" s="45">
        <v>141.09258742202476</v>
      </c>
      <c r="L8" s="134">
        <v>12.527179980081209</v>
      </c>
      <c r="M8" s="45" t="s">
        <v>738</v>
      </c>
      <c r="N8" s="133">
        <v>4.5722640471817788E-2</v>
      </c>
      <c r="O8" s="133">
        <v>7.6204400786362998E-3</v>
      </c>
      <c r="P8" s="133">
        <v>1.5240880157272594E-3</v>
      </c>
      <c r="Q8" s="133">
        <v>4.5722640471817788E-2</v>
      </c>
      <c r="R8" s="133">
        <v>4.5722640471817788E-2</v>
      </c>
      <c r="S8" s="133">
        <v>3.4291980353863345E-3</v>
      </c>
      <c r="T8" s="133">
        <v>0.53647898153599538</v>
      </c>
      <c r="U8" s="45">
        <v>122.61298927770797</v>
      </c>
      <c r="V8" s="134">
        <v>10.886432892347994</v>
      </c>
      <c r="W8" t="s">
        <v>738</v>
      </c>
    </row>
    <row r="9" spans="1:23" x14ac:dyDescent="0.25">
      <c r="A9" s="812" t="s">
        <v>1996</v>
      </c>
      <c r="B9" s="812">
        <v>2104008230</v>
      </c>
      <c r="C9" s="812" t="s">
        <v>140</v>
      </c>
      <c r="D9" s="133">
        <v>3.9596640632190677E-2</v>
      </c>
      <c r="E9" s="133">
        <v>5.2795520842920888E-3</v>
      </c>
      <c r="F9" s="133">
        <v>1.0559104168584178E-3</v>
      </c>
      <c r="G9" s="133">
        <v>3.431708854789859E-2</v>
      </c>
      <c r="H9" s="133">
        <v>3.431708854789859E-2</v>
      </c>
      <c r="I9" s="133">
        <v>2.3757984379314408E-3</v>
      </c>
      <c r="J9" s="133">
        <v>0.2824560365096267</v>
      </c>
      <c r="K9" s="45">
        <v>84.948068145987008</v>
      </c>
      <c r="L9" s="134">
        <v>7.542279563149223</v>
      </c>
      <c r="M9" s="45" t="s">
        <v>738</v>
      </c>
      <c r="N9" s="133">
        <v>3.4410471605754736E-2</v>
      </c>
      <c r="O9" s="133">
        <v>4.5880628807672972E-3</v>
      </c>
      <c r="P9" s="133">
        <v>9.1761257615345941E-4</v>
      </c>
      <c r="Q9" s="133">
        <v>2.9822408724987433E-2</v>
      </c>
      <c r="R9" s="133">
        <v>2.9822408724987433E-2</v>
      </c>
      <c r="S9" s="133">
        <v>2.064628296345284E-3</v>
      </c>
      <c r="T9" s="133">
        <v>0.24546136412105041</v>
      </c>
      <c r="U9" s="45">
        <v>73.821997023778408</v>
      </c>
      <c r="V9" s="134">
        <v>6.5544296841035319</v>
      </c>
      <c r="W9" t="s">
        <v>738</v>
      </c>
    </row>
    <row r="10" spans="1:23" x14ac:dyDescent="0.25">
      <c r="A10" s="812" t="s">
        <v>1996</v>
      </c>
      <c r="B10" s="812">
        <v>2104008310</v>
      </c>
      <c r="C10" s="812" t="s">
        <v>141</v>
      </c>
      <c r="D10" s="133">
        <v>2.2398969569918012</v>
      </c>
      <c r="E10" s="133">
        <v>6.1370752177422362E-2</v>
      </c>
      <c r="F10" s="133">
        <v>1.6904882694277746E-2</v>
      </c>
      <c r="G10" s="133">
        <v>0.51314895607550792</v>
      </c>
      <c r="H10" s="133">
        <v>0.51314895607550792</v>
      </c>
      <c r="I10" s="133">
        <v>1.6779302458658038E-2</v>
      </c>
      <c r="J10" s="133">
        <v>5.1209387097660288</v>
      </c>
      <c r="K10" s="45">
        <v>1359.9990152440878</v>
      </c>
      <c r="L10" s="134">
        <v>120.75015950863767</v>
      </c>
      <c r="M10" s="45" t="s">
        <v>738</v>
      </c>
      <c r="N10" s="133">
        <v>1.9465265085069567</v>
      </c>
      <c r="O10" s="133">
        <v>5.3332719430450537E-2</v>
      </c>
      <c r="P10" s="133">
        <v>1.4690766101939298E-2</v>
      </c>
      <c r="Q10" s="133">
        <v>0.44593928425846963</v>
      </c>
      <c r="R10" s="133">
        <v>0.44593928425846963</v>
      </c>
      <c r="S10" s="133">
        <v>1.4581633734570665E-2</v>
      </c>
      <c r="T10" s="133">
        <v>4.4502238890427117</v>
      </c>
      <c r="U10" s="45">
        <v>1181.8731778944343</v>
      </c>
      <c r="V10" s="134">
        <v>104.93491035662269</v>
      </c>
      <c r="W10" t="s">
        <v>738</v>
      </c>
    </row>
    <row r="11" spans="1:23" x14ac:dyDescent="0.25">
      <c r="A11" s="812" t="s">
        <v>1996</v>
      </c>
      <c r="B11" s="812">
        <v>2104008320</v>
      </c>
      <c r="C11" s="812" t="s">
        <v>142</v>
      </c>
      <c r="D11" s="133">
        <v>1.0677544708997844</v>
      </c>
      <c r="E11" s="133">
        <v>0.14315380954611906</v>
      </c>
      <c r="F11" s="133">
        <v>3.5591815696659472E-2</v>
      </c>
      <c r="G11" s="133">
        <v>0.70517399414399118</v>
      </c>
      <c r="H11" s="133">
        <v>0.70517399414399118</v>
      </c>
      <c r="I11" s="133">
        <v>2.22219046321461E-2</v>
      </c>
      <c r="J11" s="133">
        <v>11.001514628228751</v>
      </c>
      <c r="K11" s="45">
        <v>2863.3641045371378</v>
      </c>
      <c r="L11" s="134">
        <v>254.2293549323729</v>
      </c>
      <c r="M11" s="45" t="s">
        <v>738</v>
      </c>
      <c r="N11" s="133">
        <v>0.92790535551000242</v>
      </c>
      <c r="O11" s="133">
        <v>0.12440424288513242</v>
      </c>
      <c r="P11" s="133">
        <v>3.0930178517000095E-2</v>
      </c>
      <c r="Q11" s="133">
        <v>0.61281384772024272</v>
      </c>
      <c r="R11" s="133">
        <v>0.61281384772024272</v>
      </c>
      <c r="S11" s="133">
        <v>1.9311391223138418E-2</v>
      </c>
      <c r="T11" s="133">
        <v>9.5605915221807685</v>
      </c>
      <c r="U11" s="45">
        <v>2488.3350618388404</v>
      </c>
      <c r="V11" s="134">
        <v>220.9316714645187</v>
      </c>
      <c r="W11" t="s">
        <v>738</v>
      </c>
    </row>
    <row r="12" spans="1:23" x14ac:dyDescent="0.25">
      <c r="A12" s="812" t="s">
        <v>1996</v>
      </c>
      <c r="B12" s="812">
        <v>2104008330</v>
      </c>
      <c r="C12" s="812" t="s">
        <v>143</v>
      </c>
      <c r="D12" s="133">
        <v>0.80358296291880671</v>
      </c>
      <c r="E12" s="133">
        <v>8.6189074783265818E-2</v>
      </c>
      <c r="F12" s="133">
        <v>2.1428879011168182E-2</v>
      </c>
      <c r="G12" s="133">
        <v>0.47109419792586477</v>
      </c>
      <c r="H12" s="133">
        <v>0.47109419792586477</v>
      </c>
      <c r="I12" s="133">
        <v>1.3379213632101103E-2</v>
      </c>
      <c r="J12" s="133">
        <v>6.6237173151589852</v>
      </c>
      <c r="K12" s="45">
        <v>1723.9548407418606</v>
      </c>
      <c r="L12" s="134">
        <v>153.06468583575153</v>
      </c>
      <c r="M12" s="45" t="s">
        <v>738</v>
      </c>
      <c r="N12" s="133">
        <v>0.69833370424626451</v>
      </c>
      <c r="O12" s="133">
        <v>7.4900462847465488E-2</v>
      </c>
      <c r="P12" s="133">
        <v>1.8622232113233723E-2</v>
      </c>
      <c r="Q12" s="133">
        <v>0.40939264701625083</v>
      </c>
      <c r="R12" s="133">
        <v>0.40939264701625083</v>
      </c>
      <c r="S12" s="133">
        <v>1.162687145788991E-2</v>
      </c>
      <c r="T12" s="133">
        <v>5.7561761038013186</v>
      </c>
      <c r="U12" s="45">
        <v>1498.1598981587454</v>
      </c>
      <c r="V12" s="134">
        <v>133.01704239811161</v>
      </c>
      <c r="W12" t="s">
        <v>738</v>
      </c>
    </row>
    <row r="13" spans="1:23" x14ac:dyDescent="0.25">
      <c r="A13" s="812" t="s">
        <v>1996</v>
      </c>
      <c r="B13" s="812">
        <v>2104008410</v>
      </c>
      <c r="C13" s="812" t="s">
        <v>144</v>
      </c>
      <c r="D13" s="133">
        <v>1.3464783890093953E-2</v>
      </c>
      <c r="E13" s="133">
        <v>2.351370710667074E-2</v>
      </c>
      <c r="F13" s="133">
        <v>1.8792173511824777E-3</v>
      </c>
      <c r="G13" s="133">
        <v>1.7382760498437917E-2</v>
      </c>
      <c r="H13" s="133">
        <v>1.7382760498437917E-2</v>
      </c>
      <c r="I13" s="133">
        <v>4.22119197509364E-4</v>
      </c>
      <c r="J13" s="133">
        <v>5.8326208537326125E-2</v>
      </c>
      <c r="K13" s="45">
        <v>180.54047029068141</v>
      </c>
      <c r="L13" s="134">
        <v>16.029637037238295</v>
      </c>
      <c r="M13" s="45" t="s">
        <v>738</v>
      </c>
      <c r="N13" s="133">
        <v>1.1701234153460763E-2</v>
      </c>
      <c r="O13" s="133">
        <v>2.0433999900545674E-2</v>
      </c>
      <c r="P13" s="133">
        <v>1.6330869051385151E-3</v>
      </c>
      <c r="Q13" s="133">
        <v>1.5106053872531265E-2</v>
      </c>
      <c r="R13" s="133">
        <v>1.5106053872531265E-2</v>
      </c>
      <c r="S13" s="133">
        <v>3.6683214606673909E-4</v>
      </c>
      <c r="T13" s="133">
        <v>5.0686934818236669E-2</v>
      </c>
      <c r="U13" s="45">
        <v>156.89418666432448</v>
      </c>
      <c r="V13" s="134">
        <v>13.930155723160562</v>
      </c>
      <c r="W13" t="s">
        <v>738</v>
      </c>
    </row>
    <row r="14" spans="1:23" x14ac:dyDescent="0.25">
      <c r="A14" s="812" t="s">
        <v>1996</v>
      </c>
      <c r="B14" s="812">
        <v>2104008420</v>
      </c>
      <c r="C14" s="812" t="s">
        <v>145</v>
      </c>
      <c r="D14" s="133">
        <v>4.5417134527872924E-2</v>
      </c>
      <c r="E14" s="133">
        <v>7.9312464843816738E-2</v>
      </c>
      <c r="F14" s="133">
        <v>6.3386585289763641E-3</v>
      </c>
      <c r="G14" s="133">
        <v>5.8632591393031369E-2</v>
      </c>
      <c r="H14" s="133">
        <v>5.8632591393031369E-2</v>
      </c>
      <c r="I14" s="133">
        <v>1.4238211720713162E-3</v>
      </c>
      <c r="J14" s="133">
        <v>0.1967361140931039</v>
      </c>
      <c r="K14" s="45">
        <v>608.96861723490372</v>
      </c>
      <c r="L14" s="134">
        <v>54.068463905226942</v>
      </c>
      <c r="M14" s="45" t="s">
        <v>738</v>
      </c>
      <c r="N14" s="133">
        <v>3.9468626457558428E-2</v>
      </c>
      <c r="O14" s="133">
        <v>6.8924516724579166E-2</v>
      </c>
      <c r="P14" s="133">
        <v>5.5084528850812527E-3</v>
      </c>
      <c r="Q14" s="133">
        <v>5.0953189187001577E-2</v>
      </c>
      <c r="R14" s="133">
        <v>5.0953189187001577E-2</v>
      </c>
      <c r="S14" s="133">
        <v>1.2373362293113762E-3</v>
      </c>
      <c r="T14" s="133">
        <v>0.17096860642070935</v>
      </c>
      <c r="U14" s="45">
        <v>529.20896766989335</v>
      </c>
      <c r="V14" s="134">
        <v>46.986848183910013</v>
      </c>
      <c r="W14" t="s">
        <v>738</v>
      </c>
    </row>
    <row r="15" spans="1:23" x14ac:dyDescent="0.25">
      <c r="A15" s="812" t="s">
        <v>1996</v>
      </c>
      <c r="B15" s="812">
        <v>2104008610</v>
      </c>
      <c r="C15" s="812" t="s">
        <v>146</v>
      </c>
      <c r="D15" s="133">
        <v>1.1513148352633962</v>
      </c>
      <c r="E15" s="133">
        <v>4.089788579284892E-2</v>
      </c>
      <c r="F15" s="133">
        <v>1.0143743041968249E-2</v>
      </c>
      <c r="G15" s="133">
        <v>0.25030071619407002</v>
      </c>
      <c r="H15" s="133">
        <v>0.25030071619407002</v>
      </c>
      <c r="I15" s="133">
        <v>6.1815607353210818E-3</v>
      </c>
      <c r="J15" s="133">
        <v>1.5360331918122661</v>
      </c>
      <c r="K15" s="45">
        <v>816.06484927787221</v>
      </c>
      <c r="L15" s="134">
        <v>72.455905934615544</v>
      </c>
      <c r="M15" s="45" t="s">
        <v>738</v>
      </c>
      <c r="N15" s="133">
        <v>1.052563554231412</v>
      </c>
      <c r="O15" s="133">
        <v>3.7389967289723186E-2</v>
      </c>
      <c r="P15" s="133">
        <v>9.2736877024794037E-3</v>
      </c>
      <c r="Q15" s="133">
        <v>0.22883176989865248</v>
      </c>
      <c r="R15" s="133">
        <v>0.22883176989865248</v>
      </c>
      <c r="S15" s="133">
        <v>5.651352122791292E-3</v>
      </c>
      <c r="T15" s="133">
        <v>1.4042836123287308</v>
      </c>
      <c r="U15" s="45">
        <v>746.06883532663528</v>
      </c>
      <c r="V15" s="134">
        <v>66.241173604045628</v>
      </c>
      <c r="W15" t="s">
        <v>738</v>
      </c>
    </row>
    <row r="16" spans="1:23" x14ac:dyDescent="0.25">
      <c r="A16" s="812" t="s">
        <v>1996</v>
      </c>
      <c r="B16" s="812">
        <v>2104004000</v>
      </c>
      <c r="C16" s="812" t="s">
        <v>568</v>
      </c>
      <c r="D16" s="133">
        <v>9.3218253173720553E-2</v>
      </c>
      <c r="E16" s="133">
        <v>1.4605599382205809</v>
      </c>
      <c r="F16" s="133">
        <v>3.7787488231380681</v>
      </c>
      <c r="G16" s="133">
        <v>5.9695910281495138E-2</v>
      </c>
      <c r="H16" s="133">
        <v>5.9695910281495138E-2</v>
      </c>
      <c r="I16" s="133">
        <v>3.2026855866022141E-3</v>
      </c>
      <c r="J16" s="133">
        <v>5.855173866776648E-2</v>
      </c>
      <c r="K16" s="45">
        <v>35093.641999581996</v>
      </c>
      <c r="L16" s="134">
        <v>261.48177608336761</v>
      </c>
      <c r="M16" s="45" t="s">
        <v>1997</v>
      </c>
      <c r="N16" s="133">
        <v>8.6017065492828643E-2</v>
      </c>
      <c r="O16" s="133">
        <v>1.3477304667787866</v>
      </c>
      <c r="P16" s="133">
        <v>3.4868373299710003</v>
      </c>
      <c r="Q16" s="133">
        <v>5.5084351503220164E-2</v>
      </c>
      <c r="R16" s="133">
        <v>5.5084351503220164E-2</v>
      </c>
      <c r="S16" s="133">
        <v>2.9552754581477622E-3</v>
      </c>
      <c r="T16" s="133">
        <v>5.4028568099408453E-2</v>
      </c>
      <c r="U16" s="45">
        <v>32382.628932494579</v>
      </c>
      <c r="V16" s="134">
        <v>241.28209114397941</v>
      </c>
      <c r="W16" t="s">
        <v>1997</v>
      </c>
    </row>
    <row r="17" spans="1:23" x14ac:dyDescent="0.25">
      <c r="A17" s="812" t="s">
        <v>1996</v>
      </c>
      <c r="B17" s="812">
        <v>2103004001</v>
      </c>
      <c r="C17" s="812" t="s">
        <v>148</v>
      </c>
      <c r="D17" s="133">
        <v>2.735396599030427E-2</v>
      </c>
      <c r="E17" s="133">
        <v>0.69056295627696629</v>
      </c>
      <c r="F17" s="133">
        <v>0.48812058918350548</v>
      </c>
      <c r="G17" s="133">
        <v>1.751716905225827E-2</v>
      </c>
      <c r="H17" s="133">
        <v>1.751716905225827E-2</v>
      </c>
      <c r="I17" s="133">
        <v>9.3979611965365614E-4</v>
      </c>
      <c r="J17" s="133">
        <v>1.7181423312089984E-2</v>
      </c>
      <c r="K17" s="45">
        <v>10626.996604928872</v>
      </c>
      <c r="L17" s="134">
        <v>79.181463888011848</v>
      </c>
      <c r="M17" s="45" t="s">
        <v>1997</v>
      </c>
      <c r="N17" s="133">
        <v>2.6843054193997136E-2</v>
      </c>
      <c r="O17" s="133">
        <v>0.67766476226079753</v>
      </c>
      <c r="P17" s="133">
        <v>0.47900357239980973</v>
      </c>
      <c r="Q17" s="133">
        <v>1.7189986942363226E-2</v>
      </c>
      <c r="R17" s="133">
        <v>1.7189986942363226E-2</v>
      </c>
      <c r="S17" s="133">
        <v>9.2224279945778761E-4</v>
      </c>
      <c r="T17" s="133">
        <v>1.6860512192634597E-2</v>
      </c>
      <c r="U17" s="45">
        <v>10428.507730346717</v>
      </c>
      <c r="V17" s="134">
        <v>77.702528659255947</v>
      </c>
      <c r="W17" t="s">
        <v>1997</v>
      </c>
    </row>
    <row r="18" spans="1:23" x14ac:dyDescent="0.25">
      <c r="A18" s="812" t="s">
        <v>1996</v>
      </c>
      <c r="B18" s="812">
        <v>2104004000</v>
      </c>
      <c r="C18" s="812" t="s">
        <v>746</v>
      </c>
      <c r="D18" s="133">
        <v>6.2211879090409044E-4</v>
      </c>
      <c r="E18" s="133">
        <v>1.5705663725488959E-2</v>
      </c>
      <c r="F18" s="133">
        <v>2.5218565773807489E-2</v>
      </c>
      <c r="G18" s="133">
        <v>3.490147494553104E-4</v>
      </c>
      <c r="H18" s="133">
        <v>3.490147494553104E-4</v>
      </c>
      <c r="I18" s="133">
        <v>2.1374042281931827E-5</v>
      </c>
      <c r="J18" s="133">
        <v>3.9076184786942766E-4</v>
      </c>
      <c r="K18" s="45">
        <v>239.06637800815113</v>
      </c>
      <c r="L18" s="134">
        <v>1.7450737472765514</v>
      </c>
      <c r="M18" s="45" t="s">
        <v>1997</v>
      </c>
      <c r="N18" s="133">
        <v>5.8689520831774515E-4</v>
      </c>
      <c r="O18" s="133">
        <v>1.4816428821485851E-2</v>
      </c>
      <c r="P18" s="133">
        <v>2.379072233420973E-2</v>
      </c>
      <c r="Q18" s="133">
        <v>3.2925397381079676E-4</v>
      </c>
      <c r="R18" s="133">
        <v>3.2925397381079676E-4</v>
      </c>
      <c r="S18" s="133">
        <v>2.0163870921527231E-5</v>
      </c>
      <c r="T18" s="133">
        <v>3.6863740407948949E-4</v>
      </c>
      <c r="U18" s="45">
        <v>225.53074071105044</v>
      </c>
      <c r="V18" s="134">
        <v>1.6462698690539836</v>
      </c>
      <c r="W18" t="s">
        <v>1997</v>
      </c>
    </row>
    <row r="19" spans="1:23" x14ac:dyDescent="0.25">
      <c r="A19" s="812" t="s">
        <v>1996</v>
      </c>
      <c r="B19" s="812">
        <v>2104004000</v>
      </c>
      <c r="C19" s="812" t="s">
        <v>747</v>
      </c>
      <c r="D19" s="133">
        <v>2.6725104044242505E-3</v>
      </c>
      <c r="E19" s="133">
        <v>4.1873361689212102E-2</v>
      </c>
      <c r="F19" s="133">
        <v>0.10833442165798229</v>
      </c>
      <c r="G19" s="133">
        <v>1.7114453006489966E-3</v>
      </c>
      <c r="H19" s="133">
        <v>1.7114453006489966E-3</v>
      </c>
      <c r="I19" s="133">
        <v>9.1819040379818666E-5</v>
      </c>
      <c r="J19" s="133">
        <v>1.6786425990532243E-3</v>
      </c>
      <c r="K19" s="45">
        <v>937.06535919503892</v>
      </c>
      <c r="L19" s="134">
        <v>7.4965228735603135</v>
      </c>
      <c r="M19" s="45" t="s">
        <v>1997</v>
      </c>
      <c r="N19" s="133">
        <v>2.207213729928598E-3</v>
      </c>
      <c r="O19" s="133">
        <v>3.4583011795086445E-2</v>
      </c>
      <c r="P19" s="133">
        <v>8.9472887556030486E-2</v>
      </c>
      <c r="Q19" s="133">
        <v>1.4134745965294184E-3</v>
      </c>
      <c r="R19" s="133">
        <v>1.4134745965294184E-3</v>
      </c>
      <c r="S19" s="133">
        <v>7.5832912103803322E-5</v>
      </c>
      <c r="T19" s="133">
        <v>1.3863830000959379E-3</v>
      </c>
      <c r="U19" s="45">
        <v>773.91785761872302</v>
      </c>
      <c r="V19" s="134">
        <v>6.1913428609497831</v>
      </c>
      <c r="W19" t="s">
        <v>1997</v>
      </c>
    </row>
    <row r="20" spans="1:23" x14ac:dyDescent="0.25">
      <c r="A20" s="812" t="s">
        <v>1996</v>
      </c>
      <c r="B20" s="812">
        <v>2104006010</v>
      </c>
      <c r="C20" s="812" t="s">
        <v>149</v>
      </c>
      <c r="D20" s="133">
        <v>6.6969683938961251E-4</v>
      </c>
      <c r="E20" s="133">
        <v>1.1445727800477028E-2</v>
      </c>
      <c r="F20" s="133">
        <v>7.3057837024321411E-5</v>
      </c>
      <c r="G20" s="133">
        <v>6.0311679724811404E-6</v>
      </c>
      <c r="H20" s="133">
        <v>6.0311679724811404E-6</v>
      </c>
      <c r="I20" s="133">
        <v>2.4352612341440459E-3</v>
      </c>
      <c r="J20" s="133">
        <v>4.8705224682880919E-3</v>
      </c>
      <c r="K20" s="45">
        <v>300.62303278688495</v>
      </c>
      <c r="L20" s="134">
        <v>296.18032786885226</v>
      </c>
      <c r="M20" s="45" t="s">
        <v>1998</v>
      </c>
      <c r="N20" s="133">
        <v>6.6969683938961251E-4</v>
      </c>
      <c r="O20" s="133">
        <v>1.1445727800477028E-2</v>
      </c>
      <c r="P20" s="133">
        <v>7.3057837024321411E-5</v>
      </c>
      <c r="Q20" s="133">
        <v>6.0311679724811404E-6</v>
      </c>
      <c r="R20" s="133">
        <v>6.0311679724811404E-6</v>
      </c>
      <c r="S20" s="133">
        <v>2.4352612341440459E-3</v>
      </c>
      <c r="T20" s="133">
        <v>4.8705224682880919E-3</v>
      </c>
      <c r="U20" s="45">
        <v>300.62303278688495</v>
      </c>
      <c r="V20" s="134">
        <v>296.18032786885226</v>
      </c>
      <c r="W20" t="s">
        <v>1998</v>
      </c>
    </row>
    <row r="21" spans="1:23" x14ac:dyDescent="0.25">
      <c r="A21" s="812" t="s">
        <v>1996</v>
      </c>
      <c r="B21" s="812">
        <v>2103006000</v>
      </c>
      <c r="C21" s="812" t="s">
        <v>150</v>
      </c>
      <c r="D21" s="133">
        <v>5.2612909836065591E-3</v>
      </c>
      <c r="E21" s="133">
        <v>9.5659836065573781E-2</v>
      </c>
      <c r="F21" s="133">
        <v>5.7395901639344278E-4</v>
      </c>
      <c r="G21" s="133">
        <v>7.2701475409836088E-3</v>
      </c>
      <c r="H21" s="133">
        <v>7.2701475409836088E-3</v>
      </c>
      <c r="I21" s="133">
        <v>1.9131967213114765E-2</v>
      </c>
      <c r="J21" s="133">
        <v>3.826393442622953E-2</v>
      </c>
      <c r="K21" s="45">
        <v>1941.8946721311484</v>
      </c>
      <c r="L21" s="134">
        <v>1913.1967213114763</v>
      </c>
      <c r="M21" s="45" t="s">
        <v>1998</v>
      </c>
      <c r="N21" s="133">
        <v>5.2612909836065591E-3</v>
      </c>
      <c r="O21" s="133">
        <v>9.5659836065573781E-2</v>
      </c>
      <c r="P21" s="133">
        <v>5.7395901639344278E-4</v>
      </c>
      <c r="Q21" s="133">
        <v>7.2701475409836088E-3</v>
      </c>
      <c r="R21" s="133">
        <v>7.2701475409836088E-3</v>
      </c>
      <c r="S21" s="133">
        <v>1.9131967213114765E-2</v>
      </c>
      <c r="T21" s="133">
        <v>3.826393442622953E-2</v>
      </c>
      <c r="U21" s="45">
        <v>1941.8946721311484</v>
      </c>
      <c r="V21" s="134">
        <v>1913.1967213114763</v>
      </c>
      <c r="W21" t="s">
        <v>1998</v>
      </c>
    </row>
    <row r="22" spans="1:23" x14ac:dyDescent="0.25">
      <c r="A22" s="812" t="s">
        <v>1996</v>
      </c>
      <c r="B22" s="812">
        <v>2104002000</v>
      </c>
      <c r="C22" s="812" t="s">
        <v>151</v>
      </c>
      <c r="D22" s="133">
        <v>0.14106816868829766</v>
      </c>
      <c r="E22" s="133">
        <v>6.6584175620876471E-2</v>
      </c>
      <c r="F22" s="133">
        <v>0.13119339688011677</v>
      </c>
      <c r="G22" s="133">
        <v>0.11271346678194979</v>
      </c>
      <c r="H22" s="133">
        <v>0.11271346678194979</v>
      </c>
      <c r="I22" s="133">
        <v>1.7858524815095041E-2</v>
      </c>
      <c r="J22" s="133">
        <v>1.8419976126474462</v>
      </c>
      <c r="K22" s="45">
        <v>428.84723281242458</v>
      </c>
      <c r="L22" s="134">
        <v>28.213633737659524</v>
      </c>
      <c r="M22" s="45" t="s">
        <v>738</v>
      </c>
      <c r="N22" s="133">
        <v>0.12350047308684055</v>
      </c>
      <c r="O22" s="133">
        <v>5.8292223296988736E-2</v>
      </c>
      <c r="P22" s="133">
        <v>0.1148554399707617</v>
      </c>
      <c r="Q22" s="133">
        <v>9.8676877996385581E-2</v>
      </c>
      <c r="R22" s="133">
        <v>9.8676877996385581E-2</v>
      </c>
      <c r="S22" s="133">
        <v>1.563454239042858E-2</v>
      </c>
      <c r="T22" s="133">
        <v>1.6126074273314204</v>
      </c>
      <c r="U22" s="45">
        <v>375.44143818399527</v>
      </c>
      <c r="V22" s="134">
        <v>24.700094617368116</v>
      </c>
      <c r="W22" t="s">
        <v>738</v>
      </c>
    </row>
    <row r="23" spans="1:23" x14ac:dyDescent="0.25">
      <c r="A23" s="812" t="s">
        <v>1996</v>
      </c>
      <c r="B23" s="812">
        <v>2103002000</v>
      </c>
      <c r="C23" s="812" t="s">
        <v>152</v>
      </c>
      <c r="D23" s="133">
        <v>4.0148138126104761E-4</v>
      </c>
      <c r="E23" s="133">
        <v>1.8949921195521454E-4</v>
      </c>
      <c r="F23" s="133">
        <v>3.7337768457277432E-4</v>
      </c>
      <c r="G23" s="133">
        <v>3.2078362362757698E-4</v>
      </c>
      <c r="H23" s="133">
        <v>3.2078362362757698E-4</v>
      </c>
      <c r="I23" s="133">
        <v>5.0825535460742337E-5</v>
      </c>
      <c r="J23" s="133">
        <v>5.24234313581613E-3</v>
      </c>
      <c r="K23" s="45">
        <v>18.456877950864644</v>
      </c>
      <c r="L23" s="134">
        <v>1.2205033990335847</v>
      </c>
      <c r="M23" s="45" t="s">
        <v>738</v>
      </c>
      <c r="N23" s="133">
        <v>3.7940475162931143E-4</v>
      </c>
      <c r="O23" s="133">
        <v>1.7907904276903502E-4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2" t="s">
        <v>1996</v>
      </c>
      <c r="B24" s="812">
        <v>2103008000</v>
      </c>
      <c r="C24" s="812" t="s">
        <v>153</v>
      </c>
      <c r="D24" s="133">
        <v>1.2267802496122725E-3</v>
      </c>
      <c r="E24" s="133">
        <v>4.8776475754854209E-5</v>
      </c>
      <c r="F24" s="133">
        <v>1.0633485245822148E-5</v>
      </c>
      <c r="G24" s="133">
        <v>3.4500168382878608E-4</v>
      </c>
      <c r="H24" s="133">
        <v>3.4500168382878608E-4</v>
      </c>
      <c r="I24" s="133">
        <v>1.2632663031087651E-5</v>
      </c>
      <c r="J24" s="133">
        <v>2.4538740814386123E-3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2.734616428960358E-2</v>
      </c>
      <c r="F25" s="135">
        <v>1.9363248899601757E-2</v>
      </c>
      <c r="G25" s="135">
        <v>2.7260720241086733E-3</v>
      </c>
      <c r="H25" s="135">
        <v>2.7260720241086733E-3</v>
      </c>
      <c r="I25" s="135">
        <v>1.9058091583470187E-5</v>
      </c>
      <c r="J25" s="135">
        <v>6.5100227441401174E-3</v>
      </c>
      <c r="K25" s="88">
        <v>145.09904851683226</v>
      </c>
      <c r="L25" s="136">
        <v>1.0476465596883191</v>
      </c>
      <c r="M25" s="88" t="s">
        <v>1997</v>
      </c>
      <c r="N25" s="135">
        <v>5.2382327984415976E-4</v>
      </c>
      <c r="O25" s="135">
        <v>2.734616428960358E-2</v>
      </c>
      <c r="P25" s="135">
        <v>1.9363248899601757E-2</v>
      </c>
      <c r="Q25" s="135">
        <v>2.7260720241086733E-3</v>
      </c>
      <c r="R25" s="135">
        <v>2.7260720241086733E-3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11.147859536888976</v>
      </c>
      <c r="E26" s="137">
        <v>2.9250449968592056</v>
      </c>
      <c r="F26" s="137">
        <v>4.657286386792606</v>
      </c>
      <c r="G26" s="137">
        <v>3.1775086337598926</v>
      </c>
      <c r="H26" s="137">
        <v>3.1775086337598926</v>
      </c>
      <c r="I26" s="137">
        <v>0.15609281723882173</v>
      </c>
      <c r="J26" s="137">
        <v>33.797100523626817</v>
      </c>
      <c r="K26" s="87">
        <v>58340.69712605446</v>
      </c>
      <c r="L26" s="87"/>
      <c r="M26" s="87"/>
      <c r="N26" s="137">
        <v>10.029910853908135</v>
      </c>
      <c r="O26" s="137">
        <v>2.7203982464004675</v>
      </c>
      <c r="P26" s="137">
        <v>4.3067677420752819</v>
      </c>
      <c r="Q26" s="137">
        <v>2.8221934631051755</v>
      </c>
      <c r="R26" s="137">
        <v>2.8221934631051755</v>
      </c>
      <c r="S26" s="137">
        <v>0.14135358324828684</v>
      </c>
      <c r="T26" s="137">
        <v>29.773040768244385</v>
      </c>
      <c r="U26" s="87">
        <v>54148.226516439332</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3.3660795420689977</v>
      </c>
      <c r="E28" s="133">
        <v>3.821749698418949E-2</v>
      </c>
      <c r="F28" s="133">
        <v>5.8796149206445381E-3</v>
      </c>
      <c r="G28" s="133">
        <v>0.50858669063575246</v>
      </c>
      <c r="H28" s="133">
        <v>0.50858669063575246</v>
      </c>
      <c r="I28" s="133">
        <v>2.6458267142900425E-2</v>
      </c>
      <c r="J28" s="133">
        <v>3.7129768223870241</v>
      </c>
      <c r="K28" s="45">
        <v>470.30359134634335</v>
      </c>
      <c r="L28" s="134">
        <v>41.997596336916004</v>
      </c>
      <c r="M28" s="45" t="s">
        <v>738</v>
      </c>
      <c r="N28" s="133">
        <v>3.1129412754515973</v>
      </c>
      <c r="O28" s="133">
        <v>3.5343438061895868E-2</v>
      </c>
      <c r="P28" s="133">
        <v>5.4374520095224425E-3</v>
      </c>
      <c r="Q28" s="133">
        <v>0.4703395988236912</v>
      </c>
      <c r="R28" s="133">
        <v>0.4703395988236912</v>
      </c>
      <c r="S28" s="133">
        <v>2.446853404285099E-2</v>
      </c>
      <c r="T28" s="133">
        <v>3.433750944013422</v>
      </c>
      <c r="U28" s="45">
        <v>434.9354919269889</v>
      </c>
      <c r="V28" s="134">
        <v>38.839263740803432</v>
      </c>
      <c r="W28" t="s">
        <v>738</v>
      </c>
    </row>
    <row r="29" spans="1:23" x14ac:dyDescent="0.25">
      <c r="A29" s="812" t="s">
        <v>1999</v>
      </c>
      <c r="B29" s="812">
        <v>2104008210</v>
      </c>
      <c r="C29" s="812" t="s">
        <v>138</v>
      </c>
      <c r="D29" s="133">
        <v>7.9374286276623324E-2</v>
      </c>
      <c r="E29" s="133">
        <v>4.1933585202744402E-3</v>
      </c>
      <c r="F29" s="133">
        <v>5.9905121718206299E-4</v>
      </c>
      <c r="G29" s="133">
        <v>4.5827418114427823E-2</v>
      </c>
      <c r="H29" s="133">
        <v>4.5827418114427823E-2</v>
      </c>
      <c r="I29" s="133">
        <v>2.545967673023767E-3</v>
      </c>
      <c r="J29" s="133">
        <v>0.34565255231405029</v>
      </c>
      <c r="K29" s="45">
        <v>47.917413409488702</v>
      </c>
      <c r="L29" s="134">
        <v>4.2789726102662042</v>
      </c>
      <c r="M29" s="45" t="s">
        <v>738</v>
      </c>
      <c r="N29" s="133">
        <v>6.9259890185343051E-2</v>
      </c>
      <c r="O29" s="133">
        <v>3.659013066395482E-3</v>
      </c>
      <c r="P29" s="133">
        <v>5.2271615234221187E-4</v>
      </c>
      <c r="Q29" s="133">
        <v>3.9987785654179202E-2</v>
      </c>
      <c r="R29" s="133">
        <v>3.9987785654179202E-2</v>
      </c>
      <c r="S29" s="133">
        <v>2.2215436474543994E-3</v>
      </c>
      <c r="T29" s="133">
        <v>0.30160721990145617</v>
      </c>
      <c r="U29" s="45">
        <v>41.811459937300704</v>
      </c>
      <c r="V29" s="134">
        <v>3.7337176432717096</v>
      </c>
      <c r="W29" t="s">
        <v>738</v>
      </c>
    </row>
    <row r="30" spans="1:23" x14ac:dyDescent="0.25">
      <c r="A30" s="812" t="s">
        <v>1999</v>
      </c>
      <c r="B30" s="812">
        <v>2104008220</v>
      </c>
      <c r="C30" s="812" t="s">
        <v>139</v>
      </c>
      <c r="D30" s="133">
        <v>3.7837566045969745E-2</v>
      </c>
      <c r="E30" s="133">
        <v>6.3062610076616262E-3</v>
      </c>
      <c r="F30" s="133">
        <v>1.2612522015323249E-3</v>
      </c>
      <c r="G30" s="133">
        <v>3.7837566045969745E-2</v>
      </c>
      <c r="H30" s="133">
        <v>3.7837566045969745E-2</v>
      </c>
      <c r="I30" s="133">
        <v>2.8378174534477302E-3</v>
      </c>
      <c r="J30" s="133">
        <v>0.44396077493937841</v>
      </c>
      <c r="K30" s="45">
        <v>100.88610359351722</v>
      </c>
      <c r="L30" s="134">
        <v>9.0090187119251972</v>
      </c>
      <c r="M30" s="45" t="s">
        <v>738</v>
      </c>
      <c r="N30" s="133">
        <v>3.3016053336108367E-2</v>
      </c>
      <c r="O30" s="133">
        <v>5.5026755560180617E-3</v>
      </c>
      <c r="P30" s="133">
        <v>1.1005351112036124E-3</v>
      </c>
      <c r="Q30" s="133">
        <v>3.3016053336108367E-2</v>
      </c>
      <c r="R30" s="133">
        <v>3.3016053336108367E-2</v>
      </c>
      <c r="S30" s="133">
        <v>2.4762040002081266E-3</v>
      </c>
      <c r="T30" s="133">
        <v>0.38738835914367148</v>
      </c>
      <c r="U30" s="45">
        <v>88.030529581870482</v>
      </c>
      <c r="V30" s="134">
        <v>7.8610300128066104</v>
      </c>
      <c r="W30" t="s">
        <v>738</v>
      </c>
    </row>
    <row r="31" spans="1:23" x14ac:dyDescent="0.25">
      <c r="A31" s="812" t="s">
        <v>1999</v>
      </c>
      <c r="B31" s="812">
        <v>2104008230</v>
      </c>
      <c r="C31" s="812" t="s">
        <v>140</v>
      </c>
      <c r="D31" s="133">
        <v>2.8476231438519711E-2</v>
      </c>
      <c r="E31" s="133">
        <v>3.796830858469295E-3</v>
      </c>
      <c r="F31" s="133">
        <v>7.5936617169385871E-4</v>
      </c>
      <c r="G31" s="133">
        <v>2.4679400580050411E-2</v>
      </c>
      <c r="H31" s="133">
        <v>2.4679400580050411E-2</v>
      </c>
      <c r="I31" s="133">
        <v>1.708573886311183E-3</v>
      </c>
      <c r="J31" s="133">
        <v>0.20313045092810725</v>
      </c>
      <c r="K31" s="45">
        <v>60.740821042646786</v>
      </c>
      <c r="L31" s="134">
        <v>5.4240888869660697</v>
      </c>
      <c r="M31" s="45" t="s">
        <v>738</v>
      </c>
      <c r="N31" s="133">
        <v>2.4847601847415197E-2</v>
      </c>
      <c r="O31" s="133">
        <v>3.3130135796553594E-3</v>
      </c>
      <c r="P31" s="133">
        <v>6.626027159310719E-4</v>
      </c>
      <c r="Q31" s="133">
        <v>2.1534588267759832E-2</v>
      </c>
      <c r="R31" s="133">
        <v>2.1534588267759832E-2</v>
      </c>
      <c r="S31" s="133">
        <v>1.4908561108449121E-3</v>
      </c>
      <c r="T31" s="133">
        <v>0.17724622651156174</v>
      </c>
      <c r="U31" s="45">
        <v>53.00082422813891</v>
      </c>
      <c r="V31" s="134">
        <v>4.7329156366530958</v>
      </c>
      <c r="W31" t="s">
        <v>738</v>
      </c>
    </row>
    <row r="32" spans="1:23" x14ac:dyDescent="0.25">
      <c r="A32" s="812" t="s">
        <v>1999</v>
      </c>
      <c r="B32" s="812">
        <v>2104008310</v>
      </c>
      <c r="C32" s="812" t="s">
        <v>141</v>
      </c>
      <c r="D32" s="133">
        <v>1.610839281499062</v>
      </c>
      <c r="E32" s="133">
        <v>4.4135252755244436E-2</v>
      </c>
      <c r="F32" s="133">
        <v>1.2157277596219332E-2</v>
      </c>
      <c r="G32" s="133">
        <v>0.3690350545485786</v>
      </c>
      <c r="H32" s="133">
        <v>0.3690350545485786</v>
      </c>
      <c r="I32" s="133">
        <v>1.206696559508701E-2</v>
      </c>
      <c r="J32" s="133">
        <v>3.6827628191069657</v>
      </c>
      <c r="K32" s="45">
        <v>972.44656183531356</v>
      </c>
      <c r="L32" s="134">
        <v>86.838414408588775</v>
      </c>
      <c r="M32" s="45" t="s">
        <v>738</v>
      </c>
      <c r="N32" s="133">
        <v>1.4055754952434716</v>
      </c>
      <c r="O32" s="133">
        <v>3.8511247187502005E-2</v>
      </c>
      <c r="P32" s="133">
        <v>1.060811694523375E-2</v>
      </c>
      <c r="Q32" s="133">
        <v>0.32201016918125236</v>
      </c>
      <c r="R32" s="133">
        <v>0.32201016918125236</v>
      </c>
      <c r="S32" s="133">
        <v>1.0529313096099982E-2</v>
      </c>
      <c r="T32" s="133">
        <v>3.2134808436713258</v>
      </c>
      <c r="U32" s="45">
        <v>848.53099464862953</v>
      </c>
      <c r="V32" s="134">
        <v>75.77288978508254</v>
      </c>
      <c r="W32" t="s">
        <v>738</v>
      </c>
    </row>
    <row r="33" spans="1:31" x14ac:dyDescent="0.25">
      <c r="A33" s="812" t="s">
        <v>1999</v>
      </c>
      <c r="B33" s="812">
        <v>2104008320</v>
      </c>
      <c r="C33" s="812" t="s">
        <v>142</v>
      </c>
      <c r="D33" s="133">
        <v>0.76788391508490061</v>
      </c>
      <c r="E33" s="133">
        <v>0.10295017321815488</v>
      </c>
      <c r="F33" s="133">
        <v>2.5596130502830015E-2</v>
      </c>
      <c r="G33" s="133">
        <v>0.50713135107084661</v>
      </c>
      <c r="H33" s="133">
        <v>0.50713135107084661</v>
      </c>
      <c r="I33" s="133">
        <v>1.5981055190708894E-2</v>
      </c>
      <c r="J33" s="133">
        <v>7.9118246327446</v>
      </c>
      <c r="K33" s="45">
        <v>2047.4048492160455</v>
      </c>
      <c r="L33" s="134">
        <v>182.83101379146723</v>
      </c>
      <c r="M33" s="45" t="s">
        <v>738</v>
      </c>
      <c r="N33" s="133">
        <v>0.67003507217090641</v>
      </c>
      <c r="O33" s="133">
        <v>8.9831581814820247E-2</v>
      </c>
      <c r="P33" s="133">
        <v>2.2334502405696881E-2</v>
      </c>
      <c r="Q33" s="133">
        <v>0.44250932301051621</v>
      </c>
      <c r="R33" s="133">
        <v>0.44250932301051621</v>
      </c>
      <c r="S33" s="133">
        <v>1.3944643529731921E-2</v>
      </c>
      <c r="T33" s="133">
        <v>6.9036476538494238</v>
      </c>
      <c r="U33" s="45">
        <v>1786.5109933392223</v>
      </c>
      <c r="V33" s="134">
        <v>159.53347780087472</v>
      </c>
      <c r="W33" t="s">
        <v>738</v>
      </c>
    </row>
    <row r="34" spans="1:31" x14ac:dyDescent="0.25">
      <c r="A34" s="812" t="s">
        <v>1999</v>
      </c>
      <c r="B34" s="812">
        <v>2104008330</v>
      </c>
      <c r="C34" s="812" t="s">
        <v>143</v>
      </c>
      <c r="D34" s="133">
        <v>0.57790292476287153</v>
      </c>
      <c r="E34" s="133">
        <v>6.1983542083741031E-2</v>
      </c>
      <c r="F34" s="133">
        <v>1.5410744660343242E-2</v>
      </c>
      <c r="G34" s="133">
        <v>0.33879104881879374</v>
      </c>
      <c r="H34" s="133">
        <v>0.33879104881879374</v>
      </c>
      <c r="I34" s="133">
        <v>9.6217653258033661E-3</v>
      </c>
      <c r="J34" s="133">
        <v>4.7634977169365591</v>
      </c>
      <c r="K34" s="45">
        <v>1232.6876261288205</v>
      </c>
      <c r="L34" s="134">
        <v>110.0776568247483</v>
      </c>
      <c r="M34" s="45" t="s">
        <v>738</v>
      </c>
      <c r="N34" s="133">
        <v>0.50426271509861798</v>
      </c>
      <c r="O34" s="133">
        <v>5.4085189541828067E-2</v>
      </c>
      <c r="P34" s="133">
        <v>1.3447005735963143E-2</v>
      </c>
      <c r="Q34" s="133">
        <v>0.29562005452485512</v>
      </c>
      <c r="R34" s="133">
        <v>0.29562005452485512</v>
      </c>
      <c r="S34" s="133">
        <v>8.3956964038937893E-3</v>
      </c>
      <c r="T34" s="133">
        <v>4.1565013589334612</v>
      </c>
      <c r="U34" s="45">
        <v>1075.6104227630394</v>
      </c>
      <c r="V34" s="134">
        <v>96.050834359279108</v>
      </c>
      <c r="W34" t="s">
        <v>738</v>
      </c>
    </row>
    <row r="35" spans="1:31" x14ac:dyDescent="0.25">
      <c r="A35" s="812" t="s">
        <v>1999</v>
      </c>
      <c r="B35" s="812">
        <v>2104008410</v>
      </c>
      <c r="C35" s="812" t="s">
        <v>144</v>
      </c>
      <c r="D35" s="133">
        <v>9.6833038409893588E-3</v>
      </c>
      <c r="E35" s="133">
        <v>1.6910064966541013E-2</v>
      </c>
      <c r="F35" s="133">
        <v>1.3514537435797014E-3</v>
      </c>
      <c r="G35" s="133">
        <v>1.2500947128112238E-2</v>
      </c>
      <c r="H35" s="133">
        <v>1.2500947128112238E-2</v>
      </c>
      <c r="I35" s="133">
        <v>3.0357029715159047E-4</v>
      </c>
      <c r="J35" s="133">
        <v>4.194574556635499E-2</v>
      </c>
      <c r="K35" s="45">
        <v>129.0927108317014</v>
      </c>
      <c r="L35" s="134">
        <v>11.52783788877222</v>
      </c>
      <c r="M35" s="45" t="s">
        <v>738</v>
      </c>
      <c r="N35" s="133">
        <v>8.4493932748060784E-3</v>
      </c>
      <c r="O35" s="133">
        <v>1.4755272740695829E-2</v>
      </c>
      <c r="P35" s="133">
        <v>1.1792425766789874E-3</v>
      </c>
      <c r="Q35" s="133">
        <v>1.0907993834280634E-2</v>
      </c>
      <c r="R35" s="133">
        <v>1.0907993834280634E-2</v>
      </c>
      <c r="S35" s="133">
        <v>2.6488736378651751E-4</v>
      </c>
      <c r="T35" s="133">
        <v>3.6600741473674078E-2</v>
      </c>
      <c r="U35" s="45">
        <v>112.64286452633088</v>
      </c>
      <c r="V35" s="134">
        <v>10.058884604874159</v>
      </c>
      <c r="W35" t="s">
        <v>738</v>
      </c>
    </row>
    <row r="36" spans="1:31" x14ac:dyDescent="0.25">
      <c r="A36" s="812" t="s">
        <v>1999</v>
      </c>
      <c r="B36" s="812">
        <v>2104008420</v>
      </c>
      <c r="C36" s="812" t="s">
        <v>145</v>
      </c>
      <c r="D36" s="133">
        <v>3.2662084799150351E-2</v>
      </c>
      <c r="E36" s="133">
        <v>5.7038174673229386E-2</v>
      </c>
      <c r="F36" s="133">
        <v>4.558495478379972E-3</v>
      </c>
      <c r="G36" s="133">
        <v>4.2166083175014732E-2</v>
      </c>
      <c r="H36" s="133">
        <v>4.2166083175014732E-2</v>
      </c>
      <c r="I36" s="133">
        <v>1.0239520468311013E-3</v>
      </c>
      <c r="J36" s="133">
        <v>0.14148430341021839</v>
      </c>
      <c r="K36" s="45">
        <v>435.43372565560514</v>
      </c>
      <c r="L36" s="134">
        <v>38.883755467851429</v>
      </c>
      <c r="M36" s="45" t="s">
        <v>738</v>
      </c>
      <c r="N36" s="133">
        <v>2.8500066111205494E-2</v>
      </c>
      <c r="O36" s="133">
        <v>4.9769993527535368E-2</v>
      </c>
      <c r="P36" s="133">
        <v>3.977621860342488E-3</v>
      </c>
      <c r="Q36" s="133">
        <v>3.6793002208168009E-2</v>
      </c>
      <c r="R36" s="133">
        <v>3.6793002208168009E-2</v>
      </c>
      <c r="S36" s="133">
        <v>8.93473310379432E-4</v>
      </c>
      <c r="T36" s="133">
        <v>0.12345543849038</v>
      </c>
      <c r="U36" s="45">
        <v>379.94788282945393</v>
      </c>
      <c r="V36" s="134">
        <v>33.928930388256823</v>
      </c>
      <c r="W36" t="s">
        <v>738</v>
      </c>
    </row>
    <row r="37" spans="1:31" x14ac:dyDescent="0.25">
      <c r="A37" s="812" t="s">
        <v>1999</v>
      </c>
      <c r="B37" s="812">
        <v>2104008610</v>
      </c>
      <c r="C37" s="812" t="s">
        <v>146</v>
      </c>
      <c r="D37" s="133">
        <v>1.0647956955624978</v>
      </c>
      <c r="E37" s="133">
        <v>3.7824486765923884E-2</v>
      </c>
      <c r="F37" s="133">
        <v>9.3814598727973431E-3</v>
      </c>
      <c r="G37" s="133">
        <v>0.23149108917603975</v>
      </c>
      <c r="H37" s="133">
        <v>0.23149108917603975</v>
      </c>
      <c r="I37" s="133">
        <v>5.7170280979851988E-3</v>
      </c>
      <c r="J37" s="133">
        <v>1.4206031927910012</v>
      </c>
      <c r="K37" s="45">
        <v>750.41211538468042</v>
      </c>
      <c r="L37" s="134">
        <v>67.010981179278815</v>
      </c>
      <c r="M37" s="45" t="s">
        <v>738</v>
      </c>
      <c r="N37" s="133">
        <v>0.97368228332822571</v>
      </c>
      <c r="O37" s="133">
        <v>3.4587886477609589E-2</v>
      </c>
      <c r="P37" s="133">
        <v>8.5786985315262198E-3</v>
      </c>
      <c r="Q37" s="133">
        <v>0.21168264787170579</v>
      </c>
      <c r="R37" s="133">
        <v>0.21168264787170579</v>
      </c>
      <c r="S37" s="133">
        <v>5.2278282073231043E-3</v>
      </c>
      <c r="T37" s="133">
        <v>1.2990437191140225</v>
      </c>
      <c r="U37" s="45">
        <v>686.20016496116045</v>
      </c>
      <c r="V37" s="134">
        <v>61.276924234969599</v>
      </c>
      <c r="W37" t="s">
        <v>738</v>
      </c>
    </row>
    <row r="38" spans="1:31" x14ac:dyDescent="0.25">
      <c r="A38" s="812" t="s">
        <v>1999</v>
      </c>
      <c r="B38" s="812">
        <v>2104004000</v>
      </c>
      <c r="C38" s="812" t="s">
        <v>568</v>
      </c>
      <c r="D38" s="133">
        <v>7.0586428567898624E-2</v>
      </c>
      <c r="E38" s="133">
        <v>1.1059605413996911</v>
      </c>
      <c r="F38" s="133">
        <v>2.8613321404274119</v>
      </c>
      <c r="G38" s="133">
        <v>4.5202746923693103E-2</v>
      </c>
      <c r="H38" s="133">
        <v>4.5202746923693103E-2</v>
      </c>
      <c r="I38" s="133">
        <v>2.4251273724561358E-3</v>
      </c>
      <c r="J38" s="133">
        <v>4.4336360940989E-2</v>
      </c>
      <c r="K38" s="45">
        <v>26573.495746316326</v>
      </c>
      <c r="L38" s="134">
        <v>197.998397104905</v>
      </c>
      <c r="M38" s="45" t="s">
        <v>1997</v>
      </c>
      <c r="N38" s="133">
        <v>6.525862966833873E-2</v>
      </c>
      <c r="O38" s="133">
        <v>1.0224836539161719</v>
      </c>
      <c r="P38" s="133">
        <v>2.6453614143496593</v>
      </c>
      <c r="Q38" s="133">
        <v>4.1790885037445727E-2</v>
      </c>
      <c r="R38" s="133">
        <v>4.1790885037445727E-2</v>
      </c>
      <c r="S38" s="133">
        <v>2.2420809822589634E-3</v>
      </c>
      <c r="T38" s="133">
        <v>4.0989893074228033E-2</v>
      </c>
      <c r="U38" s="45">
        <v>24567.752655652708</v>
      </c>
      <c r="V38" s="134">
        <v>183.05365965873418</v>
      </c>
      <c r="W38" t="s">
        <v>1997</v>
      </c>
    </row>
    <row r="39" spans="1:31" x14ac:dyDescent="0.25">
      <c r="A39" s="812" t="s">
        <v>1999</v>
      </c>
      <c r="B39" s="812">
        <v>2103004001</v>
      </c>
      <c r="C39" s="812" t="s">
        <v>148</v>
      </c>
      <c r="D39" s="133">
        <v>1.9439756729064551E-2</v>
      </c>
      <c r="E39" s="133">
        <v>0.49076524701705754</v>
      </c>
      <c r="F39" s="133">
        <v>0.34689468838041265</v>
      </c>
      <c r="G39" s="133">
        <v>1.2448999354554336E-2</v>
      </c>
      <c r="H39" s="133">
        <v>1.2448999354554336E-2</v>
      </c>
      <c r="I39" s="133">
        <v>6.6788881537184009E-4</v>
      </c>
      <c r="J39" s="133">
        <v>1.2210393533592042E-2</v>
      </c>
      <c r="K39" s="45">
        <v>7552.3318568736067</v>
      </c>
      <c r="L39" s="134">
        <v>56.272220122660123</v>
      </c>
      <c r="M39" s="45" t="s">
        <v>1997</v>
      </c>
      <c r="N39" s="133">
        <v>1.9076664918767632E-2</v>
      </c>
      <c r="O39" s="133">
        <v>0.4815988338538813</v>
      </c>
      <c r="P39" s="133">
        <v>0.34041546016053914</v>
      </c>
      <c r="Q39" s="133">
        <v>1.2216479484319935E-2</v>
      </c>
      <c r="R39" s="133">
        <v>1.2216479484319935E-2</v>
      </c>
      <c r="S39" s="133">
        <v>6.5541412433376442E-4</v>
      </c>
      <c r="T39" s="133">
        <v>1.19823302942038E-2</v>
      </c>
      <c r="U39" s="45">
        <v>7411.2709431958392</v>
      </c>
      <c r="V39" s="134">
        <v>55.22117907525773</v>
      </c>
      <c r="W39" t="s">
        <v>1997</v>
      </c>
    </row>
    <row r="40" spans="1:31" x14ac:dyDescent="0.25">
      <c r="A40" s="812" t="s">
        <v>1999</v>
      </c>
      <c r="B40" s="812">
        <v>2104004000</v>
      </c>
      <c r="C40" s="812" t="s">
        <v>746</v>
      </c>
      <c r="D40" s="133">
        <v>4.6772408192617611E-4</v>
      </c>
      <c r="E40" s="133">
        <v>1.1807901086495333E-2</v>
      </c>
      <c r="F40" s="133">
        <v>1.8959932888231053E-2</v>
      </c>
      <c r="G40" s="133">
        <v>2.6239780192211854E-4</v>
      </c>
      <c r="H40" s="133">
        <v>2.6239780192211854E-4</v>
      </c>
      <c r="I40" s="133">
        <v>1.6069526350167832E-5</v>
      </c>
      <c r="J40" s="133">
        <v>2.9378428881869423E-4</v>
      </c>
      <c r="K40" s="45">
        <v>179.73593437160318</v>
      </c>
      <c r="L40" s="134">
        <v>1.3119890096105928</v>
      </c>
      <c r="M40" s="45" t="s">
        <v>1997</v>
      </c>
      <c r="N40" s="133">
        <v>4.4223736536456825E-4</v>
      </c>
      <c r="O40" s="133">
        <v>1.1164477666987695E-2</v>
      </c>
      <c r="P40" s="133">
        <v>1.7926788660207905E-2</v>
      </c>
      <c r="Q40" s="133">
        <v>2.4809950371083779E-4</v>
      </c>
      <c r="R40" s="133">
        <v>2.4809950371083779E-4</v>
      </c>
      <c r="S40" s="133">
        <v>1.5193883039950889E-5</v>
      </c>
      <c r="T40" s="133">
        <v>2.7777571199164643E-4</v>
      </c>
      <c r="U40" s="45">
        <v>169.94195755433108</v>
      </c>
      <c r="V40" s="134">
        <v>1.2404975185541891</v>
      </c>
      <c r="W40" t="s">
        <v>1997</v>
      </c>
    </row>
    <row r="41" spans="1:31" x14ac:dyDescent="0.25">
      <c r="A41" s="812" t="s">
        <v>1999</v>
      </c>
      <c r="B41" s="812">
        <v>2104004000</v>
      </c>
      <c r="C41" s="812" t="s">
        <v>747</v>
      </c>
      <c r="D41" s="133">
        <v>1.500171324431638E-3</v>
      </c>
      <c r="E41" s="133">
        <v>2.3504947393177048E-2</v>
      </c>
      <c r="F41" s="133">
        <v>6.0811809207980683E-2</v>
      </c>
      <c r="G41" s="133">
        <v>9.6069267274565624E-4</v>
      </c>
      <c r="H41" s="133">
        <v>9.6069267274565624E-4</v>
      </c>
      <c r="I41" s="133">
        <v>5.1541161892804474E-5</v>
      </c>
      <c r="J41" s="133">
        <v>9.4227939651803094E-4</v>
      </c>
      <c r="K41" s="45">
        <v>526.00677574741894</v>
      </c>
      <c r="L41" s="134">
        <v>4.2080542059793506</v>
      </c>
      <c r="M41" s="45" t="s">
        <v>1997</v>
      </c>
      <c r="N41" s="133">
        <v>1.251796593499427E-3</v>
      </c>
      <c r="O41" s="133">
        <v>1.9613368551961725E-2</v>
      </c>
      <c r="P41" s="133">
        <v>5.0743548001044476E-2</v>
      </c>
      <c r="Q41" s="133">
        <v>8.0163631683767295E-4</v>
      </c>
      <c r="R41" s="133">
        <v>8.0163631683767295E-4</v>
      </c>
      <c r="S41" s="133">
        <v>4.3007788398341163E-5</v>
      </c>
      <c r="T41" s="133">
        <v>7.862716207649509E-4</v>
      </c>
      <c r="U41" s="45">
        <v>438.918861675816</v>
      </c>
      <c r="V41" s="134">
        <v>3.5113508934065281</v>
      </c>
      <c r="W41" t="s">
        <v>1997</v>
      </c>
    </row>
    <row r="42" spans="1:31" x14ac:dyDescent="0.25">
      <c r="A42" s="812" t="s">
        <v>1999</v>
      </c>
      <c r="B42" s="812">
        <v>2104006010</v>
      </c>
      <c r="C42" s="812" t="s">
        <v>149</v>
      </c>
      <c r="D42" s="133">
        <v>6.2640334377998829E-4</v>
      </c>
      <c r="E42" s="133">
        <v>1.0705802602785261E-2</v>
      </c>
      <c r="F42" s="133">
        <v>6.8334910230544177E-5</v>
      </c>
      <c r="G42" s="133">
        <v>5.6412746225655225E-6</v>
      </c>
      <c r="H42" s="133">
        <v>5.6412746225655225E-6</v>
      </c>
      <c r="I42" s="133">
        <v>2.2778303410181393E-3</v>
      </c>
      <c r="J42" s="133">
        <v>4.5556606820362786E-3</v>
      </c>
      <c r="K42" s="45">
        <v>281.18883333333304</v>
      </c>
      <c r="L42" s="134">
        <v>277.03333333333325</v>
      </c>
      <c r="M42" s="45" t="s">
        <v>1998</v>
      </c>
      <c r="N42" s="133">
        <v>6.2640334377998829E-4</v>
      </c>
      <c r="O42" s="133">
        <v>1.0705802602785261E-2</v>
      </c>
      <c r="P42" s="133">
        <v>6.8334910230544177E-5</v>
      </c>
      <c r="Q42" s="133">
        <v>5.6412746225655225E-6</v>
      </c>
      <c r="R42" s="133">
        <v>5.6412746225655225E-6</v>
      </c>
      <c r="S42" s="133">
        <v>2.2778303410181393E-3</v>
      </c>
      <c r="T42" s="133">
        <v>4.5556606820362786E-3</v>
      </c>
      <c r="U42" s="45">
        <v>281.18883333333304</v>
      </c>
      <c r="V42" s="134">
        <v>277.03333333333325</v>
      </c>
      <c r="W42" t="s">
        <v>1998</v>
      </c>
    </row>
    <row r="43" spans="1:31" x14ac:dyDescent="0.25">
      <c r="A43" s="812" t="s">
        <v>1999</v>
      </c>
      <c r="B43" s="812">
        <v>2103006000</v>
      </c>
      <c r="C43" s="812" t="s">
        <v>150</v>
      </c>
      <c r="D43" s="133">
        <v>9.7086916666666682E-3</v>
      </c>
      <c r="E43" s="133">
        <v>0.17652166666666677</v>
      </c>
      <c r="F43" s="133">
        <v>1.0591300000000004E-3</v>
      </c>
      <c r="G43" s="133">
        <v>1.3415646666666668E-2</v>
      </c>
      <c r="H43" s="133">
        <v>1.3415646666666668E-2</v>
      </c>
      <c r="I43" s="133">
        <v>3.5304333333333375E-2</v>
      </c>
      <c r="J43" s="133">
        <v>7.060866666666675E-2</v>
      </c>
      <c r="K43" s="45">
        <v>3583.389833333335</v>
      </c>
      <c r="L43" s="134">
        <v>3530.4333333333361</v>
      </c>
      <c r="M43" s="45" t="s">
        <v>1998</v>
      </c>
      <c r="N43" s="133">
        <v>9.7086916666666682E-3</v>
      </c>
      <c r="O43" s="133">
        <v>0.17652166666666677</v>
      </c>
      <c r="P43" s="133">
        <v>1.0591300000000004E-3</v>
      </c>
      <c r="Q43" s="133">
        <v>1.3415646666666668E-2</v>
      </c>
      <c r="R43" s="133">
        <v>1.3415646666666668E-2</v>
      </c>
      <c r="S43" s="133">
        <v>3.5304333333333375E-2</v>
      </c>
      <c r="T43" s="133">
        <v>7.060866666666675E-2</v>
      </c>
      <c r="U43" s="45">
        <v>3583.389833333335</v>
      </c>
      <c r="V43" s="134">
        <v>3530.4333333333361</v>
      </c>
      <c r="W43" t="s">
        <v>1998</v>
      </c>
    </row>
    <row r="44" spans="1:31" x14ac:dyDescent="0.25">
      <c r="A44" s="812" t="s">
        <v>1999</v>
      </c>
      <c r="B44" s="812">
        <v>2104002000</v>
      </c>
      <c r="C44" s="812" t="s">
        <v>151</v>
      </c>
      <c r="D44" s="133">
        <v>0.10474003881992376</v>
      </c>
      <c r="E44" s="133">
        <v>4.9437298323004031E-2</v>
      </c>
      <c r="F44" s="133">
        <v>9.7408236102529119E-2</v>
      </c>
      <c r="G44" s="133">
        <v>8.3687291017119109E-2</v>
      </c>
      <c r="H44" s="133">
        <v>8.3687291017119109E-2</v>
      </c>
      <c r="I44" s="133">
        <v>1.3259565214408253E-2</v>
      </c>
      <c r="J44" s="133">
        <v>1.3676430568911551</v>
      </c>
      <c r="K44" s="45">
        <v>318.40971801256819</v>
      </c>
      <c r="L44" s="134">
        <v>20.948007763984755</v>
      </c>
      <c r="M44" s="45" t="s">
        <v>738</v>
      </c>
      <c r="N44" s="133">
        <v>9.2024255066681979E-2</v>
      </c>
      <c r="O44" s="133">
        <v>4.3435448391473896E-2</v>
      </c>
      <c r="P44" s="133">
        <v>8.5582557212014243E-2</v>
      </c>
      <c r="Q44" s="133">
        <v>7.3527379798278891E-2</v>
      </c>
      <c r="R44" s="133">
        <v>7.3527379798278891E-2</v>
      </c>
      <c r="S44" s="133">
        <v>1.164981057016661E-2</v>
      </c>
      <c r="T44" s="133">
        <v>1.2016067105332002</v>
      </c>
      <c r="U44" s="45">
        <v>279.75373540271323</v>
      </c>
      <c r="V44" s="134">
        <v>18.404851013336394</v>
      </c>
      <c r="W44" t="s">
        <v>738</v>
      </c>
    </row>
    <row r="45" spans="1:31" x14ac:dyDescent="0.25">
      <c r="A45" s="812" t="s">
        <v>1999</v>
      </c>
      <c r="B45" s="812">
        <v>2103002000</v>
      </c>
      <c r="C45" s="812" t="s">
        <v>152</v>
      </c>
      <c r="D45" s="133">
        <v>2.8532244230068844E-4</v>
      </c>
      <c r="E45" s="133">
        <v>1.346721927659249E-4</v>
      </c>
      <c r="F45" s="133">
        <v>2.6534987133964015E-4</v>
      </c>
      <c r="G45" s="133">
        <v>2.2797263139825001E-4</v>
      </c>
      <c r="H45" s="133">
        <v>2.2797263139825001E-4</v>
      </c>
      <c r="I45" s="133">
        <v>3.6120394583055649E-5</v>
      </c>
      <c r="J45" s="133">
        <v>3.725597790341238E-3</v>
      </c>
      <c r="K45" s="45">
        <v>13.116826184181894</v>
      </c>
      <c r="L45" s="134">
        <v>0.86738022459409281</v>
      </c>
      <c r="M45" s="45" t="s">
        <v>738</v>
      </c>
      <c r="N45" s="133">
        <v>2.6963315214105564E-4</v>
      </c>
      <c r="O45" s="133">
        <v>1.2726684781057826E-4</v>
      </c>
      <c r="P45" s="133">
        <v>2.5075883149118169E-4</v>
      </c>
      <c r="Q45" s="133">
        <v>2.1543688856070345E-4</v>
      </c>
      <c r="R45" s="133">
        <v>2.1543688856070345E-4</v>
      </c>
      <c r="S45" s="133">
        <v>3.4134208895296937E-5</v>
      </c>
      <c r="T45" s="133">
        <v>3.5207348840818335E-3</v>
      </c>
      <c r="U45" s="45">
        <v>12.391855464485586</v>
      </c>
      <c r="V45" s="134">
        <v>0.81968478250880905</v>
      </c>
      <c r="W45" t="s">
        <v>738</v>
      </c>
    </row>
    <row r="46" spans="1:31" x14ac:dyDescent="0.25">
      <c r="A46" s="812" t="s">
        <v>1999</v>
      </c>
      <c r="B46" s="812">
        <v>2103008000</v>
      </c>
      <c r="C46" s="812" t="s">
        <v>153</v>
      </c>
      <c r="D46" s="133">
        <v>8.7184102008962044E-4</v>
      </c>
      <c r="E46" s="133">
        <v>3.4664180803309314E-5</v>
      </c>
      <c r="F46" s="133">
        <v>7.5569431662724826E-6</v>
      </c>
      <c r="G46" s="133">
        <v>2.4518378092326654E-4</v>
      </c>
      <c r="H46" s="133">
        <v>2.4518378092326654E-4</v>
      </c>
      <c r="I46" s="133">
        <v>8.977707154115664E-6</v>
      </c>
      <c r="J46" s="133">
        <v>1.7439048949549685E-3</v>
      </c>
      <c r="K46" s="45">
        <v>7.9159459338867979</v>
      </c>
      <c r="L46" s="134">
        <v>0.65367558388256952</v>
      </c>
      <c r="M46" s="45" t="s">
        <v>738</v>
      </c>
      <c r="N46" s="133">
        <v>7.1473614547591419E-4</v>
      </c>
      <c r="O46" s="133">
        <v>2.9083381335906241E-5</v>
      </c>
      <c r="P46" s="133">
        <v>6.1727592489711021E-6</v>
      </c>
      <c r="Q46" s="133">
        <v>2.1102851649953139E-4</v>
      </c>
      <c r="R46" s="133">
        <v>2.1102851649953139E-4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1.3760960594379904E-2</v>
      </c>
      <c r="G47" s="135">
        <v>1.937348938481727E-3</v>
      </c>
      <c r="H47" s="135">
        <v>1.937348938481727E-3</v>
      </c>
      <c r="I47" s="135">
        <v>1.3544093175893139E-5</v>
      </c>
      <c r="J47" s="135">
        <v>4.6265049277175556E-3</v>
      </c>
      <c r="K47" s="88">
        <v>103.11814403022066</v>
      </c>
      <c r="L47" s="136">
        <v>0.74453533595827182</v>
      </c>
      <c r="M47" s="88" t="s">
        <v>1997</v>
      </c>
      <c r="N47" s="135">
        <v>3.72267667979136E-4</v>
      </c>
      <c r="O47" s="135">
        <v>1.9434212261993551E-2</v>
      </c>
      <c r="P47" s="135">
        <v>1.3760960594379904E-2</v>
      </c>
      <c r="Q47" s="135">
        <v>1.937348938481727E-3</v>
      </c>
      <c r="R47" s="135">
        <v>1.937348938481727E-3</v>
      </c>
      <c r="S47" s="135">
        <v>1.3544093175893139E-5</v>
      </c>
      <c r="T47" s="135">
        <v>4.6265049277175556E-3</v>
      </c>
      <c r="U47" s="88">
        <v>103.11814403022066</v>
      </c>
      <c r="V47" s="136">
        <v>0.74453533595827182</v>
      </c>
      <c r="W47" s="3" t="s">
        <v>1997</v>
      </c>
    </row>
    <row r="48" spans="1:31" x14ac:dyDescent="0.25">
      <c r="A48" s="810" t="s">
        <v>1999</v>
      </c>
      <c r="B48" s="810" t="s">
        <v>341</v>
      </c>
      <c r="C48" s="810"/>
      <c r="D48" s="137">
        <v>7.7841334770436434</v>
      </c>
      <c r="E48" s="137">
        <v>2.2616625949578699</v>
      </c>
      <c r="F48" s="137">
        <v>3.477522985690884</v>
      </c>
      <c r="G48" s="137">
        <v>2.2764405703557129</v>
      </c>
      <c r="H48" s="137">
        <v>2.2764405703557129</v>
      </c>
      <c r="I48" s="137">
        <v>0.13232596066899402</v>
      </c>
      <c r="J48" s="137">
        <v>24.17852522113705</v>
      </c>
      <c r="K48" s="87">
        <v>45386.035132580633</v>
      </c>
      <c r="L48" s="87"/>
      <c r="M48" s="87"/>
      <c r="N48" s="137">
        <v>7.0203151616363915</v>
      </c>
      <c r="O48" s="137">
        <v>2.1144731256950249</v>
      </c>
      <c r="P48" s="137">
        <v>3.2230236195232562</v>
      </c>
      <c r="Q48" s="137">
        <v>2.0287707991379409</v>
      </c>
      <c r="R48" s="137">
        <v>2.0287707991379409</v>
      </c>
      <c r="S48" s="137">
        <v>0.12215646322761831</v>
      </c>
      <c r="T48" s="137">
        <v>21.373211356036212</v>
      </c>
      <c r="U48" s="87">
        <v>42361.414452879413</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4.4435148355321807</v>
      </c>
      <c r="E50" s="133">
        <v>5.0450386778967994E-2</v>
      </c>
      <c r="F50" s="133">
        <v>7.7615979659950768E-3</v>
      </c>
      <c r="G50" s="133">
        <v>0.67137822405857428</v>
      </c>
      <c r="H50" s="133">
        <v>0.67137822405857428</v>
      </c>
      <c r="I50" s="133">
        <v>3.4927190846977846E-2</v>
      </c>
      <c r="J50" s="133">
        <v>4.9014491155258924</v>
      </c>
      <c r="K50" s="45">
        <v>623.18140686647723</v>
      </c>
      <c r="L50" s="134">
        <v>55.440443414201702</v>
      </c>
      <c r="M50" s="45" t="s">
        <v>738</v>
      </c>
      <c r="N50" s="133">
        <v>4.0995447960714637</v>
      </c>
      <c r="O50" s="133">
        <v>4.6545050086400912E-2</v>
      </c>
      <c r="P50" s="133">
        <v>7.1607769363693716E-3</v>
      </c>
      <c r="Q50" s="133">
        <v>0.61940720499595081</v>
      </c>
      <c r="R50" s="133">
        <v>0.61940720499595081</v>
      </c>
      <c r="S50" s="133">
        <v>3.2223496213662162E-2</v>
      </c>
      <c r="T50" s="133">
        <v>4.5220306353172584</v>
      </c>
      <c r="U50" s="45">
        <v>574.93854120143794</v>
      </c>
      <c r="V50" s="134">
        <v>51.148829182060041</v>
      </c>
      <c r="W50" t="s">
        <v>738</v>
      </c>
      <c r="Y50" s="13">
        <f>N50/$U50*2000</f>
        <v>14.260810512040901</v>
      </c>
      <c r="Z50" s="5">
        <f t="shared" ref="Z50:AE65" si="0">O50/$U50*2000</f>
        <v>0.16191313245111946</v>
      </c>
      <c r="AA50" s="357">
        <f t="shared" si="0"/>
        <v>2.4909712684787609E-2</v>
      </c>
      <c r="AB50" s="5">
        <f t="shared" si="0"/>
        <v>2.1546901472341289</v>
      </c>
      <c r="AC50" s="358">
        <f t="shared" si="0"/>
        <v>2.1546901472341289</v>
      </c>
      <c r="AD50" s="5">
        <f t="shared" si="0"/>
        <v>0.1120937070815442</v>
      </c>
      <c r="AE50" s="13">
        <f t="shared" si="0"/>
        <v>15.730483560443375</v>
      </c>
    </row>
    <row r="51" spans="1:31" x14ac:dyDescent="0.25">
      <c r="A51" s="812" t="s">
        <v>2001</v>
      </c>
      <c r="B51" s="812">
        <v>2104008210</v>
      </c>
      <c r="C51" s="812" t="s">
        <v>138</v>
      </c>
      <c r="D51" s="133">
        <v>9.6201168072400728E-2</v>
      </c>
      <c r="E51" s="133">
        <v>5.08232586042872E-3</v>
      </c>
      <c r="F51" s="133">
        <v>7.2604655148981686E-4</v>
      </c>
      <c r="G51" s="133">
        <v>5.5542561188971003E-2</v>
      </c>
      <c r="H51" s="133">
        <v>5.5542561188971003E-2</v>
      </c>
      <c r="I51" s="133">
        <v>3.085697843831722E-3</v>
      </c>
      <c r="J51" s="133">
        <v>0.41892886020962433</v>
      </c>
      <c r="K51" s="45">
        <v>58.284188313021787</v>
      </c>
      <c r="L51" s="134">
        <v>5.1860896339001403</v>
      </c>
      <c r="M51" s="45" t="s">
        <v>738</v>
      </c>
      <c r="N51" s="133">
        <v>8.3729976335012404E-2</v>
      </c>
      <c r="O51" s="133">
        <v>4.4234704478874481E-3</v>
      </c>
      <c r="P51" s="133">
        <v>6.3192434969820688E-4</v>
      </c>
      <c r="Q51" s="133">
        <v>4.8342212751912826E-2</v>
      </c>
      <c r="R51" s="133">
        <v>4.8342212751912826E-2</v>
      </c>
      <c r="S51" s="133">
        <v>2.6856784862173788E-3</v>
      </c>
      <c r="T51" s="133">
        <v>0.36462034977586544</v>
      </c>
      <c r="U51" s="45">
        <v>50.728145534738047</v>
      </c>
      <c r="V51" s="134">
        <v>4.5137826392181708</v>
      </c>
      <c r="W51" t="s">
        <v>738</v>
      </c>
      <c r="Y51" s="13">
        <f t="shared" ref="Y51:AE70" si="1">N51/$U51*2000</f>
        <v>3.3011250639026453</v>
      </c>
      <c r="Z51" s="5">
        <f t="shared" si="0"/>
        <v>0.17439905997976238</v>
      </c>
      <c r="AA51" s="357">
        <f t="shared" si="0"/>
        <v>2.4914151425680341E-2</v>
      </c>
      <c r="AB51" s="5">
        <f t="shared" si="0"/>
        <v>1.905932584064546</v>
      </c>
      <c r="AC51" s="358">
        <f t="shared" si="0"/>
        <v>1.905932584064546</v>
      </c>
      <c r="AD51" s="5">
        <f t="shared" si="0"/>
        <v>0.10588514355914143</v>
      </c>
      <c r="AE51" s="13">
        <f t="shared" si="0"/>
        <v>14.375465372617558</v>
      </c>
    </row>
    <row r="52" spans="1:31" x14ac:dyDescent="0.25">
      <c r="A52" s="812" t="s">
        <v>2001</v>
      </c>
      <c r="B52" s="812">
        <v>2104008220</v>
      </c>
      <c r="C52" s="812" t="s">
        <v>139</v>
      </c>
      <c r="D52" s="133">
        <v>4.5858907479851295E-2</v>
      </c>
      <c r="E52" s="133">
        <v>7.6431512466418839E-3</v>
      </c>
      <c r="F52" s="133">
        <v>1.5286302493283765E-3</v>
      </c>
      <c r="G52" s="133">
        <v>4.5858907479851295E-2</v>
      </c>
      <c r="H52" s="133">
        <v>4.5858907479851295E-2</v>
      </c>
      <c r="I52" s="133">
        <v>3.4394180609888477E-3</v>
      </c>
      <c r="J52" s="133">
        <v>0.53807784776358858</v>
      </c>
      <c r="K52" s="45">
        <v>122.71248052899274</v>
      </c>
      <c r="L52" s="134">
        <v>10.918877686067034</v>
      </c>
      <c r="M52" s="45" t="s">
        <v>738</v>
      </c>
      <c r="N52" s="133">
        <v>3.9913914924064896E-2</v>
      </c>
      <c r="O52" s="133">
        <v>6.65231915401082E-3</v>
      </c>
      <c r="P52" s="133">
        <v>1.3304638308021637E-3</v>
      </c>
      <c r="Q52" s="133">
        <v>3.9913914924064896E-2</v>
      </c>
      <c r="R52" s="133">
        <v>3.9913914924064896E-2</v>
      </c>
      <c r="S52" s="133">
        <v>2.9935436193048687E-3</v>
      </c>
      <c r="T52" s="133">
        <v>0.46832326844236172</v>
      </c>
      <c r="U52" s="45">
        <v>106.80386484532512</v>
      </c>
      <c r="V52" s="134">
        <v>9.5033915759862158</v>
      </c>
      <c r="W52" t="s">
        <v>738</v>
      </c>
      <c r="Y52" s="13">
        <f t="shared" si="1"/>
        <v>0.74742454277041004</v>
      </c>
      <c r="Z52" s="5">
        <f t="shared" si="0"/>
        <v>0.12457075712840172</v>
      </c>
      <c r="AA52" s="357">
        <f t="shared" si="0"/>
        <v>2.4914151425680341E-2</v>
      </c>
      <c r="AB52" s="5">
        <f t="shared" si="0"/>
        <v>0.74742454277041004</v>
      </c>
      <c r="AC52" s="358">
        <f t="shared" si="0"/>
        <v>0.74742454277041004</v>
      </c>
      <c r="AD52" s="5">
        <f t="shared" si="0"/>
        <v>5.6056840707780775E-2</v>
      </c>
      <c r="AE52" s="13">
        <f t="shared" si="0"/>
        <v>8.7697813018394815</v>
      </c>
    </row>
    <row r="53" spans="1:31" x14ac:dyDescent="0.25">
      <c r="A53" s="812" t="s">
        <v>2001</v>
      </c>
      <c r="B53" s="812">
        <v>2104008230</v>
      </c>
      <c r="C53" s="812" t="s">
        <v>140</v>
      </c>
      <c r="D53" s="133">
        <v>3.4513025000798239E-2</v>
      </c>
      <c r="E53" s="133">
        <v>4.601736666773098E-3</v>
      </c>
      <c r="F53" s="133">
        <v>9.2034733335461948E-4</v>
      </c>
      <c r="G53" s="133">
        <v>2.9911288334025135E-2</v>
      </c>
      <c r="H53" s="133">
        <v>2.9911288334025135E-2</v>
      </c>
      <c r="I53" s="133">
        <v>2.0707815000478936E-3</v>
      </c>
      <c r="J53" s="133">
        <v>0.24619291167236068</v>
      </c>
      <c r="K53" s="45">
        <v>73.881898041602909</v>
      </c>
      <c r="L53" s="134">
        <v>6.573963825465496</v>
      </c>
      <c r="M53" s="45" t="s">
        <v>738</v>
      </c>
      <c r="N53" s="133">
        <v>3.0038874001942377E-2</v>
      </c>
      <c r="O53" s="133">
        <v>4.0051832002589837E-3</v>
      </c>
      <c r="P53" s="133">
        <v>8.0103664005179648E-4</v>
      </c>
      <c r="Q53" s="133">
        <v>2.6033690801683388E-2</v>
      </c>
      <c r="R53" s="133">
        <v>2.6033690801683388E-2</v>
      </c>
      <c r="S53" s="133">
        <v>1.8023324401165426E-3</v>
      </c>
      <c r="T53" s="133">
        <v>0.21427730121385558</v>
      </c>
      <c r="U53" s="45">
        <v>64.303746602914643</v>
      </c>
      <c r="V53" s="134">
        <v>5.721737548126189</v>
      </c>
      <c r="W53" t="s">
        <v>738</v>
      </c>
      <c r="Y53" s="13">
        <f t="shared" si="1"/>
        <v>0.93428067846301288</v>
      </c>
      <c r="Z53" s="5">
        <f t="shared" si="0"/>
        <v>0.12457075712840172</v>
      </c>
      <c r="AA53" s="357">
        <f t="shared" si="0"/>
        <v>2.4914151425680337E-2</v>
      </c>
      <c r="AB53" s="5">
        <f t="shared" si="0"/>
        <v>0.80970992133461106</v>
      </c>
      <c r="AC53" s="358">
        <f t="shared" si="0"/>
        <v>0.80970992133461106</v>
      </c>
      <c r="AD53" s="5">
        <f t="shared" si="0"/>
        <v>5.6056840707780775E-2</v>
      </c>
      <c r="AE53" s="13">
        <f t="shared" si="0"/>
        <v>6.6645355063694911</v>
      </c>
    </row>
    <row r="54" spans="1:31" x14ac:dyDescent="0.25">
      <c r="A54" s="812" t="s">
        <v>2001</v>
      </c>
      <c r="B54" s="812">
        <v>2104008310</v>
      </c>
      <c r="C54" s="812" t="s">
        <v>141</v>
      </c>
      <c r="D54" s="133">
        <v>1.9523277339094058</v>
      </c>
      <c r="E54" s="133">
        <v>5.3491666727283879E-2</v>
      </c>
      <c r="F54" s="133">
        <v>1.4734548935165325E-2</v>
      </c>
      <c r="G54" s="133">
        <v>0.44726831537748307</v>
      </c>
      <c r="H54" s="133">
        <v>0.44726831537748307</v>
      </c>
      <c r="I54" s="133">
        <v>1.4625091321025569E-2</v>
      </c>
      <c r="J54" s="133">
        <v>4.4634868740361711</v>
      </c>
      <c r="K54" s="45">
        <v>1182.8321794000767</v>
      </c>
      <c r="L54" s="134">
        <v>105.24764746290104</v>
      </c>
      <c r="M54" s="45" t="s">
        <v>738</v>
      </c>
      <c r="N54" s="133">
        <v>1.6992346167293635</v>
      </c>
      <c r="O54" s="133">
        <v>4.6557189262245495E-2</v>
      </c>
      <c r="P54" s="133">
        <v>1.2824412201731045E-2</v>
      </c>
      <c r="Q54" s="133">
        <v>0.38928597450888475</v>
      </c>
      <c r="R54" s="133">
        <v>0.38928597450888475</v>
      </c>
      <c r="S54" s="133">
        <v>1.2729144299841212E-2</v>
      </c>
      <c r="T54" s="133">
        <v>3.8848556397300773</v>
      </c>
      <c r="U54" s="45">
        <v>1029.4881798392089</v>
      </c>
      <c r="V54" s="134">
        <v>91.603700952490072</v>
      </c>
      <c r="W54" t="s">
        <v>738</v>
      </c>
      <c r="Y54" s="13">
        <f t="shared" si="1"/>
        <v>3.3011250639026462</v>
      </c>
      <c r="Z54" s="5">
        <f t="shared" si="0"/>
        <v>9.0447253643100703E-2</v>
      </c>
      <c r="AA54" s="357">
        <f t="shared" si="0"/>
        <v>2.4914151425680348E-2</v>
      </c>
      <c r="AB54" s="5">
        <f t="shared" si="0"/>
        <v>0.756270896805606</v>
      </c>
      <c r="AC54" s="358">
        <f t="shared" si="0"/>
        <v>0.756270896805606</v>
      </c>
      <c r="AD54" s="5">
        <f t="shared" si="0"/>
        <v>2.472907324070359E-2</v>
      </c>
      <c r="AE54" s="13">
        <f t="shared" si="0"/>
        <v>7.5471592890689339</v>
      </c>
    </row>
    <row r="55" spans="1:31" x14ac:dyDescent="0.25">
      <c r="A55" s="812" t="s">
        <v>2001</v>
      </c>
      <c r="B55" s="812">
        <v>2104008320</v>
      </c>
      <c r="C55" s="812" t="s">
        <v>142</v>
      </c>
      <c r="D55" s="133">
        <v>0.93067078824155169</v>
      </c>
      <c r="E55" s="133">
        <v>0.12477500436762115</v>
      </c>
      <c r="F55" s="133">
        <v>3.1022359608051733E-2</v>
      </c>
      <c r="G55" s="133">
        <v>0.61464021445341077</v>
      </c>
      <c r="H55" s="133">
        <v>0.61464021445341077</v>
      </c>
      <c r="I55" s="133">
        <v>1.9368944887489095E-2</v>
      </c>
      <c r="J55" s="133">
        <v>9.5890849160074243</v>
      </c>
      <c r="K55" s="45">
        <v>2490.3541592474962</v>
      </c>
      <c r="L55" s="134">
        <v>221.59011326795894</v>
      </c>
      <c r="M55" s="45" t="s">
        <v>738</v>
      </c>
      <c r="N55" s="133">
        <v>0.81002179741212987</v>
      </c>
      <c r="O55" s="133">
        <v>0.10859959782441832</v>
      </c>
      <c r="P55" s="133">
        <v>2.7000726580404342E-2</v>
      </c>
      <c r="Q55" s="133">
        <v>0.53496035071008197</v>
      </c>
      <c r="R55" s="133">
        <v>0.53496035071008197</v>
      </c>
      <c r="S55" s="133">
        <v>1.6858020849009728E-2</v>
      </c>
      <c r="T55" s="133">
        <v>8.3459886109435821</v>
      </c>
      <c r="U55" s="45">
        <v>2167.501201953301</v>
      </c>
      <c r="V55" s="134">
        <v>192.86392578971007</v>
      </c>
      <c r="W55" t="s">
        <v>738</v>
      </c>
      <c r="Y55" s="13">
        <f t="shared" si="1"/>
        <v>0.74742454277040982</v>
      </c>
      <c r="Z55" s="5">
        <f t="shared" si="0"/>
        <v>0.10020718579214713</v>
      </c>
      <c r="AA55" s="357">
        <f t="shared" si="0"/>
        <v>2.4914151425680341E-2</v>
      </c>
      <c r="AB55" s="5">
        <f t="shared" si="0"/>
        <v>0.49361942704159822</v>
      </c>
      <c r="AC55" s="358">
        <f t="shared" si="0"/>
        <v>0.49361942704159822</v>
      </c>
      <c r="AD55" s="5">
        <f t="shared" si="0"/>
        <v>1.5555258593460226E-2</v>
      </c>
      <c r="AE55" s="13">
        <f t="shared" si="0"/>
        <v>7.701023282868193</v>
      </c>
    </row>
    <row r="56" spans="1:31" x14ac:dyDescent="0.25">
      <c r="A56" s="812" t="s">
        <v>2001</v>
      </c>
      <c r="B56" s="812">
        <v>2104008330</v>
      </c>
      <c r="C56" s="812" t="s">
        <v>143</v>
      </c>
      <c r="D56" s="133">
        <v>0.70041494547609362</v>
      </c>
      <c r="E56" s="133">
        <v>7.5123688406340206E-2</v>
      </c>
      <c r="F56" s="133">
        <v>1.8677731879362492E-2</v>
      </c>
      <c r="G56" s="133">
        <v>0.41061275833406086</v>
      </c>
      <c r="H56" s="133">
        <v>0.41061275833406086</v>
      </c>
      <c r="I56" s="133">
        <v>1.1661522977793565E-2</v>
      </c>
      <c r="J56" s="133">
        <v>5.7733312131144485</v>
      </c>
      <c r="K56" s="45">
        <v>1499.3755426330424</v>
      </c>
      <c r="L56" s="134">
        <v>133.41347257357862</v>
      </c>
      <c r="M56" s="45" t="s">
        <v>738</v>
      </c>
      <c r="N56" s="133">
        <v>0.60961553777876898</v>
      </c>
      <c r="O56" s="133">
        <v>6.5384909336316965E-2</v>
      </c>
      <c r="P56" s="133">
        <v>1.6256414340767172E-2</v>
      </c>
      <c r="Q56" s="133">
        <v>0.35738231902018419</v>
      </c>
      <c r="R56" s="133">
        <v>0.35738231902018419</v>
      </c>
      <c r="S56" s="133">
        <v>1.0149762861777401E-2</v>
      </c>
      <c r="T56" s="133">
        <v>5.0248962204331544</v>
      </c>
      <c r="U56" s="45">
        <v>1304.9944236921372</v>
      </c>
      <c r="V56" s="134">
        <v>116.11820443750247</v>
      </c>
      <c r="W56" t="s">
        <v>738</v>
      </c>
      <c r="Y56" s="13">
        <f t="shared" si="1"/>
        <v>0.93428067846301255</v>
      </c>
      <c r="Z56" s="5">
        <f t="shared" si="0"/>
        <v>0.10020718579214712</v>
      </c>
      <c r="AA56" s="357">
        <f t="shared" si="0"/>
        <v>2.4914151425680334E-2</v>
      </c>
      <c r="AB56" s="5">
        <f t="shared" si="0"/>
        <v>0.54771470671739009</v>
      </c>
      <c r="AC56" s="358">
        <f t="shared" si="0"/>
        <v>0.54771470671739009</v>
      </c>
      <c r="AD56" s="5">
        <f t="shared" si="0"/>
        <v>1.5555258593460233E-2</v>
      </c>
      <c r="AE56" s="13">
        <f t="shared" si="0"/>
        <v>7.7010232828681939</v>
      </c>
    </row>
    <row r="57" spans="1:31" x14ac:dyDescent="0.25">
      <c r="A57" s="812" t="s">
        <v>2001</v>
      </c>
      <c r="B57" s="812">
        <v>2104008410</v>
      </c>
      <c r="C57" s="812" t="s">
        <v>144</v>
      </c>
      <c r="D57" s="133">
        <v>1.1736107296217565E-2</v>
      </c>
      <c r="E57" s="133">
        <v>2.0494899271182868E-2</v>
      </c>
      <c r="F57" s="133">
        <v>1.6379539877069225E-3</v>
      </c>
      <c r="G57" s="133">
        <v>1.5151074386289034E-2</v>
      </c>
      <c r="H57" s="133">
        <v>1.5151074386289034E-2</v>
      </c>
      <c r="I57" s="133">
        <v>3.6792541448866752E-4</v>
      </c>
      <c r="J57" s="133">
        <v>5.0837996893453606E-2</v>
      </c>
      <c r="K57" s="45">
        <v>157.02149453800484</v>
      </c>
      <c r="L57" s="134">
        <v>13.971671712225231</v>
      </c>
      <c r="M57" s="45" t="s">
        <v>738</v>
      </c>
      <c r="N57" s="133">
        <v>1.0214678323218622E-2</v>
      </c>
      <c r="O57" s="133">
        <v>1.7838010341757176E-2</v>
      </c>
      <c r="P57" s="133">
        <v>1.4256152121284453E-3</v>
      </c>
      <c r="Q57" s="133">
        <v>1.3186940712188122E-2</v>
      </c>
      <c r="R57" s="133">
        <v>1.3186940712188122E-2</v>
      </c>
      <c r="S57" s="133">
        <v>3.2022881702435202E-4</v>
      </c>
      <c r="T57" s="133">
        <v>4.4247532146436626E-2</v>
      </c>
      <c r="U57" s="45">
        <v>136.66501082981313</v>
      </c>
      <c r="V57" s="134">
        <v>12.160431783372491</v>
      </c>
      <c r="W57" t="s">
        <v>738</v>
      </c>
      <c r="Y57" s="13">
        <f t="shared" si="1"/>
        <v>0.149484908554082</v>
      </c>
      <c r="Z57" s="5">
        <f t="shared" si="0"/>
        <v>0.26104721659841057</v>
      </c>
      <c r="AA57" s="357">
        <f t="shared" si="0"/>
        <v>2.0862914413459381E-2</v>
      </c>
      <c r="AB57" s="5">
        <f t="shared" si="0"/>
        <v>0.19298195832449933</v>
      </c>
      <c r="AC57" s="358">
        <f t="shared" si="0"/>
        <v>0.19298195832449933</v>
      </c>
      <c r="AD57" s="5">
        <f t="shared" si="0"/>
        <v>4.6863321501233127E-3</v>
      </c>
      <c r="AE57" s="13">
        <f t="shared" si="0"/>
        <v>0.6475327061077456</v>
      </c>
    </row>
    <row r="58" spans="1:31" x14ac:dyDescent="0.25">
      <c r="A58" s="812" t="s">
        <v>2001</v>
      </c>
      <c r="B58" s="812">
        <v>2104008420</v>
      </c>
      <c r="C58" s="812" t="s">
        <v>145</v>
      </c>
      <c r="D58" s="133">
        <v>3.9586254651885457E-2</v>
      </c>
      <c r="E58" s="133">
        <v>6.9129932194405372E-2</v>
      </c>
      <c r="F58" s="133">
        <v>5.5248697058465843E-3</v>
      </c>
      <c r="G58" s="133">
        <v>5.1105044779080913E-2</v>
      </c>
      <c r="H58" s="133">
        <v>5.1105044779080913E-2</v>
      </c>
      <c r="I58" s="133">
        <v>1.2410238576757897E-3</v>
      </c>
      <c r="J58" s="133">
        <v>0.17147814349521334</v>
      </c>
      <c r="K58" s="45">
        <v>529.63838108436721</v>
      </c>
      <c r="L58" s="134">
        <v>47.12688290528385</v>
      </c>
      <c r="M58" s="45" t="s">
        <v>738</v>
      </c>
      <c r="N58" s="133">
        <v>3.4454427442082797E-2</v>
      </c>
      <c r="O58" s="133">
        <v>6.0168163263073421E-2</v>
      </c>
      <c r="P58" s="133">
        <v>4.8086444166292458E-3</v>
      </c>
      <c r="Q58" s="133">
        <v>4.447996085382052E-2</v>
      </c>
      <c r="R58" s="133">
        <v>4.447996085382052E-2</v>
      </c>
      <c r="S58" s="133">
        <v>1.0801417520853447E-3</v>
      </c>
      <c r="T58" s="133">
        <v>0.14924830108113021</v>
      </c>
      <c r="U58" s="45">
        <v>460.97532888569248</v>
      </c>
      <c r="V58" s="134">
        <v>41.017514334468558</v>
      </c>
      <c r="W58" t="s">
        <v>738</v>
      </c>
      <c r="Y58" s="13">
        <f t="shared" si="1"/>
        <v>0.14948490855408195</v>
      </c>
      <c r="Z58" s="5">
        <f t="shared" si="0"/>
        <v>0.2610472165984104</v>
      </c>
      <c r="AA58" s="357">
        <f t="shared" si="0"/>
        <v>2.0862914413459378E-2</v>
      </c>
      <c r="AB58" s="5">
        <f t="shared" si="0"/>
        <v>0.19298195832449924</v>
      </c>
      <c r="AC58" s="358">
        <f t="shared" si="0"/>
        <v>0.19298195832449924</v>
      </c>
      <c r="AD58" s="5">
        <f t="shared" si="0"/>
        <v>4.6863321501233145E-3</v>
      </c>
      <c r="AE58" s="13">
        <f t="shared" si="0"/>
        <v>0.64753270610774549</v>
      </c>
    </row>
    <row r="59" spans="1:31" x14ac:dyDescent="0.25">
      <c r="A59" s="812" t="s">
        <v>2001</v>
      </c>
      <c r="B59" s="812">
        <v>2104008610</v>
      </c>
      <c r="C59" s="812" t="s">
        <v>146</v>
      </c>
      <c r="D59" s="133">
        <v>1.1117632285429857</v>
      </c>
      <c r="E59" s="133">
        <v>3.9492903380540317E-2</v>
      </c>
      <c r="F59" s="133">
        <v>9.7952707360615485E-3</v>
      </c>
      <c r="G59" s="133">
        <v>0.24170202955725617</v>
      </c>
      <c r="H59" s="133">
        <v>0.24170202955725617</v>
      </c>
      <c r="I59" s="133">
        <v>5.9692029582532509E-3</v>
      </c>
      <c r="J59" s="133">
        <v>1.4832651922596878</v>
      </c>
      <c r="K59" s="45">
        <v>786.05217092669875</v>
      </c>
      <c r="L59" s="134">
        <v>69.966797475033047</v>
      </c>
      <c r="M59" s="45" t="s">
        <v>738</v>
      </c>
      <c r="N59" s="133">
        <v>1.0165035446756698</v>
      </c>
      <c r="O59" s="133">
        <v>3.6109016061328394E-2</v>
      </c>
      <c r="P59" s="133">
        <v>8.9559783671865206E-3</v>
      </c>
      <c r="Q59" s="133">
        <v>0.2209921712577626</v>
      </c>
      <c r="R59" s="133">
        <v>0.2209921712577626</v>
      </c>
      <c r="S59" s="133">
        <v>5.4577411900058352E-3</v>
      </c>
      <c r="T59" s="133">
        <v>1.35617394685915</v>
      </c>
      <c r="U59" s="45">
        <v>718.7003003024181</v>
      </c>
      <c r="V59" s="134">
        <v>63.971802463896594</v>
      </c>
      <c r="W59" t="s">
        <v>738</v>
      </c>
      <c r="Y59" s="13">
        <f t="shared" si="1"/>
        <v>2.8287272017221663</v>
      </c>
      <c r="Z59" s="5">
        <f t="shared" si="0"/>
        <v>0.10048421030611583</v>
      </c>
      <c r="AA59" s="357">
        <f t="shared" si="0"/>
        <v>2.4922706623102794E-2</v>
      </c>
      <c r="AB59" s="5">
        <f t="shared" si="0"/>
        <v>0.61497726149487475</v>
      </c>
      <c r="AC59" s="358">
        <f t="shared" si="0"/>
        <v>0.61497726149487475</v>
      </c>
      <c r="AD59" s="5">
        <f t="shared" si="0"/>
        <v>1.5187808291465306E-2</v>
      </c>
      <c r="AE59" s="13">
        <f t="shared" si="0"/>
        <v>3.7739623770533917</v>
      </c>
    </row>
    <row r="60" spans="1:31" x14ac:dyDescent="0.25">
      <c r="A60" s="812" t="s">
        <v>2001</v>
      </c>
      <c r="B60" s="812">
        <v>2104004000</v>
      </c>
      <c r="C60" s="812" t="s">
        <v>568</v>
      </c>
      <c r="D60" s="133">
        <v>8.2872276211059082E-2</v>
      </c>
      <c r="E60" s="133">
        <v>1.2984573568167455</v>
      </c>
      <c r="F60" s="133">
        <v>3.359358339613197</v>
      </c>
      <c r="G60" s="133">
        <v>5.3070464175071344E-2</v>
      </c>
      <c r="H60" s="133">
        <v>5.3070464175071344E-2</v>
      </c>
      <c r="I60" s="133">
        <v>2.8472304029925786E-3</v>
      </c>
      <c r="J60" s="133">
        <v>5.2053280278382491E-2</v>
      </c>
      <c r="K60" s="45">
        <v>31198.717998089123</v>
      </c>
      <c r="L60" s="134">
        <v>232.4608028360704</v>
      </c>
      <c r="M60" s="45" t="s">
        <v>1997</v>
      </c>
      <c r="N60" s="133">
        <v>7.6527494830204656E-2</v>
      </c>
      <c r="O60" s="133">
        <v>1.1990462094701626</v>
      </c>
      <c r="P60" s="133">
        <v>3.1021626256869581</v>
      </c>
      <c r="Q60" s="133">
        <v>4.9007338261723279E-2</v>
      </c>
      <c r="R60" s="133">
        <v>4.9007338261723279E-2</v>
      </c>
      <c r="S60" s="133">
        <v>2.6292436977414547E-3</v>
      </c>
      <c r="T60" s="133">
        <v>4.8068030945040273E-2</v>
      </c>
      <c r="U60" s="45">
        <v>28810.114063081157</v>
      </c>
      <c r="V60" s="134">
        <v>214.66337960786731</v>
      </c>
      <c r="W60" t="s">
        <v>1997</v>
      </c>
      <c r="Y60" s="13">
        <f t="shared" si="1"/>
        <v>5.3125436895281953E-3</v>
      </c>
      <c r="Z60" s="5">
        <f t="shared" si="0"/>
        <v>8.3237866177467548E-2</v>
      </c>
      <c r="AA60" s="357">
        <f t="shared" si="0"/>
        <v>0.21535233209383489</v>
      </c>
      <c r="AB60" s="5">
        <f t="shared" si="0"/>
        <v>3.4020926230572579E-3</v>
      </c>
      <c r="AC60" s="358">
        <f t="shared" si="0"/>
        <v>3.4020926230572579E-3</v>
      </c>
      <c r="AD60" s="5">
        <f t="shared" si="0"/>
        <v>1.8252226922702193E-4</v>
      </c>
      <c r="AE60" s="13">
        <f t="shared" si="0"/>
        <v>3.3368858477819952E-3</v>
      </c>
    </row>
    <row r="61" spans="1:31" x14ac:dyDescent="0.25">
      <c r="A61" s="812" t="s">
        <v>2001</v>
      </c>
      <c r="B61" s="812">
        <v>2103004001</v>
      </c>
      <c r="C61" s="812" t="s">
        <v>148</v>
      </c>
      <c r="D61" s="133">
        <v>2.3736041756594689E-2</v>
      </c>
      <c r="E61" s="133">
        <v>0.59922686061529407</v>
      </c>
      <c r="F61" s="133">
        <v>0.42356017738780583</v>
      </c>
      <c r="G61" s="133">
        <v>1.5200291476165039E-2</v>
      </c>
      <c r="H61" s="133">
        <v>1.5200291476165039E-2</v>
      </c>
      <c r="I61" s="133">
        <v>8.1549563769625459E-4</v>
      </c>
      <c r="J61" s="133">
        <v>1.490895255620521E-2</v>
      </c>
      <c r="K61" s="45">
        <v>9221.4355772464642</v>
      </c>
      <c r="L61" s="134">
        <v>68.708666738136785</v>
      </c>
      <c r="M61" s="45" t="s">
        <v>1997</v>
      </c>
      <c r="N61" s="133">
        <v>2.3292704811035073E-2</v>
      </c>
      <c r="O61" s="133">
        <v>0.58803462356049307</v>
      </c>
      <c r="P61" s="133">
        <v>0.41564900680471462</v>
      </c>
      <c r="Q61" s="133">
        <v>1.4916383532972012E-2</v>
      </c>
      <c r="R61" s="133">
        <v>1.4916383532972012E-2</v>
      </c>
      <c r="S61" s="133">
        <v>8.0026397654394863E-4</v>
      </c>
      <c r="T61" s="133">
        <v>1.4630486181923377E-2</v>
      </c>
      <c r="U61" s="45">
        <v>9049.1994847920305</v>
      </c>
      <c r="V61" s="134">
        <v>67.425340277999638</v>
      </c>
      <c r="W61" t="s">
        <v>1997</v>
      </c>
      <c r="Y61" s="13">
        <f t="shared" si="1"/>
        <v>5.148014440433211E-3</v>
      </c>
      <c r="Z61" s="5">
        <f t="shared" si="0"/>
        <v>0.12996389891696752</v>
      </c>
      <c r="AA61" s="357">
        <f t="shared" si="0"/>
        <v>9.1864259927797814E-2</v>
      </c>
      <c r="AB61" s="5">
        <f t="shared" si="0"/>
        <v>3.2967299611507731E-3</v>
      </c>
      <c r="AC61" s="358">
        <f t="shared" si="0"/>
        <v>3.2967299611507731E-3</v>
      </c>
      <c r="AD61" s="5">
        <f t="shared" si="0"/>
        <v>1.7686956241573902E-4</v>
      </c>
      <c r="AE61" s="13">
        <f t="shared" si="0"/>
        <v>3.2335426368953822E-3</v>
      </c>
    </row>
    <row r="62" spans="1:31" x14ac:dyDescent="0.25">
      <c r="A62" s="812" t="s">
        <v>2001</v>
      </c>
      <c r="B62" s="812">
        <v>2104004000</v>
      </c>
      <c r="C62" s="812" t="s">
        <v>746</v>
      </c>
      <c r="D62" s="133">
        <v>5.5153835251418675E-4</v>
      </c>
      <c r="E62" s="133">
        <v>1.392382937623473E-2</v>
      </c>
      <c r="F62" s="133">
        <v>2.2357476454686831E-2</v>
      </c>
      <c r="G62" s="133">
        <v>3.0941843058299417E-4</v>
      </c>
      <c r="H62" s="133">
        <v>3.0941843058299417E-4</v>
      </c>
      <c r="I62" s="133">
        <v>1.894912071312543E-5</v>
      </c>
      <c r="J62" s="133">
        <v>3.464292494462353E-4</v>
      </c>
      <c r="K62" s="45">
        <v>211.94388948858628</v>
      </c>
      <c r="L62" s="134">
        <v>1.5470921529149704</v>
      </c>
      <c r="M62" s="45" t="s">
        <v>1997</v>
      </c>
      <c r="N62" s="133">
        <v>5.207659086820071E-4</v>
      </c>
      <c r="O62" s="133">
        <v>1.314696543657241E-2</v>
      </c>
      <c r="P62" s="133">
        <v>2.1110066940380329E-2</v>
      </c>
      <c r="Q62" s="133">
        <v>2.9215478747938696E-4</v>
      </c>
      <c r="R62" s="133">
        <v>2.9215478747938696E-4</v>
      </c>
      <c r="S62" s="133">
        <v>1.7891876461378042E-5</v>
      </c>
      <c r="T62" s="133">
        <v>3.2710063055361831E-4</v>
      </c>
      <c r="U62" s="45">
        <v>200.11872555369303</v>
      </c>
      <c r="V62" s="134">
        <v>1.4607739373969348</v>
      </c>
      <c r="W62" t="s">
        <v>1997</v>
      </c>
      <c r="Y62" s="13">
        <f t="shared" si="1"/>
        <v>5.2045695098361256E-3</v>
      </c>
      <c r="Z62" s="5">
        <f t="shared" si="0"/>
        <v>0.13139165662980401</v>
      </c>
      <c r="AA62" s="357">
        <f t="shared" si="0"/>
        <v>0.21097542853096346</v>
      </c>
      <c r="AB62" s="5">
        <f t="shared" si="0"/>
        <v>2.9198145917734234E-3</v>
      </c>
      <c r="AC62" s="358">
        <f t="shared" si="0"/>
        <v>2.9198145917734234E-3</v>
      </c>
      <c r="AD62" s="5">
        <f t="shared" si="0"/>
        <v>1.7881261647928641E-4</v>
      </c>
      <c r="AE62" s="13">
        <f t="shared" si="0"/>
        <v>3.2690656973612927E-3</v>
      </c>
    </row>
    <row r="63" spans="1:31" x14ac:dyDescent="0.25">
      <c r="A63" s="812" t="s">
        <v>2001</v>
      </c>
      <c r="B63" s="812">
        <v>2104004000</v>
      </c>
      <c r="C63" s="812" t="s">
        <v>747</v>
      </c>
      <c r="D63" s="133">
        <v>2.1365839678561989E-3</v>
      </c>
      <c r="E63" s="133">
        <v>3.3476372296738943E-2</v>
      </c>
      <c r="F63" s="133">
        <v>8.6609798823695835E-2</v>
      </c>
      <c r="G63" s="133">
        <v>1.3682440993217553E-3</v>
      </c>
      <c r="H63" s="133">
        <v>1.3682440993217553E-3</v>
      </c>
      <c r="I63" s="133">
        <v>7.3406295928612176E-5</v>
      </c>
      <c r="J63" s="133">
        <v>1.3420194207514218E-3</v>
      </c>
      <c r="K63" s="45">
        <v>749.15286390469839</v>
      </c>
      <c r="L63" s="134">
        <v>5.9932229112375861</v>
      </c>
      <c r="M63" s="45" t="s">
        <v>1997</v>
      </c>
      <c r="N63" s="133">
        <v>1.7704516104181201E-3</v>
      </c>
      <c r="O63" s="133">
        <v>2.7739746312515141E-2</v>
      </c>
      <c r="P63" s="133">
        <v>7.1768046616608322E-2</v>
      </c>
      <c r="Q63" s="133">
        <v>1.1337770972417633E-3</v>
      </c>
      <c r="R63" s="133">
        <v>1.1337770972417633E-3</v>
      </c>
      <c r="S63" s="133">
        <v>6.0827141267020643E-5</v>
      </c>
      <c r="T63" s="133">
        <v>1.1120463695446299E-3</v>
      </c>
      <c r="U63" s="45">
        <v>620.77545947339422</v>
      </c>
      <c r="V63" s="134">
        <v>4.9662036757871517</v>
      </c>
      <c r="W63" t="s">
        <v>1997</v>
      </c>
      <c r="Y63" s="13">
        <f t="shared" si="1"/>
        <v>5.703999999999999E-3</v>
      </c>
      <c r="Z63" s="5">
        <f t="shared" si="0"/>
        <v>8.937127229883364E-2</v>
      </c>
      <c r="AA63" s="357">
        <f t="shared" si="0"/>
        <v>0.23122063065279475</v>
      </c>
      <c r="AB63" s="5">
        <f t="shared" si="0"/>
        <v>3.652776796955054E-3</v>
      </c>
      <c r="AC63" s="358">
        <f t="shared" si="0"/>
        <v>3.652776796955054E-3</v>
      </c>
      <c r="AD63" s="5">
        <f t="shared" si="0"/>
        <v>1.9597147515663875E-4</v>
      </c>
      <c r="AE63" s="13">
        <f t="shared" si="0"/>
        <v>3.582765241680083E-3</v>
      </c>
    </row>
    <row r="64" spans="1:31" x14ac:dyDescent="0.25">
      <c r="A64" s="812" t="s">
        <v>2001</v>
      </c>
      <c r="B64" s="812">
        <v>2104006010</v>
      </c>
      <c r="C64" s="812" t="s">
        <v>149</v>
      </c>
      <c r="D64" s="133">
        <v>6.4990552711092716E-4</v>
      </c>
      <c r="E64" s="133">
        <v>1.1107476281532217E-2</v>
      </c>
      <c r="F64" s="133">
        <v>7.0898784775737556E-5</v>
      </c>
      <c r="G64" s="133">
        <v>5.8529310125197121E-6</v>
      </c>
      <c r="H64" s="133">
        <v>5.8529310125197121E-6</v>
      </c>
      <c r="I64" s="133">
        <v>2.3632928258579171E-3</v>
      </c>
      <c r="J64" s="133">
        <v>4.7265856517158342E-3</v>
      </c>
      <c r="K64" s="45">
        <v>291.73882732240412</v>
      </c>
      <c r="L64" s="134">
        <v>287.42741608118627</v>
      </c>
      <c r="M64" s="45" t="s">
        <v>1998</v>
      </c>
      <c r="N64" s="133">
        <v>6.4990552711092716E-4</v>
      </c>
      <c r="O64" s="133">
        <v>1.1107476281532217E-2</v>
      </c>
      <c r="P64" s="133">
        <v>7.0898784775737556E-5</v>
      </c>
      <c r="Q64" s="133">
        <v>5.8529310125197121E-6</v>
      </c>
      <c r="R64" s="133">
        <v>5.8529310125197121E-6</v>
      </c>
      <c r="S64" s="133">
        <v>2.3632928258579171E-3</v>
      </c>
      <c r="T64" s="133">
        <v>4.7265856517158342E-3</v>
      </c>
      <c r="U64" s="45">
        <v>291.73882732240412</v>
      </c>
      <c r="V64" s="134">
        <v>287.42741608118627</v>
      </c>
      <c r="W64" t="s">
        <v>1998</v>
      </c>
      <c r="Y64" s="13">
        <f t="shared" si="1"/>
        <v>4.4553927434054482E-3</v>
      </c>
      <c r="Z64" s="5">
        <f t="shared" si="0"/>
        <v>7.6146712341838618E-2</v>
      </c>
      <c r="AA64" s="357">
        <f t="shared" si="0"/>
        <v>4.8604284473514008E-4</v>
      </c>
      <c r="AB64" s="5">
        <f t="shared" si="0"/>
        <v>4.0124456975701533E-5</v>
      </c>
      <c r="AC64" s="358">
        <f t="shared" si="0"/>
        <v>4.0124456975701533E-5</v>
      </c>
      <c r="AD64" s="5">
        <f t="shared" si="0"/>
        <v>1.6201428157837993E-2</v>
      </c>
      <c r="AE64" s="13">
        <f t="shared" si="0"/>
        <v>3.2402856315675986E-2</v>
      </c>
    </row>
    <row r="65" spans="1:31" x14ac:dyDescent="0.25">
      <c r="A65" s="812" t="s">
        <v>2001</v>
      </c>
      <c r="B65" s="812">
        <v>2103006000</v>
      </c>
      <c r="C65" s="812" t="s">
        <v>150</v>
      </c>
      <c r="D65" s="133">
        <v>7.2943884387197504E-3</v>
      </c>
      <c r="E65" s="133">
        <v>0.13262524434035919</v>
      </c>
      <c r="F65" s="133">
        <v>7.9575146604215499E-4</v>
      </c>
      <c r="G65" s="133">
        <v>1.0079518569867293E-2</v>
      </c>
      <c r="H65" s="133">
        <v>1.0079518569867293E-2</v>
      </c>
      <c r="I65" s="133">
        <v>2.652504886807185E-2</v>
      </c>
      <c r="J65" s="133">
        <v>5.3050097736143699E-2</v>
      </c>
      <c r="K65" s="45">
        <v>2692.2924601092905</v>
      </c>
      <c r="L65" s="134">
        <v>2652.5048868071826</v>
      </c>
      <c r="M65" s="45" t="s">
        <v>1998</v>
      </c>
      <c r="N65" s="133">
        <v>7.2943884387197504E-3</v>
      </c>
      <c r="O65" s="133">
        <v>0.13262524434035919</v>
      </c>
      <c r="P65" s="133">
        <v>7.9575146604215499E-4</v>
      </c>
      <c r="Q65" s="133">
        <v>1.0079518569867293E-2</v>
      </c>
      <c r="R65" s="133">
        <v>1.0079518569867293E-2</v>
      </c>
      <c r="S65" s="133">
        <v>2.652504886807185E-2</v>
      </c>
      <c r="T65" s="133">
        <v>5.3050097736143699E-2</v>
      </c>
      <c r="U65" s="45">
        <v>2692.2924601092905</v>
      </c>
      <c r="V65" s="134">
        <v>2652.5048868071826</v>
      </c>
      <c r="W65" t="s">
        <v>1998</v>
      </c>
      <c r="Y65" s="13">
        <f t="shared" si="1"/>
        <v>5.4187192118226582E-3</v>
      </c>
      <c r="Z65" s="5">
        <f t="shared" si="0"/>
        <v>9.8522167487684761E-2</v>
      </c>
      <c r="AA65" s="357">
        <f t="shared" si="0"/>
        <v>5.9113300492610844E-4</v>
      </c>
      <c r="AB65" s="5">
        <f t="shared" si="0"/>
        <v>7.4876847290640388E-3</v>
      </c>
      <c r="AC65" s="358">
        <f t="shared" si="0"/>
        <v>7.4876847290640388E-3</v>
      </c>
      <c r="AD65" s="5">
        <f t="shared" si="0"/>
        <v>1.9704433497536963E-2</v>
      </c>
      <c r="AE65" s="13">
        <f t="shared" si="0"/>
        <v>3.9408866995073927E-2</v>
      </c>
    </row>
    <row r="66" spans="1:31" x14ac:dyDescent="0.25">
      <c r="A66" s="812" t="s">
        <v>2001</v>
      </c>
      <c r="B66" s="812">
        <v>2104002000</v>
      </c>
      <c r="C66" s="812" t="s">
        <v>151</v>
      </c>
      <c r="D66" s="133">
        <v>0.12446102360561243</v>
      </c>
      <c r="E66" s="133">
        <v>5.8745603141849081E-2</v>
      </c>
      <c r="F66" s="133">
        <v>0.11574875195321956</v>
      </c>
      <c r="G66" s="133">
        <v>9.9444357860884347E-2</v>
      </c>
      <c r="H66" s="133">
        <v>9.9444357860884347E-2</v>
      </c>
      <c r="I66" s="133">
        <v>1.5756143283352512E-2</v>
      </c>
      <c r="J66" s="133">
        <v>1.6251498157302846</v>
      </c>
      <c r="K66" s="45">
        <v>378.36151176106165</v>
      </c>
      <c r="L66" s="134">
        <v>24.892204721122482</v>
      </c>
      <c r="M66" s="45" t="s">
        <v>738</v>
      </c>
      <c r="N66" s="133">
        <v>0.10911134484905378</v>
      </c>
      <c r="O66" s="133">
        <v>5.150055476875337E-2</v>
      </c>
      <c r="P66" s="133">
        <v>0.10147355070962</v>
      </c>
      <c r="Q66" s="133">
        <v>8.7179964534393958E-2</v>
      </c>
      <c r="R66" s="133">
        <v>8.7179964534393958E-2</v>
      </c>
      <c r="S66" s="133">
        <v>1.3812950701165966E-2</v>
      </c>
      <c r="T66" s="133">
        <v>1.4247213853665199</v>
      </c>
      <c r="U66" s="45">
        <v>331.69848834112344</v>
      </c>
      <c r="V66" s="134">
        <v>21.822268969810757</v>
      </c>
      <c r="W66" t="s">
        <v>738</v>
      </c>
      <c r="Y66" s="13">
        <f t="shared" si="1"/>
        <v>0.65789473684210531</v>
      </c>
      <c r="Z66" s="5">
        <f t="shared" si="1"/>
        <v>0.31052631578947365</v>
      </c>
      <c r="AA66" s="357">
        <f t="shared" si="1"/>
        <v>0.61184210526315796</v>
      </c>
      <c r="AB66" s="5">
        <f t="shared" si="1"/>
        <v>0.5256578947368421</v>
      </c>
      <c r="AC66" s="358">
        <f t="shared" si="1"/>
        <v>0.5256578947368421</v>
      </c>
      <c r="AD66" s="5">
        <f t="shared" si="1"/>
        <v>8.3286184210526346E-2</v>
      </c>
      <c r="AE66" s="13">
        <f t="shared" si="1"/>
        <v>8.5904605263157929</v>
      </c>
    </row>
    <row r="67" spans="1:31" x14ac:dyDescent="0.25">
      <c r="A67" s="812" t="s">
        <v>2001</v>
      </c>
      <c r="B67" s="812">
        <v>2103002000</v>
      </c>
      <c r="C67" s="812" t="s">
        <v>152</v>
      </c>
      <c r="D67" s="133">
        <v>3.4838015202202628E-4</v>
      </c>
      <c r="E67" s="133">
        <v>1.6443543175439639E-4</v>
      </c>
      <c r="F67" s="133">
        <v>3.239935413804844E-4</v>
      </c>
      <c r="G67" s="133">
        <v>2.7835574146559887E-4</v>
      </c>
      <c r="H67" s="133">
        <v>2.7835574146559887E-4</v>
      </c>
      <c r="I67" s="133">
        <v>4.4103185345228465E-5</v>
      </c>
      <c r="J67" s="133">
        <v>4.5489738350276065E-3</v>
      </c>
      <c r="K67" s="45">
        <v>16.015711428952528</v>
      </c>
      <c r="L67" s="134">
        <v>1.0590756621469597</v>
      </c>
      <c r="M67" s="45" t="s">
        <v>738</v>
      </c>
      <c r="N67" s="133">
        <v>3.2922344900610868E-4</v>
      </c>
      <c r="O67" s="133">
        <v>1.5539346793088337E-4</v>
      </c>
      <c r="P67" s="133">
        <v>3.0617780757568117E-4</v>
      </c>
      <c r="Q67" s="133">
        <v>2.6304953575588086E-4</v>
      </c>
      <c r="R67" s="133">
        <v>2.6304953575588086E-4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1.0645223161162029E-3</v>
      </c>
      <c r="E68" s="133">
        <v>4.2325140919862258E-5</v>
      </c>
      <c r="F68" s="133">
        <v>9.227066009456588E-6</v>
      </c>
      <c r="G68" s="133">
        <v>2.9937064250054862E-4</v>
      </c>
      <c r="H68" s="133">
        <v>2.9937064250054862E-4</v>
      </c>
      <c r="I68" s="133">
        <v>1.09618260587576E-5</v>
      </c>
      <c r="J68" s="133">
        <v>2.1293167390460895E-3</v>
      </c>
      <c r="K68" s="45">
        <v>9.6654102131207296</v>
      </c>
      <c r="L68" s="134">
        <v>0.79814120981799463</v>
      </c>
      <c r="M68" s="45" t="s">
        <v>738</v>
      </c>
      <c r="N68" s="133">
        <v>8.7269646582558802E-4</v>
      </c>
      <c r="O68" s="133">
        <v>3.5510956409239793E-5</v>
      </c>
      <c r="P68" s="133">
        <v>7.5369704121824448E-6</v>
      </c>
      <c r="Q68" s="133">
        <v>2.5766689106639573E-4</v>
      </c>
      <c r="R68" s="133">
        <v>2.5766689106639573E-4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2.3729271934124715E-2</v>
      </c>
      <c r="F69" s="135">
        <v>1.6802202817214625E-2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2.3729271934124715E-2</v>
      </c>
      <c r="P69" s="135">
        <v>1.6802202817214625E-2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0.37693099395384794</v>
      </c>
      <c r="AA69" s="361">
        <f t="shared" si="1"/>
        <v>0.26689697964980835</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9.6101561952453949</v>
      </c>
      <c r="E70" s="137">
        <v>2.6217844702757387</v>
      </c>
      <c r="F70" s="137">
        <v>4.1179659748603896</v>
      </c>
      <c r="G70" s="137">
        <v>2.7655918047751258</v>
      </c>
      <c r="H70" s="137">
        <v>2.7655918047751258</v>
      </c>
      <c r="I70" s="137">
        <v>0.14522796852118622</v>
      </c>
      <c r="J70" s="137">
        <v>29.40003752820293</v>
      </c>
      <c r="K70" s="87">
        <v>52418.565929037868</v>
      </c>
      <c r="L70" s="87"/>
      <c r="M70" s="87"/>
      <c r="N70" s="137">
        <v>8.6540956802981928</v>
      </c>
      <c r="O70" s="137">
        <v>2.4434039055065515</v>
      </c>
      <c r="P70" s="137">
        <v>3.8113418574800706</v>
      </c>
      <c r="Q70" s="137">
        <v>2.4594859595772975</v>
      </c>
      <c r="R70" s="137">
        <v>2.4594859595772975</v>
      </c>
      <c r="S70" s="137">
        <v>0.13257775695312407</v>
      </c>
      <c r="T70" s="137">
        <v>25.933118751234932</v>
      </c>
      <c r="U70" s="87">
        <v>48759.969573097645</v>
      </c>
      <c r="Y70" s="13">
        <f t="shared" si="1"/>
        <v>0.35496723054039475</v>
      </c>
      <c r="Z70" s="5">
        <f t="shared" si="1"/>
        <v>0.1002217157598331</v>
      </c>
      <c r="AA70" s="357">
        <f t="shared" si="1"/>
        <v>0.15633077259272546</v>
      </c>
      <c r="AB70" s="5">
        <f t="shared" si="1"/>
        <v>0.10088135743769087</v>
      </c>
      <c r="AC70" s="358">
        <f t="shared" si="1"/>
        <v>0.10088135743769087</v>
      </c>
      <c r="AD70" s="5">
        <f t="shared" si="1"/>
        <v>5.437975376681582E-3</v>
      </c>
      <c r="AE70" s="13">
        <f t="shared" si="1"/>
        <v>1.0637052885095737</v>
      </c>
    </row>
    <row r="71" spans="1:31" x14ac:dyDescent="0.25">
      <c r="R71" s="133"/>
      <c r="T71" s="1" t="s">
        <v>1452</v>
      </c>
      <c r="U71" s="45">
        <f>SUM(U50:U60,U62:U64,U66)</f>
        <v>36869.544307458753</v>
      </c>
      <c r="V71" t="s">
        <v>2002</v>
      </c>
    </row>
    <row r="72" spans="1:31" x14ac:dyDescent="0.25">
      <c r="L72" s="134"/>
      <c r="U72" s="45">
        <f ca="1">U71/OFFSET(Devices!$BH$41,0,MATCH(VALUE(RIGHT(A2,4)),Devices!$BI$39:$CG$39,0))*10^6</f>
        <v>945867.08157998719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7.0081242786605635</v>
      </c>
      <c r="O74" s="133">
        <f t="shared" si="2"/>
        <v>0.18513528062661561</v>
      </c>
      <c r="P74" s="133">
        <f t="shared" si="2"/>
        <v>0.13104664256460513</v>
      </c>
      <c r="Q74" s="133">
        <f>SUM(Q50,Q51,Q54, Q59,Q66)</f>
        <v>1.3652075280489049</v>
      </c>
      <c r="R74" s="133">
        <f t="shared" ref="R74:U74" si="3">SUM(R50,R51,R54, R59,R66)</f>
        <v>1.3652075280489049</v>
      </c>
      <c r="S74" s="133">
        <f t="shared" si="3"/>
        <v>6.6909010890892545E-2</v>
      </c>
      <c r="T74" s="133">
        <f t="shared" si="3"/>
        <v>11.552401957048872</v>
      </c>
      <c r="U74" s="45">
        <f t="shared" si="3"/>
        <v>2705.553655218926</v>
      </c>
      <c r="Y74" s="13">
        <f t="shared" ref="Y74:AE80" si="4">N74/$U74*2000</f>
        <v>5.1805472533447023</v>
      </c>
      <c r="Z74" s="5">
        <f t="shared" si="4"/>
        <v>0.13685574504833464</v>
      </c>
      <c r="AA74" s="357">
        <f t="shared" si="4"/>
        <v>9.6872329485553077E-2</v>
      </c>
      <c r="AB74" s="5">
        <f t="shared" si="4"/>
        <v>1.0091890252595532</v>
      </c>
      <c r="AC74" s="358">
        <f t="shared" si="4"/>
        <v>1.0091890252595532</v>
      </c>
      <c r="AD74" s="5">
        <f t="shared" si="4"/>
        <v>4.9460494536360214E-2</v>
      </c>
      <c r="AE74" s="13">
        <f t="shared" si="4"/>
        <v>8.5397692518606387</v>
      </c>
    </row>
    <row r="75" spans="1:31" x14ac:dyDescent="0.25">
      <c r="M75" s="1" t="s">
        <v>2006</v>
      </c>
      <c r="N75" s="133">
        <f t="shared" ref="N75:U75" si="5">SUM(N52:N53,N55:N56)</f>
        <v>1.4895901241169063</v>
      </c>
      <c r="O75" s="133">
        <f t="shared" si="5"/>
        <v>0.18464200951500509</v>
      </c>
      <c r="P75" s="133">
        <f t="shared" si="5"/>
        <v>4.5388641392025475E-2</v>
      </c>
      <c r="Q75" s="133">
        <f t="shared" si="5"/>
        <v>0.95829027545601453</v>
      </c>
      <c r="R75" s="133">
        <f t="shared" si="5"/>
        <v>0.95829027545601453</v>
      </c>
      <c r="S75" s="133">
        <f t="shared" si="5"/>
        <v>3.1803659770208541E-2</v>
      </c>
      <c r="T75" s="133">
        <f t="shared" si="5"/>
        <v>14.053485401032955</v>
      </c>
      <c r="U75" s="45">
        <f t="shared" si="5"/>
        <v>3643.6032370936782</v>
      </c>
      <c r="Y75" s="13">
        <f t="shared" si="4"/>
        <v>0.8176467234149668</v>
      </c>
      <c r="Z75" s="5">
        <f t="shared" si="4"/>
        <v>0.10135132587174056</v>
      </c>
      <c r="AA75" s="357">
        <f t="shared" si="4"/>
        <v>2.4914151425680337E-2</v>
      </c>
      <c r="AB75" s="5">
        <f t="shared" si="4"/>
        <v>0.52601241853127523</v>
      </c>
      <c r="AC75" s="358">
        <f t="shared" si="4"/>
        <v>0.52601241853127523</v>
      </c>
      <c r="AD75" s="5">
        <f t="shared" si="4"/>
        <v>1.74572573909429E-2</v>
      </c>
      <c r="AE75" s="13">
        <f t="shared" si="4"/>
        <v>7.7140591258463829</v>
      </c>
    </row>
    <row r="76" spans="1:31" x14ac:dyDescent="0.25">
      <c r="M76" s="1" t="s">
        <v>2007</v>
      </c>
      <c r="N76" s="133">
        <f t="shared" ref="N76:U76" si="6">SUM(N60,N62:N63)</f>
        <v>7.8818712349304793E-2</v>
      </c>
      <c r="O76" s="133">
        <f t="shared" si="6"/>
        <v>1.23993292121925</v>
      </c>
      <c r="P76" s="133">
        <f t="shared" si="6"/>
        <v>3.195040739243947</v>
      </c>
      <c r="Q76" s="133">
        <f t="shared" si="6"/>
        <v>5.0433270146444435E-2</v>
      </c>
      <c r="R76" s="133">
        <f t="shared" si="6"/>
        <v>5.0433270146444435E-2</v>
      </c>
      <c r="S76" s="133">
        <f t="shared" si="6"/>
        <v>2.7079627154698535E-3</v>
      </c>
      <c r="T76" s="133">
        <f t="shared" si="6"/>
        <v>4.9507177945138522E-2</v>
      </c>
      <c r="U76" s="45">
        <f t="shared" si="6"/>
        <v>29631.008248108243</v>
      </c>
      <c r="V76" s="134">
        <f t="shared" ref="V76" si="7">SUM(V60,V62:V63)</f>
        <v>221.09035722105139</v>
      </c>
      <c r="W76" t="s">
        <v>1997</v>
      </c>
      <c r="Y76" s="13">
        <f t="shared" si="4"/>
        <v>5.3200155519066332E-3</v>
      </c>
      <c r="Z76" s="5">
        <f t="shared" si="4"/>
        <v>8.3691578149279633E-2</v>
      </c>
      <c r="AA76" s="357">
        <f t="shared" si="4"/>
        <v>0.21565521581250482</v>
      </c>
      <c r="AB76" s="5">
        <f t="shared" si="4"/>
        <v>3.4040873482369125E-3</v>
      </c>
      <c r="AC76" s="358">
        <f t="shared" si="4"/>
        <v>3.4040873482369125E-3</v>
      </c>
      <c r="AD76" s="5">
        <f t="shared" si="4"/>
        <v>1.8277897888558956E-4</v>
      </c>
      <c r="AE76" s="13">
        <f t="shared" si="4"/>
        <v>3.3415790330590086E-3</v>
      </c>
    </row>
    <row r="77" spans="1:31" x14ac:dyDescent="0.25">
      <c r="M77" s="1" t="s">
        <v>2008</v>
      </c>
      <c r="N77" s="133">
        <f t="shared" ref="N77:U77" si="8">N61</f>
        <v>2.3292704811035073E-2</v>
      </c>
      <c r="O77" s="133">
        <f t="shared" si="8"/>
        <v>0.58803462356049307</v>
      </c>
      <c r="P77" s="133">
        <f t="shared" si="8"/>
        <v>0.41564900680471462</v>
      </c>
      <c r="Q77" s="133">
        <f t="shared" si="8"/>
        <v>1.4916383532972012E-2</v>
      </c>
      <c r="R77" s="133">
        <f t="shared" si="8"/>
        <v>1.4916383532972012E-2</v>
      </c>
      <c r="S77" s="133">
        <f t="shared" si="8"/>
        <v>8.0026397654394863E-4</v>
      </c>
      <c r="T77" s="133">
        <f t="shared" si="8"/>
        <v>1.4630486181923377E-2</v>
      </c>
      <c r="U77" s="45">
        <f t="shared" si="8"/>
        <v>9049.1994847920305</v>
      </c>
      <c r="Y77" s="13">
        <f t="shared" si="4"/>
        <v>5.148014440433211E-3</v>
      </c>
      <c r="Z77" s="5">
        <f t="shared" si="4"/>
        <v>0.12996389891696752</v>
      </c>
      <c r="AA77" s="357">
        <f t="shared" si="4"/>
        <v>9.1864259927797814E-2</v>
      </c>
      <c r="AB77" s="5">
        <f t="shared" si="4"/>
        <v>3.2967299611507731E-3</v>
      </c>
      <c r="AC77" s="358">
        <f t="shared" si="4"/>
        <v>3.2967299611507731E-3</v>
      </c>
      <c r="AD77" s="5">
        <f t="shared" si="4"/>
        <v>1.7686956241573902E-4</v>
      </c>
      <c r="AE77" s="13">
        <f t="shared" si="4"/>
        <v>3.2335426368953822E-3</v>
      </c>
    </row>
    <row r="78" spans="1:31" x14ac:dyDescent="0.25">
      <c r="M78" s="1" t="s">
        <v>2009</v>
      </c>
      <c r="N78" s="133">
        <f t="shared" ref="N78:U78" si="9">SUM(N50:N59,N68)</f>
        <v>8.4341448601595417</v>
      </c>
      <c r="O78" s="133">
        <f t="shared" si="9"/>
        <v>0.39631841993410721</v>
      </c>
      <c r="P78" s="133">
        <f t="shared" si="9"/>
        <v>8.1203529846180497E-2</v>
      </c>
      <c r="Q78" s="133">
        <f t="shared" si="9"/>
        <v>2.2942424074276007</v>
      </c>
      <c r="R78" s="133">
        <f t="shared" si="9"/>
        <v>2.2942424074276007</v>
      </c>
      <c r="S78" s="133">
        <f t="shared" si="9"/>
        <v>8.6310022416890467E-2</v>
      </c>
      <c r="T78" s="133">
        <f t="shared" si="9"/>
        <v>24.376535197140033</v>
      </c>
      <c r="U78" s="45">
        <f t="shared" si="9"/>
        <v>6622.9937680341882</v>
      </c>
      <c r="V78" s="134">
        <f t="shared" ref="V78" si="10">V61</f>
        <v>67.425340277999638</v>
      </c>
      <c r="W78" t="s">
        <v>1997</v>
      </c>
      <c r="Y78" s="13">
        <f t="shared" si="4"/>
        <v>2.5469282187360212</v>
      </c>
      <c r="Z78" s="5">
        <f t="shared" si="4"/>
        <v>0.11967953883542334</v>
      </c>
      <c r="AA78" s="357">
        <f t="shared" si="4"/>
        <v>2.4521699005096004E-2</v>
      </c>
      <c r="AB78" s="5">
        <f t="shared" si="4"/>
        <v>0.69281128377343137</v>
      </c>
      <c r="AC78" s="358">
        <f t="shared" si="4"/>
        <v>0.69281128377343137</v>
      </c>
      <c r="AD78" s="5">
        <f t="shared" si="4"/>
        <v>2.6063748642936948E-2</v>
      </c>
      <c r="AE78" s="13">
        <f t="shared" si="4"/>
        <v>7.3611831902343416</v>
      </c>
    </row>
    <row r="79" spans="1:31" x14ac:dyDescent="0.25">
      <c r="M79" s="1" t="s">
        <v>2010</v>
      </c>
      <c r="N79" s="133">
        <f>SUM(N64,N65,N66,N67,N69)</f>
        <v>0.11783940297831072</v>
      </c>
      <c r="O79" s="133">
        <f t="shared" ref="O79:U79" si="11">SUM(O64,O65,O66,O67,O69)</f>
        <v>0.21911794079270039</v>
      </c>
      <c r="P79" s="133">
        <f t="shared" si="11"/>
        <v>0.1194485815852282</v>
      </c>
      <c r="Q79" s="133">
        <f t="shared" si="11"/>
        <v>9.9893898470280296E-2</v>
      </c>
      <c r="R79" s="133">
        <f t="shared" si="11"/>
        <v>9.9893898470280296E-2</v>
      </c>
      <c r="S79" s="133">
        <f t="shared" si="11"/>
        <v>4.2759507844219814E-2</v>
      </c>
      <c r="T79" s="133">
        <f t="shared" si="11"/>
        <v>1.4924458899678379</v>
      </c>
      <c r="U79" s="45">
        <f t="shared" si="11"/>
        <v>3456.7680721631918</v>
      </c>
      <c r="V79" s="134">
        <f t="shared" ref="V79" si="12">SUM(V50:V59,V68)</f>
        <v>589.27526864748461</v>
      </c>
      <c r="W79" t="s">
        <v>2011</v>
      </c>
      <c r="Y79" s="13">
        <f t="shared" si="4"/>
        <v>6.8178946645135297E-2</v>
      </c>
      <c r="Z79" s="5">
        <f t="shared" si="4"/>
        <v>0.12677618875111848</v>
      </c>
      <c r="AA79" s="357">
        <f t="shared" si="4"/>
        <v>6.910997734972664E-2</v>
      </c>
      <c r="AB79" s="5">
        <f t="shared" si="4"/>
        <v>5.77961242321752E-2</v>
      </c>
      <c r="AC79" s="358">
        <f t="shared" si="4"/>
        <v>5.77961242321752E-2</v>
      </c>
      <c r="AD79" s="5">
        <f t="shared" si="4"/>
        <v>2.4739587355342343E-2</v>
      </c>
      <c r="AE79" s="13">
        <f t="shared" si="4"/>
        <v>0.8634920589473557</v>
      </c>
    </row>
    <row r="80" spans="1:31" x14ac:dyDescent="0.25">
      <c r="M80" s="1" t="s">
        <v>2012</v>
      </c>
      <c r="N80" s="133">
        <f>SUM(N76:N79)</f>
        <v>8.654095680298191</v>
      </c>
      <c r="O80" s="133">
        <f t="shared" ref="O80:U80" si="13">SUM(O76:O79)</f>
        <v>2.4434039055065506</v>
      </c>
      <c r="P80" s="133">
        <f t="shared" si="13"/>
        <v>3.8113418574800706</v>
      </c>
      <c r="Q80" s="133">
        <f t="shared" si="13"/>
        <v>2.4594859595772971</v>
      </c>
      <c r="R80" s="133">
        <f t="shared" si="13"/>
        <v>2.4594859595772971</v>
      </c>
      <c r="S80" s="133">
        <f t="shared" si="13"/>
        <v>0.13257775695312407</v>
      </c>
      <c r="T80" s="133">
        <f t="shared" si="13"/>
        <v>25.933118751234932</v>
      </c>
      <c r="U80" s="45">
        <f t="shared" si="13"/>
        <v>48759.969573097653</v>
      </c>
      <c r="Y80" s="13">
        <f t="shared" si="4"/>
        <v>0.35496723054039464</v>
      </c>
      <c r="Z80" s="5">
        <f t="shared" si="4"/>
        <v>0.10022171575983305</v>
      </c>
      <c r="AA80" s="357">
        <f t="shared" si="4"/>
        <v>0.15633077259272543</v>
      </c>
      <c r="AB80" s="5">
        <f t="shared" si="4"/>
        <v>0.10088135743769085</v>
      </c>
      <c r="AC80" s="358">
        <f t="shared" si="4"/>
        <v>0.10088135743769085</v>
      </c>
      <c r="AD80" s="5">
        <f t="shared" si="4"/>
        <v>5.4379753766815812E-3</v>
      </c>
      <c r="AE80" s="13">
        <f t="shared" si="4"/>
        <v>1.0637052885095735</v>
      </c>
    </row>
    <row r="82" spans="20:23" x14ac:dyDescent="0.25">
      <c r="V82" s="38">
        <f>V79/Lookup!B37</f>
        <v>350.18471406774887</v>
      </c>
      <c r="W82" t="s">
        <v>2013</v>
      </c>
    </row>
    <row r="83" spans="20:23" x14ac:dyDescent="0.25">
      <c r="T83" s="1" t="s">
        <v>2014</v>
      </c>
      <c r="U83" s="13">
        <v>1.930282922015446</v>
      </c>
      <c r="V83" s="45">
        <f>V82*365/U83</f>
        <v>66216.935961528201</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1729-3268-48FD-8742-9A5E5A58AE01}">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2016</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5.4430912281261081</v>
      </c>
      <c r="E6" s="133">
        <v>6.1799289052960185E-2</v>
      </c>
      <c r="F6" s="133">
        <v>9.5075829312246448E-3</v>
      </c>
      <c r="G6" s="133">
        <v>0.82240592355093167</v>
      </c>
      <c r="H6" s="133">
        <v>0.82240592355093167</v>
      </c>
      <c r="I6" s="133">
        <v>4.2784123190510892E-2</v>
      </c>
      <c r="J6" s="133">
        <v>6.0040386210683607</v>
      </c>
      <c r="K6" s="45">
        <v>764.88572311678195</v>
      </c>
      <c r="L6" s="134">
        <v>67.911867609444286</v>
      </c>
      <c r="M6" s="45" t="s">
        <v>738</v>
      </c>
      <c r="N6" s="133">
        <v>5.0153657971807624</v>
      </c>
      <c r="O6" s="133">
        <v>5.6943017784585104E-2</v>
      </c>
      <c r="P6" s="133">
        <v>8.7604642745515524E-3</v>
      </c>
      <c r="Q6" s="133">
        <v>0.75778015974870927</v>
      </c>
      <c r="R6" s="133">
        <v>0.75778015974870927</v>
      </c>
      <c r="S6" s="133">
        <v>3.9422089235481989E-2</v>
      </c>
      <c r="T6" s="133">
        <v>5.5322331893793049</v>
      </c>
      <c r="U6" s="45">
        <v>704.77997404288726</v>
      </c>
      <c r="V6" s="134">
        <v>62.575261695243412</v>
      </c>
      <c r="W6" t="s">
        <v>738</v>
      </c>
    </row>
    <row r="7" spans="1:23" x14ac:dyDescent="0.25">
      <c r="A7" s="812" t="s">
        <v>1996</v>
      </c>
      <c r="B7" s="812">
        <v>2104008210</v>
      </c>
      <c r="C7" s="812" t="s">
        <v>138</v>
      </c>
      <c r="D7" s="133">
        <v>0.11227574156299529</v>
      </c>
      <c r="E7" s="133">
        <v>5.9315486108752228E-3</v>
      </c>
      <c r="F7" s="133">
        <v>8.4736408726788874E-4</v>
      </c>
      <c r="G7" s="133">
        <v>6.4823352675993484E-2</v>
      </c>
      <c r="H7" s="133">
        <v>6.4823352675993484E-2</v>
      </c>
      <c r="I7" s="133">
        <v>3.6012973708885285E-3</v>
      </c>
      <c r="J7" s="133">
        <v>0.48892907835357202</v>
      </c>
      <c r="K7" s="45">
        <v>68.170501095971687</v>
      </c>
      <c r="L7" s="134">
        <v>6.0526506187542815</v>
      </c>
      <c r="M7" s="45" t="s">
        <v>738</v>
      </c>
      <c r="N7" s="133">
        <v>9.7570076051667967E-2</v>
      </c>
      <c r="O7" s="133">
        <v>5.1546455272579303E-3</v>
      </c>
      <c r="P7" s="133">
        <v>7.3637793246541865E-4</v>
      </c>
      <c r="Q7" s="133">
        <v>5.6332911833604518E-2</v>
      </c>
      <c r="R7" s="133">
        <v>5.6332911833604518E-2</v>
      </c>
      <c r="S7" s="133">
        <v>3.1296062129780294E-3</v>
      </c>
      <c r="T7" s="133">
        <v>0.42489006703254645</v>
      </c>
      <c r="U7" s="45">
        <v>59.241657047371433</v>
      </c>
      <c r="V7" s="134">
        <v>5.2598858218601245</v>
      </c>
      <c r="W7" t="s">
        <v>738</v>
      </c>
    </row>
    <row r="8" spans="1:23" x14ac:dyDescent="0.25">
      <c r="A8" s="812" t="s">
        <v>1996</v>
      </c>
      <c r="B8" s="812">
        <v>2104008220</v>
      </c>
      <c r="C8" s="812" t="s">
        <v>139</v>
      </c>
      <c r="D8" s="133">
        <v>5.3521625025322865E-2</v>
      </c>
      <c r="E8" s="133">
        <v>8.920270837553812E-3</v>
      </c>
      <c r="F8" s="133">
        <v>1.784054167510762E-3</v>
      </c>
      <c r="G8" s="133">
        <v>5.3521625025322865E-2</v>
      </c>
      <c r="H8" s="133">
        <v>5.3521625025322865E-2</v>
      </c>
      <c r="I8" s="133">
        <v>4.0141218768992154E-3</v>
      </c>
      <c r="J8" s="133">
        <v>0.62798706696378825</v>
      </c>
      <c r="K8" s="45">
        <v>143.52728468077729</v>
      </c>
      <c r="L8" s="134">
        <v>12.743349314804476</v>
      </c>
      <c r="M8" s="45" t="s">
        <v>738</v>
      </c>
      <c r="N8" s="133">
        <v>4.6511463219324235E-2</v>
      </c>
      <c r="O8" s="133">
        <v>7.7519105365540372E-3</v>
      </c>
      <c r="P8" s="133">
        <v>1.5503821073108077E-3</v>
      </c>
      <c r="Q8" s="133">
        <v>4.6511463219324235E-2</v>
      </c>
      <c r="R8" s="133">
        <v>4.6511463219324235E-2</v>
      </c>
      <c r="S8" s="133">
        <v>3.4883597414493172E-3</v>
      </c>
      <c r="T8" s="133">
        <v>0.54573450177340421</v>
      </c>
      <c r="U8" s="45">
        <v>124.72835081597336</v>
      </c>
      <c r="V8" s="134">
        <v>11.074249383610777</v>
      </c>
      <c r="W8" t="s">
        <v>738</v>
      </c>
    </row>
    <row r="9" spans="1:23" x14ac:dyDescent="0.25">
      <c r="A9" s="812" t="s">
        <v>1996</v>
      </c>
      <c r="B9" s="812">
        <v>2104008230</v>
      </c>
      <c r="C9" s="812" t="s">
        <v>140</v>
      </c>
      <c r="D9" s="133">
        <v>4.0279921264890668E-2</v>
      </c>
      <c r="E9" s="133">
        <v>5.3706561686520911E-3</v>
      </c>
      <c r="F9" s="133">
        <v>1.0741312337304179E-3</v>
      </c>
      <c r="G9" s="133">
        <v>3.4909265096238595E-2</v>
      </c>
      <c r="H9" s="133">
        <v>3.4909265096238595E-2</v>
      </c>
      <c r="I9" s="133">
        <v>2.4167952758934411E-3</v>
      </c>
      <c r="J9" s="133">
        <v>0.28733010502288697</v>
      </c>
      <c r="K9" s="45">
        <v>86.413934159434774</v>
      </c>
      <c r="L9" s="134">
        <v>7.6724293301403002</v>
      </c>
      <c r="M9" s="45" t="s">
        <v>738</v>
      </c>
      <c r="N9" s="133">
        <v>3.5004132918289264E-2</v>
      </c>
      <c r="O9" s="133">
        <v>4.6672177224385703E-3</v>
      </c>
      <c r="P9" s="133">
        <v>9.3344354448771365E-4</v>
      </c>
      <c r="Q9" s="133">
        <v>3.0336915195850696E-2</v>
      </c>
      <c r="R9" s="133">
        <v>3.0336915195850696E-2</v>
      </c>
      <c r="S9" s="133">
        <v>2.1002479750973557E-3</v>
      </c>
      <c r="T9" s="133">
        <v>0.24969614815046351</v>
      </c>
      <c r="U9" s="45">
        <v>75.095599552368213</v>
      </c>
      <c r="V9" s="134">
        <v>6.6675089633927316</v>
      </c>
      <c r="W9" t="s">
        <v>738</v>
      </c>
    </row>
    <row r="10" spans="1:23" x14ac:dyDescent="0.25">
      <c r="A10" s="812" t="s">
        <v>1996</v>
      </c>
      <c r="B10" s="812">
        <v>2104008310</v>
      </c>
      <c r="C10" s="812" t="s">
        <v>141</v>
      </c>
      <c r="D10" s="133">
        <v>2.2785486755598647</v>
      </c>
      <c r="E10" s="133">
        <v>6.2429767429917668E-2</v>
      </c>
      <c r="F10" s="133">
        <v>1.7196593777810298E-2</v>
      </c>
      <c r="G10" s="133">
        <v>0.52200386744623617</v>
      </c>
      <c r="H10" s="133">
        <v>0.52200386744623617</v>
      </c>
      <c r="I10" s="133">
        <v>1.706884652646707E-2</v>
      </c>
      <c r="J10" s="133">
        <v>5.2093057577216655</v>
      </c>
      <c r="K10" s="45">
        <v>1383.4671926644703</v>
      </c>
      <c r="L10" s="134">
        <v>122.83382731657321</v>
      </c>
      <c r="M10" s="45" t="s">
        <v>738</v>
      </c>
      <c r="N10" s="133">
        <v>1.9801086545223654</v>
      </c>
      <c r="O10" s="133">
        <v>5.4252833882262409E-2</v>
      </c>
      <c r="P10" s="133">
        <v>1.4944216260546147E-2</v>
      </c>
      <c r="Q10" s="133">
        <v>0.45363278244229926</v>
      </c>
      <c r="R10" s="133">
        <v>0.45363278244229926</v>
      </c>
      <c r="S10" s="133">
        <v>1.4833201103973279E-2</v>
      </c>
      <c r="T10" s="133">
        <v>4.527000684935266</v>
      </c>
      <c r="U10" s="45">
        <v>1202.2632611829422</v>
      </c>
      <c r="V10" s="134">
        <v>106.74528358622376</v>
      </c>
      <c r="W10" t="s">
        <v>738</v>
      </c>
    </row>
    <row r="11" spans="1:23" x14ac:dyDescent="0.25">
      <c r="A11" s="812" t="s">
        <v>1996</v>
      </c>
      <c r="B11" s="812">
        <v>2104008320</v>
      </c>
      <c r="C11" s="812" t="s">
        <v>142</v>
      </c>
      <c r="D11" s="133">
        <v>1.0861796690680241</v>
      </c>
      <c r="E11" s="133">
        <v>0.14562407530600199</v>
      </c>
      <c r="F11" s="133">
        <v>3.6205988968934136E-2</v>
      </c>
      <c r="G11" s="133">
        <v>0.71734249443061915</v>
      </c>
      <c r="H11" s="133">
        <v>0.71734249443061915</v>
      </c>
      <c r="I11" s="133">
        <v>2.26053663807801E-2</v>
      </c>
      <c r="J11" s="133">
        <v>11.191357043035103</v>
      </c>
      <c r="K11" s="45">
        <v>2912.7743879794184</v>
      </c>
      <c r="L11" s="134">
        <v>258.61634311408977</v>
      </c>
      <c r="M11" s="45" t="s">
        <v>738</v>
      </c>
      <c r="N11" s="133">
        <v>0.94391389842017215</v>
      </c>
      <c r="O11" s="133">
        <v>0.12655050774782323</v>
      </c>
      <c r="P11" s="133">
        <v>3.1463796614005737E-2</v>
      </c>
      <c r="Q11" s="133">
        <v>0.62338632337082611</v>
      </c>
      <c r="R11" s="133">
        <v>0.62338632337082611</v>
      </c>
      <c r="S11" s="133">
        <v>1.964455799840804E-2</v>
      </c>
      <c r="T11" s="133">
        <v>9.7255341412966061</v>
      </c>
      <c r="U11" s="45">
        <v>2531.264675700625</v>
      </c>
      <c r="V11" s="134">
        <v>224.7432607843273</v>
      </c>
      <c r="W11" t="s">
        <v>738</v>
      </c>
    </row>
    <row r="12" spans="1:23" x14ac:dyDescent="0.25">
      <c r="A12" s="812" t="s">
        <v>1996</v>
      </c>
      <c r="B12" s="812">
        <v>2104008330</v>
      </c>
      <c r="C12" s="812" t="s">
        <v>143</v>
      </c>
      <c r="D12" s="133">
        <v>0.81744961086074708</v>
      </c>
      <c r="E12" s="133">
        <v>8.7676355638648854E-2</v>
      </c>
      <c r="F12" s="133">
        <v>2.1798656289619928E-2</v>
      </c>
      <c r="G12" s="133">
        <v>0.4792234113258117</v>
      </c>
      <c r="H12" s="133">
        <v>0.4792234113258117</v>
      </c>
      <c r="I12" s="133">
        <v>1.3610085681083432E-2</v>
      </c>
      <c r="J12" s="133">
        <v>6.7380163487554992</v>
      </c>
      <c r="K12" s="45">
        <v>1753.7034490965482</v>
      </c>
      <c r="L12" s="134">
        <v>155.70597392767249</v>
      </c>
      <c r="M12" s="45" t="s">
        <v>738</v>
      </c>
      <c r="N12" s="133">
        <v>0.71038159792815792</v>
      </c>
      <c r="O12" s="133">
        <v>7.6192671440039203E-2</v>
      </c>
      <c r="P12" s="133">
        <v>1.8943509278084202E-2</v>
      </c>
      <c r="Q12" s="133">
        <v>0.41645563002195318</v>
      </c>
      <c r="R12" s="133">
        <v>0.41645563002195318</v>
      </c>
      <c r="S12" s="133">
        <v>1.1827462250409211E-2</v>
      </c>
      <c r="T12" s="133">
        <v>5.8554836372787467</v>
      </c>
      <c r="U12" s="45">
        <v>1524.0066689242697</v>
      </c>
      <c r="V12" s="134">
        <v>135.31189824560656</v>
      </c>
      <c r="W12" t="s">
        <v>738</v>
      </c>
    </row>
    <row r="13" spans="1:23" x14ac:dyDescent="0.25">
      <c r="A13" s="812" t="s">
        <v>1996</v>
      </c>
      <c r="B13" s="812">
        <v>2104008410</v>
      </c>
      <c r="C13" s="812" t="s">
        <v>144</v>
      </c>
      <c r="D13" s="133">
        <v>1.3697132541613472E-2</v>
      </c>
      <c r="E13" s="133">
        <v>2.3919460231492835E-2</v>
      </c>
      <c r="F13" s="133">
        <v>1.9116451733460808E-3</v>
      </c>
      <c r="G13" s="133">
        <v>1.7682717853451251E-2</v>
      </c>
      <c r="H13" s="133">
        <v>1.7682717853451251E-2</v>
      </c>
      <c r="I13" s="133">
        <v>4.2940329706286353E-4</v>
      </c>
      <c r="J13" s="133">
        <v>5.9332687067729005E-2</v>
      </c>
      <c r="K13" s="45">
        <v>183.65588121440223</v>
      </c>
      <c r="L13" s="134">
        <v>16.306244859565812</v>
      </c>
      <c r="M13" s="45" t="s">
        <v>738</v>
      </c>
      <c r="N13" s="133">
        <v>1.1903107876826293E-2</v>
      </c>
      <c r="O13" s="133">
        <v>2.0786534307521354E-2</v>
      </c>
      <c r="P13" s="133">
        <v>1.6612614831185903E-3</v>
      </c>
      <c r="Q13" s="133">
        <v>1.5366668718846963E-2</v>
      </c>
      <c r="R13" s="133">
        <v>1.5366668718846963E-2</v>
      </c>
      <c r="S13" s="133">
        <v>3.7316086064551334E-4</v>
      </c>
      <c r="T13" s="133">
        <v>5.1561403282293243E-2</v>
      </c>
      <c r="U13" s="45">
        <v>159.60097923175343</v>
      </c>
      <c r="V13" s="134">
        <v>14.170483569438572</v>
      </c>
      <c r="W13" t="s">
        <v>738</v>
      </c>
    </row>
    <row r="14" spans="1:23" x14ac:dyDescent="0.25">
      <c r="A14" s="812" t="s">
        <v>1996</v>
      </c>
      <c r="B14" s="812">
        <v>2104008420</v>
      </c>
      <c r="C14" s="812" t="s">
        <v>145</v>
      </c>
      <c r="D14" s="133">
        <v>4.6200853750518245E-2</v>
      </c>
      <c r="E14" s="133">
        <v>8.0681082744079313E-2</v>
      </c>
      <c r="F14" s="133">
        <v>6.4480385809454008E-3</v>
      </c>
      <c r="G14" s="133">
        <v>5.9644356873744975E-2</v>
      </c>
      <c r="H14" s="133">
        <v>5.9644356873744975E-2</v>
      </c>
      <c r="I14" s="133">
        <v>1.4483906662448606E-3</v>
      </c>
      <c r="J14" s="133">
        <v>0.20013099745609292</v>
      </c>
      <c r="K14" s="45">
        <v>619.4769951032132</v>
      </c>
      <c r="L14" s="134">
        <v>55.001470686520577</v>
      </c>
      <c r="M14" s="45" t="s">
        <v>738</v>
      </c>
      <c r="N14" s="133">
        <v>4.0149552800422351E-2</v>
      </c>
      <c r="O14" s="133">
        <v>7.011362623558276E-2</v>
      </c>
      <c r="P14" s="133">
        <v>5.6034866122343869E-3</v>
      </c>
      <c r="Q14" s="133">
        <v>5.1832251163168072E-2</v>
      </c>
      <c r="R14" s="133">
        <v>5.1832251163168072E-2</v>
      </c>
      <c r="S14" s="133">
        <v>1.2586831802731493E-3</v>
      </c>
      <c r="T14" s="133">
        <v>0.17391821572722485</v>
      </c>
      <c r="U14" s="45">
        <v>538.33906312314491</v>
      </c>
      <c r="V14" s="134">
        <v>47.797481478457954</v>
      </c>
      <c r="W14" t="s">
        <v>738</v>
      </c>
    </row>
    <row r="15" spans="1:23" x14ac:dyDescent="0.25">
      <c r="A15" s="812" t="s">
        <v>1996</v>
      </c>
      <c r="B15" s="812">
        <v>2104008610</v>
      </c>
      <c r="C15" s="812" t="s">
        <v>146</v>
      </c>
      <c r="D15" s="133">
        <v>1.1711770346550694</v>
      </c>
      <c r="E15" s="133">
        <v>4.1603446024885353E-2</v>
      </c>
      <c r="F15" s="133">
        <v>1.0318740393436736E-2</v>
      </c>
      <c r="G15" s="133">
        <v>0.25461884237524446</v>
      </c>
      <c r="H15" s="133">
        <v>0.25461884237524446</v>
      </c>
      <c r="I15" s="133">
        <v>6.2882034955080452E-3</v>
      </c>
      <c r="J15" s="133">
        <v>1.5625324573420327</v>
      </c>
      <c r="K15" s="45">
        <v>830.14339865154079</v>
      </c>
      <c r="L15" s="134">
        <v>73.705897341569369</v>
      </c>
      <c r="M15" s="45" t="s">
        <v>738</v>
      </c>
      <c r="N15" s="133">
        <v>1.070719551059657</v>
      </c>
      <c r="O15" s="133">
        <v>3.8034918489858648E-2</v>
      </c>
      <c r="P15" s="133">
        <v>9.4336524322436756E-3</v>
      </c>
      <c r="Q15" s="133">
        <v>0.23277896042389856</v>
      </c>
      <c r="R15" s="133">
        <v>0.23277896042389856</v>
      </c>
      <c r="S15" s="133">
        <v>5.7488340570689966E-3</v>
      </c>
      <c r="T15" s="133">
        <v>1.4285065380693187</v>
      </c>
      <c r="U15" s="45">
        <v>758.93800921488912</v>
      </c>
      <c r="V15" s="134">
        <v>67.383788254742427</v>
      </c>
      <c r="W15" t="s">
        <v>738</v>
      </c>
    </row>
    <row r="16" spans="1:23" x14ac:dyDescent="0.25">
      <c r="A16" s="812" t="s">
        <v>1996</v>
      </c>
      <c r="B16" s="812">
        <v>2104004000</v>
      </c>
      <c r="C16" s="812" t="s">
        <v>568</v>
      </c>
      <c r="D16" s="133">
        <v>9.5785920419571416E-2</v>
      </c>
      <c r="E16" s="133">
        <v>1.5007905989151349</v>
      </c>
      <c r="F16" s="133">
        <v>3.8828332621093451</v>
      </c>
      <c r="G16" s="133">
        <v>6.1340215214515034E-2</v>
      </c>
      <c r="H16" s="133">
        <v>6.1340215214515034E-2</v>
      </c>
      <c r="I16" s="133">
        <v>3.2909025462587332E-3</v>
      </c>
      <c r="J16" s="133">
        <v>6.0164527756236867E-2</v>
      </c>
      <c r="K16" s="45">
        <v>36060.285248431748</v>
      </c>
      <c r="L16" s="134">
        <v>268.68420875055097</v>
      </c>
      <c r="M16" s="45" t="s">
        <v>1997</v>
      </c>
      <c r="N16" s="133">
        <v>8.8376404492818125E-2</v>
      </c>
      <c r="O16" s="133">
        <v>1.3846970039830846</v>
      </c>
      <c r="P16" s="133">
        <v>3.5824768551290127</v>
      </c>
      <c r="Q16" s="133">
        <v>5.6595245394403998E-2</v>
      </c>
      <c r="R16" s="133">
        <v>5.6595245394403998E-2</v>
      </c>
      <c r="S16" s="133">
        <v>3.0363349154097761E-3</v>
      </c>
      <c r="T16" s="133">
        <v>5.5510503191011286E-2</v>
      </c>
      <c r="U16" s="45">
        <v>33270.843369070433</v>
      </c>
      <c r="V16" s="134">
        <v>247.90015285502983</v>
      </c>
      <c r="W16" t="s">
        <v>1997</v>
      </c>
    </row>
    <row r="17" spans="1:23" x14ac:dyDescent="0.25">
      <c r="A17" s="812" t="s">
        <v>1996</v>
      </c>
      <c r="B17" s="812">
        <v>2103004001</v>
      </c>
      <c r="C17" s="812" t="s">
        <v>148</v>
      </c>
      <c r="D17" s="133">
        <v>2.8799975308493542E-2</v>
      </c>
      <c r="E17" s="133">
        <v>0.72706810035467595</v>
      </c>
      <c r="F17" s="133">
        <v>0.51392404746847864</v>
      </c>
      <c r="G17" s="133">
        <v>1.8443176991539929E-2</v>
      </c>
      <c r="H17" s="133">
        <v>1.8443176991539929E-2</v>
      </c>
      <c r="I17" s="133">
        <v>9.8947644559611728E-4</v>
      </c>
      <c r="J17" s="133">
        <v>1.8089682765868746E-2</v>
      </c>
      <c r="K17" s="45">
        <v>11188.770211013627</v>
      </c>
      <c r="L17" s="134">
        <v>83.367223812204131</v>
      </c>
      <c r="M17" s="45" t="s">
        <v>1997</v>
      </c>
      <c r="N17" s="133">
        <v>2.828246293102879E-2</v>
      </c>
      <c r="O17" s="133">
        <v>0.71400327175107758</v>
      </c>
      <c r="P17" s="133">
        <v>0.50468924595240616</v>
      </c>
      <c r="Q17" s="133">
        <v>1.8111767944460632E-2</v>
      </c>
      <c r="R17" s="133">
        <v>1.8111767944460632E-2</v>
      </c>
      <c r="S17" s="133">
        <v>9.7169635022031301E-4</v>
      </c>
      <c r="T17" s="133">
        <v>1.7764625725525143E-2</v>
      </c>
      <c r="U17" s="45">
        <v>10987.717015280472</v>
      </c>
      <c r="V17" s="134">
        <v>81.869181896002644</v>
      </c>
      <c r="W17" t="s">
        <v>1997</v>
      </c>
    </row>
    <row r="18" spans="1:23" x14ac:dyDescent="0.25">
      <c r="A18" s="812" t="s">
        <v>1996</v>
      </c>
      <c r="B18" s="812">
        <v>2104004000</v>
      </c>
      <c r="C18" s="812" t="s">
        <v>746</v>
      </c>
      <c r="D18" s="133">
        <v>6.3781816461982652E-4</v>
      </c>
      <c r="E18" s="133">
        <v>1.6102001350851155E-2</v>
      </c>
      <c r="F18" s="133">
        <v>2.5854964632749701E-2</v>
      </c>
      <c r="G18" s="133">
        <v>3.5782225224113698E-4</v>
      </c>
      <c r="H18" s="133">
        <v>3.5782225224113698E-4</v>
      </c>
      <c r="I18" s="133">
        <v>2.1913423317364518E-5</v>
      </c>
      <c r="J18" s="133">
        <v>4.0062285250913398E-4</v>
      </c>
      <c r="K18" s="45">
        <v>245.09929722887276</v>
      </c>
      <c r="L18" s="134">
        <v>1.7891112612056852</v>
      </c>
      <c r="M18" s="45" t="s">
        <v>1997</v>
      </c>
      <c r="N18" s="133">
        <v>6.0170143174726278E-4</v>
      </c>
      <c r="O18" s="133">
        <v>1.5190218473282925E-2</v>
      </c>
      <c r="P18" s="133">
        <v>2.4390915938515351E-2</v>
      </c>
      <c r="Q18" s="133">
        <v>3.3756041051739833E-4</v>
      </c>
      <c r="R18" s="133">
        <v>3.3756041051739833E-4</v>
      </c>
      <c r="S18" s="133">
        <v>2.0672566126117219E-5</v>
      </c>
      <c r="T18" s="133">
        <v>3.7793740805281084E-4</v>
      </c>
      <c r="U18" s="45">
        <v>231.22044219415491</v>
      </c>
      <c r="V18" s="134">
        <v>1.6878020525869919</v>
      </c>
      <c r="W18" t="s">
        <v>1997</v>
      </c>
    </row>
    <row r="19" spans="1:23" x14ac:dyDescent="0.25">
      <c r="A19" s="812" t="s">
        <v>1996</v>
      </c>
      <c r="B19" s="812">
        <v>2104004000</v>
      </c>
      <c r="C19" s="812" t="s">
        <v>747</v>
      </c>
      <c r="D19" s="133">
        <v>2.7475151202863536E-3</v>
      </c>
      <c r="E19" s="133">
        <v>4.30485487307634E-2</v>
      </c>
      <c r="F19" s="133">
        <v>0.11137485603799084</v>
      </c>
      <c r="G19" s="133">
        <v>1.7594774685598129E-3</v>
      </c>
      <c r="H19" s="133">
        <v>1.7594774685598129E-3</v>
      </c>
      <c r="I19" s="133">
        <v>9.4395966188234E-5</v>
      </c>
      <c r="J19" s="133">
        <v>1.7257541504124164E-3</v>
      </c>
      <c r="K19" s="45">
        <v>963.36434792649129</v>
      </c>
      <c r="L19" s="134">
        <v>7.7069147834119347</v>
      </c>
      <c r="M19" s="45" t="s">
        <v>1997</v>
      </c>
      <c r="N19" s="133">
        <v>2.2687140772650496E-3</v>
      </c>
      <c r="O19" s="133">
        <v>3.5546610022344306E-2</v>
      </c>
      <c r="P19" s="133">
        <v>9.1965901072247197E-2</v>
      </c>
      <c r="Q19" s="133">
        <v>1.4528587202593045E-3</v>
      </c>
      <c r="R19" s="133">
        <v>1.4528587202593045E-3</v>
      </c>
      <c r="S19" s="133">
        <v>7.79458703419117E-5</v>
      </c>
      <c r="T19" s="133">
        <v>1.4250122614543343E-3</v>
      </c>
      <c r="U19" s="45">
        <v>795.48179427245793</v>
      </c>
      <c r="V19" s="134">
        <v>6.3638543541796651</v>
      </c>
      <c r="W19" t="s">
        <v>1997</v>
      </c>
    </row>
    <row r="20" spans="1:23" x14ac:dyDescent="0.25">
      <c r="A20" s="812" t="s">
        <v>1996</v>
      </c>
      <c r="B20" s="812">
        <v>2104006010</v>
      </c>
      <c r="C20" s="812" t="s">
        <v>149</v>
      </c>
      <c r="D20" s="133">
        <v>6.6969683938961262E-4</v>
      </c>
      <c r="E20" s="133">
        <v>1.1445727800477033E-2</v>
      </c>
      <c r="F20" s="133">
        <v>7.3057837024321438E-5</v>
      </c>
      <c r="G20" s="133">
        <v>6.0311679724811463E-6</v>
      </c>
      <c r="H20" s="133">
        <v>6.0311679724811463E-6</v>
      </c>
      <c r="I20" s="133">
        <v>2.4352612341440472E-3</v>
      </c>
      <c r="J20" s="133">
        <v>4.8705224682880945E-3</v>
      </c>
      <c r="K20" s="45">
        <v>300.62303278688501</v>
      </c>
      <c r="L20" s="134">
        <v>296.18032786885243</v>
      </c>
      <c r="M20" s="45" t="s">
        <v>1998</v>
      </c>
      <c r="N20" s="133">
        <v>6.6969683938961262E-4</v>
      </c>
      <c r="O20" s="133">
        <v>1.1445727800477033E-2</v>
      </c>
      <c r="P20" s="133">
        <v>7.3057837024321438E-5</v>
      </c>
      <c r="Q20" s="133">
        <v>6.0311679724811463E-6</v>
      </c>
      <c r="R20" s="133">
        <v>6.0311679724811463E-6</v>
      </c>
      <c r="S20" s="133">
        <v>2.4352612341440472E-3</v>
      </c>
      <c r="T20" s="133">
        <v>4.8705224682880945E-3</v>
      </c>
      <c r="U20" s="45">
        <v>300.62303278688501</v>
      </c>
      <c r="V20" s="134">
        <v>296.18032786885243</v>
      </c>
      <c r="W20" t="s">
        <v>1998</v>
      </c>
    </row>
    <row r="21" spans="1:23" x14ac:dyDescent="0.25">
      <c r="A21" s="812" t="s">
        <v>1996</v>
      </c>
      <c r="B21" s="812">
        <v>2103006000</v>
      </c>
      <c r="C21" s="812" t="s">
        <v>150</v>
      </c>
      <c r="D21" s="133">
        <v>5.2612909836065582E-3</v>
      </c>
      <c r="E21" s="133">
        <v>9.5659836065573794E-2</v>
      </c>
      <c r="F21" s="133">
        <v>5.7395901639344267E-4</v>
      </c>
      <c r="G21" s="133">
        <v>7.2701475409836045E-3</v>
      </c>
      <c r="H21" s="133">
        <v>7.2701475409836045E-3</v>
      </c>
      <c r="I21" s="133">
        <v>1.9131967213114748E-2</v>
      </c>
      <c r="J21" s="133">
        <v>3.8263934426229496E-2</v>
      </c>
      <c r="K21" s="45">
        <v>1941.8946721311484</v>
      </c>
      <c r="L21" s="134">
        <v>1913.196721311476</v>
      </c>
      <c r="M21" s="45" t="s">
        <v>1998</v>
      </c>
      <c r="N21" s="133">
        <v>5.2612909836065582E-3</v>
      </c>
      <c r="O21" s="133">
        <v>9.5659836065573794E-2</v>
      </c>
      <c r="P21" s="133">
        <v>5.7395901639344267E-4</v>
      </c>
      <c r="Q21" s="133">
        <v>7.2701475409836045E-3</v>
      </c>
      <c r="R21" s="133">
        <v>7.2701475409836045E-3</v>
      </c>
      <c r="S21" s="133">
        <v>1.9131967213114748E-2</v>
      </c>
      <c r="T21" s="133">
        <v>3.8263934426229496E-2</v>
      </c>
      <c r="U21" s="45">
        <v>1941.8946721311484</v>
      </c>
      <c r="V21" s="134">
        <v>1913.196721311476</v>
      </c>
      <c r="W21" t="s">
        <v>1998</v>
      </c>
    </row>
    <row r="22" spans="1:23" x14ac:dyDescent="0.25">
      <c r="A22" s="812" t="s">
        <v>1996</v>
      </c>
      <c r="B22" s="812">
        <v>2104002000</v>
      </c>
      <c r="C22" s="812" t="s">
        <v>151</v>
      </c>
      <c r="D22" s="133">
        <v>0.14462789176330457</v>
      </c>
      <c r="E22" s="133">
        <v>6.8264364912279718E-2</v>
      </c>
      <c r="F22" s="133">
        <v>0.13450393933987317</v>
      </c>
      <c r="G22" s="133">
        <v>0.11555768551888027</v>
      </c>
      <c r="H22" s="133">
        <v>0.11555768551888027</v>
      </c>
      <c r="I22" s="133">
        <v>1.8309167957775534E-2</v>
      </c>
      <c r="J22" s="133">
        <v>1.8884786966993483</v>
      </c>
      <c r="K22" s="45">
        <v>439.66879096044568</v>
      </c>
      <c r="L22" s="134">
        <v>28.925578352660899</v>
      </c>
      <c r="M22" s="45" t="s">
        <v>738</v>
      </c>
      <c r="N22" s="133">
        <v>0.12661476068799091</v>
      </c>
      <c r="O22" s="133">
        <v>5.9762167044731695E-2</v>
      </c>
      <c r="P22" s="133">
        <v>0.11775172743983153</v>
      </c>
      <c r="Q22" s="133">
        <v>0.1011651937897047</v>
      </c>
      <c r="R22" s="133">
        <v>0.1011651937897047</v>
      </c>
      <c r="S22" s="133">
        <v>1.6028795629296204E-2</v>
      </c>
      <c r="T22" s="133">
        <v>1.6532722376834412</v>
      </c>
      <c r="U22" s="45">
        <v>384.90887249149216</v>
      </c>
      <c r="V22" s="134">
        <v>25.322952137598186</v>
      </c>
      <c r="W22" t="s">
        <v>738</v>
      </c>
    </row>
    <row r="23" spans="1:23" x14ac:dyDescent="0.25">
      <c r="A23" s="812" t="s">
        <v>1996</v>
      </c>
      <c r="B23" s="812">
        <v>2103002000</v>
      </c>
      <c r="C23" s="812" t="s">
        <v>152</v>
      </c>
      <c r="D23" s="133">
        <v>4.0148138126104761E-4</v>
      </c>
      <c r="E23" s="133">
        <v>1.8949921195521454E-4</v>
      </c>
      <c r="F23" s="133">
        <v>3.7337768457277432E-4</v>
      </c>
      <c r="G23" s="133">
        <v>3.2078362362757704E-4</v>
      </c>
      <c r="H23" s="133">
        <v>3.2078362362757704E-4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4.8030744532512695E-5</v>
      </c>
      <c r="T23" s="133">
        <v>4.9540775443997331E-3</v>
      </c>
      <c r="U23" s="45">
        <v>17.43676104884138</v>
      </c>
      <c r="V23" s="134">
        <v>1.1533904449531067</v>
      </c>
      <c r="W23" t="s">
        <v>738</v>
      </c>
    </row>
    <row r="24" spans="1:23" x14ac:dyDescent="0.25">
      <c r="A24" s="812" t="s">
        <v>1996</v>
      </c>
      <c r="B24" s="812">
        <v>2103008000</v>
      </c>
      <c r="C24" s="812" t="s">
        <v>153</v>
      </c>
      <c r="D24" s="133">
        <v>1.2267802496122727E-3</v>
      </c>
      <c r="E24" s="133">
        <v>4.8776475754854209E-5</v>
      </c>
      <c r="F24" s="133">
        <v>1.0633485245822148E-5</v>
      </c>
      <c r="G24" s="133">
        <v>3.4500168382878613E-4</v>
      </c>
      <c r="H24" s="133">
        <v>3.4500168382878613E-4</v>
      </c>
      <c r="I24" s="133">
        <v>1.2632663031087653E-5</v>
      </c>
      <c r="J24" s="133">
        <v>2.4538740814386119E-3</v>
      </c>
      <c r="K24" s="45">
        <v>11.138643290370357</v>
      </c>
      <c r="L24" s="134">
        <v>0.91979647376361562</v>
      </c>
      <c r="M24" s="45" t="s">
        <v>738</v>
      </c>
      <c r="N24" s="133">
        <v>1.0057156829621557E-3</v>
      </c>
      <c r="O24" s="133">
        <v>4.0923651207836456E-5</v>
      </c>
      <c r="P24" s="133">
        <v>8.6857798127814742E-6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2.734616428960358E-2</v>
      </c>
      <c r="F25" s="135">
        <v>1.9363248899601761E-2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2.734616428960358E-2</v>
      </c>
      <c r="P25" s="135">
        <v>1.9363248899601761E-2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11.343103685925142</v>
      </c>
      <c r="E26" s="137">
        <v>3.0139195701521362</v>
      </c>
      <c r="F26" s="137">
        <v>4.7959781421151026</v>
      </c>
      <c r="G26" s="137">
        <v>3.2343022701398514</v>
      </c>
      <c r="H26" s="137">
        <v>3.2343022701398514</v>
      </c>
      <c r="I26" s="137">
        <v>0.15862223483780855</v>
      </c>
      <c r="J26" s="137">
        <v>34.395160143867024</v>
      </c>
      <c r="K26" s="87">
        <v>60060.618917999847</v>
      </c>
      <c r="L26" s="87"/>
      <c r="M26" s="87"/>
      <c r="N26" s="137">
        <v>10.205611807135929</v>
      </c>
      <c r="O26" s="137">
        <v>2.8043188857980756</v>
      </c>
      <c r="P26" s="137">
        <v>4.435677034022909</v>
      </c>
      <c r="Q26" s="137">
        <v>2.8726790288391979</v>
      </c>
      <c r="R26" s="137">
        <v>2.8726790288391979</v>
      </c>
      <c r="S26" s="137">
        <v>0.14360741096885929</v>
      </c>
      <c r="T26" s="137">
        <v>30.299666339918659</v>
      </c>
      <c r="U26" s="87">
        <v>55762.581656115268</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3.4241202679643052</v>
      </c>
      <c r="E28" s="133">
        <v>3.8876474658110026E-2</v>
      </c>
      <c r="F28" s="133">
        <v>5.980996101247694E-3</v>
      </c>
      <c r="G28" s="133">
        <v>0.51735616275792562</v>
      </c>
      <c r="H28" s="133">
        <v>0.51735616275792562</v>
      </c>
      <c r="I28" s="133">
        <v>2.6914482455614629E-2</v>
      </c>
      <c r="J28" s="133">
        <v>3.776999037937919</v>
      </c>
      <c r="K28" s="45">
        <v>478.41295462542189</v>
      </c>
      <c r="L28" s="134">
        <v>42.721753608539601</v>
      </c>
      <c r="M28" s="45" t="s">
        <v>738</v>
      </c>
      <c r="N28" s="133">
        <v>3.1666079687590334</v>
      </c>
      <c r="O28" s="133">
        <v>3.5952754230451925E-2</v>
      </c>
      <c r="P28" s="133">
        <v>5.5311929585310634E-3</v>
      </c>
      <c r="Q28" s="133">
        <v>0.47844819091293705</v>
      </c>
      <c r="R28" s="133">
        <v>0.47844819091293705</v>
      </c>
      <c r="S28" s="133">
        <v>2.4890368313389789E-2</v>
      </c>
      <c r="T28" s="133">
        <v>3.4929483533123666</v>
      </c>
      <c r="U28" s="45">
        <v>442.43372192504052</v>
      </c>
      <c r="V28" s="134">
        <v>39.508847478826866</v>
      </c>
      <c r="W28" t="s">
        <v>738</v>
      </c>
    </row>
    <row r="29" spans="1:23" x14ac:dyDescent="0.25">
      <c r="A29" s="812" t="s">
        <v>1999</v>
      </c>
      <c r="B29" s="812">
        <v>2104008210</v>
      </c>
      <c r="C29" s="812" t="s">
        <v>138</v>
      </c>
      <c r="D29" s="133">
        <v>8.0743963159622512E-2</v>
      </c>
      <c r="E29" s="133">
        <v>4.2657188084328865E-3</v>
      </c>
      <c r="F29" s="133">
        <v>6.0938840120469814E-4</v>
      </c>
      <c r="G29" s="133">
        <v>4.6618212692159405E-2</v>
      </c>
      <c r="H29" s="133">
        <v>4.6618212692159405E-2</v>
      </c>
      <c r="I29" s="133">
        <v>2.5899007051199668E-3</v>
      </c>
      <c r="J29" s="133">
        <v>0.35161710749511088</v>
      </c>
      <c r="K29" s="45">
        <v>48.744272793286648</v>
      </c>
      <c r="L29" s="134">
        <v>4.3528102489045288</v>
      </c>
      <c r="M29" s="45" t="s">
        <v>738</v>
      </c>
      <c r="N29" s="133">
        <v>7.0454789013477265E-2</v>
      </c>
      <c r="O29" s="133">
        <v>3.7221397969384208E-3</v>
      </c>
      <c r="P29" s="133">
        <v>5.3173425670548875E-4</v>
      </c>
      <c r="Q29" s="133">
        <v>4.0677670637969898E-2</v>
      </c>
      <c r="R29" s="133">
        <v>4.0677670637969898E-2</v>
      </c>
      <c r="S29" s="133">
        <v>2.2598705909983269E-3</v>
      </c>
      <c r="T29" s="133">
        <v>0.30681066611906693</v>
      </c>
      <c r="U29" s="45">
        <v>42.532807666093845</v>
      </c>
      <c r="V29" s="134">
        <v>3.7981332065160398</v>
      </c>
      <c r="W29" t="s">
        <v>738</v>
      </c>
    </row>
    <row r="30" spans="1:23" x14ac:dyDescent="0.25">
      <c r="A30" s="812" t="s">
        <v>1999</v>
      </c>
      <c r="B30" s="812">
        <v>2104008220</v>
      </c>
      <c r="C30" s="812" t="s">
        <v>139</v>
      </c>
      <c r="D30" s="133">
        <v>3.849048832033837E-2</v>
      </c>
      <c r="E30" s="133">
        <v>6.4150813867230611E-3</v>
      </c>
      <c r="F30" s="133">
        <v>1.2830162773446122E-3</v>
      </c>
      <c r="G30" s="133">
        <v>3.849048832033837E-2</v>
      </c>
      <c r="H30" s="133">
        <v>3.849048832033837E-2</v>
      </c>
      <c r="I30" s="133">
        <v>2.8867866240253788E-3</v>
      </c>
      <c r="J30" s="133">
        <v>0.45162172962530356</v>
      </c>
      <c r="K30" s="45">
        <v>102.62698682396707</v>
      </c>
      <c r="L30" s="134">
        <v>9.1644776804030634</v>
      </c>
      <c r="M30" s="45" t="s">
        <v>738</v>
      </c>
      <c r="N30" s="133">
        <v>3.35856592557158E-2</v>
      </c>
      <c r="O30" s="133">
        <v>5.5976098759526324E-3</v>
      </c>
      <c r="P30" s="133">
        <v>1.1195219751905263E-3</v>
      </c>
      <c r="Q30" s="133">
        <v>3.35856592557158E-2</v>
      </c>
      <c r="R30" s="133">
        <v>3.35856592557158E-2</v>
      </c>
      <c r="S30" s="133">
        <v>2.5189244441786848E-3</v>
      </c>
      <c r="T30" s="133">
        <v>0.3940717352670654</v>
      </c>
      <c r="U30" s="45">
        <v>89.549266853268421</v>
      </c>
      <c r="V30" s="134">
        <v>7.9966515901018358</v>
      </c>
      <c r="W30" t="s">
        <v>738</v>
      </c>
    </row>
    <row r="31" spans="1:23" x14ac:dyDescent="0.25">
      <c r="A31" s="812" t="s">
        <v>1999</v>
      </c>
      <c r="B31" s="812">
        <v>2104008230</v>
      </c>
      <c r="C31" s="812" t="s">
        <v>140</v>
      </c>
      <c r="D31" s="133">
        <v>2.8967615207065953E-2</v>
      </c>
      <c r="E31" s="133">
        <v>3.8623486942754594E-3</v>
      </c>
      <c r="F31" s="133">
        <v>7.724697388550916E-4</v>
      </c>
      <c r="G31" s="133">
        <v>2.5105266512790485E-2</v>
      </c>
      <c r="H31" s="133">
        <v>2.5105266512790485E-2</v>
      </c>
      <c r="I31" s="133">
        <v>1.7380569124239565E-3</v>
      </c>
      <c r="J31" s="133">
        <v>0.20663565514373697</v>
      </c>
      <c r="K31" s="45">
        <v>61.788960211376612</v>
      </c>
      <c r="L31" s="134">
        <v>5.5176865683854528</v>
      </c>
      <c r="M31" s="45" t="s">
        <v>738</v>
      </c>
      <c r="N31" s="133">
        <v>2.5276282433681921E-2</v>
      </c>
      <c r="O31" s="133">
        <v>3.3701709911575901E-3</v>
      </c>
      <c r="P31" s="133">
        <v>6.7403419823151779E-4</v>
      </c>
      <c r="Q31" s="133">
        <v>2.1906111442524329E-2</v>
      </c>
      <c r="R31" s="133">
        <v>2.1906111442524329E-2</v>
      </c>
      <c r="S31" s="133">
        <v>1.516576946020915E-3</v>
      </c>
      <c r="T31" s="133">
        <v>0.18030414802693098</v>
      </c>
      <c r="U31" s="45">
        <v>53.915215264435282</v>
      </c>
      <c r="V31" s="134">
        <v>4.8145697561262972</v>
      </c>
      <c r="W31" t="s">
        <v>738</v>
      </c>
    </row>
    <row r="32" spans="1:23" x14ac:dyDescent="0.25">
      <c r="A32" s="812" t="s">
        <v>1999</v>
      </c>
      <c r="B32" s="812">
        <v>2104008310</v>
      </c>
      <c r="C32" s="812" t="s">
        <v>141</v>
      </c>
      <c r="D32" s="133">
        <v>1.6386358064140338</v>
      </c>
      <c r="E32" s="133">
        <v>4.4896847451208165E-2</v>
      </c>
      <c r="F32" s="133">
        <v>1.236706268991724E-2</v>
      </c>
      <c r="G32" s="133">
        <v>0.37540309647931142</v>
      </c>
      <c r="H32" s="133">
        <v>0.37540309647931142</v>
      </c>
      <c r="I32" s="133">
        <v>1.2275192271493731E-2</v>
      </c>
      <c r="J32" s="133">
        <v>3.7463123051624425</v>
      </c>
      <c r="K32" s="45">
        <v>989.22702863606037</v>
      </c>
      <c r="L32" s="134">
        <v>88.336891741124802</v>
      </c>
      <c r="M32" s="45" t="s">
        <v>738</v>
      </c>
      <c r="N32" s="133">
        <v>1.4298250357441293</v>
      </c>
      <c r="O32" s="133">
        <v>3.9175658349737283E-2</v>
      </c>
      <c r="P32" s="133">
        <v>1.0791132345238715E-2</v>
      </c>
      <c r="Q32" s="133">
        <v>0.32756561509334259</v>
      </c>
      <c r="R32" s="133">
        <v>0.32756561509334259</v>
      </c>
      <c r="S32" s="133">
        <v>1.0710968941148527E-2</v>
      </c>
      <c r="T32" s="133">
        <v>3.2689210773196766</v>
      </c>
      <c r="U32" s="45">
        <v>863.170184639083</v>
      </c>
      <c r="V32" s="134">
        <v>77.08015344037058</v>
      </c>
      <c r="W32" t="s">
        <v>738</v>
      </c>
    </row>
    <row r="33" spans="1:31" x14ac:dyDescent="0.25">
      <c r="A33" s="812" t="s">
        <v>1999</v>
      </c>
      <c r="B33" s="812">
        <v>2104008320</v>
      </c>
      <c r="C33" s="812" t="s">
        <v>142</v>
      </c>
      <c r="D33" s="133">
        <v>0.78113446380357843</v>
      </c>
      <c r="E33" s="133">
        <v>0.10472667388319704</v>
      </c>
      <c r="F33" s="133">
        <v>2.6037815460119282E-2</v>
      </c>
      <c r="G33" s="133">
        <v>0.51588237260173819</v>
      </c>
      <c r="H33" s="133">
        <v>0.51588237260173819</v>
      </c>
      <c r="I33" s="133">
        <v>1.6256823111120349E-2</v>
      </c>
      <c r="J33" s="133">
        <v>8.048350500379458</v>
      </c>
      <c r="K33" s="45">
        <v>2082.7347176615845</v>
      </c>
      <c r="L33" s="134">
        <v>185.98593240343118</v>
      </c>
      <c r="M33" s="45" t="s">
        <v>738</v>
      </c>
      <c r="N33" s="133">
        <v>0.68159478040034949</v>
      </c>
      <c r="O33" s="133">
        <v>9.1381391546726032E-2</v>
      </c>
      <c r="P33" s="133">
        <v>2.2719826013344983E-2</v>
      </c>
      <c r="Q33" s="133">
        <v>0.45014366765196384</v>
      </c>
      <c r="R33" s="133">
        <v>0.45014366765196384</v>
      </c>
      <c r="S33" s="133">
        <v>1.4185221996833681E-2</v>
      </c>
      <c r="T33" s="133">
        <v>7.0227520946644617</v>
      </c>
      <c r="U33" s="45">
        <v>1817.3325826700359</v>
      </c>
      <c r="V33" s="134">
        <v>162.28581201859166</v>
      </c>
      <c r="W33" t="s">
        <v>738</v>
      </c>
    </row>
    <row r="34" spans="1:31" x14ac:dyDescent="0.25">
      <c r="A34" s="812" t="s">
        <v>1999</v>
      </c>
      <c r="B34" s="812">
        <v>2104008330</v>
      </c>
      <c r="C34" s="812" t="s">
        <v>143</v>
      </c>
      <c r="D34" s="133">
        <v>0.58787517539712308</v>
      </c>
      <c r="E34" s="133">
        <v>6.3053125555932968E-2</v>
      </c>
      <c r="F34" s="133">
        <v>1.5676671343923282E-2</v>
      </c>
      <c r="G34" s="133">
        <v>0.34463720239700613</v>
      </c>
      <c r="H34" s="133">
        <v>0.34463720239700613</v>
      </c>
      <c r="I34" s="133">
        <v>9.7877978050683462E-3</v>
      </c>
      <c r="J34" s="133">
        <v>4.8456962854045553</v>
      </c>
      <c r="K34" s="45">
        <v>1253.9587937155584</v>
      </c>
      <c r="L34" s="134">
        <v>111.97714882600084</v>
      </c>
      <c r="M34" s="45" t="s">
        <v>738</v>
      </c>
      <c r="N34" s="133">
        <v>0.51296245351475867</v>
      </c>
      <c r="O34" s="133">
        <v>5.5018288474413771E-2</v>
      </c>
      <c r="P34" s="133">
        <v>1.3678998760393564E-2</v>
      </c>
      <c r="Q34" s="133">
        <v>0.30072020781385739</v>
      </c>
      <c r="R34" s="133">
        <v>0.30072020781385739</v>
      </c>
      <c r="S34" s="133">
        <v>8.5405422557647218E-3</v>
      </c>
      <c r="T34" s="133">
        <v>4.2282109528937895</v>
      </c>
      <c r="U34" s="45">
        <v>1094.1672762355051</v>
      </c>
      <c r="V34" s="134">
        <v>97.707941078768243</v>
      </c>
      <c r="W34" t="s">
        <v>738</v>
      </c>
    </row>
    <row r="35" spans="1:31" x14ac:dyDescent="0.25">
      <c r="A35" s="812" t="s">
        <v>1999</v>
      </c>
      <c r="B35" s="812">
        <v>2104008410</v>
      </c>
      <c r="C35" s="812" t="s">
        <v>144</v>
      </c>
      <c r="D35" s="133">
        <v>9.8503982243749056E-3</v>
      </c>
      <c r="E35" s="133">
        <v>1.7201863811748472E-2</v>
      </c>
      <c r="F35" s="133">
        <v>1.3747743306092692E-3</v>
      </c>
      <c r="G35" s="133">
        <v>1.2716662558135739E-2</v>
      </c>
      <c r="H35" s="133">
        <v>1.2716662558135739E-2</v>
      </c>
      <c r="I35" s="133">
        <v>3.0880868401310705E-4</v>
      </c>
      <c r="J35" s="133">
        <v>4.2669558286285186E-2</v>
      </c>
      <c r="K35" s="45">
        <v>131.32032521520173</v>
      </c>
      <c r="L35" s="134">
        <v>11.726761416880382</v>
      </c>
      <c r="M35" s="45" t="s">
        <v>738</v>
      </c>
      <c r="N35" s="133">
        <v>8.5951655261840808E-3</v>
      </c>
      <c r="O35" s="133">
        <v>1.5009836501329532E-2</v>
      </c>
      <c r="P35" s="133">
        <v>1.1995873327735889E-3</v>
      </c>
      <c r="Q35" s="133">
        <v>1.1096182828155696E-2</v>
      </c>
      <c r="R35" s="133">
        <v>1.1096182828155696E-2</v>
      </c>
      <c r="S35" s="133">
        <v>2.694573046242674E-4</v>
      </c>
      <c r="T35" s="133">
        <v>3.7232191840960271E-2</v>
      </c>
      <c r="U35" s="45">
        <v>114.58622346698191</v>
      </c>
      <c r="V35" s="134">
        <v>10.232424432825617</v>
      </c>
      <c r="W35" t="s">
        <v>738</v>
      </c>
    </row>
    <row r="36" spans="1:31" x14ac:dyDescent="0.25">
      <c r="A36" s="812" t="s">
        <v>1999</v>
      </c>
      <c r="B36" s="812">
        <v>2104008420</v>
      </c>
      <c r="C36" s="812" t="s">
        <v>145</v>
      </c>
      <c r="D36" s="133">
        <v>3.3225699347368715E-2</v>
      </c>
      <c r="E36" s="133">
        <v>5.8022421246812755E-2</v>
      </c>
      <c r="F36" s="133">
        <v>4.6371565432018185E-3</v>
      </c>
      <c r="G36" s="133">
        <v>4.2893698024616823E-2</v>
      </c>
      <c r="H36" s="133">
        <v>4.2893698024616823E-2</v>
      </c>
      <c r="I36" s="133">
        <v>1.0416212885167085E-3</v>
      </c>
      <c r="J36" s="133">
        <v>0.14392574620962653</v>
      </c>
      <c r="K36" s="45">
        <v>442.94753820228038</v>
      </c>
      <c r="L36" s="134">
        <v>39.554730710424323</v>
      </c>
      <c r="M36" s="45" t="s">
        <v>738</v>
      </c>
      <c r="N36" s="133">
        <v>2.8991760445500492E-2</v>
      </c>
      <c r="O36" s="133">
        <v>5.0628645003637257E-2</v>
      </c>
      <c r="P36" s="133">
        <v>4.0462453549360454E-3</v>
      </c>
      <c r="Q36" s="133">
        <v>3.742776953315842E-2</v>
      </c>
      <c r="R36" s="133">
        <v>3.742776953315842E-2</v>
      </c>
      <c r="S36" s="133">
        <v>9.0888786285250932E-4</v>
      </c>
      <c r="T36" s="133">
        <v>0.12558534020382753</v>
      </c>
      <c r="U36" s="45">
        <v>386.50289293313818</v>
      </c>
      <c r="V36" s="134">
        <v>34.51428562131138</v>
      </c>
      <c r="W36" t="s">
        <v>738</v>
      </c>
    </row>
    <row r="37" spans="1:31" x14ac:dyDescent="0.25">
      <c r="A37" s="812" t="s">
        <v>1999</v>
      </c>
      <c r="B37" s="812">
        <v>2104008610</v>
      </c>
      <c r="C37" s="812" t="s">
        <v>146</v>
      </c>
      <c r="D37" s="133">
        <v>1.0831652820335782</v>
      </c>
      <c r="E37" s="133">
        <v>3.8477025260647786E-2</v>
      </c>
      <c r="F37" s="133">
        <v>9.5433064496350493E-3</v>
      </c>
      <c r="G37" s="133">
        <v>0.23548471499329796</v>
      </c>
      <c r="H37" s="133">
        <v>0.23548471499329796</v>
      </c>
      <c r="I37" s="133">
        <v>5.8156568231398946E-3</v>
      </c>
      <c r="J37" s="133">
        <v>1.4451110803602509</v>
      </c>
      <c r="K37" s="45">
        <v>763.35803571470444</v>
      </c>
      <c r="L37" s="134">
        <v>68.167037705816881</v>
      </c>
      <c r="M37" s="45" t="s">
        <v>738</v>
      </c>
      <c r="N37" s="133">
        <v>0.99047763517643495</v>
      </c>
      <c r="O37" s="133">
        <v>3.5184503806510434E-2</v>
      </c>
      <c r="P37" s="133">
        <v>8.7266751997923803E-3</v>
      </c>
      <c r="Q37" s="133">
        <v>0.21533402842164584</v>
      </c>
      <c r="R37" s="133">
        <v>0.21533402842164584</v>
      </c>
      <c r="S37" s="133">
        <v>5.3180046597936783E-3</v>
      </c>
      <c r="T37" s="133">
        <v>1.3214513326675408</v>
      </c>
      <c r="U37" s="45">
        <v>698.036647360149</v>
      </c>
      <c r="V37" s="134">
        <v>62.333909167656763</v>
      </c>
      <c r="W37" t="s">
        <v>738</v>
      </c>
    </row>
    <row r="38" spans="1:31" x14ac:dyDescent="0.25">
      <c r="A38" s="812" t="s">
        <v>1999</v>
      </c>
      <c r="B38" s="812">
        <v>2104004000</v>
      </c>
      <c r="C38" s="812" t="s">
        <v>568</v>
      </c>
      <c r="D38" s="133">
        <v>7.2530123148788303E-2</v>
      </c>
      <c r="E38" s="133">
        <v>1.1364146889548208</v>
      </c>
      <c r="F38" s="133">
        <v>2.9401228639178991</v>
      </c>
      <c r="G38" s="133">
        <v>4.6447466851014474E-2</v>
      </c>
      <c r="H38" s="133">
        <v>4.6447466851014474E-2</v>
      </c>
      <c r="I38" s="133">
        <v>2.491906596556927E-3</v>
      </c>
      <c r="J38" s="133">
        <v>4.5557223736370042E-2</v>
      </c>
      <c r="K38" s="45">
        <v>27305.233570786739</v>
      </c>
      <c r="L38" s="134">
        <v>203.45055581707803</v>
      </c>
      <c r="M38" s="45" t="s">
        <v>1997</v>
      </c>
      <c r="N38" s="133">
        <v>6.7048205986729517E-2</v>
      </c>
      <c r="O38" s="133">
        <v>1.0505230495070643</v>
      </c>
      <c r="P38" s="133">
        <v>2.7179047111483325</v>
      </c>
      <c r="Q38" s="133">
        <v>4.2936909380397723E-2</v>
      </c>
      <c r="R38" s="133">
        <v>4.2936909380397723E-2</v>
      </c>
      <c r="S38" s="133">
        <v>2.3035651882583378E-3</v>
      </c>
      <c r="T38" s="133">
        <v>4.2113951950606771E-2</v>
      </c>
      <c r="U38" s="45">
        <v>25241.469964337939</v>
      </c>
      <c r="V38" s="134">
        <v>188.07350907918524</v>
      </c>
      <c r="W38" t="s">
        <v>1997</v>
      </c>
    </row>
    <row r="39" spans="1:31" x14ac:dyDescent="0.25">
      <c r="A39" s="812" t="s">
        <v>1999</v>
      </c>
      <c r="B39" s="812">
        <v>2103004001</v>
      </c>
      <c r="C39" s="812" t="s">
        <v>148</v>
      </c>
      <c r="D39" s="133">
        <v>2.0467398182721537E-2</v>
      </c>
      <c r="E39" s="133">
        <v>0.51670850952172209</v>
      </c>
      <c r="F39" s="133">
        <v>0.3652325393525987</v>
      </c>
      <c r="G39" s="133">
        <v>1.3107089266459558E-2</v>
      </c>
      <c r="H39" s="133">
        <v>1.3107089266459558E-2</v>
      </c>
      <c r="I39" s="133">
        <v>7.0319533914555538E-4</v>
      </c>
      <c r="J39" s="133">
        <v>1.2855870055519084E-2</v>
      </c>
      <c r="K39" s="45">
        <v>7951.5698409731667</v>
      </c>
      <c r="L39" s="134">
        <v>59.246931529459651</v>
      </c>
      <c r="M39" s="45" t="s">
        <v>1997</v>
      </c>
      <c r="N39" s="133">
        <v>2.0099615509972715E-2</v>
      </c>
      <c r="O39" s="133">
        <v>0.50742367346354689</v>
      </c>
      <c r="P39" s="133">
        <v>0.3586696045672999</v>
      </c>
      <c r="Q39" s="133">
        <v>1.2871565421203764E-2</v>
      </c>
      <c r="R39" s="133">
        <v>1.2871565421203764E-2</v>
      </c>
      <c r="S39" s="133">
        <v>6.9055948484758199E-4</v>
      </c>
      <c r="T39" s="133">
        <v>1.2624860417297358E-2</v>
      </c>
      <c r="U39" s="45">
        <v>7808.686530522361</v>
      </c>
      <c r="V39" s="134">
        <v>58.182311853058074</v>
      </c>
      <c r="W39" t="s">
        <v>1997</v>
      </c>
    </row>
    <row r="40" spans="1:31" x14ac:dyDescent="0.25">
      <c r="A40" s="812" t="s">
        <v>1999</v>
      </c>
      <c r="B40" s="812">
        <v>2104004000</v>
      </c>
      <c r="C40" s="812" t="s">
        <v>746</v>
      </c>
      <c r="D40" s="133">
        <v>4.7954950872064971E-4</v>
      </c>
      <c r="E40" s="133">
        <v>1.2106439210338986E-2</v>
      </c>
      <c r="F40" s="133">
        <v>1.9439295202599322E-2</v>
      </c>
      <c r="G40" s="133">
        <v>2.690319824519775E-4</v>
      </c>
      <c r="H40" s="133">
        <v>2.690319824519775E-4</v>
      </c>
      <c r="I40" s="133">
        <v>1.6475810770446552E-5</v>
      </c>
      <c r="J40" s="133">
        <v>3.0121201113413466E-4</v>
      </c>
      <c r="K40" s="45">
        <v>184.28018218004325</v>
      </c>
      <c r="L40" s="134">
        <v>1.3451599122598872</v>
      </c>
      <c r="M40" s="45" t="s">
        <v>1997</v>
      </c>
      <c r="N40" s="133">
        <v>4.5341469845649481E-4</v>
      </c>
      <c r="O40" s="133">
        <v>1.1446654378985847E-2</v>
      </c>
      <c r="P40" s="133">
        <v>1.8379879474817229E-2</v>
      </c>
      <c r="Q40" s="133">
        <v>2.5437009731079654E-4</v>
      </c>
      <c r="R40" s="133">
        <v>2.5437009731079654E-4</v>
      </c>
      <c r="S40" s="133">
        <v>1.5577901001792045E-5</v>
      </c>
      <c r="T40" s="133">
        <v>2.8479635723996951E-4</v>
      </c>
      <c r="U40" s="45">
        <v>174.23715740546282</v>
      </c>
      <c r="V40" s="134">
        <v>1.2718504865539828</v>
      </c>
      <c r="W40" t="s">
        <v>1997</v>
      </c>
    </row>
    <row r="41" spans="1:31" x14ac:dyDescent="0.25">
      <c r="A41" s="812" t="s">
        <v>1999</v>
      </c>
      <c r="B41" s="812">
        <v>2104004000</v>
      </c>
      <c r="C41" s="812" t="s">
        <v>747</v>
      </c>
      <c r="D41" s="133">
        <v>1.5422302215375714E-3</v>
      </c>
      <c r="E41" s="133">
        <v>2.4163933568815722E-2</v>
      </c>
      <c r="F41" s="133">
        <v>6.2516732895462238E-2</v>
      </c>
      <c r="G41" s="133">
        <v>9.8762671262189608E-4</v>
      </c>
      <c r="H41" s="133">
        <v>9.8762671262189608E-4</v>
      </c>
      <c r="I41" s="133">
        <v>5.2986173132164716E-5</v>
      </c>
      <c r="J41" s="133">
        <v>9.6869720062997653E-4</v>
      </c>
      <c r="K41" s="45">
        <v>540.75393462046668</v>
      </c>
      <c r="L41" s="134">
        <v>4.3260314769637356</v>
      </c>
      <c r="M41" s="45" t="s">
        <v>1997</v>
      </c>
      <c r="N41" s="133">
        <v>1.2866502121850413E-3</v>
      </c>
      <c r="O41" s="133">
        <v>2.0159461161735882E-2</v>
      </c>
      <c r="P41" s="133">
        <v>5.2156394370788471E-2</v>
      </c>
      <c r="Q41" s="133">
        <v>8.2395617827258369E-4</v>
      </c>
      <c r="R41" s="133">
        <v>8.2395617827258369E-4</v>
      </c>
      <c r="S41" s="133">
        <v>4.4205248964324127E-5</v>
      </c>
      <c r="T41" s="133">
        <v>8.0816368485569254E-4</v>
      </c>
      <c r="U41" s="45">
        <v>451.1396255908279</v>
      </c>
      <c r="V41" s="134">
        <v>3.6091170047266243</v>
      </c>
      <c r="W41" t="s">
        <v>1997</v>
      </c>
    </row>
    <row r="42" spans="1:31" x14ac:dyDescent="0.25">
      <c r="A42" s="812" t="s">
        <v>1999</v>
      </c>
      <c r="B42" s="812">
        <v>2104006010</v>
      </c>
      <c r="C42" s="812" t="s">
        <v>149</v>
      </c>
      <c r="D42" s="133">
        <v>6.2640334377998884E-4</v>
      </c>
      <c r="E42" s="133">
        <v>1.0705802602785267E-2</v>
      </c>
      <c r="F42" s="133">
        <v>6.8334910230544217E-5</v>
      </c>
      <c r="G42" s="133">
        <v>5.6412746225655242E-6</v>
      </c>
      <c r="H42" s="133">
        <v>5.6412746225655242E-6</v>
      </c>
      <c r="I42" s="133">
        <v>2.2778303410181402E-3</v>
      </c>
      <c r="J42" s="133">
        <v>4.5556606820362803E-3</v>
      </c>
      <c r="K42" s="45">
        <v>281.18883333333309</v>
      </c>
      <c r="L42" s="134">
        <v>277.03333333333336</v>
      </c>
      <c r="M42" s="45" t="s">
        <v>1998</v>
      </c>
      <c r="N42" s="133">
        <v>6.2640334377998884E-4</v>
      </c>
      <c r="O42" s="133">
        <v>1.0705802602785267E-2</v>
      </c>
      <c r="P42" s="133">
        <v>6.8334910230544217E-5</v>
      </c>
      <c r="Q42" s="133">
        <v>5.6412746225655242E-6</v>
      </c>
      <c r="R42" s="133">
        <v>5.6412746225655242E-6</v>
      </c>
      <c r="S42" s="133">
        <v>2.2778303410181402E-3</v>
      </c>
      <c r="T42" s="133">
        <v>4.5556606820362803E-3</v>
      </c>
      <c r="U42" s="45">
        <v>281.18883333333309</v>
      </c>
      <c r="V42" s="134">
        <v>277.03333333333336</v>
      </c>
      <c r="W42" t="s">
        <v>1998</v>
      </c>
    </row>
    <row r="43" spans="1:31" x14ac:dyDescent="0.25">
      <c r="A43" s="812" t="s">
        <v>1999</v>
      </c>
      <c r="B43" s="812">
        <v>2103006000</v>
      </c>
      <c r="C43" s="812" t="s">
        <v>150</v>
      </c>
      <c r="D43" s="133">
        <v>9.7086916666666648E-3</v>
      </c>
      <c r="E43" s="133">
        <v>0.17652166666666649</v>
      </c>
      <c r="F43" s="133">
        <v>1.0591300000000004E-3</v>
      </c>
      <c r="G43" s="133">
        <v>1.3415646666666666E-2</v>
      </c>
      <c r="H43" s="133">
        <v>1.3415646666666666E-2</v>
      </c>
      <c r="I43" s="133">
        <v>3.5304333333333347E-2</v>
      </c>
      <c r="J43" s="133">
        <v>7.0608666666666695E-2</v>
      </c>
      <c r="K43" s="45">
        <v>3583.3898333333327</v>
      </c>
      <c r="L43" s="134">
        <v>3530.4333333333338</v>
      </c>
      <c r="M43" s="45" t="s">
        <v>1998</v>
      </c>
      <c r="N43" s="133">
        <v>9.7086916666666648E-3</v>
      </c>
      <c r="O43" s="133">
        <v>0.17652166666666649</v>
      </c>
      <c r="P43" s="133">
        <v>1.0591300000000004E-3</v>
      </c>
      <c r="Q43" s="133">
        <v>1.3415646666666666E-2</v>
      </c>
      <c r="R43" s="133">
        <v>1.3415646666666666E-2</v>
      </c>
      <c r="S43" s="133">
        <v>3.5304333333333347E-2</v>
      </c>
      <c r="T43" s="133">
        <v>7.0608666666666695E-2</v>
      </c>
      <c r="U43" s="45">
        <v>3583.3898333333327</v>
      </c>
      <c r="V43" s="134">
        <v>3530.4333333333338</v>
      </c>
      <c r="W43" t="s">
        <v>1998</v>
      </c>
    </row>
    <row r="44" spans="1:31" x14ac:dyDescent="0.25">
      <c r="A44" s="812" t="s">
        <v>1999</v>
      </c>
      <c r="B44" s="812">
        <v>2104002000</v>
      </c>
      <c r="C44" s="812" t="s">
        <v>151</v>
      </c>
      <c r="D44" s="133">
        <v>0.10738937425756083</v>
      </c>
      <c r="E44" s="133">
        <v>5.0687784649568718E-2</v>
      </c>
      <c r="F44" s="133">
        <v>9.9872118059531584E-2</v>
      </c>
      <c r="G44" s="133">
        <v>8.5804110031791114E-2</v>
      </c>
      <c r="H44" s="133">
        <v>8.5804110031791114E-2</v>
      </c>
      <c r="I44" s="133">
        <v>1.359495783413592E-2</v>
      </c>
      <c r="J44" s="133">
        <v>1.4022367543681007</v>
      </c>
      <c r="K44" s="45">
        <v>326.46369774298478</v>
      </c>
      <c r="L44" s="134">
        <v>21.477874851512162</v>
      </c>
      <c r="M44" s="45" t="s">
        <v>738</v>
      </c>
      <c r="N44" s="133">
        <v>9.4350268013146971E-2</v>
      </c>
      <c r="O44" s="133">
        <v>4.4533326502205373E-2</v>
      </c>
      <c r="P44" s="133">
        <v>8.7745749252226654E-2</v>
      </c>
      <c r="Q44" s="133">
        <v>7.5385864142504436E-2</v>
      </c>
      <c r="R44" s="133">
        <v>7.5385864142504436E-2</v>
      </c>
      <c r="S44" s="133">
        <v>1.1944272179124341E-2</v>
      </c>
      <c r="T44" s="133">
        <v>1.2319786245816662</v>
      </c>
      <c r="U44" s="45">
        <v>286.82481475996673</v>
      </c>
      <c r="V44" s="134">
        <v>18.870053602629387</v>
      </c>
      <c r="W44" t="s">
        <v>738</v>
      </c>
    </row>
    <row r="45" spans="1:31" x14ac:dyDescent="0.25">
      <c r="A45" s="812" t="s">
        <v>1999</v>
      </c>
      <c r="B45" s="812">
        <v>2103002000</v>
      </c>
      <c r="C45" s="812" t="s">
        <v>152</v>
      </c>
      <c r="D45" s="133">
        <v>2.8532244230068844E-4</v>
      </c>
      <c r="E45" s="133">
        <v>1.346721927659249E-4</v>
      </c>
      <c r="F45" s="133">
        <v>2.6534987133964015E-4</v>
      </c>
      <c r="G45" s="133">
        <v>2.279726313982501E-4</v>
      </c>
      <c r="H45" s="133">
        <v>2.279726313982501E-4</v>
      </c>
      <c r="I45" s="133">
        <v>3.6120394583055649E-5</v>
      </c>
      <c r="J45" s="133">
        <v>3.725597790341238E-3</v>
      </c>
      <c r="K45" s="45">
        <v>13.116826184181894</v>
      </c>
      <c r="L45" s="134">
        <v>0.86738022459409281</v>
      </c>
      <c r="M45" s="45" t="s">
        <v>738</v>
      </c>
      <c r="N45" s="133">
        <v>2.6963315214105558E-4</v>
      </c>
      <c r="O45" s="133">
        <v>1.2726684781057826E-4</v>
      </c>
      <c r="P45" s="133">
        <v>2.5075883149118175E-4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8.7184102008962055E-4</v>
      </c>
      <c r="E46" s="133">
        <v>3.4664180803309314E-5</v>
      </c>
      <c r="F46" s="133">
        <v>7.5569431662724817E-6</v>
      </c>
      <c r="G46" s="133">
        <v>2.4518378092326659E-4</v>
      </c>
      <c r="H46" s="133">
        <v>2.4518378092326659E-4</v>
      </c>
      <c r="I46" s="133">
        <v>8.9777071541156657E-6</v>
      </c>
      <c r="J46" s="133">
        <v>1.7439048949549688E-3</v>
      </c>
      <c r="K46" s="45">
        <v>7.9159459338867979</v>
      </c>
      <c r="L46" s="134">
        <v>0.65367558388256952</v>
      </c>
      <c r="M46" s="45" t="s">
        <v>738</v>
      </c>
      <c r="N46" s="133">
        <v>7.147361454759143E-4</v>
      </c>
      <c r="O46" s="133">
        <v>2.9083381335906241E-5</v>
      </c>
      <c r="P46" s="133">
        <v>6.1727592489711038E-6</v>
      </c>
      <c r="Q46" s="133">
        <v>2.1102851649953144E-4</v>
      </c>
      <c r="R46" s="133">
        <v>2.1102851649953144E-4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3.7226766797913594E-4</v>
      </c>
      <c r="E47" s="135">
        <v>1.9434212261993551E-2</v>
      </c>
      <c r="F47" s="135">
        <v>1.3760960594379906E-2</v>
      </c>
      <c r="G47" s="135">
        <v>1.937348938481727E-3</v>
      </c>
      <c r="H47" s="135">
        <v>1.937348938481727E-3</v>
      </c>
      <c r="I47" s="135">
        <v>1.3544093175893139E-5</v>
      </c>
      <c r="J47" s="135">
        <v>4.6265049277175556E-3</v>
      </c>
      <c r="K47" s="88">
        <v>103.11814403022066</v>
      </c>
      <c r="L47" s="136">
        <v>0.74453533595827182</v>
      </c>
      <c r="M47" s="88" t="s">
        <v>1997</v>
      </c>
      <c r="N47" s="135">
        <v>3.7226766797913594E-4</v>
      </c>
      <c r="O47" s="135">
        <v>1.9434212261993551E-2</v>
      </c>
      <c r="P47" s="135">
        <v>1.3760960594379906E-2</v>
      </c>
      <c r="Q47" s="135">
        <v>1.937348938481727E-3</v>
      </c>
      <c r="R47" s="135">
        <v>1.937348938481727E-3</v>
      </c>
      <c r="S47" s="135">
        <v>1.3544093175893139E-5</v>
      </c>
      <c r="T47" s="135">
        <v>4.6265049277175556E-3</v>
      </c>
      <c r="U47" s="88">
        <v>103.11814403022066</v>
      </c>
      <c r="V47" s="136">
        <v>0.74453533595827182</v>
      </c>
      <c r="W47" s="3" t="s">
        <v>1997</v>
      </c>
    </row>
    <row r="48" spans="1:31" x14ac:dyDescent="0.25">
      <c r="A48" s="810" t="s">
        <v>1999</v>
      </c>
      <c r="B48" s="810" t="s">
        <v>341</v>
      </c>
      <c r="C48" s="810"/>
      <c r="D48" s="137">
        <v>7.9204823613315316</v>
      </c>
      <c r="E48" s="137">
        <v>2.3267099545673693</v>
      </c>
      <c r="F48" s="137">
        <v>3.5806275390832654</v>
      </c>
      <c r="G48" s="137">
        <v>2.3170349954737519</v>
      </c>
      <c r="H48" s="137">
        <v>2.3170349954737519</v>
      </c>
      <c r="I48" s="137">
        <v>0.13411545430354163</v>
      </c>
      <c r="J48" s="137">
        <v>24.606119098338159</v>
      </c>
      <c r="K48" s="87">
        <v>46652.150422717787</v>
      </c>
      <c r="L48" s="87"/>
      <c r="M48" s="87"/>
      <c r="N48" s="137">
        <v>7.1433014166657998</v>
      </c>
      <c r="O48" s="137">
        <v>2.1759451953509856</v>
      </c>
      <c r="P48" s="137">
        <v>3.3190206443039534</v>
      </c>
      <c r="Q48" s="137">
        <v>2.064962871095791</v>
      </c>
      <c r="R48" s="137">
        <v>2.064962871095791</v>
      </c>
      <c r="S48" s="137">
        <v>0.12375497948464897</v>
      </c>
      <c r="T48" s="137">
        <v>21.750944159006774</v>
      </c>
      <c r="U48" s="87">
        <v>43551.139582286152</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4.5201330749092854</v>
      </c>
      <c r="E50" s="133">
        <v>5.1320288186742981E-2</v>
      </c>
      <c r="F50" s="133">
        <v>7.8954289518066104E-3</v>
      </c>
      <c r="G50" s="133">
        <v>0.68295460433127164</v>
      </c>
      <c r="H50" s="133">
        <v>0.68295460433127164</v>
      </c>
      <c r="I50" s="133">
        <v>3.5529430283129736E-2</v>
      </c>
      <c r="J50" s="133">
        <v>4.9859633830658732</v>
      </c>
      <c r="K50" s="45">
        <v>633.92674323501728</v>
      </c>
      <c r="L50" s="134">
        <v>56.396386923316435</v>
      </c>
      <c r="M50" s="45" t="s">
        <v>738</v>
      </c>
      <c r="N50" s="133">
        <v>4.1702193613308296</v>
      </c>
      <c r="O50" s="133">
        <v>4.7347468731267078E-2</v>
      </c>
      <c r="P50" s="133">
        <v>7.2842259586564711E-3</v>
      </c>
      <c r="Q50" s="133">
        <v>0.63008554542378492</v>
      </c>
      <c r="R50" s="133">
        <v>0.63008554542378492</v>
      </c>
      <c r="S50" s="133">
        <v>3.2779016813954127E-2</v>
      </c>
      <c r="T50" s="133">
        <v>4.5999886928915616</v>
      </c>
      <c r="U50" s="45">
        <v>584.85025878901445</v>
      </c>
      <c r="V50" s="134">
        <v>52.030615196310123</v>
      </c>
      <c r="W50" t="s">
        <v>738</v>
      </c>
      <c r="Y50" s="13">
        <f>N50/$U50*2000</f>
        <v>14.260810519142616</v>
      </c>
      <c r="Z50" s="5">
        <f t="shared" ref="Z50:AE65" si="0">O50/$U50*2000</f>
        <v>0.1619131325317503</v>
      </c>
      <c r="AA50" s="357">
        <f t="shared" si="0"/>
        <v>2.4909712697192343E-2</v>
      </c>
      <c r="AB50" s="5">
        <f t="shared" si="0"/>
        <v>2.1546901483071386</v>
      </c>
      <c r="AC50" s="358">
        <f t="shared" si="0"/>
        <v>2.1546901483071386</v>
      </c>
      <c r="AD50" s="5">
        <f t="shared" si="0"/>
        <v>0.11209370713736558</v>
      </c>
      <c r="AE50" s="13">
        <f t="shared" si="0"/>
        <v>15.730483568276966</v>
      </c>
    </row>
    <row r="51" spans="1:31" x14ac:dyDescent="0.25">
      <c r="A51" s="812" t="s">
        <v>2001</v>
      </c>
      <c r="B51" s="812">
        <v>2104008210</v>
      </c>
      <c r="C51" s="812" t="s">
        <v>138</v>
      </c>
      <c r="D51" s="133">
        <v>9.7861214292882012E-2</v>
      </c>
      <c r="E51" s="133">
        <v>5.1700264154730105E-3</v>
      </c>
      <c r="F51" s="133">
        <v>7.3857520221043014E-4</v>
      </c>
      <c r="G51" s="133">
        <v>5.6501002969097901E-2</v>
      </c>
      <c r="H51" s="133">
        <v>5.6501002969097901E-2</v>
      </c>
      <c r="I51" s="133">
        <v>3.1389446093943291E-3</v>
      </c>
      <c r="J51" s="133">
        <v>0.42615789167541829</v>
      </c>
      <c r="K51" s="45">
        <v>59.2899395861728</v>
      </c>
      <c r="L51" s="134">
        <v>5.2755807353943949</v>
      </c>
      <c r="M51" s="45" t="s">
        <v>738</v>
      </c>
      <c r="N51" s="133">
        <v>8.5174516262780775E-2</v>
      </c>
      <c r="O51" s="133">
        <v>4.4997857648261539E-3</v>
      </c>
      <c r="P51" s="133">
        <v>6.4282653783230776E-4</v>
      </c>
      <c r="Q51" s="133">
        <v>4.9176230144171558E-2</v>
      </c>
      <c r="R51" s="133">
        <v>4.9176230144171558E-2</v>
      </c>
      <c r="S51" s="133">
        <v>2.7320127857873092E-3</v>
      </c>
      <c r="T51" s="133">
        <v>0.3709109123292415</v>
      </c>
      <c r="U51" s="45">
        <v>51.603325901644524</v>
      </c>
      <c r="V51" s="134">
        <v>4.5916560548456866</v>
      </c>
      <c r="W51" t="s">
        <v>738</v>
      </c>
      <c r="Y51" s="13">
        <f t="shared" ref="Y51:AE70" si="1">N51/$U51*2000</f>
        <v>3.3011250641139931</v>
      </c>
      <c r="Z51" s="5">
        <f t="shared" si="0"/>
        <v>0.17439905999092792</v>
      </c>
      <c r="AA51" s="357">
        <f t="shared" si="0"/>
        <v>2.4914151427275419E-2</v>
      </c>
      <c r="AB51" s="5">
        <f t="shared" si="0"/>
        <v>1.9059325841865702</v>
      </c>
      <c r="AC51" s="358">
        <f t="shared" si="0"/>
        <v>1.9059325841865702</v>
      </c>
      <c r="AD51" s="5">
        <f t="shared" si="0"/>
        <v>0.10588514356592058</v>
      </c>
      <c r="AE51" s="13">
        <f t="shared" si="0"/>
        <v>14.375465373537915</v>
      </c>
    </row>
    <row r="52" spans="1:31" x14ac:dyDescent="0.25">
      <c r="A52" s="812" t="s">
        <v>2001</v>
      </c>
      <c r="B52" s="812">
        <v>2104008220</v>
      </c>
      <c r="C52" s="812" t="s">
        <v>139</v>
      </c>
      <c r="D52" s="133">
        <v>4.6650248245901367E-2</v>
      </c>
      <c r="E52" s="133">
        <v>7.7750413743168977E-3</v>
      </c>
      <c r="F52" s="133">
        <v>1.5550082748633793E-3</v>
      </c>
      <c r="G52" s="133">
        <v>4.6650248245901367E-2</v>
      </c>
      <c r="H52" s="133">
        <v>4.6650248245901367E-2</v>
      </c>
      <c r="I52" s="133">
        <v>3.4987686184426042E-3</v>
      </c>
      <c r="J52" s="133">
        <v>0.54736291275190962</v>
      </c>
      <c r="K52" s="45">
        <v>124.83000566052118</v>
      </c>
      <c r="L52" s="134">
        <v>11.10729371050669</v>
      </c>
      <c r="M52" s="45" t="s">
        <v>738</v>
      </c>
      <c r="N52" s="133">
        <v>4.06025242645318E-2</v>
      </c>
      <c r="O52" s="133">
        <v>6.7670873774219667E-3</v>
      </c>
      <c r="P52" s="133">
        <v>1.3534174754843934E-3</v>
      </c>
      <c r="Q52" s="133">
        <v>4.06025242645318E-2</v>
      </c>
      <c r="R52" s="133">
        <v>4.06025242645318E-2</v>
      </c>
      <c r="S52" s="133">
        <v>3.0451893198398853E-3</v>
      </c>
      <c r="T52" s="133">
        <v>0.47640295137050642</v>
      </c>
      <c r="U52" s="45">
        <v>108.64648386159396</v>
      </c>
      <c r="V52" s="134">
        <v>9.667347535149549</v>
      </c>
      <c r="W52" t="s">
        <v>738</v>
      </c>
      <c r="Y52" s="13">
        <f t="shared" si="1"/>
        <v>0.74742454281826243</v>
      </c>
      <c r="Z52" s="5">
        <f t="shared" si="0"/>
        <v>0.12457075713637707</v>
      </c>
      <c r="AA52" s="357">
        <f t="shared" si="0"/>
        <v>2.4914151427275419E-2</v>
      </c>
      <c r="AB52" s="5">
        <f t="shared" si="0"/>
        <v>0.74742454281826243</v>
      </c>
      <c r="AC52" s="358">
        <f t="shared" si="0"/>
        <v>0.74742454281826243</v>
      </c>
      <c r="AD52" s="5">
        <f t="shared" si="0"/>
        <v>5.6056840711369689E-2</v>
      </c>
      <c r="AE52" s="13">
        <f t="shared" si="0"/>
        <v>8.7697813024009452</v>
      </c>
    </row>
    <row r="53" spans="1:31" x14ac:dyDescent="0.25">
      <c r="A53" s="812" t="s">
        <v>2001</v>
      </c>
      <c r="B53" s="812">
        <v>2104008230</v>
      </c>
      <c r="C53" s="812" t="s">
        <v>140</v>
      </c>
      <c r="D53" s="133">
        <v>3.5108581352742224E-2</v>
      </c>
      <c r="E53" s="133">
        <v>4.6811441803656321E-3</v>
      </c>
      <c r="F53" s="133">
        <v>9.3622883607312609E-4</v>
      </c>
      <c r="G53" s="133">
        <v>3.0427437172376597E-2</v>
      </c>
      <c r="H53" s="133">
        <v>3.0427437172376597E-2</v>
      </c>
      <c r="I53" s="133">
        <v>2.1065148811645344E-3</v>
      </c>
      <c r="J53" s="133">
        <v>0.25044121364956135</v>
      </c>
      <c r="K53" s="45">
        <v>75.156803211751054</v>
      </c>
      <c r="L53" s="134">
        <v>6.687404067623798</v>
      </c>
      <c r="M53" s="45" t="s">
        <v>738</v>
      </c>
      <c r="N53" s="133">
        <v>3.055711555389734E-2</v>
      </c>
      <c r="O53" s="133">
        <v>4.0742820738529787E-3</v>
      </c>
      <c r="P53" s="133">
        <v>8.1485641477059556E-4</v>
      </c>
      <c r="Q53" s="133">
        <v>2.6482833480044356E-2</v>
      </c>
      <c r="R53" s="133">
        <v>2.6482833480044356E-2</v>
      </c>
      <c r="S53" s="133">
        <v>1.83342693323384E-3</v>
      </c>
      <c r="T53" s="133">
        <v>0.21797409095113437</v>
      </c>
      <c r="U53" s="45">
        <v>65.413138163598873</v>
      </c>
      <c r="V53" s="134">
        <v>5.8204510400709335</v>
      </c>
      <c r="W53" t="s">
        <v>738</v>
      </c>
      <c r="Y53" s="13">
        <f t="shared" si="1"/>
        <v>0.93428067852282848</v>
      </c>
      <c r="Z53" s="5">
        <f t="shared" si="0"/>
        <v>0.12457075713637712</v>
      </c>
      <c r="AA53" s="357">
        <f t="shared" si="0"/>
        <v>2.4914151427275422E-2</v>
      </c>
      <c r="AB53" s="5">
        <f t="shared" si="0"/>
        <v>0.80970992138645115</v>
      </c>
      <c r="AC53" s="358">
        <f t="shared" si="0"/>
        <v>0.80970992138645115</v>
      </c>
      <c r="AD53" s="5">
        <f t="shared" si="0"/>
        <v>5.6056840711369696E-2</v>
      </c>
      <c r="AE53" s="13">
        <f t="shared" si="0"/>
        <v>6.6645355067961773</v>
      </c>
    </row>
    <row r="54" spans="1:31" x14ac:dyDescent="0.25">
      <c r="A54" s="812" t="s">
        <v>2001</v>
      </c>
      <c r="B54" s="812">
        <v>2104008310</v>
      </c>
      <c r="C54" s="812" t="s">
        <v>141</v>
      </c>
      <c r="D54" s="133">
        <v>1.9860170782360564</v>
      </c>
      <c r="E54" s="133">
        <v>5.4414718296793327E-2</v>
      </c>
      <c r="F54" s="133">
        <v>1.4988808137630609E-2</v>
      </c>
      <c r="G54" s="133">
        <v>0.45498637214707049</v>
      </c>
      <c r="H54" s="133">
        <v>0.45498637214707049</v>
      </c>
      <c r="I54" s="133">
        <v>1.487746172419354E-2</v>
      </c>
      <c r="J54" s="133">
        <v>4.5405087508374491</v>
      </c>
      <c r="K54" s="45">
        <v>1203.243117680054</v>
      </c>
      <c r="L54" s="134">
        <v>107.06379962493968</v>
      </c>
      <c r="M54" s="45" t="s">
        <v>738</v>
      </c>
      <c r="N54" s="133">
        <v>1.7285504287951723</v>
      </c>
      <c r="O54" s="133">
        <v>4.7360410781679491E-2</v>
      </c>
      <c r="P54" s="133">
        <v>1.3045663613548463E-2</v>
      </c>
      <c r="Q54" s="133">
        <v>0.39600207736849047</v>
      </c>
      <c r="R54" s="133">
        <v>0.39600207736849047</v>
      </c>
      <c r="S54" s="133">
        <v>1.2948752115253393E-2</v>
      </c>
      <c r="T54" s="133">
        <v>3.9518785785967112</v>
      </c>
      <c r="U54" s="45">
        <v>1047.249283334321</v>
      </c>
      <c r="V54" s="134">
        <v>93.184081233833737</v>
      </c>
      <c r="W54" t="s">
        <v>738</v>
      </c>
      <c r="Y54" s="13">
        <f t="shared" si="1"/>
        <v>3.301125064113994</v>
      </c>
      <c r="Z54" s="5">
        <f t="shared" si="0"/>
        <v>9.0447253648891321E-2</v>
      </c>
      <c r="AA54" s="357">
        <f t="shared" si="0"/>
        <v>2.4914151427275412E-2</v>
      </c>
      <c r="AB54" s="5">
        <f t="shared" si="0"/>
        <v>0.75627089685402404</v>
      </c>
      <c r="AC54" s="358">
        <f t="shared" si="0"/>
        <v>0.75627089685402404</v>
      </c>
      <c r="AD54" s="5">
        <f t="shared" si="0"/>
        <v>2.4729073242286799E-2</v>
      </c>
      <c r="AE54" s="13">
        <f t="shared" si="0"/>
        <v>7.5471592895521216</v>
      </c>
    </row>
    <row r="55" spans="1:31" x14ac:dyDescent="0.25">
      <c r="A55" s="812" t="s">
        <v>2001</v>
      </c>
      <c r="B55" s="812">
        <v>2104008320</v>
      </c>
      <c r="C55" s="812" t="s">
        <v>142</v>
      </c>
      <c r="D55" s="133">
        <v>0.94673043237570609</v>
      </c>
      <c r="E55" s="133">
        <v>0.12692812036986256</v>
      </c>
      <c r="F55" s="133">
        <v>3.1557681079190207E-2</v>
      </c>
      <c r="G55" s="133">
        <v>0.62524643873741625</v>
      </c>
      <c r="H55" s="133">
        <v>0.62524643873741625</v>
      </c>
      <c r="I55" s="133">
        <v>1.9703175171792788E-2</v>
      </c>
      <c r="J55" s="133">
        <v>9.7545540521068084</v>
      </c>
      <c r="K55" s="45">
        <v>2533.3276815484091</v>
      </c>
      <c r="L55" s="134">
        <v>225.41386964636015</v>
      </c>
      <c r="M55" s="45" t="s">
        <v>738</v>
      </c>
      <c r="N55" s="133">
        <v>0.82399658732539605</v>
      </c>
      <c r="O55" s="133">
        <v>0.11047319748446451</v>
      </c>
      <c r="P55" s="133">
        <v>2.7466552910846539E-2</v>
      </c>
      <c r="Q55" s="133">
        <v>0.54418968075648921</v>
      </c>
      <c r="R55" s="133">
        <v>0.54418968075648921</v>
      </c>
      <c r="S55" s="133">
        <v>1.7148861540545478E-2</v>
      </c>
      <c r="T55" s="133">
        <v>8.4899766342647673</v>
      </c>
      <c r="U55" s="45">
        <v>2204.8957188866416</v>
      </c>
      <c r="V55" s="134">
        <v>196.19128420570527</v>
      </c>
      <c r="W55" t="s">
        <v>738</v>
      </c>
      <c r="Y55" s="13">
        <f t="shared" si="1"/>
        <v>0.74742454281826232</v>
      </c>
      <c r="Z55" s="5">
        <f t="shared" si="0"/>
        <v>0.10020718579856264</v>
      </c>
      <c r="AA55" s="357">
        <f t="shared" si="0"/>
        <v>2.4914151427275419E-2</v>
      </c>
      <c r="AB55" s="5">
        <f t="shared" si="0"/>
        <v>0.49361942707320139</v>
      </c>
      <c r="AC55" s="358">
        <f t="shared" si="0"/>
        <v>0.49361942707320139</v>
      </c>
      <c r="AD55" s="5">
        <f t="shared" si="0"/>
        <v>1.5555258594456131E-2</v>
      </c>
      <c r="AE55" s="13">
        <f t="shared" si="0"/>
        <v>7.7010232833612351</v>
      </c>
    </row>
    <row r="56" spans="1:31" x14ac:dyDescent="0.25">
      <c r="A56" s="812" t="s">
        <v>2001</v>
      </c>
      <c r="B56" s="812">
        <v>2104008330</v>
      </c>
      <c r="C56" s="812" t="s">
        <v>143</v>
      </c>
      <c r="D56" s="133">
        <v>0.71250129750594737</v>
      </c>
      <c r="E56" s="133">
        <v>7.6420021886550171E-2</v>
      </c>
      <c r="F56" s="133">
        <v>1.9000034600158606E-2</v>
      </c>
      <c r="G56" s="133">
        <v>0.4176982872440721</v>
      </c>
      <c r="H56" s="133">
        <v>0.4176982872440721</v>
      </c>
      <c r="I56" s="133">
        <v>1.1862754080619393E-2</v>
      </c>
      <c r="J56" s="133">
        <v>5.8729557483664978</v>
      </c>
      <c r="K56" s="45">
        <v>1525.24874949381</v>
      </c>
      <c r="L56" s="134">
        <v>135.71565388119402</v>
      </c>
      <c r="M56" s="45" t="s">
        <v>738</v>
      </c>
      <c r="N56" s="133">
        <v>0.62013284619631825</v>
      </c>
      <c r="O56" s="133">
        <v>6.6512953512896142E-2</v>
      </c>
      <c r="P56" s="133">
        <v>1.653687589856848E-2</v>
      </c>
      <c r="Q56" s="133">
        <v>0.36354800844110946</v>
      </c>
      <c r="R56" s="133">
        <v>0.36354800844110946</v>
      </c>
      <c r="S56" s="133">
        <v>1.0324870252857445E-2</v>
      </c>
      <c r="T56" s="133">
        <v>5.11158755298848</v>
      </c>
      <c r="U56" s="45">
        <v>1327.5086608379775</v>
      </c>
      <c r="V56" s="134">
        <v>118.1215178264805</v>
      </c>
      <c r="W56" t="s">
        <v>738</v>
      </c>
      <c r="Y56" s="13">
        <f t="shared" si="1"/>
        <v>0.93428067852282815</v>
      </c>
      <c r="Z56" s="5">
        <f t="shared" si="0"/>
        <v>0.10020718579856264</v>
      </c>
      <c r="AA56" s="357">
        <f t="shared" si="0"/>
        <v>2.4914151427275405E-2</v>
      </c>
      <c r="AB56" s="5">
        <f t="shared" si="0"/>
        <v>0.54771470675245637</v>
      </c>
      <c r="AC56" s="358">
        <f t="shared" si="0"/>
        <v>0.54771470675245637</v>
      </c>
      <c r="AD56" s="5">
        <f t="shared" si="0"/>
        <v>1.5555258594456124E-2</v>
      </c>
      <c r="AE56" s="13">
        <f t="shared" si="0"/>
        <v>7.7010232833612369</v>
      </c>
    </row>
    <row r="57" spans="1:31" x14ac:dyDescent="0.25">
      <c r="A57" s="812" t="s">
        <v>2001</v>
      </c>
      <c r="B57" s="812">
        <v>2104008410</v>
      </c>
      <c r="C57" s="812" t="s">
        <v>144</v>
      </c>
      <c r="D57" s="133">
        <v>1.1938625425161553E-2</v>
      </c>
      <c r="E57" s="133">
        <v>2.084855901103827E-2</v>
      </c>
      <c r="F57" s="133">
        <v>1.666218502380681E-3</v>
      </c>
      <c r="G57" s="133">
        <v>1.5412521147021305E-2</v>
      </c>
      <c r="H57" s="133">
        <v>1.5412521147021305E-2</v>
      </c>
      <c r="I57" s="133">
        <v>3.7427433109726063E-4</v>
      </c>
      <c r="J57" s="133">
        <v>5.1715256767640397E-2</v>
      </c>
      <c r="K57" s="45">
        <v>159.73105561476771</v>
      </c>
      <c r="L57" s="134">
        <v>14.212766714338185</v>
      </c>
      <c r="M57" s="45" t="s">
        <v>738</v>
      </c>
      <c r="N57" s="133">
        <v>1.0390905659389854E-2</v>
      </c>
      <c r="O57" s="133">
        <v>1.8145758167547949E-2</v>
      </c>
      <c r="P57" s="133">
        <v>1.4502104429608754E-3</v>
      </c>
      <c r="Q57" s="133">
        <v>1.3414446597388096E-2</v>
      </c>
      <c r="R57" s="133">
        <v>1.3414446597388096E-2</v>
      </c>
      <c r="S57" s="133">
        <v>3.2575352075008674E-4</v>
      </c>
      <c r="T57" s="133">
        <v>4.5010906623398163E-2</v>
      </c>
      <c r="U57" s="45">
        <v>139.02280516785788</v>
      </c>
      <c r="V57" s="134">
        <v>12.370227964129793</v>
      </c>
      <c r="W57" t="s">
        <v>738</v>
      </c>
      <c r="Y57" s="13">
        <f t="shared" si="1"/>
        <v>0.14948490856365249</v>
      </c>
      <c r="Z57" s="5">
        <f t="shared" si="0"/>
        <v>0.26104721661512342</v>
      </c>
      <c r="AA57" s="357">
        <f t="shared" si="0"/>
        <v>2.0862914414795083E-2</v>
      </c>
      <c r="AB57" s="5">
        <f t="shared" si="0"/>
        <v>0.1929819583368545</v>
      </c>
      <c r="AC57" s="358">
        <f t="shared" si="0"/>
        <v>0.1929819583368545</v>
      </c>
      <c r="AD57" s="5">
        <f t="shared" si="0"/>
        <v>4.686332150423347E-3</v>
      </c>
      <c r="AE57" s="13">
        <f t="shared" si="0"/>
        <v>0.64753270614920233</v>
      </c>
    </row>
    <row r="58" spans="1:31" x14ac:dyDescent="0.25">
      <c r="A58" s="812" t="s">
        <v>2001</v>
      </c>
      <c r="B58" s="812">
        <v>2104008420</v>
      </c>
      <c r="C58" s="812" t="s">
        <v>145</v>
      </c>
      <c r="D58" s="133">
        <v>4.0269354594792743E-2</v>
      </c>
      <c r="E58" s="133">
        <v>7.0322837488186019E-2</v>
      </c>
      <c r="F58" s="133">
        <v>5.6202067922626192E-3</v>
      </c>
      <c r="G58" s="133">
        <v>5.1986912828429259E-2</v>
      </c>
      <c r="H58" s="133">
        <v>5.1986912828429259E-2</v>
      </c>
      <c r="I58" s="133">
        <v>1.2624389507119912E-3</v>
      </c>
      <c r="J58" s="133">
        <v>0.17443716831485109</v>
      </c>
      <c r="K58" s="45">
        <v>538.77781480564408</v>
      </c>
      <c r="L58" s="134">
        <v>47.940103840305142</v>
      </c>
      <c r="M58" s="45" t="s">
        <v>738</v>
      </c>
      <c r="N58" s="133">
        <v>3.5048847723886632E-2</v>
      </c>
      <c r="O58" s="133">
        <v>6.1206206243836242E-2</v>
      </c>
      <c r="P58" s="133">
        <v>4.8916048946122887E-3</v>
      </c>
      <c r="Q58" s="133">
        <v>4.5247345275163664E-2</v>
      </c>
      <c r="R58" s="133">
        <v>4.5247345275163664E-2</v>
      </c>
      <c r="S58" s="133">
        <v>1.0987767494522853E-3</v>
      </c>
      <c r="T58" s="133">
        <v>0.15182318691652891</v>
      </c>
      <c r="U58" s="45">
        <v>468.92824246485605</v>
      </c>
      <c r="V58" s="134">
        <v>41.725163372333803</v>
      </c>
      <c r="W58" t="s">
        <v>738</v>
      </c>
      <c r="Y58" s="13">
        <f t="shared" si="1"/>
        <v>0.14948490856365249</v>
      </c>
      <c r="Z58" s="5">
        <f t="shared" si="0"/>
        <v>0.26104721661512359</v>
      </c>
      <c r="AA58" s="357">
        <f t="shared" si="0"/>
        <v>2.0862914414795101E-2</v>
      </c>
      <c r="AB58" s="5">
        <f t="shared" si="0"/>
        <v>0.19298195833685464</v>
      </c>
      <c r="AC58" s="358">
        <f t="shared" si="0"/>
        <v>0.19298195833685464</v>
      </c>
      <c r="AD58" s="5">
        <f t="shared" si="0"/>
        <v>4.6863321504233488E-3</v>
      </c>
      <c r="AE58" s="13">
        <f t="shared" si="0"/>
        <v>0.647532706149203</v>
      </c>
    </row>
    <row r="59" spans="1:31" x14ac:dyDescent="0.25">
      <c r="A59" s="812" t="s">
        <v>2001</v>
      </c>
      <c r="B59" s="812">
        <v>2104008610</v>
      </c>
      <c r="C59" s="812" t="s">
        <v>146</v>
      </c>
      <c r="D59" s="133">
        <v>1.1309430905995306</v>
      </c>
      <c r="E59" s="133">
        <v>4.0174225104091035E-2</v>
      </c>
      <c r="F59" s="133">
        <v>9.9642563048416791E-3</v>
      </c>
      <c r="G59" s="133">
        <v>0.245871812714926</v>
      </c>
      <c r="H59" s="133">
        <v>0.245871812714926</v>
      </c>
      <c r="I59" s="133">
        <v>6.0721821595683175E-3</v>
      </c>
      <c r="J59" s="133">
        <v>1.508854113578932</v>
      </c>
      <c r="K59" s="45">
        <v>799.61294702327291</v>
      </c>
      <c r="L59" s="134">
        <v>71.173847222368224</v>
      </c>
      <c r="M59" s="45" t="s">
        <v>738</v>
      </c>
      <c r="N59" s="133">
        <v>1.034037532370184</v>
      </c>
      <c r="O59" s="133">
        <v>3.6731871777470892E-2</v>
      </c>
      <c r="P59" s="133">
        <v>9.1104628402659382E-3</v>
      </c>
      <c r="Q59" s="133">
        <v>0.22480413436572588</v>
      </c>
      <c r="R59" s="133">
        <v>0.22480413436572588</v>
      </c>
      <c r="S59" s="133">
        <v>5.5518834754574205E-3</v>
      </c>
      <c r="T59" s="133">
        <v>1.3795670155999344</v>
      </c>
      <c r="U59" s="45">
        <v>731.09738665272243</v>
      </c>
      <c r="V59" s="134">
        <v>65.075272100646146</v>
      </c>
      <c r="W59" t="s">
        <v>738</v>
      </c>
      <c r="Y59" s="13">
        <f t="shared" si="1"/>
        <v>2.828727201732868</v>
      </c>
      <c r="Z59" s="5">
        <f t="shared" si="0"/>
        <v>0.10048421030649601</v>
      </c>
      <c r="AA59" s="357">
        <f t="shared" si="0"/>
        <v>2.4922706623197073E-2</v>
      </c>
      <c r="AB59" s="5">
        <f t="shared" si="0"/>
        <v>0.61497726149720133</v>
      </c>
      <c r="AC59" s="358">
        <f t="shared" si="0"/>
        <v>0.61497726149720133</v>
      </c>
      <c r="AD59" s="5">
        <f t="shared" si="0"/>
        <v>1.5187808291522763E-2</v>
      </c>
      <c r="AE59" s="13">
        <f t="shared" si="0"/>
        <v>3.7739623770676687</v>
      </c>
    </row>
    <row r="60" spans="1:31" x14ac:dyDescent="0.25">
      <c r="A60" s="812" t="s">
        <v>2001</v>
      </c>
      <c r="B60" s="812">
        <v>2104004000</v>
      </c>
      <c r="C60" s="812" t="s">
        <v>568</v>
      </c>
      <c r="D60" s="133">
        <v>8.5154698810070581E-2</v>
      </c>
      <c r="E60" s="133">
        <v>1.3342187543618484</v>
      </c>
      <c r="F60" s="133">
        <v>3.4518799372218272</v>
      </c>
      <c r="G60" s="133">
        <v>5.4532101676914788E-2</v>
      </c>
      <c r="H60" s="133">
        <v>5.4532101676914788E-2</v>
      </c>
      <c r="I60" s="133">
        <v>2.9256472549664793E-3</v>
      </c>
      <c r="J60" s="133">
        <v>5.3486903061440605E-2</v>
      </c>
      <c r="K60" s="45">
        <v>32057.975910079753</v>
      </c>
      <c r="L60" s="134">
        <v>238.86311026667764</v>
      </c>
      <c r="M60" s="45" t="s">
        <v>1997</v>
      </c>
      <c r="N60" s="133">
        <v>7.8626370890034769E-2</v>
      </c>
      <c r="O60" s="133">
        <v>1.2319317676511896</v>
      </c>
      <c r="P60" s="133">
        <v>3.1872438750235581</v>
      </c>
      <c r="Q60" s="133">
        <v>5.0351434645143987E-2</v>
      </c>
      <c r="R60" s="133">
        <v>5.0351434645143987E-2</v>
      </c>
      <c r="S60" s="133">
        <v>2.7013544687119759E-3</v>
      </c>
      <c r="T60" s="133">
        <v>4.9386365481112089E-2</v>
      </c>
      <c r="U60" s="45">
        <v>29600.272669764145</v>
      </c>
      <c r="V60" s="134">
        <v>220.55082998607227</v>
      </c>
      <c r="W60" t="s">
        <v>1997</v>
      </c>
      <c r="Y60" s="13">
        <f t="shared" si="1"/>
        <v>5.3125436895281996E-3</v>
      </c>
      <c r="Z60" s="5">
        <f t="shared" si="0"/>
        <v>8.323786617746759E-2</v>
      </c>
      <c r="AA60" s="357">
        <f t="shared" si="0"/>
        <v>0.215352332093835</v>
      </c>
      <c r="AB60" s="5">
        <f t="shared" si="0"/>
        <v>3.4020926230572584E-3</v>
      </c>
      <c r="AC60" s="358">
        <f t="shared" si="0"/>
        <v>3.4020926230572584E-3</v>
      </c>
      <c r="AD60" s="5">
        <f t="shared" si="0"/>
        <v>1.8252226922702198E-4</v>
      </c>
      <c r="AE60" s="13">
        <f t="shared" si="0"/>
        <v>3.3368858477819965E-3</v>
      </c>
    </row>
    <row r="61" spans="1:31" x14ac:dyDescent="0.25">
      <c r="A61" s="812" t="s">
        <v>2001</v>
      </c>
      <c r="B61" s="812">
        <v>2103004001</v>
      </c>
      <c r="C61" s="812" t="s">
        <v>148</v>
      </c>
      <c r="D61" s="133">
        <v>2.499079719385491E-2</v>
      </c>
      <c r="E61" s="133">
        <v>0.63090371597389694</v>
      </c>
      <c r="F61" s="133">
        <v>0.44595078661550475</v>
      </c>
      <c r="G61" s="133">
        <v>1.6003822602931754E-2</v>
      </c>
      <c r="H61" s="133">
        <v>1.6003822602931754E-2</v>
      </c>
      <c r="I61" s="133">
        <v>8.5860508264728888E-4</v>
      </c>
      <c r="J61" s="133">
        <v>1.5697082669708901E-2</v>
      </c>
      <c r="K61" s="45">
        <v>9708.9071847094165</v>
      </c>
      <c r="L61" s="134">
        <v>72.340804482949494</v>
      </c>
      <c r="M61" s="45" t="s">
        <v>1997</v>
      </c>
      <c r="N61" s="133">
        <v>2.4541732681403153E-2</v>
      </c>
      <c r="O61" s="133">
        <v>0.61956688396249193</v>
      </c>
      <c r="P61" s="133">
        <v>0.43793740989064345</v>
      </c>
      <c r="Q61" s="133">
        <v>1.5716246790971777E-2</v>
      </c>
      <c r="R61" s="133">
        <v>1.5716246790971777E-2</v>
      </c>
      <c r="S61" s="133">
        <v>8.4317664033563603E-4</v>
      </c>
      <c r="T61" s="133">
        <v>1.541501872747816E-2</v>
      </c>
      <c r="U61" s="45">
        <v>9534.4459365339044</v>
      </c>
      <c r="V61" s="134">
        <v>71.040898447799421</v>
      </c>
      <c r="W61" t="s">
        <v>1997</v>
      </c>
      <c r="Y61" s="13">
        <f t="shared" si="1"/>
        <v>5.1480144404332127E-3</v>
      </c>
      <c r="Z61" s="5">
        <f t="shared" si="0"/>
        <v>0.1299638989169675</v>
      </c>
      <c r="AA61" s="357">
        <f t="shared" si="0"/>
        <v>9.1864259927797884E-2</v>
      </c>
      <c r="AB61" s="5">
        <f t="shared" si="0"/>
        <v>3.2967299611507722E-3</v>
      </c>
      <c r="AC61" s="358">
        <f t="shared" si="0"/>
        <v>3.2967299611507722E-3</v>
      </c>
      <c r="AD61" s="5">
        <f t="shared" si="0"/>
        <v>1.7686956241573897E-4</v>
      </c>
      <c r="AE61" s="13">
        <f t="shared" si="0"/>
        <v>3.2335426368953839E-3</v>
      </c>
    </row>
    <row r="62" spans="1:31" x14ac:dyDescent="0.25">
      <c r="A62" s="812" t="s">
        <v>2001</v>
      </c>
      <c r="B62" s="812">
        <v>2104004000</v>
      </c>
      <c r="C62" s="812" t="s">
        <v>746</v>
      </c>
      <c r="D62" s="133">
        <v>5.6546677906591707E-4</v>
      </c>
      <c r="E62" s="133">
        <v>1.427545865804559E-2</v>
      </c>
      <c r="F62" s="133">
        <v>2.2922087178966665E-2</v>
      </c>
      <c r="G62" s="133">
        <v>3.1723241462323551E-4</v>
      </c>
      <c r="H62" s="133">
        <v>3.1723241462323551E-4</v>
      </c>
      <c r="I62" s="133">
        <v>1.9427657581630582E-5</v>
      </c>
      <c r="J62" s="133">
        <v>3.5517789645199145E-4</v>
      </c>
      <c r="K62" s="45">
        <v>217.29627320655067</v>
      </c>
      <c r="L62" s="134">
        <v>1.5861620731161776</v>
      </c>
      <c r="M62" s="45" t="s">
        <v>1997</v>
      </c>
      <c r="N62" s="133">
        <v>5.3391321081434039E-4</v>
      </c>
      <c r="O62" s="133">
        <v>1.3478874887318547E-2</v>
      </c>
      <c r="P62" s="133">
        <v>2.1643013555110488E-2</v>
      </c>
      <c r="Q62" s="133">
        <v>2.9953055305152325E-4</v>
      </c>
      <c r="R62" s="133">
        <v>2.9953055305152325E-4</v>
      </c>
      <c r="S62" s="133">
        <v>1.8343576354997139E-5</v>
      </c>
      <c r="T62" s="133">
        <v>3.3535864196694061E-4</v>
      </c>
      <c r="U62" s="45">
        <v>205.17094057646713</v>
      </c>
      <c r="V62" s="134">
        <v>1.4976527652576164</v>
      </c>
      <c r="W62" t="s">
        <v>1997</v>
      </c>
      <c r="Y62" s="13">
        <f t="shared" si="1"/>
        <v>5.2045695098361273E-3</v>
      </c>
      <c r="Z62" s="5">
        <f t="shared" si="0"/>
        <v>0.13139165662980401</v>
      </c>
      <c r="AA62" s="357">
        <f t="shared" si="0"/>
        <v>0.2109754285309634</v>
      </c>
      <c r="AB62" s="5">
        <f t="shared" si="0"/>
        <v>2.9198145917734225E-3</v>
      </c>
      <c r="AC62" s="358">
        <f t="shared" si="0"/>
        <v>2.9198145917734225E-3</v>
      </c>
      <c r="AD62" s="5">
        <f t="shared" si="0"/>
        <v>1.7881261647928641E-4</v>
      </c>
      <c r="AE62" s="13">
        <f t="shared" si="0"/>
        <v>3.2690656973612944E-3</v>
      </c>
    </row>
    <row r="63" spans="1:31" x14ac:dyDescent="0.25">
      <c r="A63" s="812" t="s">
        <v>2001</v>
      </c>
      <c r="B63" s="812">
        <v>2104004000</v>
      </c>
      <c r="C63" s="812" t="s">
        <v>747</v>
      </c>
      <c r="D63" s="133">
        <v>2.1965277380011959E-3</v>
      </c>
      <c r="E63" s="133">
        <v>3.4415581799587314E-2</v>
      </c>
      <c r="F63" s="133">
        <v>8.9039714029977748E-2</v>
      </c>
      <c r="G63" s="133">
        <v>1.4066314087024794E-3</v>
      </c>
      <c r="H63" s="133">
        <v>1.4066314087024794E-3</v>
      </c>
      <c r="I63" s="133">
        <v>7.5465775076888044E-5</v>
      </c>
      <c r="J63" s="133">
        <v>1.3796709733690151E-3</v>
      </c>
      <c r="K63" s="45">
        <v>770.17101612945135</v>
      </c>
      <c r="L63" s="134">
        <v>6.1613681290356146</v>
      </c>
      <c r="M63" s="45" t="s">
        <v>1997</v>
      </c>
      <c r="N63" s="133">
        <v>1.8197705960856173E-3</v>
      </c>
      <c r="O63" s="133">
        <v>2.851248482892331E-2</v>
      </c>
      <c r="P63" s="133">
        <v>7.3767269437294641E-2</v>
      </c>
      <c r="Q63" s="133">
        <v>1.1653604153510897E-3</v>
      </c>
      <c r="R63" s="133">
        <v>1.1653604153510897E-3</v>
      </c>
      <c r="S63" s="133">
        <v>6.2521586283585949E-5</v>
      </c>
      <c r="T63" s="133">
        <v>1.1430243407235265E-3</v>
      </c>
      <c r="U63" s="45">
        <v>638.06823144656983</v>
      </c>
      <c r="V63" s="134">
        <v>5.1045458515725617</v>
      </c>
      <c r="W63" t="s">
        <v>1997</v>
      </c>
      <c r="Y63" s="13">
        <f t="shared" si="1"/>
        <v>5.7040000000000007E-3</v>
      </c>
      <c r="Z63" s="5">
        <f t="shared" si="0"/>
        <v>8.9371272298833682E-2</v>
      </c>
      <c r="AA63" s="357">
        <f t="shared" si="0"/>
        <v>0.23122063065279477</v>
      </c>
      <c r="AB63" s="5">
        <f t="shared" si="0"/>
        <v>3.6527767969550574E-3</v>
      </c>
      <c r="AC63" s="358">
        <f t="shared" si="0"/>
        <v>3.6527767969550574E-3</v>
      </c>
      <c r="AD63" s="5">
        <f t="shared" si="0"/>
        <v>1.9597147515663875E-4</v>
      </c>
      <c r="AE63" s="13">
        <f t="shared" si="0"/>
        <v>3.5827652416800834E-3</v>
      </c>
    </row>
    <row r="64" spans="1:31" x14ac:dyDescent="0.25">
      <c r="A64" s="812" t="s">
        <v>2001</v>
      </c>
      <c r="B64" s="812">
        <v>2104006010</v>
      </c>
      <c r="C64" s="812" t="s">
        <v>149</v>
      </c>
      <c r="D64" s="133">
        <v>6.4990552711092716E-4</v>
      </c>
      <c r="E64" s="133">
        <v>1.1107476281532221E-2</v>
      </c>
      <c r="F64" s="133">
        <v>7.089878477573757E-5</v>
      </c>
      <c r="G64" s="133">
        <v>5.8529310125197154E-6</v>
      </c>
      <c r="H64" s="133">
        <v>5.8529310125197154E-6</v>
      </c>
      <c r="I64" s="133">
        <v>2.363292825857918E-3</v>
      </c>
      <c r="J64" s="133">
        <v>4.726585651715836E-3</v>
      </c>
      <c r="K64" s="45">
        <v>291.73882732240412</v>
      </c>
      <c r="L64" s="134">
        <v>287.42741608118655</v>
      </c>
      <c r="M64" s="45" t="s">
        <v>1998</v>
      </c>
      <c r="N64" s="133">
        <v>6.4990552711092716E-4</v>
      </c>
      <c r="O64" s="133">
        <v>1.1107476281532221E-2</v>
      </c>
      <c r="P64" s="133">
        <v>7.089878477573757E-5</v>
      </c>
      <c r="Q64" s="133">
        <v>5.8529310125197154E-6</v>
      </c>
      <c r="R64" s="133">
        <v>5.8529310125197154E-6</v>
      </c>
      <c r="S64" s="133">
        <v>2.363292825857918E-3</v>
      </c>
      <c r="T64" s="133">
        <v>4.726585651715836E-3</v>
      </c>
      <c r="U64" s="45">
        <v>291.73882732240412</v>
      </c>
      <c r="V64" s="134">
        <v>287.42741608118655</v>
      </c>
      <c r="W64" t="s">
        <v>1998</v>
      </c>
      <c r="Y64" s="13">
        <f t="shared" si="1"/>
        <v>4.4553927434054482E-3</v>
      </c>
      <c r="Z64" s="5">
        <f t="shared" si="0"/>
        <v>7.6146712341838646E-2</v>
      </c>
      <c r="AA64" s="357">
        <f t="shared" si="0"/>
        <v>4.8604284473514019E-4</v>
      </c>
      <c r="AB64" s="5">
        <f t="shared" si="0"/>
        <v>4.012445697570156E-5</v>
      </c>
      <c r="AC64" s="358">
        <f t="shared" si="0"/>
        <v>4.012445697570156E-5</v>
      </c>
      <c r="AD64" s="5">
        <f t="shared" si="0"/>
        <v>1.6201428157838E-2</v>
      </c>
      <c r="AE64" s="13">
        <f t="shared" si="0"/>
        <v>3.2402856315676E-2</v>
      </c>
    </row>
    <row r="65" spans="1:31" x14ac:dyDescent="0.25">
      <c r="A65" s="812" t="s">
        <v>2001</v>
      </c>
      <c r="B65" s="812">
        <v>2103006000</v>
      </c>
      <c r="C65" s="812" t="s">
        <v>150</v>
      </c>
      <c r="D65" s="133">
        <v>7.2943884387197486E-3</v>
      </c>
      <c r="E65" s="133">
        <v>0.13262524434035905</v>
      </c>
      <c r="F65" s="133">
        <v>7.9575146604215531E-4</v>
      </c>
      <c r="G65" s="133">
        <v>1.0079518569867291E-2</v>
      </c>
      <c r="H65" s="133">
        <v>1.0079518569867291E-2</v>
      </c>
      <c r="I65" s="133">
        <v>2.6525048868071832E-2</v>
      </c>
      <c r="J65" s="133">
        <v>5.3050097736143664E-2</v>
      </c>
      <c r="K65" s="45">
        <v>2692.2924601092905</v>
      </c>
      <c r="L65" s="134">
        <v>2652.5048868071826</v>
      </c>
      <c r="M65" s="45" t="s">
        <v>1998</v>
      </c>
      <c r="N65" s="133">
        <v>7.2943884387197486E-3</v>
      </c>
      <c r="O65" s="133">
        <v>0.13262524434035905</v>
      </c>
      <c r="P65" s="133">
        <v>7.9575146604215531E-4</v>
      </c>
      <c r="Q65" s="133">
        <v>1.0079518569867291E-2</v>
      </c>
      <c r="R65" s="133">
        <v>1.0079518569867291E-2</v>
      </c>
      <c r="S65" s="133">
        <v>2.6525048868071832E-2</v>
      </c>
      <c r="T65" s="133">
        <v>5.3050097736143664E-2</v>
      </c>
      <c r="U65" s="45">
        <v>2692.2924601092905</v>
      </c>
      <c r="V65" s="134">
        <v>2652.5048868071826</v>
      </c>
      <c r="W65" t="s">
        <v>1998</v>
      </c>
      <c r="Y65" s="13">
        <f t="shared" si="1"/>
        <v>5.4187192118226564E-3</v>
      </c>
      <c r="Z65" s="5">
        <f t="shared" si="0"/>
        <v>9.8522167487684664E-2</v>
      </c>
      <c r="AA65" s="357">
        <f t="shared" si="0"/>
        <v>5.9113300492610876E-4</v>
      </c>
      <c r="AB65" s="5">
        <f t="shared" si="0"/>
        <v>7.4876847290640371E-3</v>
      </c>
      <c r="AC65" s="358">
        <f t="shared" si="0"/>
        <v>7.4876847290640371E-3</v>
      </c>
      <c r="AD65" s="5">
        <f t="shared" si="0"/>
        <v>1.970443349753695E-2</v>
      </c>
      <c r="AE65" s="13">
        <f t="shared" si="0"/>
        <v>3.9408866995073899E-2</v>
      </c>
    </row>
    <row r="66" spans="1:31" x14ac:dyDescent="0.25">
      <c r="A66" s="812" t="s">
        <v>2001</v>
      </c>
      <c r="B66" s="812">
        <v>2104002000</v>
      </c>
      <c r="C66" s="812" t="s">
        <v>151</v>
      </c>
      <c r="D66" s="133">
        <v>0.12760456947496457</v>
      </c>
      <c r="E66" s="133">
        <v>6.0229356792183261E-2</v>
      </c>
      <c r="F66" s="133">
        <v>0.11867224961171698</v>
      </c>
      <c r="G66" s="133">
        <v>0.10195605101049666</v>
      </c>
      <c r="H66" s="133">
        <v>0.10195605101049666</v>
      </c>
      <c r="I66" s="133">
        <v>1.615410047268314E-2</v>
      </c>
      <c r="J66" s="133">
        <v>1.6661966659193492</v>
      </c>
      <c r="K66" s="45">
        <v>387.91789120389217</v>
      </c>
      <c r="L66" s="134">
        <v>25.520913894992908</v>
      </c>
      <c r="M66" s="45" t="s">
        <v>738</v>
      </c>
      <c r="N66" s="133">
        <v>0.11186527832234792</v>
      </c>
      <c r="O66" s="133">
        <v>5.280041136814824E-2</v>
      </c>
      <c r="P66" s="133">
        <v>0.10403470883978358</v>
      </c>
      <c r="Q66" s="133">
        <v>8.9380357379555991E-2</v>
      </c>
      <c r="R66" s="133">
        <v>8.9380357379555991E-2</v>
      </c>
      <c r="S66" s="133">
        <v>1.4161584909217642E-2</v>
      </c>
      <c r="T66" s="133">
        <v>1.4606808716940585</v>
      </c>
      <c r="U66" s="45">
        <v>340.07044609993767</v>
      </c>
      <c r="V66" s="134">
        <v>22.373055664469589</v>
      </c>
      <c r="W66" t="s">
        <v>738</v>
      </c>
      <c r="Y66" s="13">
        <f t="shared" si="1"/>
        <v>0.65789473684210531</v>
      </c>
      <c r="Z66" s="5">
        <f t="shared" si="1"/>
        <v>0.31052631578947382</v>
      </c>
      <c r="AA66" s="357">
        <f t="shared" si="1"/>
        <v>0.61184210526315808</v>
      </c>
      <c r="AB66" s="5">
        <f t="shared" si="1"/>
        <v>0.5256578947368421</v>
      </c>
      <c r="AC66" s="358">
        <f t="shared" si="1"/>
        <v>0.5256578947368421</v>
      </c>
      <c r="AD66" s="5">
        <f t="shared" si="1"/>
        <v>8.3286184210526346E-2</v>
      </c>
      <c r="AE66" s="13">
        <f t="shared" si="1"/>
        <v>8.5904605263157929</v>
      </c>
    </row>
    <row r="67" spans="1:31" x14ac:dyDescent="0.25">
      <c r="A67" s="812" t="s">
        <v>2001</v>
      </c>
      <c r="B67" s="812">
        <v>2103002000</v>
      </c>
      <c r="C67" s="812" t="s">
        <v>152</v>
      </c>
      <c r="D67" s="133">
        <v>3.4838015202202628E-4</v>
      </c>
      <c r="E67" s="133">
        <v>1.6443543175439639E-4</v>
      </c>
      <c r="F67" s="133">
        <v>3.2399354138048429E-4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4.1678042526928352E-5</v>
      </c>
      <c r="T67" s="133">
        <v>4.2988351853972635E-3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2.9937064250054862E-4</v>
      </c>
      <c r="H68" s="133">
        <v>2.9937064250054862E-4</v>
      </c>
      <c r="I68" s="133">
        <v>1.0961826058757603E-5</v>
      </c>
      <c r="J68" s="133">
        <v>2.1293167390460895E-3</v>
      </c>
      <c r="K68" s="45">
        <v>9.6654102131207296</v>
      </c>
      <c r="L68" s="134">
        <v>0.79814120981799463</v>
      </c>
      <c r="M68" s="45" t="s">
        <v>738</v>
      </c>
      <c r="N68" s="133">
        <v>8.7269646582558813E-4</v>
      </c>
      <c r="O68" s="133">
        <v>3.5510956409239786E-5</v>
      </c>
      <c r="P68" s="133">
        <v>7.5369704121824456E-6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1.6802202817214628E-2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2.3729271934124711E-2</v>
      </c>
      <c r="P69" s="135">
        <v>1.6802202817214628E-2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0.37693099395384788</v>
      </c>
      <c r="AA69" s="361">
        <f t="shared" si="1"/>
        <v>0.26689697964980841</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9.7784767946823496</v>
      </c>
      <c r="E70" s="137">
        <v>2.6997666030276726</v>
      </c>
      <c r="F70" s="137">
        <v>4.2403892950148343</v>
      </c>
      <c r="G70" s="137">
        <v>2.8149800874353494</v>
      </c>
      <c r="H70" s="137">
        <v>2.8149800874353494</v>
      </c>
      <c r="I70" s="137">
        <v>0.1474191351650008</v>
      </c>
      <c r="J70" s="137">
        <v>29.920169951625255</v>
      </c>
      <c r="K70" s="87">
        <v>53931.033320156639</v>
      </c>
      <c r="L70" s="87"/>
      <c r="M70" s="87"/>
      <c r="N70" s="137">
        <v>8.8056984857781533</v>
      </c>
      <c r="O70" s="137">
        <v>2.5170623415936921</v>
      </c>
      <c r="P70" s="137">
        <v>3.9252055415799574</v>
      </c>
      <c r="Q70" s="137">
        <v>2.5034373567279267</v>
      </c>
      <c r="R70" s="137">
        <v>2.5034373567279267</v>
      </c>
      <c r="S70" s="137">
        <v>0.13453201371893453</v>
      </c>
      <c r="T70" s="137">
        <v>26.391679057216091</v>
      </c>
      <c r="U70" s="87">
        <v>50180.20813665053</v>
      </c>
      <c r="Y70" s="13">
        <f t="shared" si="1"/>
        <v>0.35096301162396587</v>
      </c>
      <c r="Z70" s="5">
        <f t="shared" si="1"/>
        <v>0.10032092073987571</v>
      </c>
      <c r="AA70" s="357">
        <f t="shared" si="1"/>
        <v>0.1564443706925589</v>
      </c>
      <c r="AB70" s="5">
        <f t="shared" si="1"/>
        <v>9.9777878557640753E-2</v>
      </c>
      <c r="AC70" s="358">
        <f t="shared" si="1"/>
        <v>9.9777878557640753E-2</v>
      </c>
      <c r="AD70" s="5">
        <f t="shared" si="1"/>
        <v>5.3619551896866404E-3</v>
      </c>
      <c r="AE70" s="13">
        <f t="shared" si="1"/>
        <v>1.0518760299019241</v>
      </c>
    </row>
    <row r="71" spans="1:31" x14ac:dyDescent="0.25">
      <c r="R71" s="133"/>
      <c r="T71" s="1" t="s">
        <v>1452</v>
      </c>
      <c r="U71" s="45">
        <f>SUM(U50:U60,U62:U64,U66)</f>
        <v>37804.53641926976</v>
      </c>
      <c r="V71" t="s">
        <v>2002</v>
      </c>
    </row>
    <row r="72" spans="1:31" x14ac:dyDescent="0.25">
      <c r="L72" s="134"/>
      <c r="U72" s="45">
        <f ca="1">U71/OFFSET(Devices!$BH$41,0,MATCH(VALUE(RIGHT(A2,4)),Devices!$BI$39:$CG$39,0))*10^6</f>
        <v>944449.19897488039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7.1298471170813142</v>
      </c>
      <c r="O74" s="133">
        <f t="shared" si="2"/>
        <v>0.18873994842339187</v>
      </c>
      <c r="P74" s="133">
        <f t="shared" si="2"/>
        <v>0.13411788779008676</v>
      </c>
      <c r="Q74" s="133">
        <f>SUM(Q50,Q51,Q54, Q59,Q66)</f>
        <v>1.3894483446817287</v>
      </c>
      <c r="R74" s="133">
        <f t="shared" ref="R74:U74" si="3">SUM(R50,R51,R54, R59,R66)</f>
        <v>1.3894483446817287</v>
      </c>
      <c r="S74" s="133">
        <f t="shared" si="3"/>
        <v>6.8173250099669888E-2</v>
      </c>
      <c r="T74" s="133">
        <f t="shared" si="3"/>
        <v>11.763026071111508</v>
      </c>
      <c r="U74" s="45">
        <f t="shared" si="3"/>
        <v>2754.8707007776402</v>
      </c>
      <c r="Y74" s="13">
        <f t="shared" ref="Y74:AE80" si="4">N74/$U74*2000</f>
        <v>5.1761755025879896</v>
      </c>
      <c r="Z74" s="5">
        <f t="shared" si="4"/>
        <v>0.13702272732445459</v>
      </c>
      <c r="AA74" s="357">
        <f t="shared" si="4"/>
        <v>9.736782764594229E-2</v>
      </c>
      <c r="AB74" s="5">
        <f t="shared" si="4"/>
        <v>1.0087212763121822</v>
      </c>
      <c r="AC74" s="358">
        <f t="shared" si="4"/>
        <v>1.0087212763121822</v>
      </c>
      <c r="AD74" s="5">
        <f t="shared" si="4"/>
        <v>4.9492885513956107E-2</v>
      </c>
      <c r="AE74" s="13">
        <f t="shared" si="4"/>
        <v>8.5398026613670552</v>
      </c>
    </row>
    <row r="75" spans="1:31" x14ac:dyDescent="0.25">
      <c r="M75" s="1" t="s">
        <v>2006</v>
      </c>
      <c r="N75" s="133">
        <f t="shared" ref="N75:U75" si="5">SUM(N52:N53,N55:N56)</f>
        <v>1.5152890733401434</v>
      </c>
      <c r="O75" s="133">
        <f t="shared" si="5"/>
        <v>0.1878275204486356</v>
      </c>
      <c r="P75" s="133">
        <f t="shared" si="5"/>
        <v>4.6171702699670011E-2</v>
      </c>
      <c r="Q75" s="133">
        <f t="shared" si="5"/>
        <v>0.97482304694217481</v>
      </c>
      <c r="R75" s="133">
        <f t="shared" si="5"/>
        <v>0.97482304694217481</v>
      </c>
      <c r="S75" s="133">
        <f t="shared" si="5"/>
        <v>3.2352348046476645E-2</v>
      </c>
      <c r="T75" s="133">
        <f t="shared" si="5"/>
        <v>14.295941229574888</v>
      </c>
      <c r="U75" s="45">
        <f t="shared" si="5"/>
        <v>3706.4640017498118</v>
      </c>
      <c r="Y75" s="13">
        <f t="shared" si="4"/>
        <v>0.81764672346731515</v>
      </c>
      <c r="Z75" s="5">
        <f t="shared" si="4"/>
        <v>0.10135132587822934</v>
      </c>
      <c r="AA75" s="357">
        <f t="shared" si="4"/>
        <v>2.4914151427275415E-2</v>
      </c>
      <c r="AB75" s="5">
        <f t="shared" si="4"/>
        <v>0.52601241856495218</v>
      </c>
      <c r="AC75" s="358">
        <f t="shared" si="4"/>
        <v>0.52601241856495218</v>
      </c>
      <c r="AD75" s="5">
        <f t="shared" si="4"/>
        <v>1.7457257392060565E-2</v>
      </c>
      <c r="AE75" s="13">
        <f t="shared" si="4"/>
        <v>7.7140591263402598</v>
      </c>
    </row>
    <row r="76" spans="1:31" x14ac:dyDescent="0.25">
      <c r="M76" s="1" t="s">
        <v>2007</v>
      </c>
      <c r="N76" s="133">
        <f t="shared" ref="N76:U76" si="6">SUM(N60,N62:N63)</f>
        <v>8.0980054696934728E-2</v>
      </c>
      <c r="O76" s="133">
        <f t="shared" si="6"/>
        <v>1.2739231273674314</v>
      </c>
      <c r="P76" s="133">
        <f t="shared" si="6"/>
        <v>3.2826541580159634</v>
      </c>
      <c r="Q76" s="133">
        <f t="shared" si="6"/>
        <v>5.1816325613546599E-2</v>
      </c>
      <c r="R76" s="133">
        <f t="shared" si="6"/>
        <v>5.1816325613546599E-2</v>
      </c>
      <c r="S76" s="133">
        <f t="shared" si="6"/>
        <v>2.7822196313505589E-3</v>
      </c>
      <c r="T76" s="133">
        <f t="shared" si="6"/>
        <v>5.0864748463802553E-2</v>
      </c>
      <c r="U76" s="45">
        <f t="shared" si="6"/>
        <v>30443.511841787182</v>
      </c>
      <c r="V76" s="134">
        <f t="shared" ref="V76" si="7">SUM(V60,V62:V63)</f>
        <v>227.15302860290245</v>
      </c>
      <c r="W76" t="s">
        <v>1997</v>
      </c>
      <c r="Y76" s="13">
        <f t="shared" si="4"/>
        <v>5.3200205756669897E-3</v>
      </c>
      <c r="Z76" s="5">
        <f t="shared" si="4"/>
        <v>8.3690944329151085E-2</v>
      </c>
      <c r="AA76" s="357">
        <f t="shared" si="4"/>
        <v>0.21565541945854927</v>
      </c>
      <c r="AB76" s="5">
        <f t="shared" si="4"/>
        <v>3.4040964710531718E-3</v>
      </c>
      <c r="AC76" s="358">
        <f t="shared" si="4"/>
        <v>3.4040964710531718E-3</v>
      </c>
      <c r="AD76" s="5">
        <f t="shared" si="4"/>
        <v>1.8277915148617288E-4</v>
      </c>
      <c r="AE76" s="13">
        <f t="shared" si="4"/>
        <v>3.3415821885558485E-3</v>
      </c>
    </row>
    <row r="77" spans="1:31" x14ac:dyDescent="0.25">
      <c r="M77" s="1" t="s">
        <v>2008</v>
      </c>
      <c r="N77" s="133">
        <f t="shared" ref="N77:U77" si="8">N61</f>
        <v>2.4541732681403153E-2</v>
      </c>
      <c r="O77" s="133">
        <f t="shared" si="8"/>
        <v>0.61956688396249193</v>
      </c>
      <c r="P77" s="133">
        <f t="shared" si="8"/>
        <v>0.43793740989064345</v>
      </c>
      <c r="Q77" s="133">
        <f t="shared" si="8"/>
        <v>1.5716246790971777E-2</v>
      </c>
      <c r="R77" s="133">
        <f t="shared" si="8"/>
        <v>1.5716246790971777E-2</v>
      </c>
      <c r="S77" s="133">
        <f t="shared" si="8"/>
        <v>8.4317664033563603E-4</v>
      </c>
      <c r="T77" s="133">
        <f t="shared" si="8"/>
        <v>1.541501872747816E-2</v>
      </c>
      <c r="U77" s="45">
        <f t="shared" si="8"/>
        <v>9534.4459365339044</v>
      </c>
      <c r="Y77" s="13">
        <f t="shared" si="4"/>
        <v>5.1480144404332127E-3</v>
      </c>
      <c r="Z77" s="5">
        <f t="shared" si="4"/>
        <v>0.1299638989169675</v>
      </c>
      <c r="AA77" s="357">
        <f t="shared" si="4"/>
        <v>9.1864259927797884E-2</v>
      </c>
      <c r="AB77" s="5">
        <f t="shared" si="4"/>
        <v>3.2967299611507722E-3</v>
      </c>
      <c r="AC77" s="358">
        <f t="shared" si="4"/>
        <v>3.2967299611507722E-3</v>
      </c>
      <c r="AD77" s="5">
        <f t="shared" si="4"/>
        <v>1.7686956241573897E-4</v>
      </c>
      <c r="AE77" s="13">
        <f t="shared" si="4"/>
        <v>3.2335426368953839E-3</v>
      </c>
    </row>
    <row r="78" spans="1:31" x14ac:dyDescent="0.25">
      <c r="M78" s="1" t="s">
        <v>2009</v>
      </c>
      <c r="N78" s="133">
        <f t="shared" ref="N78:U78" si="9">SUM(N50:N59,N68)</f>
        <v>8.5795833619482114</v>
      </c>
      <c r="O78" s="133">
        <f t="shared" si="9"/>
        <v>0.40315453287167269</v>
      </c>
      <c r="P78" s="133">
        <f t="shared" si="9"/>
        <v>8.2604233957958531E-2</v>
      </c>
      <c r="Q78" s="133">
        <f t="shared" si="9"/>
        <v>2.3338104930079657</v>
      </c>
      <c r="R78" s="133">
        <f t="shared" si="9"/>
        <v>2.3338104930079657</v>
      </c>
      <c r="S78" s="133">
        <f t="shared" si="9"/>
        <v>8.7798475394976899E-2</v>
      </c>
      <c r="T78" s="133">
        <f t="shared" si="9"/>
        <v>24.796993913729434</v>
      </c>
      <c r="U78" s="45">
        <f t="shared" si="9"/>
        <v>6737.1103284074297</v>
      </c>
      <c r="V78" s="134">
        <f t="shared" ref="V78" si="10">V61</f>
        <v>71.040898447799421</v>
      </c>
      <c r="W78" t="s">
        <v>1997</v>
      </c>
      <c r="Y78" s="13">
        <f t="shared" si="4"/>
        <v>2.5469624048672275</v>
      </c>
      <c r="Z78" s="5">
        <f t="shared" si="4"/>
        <v>0.11968173689296653</v>
      </c>
      <c r="AA78" s="357">
        <f t="shared" si="4"/>
        <v>2.4522155622018784E-2</v>
      </c>
      <c r="AB78" s="5">
        <f t="shared" si="4"/>
        <v>0.692822405822067</v>
      </c>
      <c r="AC78" s="358">
        <f t="shared" si="4"/>
        <v>0.692822405822067</v>
      </c>
      <c r="AD78" s="5">
        <f t="shared" si="4"/>
        <v>2.6064134655705239E-2</v>
      </c>
      <c r="AE78" s="13">
        <f t="shared" si="4"/>
        <v>7.361314482018031</v>
      </c>
    </row>
    <row r="79" spans="1:31" x14ac:dyDescent="0.25">
      <c r="M79" s="1" t="s">
        <v>2010</v>
      </c>
      <c r="N79" s="133">
        <f>SUM(N64,N65,N66,N67,N69)</f>
        <v>0.12059333645160486</v>
      </c>
      <c r="O79" s="133">
        <f t="shared" ref="O79:U79" si="11">SUM(O64,O65,O66,O67,O69)</f>
        <v>0.22041779739209513</v>
      </c>
      <c r="P79" s="133">
        <f t="shared" si="11"/>
        <v>0.12200973971539178</v>
      </c>
      <c r="Q79" s="133">
        <f t="shared" si="11"/>
        <v>0.10209429131544233</v>
      </c>
      <c r="R79" s="133">
        <f t="shared" si="11"/>
        <v>0.10209429131544233</v>
      </c>
      <c r="S79" s="133">
        <f t="shared" si="11"/>
        <v>4.3108142052271474E-2</v>
      </c>
      <c r="T79" s="133">
        <f t="shared" si="11"/>
        <v>1.5284053762953764</v>
      </c>
      <c r="U79" s="45">
        <f t="shared" si="11"/>
        <v>3465.1400299220063</v>
      </c>
      <c r="V79" s="134">
        <f t="shared" ref="V79" si="12">SUM(V50:V59,V68)</f>
        <v>599.42956447015945</v>
      </c>
      <c r="W79" t="s">
        <v>2011</v>
      </c>
      <c r="Y79" s="13">
        <f t="shared" si="4"/>
        <v>6.9603730533406002E-2</v>
      </c>
      <c r="Z79" s="5">
        <f t="shared" si="4"/>
        <v>0.12722013857376857</v>
      </c>
      <c r="AA79" s="357">
        <f t="shared" si="4"/>
        <v>7.0421246276813801E-2</v>
      </c>
      <c r="AB79" s="5">
        <f t="shared" si="4"/>
        <v>5.8926502498509579E-2</v>
      </c>
      <c r="AC79" s="358">
        <f t="shared" si="4"/>
        <v>5.8926502498509579E-2</v>
      </c>
      <c r="AD79" s="5">
        <f t="shared" si="4"/>
        <v>2.4881038965251717E-2</v>
      </c>
      <c r="AE79" s="13">
        <f t="shared" si="4"/>
        <v>0.8821608149150485</v>
      </c>
    </row>
    <row r="80" spans="1:31" x14ac:dyDescent="0.25">
      <c r="M80" s="1" t="s">
        <v>2012</v>
      </c>
      <c r="N80" s="133">
        <f>SUM(N76:N79)</f>
        <v>8.8056984857781551</v>
      </c>
      <c r="O80" s="133">
        <f t="shared" ref="O80:U80" si="13">SUM(O76:O79)</f>
        <v>2.5170623415936912</v>
      </c>
      <c r="P80" s="133">
        <f t="shared" si="13"/>
        <v>3.9252055415799574</v>
      </c>
      <c r="Q80" s="133">
        <f t="shared" si="13"/>
        <v>2.5034373567279262</v>
      </c>
      <c r="R80" s="133">
        <f t="shared" si="13"/>
        <v>2.5034373567279262</v>
      </c>
      <c r="S80" s="133">
        <f t="shared" si="13"/>
        <v>0.13453201371893456</v>
      </c>
      <c r="T80" s="133">
        <f t="shared" si="13"/>
        <v>26.391679057216088</v>
      </c>
      <c r="U80" s="45">
        <f t="shared" si="13"/>
        <v>50180.208136650515</v>
      </c>
      <c r="Y80" s="13">
        <f t="shared" si="4"/>
        <v>0.35096301162396604</v>
      </c>
      <c r="Z80" s="5">
        <f t="shared" si="4"/>
        <v>0.10032092073987571</v>
      </c>
      <c r="AA80" s="357">
        <f t="shared" si="4"/>
        <v>0.15644437069255893</v>
      </c>
      <c r="AB80" s="5">
        <f t="shared" si="4"/>
        <v>9.9777878557640767E-2</v>
      </c>
      <c r="AC80" s="358">
        <f t="shared" si="4"/>
        <v>9.9777878557640767E-2</v>
      </c>
      <c r="AD80" s="5">
        <f t="shared" si="4"/>
        <v>5.361955189686643E-3</v>
      </c>
      <c r="AE80" s="13">
        <f t="shared" si="4"/>
        <v>1.0518760299019243</v>
      </c>
    </row>
    <row r="82" spans="20:23" x14ac:dyDescent="0.25">
      <c r="V82" s="38">
        <f>V79/Lookup!B37</f>
        <v>356.219040245028</v>
      </c>
      <c r="W82" t="s">
        <v>2013</v>
      </c>
    </row>
    <row r="83" spans="20:23" x14ac:dyDescent="0.25">
      <c r="T83" s="1" t="s">
        <v>2014</v>
      </c>
      <c r="U83" s="13">
        <v>1.930282922015446</v>
      </c>
      <c r="V83" s="45">
        <f>V82*365/U83</f>
        <v>67357.975458685018</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226E-6D95-4714-9F34-4575080403DC}">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2017</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5.6294236223523981</v>
      </c>
      <c r="E6" s="133">
        <v>6.3914853354219384E-2</v>
      </c>
      <c r="F6" s="133">
        <v>9.8330543621875984E-3</v>
      </c>
      <c r="G6" s="133">
        <v>0.85055920232922733</v>
      </c>
      <c r="H6" s="133">
        <v>0.85055920232922733</v>
      </c>
      <c r="I6" s="133">
        <v>4.424874462984419E-2</v>
      </c>
      <c r="J6" s="133">
        <v>6.2095738297214664</v>
      </c>
      <c r="K6" s="45">
        <v>791.06992288940364</v>
      </c>
      <c r="L6" s="134">
        <v>70.236682748066045</v>
      </c>
      <c r="M6" s="45" t="s">
        <v>738</v>
      </c>
      <c r="N6" s="133">
        <v>5.1870653434757541</v>
      </c>
      <c r="O6" s="133">
        <v>5.8892444947759692E-2</v>
      </c>
      <c r="P6" s="133">
        <v>9.0603761458091792E-3</v>
      </c>
      <c r="Q6" s="133">
        <v>0.78372253661249414</v>
      </c>
      <c r="R6" s="133">
        <v>0.78372253661249414</v>
      </c>
      <c r="S6" s="133">
        <v>4.0771692656141313E-2</v>
      </c>
      <c r="T6" s="133">
        <v>5.7216275360784961</v>
      </c>
      <c r="U6" s="45">
        <v>728.90790541909553</v>
      </c>
      <c r="V6" s="134">
        <v>64.717507042213583</v>
      </c>
      <c r="W6" t="s">
        <v>738</v>
      </c>
    </row>
    <row r="7" spans="1:23" x14ac:dyDescent="0.25">
      <c r="A7" s="812" t="s">
        <v>1996</v>
      </c>
      <c r="B7" s="812">
        <v>2104008210</v>
      </c>
      <c r="C7" s="812" t="s">
        <v>138</v>
      </c>
      <c r="D7" s="133">
        <v>0.11611836953776916</v>
      </c>
      <c r="E7" s="133">
        <v>6.1345553718066713E-3</v>
      </c>
      <c r="F7" s="133">
        <v>8.7636505311523892E-4</v>
      </c>
      <c r="G7" s="133">
        <v>6.7041926563315798E-2</v>
      </c>
      <c r="H7" s="133">
        <v>6.7041926563315798E-2</v>
      </c>
      <c r="I7" s="133">
        <v>3.724551475739767E-3</v>
      </c>
      <c r="J7" s="133">
        <v>0.50566263564749281</v>
      </c>
      <c r="K7" s="45">
        <v>70.503630861307144</v>
      </c>
      <c r="L7" s="134">
        <v>6.2598020858956334</v>
      </c>
      <c r="M7" s="45" t="s">
        <v>738</v>
      </c>
      <c r="N7" s="133">
        <v>0.10090961614452185</v>
      </c>
      <c r="O7" s="133">
        <v>5.3310740604653045E-3</v>
      </c>
      <c r="P7" s="133">
        <v>7.6158200863790096E-4</v>
      </c>
      <c r="Q7" s="133">
        <v>5.8261023660799438E-2</v>
      </c>
      <c r="R7" s="133">
        <v>5.8261023660799438E-2</v>
      </c>
      <c r="S7" s="133">
        <v>3.2367235367110787E-3</v>
      </c>
      <c r="T7" s="133">
        <v>0.43943281898406883</v>
      </c>
      <c r="U7" s="45">
        <v>61.269326768280855</v>
      </c>
      <c r="V7" s="134">
        <v>5.4399164244460412</v>
      </c>
      <c r="W7" t="s">
        <v>738</v>
      </c>
    </row>
    <row r="8" spans="1:23" x14ac:dyDescent="0.25">
      <c r="A8" s="812" t="s">
        <v>1996</v>
      </c>
      <c r="B8" s="812">
        <v>2104008220</v>
      </c>
      <c r="C8" s="812" t="s">
        <v>139</v>
      </c>
      <c r="D8" s="133">
        <v>5.5353398217952106E-2</v>
      </c>
      <c r="E8" s="133">
        <v>9.2255663696586849E-3</v>
      </c>
      <c r="F8" s="133">
        <v>1.8451132739317375E-3</v>
      </c>
      <c r="G8" s="133">
        <v>5.5353398217952106E-2</v>
      </c>
      <c r="H8" s="133">
        <v>5.5353398217952106E-2</v>
      </c>
      <c r="I8" s="133">
        <v>4.151504866346409E-3</v>
      </c>
      <c r="J8" s="133">
        <v>0.64947987242397143</v>
      </c>
      <c r="K8" s="45">
        <v>148.43949413564201</v>
      </c>
      <c r="L8" s="134">
        <v>13.179489391794373</v>
      </c>
      <c r="M8" s="45" t="s">
        <v>738</v>
      </c>
      <c r="N8" s="133">
        <v>4.8103415408804737E-2</v>
      </c>
      <c r="O8" s="133">
        <v>8.0172359014674555E-3</v>
      </c>
      <c r="P8" s="133">
        <v>1.6034471802934911E-3</v>
      </c>
      <c r="Q8" s="133">
        <v>4.8103415408804737E-2</v>
      </c>
      <c r="R8" s="133">
        <v>4.8103415408804737E-2</v>
      </c>
      <c r="S8" s="133">
        <v>3.607756155660355E-3</v>
      </c>
      <c r="T8" s="133">
        <v>0.56441340746330904</v>
      </c>
      <c r="U8" s="45">
        <v>128.99743971209062</v>
      </c>
      <c r="V8" s="134">
        <v>11.453288750098986</v>
      </c>
      <c r="W8" t="s">
        <v>738</v>
      </c>
    </row>
    <row r="9" spans="1:23" x14ac:dyDescent="0.25">
      <c r="A9" s="812" t="s">
        <v>1996</v>
      </c>
      <c r="B9" s="812">
        <v>2104008230</v>
      </c>
      <c r="C9" s="812" t="s">
        <v>140</v>
      </c>
      <c r="D9" s="133">
        <v>4.1658498240820199E-2</v>
      </c>
      <c r="E9" s="133">
        <v>5.5544664321093623E-3</v>
      </c>
      <c r="F9" s="133">
        <v>1.1108932864218721E-3</v>
      </c>
      <c r="G9" s="133">
        <v>3.6104031808710836E-2</v>
      </c>
      <c r="H9" s="133">
        <v>3.6104031808710836E-2</v>
      </c>
      <c r="I9" s="133">
        <v>2.4995098944492126E-3</v>
      </c>
      <c r="J9" s="133">
        <v>0.29716395411785085</v>
      </c>
      <c r="K9" s="45">
        <v>89.371443913445205</v>
      </c>
      <c r="L9" s="134">
        <v>7.9350175897950432</v>
      </c>
      <c r="M9" s="45" t="s">
        <v>738</v>
      </c>
      <c r="N9" s="133">
        <v>3.6202222640329774E-2</v>
      </c>
      <c r="O9" s="133">
        <v>4.8269630187106356E-3</v>
      </c>
      <c r="P9" s="133">
        <v>9.6539260374212707E-4</v>
      </c>
      <c r="Q9" s="133">
        <v>3.1375259621619127E-2</v>
      </c>
      <c r="R9" s="133">
        <v>3.1375259621619127E-2</v>
      </c>
      <c r="S9" s="133">
        <v>2.1721333584197866E-3</v>
      </c>
      <c r="T9" s="133">
        <v>0.25824252150101895</v>
      </c>
      <c r="U9" s="45">
        <v>77.665903642007692</v>
      </c>
      <c r="V9" s="134">
        <v>6.8957184145252874</v>
      </c>
      <c r="W9" t="s">
        <v>738</v>
      </c>
    </row>
    <row r="10" spans="1:23" x14ac:dyDescent="0.25">
      <c r="A10" s="812" t="s">
        <v>1996</v>
      </c>
      <c r="B10" s="812">
        <v>2104008310</v>
      </c>
      <c r="C10" s="812" t="s">
        <v>141</v>
      </c>
      <c r="D10" s="133">
        <v>2.3565318156460764</v>
      </c>
      <c r="E10" s="133">
        <v>6.4566421060036211E-2</v>
      </c>
      <c r="F10" s="133">
        <v>1.7785145778460954E-2</v>
      </c>
      <c r="G10" s="133">
        <v>0.53986940666303673</v>
      </c>
      <c r="H10" s="133">
        <v>0.53986940666303673</v>
      </c>
      <c r="I10" s="133">
        <v>1.7653026387999524E-2</v>
      </c>
      <c r="J10" s="133">
        <v>5.3875938167013571</v>
      </c>
      <c r="K10" s="45">
        <v>1430.8162429820907</v>
      </c>
      <c r="L10" s="134">
        <v>127.03780490357831</v>
      </c>
      <c r="M10" s="45" t="s">
        <v>738</v>
      </c>
      <c r="N10" s="133">
        <v>2.0478820181147301</v>
      </c>
      <c r="O10" s="133">
        <v>5.6109750687419094E-2</v>
      </c>
      <c r="P10" s="133">
        <v>1.545571334426211E-2</v>
      </c>
      <c r="Q10" s="133">
        <v>0.46915931399482885</v>
      </c>
      <c r="R10" s="133">
        <v>0.46915931399482885</v>
      </c>
      <c r="S10" s="133">
        <v>1.5340898461571443E-2</v>
      </c>
      <c r="T10" s="133">
        <v>4.6819467595874258</v>
      </c>
      <c r="U10" s="45">
        <v>1243.4132379520447</v>
      </c>
      <c r="V10" s="134">
        <v>110.39886436308488</v>
      </c>
      <c r="W10" t="s">
        <v>738</v>
      </c>
    </row>
    <row r="11" spans="1:23" x14ac:dyDescent="0.25">
      <c r="A11" s="812" t="s">
        <v>1996</v>
      </c>
      <c r="B11" s="812">
        <v>2104008320</v>
      </c>
      <c r="C11" s="812" t="s">
        <v>142</v>
      </c>
      <c r="D11" s="133">
        <v>1.1233540784630371</v>
      </c>
      <c r="E11" s="133">
        <v>0.15060804724670349</v>
      </c>
      <c r="F11" s="133">
        <v>3.7445135948767881E-2</v>
      </c>
      <c r="G11" s="133">
        <v>0.74189348201012706</v>
      </c>
      <c r="H11" s="133">
        <v>0.74189348201012706</v>
      </c>
      <c r="I11" s="133">
        <v>2.3379033176702008E-2</v>
      </c>
      <c r="J11" s="133">
        <v>11.574380312804564</v>
      </c>
      <c r="K11" s="45">
        <v>3012.4638506508763</v>
      </c>
      <c r="L11" s="134">
        <v>267.4674660810785</v>
      </c>
      <c r="M11" s="45" t="s">
        <v>738</v>
      </c>
      <c r="N11" s="133">
        <v>0.976221327455145</v>
      </c>
      <c r="O11" s="133">
        <v>0.13088196377918959</v>
      </c>
      <c r="P11" s="133">
        <v>3.2540710915171495E-2</v>
      </c>
      <c r="Q11" s="133">
        <v>0.64472302520071123</v>
      </c>
      <c r="R11" s="133">
        <v>0.64472302520071123</v>
      </c>
      <c r="S11" s="133">
        <v>2.0316934117161262E-2</v>
      </c>
      <c r="T11" s="133">
        <v>10.058410905398746</v>
      </c>
      <c r="U11" s="45">
        <v>2617.9025078332002</v>
      </c>
      <c r="V11" s="134">
        <v>232.43556933178124</v>
      </c>
      <c r="W11" t="s">
        <v>738</v>
      </c>
    </row>
    <row r="12" spans="1:23" x14ac:dyDescent="0.25">
      <c r="A12" s="812" t="s">
        <v>1996</v>
      </c>
      <c r="B12" s="812">
        <v>2104008330</v>
      </c>
      <c r="C12" s="812" t="s">
        <v>143</v>
      </c>
      <c r="D12" s="133">
        <v>0.84542675622566232</v>
      </c>
      <c r="E12" s="133">
        <v>9.0677071663439163E-2</v>
      </c>
      <c r="F12" s="133">
        <v>2.2544713499350985E-2</v>
      </c>
      <c r="G12" s="133">
        <v>0.49562479296793549</v>
      </c>
      <c r="H12" s="133">
        <v>0.49562479296793549</v>
      </c>
      <c r="I12" s="133">
        <v>1.4075889738568608E-2</v>
      </c>
      <c r="J12" s="133">
        <v>6.9686244013568226</v>
      </c>
      <c r="K12" s="45">
        <v>1813.7238046884534</v>
      </c>
      <c r="L12" s="134">
        <v>161.03499801537518</v>
      </c>
      <c r="M12" s="45" t="s">
        <v>738</v>
      </c>
      <c r="N12" s="133">
        <v>0.73469589513389588</v>
      </c>
      <c r="O12" s="133">
        <v>7.8800525111495934E-2</v>
      </c>
      <c r="P12" s="133">
        <v>1.9591890536903887E-2</v>
      </c>
      <c r="Q12" s="133">
        <v>0.43070969571127959</v>
      </c>
      <c r="R12" s="133">
        <v>0.43070969571127959</v>
      </c>
      <c r="S12" s="133">
        <v>1.2232281903937423E-2</v>
      </c>
      <c r="T12" s="133">
        <v>6.0558998218411864</v>
      </c>
      <c r="U12" s="45">
        <v>1576.1689873174028</v>
      </c>
      <c r="V12" s="134">
        <v>139.94323120666806</v>
      </c>
      <c r="W12" t="s">
        <v>738</v>
      </c>
    </row>
    <row r="13" spans="1:23" x14ac:dyDescent="0.25">
      <c r="A13" s="812" t="s">
        <v>1996</v>
      </c>
      <c r="B13" s="812">
        <v>2104008410</v>
      </c>
      <c r="C13" s="812" t="s">
        <v>144</v>
      </c>
      <c r="D13" s="133">
        <v>1.4165915770705379E-2</v>
      </c>
      <c r="E13" s="133">
        <v>2.473810178083816E-2</v>
      </c>
      <c r="F13" s="133">
        <v>1.9770710713956563E-3</v>
      </c>
      <c r="G13" s="133">
        <v>1.828790741040983E-2</v>
      </c>
      <c r="H13" s="133">
        <v>1.828790741040983E-2</v>
      </c>
      <c r="I13" s="133">
        <v>4.4409958941224968E-4</v>
      </c>
      <c r="J13" s="133">
        <v>6.1363343378442743E-2</v>
      </c>
      <c r="K13" s="45">
        <v>189.94148856877669</v>
      </c>
      <c r="L13" s="134">
        <v>16.86432474208188</v>
      </c>
      <c r="M13" s="45" t="s">
        <v>738</v>
      </c>
      <c r="N13" s="133">
        <v>1.2310516660264939E-2</v>
      </c>
      <c r="O13" s="133">
        <v>2.1497996955912563E-2</v>
      </c>
      <c r="P13" s="133">
        <v>1.7181216348381659E-3</v>
      </c>
      <c r="Q13" s="133">
        <v>1.5892625122253045E-2</v>
      </c>
      <c r="R13" s="133">
        <v>1.5892625122253045E-2</v>
      </c>
      <c r="S13" s="133">
        <v>3.8593307222552318E-4</v>
      </c>
      <c r="T13" s="133">
        <v>5.332620024128959E-2</v>
      </c>
      <c r="U13" s="45">
        <v>165.06365683303903</v>
      </c>
      <c r="V13" s="134">
        <v>14.655498032174133</v>
      </c>
      <c r="W13" t="s">
        <v>738</v>
      </c>
    </row>
    <row r="14" spans="1:23" x14ac:dyDescent="0.25">
      <c r="A14" s="812" t="s">
        <v>1996</v>
      </c>
      <c r="B14" s="812">
        <v>2104008420</v>
      </c>
      <c r="C14" s="812" t="s">
        <v>145</v>
      </c>
      <c r="D14" s="133">
        <v>4.7782074151370105E-2</v>
      </c>
      <c r="E14" s="133">
        <v>8.3442386132251509E-2</v>
      </c>
      <c r="F14" s="133">
        <v>6.668722168411711E-3</v>
      </c>
      <c r="G14" s="133">
        <v>6.1685680057808327E-2</v>
      </c>
      <c r="H14" s="133">
        <v>6.1685680057808327E-2</v>
      </c>
      <c r="I14" s="133">
        <v>1.4979617170794808E-3</v>
      </c>
      <c r="J14" s="133">
        <v>0.20698046430207853</v>
      </c>
      <c r="K14" s="45">
        <v>640.67854405737341</v>
      </c>
      <c r="L14" s="134">
        <v>56.88389147458679</v>
      </c>
      <c r="M14" s="45" t="s">
        <v>738</v>
      </c>
      <c r="N14" s="133">
        <v>4.1523755288654124E-2</v>
      </c>
      <c r="O14" s="133">
        <v>7.2513411859866872E-2</v>
      </c>
      <c r="P14" s="133">
        <v>5.7952776711182328E-3</v>
      </c>
      <c r="Q14" s="133">
        <v>5.3606318457843645E-2</v>
      </c>
      <c r="R14" s="133">
        <v>5.3606318457843645E-2</v>
      </c>
      <c r="S14" s="133">
        <v>1.301764246874933E-3</v>
      </c>
      <c r="T14" s="133">
        <v>0.17987093071733218</v>
      </c>
      <c r="U14" s="45">
        <v>556.76484444463472</v>
      </c>
      <c r="V14" s="134">
        <v>49.4334503348338</v>
      </c>
      <c r="W14" t="s">
        <v>738</v>
      </c>
    </row>
    <row r="15" spans="1:23" x14ac:dyDescent="0.25">
      <c r="A15" s="812" t="s">
        <v>1996</v>
      </c>
      <c r="B15" s="812">
        <v>2104008610</v>
      </c>
      <c r="C15" s="812" t="s">
        <v>146</v>
      </c>
      <c r="D15" s="133">
        <v>1.2112634298112155</v>
      </c>
      <c r="E15" s="133">
        <v>4.3027425600869869E-2</v>
      </c>
      <c r="F15" s="133">
        <v>1.0671924491728768E-2</v>
      </c>
      <c r="G15" s="133">
        <v>0.26333379428058173</v>
      </c>
      <c r="H15" s="133">
        <v>0.26333379428058173</v>
      </c>
      <c r="I15" s="133">
        <v>6.5034326220059276E-3</v>
      </c>
      <c r="J15" s="133">
        <v>1.6160139479074309</v>
      </c>
      <c r="K15" s="45">
        <v>858.55708448206303</v>
      </c>
      <c r="L15" s="134">
        <v>76.228661739048036</v>
      </c>
      <c r="M15" s="45" t="s">
        <v>738</v>
      </c>
      <c r="N15" s="133">
        <v>1.1073690888574403</v>
      </c>
      <c r="O15" s="133">
        <v>3.9336811391179186E-2</v>
      </c>
      <c r="P15" s="133">
        <v>9.7565558489642323E-3</v>
      </c>
      <c r="Q15" s="133">
        <v>0.24074672499879704</v>
      </c>
      <c r="R15" s="133">
        <v>0.24074672499879704</v>
      </c>
      <c r="S15" s="133">
        <v>5.945610244502221E-3</v>
      </c>
      <c r="T15" s="133">
        <v>1.4774027259735552</v>
      </c>
      <c r="U15" s="45">
        <v>784.91561205904043</v>
      </c>
      <c r="V15" s="134">
        <v>69.690260282974208</v>
      </c>
      <c r="W15" t="s">
        <v>738</v>
      </c>
    </row>
    <row r="16" spans="1:23" x14ac:dyDescent="0.25">
      <c r="A16" s="812" t="s">
        <v>1996</v>
      </c>
      <c r="B16" s="812">
        <v>2104004000</v>
      </c>
      <c r="C16" s="812" t="s">
        <v>568</v>
      </c>
      <c r="D16" s="133">
        <v>9.8405498410167089E-2</v>
      </c>
      <c r="E16" s="133">
        <v>1.541834606261832</v>
      </c>
      <c r="F16" s="133">
        <v>3.9890219849406434</v>
      </c>
      <c r="G16" s="133">
        <v>6.3017763198712454E-2</v>
      </c>
      <c r="H16" s="133">
        <v>6.3017763198712454E-2</v>
      </c>
      <c r="I16" s="133">
        <v>3.3809029956109239E-3</v>
      </c>
      <c r="J16" s="133">
        <v>6.1809922737403822E-2</v>
      </c>
      <c r="K16" s="45">
        <v>37046.47120517381</v>
      </c>
      <c r="L16" s="134">
        <v>276.03225360495674</v>
      </c>
      <c r="M16" s="45" t="s">
        <v>1997</v>
      </c>
      <c r="N16" s="133">
        <v>9.0799298114766364E-2</v>
      </c>
      <c r="O16" s="133">
        <v>1.4226593261496776</v>
      </c>
      <c r="P16" s="133">
        <v>3.6806926670630067</v>
      </c>
      <c r="Q16" s="133">
        <v>5.8146838943447306E-2</v>
      </c>
      <c r="R16" s="133">
        <v>5.8146838943447306E-2</v>
      </c>
      <c r="S16" s="133">
        <v>3.1195779093159486E-3</v>
      </c>
      <c r="T16" s="133">
        <v>5.7032357863697897E-2</v>
      </c>
      <c r="U16" s="45">
        <v>34182.984054792832</v>
      </c>
      <c r="V16" s="134">
        <v>254.69648840046668</v>
      </c>
      <c r="W16" t="s">
        <v>1997</v>
      </c>
    </row>
    <row r="17" spans="1:23" x14ac:dyDescent="0.25">
      <c r="A17" s="812" t="s">
        <v>1996</v>
      </c>
      <c r="B17" s="812">
        <v>2103004001</v>
      </c>
      <c r="C17" s="812" t="s">
        <v>148</v>
      </c>
      <c r="D17" s="133">
        <v>3.0520565446904999E-2</v>
      </c>
      <c r="E17" s="133">
        <v>0.77050515854739143</v>
      </c>
      <c r="F17" s="133">
        <v>0.54462729073500948</v>
      </c>
      <c r="G17" s="133">
        <v>1.9545023368583946E-2</v>
      </c>
      <c r="H17" s="133">
        <v>1.9545023368583946E-2</v>
      </c>
      <c r="I17" s="133">
        <v>1.0485905037245285E-3</v>
      </c>
      <c r="J17" s="133">
        <v>1.9170410420686079E-2</v>
      </c>
      <c r="K17" s="45">
        <v>11857.218273201528</v>
      </c>
      <c r="L17" s="134">
        <v>88.347812219712765</v>
      </c>
      <c r="M17" s="45" t="s">
        <v>1997</v>
      </c>
      <c r="N17" s="133">
        <v>2.999629974862315E-2</v>
      </c>
      <c r="O17" s="133">
        <v>0.75726983937618064</v>
      </c>
      <c r="P17" s="133">
        <v>0.53527197890839018</v>
      </c>
      <c r="Q17" s="133">
        <v>1.9209289571577737E-2</v>
      </c>
      <c r="R17" s="133">
        <v>1.9209289571577737E-2</v>
      </c>
      <c r="S17" s="133">
        <v>1.0305783855151455E-3</v>
      </c>
      <c r="T17" s="133">
        <v>1.8841111521455834E-2</v>
      </c>
      <c r="U17" s="45">
        <v>11653.541417066783</v>
      </c>
      <c r="V17" s="134">
        <v>86.83022148091672</v>
      </c>
      <c r="W17" t="s">
        <v>1997</v>
      </c>
    </row>
    <row r="18" spans="1:23" x14ac:dyDescent="0.25">
      <c r="A18" s="812" t="s">
        <v>1996</v>
      </c>
      <c r="B18" s="812">
        <v>2104004000</v>
      </c>
      <c r="C18" s="812" t="s">
        <v>746</v>
      </c>
      <c r="D18" s="133">
        <v>6.5611886216738048E-4</v>
      </c>
      <c r="E18" s="133">
        <v>1.6564010545600073E-2</v>
      </c>
      <c r="F18" s="133">
        <v>2.6596812253424928E-2</v>
      </c>
      <c r="G18" s="133">
        <v>3.6808912323555706E-4</v>
      </c>
      <c r="H18" s="133">
        <v>3.6808912323555706E-4</v>
      </c>
      <c r="I18" s="133">
        <v>2.2542177646745589E-5</v>
      </c>
      <c r="J18" s="133">
        <v>4.1211778642776578E-4</v>
      </c>
      <c r="K18" s="45">
        <v>252.13184718827574</v>
      </c>
      <c r="L18" s="134">
        <v>1.8404456161777853</v>
      </c>
      <c r="M18" s="45" t="s">
        <v>1997</v>
      </c>
      <c r="N18" s="133">
        <v>6.1896839943036271E-4</v>
      </c>
      <c r="O18" s="133">
        <v>1.5626130700906772E-2</v>
      </c>
      <c r="P18" s="133">
        <v>2.5090859689768479E-2</v>
      </c>
      <c r="Q18" s="133">
        <v>3.4724734890903948E-4</v>
      </c>
      <c r="R18" s="133">
        <v>3.4724734890903948E-4</v>
      </c>
      <c r="S18" s="133">
        <v>2.1265804753105145E-5</v>
      </c>
      <c r="T18" s="133">
        <v>3.887830412302696E-4</v>
      </c>
      <c r="U18" s="45">
        <v>237.85575281896936</v>
      </c>
      <c r="V18" s="134">
        <v>1.7362367445451967</v>
      </c>
      <c r="W18" t="s">
        <v>1997</v>
      </c>
    </row>
    <row r="19" spans="1:23" x14ac:dyDescent="0.25">
      <c r="A19" s="812" t="s">
        <v>1996</v>
      </c>
      <c r="B19" s="812">
        <v>2104004000</v>
      </c>
      <c r="C19" s="812" t="s">
        <v>747</v>
      </c>
      <c r="D19" s="133">
        <v>2.8218244937245722E-3</v>
      </c>
      <c r="E19" s="133">
        <v>4.4212841025276527E-2</v>
      </c>
      <c r="F19" s="133">
        <v>0.1143871036168476</v>
      </c>
      <c r="G19" s="133">
        <v>1.8070643470821464E-3</v>
      </c>
      <c r="H19" s="133">
        <v>1.8070643470821464E-3</v>
      </c>
      <c r="I19" s="133">
        <v>9.6949002220957152E-5</v>
      </c>
      <c r="J19" s="133">
        <v>1.772428947096406E-3</v>
      </c>
      <c r="K19" s="45">
        <v>989.41952795391762</v>
      </c>
      <c r="L19" s="134">
        <v>7.9153562236313411</v>
      </c>
      <c r="M19" s="45" t="s">
        <v>1997</v>
      </c>
      <c r="N19" s="133">
        <v>2.3303396688882845E-3</v>
      </c>
      <c r="O19" s="133">
        <v>3.651217059905134E-2</v>
      </c>
      <c r="P19" s="133">
        <v>9.4463991563038932E-2</v>
      </c>
      <c r="Q19" s="133">
        <v>1.4923230490075476E-3</v>
      </c>
      <c r="R19" s="133">
        <v>1.4923230490075476E-3</v>
      </c>
      <c r="S19" s="133">
        <v>8.0063131579254961E-5</v>
      </c>
      <c r="T19" s="133">
        <v>1.4637201905682365E-3</v>
      </c>
      <c r="U19" s="45">
        <v>817.0896454727507</v>
      </c>
      <c r="V19" s="134">
        <v>6.5367171637820061</v>
      </c>
      <c r="W19" t="s">
        <v>1997</v>
      </c>
    </row>
    <row r="20" spans="1:23" x14ac:dyDescent="0.25">
      <c r="A20" s="812" t="s">
        <v>1996</v>
      </c>
      <c r="B20" s="812">
        <v>2104006010</v>
      </c>
      <c r="C20" s="812" t="s">
        <v>149</v>
      </c>
      <c r="D20" s="133">
        <v>6.6969683938961262E-4</v>
      </c>
      <c r="E20" s="133">
        <v>1.1445727800477033E-2</v>
      </c>
      <c r="F20" s="133">
        <v>7.3057837024321452E-5</v>
      </c>
      <c r="G20" s="133">
        <v>6.0311679724811471E-6</v>
      </c>
      <c r="H20" s="133">
        <v>6.0311679724811471E-6</v>
      </c>
      <c r="I20" s="133">
        <v>2.4352612341440468E-3</v>
      </c>
      <c r="J20" s="133">
        <v>4.8705224682880936E-3</v>
      </c>
      <c r="K20" s="45">
        <v>300.62303278688501</v>
      </c>
      <c r="L20" s="134">
        <v>296.18032786885243</v>
      </c>
      <c r="M20" s="45" t="s">
        <v>1998</v>
      </c>
      <c r="N20" s="133">
        <v>6.6969683938961262E-4</v>
      </c>
      <c r="O20" s="133">
        <v>1.1445727800477033E-2</v>
      </c>
      <c r="P20" s="133">
        <v>7.3057837024321452E-5</v>
      </c>
      <c r="Q20" s="133">
        <v>6.0311679724811471E-6</v>
      </c>
      <c r="R20" s="133">
        <v>6.0311679724811471E-6</v>
      </c>
      <c r="S20" s="133">
        <v>2.4352612341440468E-3</v>
      </c>
      <c r="T20" s="133">
        <v>4.8705224682880936E-3</v>
      </c>
      <c r="U20" s="45">
        <v>300.62303278688501</v>
      </c>
      <c r="V20" s="134">
        <v>296.18032786885243</v>
      </c>
      <c r="W20" t="s">
        <v>1998</v>
      </c>
    </row>
    <row r="21" spans="1:23" x14ac:dyDescent="0.25">
      <c r="A21" s="812" t="s">
        <v>1996</v>
      </c>
      <c r="B21" s="812">
        <v>2103006000</v>
      </c>
      <c r="C21" s="812" t="s">
        <v>150</v>
      </c>
      <c r="D21" s="133">
        <v>5.2612909836065582E-3</v>
      </c>
      <c r="E21" s="133">
        <v>9.5659836065573781E-2</v>
      </c>
      <c r="F21" s="133">
        <v>5.7395901639344267E-4</v>
      </c>
      <c r="G21" s="133">
        <v>7.2701475409836071E-3</v>
      </c>
      <c r="H21" s="133">
        <v>7.2701475409836071E-3</v>
      </c>
      <c r="I21" s="133">
        <v>1.9131967213114758E-2</v>
      </c>
      <c r="J21" s="133">
        <v>3.8263934426229516E-2</v>
      </c>
      <c r="K21" s="45">
        <v>1941.894672131147</v>
      </c>
      <c r="L21" s="134">
        <v>1913.1967213114763</v>
      </c>
      <c r="M21" s="45" t="s">
        <v>1998</v>
      </c>
      <c r="N21" s="133">
        <v>5.2612909836065582E-3</v>
      </c>
      <c r="O21" s="133">
        <v>9.5659836065573781E-2</v>
      </c>
      <c r="P21" s="133">
        <v>5.7395901639344267E-4</v>
      </c>
      <c r="Q21" s="133">
        <v>7.2701475409836071E-3</v>
      </c>
      <c r="R21" s="133">
        <v>7.2701475409836071E-3</v>
      </c>
      <c r="S21" s="133">
        <v>1.9131967213114758E-2</v>
      </c>
      <c r="T21" s="133">
        <v>3.8263934426229516E-2</v>
      </c>
      <c r="U21" s="45">
        <v>1941.894672131147</v>
      </c>
      <c r="V21" s="134">
        <v>1913.1967213114763</v>
      </c>
      <c r="W21" t="s">
        <v>1998</v>
      </c>
    </row>
    <row r="22" spans="1:23" x14ac:dyDescent="0.25">
      <c r="A22" s="812" t="s">
        <v>1996</v>
      </c>
      <c r="B22" s="812">
        <v>2104002000</v>
      </c>
      <c r="C22" s="812" t="s">
        <v>151</v>
      </c>
      <c r="D22" s="133">
        <v>0.14877775719442674</v>
      </c>
      <c r="E22" s="133">
        <v>7.0223101395769441E-2</v>
      </c>
      <c r="F22" s="133">
        <v>0.13836331419081691</v>
      </c>
      <c r="G22" s="133">
        <v>0.11887342799834695</v>
      </c>
      <c r="H22" s="133">
        <v>0.11887342799834695</v>
      </c>
      <c r="I22" s="133">
        <v>1.8834520172028458E-2</v>
      </c>
      <c r="J22" s="133">
        <v>1.9426655645662281</v>
      </c>
      <c r="K22" s="45">
        <v>452.28438187105741</v>
      </c>
      <c r="L22" s="134">
        <v>29.755551438885355</v>
      </c>
      <c r="M22" s="45" t="s">
        <v>738</v>
      </c>
      <c r="N22" s="133">
        <v>0.1302490430186112</v>
      </c>
      <c r="O22" s="133">
        <v>6.1477548304784489E-2</v>
      </c>
      <c r="P22" s="133">
        <v>0.12113161000730842</v>
      </c>
      <c r="Q22" s="133">
        <v>0.10406898537187033</v>
      </c>
      <c r="R22" s="133">
        <v>0.10406898537187033</v>
      </c>
      <c r="S22" s="133">
        <v>1.6488877600941088E-2</v>
      </c>
      <c r="T22" s="133">
        <v>1.7007268792155159</v>
      </c>
      <c r="U22" s="45">
        <v>395.95709077657807</v>
      </c>
      <c r="V22" s="134">
        <v>26.049808603722237</v>
      </c>
      <c r="W22" t="s">
        <v>738</v>
      </c>
    </row>
    <row r="23" spans="1:23" x14ac:dyDescent="0.25">
      <c r="A23" s="812" t="s">
        <v>1996</v>
      </c>
      <c r="B23" s="812">
        <v>2103002000</v>
      </c>
      <c r="C23" s="812"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3.7940475162931149E-4</v>
      </c>
      <c r="O23" s="133">
        <v>1.7907904276903502E-4</v>
      </c>
      <c r="P23" s="133">
        <v>3.5284641901525964E-4</v>
      </c>
      <c r="Q23" s="133">
        <v>3.0314439655181985E-4</v>
      </c>
      <c r="R23" s="133">
        <v>3.0314439655181985E-4</v>
      </c>
      <c r="S23" s="133">
        <v>4.8030744532512695E-5</v>
      </c>
      <c r="T23" s="133">
        <v>4.9540775443997339E-3</v>
      </c>
      <c r="U23" s="45">
        <v>17.43676104884138</v>
      </c>
      <c r="V23" s="134">
        <v>1.1533904449531067</v>
      </c>
      <c r="W23" t="s">
        <v>738</v>
      </c>
    </row>
    <row r="24" spans="1:23" x14ac:dyDescent="0.25">
      <c r="A24" s="812" t="s">
        <v>1996</v>
      </c>
      <c r="B24" s="812">
        <v>2103008000</v>
      </c>
      <c r="C24" s="812" t="s">
        <v>153</v>
      </c>
      <c r="D24" s="133">
        <v>1.2267802496122727E-3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4.0923651207836463E-5</v>
      </c>
      <c r="P24" s="133">
        <v>8.6857798127814725E-6</v>
      </c>
      <c r="Q24" s="133">
        <v>2.9694131175428135E-4</v>
      </c>
      <c r="R24" s="133">
        <v>2.9694131175428135E-4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2.7346164289603587E-2</v>
      </c>
      <c r="F25" s="135">
        <v>1.9363248899601757E-2</v>
      </c>
      <c r="G25" s="135">
        <v>2.7260720241086738E-3</v>
      </c>
      <c r="H25" s="135">
        <v>2.7260720241086738E-3</v>
      </c>
      <c r="I25" s="135">
        <v>1.9058091583470191E-5</v>
      </c>
      <c r="J25" s="135">
        <v>6.5100227441401174E-3</v>
      </c>
      <c r="K25" s="88">
        <v>145.09904851683226</v>
      </c>
      <c r="L25" s="136">
        <v>1.0476465596883191</v>
      </c>
      <c r="M25" s="88" t="s">
        <v>1997</v>
      </c>
      <c r="N25" s="135">
        <v>5.2382327984415965E-4</v>
      </c>
      <c r="O25" s="135">
        <v>2.7346164289603587E-2</v>
      </c>
      <c r="P25" s="135">
        <v>1.9363248899601757E-2</v>
      </c>
      <c r="Q25" s="135">
        <v>2.7260720241086738E-3</v>
      </c>
      <c r="R25" s="135">
        <v>2.7260720241086738E-3</v>
      </c>
      <c r="S25" s="135">
        <v>1.9058091583470191E-5</v>
      </c>
      <c r="T25" s="135">
        <v>6.5100227441401174E-3</v>
      </c>
      <c r="U25" s="88">
        <v>145.09904851683226</v>
      </c>
      <c r="V25" s="136">
        <v>1.0476465596883191</v>
      </c>
      <c r="W25" s="3" t="s">
        <v>1997</v>
      </c>
    </row>
    <row r="26" spans="1:23" x14ac:dyDescent="0.25">
      <c r="A26" s="810" t="s">
        <v>1996</v>
      </c>
      <c r="B26" s="810" t="s">
        <v>341</v>
      </c>
      <c r="C26" s="810"/>
      <c r="D26" s="137">
        <v>11.73034279555811</v>
      </c>
      <c r="E26" s="137">
        <v>3.1199186166311663</v>
      </c>
      <c r="F26" s="137">
        <v>4.944148921593353</v>
      </c>
      <c r="G26" s="137">
        <v>3.3440330263855871</v>
      </c>
      <c r="H26" s="137">
        <v>3.3440330263855871</v>
      </c>
      <c r="I26" s="137">
        <v>0.16321100368671307</v>
      </c>
      <c r="J26" s="137">
        <v>35.560007719675234</v>
      </c>
      <c r="K26" s="87">
        <v>62060.303017294114</v>
      </c>
      <c r="L26" s="87"/>
      <c r="M26" s="87"/>
      <c r="N26" s="137">
        <v>10.554117079667293</v>
      </c>
      <c r="O26" s="137">
        <v>2.9044249236936985</v>
      </c>
      <c r="P26" s="137">
        <v>4.5742719730731016</v>
      </c>
      <c r="Q26" s="137">
        <v>2.970166959515613</v>
      </c>
      <c r="R26" s="137">
        <v>2.970166959515613</v>
      </c>
      <c r="S26" s="137">
        <v>0.14769785360698998</v>
      </c>
      <c r="T26" s="137">
        <v>31.325783976342901</v>
      </c>
      <c r="U26" s="87">
        <v>57642.649306878768</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3.5413372207971769</v>
      </c>
      <c r="E28" s="133">
        <v>4.0207322157522547E-2</v>
      </c>
      <c r="F28" s="133">
        <v>6.1857418703880809E-3</v>
      </c>
      <c r="G28" s="133">
        <v>0.53506667178856904</v>
      </c>
      <c r="H28" s="133">
        <v>0.53506667178856904</v>
      </c>
      <c r="I28" s="133">
        <v>2.7835838416746361E-2</v>
      </c>
      <c r="J28" s="133">
        <v>3.9062959911500732</v>
      </c>
      <c r="K28" s="45">
        <v>494.79033168826129</v>
      </c>
      <c r="L28" s="134">
        <v>44.184235468339153</v>
      </c>
      <c r="M28" s="45" t="s">
        <v>738</v>
      </c>
      <c r="N28" s="133">
        <v>3.275015115791243</v>
      </c>
      <c r="O28" s="133">
        <v>3.7183577733874387E-2</v>
      </c>
      <c r="P28" s="133">
        <v>5.7205504205960567E-3</v>
      </c>
      <c r="Q28" s="133">
        <v>0.4948276113815589</v>
      </c>
      <c r="R28" s="133">
        <v>0.4948276113815589</v>
      </c>
      <c r="S28" s="133">
        <v>2.5742476892682255E-2</v>
      </c>
      <c r="T28" s="133">
        <v>3.6125275906064105</v>
      </c>
      <c r="U28" s="45">
        <v>457.58020611819808</v>
      </c>
      <c r="V28" s="134">
        <v>40.861411951589439</v>
      </c>
      <c r="W28" t="s">
        <v>738</v>
      </c>
    </row>
    <row r="29" spans="1:23" x14ac:dyDescent="0.25">
      <c r="A29" s="812" t="s">
        <v>1999</v>
      </c>
      <c r="B29" s="812">
        <v>2104008210</v>
      </c>
      <c r="C29" s="812" t="s">
        <v>138</v>
      </c>
      <c r="D29" s="133">
        <v>8.3507423320692553E-2</v>
      </c>
      <c r="E29" s="133">
        <v>4.4117129301497948E-3</v>
      </c>
      <c r="F29" s="133">
        <v>6.3024470430711368E-4</v>
      </c>
      <c r="G29" s="133">
        <v>4.8213719879494195E-2</v>
      </c>
      <c r="H29" s="133">
        <v>4.8213719879494195E-2</v>
      </c>
      <c r="I29" s="133">
        <v>2.678539993305233E-3</v>
      </c>
      <c r="J29" s="133">
        <v>0.36365119438520449</v>
      </c>
      <c r="K29" s="45">
        <v>50.412544335498239</v>
      </c>
      <c r="L29" s="134">
        <v>4.5017850730380111</v>
      </c>
      <c r="M29" s="45" t="s">
        <v>738</v>
      </c>
      <c r="N29" s="133">
        <v>7.2866249639823827E-2</v>
      </c>
      <c r="O29" s="133">
        <v>3.8495377168208814E-3</v>
      </c>
      <c r="P29" s="133">
        <v>5.499339595458402E-4</v>
      </c>
      <c r="Q29" s="133">
        <v>4.2069947905256769E-2</v>
      </c>
      <c r="R29" s="133">
        <v>4.2069947905256769E-2</v>
      </c>
      <c r="S29" s="133">
        <v>2.3372193280698211E-3</v>
      </c>
      <c r="T29" s="133">
        <v>0.31731189465794973</v>
      </c>
      <c r="U29" s="45">
        <v>43.988580828584425</v>
      </c>
      <c r="V29" s="134">
        <v>3.9281321577495869</v>
      </c>
      <c r="W29" t="s">
        <v>738</v>
      </c>
    </row>
    <row r="30" spans="1:23" x14ac:dyDescent="0.25">
      <c r="A30" s="812" t="s">
        <v>1999</v>
      </c>
      <c r="B30" s="812">
        <v>2104008220</v>
      </c>
      <c r="C30" s="812" t="s">
        <v>139</v>
      </c>
      <c r="D30" s="133">
        <v>3.9807824340160815E-2</v>
      </c>
      <c r="E30" s="133">
        <v>6.6346373900268048E-3</v>
      </c>
      <c r="F30" s="133">
        <v>1.3269274780053602E-3</v>
      </c>
      <c r="G30" s="133">
        <v>3.9807824340160815E-2</v>
      </c>
      <c r="H30" s="133">
        <v>3.9807824340160815E-2</v>
      </c>
      <c r="I30" s="133">
        <v>2.9855868255120621E-3</v>
      </c>
      <c r="J30" s="133">
        <v>0.46707847225788679</v>
      </c>
      <c r="K30" s="45">
        <v>106.13939293385836</v>
      </c>
      <c r="L30" s="134">
        <v>9.4781317045032125</v>
      </c>
      <c r="M30" s="45" t="s">
        <v>738</v>
      </c>
      <c r="N30" s="133">
        <v>3.4735197790130519E-2</v>
      </c>
      <c r="O30" s="133">
        <v>5.7891996316884221E-3</v>
      </c>
      <c r="P30" s="133">
        <v>1.1578399263376836E-3</v>
      </c>
      <c r="Q30" s="133">
        <v>3.4735197790130519E-2</v>
      </c>
      <c r="R30" s="133">
        <v>3.4735197790130519E-2</v>
      </c>
      <c r="S30" s="133">
        <v>2.6051398342597895E-3</v>
      </c>
      <c r="T30" s="133">
        <v>0.40755965407086464</v>
      </c>
      <c r="U30" s="45">
        <v>92.614275409231212</v>
      </c>
      <c r="V30" s="134">
        <v>8.2703535019541796</v>
      </c>
      <c r="W30" t="s">
        <v>738</v>
      </c>
    </row>
    <row r="31" spans="1:23" x14ac:dyDescent="0.25">
      <c r="A31" s="812" t="s">
        <v>1999</v>
      </c>
      <c r="B31" s="812">
        <v>2104008230</v>
      </c>
      <c r="C31" s="812" t="s">
        <v>140</v>
      </c>
      <c r="D31" s="133">
        <v>2.9959031127878274E-2</v>
      </c>
      <c r="E31" s="133">
        <v>3.994537483717104E-3</v>
      </c>
      <c r="F31" s="133">
        <v>7.9890749674342066E-4</v>
      </c>
      <c r="G31" s="133">
        <v>2.5964493644161174E-2</v>
      </c>
      <c r="H31" s="133">
        <v>2.5964493644161174E-2</v>
      </c>
      <c r="I31" s="133">
        <v>1.7975418676726967E-3</v>
      </c>
      <c r="J31" s="133">
        <v>0.21370775537886499</v>
      </c>
      <c r="K31" s="45">
        <v>63.903685860903167</v>
      </c>
      <c r="L31" s="134">
        <v>5.7065292560159957</v>
      </c>
      <c r="M31" s="45" t="s">
        <v>738</v>
      </c>
      <c r="N31" s="133">
        <v>2.6141415389478298E-2</v>
      </c>
      <c r="O31" s="133">
        <v>3.48552205193044E-3</v>
      </c>
      <c r="P31" s="133">
        <v>6.9710441038608757E-4</v>
      </c>
      <c r="Q31" s="133">
        <v>2.2655893337547851E-2</v>
      </c>
      <c r="R31" s="133">
        <v>2.2655893337547851E-2</v>
      </c>
      <c r="S31" s="133">
        <v>1.5684849233686981E-3</v>
      </c>
      <c r="T31" s="133">
        <v>0.18647542977827852</v>
      </c>
      <c r="U31" s="45">
        <v>55.760574828940044</v>
      </c>
      <c r="V31" s="134">
        <v>4.9793583469696632</v>
      </c>
      <c r="W31" t="s">
        <v>738</v>
      </c>
    </row>
    <row r="32" spans="1:23" x14ac:dyDescent="0.25">
      <c r="A32" s="812" t="s">
        <v>1999</v>
      </c>
      <c r="B32" s="812">
        <v>2104008310</v>
      </c>
      <c r="C32" s="812" t="s">
        <v>141</v>
      </c>
      <c r="D32" s="133">
        <v>1.6947180767452041</v>
      </c>
      <c r="E32" s="133">
        <v>4.6433440955341465E-2</v>
      </c>
      <c r="F32" s="133">
        <v>1.2790325107510983E-2</v>
      </c>
      <c r="G32" s="133">
        <v>0.38825125825967949</v>
      </c>
      <c r="H32" s="133">
        <v>0.38825125825967949</v>
      </c>
      <c r="I32" s="133">
        <v>1.2695310426267582E-2</v>
      </c>
      <c r="J32" s="133">
        <v>3.8745297520293565</v>
      </c>
      <c r="K32" s="45">
        <v>1023.0832994570164</v>
      </c>
      <c r="L32" s="134">
        <v>91.360219696884982</v>
      </c>
      <c r="M32" s="45" t="s">
        <v>738</v>
      </c>
      <c r="N32" s="133">
        <v>1.4787637498406538</v>
      </c>
      <c r="O32" s="133">
        <v>4.0516526145161755E-2</v>
      </c>
      <c r="P32" s="133">
        <v>1.1160481130872861E-2</v>
      </c>
      <c r="Q32" s="133">
        <v>0.33877722461489662</v>
      </c>
      <c r="R32" s="133">
        <v>0.33877722461489662</v>
      </c>
      <c r="S32" s="133">
        <v>1.1077573968759351E-2</v>
      </c>
      <c r="T32" s="133">
        <v>3.3808066507344656</v>
      </c>
      <c r="U32" s="45">
        <v>892.71396644922061</v>
      </c>
      <c r="V32" s="134">
        <v>79.718380844027251</v>
      </c>
      <c r="W32" t="s">
        <v>738</v>
      </c>
    </row>
    <row r="33" spans="1:31" x14ac:dyDescent="0.25">
      <c r="A33" s="812" t="s">
        <v>1999</v>
      </c>
      <c r="B33" s="812">
        <v>2104008320</v>
      </c>
      <c r="C33" s="812" t="s">
        <v>142</v>
      </c>
      <c r="D33" s="133">
        <v>0.8078687716910008</v>
      </c>
      <c r="E33" s="133">
        <v>0.10831094173125227</v>
      </c>
      <c r="F33" s="133">
        <v>2.6928959056366674E-2</v>
      </c>
      <c r="G33" s="133">
        <v>0.53353843416593083</v>
      </c>
      <c r="H33" s="133">
        <v>0.53353843416593083</v>
      </c>
      <c r="I33" s="133">
        <v>1.6813212483838311E-2</v>
      </c>
      <c r="J33" s="133">
        <v>8.3238050990862202</v>
      </c>
      <c r="K33" s="45">
        <v>2154.0162623506544</v>
      </c>
      <c r="L33" s="134">
        <v>192.35129638364958</v>
      </c>
      <c r="M33" s="45" t="s">
        <v>738</v>
      </c>
      <c r="N33" s="133">
        <v>0.70492376909044918</v>
      </c>
      <c r="O33" s="133">
        <v>9.4509108353223542E-2</v>
      </c>
      <c r="P33" s="133">
        <v>2.3497458969681632E-2</v>
      </c>
      <c r="Q33" s="133">
        <v>0.46555076411682306</v>
      </c>
      <c r="R33" s="133">
        <v>0.46555076411682306</v>
      </c>
      <c r="S33" s="133">
        <v>1.4670740508780485E-2</v>
      </c>
      <c r="T33" s="133">
        <v>7.263120285414943</v>
      </c>
      <c r="U33" s="45">
        <v>1879.5345426708986</v>
      </c>
      <c r="V33" s="134">
        <v>167.84037901648097</v>
      </c>
      <c r="W33" t="s">
        <v>738</v>
      </c>
    </row>
    <row r="34" spans="1:31" x14ac:dyDescent="0.25">
      <c r="A34" s="812" t="s">
        <v>1999</v>
      </c>
      <c r="B34" s="812">
        <v>2104008330</v>
      </c>
      <c r="C34" s="812" t="s">
        <v>143</v>
      </c>
      <c r="D34" s="133">
        <v>0.60799518887330595</v>
      </c>
      <c r="E34" s="133">
        <v>6.5211117233407417E-2</v>
      </c>
      <c r="F34" s="133">
        <v>1.6213205036621492E-2</v>
      </c>
      <c r="G34" s="133">
        <v>0.35643240220611111</v>
      </c>
      <c r="H34" s="133">
        <v>0.35643240220611111</v>
      </c>
      <c r="I34" s="133">
        <v>1.0122784945165044E-2</v>
      </c>
      <c r="J34" s="133">
        <v>5.011540122062514</v>
      </c>
      <c r="K34" s="45">
        <v>1296.8755027109532</v>
      </c>
      <c r="L34" s="134">
        <v>115.80956400135119</v>
      </c>
      <c r="M34" s="45" t="s">
        <v>738</v>
      </c>
      <c r="N34" s="133">
        <v>0.53051965263160439</v>
      </c>
      <c r="O34" s="133">
        <v>5.6901402997113514E-2</v>
      </c>
      <c r="P34" s="133">
        <v>1.4147190736842782E-2</v>
      </c>
      <c r="Q34" s="133">
        <v>0.31101297784189835</v>
      </c>
      <c r="R34" s="133">
        <v>0.31101297784189835</v>
      </c>
      <c r="S34" s="133">
        <v>8.8328599486540722E-3</v>
      </c>
      <c r="T34" s="133">
        <v>4.3729302030052368</v>
      </c>
      <c r="U34" s="45">
        <v>1131.617410459512</v>
      </c>
      <c r="V34" s="134">
        <v>101.05219710581804</v>
      </c>
      <c r="W34" t="s">
        <v>738</v>
      </c>
    </row>
    <row r="35" spans="1:31" x14ac:dyDescent="0.25">
      <c r="A35" s="812" t="s">
        <v>1999</v>
      </c>
      <c r="B35" s="812">
        <v>2104008410</v>
      </c>
      <c r="C35" s="812" t="s">
        <v>144</v>
      </c>
      <c r="D35" s="133">
        <v>1.0187527862288784E-2</v>
      </c>
      <c r="E35" s="133">
        <v>1.779059717929379E-2</v>
      </c>
      <c r="F35" s="133">
        <v>1.4218259483951086E-3</v>
      </c>
      <c r="G35" s="133">
        <v>1.3151890022654754E-2</v>
      </c>
      <c r="H35" s="133">
        <v>1.3151890022654754E-2</v>
      </c>
      <c r="I35" s="133">
        <v>3.1937765365825125E-4</v>
      </c>
      <c r="J35" s="133">
        <v>4.4129922873313208E-2</v>
      </c>
      <c r="K35" s="45">
        <v>135.81476012860279</v>
      </c>
      <c r="L35" s="134">
        <v>12.128109539090561</v>
      </c>
      <c r="M35" s="45" t="s">
        <v>738</v>
      </c>
      <c r="N35" s="133">
        <v>8.8893528132875776E-3</v>
      </c>
      <c r="O35" s="133">
        <v>1.5523579147325274E-2</v>
      </c>
      <c r="P35" s="133">
        <v>1.2406456860999222E-3</v>
      </c>
      <c r="Q35" s="133">
        <v>1.1475972596424279E-2</v>
      </c>
      <c r="R35" s="133">
        <v>1.1475972596424279E-2</v>
      </c>
      <c r="S35" s="133">
        <v>2.7868003724019499E-4</v>
      </c>
      <c r="T35" s="133">
        <v>3.8506540482326337E-2</v>
      </c>
      <c r="U35" s="45">
        <v>118.50817355840175</v>
      </c>
      <c r="V35" s="134">
        <v>10.582650286558648</v>
      </c>
      <c r="W35" t="s">
        <v>738</v>
      </c>
    </row>
    <row r="36" spans="1:31" x14ac:dyDescent="0.25">
      <c r="A36" s="812" t="s">
        <v>1999</v>
      </c>
      <c r="B36" s="812">
        <v>2104008420</v>
      </c>
      <c r="C36" s="812" t="s">
        <v>145</v>
      </c>
      <c r="D36" s="133">
        <v>3.4362848093568259E-2</v>
      </c>
      <c r="E36" s="133">
        <v>6.0008237192549919E-2</v>
      </c>
      <c r="F36" s="133">
        <v>4.7958631122917003E-3</v>
      </c>
      <c r="G36" s="133">
        <v>4.4361733788698225E-2</v>
      </c>
      <c r="H36" s="133">
        <v>4.4361733788698225E-2</v>
      </c>
      <c r="I36" s="133">
        <v>1.0772707515985236E-3</v>
      </c>
      <c r="J36" s="133">
        <v>0.14885160134775371</v>
      </c>
      <c r="K36" s="45">
        <v>458.10740684591138</v>
      </c>
      <c r="L36" s="134">
        <v>40.908490399975619</v>
      </c>
      <c r="M36" s="45" t="s">
        <v>738</v>
      </c>
      <c r="N36" s="133">
        <v>2.9984063307828598E-2</v>
      </c>
      <c r="O36" s="133">
        <v>5.2361514914981318E-2</v>
      </c>
      <c r="P36" s="133">
        <v>4.1847364567417656E-3</v>
      </c>
      <c r="Q36" s="133">
        <v>3.8708812224861319E-2</v>
      </c>
      <c r="R36" s="133">
        <v>3.8708812224861319E-2</v>
      </c>
      <c r="S36" s="133">
        <v>9.3999642659561898E-4</v>
      </c>
      <c r="T36" s="133">
        <v>0.12988375777612249</v>
      </c>
      <c r="U36" s="45">
        <v>399.73175248020186</v>
      </c>
      <c r="V36" s="134">
        <v>35.6956083104809</v>
      </c>
      <c r="W36" t="s">
        <v>738</v>
      </c>
    </row>
    <row r="37" spans="1:31" x14ac:dyDescent="0.25">
      <c r="A37" s="812" t="s">
        <v>1999</v>
      </c>
      <c r="B37" s="812">
        <v>2104008610</v>
      </c>
      <c r="C37" s="812" t="s">
        <v>146</v>
      </c>
      <c r="D37" s="133">
        <v>1.1202392635995895</v>
      </c>
      <c r="E37" s="133">
        <v>3.9793995578003269E-2</v>
      </c>
      <c r="F37" s="133">
        <v>9.8699494590272184E-3</v>
      </c>
      <c r="G37" s="133">
        <v>0.24354475543915499</v>
      </c>
      <c r="H37" s="133">
        <v>0.24354475543915499</v>
      </c>
      <c r="I37" s="133">
        <v>6.0147119049742568E-3</v>
      </c>
      <c r="J37" s="133">
        <v>1.4945735423157602</v>
      </c>
      <c r="K37" s="45">
        <v>789.48583191882631</v>
      </c>
      <c r="L37" s="134">
        <v>70.500221330914542</v>
      </c>
      <c r="M37" s="45" t="s">
        <v>738</v>
      </c>
      <c r="N37" s="133">
        <v>1.0243805799634658</v>
      </c>
      <c r="O37" s="133">
        <v>3.6388830131050515E-2</v>
      </c>
      <c r="P37" s="133">
        <v>9.025379559149475E-3</v>
      </c>
      <c r="Q37" s="133">
        <v>0.22270467205566125</v>
      </c>
      <c r="R37" s="133">
        <v>0.22270467205566125</v>
      </c>
      <c r="S37" s="133">
        <v>5.5000340282064597E-3</v>
      </c>
      <c r="T37" s="133">
        <v>1.3666831379896212</v>
      </c>
      <c r="U37" s="45">
        <v>721.92966328933699</v>
      </c>
      <c r="V37" s="134">
        <v>64.46752935837857</v>
      </c>
      <c r="W37" t="s">
        <v>738</v>
      </c>
    </row>
    <row r="38" spans="1:31" x14ac:dyDescent="0.25">
      <c r="A38" s="812" t="s">
        <v>1999</v>
      </c>
      <c r="B38" s="812">
        <v>2104004000</v>
      </c>
      <c r="C38" s="812" t="s">
        <v>568</v>
      </c>
      <c r="D38" s="133">
        <v>7.4514045502723197E-2</v>
      </c>
      <c r="E38" s="133">
        <v>1.1674991323126849</v>
      </c>
      <c r="F38" s="133">
        <v>3.0205442835958438</v>
      </c>
      <c r="G38" s="133">
        <v>4.7717948187166959E-2</v>
      </c>
      <c r="H38" s="133">
        <v>4.7717948187166959E-2</v>
      </c>
      <c r="I38" s="133">
        <v>2.5600679202415081E-3</v>
      </c>
      <c r="J38" s="133">
        <v>4.6803354180246268E-2</v>
      </c>
      <c r="K38" s="45">
        <v>28052.115844092266</v>
      </c>
      <c r="L38" s="134">
        <v>209.01555540735816</v>
      </c>
      <c r="M38" s="45" t="s">
        <v>1997</v>
      </c>
      <c r="N38" s="133">
        <v>6.8886603775233174E-2</v>
      </c>
      <c r="O38" s="133">
        <v>1.0793273884534063</v>
      </c>
      <c r="P38" s="133">
        <v>2.7924270631904986</v>
      </c>
      <c r="Q38" s="133">
        <v>4.4114198438150107E-2</v>
      </c>
      <c r="R38" s="133">
        <v>4.4114198438150107E-2</v>
      </c>
      <c r="S38" s="133">
        <v>2.3667267462067539E-3</v>
      </c>
      <c r="T38" s="133">
        <v>4.3268676301418903E-2</v>
      </c>
      <c r="U38" s="45">
        <v>25933.566969442061</v>
      </c>
      <c r="V38" s="134">
        <v>193.23030511986869</v>
      </c>
      <c r="W38" t="s">
        <v>1997</v>
      </c>
    </row>
    <row r="39" spans="1:31" x14ac:dyDescent="0.25">
      <c r="A39" s="812" t="s">
        <v>1999</v>
      </c>
      <c r="B39" s="812">
        <v>2103004001</v>
      </c>
      <c r="C39" s="812" t="s">
        <v>148</v>
      </c>
      <c r="D39" s="133">
        <v>2.1690177129401588E-2</v>
      </c>
      <c r="E39" s="133">
        <v>0.54757810424856734</v>
      </c>
      <c r="F39" s="133">
        <v>0.38705254088752084</v>
      </c>
      <c r="G39" s="133">
        <v>1.3890143011943079E-2</v>
      </c>
      <c r="H39" s="133">
        <v>1.3890143011943079E-2</v>
      </c>
      <c r="I39" s="133">
        <v>7.4520617259074616E-4</v>
      </c>
      <c r="J39" s="133">
        <v>1.3623915270880841E-2</v>
      </c>
      <c r="K39" s="45">
        <v>8426.6186042696227</v>
      </c>
      <c r="L39" s="134">
        <v>62.786506998840807</v>
      </c>
      <c r="M39" s="45" t="s">
        <v>1997</v>
      </c>
      <c r="N39" s="133">
        <v>2.1317595046072068E-2</v>
      </c>
      <c r="O39" s="133">
        <v>0.53817210494992618</v>
      </c>
      <c r="P39" s="133">
        <v>0.38040396253882774</v>
      </c>
      <c r="Q39" s="133">
        <v>1.3651545678677436E-2</v>
      </c>
      <c r="R39" s="133">
        <v>1.3651545678677436E-2</v>
      </c>
      <c r="S39" s="133">
        <v>7.3240542566104471E-4</v>
      </c>
      <c r="T39" s="133">
        <v>1.3389891053169452E-2</v>
      </c>
      <c r="U39" s="45">
        <v>8281.8707261738673</v>
      </c>
      <c r="V39" s="134">
        <v>61.707994479415547</v>
      </c>
      <c r="W39" t="s">
        <v>1997</v>
      </c>
    </row>
    <row r="40" spans="1:31" x14ac:dyDescent="0.25">
      <c r="A40" s="812" t="s">
        <v>1999</v>
      </c>
      <c r="B40" s="812">
        <v>2104004000</v>
      </c>
      <c r="C40" s="812" t="s">
        <v>746</v>
      </c>
      <c r="D40" s="133">
        <v>4.9329574557835322E-4</v>
      </c>
      <c r="E40" s="133">
        <v>1.2453469032833604E-2</v>
      </c>
      <c r="F40" s="133">
        <v>1.9996520580464135E-2</v>
      </c>
      <c r="G40" s="133">
        <v>2.7674375628519135E-4</v>
      </c>
      <c r="H40" s="133">
        <v>2.7674375628519135E-4</v>
      </c>
      <c r="I40" s="133">
        <v>1.6948088174874453E-5</v>
      </c>
      <c r="J40" s="133">
        <v>3.0984622214705229E-4</v>
      </c>
      <c r="K40" s="45">
        <v>189.56255446144897</v>
      </c>
      <c r="L40" s="134">
        <v>1.3837187814259562</v>
      </c>
      <c r="M40" s="45" t="s">
        <v>1997</v>
      </c>
      <c r="N40" s="133">
        <v>4.6641400602968387E-4</v>
      </c>
      <c r="O40" s="133">
        <v>1.1774827641703104E-2</v>
      </c>
      <c r="P40" s="133">
        <v>1.890682689682327E-2</v>
      </c>
      <c r="Q40" s="133">
        <v>2.6166283648229116E-4</v>
      </c>
      <c r="R40" s="133">
        <v>2.6166283648229116E-4</v>
      </c>
      <c r="S40" s="133">
        <v>1.6024516268470294E-5</v>
      </c>
      <c r="T40" s="133">
        <v>2.9296141112130378E-4</v>
      </c>
      <c r="U40" s="45">
        <v>179.23250141945746</v>
      </c>
      <c r="V40" s="134">
        <v>1.3083141824114559</v>
      </c>
      <c r="W40" t="s">
        <v>1997</v>
      </c>
    </row>
    <row r="41" spans="1:31" x14ac:dyDescent="0.25">
      <c r="A41" s="812" t="s">
        <v>1999</v>
      </c>
      <c r="B41" s="812">
        <v>2104004000</v>
      </c>
      <c r="C41" s="812" t="s">
        <v>747</v>
      </c>
      <c r="D41" s="133">
        <v>1.5839675599254139E-3</v>
      </c>
      <c r="E41" s="133">
        <v>2.4817881506068264E-2</v>
      </c>
      <c r="F41" s="133">
        <v>6.4208621693464696E-2</v>
      </c>
      <c r="G41" s="133">
        <v>1.0143548299482944E-3</v>
      </c>
      <c r="H41" s="133">
        <v>1.0143548299482944E-3</v>
      </c>
      <c r="I41" s="133">
        <v>5.4420136626725982E-5</v>
      </c>
      <c r="J41" s="133">
        <v>9.9491302904095155E-4</v>
      </c>
      <c r="K41" s="45">
        <v>555.38834499488598</v>
      </c>
      <c r="L41" s="134">
        <v>4.443106759959087</v>
      </c>
      <c r="M41" s="45" t="s">
        <v>1997</v>
      </c>
      <c r="N41" s="133">
        <v>1.3216150655717259E-3</v>
      </c>
      <c r="O41" s="133">
        <v>2.07072966163134E-2</v>
      </c>
      <c r="P41" s="133">
        <v>5.3573749814468628E-2</v>
      </c>
      <c r="Q41" s="133">
        <v>8.4634727314632425E-4</v>
      </c>
      <c r="R41" s="133">
        <v>8.4634727314632425E-4</v>
      </c>
      <c r="S41" s="133">
        <v>4.5406531204300306E-5</v>
      </c>
      <c r="T41" s="133">
        <v>8.3012561707768639E-4</v>
      </c>
      <c r="U41" s="45">
        <v>463.39939185544398</v>
      </c>
      <c r="V41" s="134">
        <v>3.7071951348435501</v>
      </c>
      <c r="W41" t="s">
        <v>1997</v>
      </c>
    </row>
    <row r="42" spans="1:31" x14ac:dyDescent="0.25">
      <c r="A42" s="812" t="s">
        <v>1999</v>
      </c>
      <c r="B42" s="812">
        <v>2104006010</v>
      </c>
      <c r="C42" s="812" t="s">
        <v>149</v>
      </c>
      <c r="D42" s="133">
        <v>6.2640334377998873E-4</v>
      </c>
      <c r="E42" s="133">
        <v>1.0705802602785268E-2</v>
      </c>
      <c r="F42" s="133">
        <v>6.8334910230544217E-5</v>
      </c>
      <c r="G42" s="133">
        <v>5.6412746225655242E-6</v>
      </c>
      <c r="H42" s="133">
        <v>5.6412746225655242E-6</v>
      </c>
      <c r="I42" s="133">
        <v>2.2778303410181402E-3</v>
      </c>
      <c r="J42" s="133">
        <v>4.5556606820362803E-3</v>
      </c>
      <c r="K42" s="45">
        <v>281.18883333333309</v>
      </c>
      <c r="L42" s="134">
        <v>277.03333333333336</v>
      </c>
      <c r="M42" s="45" t="s">
        <v>1998</v>
      </c>
      <c r="N42" s="133">
        <v>6.2640334377998873E-4</v>
      </c>
      <c r="O42" s="133">
        <v>1.0705802602785268E-2</v>
      </c>
      <c r="P42" s="133">
        <v>6.8334910230544217E-5</v>
      </c>
      <c r="Q42" s="133">
        <v>5.6412746225655242E-6</v>
      </c>
      <c r="R42" s="133">
        <v>5.6412746225655242E-6</v>
      </c>
      <c r="S42" s="133">
        <v>2.2778303410181402E-3</v>
      </c>
      <c r="T42" s="133">
        <v>4.5556606820362803E-3</v>
      </c>
      <c r="U42" s="45">
        <v>281.18883333333309</v>
      </c>
      <c r="V42" s="134">
        <v>277.03333333333336</v>
      </c>
      <c r="W42" t="s">
        <v>1998</v>
      </c>
    </row>
    <row r="43" spans="1:31" x14ac:dyDescent="0.25">
      <c r="A43" s="812" t="s">
        <v>1999</v>
      </c>
      <c r="B43" s="812">
        <v>2103006000</v>
      </c>
      <c r="C43" s="812" t="s">
        <v>150</v>
      </c>
      <c r="D43" s="133">
        <v>9.7086916666666717E-3</v>
      </c>
      <c r="E43" s="133">
        <v>0.1765216666666668</v>
      </c>
      <c r="F43" s="133">
        <v>1.0591300000000006E-3</v>
      </c>
      <c r="G43" s="133">
        <v>1.3415646666666666E-2</v>
      </c>
      <c r="H43" s="133">
        <v>1.3415646666666666E-2</v>
      </c>
      <c r="I43" s="133">
        <v>3.530433333333332E-2</v>
      </c>
      <c r="J43" s="133">
        <v>7.0608666666666639E-2</v>
      </c>
      <c r="K43" s="45">
        <v>3583.3898333333341</v>
      </c>
      <c r="L43" s="134">
        <v>3530.4333333333338</v>
      </c>
      <c r="M43" s="45" t="s">
        <v>1998</v>
      </c>
      <c r="N43" s="133">
        <v>9.7086916666666717E-3</v>
      </c>
      <c r="O43" s="133">
        <v>0.1765216666666668</v>
      </c>
      <c r="P43" s="133">
        <v>1.0591300000000006E-3</v>
      </c>
      <c r="Q43" s="133">
        <v>1.3415646666666666E-2</v>
      </c>
      <c r="R43" s="133">
        <v>1.3415646666666666E-2</v>
      </c>
      <c r="S43" s="133">
        <v>3.530433333333332E-2</v>
      </c>
      <c r="T43" s="133">
        <v>7.0608666666666639E-2</v>
      </c>
      <c r="U43" s="45">
        <v>3583.3898333333341</v>
      </c>
      <c r="V43" s="134">
        <v>3530.4333333333338</v>
      </c>
      <c r="W43" t="s">
        <v>1998</v>
      </c>
    </row>
    <row r="44" spans="1:31" x14ac:dyDescent="0.25">
      <c r="A44" s="812" t="s">
        <v>1999</v>
      </c>
      <c r="B44" s="812">
        <v>2104002000</v>
      </c>
      <c r="C44" s="812" t="s">
        <v>151</v>
      </c>
      <c r="D44" s="133">
        <v>0.11046696038131996</v>
      </c>
      <c r="E44" s="133">
        <v>5.2140405299983039E-2</v>
      </c>
      <c r="F44" s="133">
        <v>0.10273427315462753</v>
      </c>
      <c r="G44" s="133">
        <v>8.8263101344674647E-2</v>
      </c>
      <c r="H44" s="133">
        <v>8.8263101344674647E-2</v>
      </c>
      <c r="I44" s="133">
        <v>1.3984564849473205E-2</v>
      </c>
      <c r="J44" s="133">
        <v>1.4424223351790852</v>
      </c>
      <c r="K44" s="45">
        <v>335.81955955921268</v>
      </c>
      <c r="L44" s="134">
        <v>22.093392076263989</v>
      </c>
      <c r="M44" s="45" t="s">
        <v>738</v>
      </c>
      <c r="N44" s="133">
        <v>9.7055184411861589E-2</v>
      </c>
      <c r="O44" s="133">
        <v>4.5810047042398681E-2</v>
      </c>
      <c r="P44" s="133">
        <v>9.0261321503031275E-2</v>
      </c>
      <c r="Q44" s="133">
        <v>7.7547092345077423E-2</v>
      </c>
      <c r="R44" s="133">
        <v>7.7547092345077423E-2</v>
      </c>
      <c r="S44" s="133">
        <v>1.2286701070619622E-2</v>
      </c>
      <c r="T44" s="133">
        <v>1.2672980704578829</v>
      </c>
      <c r="U44" s="45">
        <v>295.04776061205922</v>
      </c>
      <c r="V44" s="134">
        <v>19.411036882372319</v>
      </c>
      <c r="W44" t="s">
        <v>738</v>
      </c>
    </row>
    <row r="45" spans="1:31" x14ac:dyDescent="0.25">
      <c r="A45" s="812" t="s">
        <v>1999</v>
      </c>
      <c r="B45" s="812">
        <v>2103002000</v>
      </c>
      <c r="C45" s="812" t="s">
        <v>152</v>
      </c>
      <c r="D45" s="133">
        <v>2.8532244230068839E-4</v>
      </c>
      <c r="E45" s="133">
        <v>1.346721927659249E-4</v>
      </c>
      <c r="F45" s="133">
        <v>2.653498713396401E-4</v>
      </c>
      <c r="G45" s="133">
        <v>2.2797263139825007E-4</v>
      </c>
      <c r="H45" s="133">
        <v>2.2797263139825007E-4</v>
      </c>
      <c r="I45" s="133">
        <v>3.6120394583055642E-5</v>
      </c>
      <c r="J45" s="133">
        <v>3.7255977903412384E-3</v>
      </c>
      <c r="K45" s="45">
        <v>13.116826184181894</v>
      </c>
      <c r="L45" s="134">
        <v>0.86738022459409281</v>
      </c>
      <c r="M45" s="45" t="s">
        <v>738</v>
      </c>
      <c r="N45" s="133">
        <v>2.6963315214105558E-4</v>
      </c>
      <c r="O45" s="133">
        <v>1.2726684781057824E-4</v>
      </c>
      <c r="P45" s="133">
        <v>2.5075883149118169E-4</v>
      </c>
      <c r="Q45" s="133">
        <v>2.1543688856070343E-4</v>
      </c>
      <c r="R45" s="133">
        <v>2.1543688856070343E-4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8.7184102008962055E-4</v>
      </c>
      <c r="E46" s="133">
        <v>3.4664180803309314E-5</v>
      </c>
      <c r="F46" s="133">
        <v>7.5569431662724817E-6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2.9083381335906245E-5</v>
      </c>
      <c r="P46" s="133">
        <v>6.1727592489711021E-6</v>
      </c>
      <c r="Q46" s="133">
        <v>2.1102851649953144E-4</v>
      </c>
      <c r="R46" s="133">
        <v>2.1102851649953144E-4</v>
      </c>
      <c r="S46" s="133">
        <v>8.1341904248124647E-6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1.3760960594379902E-2</v>
      </c>
      <c r="G47" s="135">
        <v>1.9373489384817266E-3</v>
      </c>
      <c r="H47" s="135">
        <v>1.9373489384817266E-3</v>
      </c>
      <c r="I47" s="135">
        <v>1.3544093175893141E-5</v>
      </c>
      <c r="J47" s="135">
        <v>4.6265049277175547E-3</v>
      </c>
      <c r="K47" s="88">
        <v>103.11814403022066</v>
      </c>
      <c r="L47" s="136">
        <v>0.74453533595827182</v>
      </c>
      <c r="M47" s="88" t="s">
        <v>1997</v>
      </c>
      <c r="N47" s="135">
        <v>3.72267667979136E-4</v>
      </c>
      <c r="O47" s="135">
        <v>1.9434212261993555E-2</v>
      </c>
      <c r="P47" s="135">
        <v>1.3760960594379902E-2</v>
      </c>
      <c r="Q47" s="135">
        <v>1.9373489384817266E-3</v>
      </c>
      <c r="R47" s="135">
        <v>1.9373489384817266E-3</v>
      </c>
      <c r="S47" s="135">
        <v>1.3544093175893141E-5</v>
      </c>
      <c r="T47" s="135">
        <v>4.6265049277175547E-3</v>
      </c>
      <c r="U47" s="88">
        <v>103.11814403022066</v>
      </c>
      <c r="V47" s="136">
        <v>0.74453533595827182</v>
      </c>
      <c r="W47" s="3" t="s">
        <v>1997</v>
      </c>
    </row>
    <row r="48" spans="1:31" x14ac:dyDescent="0.25">
      <c r="A48" s="810" t="s">
        <v>1999</v>
      </c>
      <c r="B48" s="810" t="s">
        <v>341</v>
      </c>
      <c r="C48" s="810"/>
      <c r="D48" s="137">
        <v>8.1905961489106325</v>
      </c>
      <c r="E48" s="137">
        <v>2.4041165501364166</v>
      </c>
      <c r="F48" s="137">
        <v>3.6906595215006939</v>
      </c>
      <c r="G48" s="137">
        <v>2.3953272679567257</v>
      </c>
      <c r="H48" s="137">
        <v>2.3953272679567257</v>
      </c>
      <c r="I48" s="137">
        <v>0.13734218830510989</v>
      </c>
      <c r="J48" s="137">
        <v>25.437578151730062</v>
      </c>
      <c r="K48" s="87">
        <v>48120.863508422874</v>
      </c>
      <c r="L48" s="87"/>
      <c r="M48" s="87"/>
      <c r="N48" s="137">
        <v>7.3869582905387761</v>
      </c>
      <c r="O48" s="137">
        <v>2.2491184952875103</v>
      </c>
      <c r="P48" s="137">
        <v>3.4220996022952543</v>
      </c>
      <c r="Q48" s="137">
        <v>2.1347250227214234</v>
      </c>
      <c r="R48" s="137">
        <v>2.1347250227214234</v>
      </c>
      <c r="S48" s="137">
        <v>0.12663844635342442</v>
      </c>
      <c r="T48" s="137">
        <v>22.485730739056315</v>
      </c>
      <c r="U48" s="87">
        <v>44933.651166251286</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4.6748698387842982</v>
      </c>
      <c r="E50" s="133">
        <v>5.3077124807157969E-2</v>
      </c>
      <c r="F50" s="133">
        <v>8.1657115087935359E-3</v>
      </c>
      <c r="G50" s="133">
        <v>0.70633404551064061</v>
      </c>
      <c r="H50" s="133">
        <v>0.70633404551064061</v>
      </c>
      <c r="I50" s="133">
        <v>3.6745701789570893E-2</v>
      </c>
      <c r="J50" s="133">
        <v>5.1566468178031135</v>
      </c>
      <c r="K50" s="45">
        <v>655.62782405459586</v>
      </c>
      <c r="L50" s="134">
        <v>58.326992563048016</v>
      </c>
      <c r="M50" s="45" t="s">
        <v>738</v>
      </c>
      <c r="N50" s="133">
        <v>4.3129852393914048</v>
      </c>
      <c r="O50" s="133">
        <v>4.8968391364269268E-2</v>
      </c>
      <c r="P50" s="133">
        <v>7.5335986714260388E-3</v>
      </c>
      <c r="Q50" s="133">
        <v>0.65165628507835227</v>
      </c>
      <c r="R50" s="133">
        <v>0.65165628507835227</v>
      </c>
      <c r="S50" s="133">
        <v>3.3901194021417169E-2</v>
      </c>
      <c r="T50" s="133">
        <v>4.7574675610055435</v>
      </c>
      <c r="U50" s="45">
        <v>604.87238573868535</v>
      </c>
      <c r="V50" s="134">
        <v>53.811863572213987</v>
      </c>
      <c r="W50" t="s">
        <v>738</v>
      </c>
      <c r="Y50" s="13">
        <f>N50/$U50*2000</f>
        <v>14.260810515012283</v>
      </c>
      <c r="Z50" s="5">
        <f t="shared" ref="Z50:AE65" si="0">O50/$U50*2000</f>
        <v>0.16191313248485575</v>
      </c>
      <c r="AA50" s="357">
        <f t="shared" si="0"/>
        <v>2.4909712689977801E-2</v>
      </c>
      <c r="AB50" s="5">
        <f t="shared" si="0"/>
        <v>2.1546901476830795</v>
      </c>
      <c r="AC50" s="358">
        <f t="shared" si="0"/>
        <v>2.1546901476830795</v>
      </c>
      <c r="AD50" s="5">
        <f t="shared" si="0"/>
        <v>0.11209370710490009</v>
      </c>
      <c r="AE50" s="13">
        <f t="shared" si="0"/>
        <v>15.730483563720979</v>
      </c>
    </row>
    <row r="51" spans="1:31" x14ac:dyDescent="0.25">
      <c r="A51" s="812" t="s">
        <v>2001</v>
      </c>
      <c r="B51" s="812">
        <v>2104008210</v>
      </c>
      <c r="C51" s="812" t="s">
        <v>138</v>
      </c>
      <c r="D51" s="133">
        <v>0.10121050840996269</v>
      </c>
      <c r="E51" s="133">
        <v>5.3469702556206708E-3</v>
      </c>
      <c r="F51" s="133">
        <v>7.6385289366009599E-4</v>
      </c>
      <c r="G51" s="133">
        <v>5.8434746364997348E-2</v>
      </c>
      <c r="H51" s="133">
        <v>5.8434746364997348E-2</v>
      </c>
      <c r="I51" s="133">
        <v>3.2463747980554084E-3</v>
      </c>
      <c r="J51" s="133">
        <v>0.44074311964187529</v>
      </c>
      <c r="K51" s="45">
        <v>61.319134163794502</v>
      </c>
      <c r="L51" s="134">
        <v>5.4561371657321489</v>
      </c>
      <c r="M51" s="45" t="s">
        <v>738</v>
      </c>
      <c r="N51" s="133">
        <v>8.8089791456659891E-2</v>
      </c>
      <c r="O51" s="133">
        <v>4.653800303370711E-3</v>
      </c>
      <c r="P51" s="133">
        <v>6.6482861476724472E-4</v>
      </c>
      <c r="Q51" s="133">
        <v>5.085938902969421E-2</v>
      </c>
      <c r="R51" s="133">
        <v>5.085938902969421E-2</v>
      </c>
      <c r="S51" s="133">
        <v>2.8255216127607888E-3</v>
      </c>
      <c r="T51" s="133">
        <v>0.38360611072070022</v>
      </c>
      <c r="U51" s="45">
        <v>53.369557195848209</v>
      </c>
      <c r="V51" s="134">
        <v>4.7488150453848048</v>
      </c>
      <c r="W51" t="s">
        <v>738</v>
      </c>
      <c r="Y51" s="13">
        <f t="shared" ref="Y51:AE70" si="1">N51/$U51*2000</f>
        <v>3.3011250639910754</v>
      </c>
      <c r="Z51" s="5">
        <f t="shared" si="0"/>
        <v>0.17439905998443417</v>
      </c>
      <c r="AA51" s="357">
        <f t="shared" si="0"/>
        <v>2.4914151426347748E-2</v>
      </c>
      <c r="AB51" s="5">
        <f t="shared" si="0"/>
        <v>1.9059325841156023</v>
      </c>
      <c r="AC51" s="358">
        <f t="shared" si="0"/>
        <v>1.9059325841156023</v>
      </c>
      <c r="AD51" s="5">
        <f t="shared" si="0"/>
        <v>0.1058851435619779</v>
      </c>
      <c r="AE51" s="13">
        <f t="shared" si="0"/>
        <v>14.375465373002651</v>
      </c>
    </row>
    <row r="52" spans="1:31" x14ac:dyDescent="0.25">
      <c r="A52" s="812" t="s">
        <v>2001</v>
      </c>
      <c r="B52" s="812">
        <v>2104008220</v>
      </c>
      <c r="C52" s="812" t="s">
        <v>139</v>
      </c>
      <c r="D52" s="133">
        <v>4.8246850159533249E-2</v>
      </c>
      <c r="E52" s="133">
        <v>8.0411416932555397E-3</v>
      </c>
      <c r="F52" s="133">
        <v>1.6082283386511075E-3</v>
      </c>
      <c r="G52" s="133">
        <v>4.8246850159533249E-2</v>
      </c>
      <c r="H52" s="133">
        <v>4.8246850159533249E-2</v>
      </c>
      <c r="I52" s="133">
        <v>3.6185137619649927E-3</v>
      </c>
      <c r="J52" s="133">
        <v>0.56609637520518996</v>
      </c>
      <c r="K52" s="45">
        <v>129.10230501482664</v>
      </c>
      <c r="L52" s="134">
        <v>11.487440163318414</v>
      </c>
      <c r="M52" s="45" t="s">
        <v>738</v>
      </c>
      <c r="N52" s="133">
        <v>4.1992230211696527E-2</v>
      </c>
      <c r="O52" s="133">
        <v>6.998705035282755E-3</v>
      </c>
      <c r="P52" s="133">
        <v>1.399741007056551E-3</v>
      </c>
      <c r="Q52" s="133">
        <v>4.1992230211696527E-2</v>
      </c>
      <c r="R52" s="133">
        <v>4.1992230211696527E-2</v>
      </c>
      <c r="S52" s="133">
        <v>3.1494172658772393E-3</v>
      </c>
      <c r="T52" s="133">
        <v>0.49270883448390596</v>
      </c>
      <c r="U52" s="45">
        <v>112.36513603078349</v>
      </c>
      <c r="V52" s="134">
        <v>9.9982326366613616</v>
      </c>
      <c r="W52" t="s">
        <v>738</v>
      </c>
      <c r="Y52" s="13">
        <f t="shared" si="1"/>
        <v>0.74742454279043202</v>
      </c>
      <c r="Z52" s="5">
        <f t="shared" si="0"/>
        <v>0.12457075713173869</v>
      </c>
      <c r="AA52" s="357">
        <f t="shared" si="0"/>
        <v>2.4914151426347737E-2</v>
      </c>
      <c r="AB52" s="5">
        <f t="shared" si="0"/>
        <v>0.74742454279043202</v>
      </c>
      <c r="AC52" s="358">
        <f t="shared" si="0"/>
        <v>0.74742454279043202</v>
      </c>
      <c r="AD52" s="5">
        <f t="shared" si="0"/>
        <v>5.60568407092824E-2</v>
      </c>
      <c r="AE52" s="13">
        <f t="shared" si="0"/>
        <v>8.7697813020744029</v>
      </c>
    </row>
    <row r="53" spans="1:31" x14ac:dyDescent="0.25">
      <c r="A53" s="812" t="s">
        <v>2001</v>
      </c>
      <c r="B53" s="812">
        <v>2104008230</v>
      </c>
      <c r="C53" s="812" t="s">
        <v>140</v>
      </c>
      <c r="D53" s="133">
        <v>3.6310170417761037E-2</v>
      </c>
      <c r="E53" s="133">
        <v>4.8413560557014736E-3</v>
      </c>
      <c r="F53" s="133">
        <v>9.682712111402942E-4</v>
      </c>
      <c r="G53" s="133">
        <v>3.1468814362059568E-2</v>
      </c>
      <c r="H53" s="133">
        <v>3.1468814362059568E-2</v>
      </c>
      <c r="I53" s="133">
        <v>2.1786102250656619E-3</v>
      </c>
      <c r="J53" s="133">
        <v>0.25901254898002879</v>
      </c>
      <c r="K53" s="45">
        <v>77.729040232283154</v>
      </c>
      <c r="L53" s="134">
        <v>6.9162800657817645</v>
      </c>
      <c r="M53" s="45" t="s">
        <v>738</v>
      </c>
      <c r="N53" s="133">
        <v>3.1602996468511953E-2</v>
      </c>
      <c r="O53" s="133">
        <v>4.2137328624682604E-3</v>
      </c>
      <c r="P53" s="133">
        <v>8.4274657249365211E-4</v>
      </c>
      <c r="Q53" s="133">
        <v>2.7389263606043691E-2</v>
      </c>
      <c r="R53" s="133">
        <v>2.7389263606043691E-2</v>
      </c>
      <c r="S53" s="133">
        <v>1.8961797881107173E-3</v>
      </c>
      <c r="T53" s="133">
        <v>0.22543470814205185</v>
      </c>
      <c r="U53" s="45">
        <v>67.65203904174821</v>
      </c>
      <c r="V53" s="134">
        <v>6.0196680979284309</v>
      </c>
      <c r="W53" t="s">
        <v>738</v>
      </c>
      <c r="Y53" s="13">
        <f t="shared" si="1"/>
        <v>0.93428067848804031</v>
      </c>
      <c r="Z53" s="5">
        <f t="shared" si="0"/>
        <v>0.12457075713173869</v>
      </c>
      <c r="AA53" s="357">
        <f t="shared" si="0"/>
        <v>2.4914151426347741E-2</v>
      </c>
      <c r="AB53" s="5">
        <f t="shared" si="0"/>
        <v>0.80970992135630149</v>
      </c>
      <c r="AC53" s="358">
        <f t="shared" si="0"/>
        <v>0.80970992135630149</v>
      </c>
      <c r="AD53" s="5">
        <f t="shared" si="0"/>
        <v>5.6056840709282414E-2</v>
      </c>
      <c r="AE53" s="13">
        <f t="shared" si="0"/>
        <v>6.6645355065480176</v>
      </c>
    </row>
    <row r="54" spans="1:31" x14ac:dyDescent="0.25">
      <c r="A54" s="812" t="s">
        <v>2001</v>
      </c>
      <c r="B54" s="812">
        <v>2104008310</v>
      </c>
      <c r="C54" s="812" t="s">
        <v>141</v>
      </c>
      <c r="D54" s="133">
        <v>2.0539883921485349</v>
      </c>
      <c r="E54" s="133">
        <v>5.6277058726461465E-2</v>
      </c>
      <c r="F54" s="133">
        <v>1.5501799186026684E-2</v>
      </c>
      <c r="G54" s="133">
        <v>0.47055825310721633</v>
      </c>
      <c r="H54" s="133">
        <v>0.47055825310721633</v>
      </c>
      <c r="I54" s="133">
        <v>1.538664194835063E-2</v>
      </c>
      <c r="J54" s="133">
        <v>4.6959073871370132</v>
      </c>
      <c r="K54" s="45">
        <v>1244.4240402277705</v>
      </c>
      <c r="L54" s="134">
        <v>110.7280516662328</v>
      </c>
      <c r="M54" s="45" t="s">
        <v>738</v>
      </c>
      <c r="N54" s="133">
        <v>1.7877136669037237</v>
      </c>
      <c r="O54" s="133">
        <v>4.8981419468101445E-2</v>
      </c>
      <c r="P54" s="133">
        <v>1.3492178618141309E-2</v>
      </c>
      <c r="Q54" s="133">
        <v>0.4095560731354313</v>
      </c>
      <c r="R54" s="133">
        <v>0.4095560731354313</v>
      </c>
      <c r="S54" s="133">
        <v>1.33919501220002E-2</v>
      </c>
      <c r="T54" s="133">
        <v>4.0871398526832152</v>
      </c>
      <c r="U54" s="45">
        <v>1083.0935709793252</v>
      </c>
      <c r="V54" s="134">
        <v>96.373500468658534</v>
      </c>
      <c r="W54" t="s">
        <v>738</v>
      </c>
      <c r="Y54" s="13">
        <f t="shared" si="1"/>
        <v>3.3011250639910754</v>
      </c>
      <c r="Z54" s="5">
        <f t="shared" si="0"/>
        <v>9.0447253645523543E-2</v>
      </c>
      <c r="AA54" s="357">
        <f t="shared" si="0"/>
        <v>2.4914151426347737E-2</v>
      </c>
      <c r="AB54" s="5">
        <f t="shared" si="0"/>
        <v>0.75627089682586457</v>
      </c>
      <c r="AC54" s="358">
        <f t="shared" si="0"/>
        <v>0.75627089682586457</v>
      </c>
      <c r="AD54" s="5">
        <f t="shared" si="0"/>
        <v>2.4729073241366018E-2</v>
      </c>
      <c r="AE54" s="13">
        <f t="shared" si="0"/>
        <v>7.5471592892711072</v>
      </c>
    </row>
    <row r="55" spans="1:31" x14ac:dyDescent="0.25">
      <c r="A55" s="812" t="s">
        <v>2001</v>
      </c>
      <c r="B55" s="812">
        <v>2104008320</v>
      </c>
      <c r="C55" s="812" t="s">
        <v>142</v>
      </c>
      <c r="D55" s="133">
        <v>0.97913222393867771</v>
      </c>
      <c r="E55" s="133">
        <v>0.13127222758249724</v>
      </c>
      <c r="F55" s="133">
        <v>3.2637740797955901E-2</v>
      </c>
      <c r="G55" s="133">
        <v>0.64664546013849444</v>
      </c>
      <c r="H55" s="133">
        <v>0.64664546013849444</v>
      </c>
      <c r="I55" s="133">
        <v>2.03775151456786E-2</v>
      </c>
      <c r="J55" s="133">
        <v>10.088403072247607</v>
      </c>
      <c r="K55" s="45">
        <v>2620.0306674279182</v>
      </c>
      <c r="L55" s="134">
        <v>233.1286456479682</v>
      </c>
      <c r="M55" s="45" t="s">
        <v>738</v>
      </c>
      <c r="N55" s="133">
        <v>0.85219958648842686</v>
      </c>
      <c r="O55" s="133">
        <v>0.11425437272731942</v>
      </c>
      <c r="P55" s="133">
        <v>2.8406652882947556E-2</v>
      </c>
      <c r="Q55" s="133">
        <v>0.56281570584807661</v>
      </c>
      <c r="R55" s="133">
        <v>0.56281570584807661</v>
      </c>
      <c r="S55" s="133">
        <v>1.7735817039044335E-2</v>
      </c>
      <c r="T55" s="133">
        <v>8.780563764834719</v>
      </c>
      <c r="U55" s="45">
        <v>2280.3628666161476</v>
      </c>
      <c r="V55" s="134">
        <v>202.90633947335829</v>
      </c>
      <c r="W55" t="s">
        <v>738</v>
      </c>
      <c r="Y55" s="13">
        <f t="shared" si="1"/>
        <v>0.74742454279043224</v>
      </c>
      <c r="Z55" s="5">
        <f t="shared" si="0"/>
        <v>0.1002071857948315</v>
      </c>
      <c r="AA55" s="357">
        <f t="shared" si="0"/>
        <v>2.4914151426347737E-2</v>
      </c>
      <c r="AB55" s="5">
        <f t="shared" si="0"/>
        <v>0.49361942705482159</v>
      </c>
      <c r="AC55" s="358">
        <f t="shared" si="0"/>
        <v>0.49361942705482159</v>
      </c>
      <c r="AD55" s="5">
        <f t="shared" si="0"/>
        <v>1.5555258593876933E-2</v>
      </c>
      <c r="AE55" s="13">
        <f t="shared" si="0"/>
        <v>7.7010232830744885</v>
      </c>
    </row>
    <row r="56" spans="1:31" x14ac:dyDescent="0.25">
      <c r="A56" s="812" t="s">
        <v>2001</v>
      </c>
      <c r="B56" s="812">
        <v>2104008330</v>
      </c>
      <c r="C56" s="812" t="s">
        <v>143</v>
      </c>
      <c r="D56" s="133">
        <v>0.73688661115029941</v>
      </c>
      <c r="E56" s="133">
        <v>7.9035492495424658E-2</v>
      </c>
      <c r="F56" s="133">
        <v>1.9650309630674653E-2</v>
      </c>
      <c r="G56" s="133">
        <v>0.43199398576253001</v>
      </c>
      <c r="H56" s="133">
        <v>0.43199398576253001</v>
      </c>
      <c r="I56" s="133">
        <v>1.2268756118726985E-2</v>
      </c>
      <c r="J56" s="133">
        <v>6.0739573022508528</v>
      </c>
      <c r="K56" s="45">
        <v>1577.4502952130247</v>
      </c>
      <c r="L56" s="134">
        <v>140.36051389467852</v>
      </c>
      <c r="M56" s="45" t="s">
        <v>738</v>
      </c>
      <c r="N56" s="133">
        <v>0.64135818427570557</v>
      </c>
      <c r="O56" s="133">
        <v>6.8789497859206808E-2</v>
      </c>
      <c r="P56" s="133">
        <v>1.7102884914018811E-2</v>
      </c>
      <c r="Q56" s="133">
        <v>0.37599119611384829</v>
      </c>
      <c r="R56" s="133">
        <v>0.37599119611384829</v>
      </c>
      <c r="S56" s="133">
        <v>1.0678260438665035E-2</v>
      </c>
      <c r="T56" s="133">
        <v>5.2865422818018954</v>
      </c>
      <c r="U56" s="45">
        <v>1372.9454093252241</v>
      </c>
      <c r="V56" s="134">
        <v>122.16447276056515</v>
      </c>
      <c r="W56" t="s">
        <v>738</v>
      </c>
      <c r="Y56" s="13">
        <f t="shared" si="1"/>
        <v>0.93428067848804075</v>
      </c>
      <c r="Z56" s="5">
        <f t="shared" si="0"/>
        <v>0.10020718579483143</v>
      </c>
      <c r="AA56" s="357">
        <f t="shared" si="0"/>
        <v>2.4914151426347744E-2</v>
      </c>
      <c r="AB56" s="5">
        <f t="shared" si="0"/>
        <v>0.54771470673206246</v>
      </c>
      <c r="AC56" s="358">
        <f t="shared" si="0"/>
        <v>0.54771470673206246</v>
      </c>
      <c r="AD56" s="5">
        <f t="shared" si="0"/>
        <v>1.5555258593876929E-2</v>
      </c>
      <c r="AE56" s="13">
        <f t="shared" si="0"/>
        <v>7.7010232830744929</v>
      </c>
    </row>
    <row r="57" spans="1:31" x14ac:dyDescent="0.25">
      <c r="A57" s="812" t="s">
        <v>2001</v>
      </c>
      <c r="B57" s="812">
        <v>2104008410</v>
      </c>
      <c r="C57" s="812" t="s">
        <v>144</v>
      </c>
      <c r="D57" s="133">
        <v>1.2347224155429219E-2</v>
      </c>
      <c r="E57" s="133">
        <v>2.1562099677275015E-2</v>
      </c>
      <c r="F57" s="133">
        <v>1.723244729452549E-3</v>
      </c>
      <c r="G57" s="133">
        <v>1.5940013747436085E-2</v>
      </c>
      <c r="H57" s="133">
        <v>1.5940013747436085E-2</v>
      </c>
      <c r="I57" s="133">
        <v>3.8708384735327899E-4</v>
      </c>
      <c r="J57" s="133">
        <v>5.3485208290383543E-2</v>
      </c>
      <c r="K57" s="45">
        <v>165.19784128184008</v>
      </c>
      <c r="L57" s="134">
        <v>14.699197792142987</v>
      </c>
      <c r="M57" s="45" t="s">
        <v>738</v>
      </c>
      <c r="N57" s="133">
        <v>1.0746556044503858E-2</v>
      </c>
      <c r="O57" s="133">
        <v>1.8766834529129802E-2</v>
      </c>
      <c r="P57" s="133">
        <v>1.4998469154149686E-3</v>
      </c>
      <c r="Q57" s="133">
        <v>1.3873583967588464E-2</v>
      </c>
      <c r="R57" s="133">
        <v>1.3873583967588464E-2</v>
      </c>
      <c r="S57" s="133">
        <v>3.3690311337508736E-4</v>
      </c>
      <c r="T57" s="133">
        <v>4.6551498637192108E-2</v>
      </c>
      <c r="U57" s="45">
        <v>143.78115019320484</v>
      </c>
      <c r="V57" s="134">
        <v>12.793624777035625</v>
      </c>
      <c r="W57" t="s">
        <v>738</v>
      </c>
      <c r="Y57" s="13">
        <f t="shared" si="1"/>
        <v>0.14948490855808644</v>
      </c>
      <c r="Z57" s="5">
        <f t="shared" si="0"/>
        <v>0.26104721660540359</v>
      </c>
      <c r="AA57" s="357">
        <f t="shared" si="0"/>
        <v>2.0862914414018257E-2</v>
      </c>
      <c r="AB57" s="5">
        <f t="shared" si="0"/>
        <v>0.19298195832966897</v>
      </c>
      <c r="AC57" s="358">
        <f t="shared" si="0"/>
        <v>0.19298195832966897</v>
      </c>
      <c r="AD57" s="5">
        <f t="shared" si="0"/>
        <v>4.6863321502488521E-3</v>
      </c>
      <c r="AE57" s="13">
        <f t="shared" si="0"/>
        <v>0.64753270612509195</v>
      </c>
    </row>
    <row r="58" spans="1:31" x14ac:dyDescent="0.25">
      <c r="A58" s="812" t="s">
        <v>2001</v>
      </c>
      <c r="B58" s="812">
        <v>2104008420</v>
      </c>
      <c r="C58" s="812" t="s">
        <v>145</v>
      </c>
      <c r="D58" s="133">
        <v>4.1647570810660672E-2</v>
      </c>
      <c r="E58" s="133">
        <v>7.2729632331245075E-2</v>
      </c>
      <c r="F58" s="133">
        <v>5.8125580284711367E-3</v>
      </c>
      <c r="G58" s="133">
        <v>5.3766161763357995E-2</v>
      </c>
      <c r="H58" s="133">
        <v>5.3766161763357995E-2</v>
      </c>
      <c r="I58" s="133">
        <v>1.3056458471453294E-3</v>
      </c>
      <c r="J58" s="133">
        <v>0.18040726980867286</v>
      </c>
      <c r="K58" s="45">
        <v>557.21745276070499</v>
      </c>
      <c r="L58" s="134">
        <v>49.580850983335978</v>
      </c>
      <c r="M58" s="45" t="s">
        <v>738</v>
      </c>
      <c r="N58" s="133">
        <v>3.6248467525991035E-2</v>
      </c>
      <c r="O58" s="133">
        <v>6.3301116113633496E-2</v>
      </c>
      <c r="P58" s="133">
        <v>5.0590302588318474E-3</v>
      </c>
      <c r="Q58" s="133">
        <v>4.6796029894194582E-2</v>
      </c>
      <c r="R58" s="133">
        <v>4.6796029894194582E-2</v>
      </c>
      <c r="S58" s="133">
        <v>1.1363846718901037E-3</v>
      </c>
      <c r="T58" s="133">
        <v>0.15701965165849349</v>
      </c>
      <c r="U58" s="45">
        <v>484.97828811803691</v>
      </c>
      <c r="V58" s="134">
        <v>43.153293980843898</v>
      </c>
      <c r="W58" t="s">
        <v>738</v>
      </c>
      <c r="Y58" s="13">
        <f t="shared" si="1"/>
        <v>0.14948490855808649</v>
      </c>
      <c r="Z58" s="5">
        <f t="shared" si="0"/>
        <v>0.26104721660540359</v>
      </c>
      <c r="AA58" s="357">
        <f t="shared" si="0"/>
        <v>2.0862914414018264E-2</v>
      </c>
      <c r="AB58" s="5">
        <f t="shared" si="0"/>
        <v>0.19298195832966891</v>
      </c>
      <c r="AC58" s="358">
        <f t="shared" si="0"/>
        <v>0.19298195832966891</v>
      </c>
      <c r="AD58" s="5">
        <f t="shared" si="0"/>
        <v>4.6863321502488529E-3</v>
      </c>
      <c r="AE58" s="13">
        <f t="shared" si="0"/>
        <v>0.64753270612509206</v>
      </c>
    </row>
    <row r="59" spans="1:31" x14ac:dyDescent="0.25">
      <c r="A59" s="812" t="s">
        <v>2001</v>
      </c>
      <c r="B59" s="812">
        <v>2104008610</v>
      </c>
      <c r="C59" s="812" t="s">
        <v>146</v>
      </c>
      <c r="D59" s="133">
        <v>1.1696523824001865</v>
      </c>
      <c r="E59" s="133">
        <v>4.1549286161845146E-2</v>
      </c>
      <c r="F59" s="133">
        <v>1.0305307333922348E-2</v>
      </c>
      <c r="G59" s="133">
        <v>0.25428737652450095</v>
      </c>
      <c r="H59" s="133">
        <v>0.25428737652450095</v>
      </c>
      <c r="I59" s="133">
        <v>6.280017437077165E-3</v>
      </c>
      <c r="J59" s="133">
        <v>1.5604983339226668</v>
      </c>
      <c r="K59" s="45">
        <v>826.981654738869</v>
      </c>
      <c r="L59" s="134">
        <v>73.609946123901281</v>
      </c>
      <c r="M59" s="45" t="s">
        <v>738</v>
      </c>
      <c r="N59" s="133">
        <v>1.0694314847916233</v>
      </c>
      <c r="O59" s="133">
        <v>3.7989162815120367E-2</v>
      </c>
      <c r="P59" s="133">
        <v>9.4223038307631977E-3</v>
      </c>
      <c r="Q59" s="133">
        <v>0.23249892936764927</v>
      </c>
      <c r="R59" s="133">
        <v>0.23249892936764927</v>
      </c>
      <c r="S59" s="133">
        <v>5.7419182599098744E-3</v>
      </c>
      <c r="T59" s="133">
        <v>1.4267880571808995</v>
      </c>
      <c r="U59" s="45">
        <v>756.12203547860452</v>
      </c>
      <c r="V59" s="134">
        <v>67.302726146016198</v>
      </c>
      <c r="W59" t="s">
        <v>738</v>
      </c>
      <c r="Y59" s="13">
        <f t="shared" si="1"/>
        <v>2.8287272017266432</v>
      </c>
      <c r="Z59" s="5">
        <f t="shared" si="0"/>
        <v>0.10048421030627488</v>
      </c>
      <c r="AA59" s="357">
        <f t="shared" si="0"/>
        <v>2.4922706623142221E-2</v>
      </c>
      <c r="AB59" s="5">
        <f t="shared" si="0"/>
        <v>0.61497726149584786</v>
      </c>
      <c r="AC59" s="358">
        <f t="shared" si="0"/>
        <v>0.61497726149584786</v>
      </c>
      <c r="AD59" s="5">
        <f t="shared" si="0"/>
        <v>1.5187808291489342E-2</v>
      </c>
      <c r="AE59" s="13">
        <f t="shared" si="0"/>
        <v>3.7739623770593638</v>
      </c>
    </row>
    <row r="60" spans="1:31" x14ac:dyDescent="0.25">
      <c r="A60" s="812" t="s">
        <v>2001</v>
      </c>
      <c r="B60" s="812">
        <v>2104004000</v>
      </c>
      <c r="C60" s="812" t="s">
        <v>568</v>
      </c>
      <c r="D60" s="133">
        <v>8.7483691366764149E-2</v>
      </c>
      <c r="E60" s="133">
        <v>1.3707098181707935</v>
      </c>
      <c r="F60" s="133">
        <v>3.546289321468735</v>
      </c>
      <c r="G60" s="133">
        <v>5.6023562050577382E-2</v>
      </c>
      <c r="H60" s="133">
        <v>5.6023562050577382E-2</v>
      </c>
      <c r="I60" s="133">
        <v>3.0056641040134761E-3</v>
      </c>
      <c r="J60" s="133">
        <v>5.4949777111274654E-2</v>
      </c>
      <c r="K60" s="45">
        <v>32934.765897250814</v>
      </c>
      <c r="L60" s="134">
        <v>245.39604871462595</v>
      </c>
      <c r="M60" s="45" t="s">
        <v>1997</v>
      </c>
      <c r="N60" s="133">
        <v>8.078206641669404E-2</v>
      </c>
      <c r="O60" s="133">
        <v>1.2657075832028106</v>
      </c>
      <c r="P60" s="133">
        <v>3.2746283910070026</v>
      </c>
      <c r="Q60" s="133">
        <v>5.1731917569597156E-2</v>
      </c>
      <c r="R60" s="133">
        <v>5.1731917569597156E-2</v>
      </c>
      <c r="S60" s="133">
        <v>2.7754173776088887E-3</v>
      </c>
      <c r="T60" s="133">
        <v>5.0740389149513225E-2</v>
      </c>
      <c r="U60" s="45">
        <v>30411.821958632481</v>
      </c>
      <c r="V60" s="134">
        <v>226.59766175790759</v>
      </c>
      <c r="W60" t="s">
        <v>1997</v>
      </c>
      <c r="Y60" s="13">
        <f t="shared" si="1"/>
        <v>5.3125436895281987E-3</v>
      </c>
      <c r="Z60" s="5">
        <f t="shared" si="0"/>
        <v>8.3237866177467604E-2</v>
      </c>
      <c r="AA60" s="357">
        <f t="shared" si="0"/>
        <v>0.215352332093835</v>
      </c>
      <c r="AB60" s="5">
        <f t="shared" si="0"/>
        <v>3.4020926230572588E-3</v>
      </c>
      <c r="AC60" s="358">
        <f t="shared" si="0"/>
        <v>3.4020926230572588E-3</v>
      </c>
      <c r="AD60" s="5">
        <f t="shared" si="0"/>
        <v>1.8252226922702201E-4</v>
      </c>
      <c r="AE60" s="13">
        <f t="shared" si="0"/>
        <v>3.3368858477819956E-3</v>
      </c>
    </row>
    <row r="61" spans="1:31" x14ac:dyDescent="0.25">
      <c r="A61" s="812" t="s">
        <v>2001</v>
      </c>
      <c r="B61" s="812">
        <v>2103004001</v>
      </c>
      <c r="C61" s="812" t="s">
        <v>148</v>
      </c>
      <c r="D61" s="133">
        <v>2.6483816501760581E-2</v>
      </c>
      <c r="E61" s="133">
        <v>0.66859564801078619</v>
      </c>
      <c r="F61" s="133">
        <v>0.4725931193761575</v>
      </c>
      <c r="G61" s="133">
        <v>1.6959935205548116E-2</v>
      </c>
      <c r="H61" s="133">
        <v>1.6959935205548116E-2</v>
      </c>
      <c r="I61" s="133">
        <v>9.0990052377765693E-4</v>
      </c>
      <c r="J61" s="133">
        <v>1.6634869780775115E-2</v>
      </c>
      <c r="K61" s="45">
        <v>10288.944138832658</v>
      </c>
      <c r="L61" s="134">
        <v>76.662644118742705</v>
      </c>
      <c r="M61" s="45" t="s">
        <v>1997</v>
      </c>
      <c r="N61" s="133">
        <v>2.6028891884599798E-2</v>
      </c>
      <c r="O61" s="133">
        <v>0.65711087506703569</v>
      </c>
      <c r="P61" s="133">
        <v>0.4644751714251617</v>
      </c>
      <c r="Q61" s="133">
        <v>1.6668606649109026E-2</v>
      </c>
      <c r="R61" s="133">
        <v>1.6668606649109026E-2</v>
      </c>
      <c r="S61" s="133">
        <v>8.9427074672469929E-4</v>
      </c>
      <c r="T61" s="133">
        <v>1.6349125021667767E-2</v>
      </c>
      <c r="U61" s="45">
        <v>10112.206244087163</v>
      </c>
      <c r="V61" s="134">
        <v>75.345774851659016</v>
      </c>
      <c r="W61" t="s">
        <v>1997</v>
      </c>
      <c r="Y61" s="13">
        <f t="shared" si="1"/>
        <v>5.1480144404332101E-3</v>
      </c>
      <c r="Z61" s="5">
        <f t="shared" si="0"/>
        <v>0.12996389891696747</v>
      </c>
      <c r="AA61" s="357">
        <f t="shared" si="0"/>
        <v>9.1864259927797828E-2</v>
      </c>
      <c r="AB61" s="5">
        <f t="shared" si="0"/>
        <v>3.2967299611507705E-3</v>
      </c>
      <c r="AC61" s="358">
        <f t="shared" si="0"/>
        <v>3.2967299611507705E-3</v>
      </c>
      <c r="AD61" s="5">
        <f t="shared" si="0"/>
        <v>1.7686956241573886E-4</v>
      </c>
      <c r="AE61" s="13">
        <f t="shared" si="0"/>
        <v>3.2335426368953805E-3</v>
      </c>
    </row>
    <row r="62" spans="1:31" x14ac:dyDescent="0.25">
      <c r="A62" s="812" t="s">
        <v>2001</v>
      </c>
      <c r="B62" s="812">
        <v>2104004000</v>
      </c>
      <c r="C62" s="812" t="s">
        <v>746</v>
      </c>
      <c r="D62" s="133">
        <v>5.8168543744096797E-4</v>
      </c>
      <c r="E62" s="133">
        <v>1.4684905854049687E-2</v>
      </c>
      <c r="F62" s="133">
        <v>2.3579536060071429E-2</v>
      </c>
      <c r="G62" s="133">
        <v>3.2633124120110425E-4</v>
      </c>
      <c r="H62" s="133">
        <v>3.2633124120110425E-4</v>
      </c>
      <c r="I62" s="133">
        <v>1.9984879602461642E-5</v>
      </c>
      <c r="J62" s="133">
        <v>3.6536507132801113E-4</v>
      </c>
      <c r="K62" s="45">
        <v>223.52874194172634</v>
      </c>
      <c r="L62" s="134">
        <v>1.6316562060055202</v>
      </c>
      <c r="M62" s="45" t="s">
        <v>1997</v>
      </c>
      <c r="N62" s="133">
        <v>5.4922924816148098E-4</v>
      </c>
      <c r="O62" s="133">
        <v>1.3865535016699378E-2</v>
      </c>
      <c r="P62" s="133">
        <v>2.2263873270136389E-2</v>
      </c>
      <c r="Q62" s="133">
        <v>3.081230003710974E-4</v>
      </c>
      <c r="R62" s="133">
        <v>3.081230003710974E-4</v>
      </c>
      <c r="S62" s="133">
        <v>1.8869787160129215E-5</v>
      </c>
      <c r="T62" s="133">
        <v>3.4497886746617085E-4</v>
      </c>
      <c r="U62" s="45">
        <v>211.05655217919244</v>
      </c>
      <c r="V62" s="134">
        <v>1.5406150018554867</v>
      </c>
      <c r="W62" t="s">
        <v>1997</v>
      </c>
      <c r="Y62" s="13">
        <f t="shared" si="1"/>
        <v>5.2045695098361247E-3</v>
      </c>
      <c r="Z62" s="5">
        <f t="shared" si="0"/>
        <v>0.13139165662980395</v>
      </c>
      <c r="AA62" s="357">
        <f t="shared" si="0"/>
        <v>0.21097542853096346</v>
      </c>
      <c r="AB62" s="5">
        <f t="shared" si="0"/>
        <v>2.9198145917734225E-3</v>
      </c>
      <c r="AC62" s="358">
        <f t="shared" si="0"/>
        <v>2.9198145917734225E-3</v>
      </c>
      <c r="AD62" s="5">
        <f t="shared" si="0"/>
        <v>1.7881261647928638E-4</v>
      </c>
      <c r="AE62" s="13">
        <f t="shared" si="0"/>
        <v>3.2690656973612922E-3</v>
      </c>
    </row>
    <row r="63" spans="1:31" x14ac:dyDescent="0.25">
      <c r="A63" s="812" t="s">
        <v>2001</v>
      </c>
      <c r="B63" s="812">
        <v>2104004000</v>
      </c>
      <c r="C63" s="812" t="s">
        <v>747</v>
      </c>
      <c r="D63" s="133">
        <v>2.2559470382735288E-3</v>
      </c>
      <c r="E63" s="133">
        <v>3.5346573816495599E-2</v>
      </c>
      <c r="F63" s="133">
        <v>9.1448369023301154E-2</v>
      </c>
      <c r="G63" s="133">
        <v>1.4446828535352424E-3</v>
      </c>
      <c r="H63" s="133">
        <v>1.4446828535352424E-3</v>
      </c>
      <c r="I63" s="133">
        <v>7.7507235092165775E-5</v>
      </c>
      <c r="J63" s="133">
        <v>1.4169930988424837E-3</v>
      </c>
      <c r="K63" s="45">
        <v>791.00527288693149</v>
      </c>
      <c r="L63" s="134">
        <v>6.3280421830954534</v>
      </c>
      <c r="M63" s="45" t="s">
        <v>1997</v>
      </c>
      <c r="N63" s="133">
        <v>1.8692084216578577E-3</v>
      </c>
      <c r="O63" s="133">
        <v>2.9287085349799718E-2</v>
      </c>
      <c r="P63" s="133">
        <v>7.5771309620835364E-2</v>
      </c>
      <c r="Q63" s="133">
        <v>1.1970198371852739E-3</v>
      </c>
      <c r="R63" s="133">
        <v>1.1970198371852739E-3</v>
      </c>
      <c r="S63" s="133">
        <v>6.4220114264989972E-5</v>
      </c>
      <c r="T63" s="133">
        <v>1.1740769569725566E-3</v>
      </c>
      <c r="U63" s="45">
        <v>655.40267239055322</v>
      </c>
      <c r="V63" s="134">
        <v>5.2432213791244262</v>
      </c>
      <c r="W63" t="s">
        <v>1997</v>
      </c>
      <c r="Y63" s="13">
        <f t="shared" si="1"/>
        <v>5.7039999999999999E-3</v>
      </c>
      <c r="Z63" s="5">
        <f t="shared" si="0"/>
        <v>8.9371272298833723E-2</v>
      </c>
      <c r="AA63" s="357">
        <f t="shared" si="0"/>
        <v>0.23122063065279472</v>
      </c>
      <c r="AB63" s="5">
        <f t="shared" si="0"/>
        <v>3.6527767969550544E-3</v>
      </c>
      <c r="AC63" s="358">
        <f t="shared" si="0"/>
        <v>3.6527767969550544E-3</v>
      </c>
      <c r="AD63" s="5">
        <f t="shared" si="0"/>
        <v>1.9597147515663872E-4</v>
      </c>
      <c r="AE63" s="13">
        <f t="shared" si="0"/>
        <v>3.5827652416800838E-3</v>
      </c>
    </row>
    <row r="64" spans="1:31" x14ac:dyDescent="0.25">
      <c r="A64" s="812" t="s">
        <v>2001</v>
      </c>
      <c r="B64" s="812">
        <v>2104006010</v>
      </c>
      <c r="C64" s="812" t="s">
        <v>149</v>
      </c>
      <c r="D64" s="133">
        <v>6.4990552711092716E-4</v>
      </c>
      <c r="E64" s="133">
        <v>1.1107476281532221E-2</v>
      </c>
      <c r="F64" s="133">
        <v>7.0898784775737584E-5</v>
      </c>
      <c r="G64" s="133">
        <v>5.8529310125197163E-6</v>
      </c>
      <c r="H64" s="133">
        <v>5.8529310125197163E-6</v>
      </c>
      <c r="I64" s="133">
        <v>2.3632928258579176E-3</v>
      </c>
      <c r="J64" s="133">
        <v>4.7265856517158351E-3</v>
      </c>
      <c r="K64" s="45">
        <v>291.73882732240412</v>
      </c>
      <c r="L64" s="134">
        <v>287.42741608118655</v>
      </c>
      <c r="M64" s="45" t="s">
        <v>1998</v>
      </c>
      <c r="N64" s="133">
        <v>6.4990552711092716E-4</v>
      </c>
      <c r="O64" s="133">
        <v>1.1107476281532221E-2</v>
      </c>
      <c r="P64" s="133">
        <v>7.0898784775737584E-5</v>
      </c>
      <c r="Q64" s="133">
        <v>5.8529310125197163E-6</v>
      </c>
      <c r="R64" s="133">
        <v>5.8529310125197163E-6</v>
      </c>
      <c r="S64" s="133">
        <v>2.3632928258579176E-3</v>
      </c>
      <c r="T64" s="133">
        <v>4.7265856517158351E-3</v>
      </c>
      <c r="U64" s="45">
        <v>291.73882732240412</v>
      </c>
      <c r="V64" s="134">
        <v>287.42741608118655</v>
      </c>
      <c r="W64" t="s">
        <v>1998</v>
      </c>
      <c r="Y64" s="13">
        <f t="shared" si="1"/>
        <v>4.4553927434054482E-3</v>
      </c>
      <c r="Z64" s="5">
        <f t="shared" si="0"/>
        <v>7.6146712341838646E-2</v>
      </c>
      <c r="AA64" s="357">
        <f t="shared" si="0"/>
        <v>4.860428447351403E-4</v>
      </c>
      <c r="AB64" s="5">
        <f t="shared" si="0"/>
        <v>4.0124456975701566E-5</v>
      </c>
      <c r="AC64" s="358">
        <f t="shared" si="0"/>
        <v>4.0124456975701566E-5</v>
      </c>
      <c r="AD64" s="5">
        <f t="shared" si="0"/>
        <v>1.6201428157837997E-2</v>
      </c>
      <c r="AE64" s="13">
        <f t="shared" si="0"/>
        <v>3.2402856315675993E-2</v>
      </c>
    </row>
    <row r="65" spans="1:31" x14ac:dyDescent="0.25">
      <c r="A65" s="812" t="s">
        <v>2001</v>
      </c>
      <c r="B65" s="812">
        <v>2103006000</v>
      </c>
      <c r="C65" s="812" t="s">
        <v>150</v>
      </c>
      <c r="D65" s="133">
        <v>7.2943884387197564E-3</v>
      </c>
      <c r="E65" s="133">
        <v>0.13262524434035919</v>
      </c>
      <c r="F65" s="133">
        <v>7.9575146604215531E-4</v>
      </c>
      <c r="G65" s="133">
        <v>1.0079518569867293E-2</v>
      </c>
      <c r="H65" s="133">
        <v>1.0079518569867293E-2</v>
      </c>
      <c r="I65" s="133">
        <v>2.6525048868071815E-2</v>
      </c>
      <c r="J65" s="133">
        <v>5.305009773614363E-2</v>
      </c>
      <c r="K65" s="45">
        <v>2692.2924601092896</v>
      </c>
      <c r="L65" s="134">
        <v>2652.5048868071826</v>
      </c>
      <c r="M65" s="45" t="s">
        <v>1998</v>
      </c>
      <c r="N65" s="133">
        <v>7.2943884387197564E-3</v>
      </c>
      <c r="O65" s="133">
        <v>0.13262524434035919</v>
      </c>
      <c r="P65" s="133">
        <v>7.9575146604215531E-4</v>
      </c>
      <c r="Q65" s="133">
        <v>1.0079518569867293E-2</v>
      </c>
      <c r="R65" s="133">
        <v>1.0079518569867293E-2</v>
      </c>
      <c r="S65" s="133">
        <v>2.6525048868071815E-2</v>
      </c>
      <c r="T65" s="133">
        <v>5.305009773614363E-2</v>
      </c>
      <c r="U65" s="45">
        <v>2692.2924601092896</v>
      </c>
      <c r="V65" s="134">
        <v>2652.5048868071826</v>
      </c>
      <c r="W65" t="s">
        <v>1998</v>
      </c>
      <c r="Y65" s="13">
        <f t="shared" si="1"/>
        <v>5.4187192118226642E-3</v>
      </c>
      <c r="Z65" s="5">
        <f t="shared" si="0"/>
        <v>9.8522167487684803E-2</v>
      </c>
      <c r="AA65" s="357">
        <f t="shared" si="0"/>
        <v>5.9113300492610887E-4</v>
      </c>
      <c r="AB65" s="5">
        <f t="shared" si="0"/>
        <v>7.4876847290640414E-3</v>
      </c>
      <c r="AC65" s="358">
        <f t="shared" si="0"/>
        <v>7.4876847290640414E-3</v>
      </c>
      <c r="AD65" s="5">
        <f t="shared" si="0"/>
        <v>1.9704433497536943E-2</v>
      </c>
      <c r="AE65" s="13">
        <f t="shared" si="0"/>
        <v>3.9408866995073885E-2</v>
      </c>
    </row>
    <row r="66" spans="1:31" x14ac:dyDescent="0.25">
      <c r="A66" s="812" t="s">
        <v>2001</v>
      </c>
      <c r="B66" s="812">
        <v>2104002000</v>
      </c>
      <c r="C66" s="812" t="s">
        <v>151</v>
      </c>
      <c r="D66" s="133">
        <v>0.13126425007986367</v>
      </c>
      <c r="E66" s="133">
        <v>6.1956726037695656E-2</v>
      </c>
      <c r="F66" s="133">
        <v>0.12207575257427321</v>
      </c>
      <c r="G66" s="133">
        <v>0.10488013581381103</v>
      </c>
      <c r="H66" s="133">
        <v>0.10488013581381103</v>
      </c>
      <c r="I66" s="133">
        <v>1.661739773886034E-2</v>
      </c>
      <c r="J66" s="133">
        <v>1.7139829454178199</v>
      </c>
      <c r="K66" s="45">
        <v>399.04332024278546</v>
      </c>
      <c r="L66" s="134">
        <v>26.252850015972733</v>
      </c>
      <c r="M66" s="45" t="s">
        <v>738</v>
      </c>
      <c r="N66" s="133">
        <v>0.11507470765552567</v>
      </c>
      <c r="O66" s="133">
        <v>5.4315262013408111E-2</v>
      </c>
      <c r="P66" s="133">
        <v>0.10701947811963887</v>
      </c>
      <c r="Q66" s="133">
        <v>9.1944691416765034E-2</v>
      </c>
      <c r="R66" s="133">
        <v>9.1944691416765034E-2</v>
      </c>
      <c r="S66" s="133">
        <v>1.4567882615651275E-2</v>
      </c>
      <c r="T66" s="133">
        <v>1.5025879952120262</v>
      </c>
      <c r="U66" s="45">
        <v>349.82711127279811</v>
      </c>
      <c r="V66" s="134">
        <v>23.014941531105137</v>
      </c>
      <c r="W66" t="s">
        <v>738</v>
      </c>
      <c r="Y66" s="13">
        <f t="shared" si="1"/>
        <v>0.65789473684210509</v>
      </c>
      <c r="Z66" s="5">
        <f t="shared" si="1"/>
        <v>0.31052631578947359</v>
      </c>
      <c r="AA66" s="357">
        <f t="shared" si="1"/>
        <v>0.61184210526315774</v>
      </c>
      <c r="AB66" s="5">
        <f t="shared" si="1"/>
        <v>0.5256578947368421</v>
      </c>
      <c r="AC66" s="358">
        <f t="shared" si="1"/>
        <v>0.5256578947368421</v>
      </c>
      <c r="AD66" s="5">
        <f t="shared" si="1"/>
        <v>8.3286184210526318E-2</v>
      </c>
      <c r="AE66" s="13">
        <f t="shared" si="1"/>
        <v>8.5904605263157876</v>
      </c>
    </row>
    <row r="67" spans="1:31" x14ac:dyDescent="0.25">
      <c r="A67" s="812" t="s">
        <v>2001</v>
      </c>
      <c r="B67" s="812">
        <v>2103002000</v>
      </c>
      <c r="C67" s="812" t="s">
        <v>152</v>
      </c>
      <c r="D67" s="133">
        <v>3.4838015202202628E-4</v>
      </c>
      <c r="E67" s="133">
        <v>1.6443543175439636E-4</v>
      </c>
      <c r="F67" s="133">
        <v>3.2399354138048429E-4</v>
      </c>
      <c r="G67" s="133">
        <v>2.7835574146559892E-4</v>
      </c>
      <c r="H67" s="133">
        <v>2.7835574146559892E-4</v>
      </c>
      <c r="I67" s="133">
        <v>4.4103185345228465E-5</v>
      </c>
      <c r="J67" s="133">
        <v>4.5489738350276074E-3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2.9937064250054862E-4</v>
      </c>
      <c r="H68" s="133">
        <v>2.9937064250054862E-4</v>
      </c>
      <c r="I68" s="133">
        <v>1.0961826058757602E-5</v>
      </c>
      <c r="J68" s="133">
        <v>2.12931673904609E-3</v>
      </c>
      <c r="K68" s="45">
        <v>9.6654102131207296</v>
      </c>
      <c r="L68" s="134">
        <v>0.79814120981799463</v>
      </c>
      <c r="M68" s="45" t="s">
        <v>738</v>
      </c>
      <c r="N68" s="133">
        <v>8.7269646582558823E-4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1.6802202817214628E-2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1.6802202817214628E-2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0.26689697964980841</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10.112172899947835</v>
      </c>
      <c r="E70" s="137">
        <v>2.7926948148049959</v>
      </c>
      <c r="F70" s="137">
        <v>4.3711251958367088</v>
      </c>
      <c r="G70" s="137">
        <v>2.9103389653895362</v>
      </c>
      <c r="H70" s="137">
        <v>2.9103389653895362</v>
      </c>
      <c r="I70" s="137">
        <v>0.15138525951226592</v>
      </c>
      <c r="J70" s="137">
        <v>30.932611345757437</v>
      </c>
      <c r="K70" s="87">
        <v>55687.987813238709</v>
      </c>
      <c r="L70" s="87"/>
      <c r="M70" s="87"/>
      <c r="N70" s="137">
        <v>9.1062730617799659</v>
      </c>
      <c r="O70" s="137">
        <v>2.6048562707080127</v>
      </c>
      <c r="P70" s="137">
        <v>4.0475646035746573</v>
      </c>
      <c r="Q70" s="137">
        <v>2.5882506455525549</v>
      </c>
      <c r="R70" s="137">
        <v>2.5882506455525549</v>
      </c>
      <c r="S70" s="137">
        <v>0.13807069600535996</v>
      </c>
      <c r="T70" s="137">
        <v>27.28461678215475</v>
      </c>
      <c r="U70" s="87">
        <v>51832.82158544907</v>
      </c>
      <c r="Y70" s="13">
        <f t="shared" si="1"/>
        <v>0.35137091839647616</v>
      </c>
      <c r="Z70" s="5">
        <f t="shared" si="1"/>
        <v>0.10050991595793307</v>
      </c>
      <c r="AA70" s="357">
        <f t="shared" si="1"/>
        <v>0.1561776681171809</v>
      </c>
      <c r="AB70" s="5">
        <f t="shared" si="1"/>
        <v>9.9869178114708287E-2</v>
      </c>
      <c r="AC70" s="358">
        <f t="shared" si="1"/>
        <v>9.9869178114708287E-2</v>
      </c>
      <c r="AD70" s="5">
        <f t="shared" si="1"/>
        <v>5.3275392611125101E-3</v>
      </c>
      <c r="AE70" s="13">
        <f t="shared" si="1"/>
        <v>1.0527930352845893</v>
      </c>
    </row>
    <row r="71" spans="1:31" x14ac:dyDescent="0.25">
      <c r="R71" s="133"/>
      <c r="T71" s="1" t="s">
        <v>1452</v>
      </c>
      <c r="U71" s="45">
        <f>SUM(U50:U60,U62:U64,U66)</f>
        <v>38879.389560515039</v>
      </c>
      <c r="V71" t="s">
        <v>2002</v>
      </c>
    </row>
    <row r="72" spans="1:31" x14ac:dyDescent="0.25">
      <c r="L72" s="134"/>
      <c r="U72" s="45">
        <f ca="1">U71/OFFSET(Devices!$BH$41,0,MATCH(VALUE(RIGHT(A2,4)),Devices!$BI$39:$CG$39,0))*10^6</f>
        <v>942115.64536025003</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7.3732948901989381</v>
      </c>
      <c r="O74" s="133">
        <f t="shared" si="2"/>
        <v>0.19490803596426989</v>
      </c>
      <c r="P74" s="133">
        <f t="shared" si="2"/>
        <v>0.13813238785473667</v>
      </c>
      <c r="Q74" s="133">
        <f>SUM(Q50,Q51,Q54, Q59,Q66)</f>
        <v>1.4365153680278921</v>
      </c>
      <c r="R74" s="133">
        <f t="shared" ref="R74:U74" si="3">SUM(R50,R51,R54, R59,R66)</f>
        <v>1.4365153680278921</v>
      </c>
      <c r="S74" s="133">
        <f t="shared" si="3"/>
        <v>7.0428466631739309E-2</v>
      </c>
      <c r="T74" s="133">
        <f t="shared" si="3"/>
        <v>12.157589576802385</v>
      </c>
      <c r="U74" s="45">
        <f t="shared" si="3"/>
        <v>2847.2846606652615</v>
      </c>
      <c r="Y74" s="13">
        <f t="shared" ref="Y74:AE80" si="4">N74/$U74*2000</f>
        <v>5.179176491946671</v>
      </c>
      <c r="Z74" s="5">
        <f t="shared" si="4"/>
        <v>0.13690800829076927</v>
      </c>
      <c r="AA74" s="357">
        <f t="shared" si="4"/>
        <v>9.7027451988212762E-2</v>
      </c>
      <c r="AB74" s="5">
        <f t="shared" si="4"/>
        <v>1.0090423257450158</v>
      </c>
      <c r="AC74" s="358">
        <f t="shared" si="4"/>
        <v>1.0090423257450158</v>
      </c>
      <c r="AD74" s="5">
        <f t="shared" si="4"/>
        <v>4.9470618519248347E-2</v>
      </c>
      <c r="AE74" s="13">
        <f t="shared" si="4"/>
        <v>8.5397780873527349</v>
      </c>
    </row>
    <row r="75" spans="1:31" x14ac:dyDescent="0.25">
      <c r="M75" s="1" t="s">
        <v>2006</v>
      </c>
      <c r="N75" s="133">
        <f t="shared" ref="N75:U75" si="5">SUM(N52:N53,N55:N56)</f>
        <v>1.567152997444341</v>
      </c>
      <c r="O75" s="133">
        <f t="shared" si="5"/>
        <v>0.19425630848427722</v>
      </c>
      <c r="P75" s="133">
        <f t="shared" si="5"/>
        <v>4.7752025376516571E-2</v>
      </c>
      <c r="Q75" s="133">
        <f t="shared" si="5"/>
        <v>1.0081883957796651</v>
      </c>
      <c r="R75" s="133">
        <f t="shared" si="5"/>
        <v>1.0081883957796651</v>
      </c>
      <c r="S75" s="133">
        <f t="shared" si="5"/>
        <v>3.3459674531697327E-2</v>
      </c>
      <c r="T75" s="133">
        <f t="shared" si="5"/>
        <v>14.785249589262573</v>
      </c>
      <c r="U75" s="45">
        <f t="shared" si="5"/>
        <v>3833.3254510139031</v>
      </c>
      <c r="Y75" s="13">
        <f t="shared" si="4"/>
        <v>0.8176467234368705</v>
      </c>
      <c r="Z75" s="5">
        <f t="shared" si="4"/>
        <v>0.10135132587445557</v>
      </c>
      <c r="AA75" s="357">
        <f t="shared" si="4"/>
        <v>2.4914151426347744E-2</v>
      </c>
      <c r="AB75" s="5">
        <f t="shared" si="4"/>
        <v>0.52601241854536629</v>
      </c>
      <c r="AC75" s="358">
        <f t="shared" si="4"/>
        <v>0.52601241854536629</v>
      </c>
      <c r="AD75" s="5">
        <f t="shared" si="4"/>
        <v>1.7457257391410554E-2</v>
      </c>
      <c r="AE75" s="13">
        <f t="shared" si="4"/>
        <v>7.71405912605303</v>
      </c>
    </row>
    <row r="76" spans="1:31" x14ac:dyDescent="0.25">
      <c r="M76" s="1" t="s">
        <v>2007</v>
      </c>
      <c r="N76" s="133">
        <f t="shared" ref="N76:U76" si="6">SUM(N60,N62:N63)</f>
        <v>8.3200504086513374E-2</v>
      </c>
      <c r="O76" s="133">
        <f t="shared" si="6"/>
        <v>1.3088602035693098</v>
      </c>
      <c r="P76" s="133">
        <f t="shared" si="6"/>
        <v>3.3726635738979742</v>
      </c>
      <c r="Q76" s="133">
        <f t="shared" si="6"/>
        <v>5.3237060407153529E-2</v>
      </c>
      <c r="R76" s="133">
        <f t="shared" si="6"/>
        <v>5.3237060407153529E-2</v>
      </c>
      <c r="S76" s="133">
        <f t="shared" si="6"/>
        <v>2.8585072790340079E-3</v>
      </c>
      <c r="T76" s="133">
        <f t="shared" si="6"/>
        <v>5.2259444973951956E-2</v>
      </c>
      <c r="U76" s="45">
        <f t="shared" si="6"/>
        <v>31278.281183202227</v>
      </c>
      <c r="V76" s="134">
        <f t="shared" ref="V76" si="7">SUM(V60,V62:V63)</f>
        <v>233.38149813888751</v>
      </c>
      <c r="W76" t="s">
        <v>1997</v>
      </c>
      <c r="Y76" s="13">
        <f t="shared" si="4"/>
        <v>5.3200176569290257E-3</v>
      </c>
      <c r="Z76" s="5">
        <f t="shared" si="4"/>
        <v>8.3691312569453044E-2</v>
      </c>
      <c r="AA76" s="357">
        <f t="shared" si="4"/>
        <v>0.21565530114290543</v>
      </c>
      <c r="AB76" s="5">
        <f t="shared" si="4"/>
        <v>3.4040911708245721E-3</v>
      </c>
      <c r="AC76" s="358">
        <f t="shared" si="4"/>
        <v>3.4040911708245721E-3</v>
      </c>
      <c r="AD76" s="5">
        <f t="shared" si="4"/>
        <v>1.8277905120752915E-4</v>
      </c>
      <c r="AE76" s="13">
        <f t="shared" si="4"/>
        <v>3.3415803552541441E-3</v>
      </c>
    </row>
    <row r="77" spans="1:31" x14ac:dyDescent="0.25">
      <c r="M77" s="1" t="s">
        <v>2008</v>
      </c>
      <c r="N77" s="133">
        <f t="shared" ref="N77:U77" si="8">N61</f>
        <v>2.6028891884599798E-2</v>
      </c>
      <c r="O77" s="133">
        <f t="shared" si="8"/>
        <v>0.65711087506703569</v>
      </c>
      <c r="P77" s="133">
        <f t="shared" si="8"/>
        <v>0.4644751714251617</v>
      </c>
      <c r="Q77" s="133">
        <f t="shared" si="8"/>
        <v>1.6668606649109026E-2</v>
      </c>
      <c r="R77" s="133">
        <f t="shared" si="8"/>
        <v>1.6668606649109026E-2</v>
      </c>
      <c r="S77" s="133">
        <f t="shared" si="8"/>
        <v>8.9427074672469929E-4</v>
      </c>
      <c r="T77" s="133">
        <f t="shared" si="8"/>
        <v>1.6349125021667767E-2</v>
      </c>
      <c r="U77" s="45">
        <f t="shared" si="8"/>
        <v>10112.206244087163</v>
      </c>
      <c r="Y77" s="13">
        <f t="shared" si="4"/>
        <v>5.1480144404332101E-3</v>
      </c>
      <c r="Z77" s="5">
        <f t="shared" si="4"/>
        <v>0.12996389891696747</v>
      </c>
      <c r="AA77" s="357">
        <f t="shared" si="4"/>
        <v>9.1864259927797828E-2</v>
      </c>
      <c r="AB77" s="5">
        <f t="shared" si="4"/>
        <v>3.2967299611507705E-3</v>
      </c>
      <c r="AC77" s="358">
        <f t="shared" si="4"/>
        <v>3.2967299611507705E-3</v>
      </c>
      <c r="AD77" s="5">
        <f t="shared" si="4"/>
        <v>1.7686956241573886E-4</v>
      </c>
      <c r="AE77" s="13">
        <f t="shared" si="4"/>
        <v>3.2335426368953805E-3</v>
      </c>
    </row>
    <row r="78" spans="1:31" x14ac:dyDescent="0.25">
      <c r="M78" s="1" t="s">
        <v>2009</v>
      </c>
      <c r="N78" s="133">
        <f t="shared" ref="N78:U78" si="9">SUM(N50:N59,N68)</f>
        <v>8.8732409000240722</v>
      </c>
      <c r="O78" s="133">
        <f t="shared" si="9"/>
        <v>0.41695254403431159</v>
      </c>
      <c r="P78" s="133">
        <f t="shared" si="9"/>
        <v>8.5431349256273353E-2</v>
      </c>
      <c r="Q78" s="133">
        <f t="shared" si="9"/>
        <v>2.4136863531436412</v>
      </c>
      <c r="R78" s="133">
        <f t="shared" si="9"/>
        <v>2.4136863531436412</v>
      </c>
      <c r="S78" s="133">
        <f t="shared" si="9"/>
        <v>9.0803478220896183E-2</v>
      </c>
      <c r="T78" s="133">
        <f t="shared" si="9"/>
        <v>25.645695712345784</v>
      </c>
      <c r="U78" s="45">
        <f t="shared" si="9"/>
        <v>6967.4374630648108</v>
      </c>
      <c r="V78" s="134">
        <f t="shared" ref="V78" si="10">V61</f>
        <v>75.345774851659016</v>
      </c>
      <c r="W78" t="s">
        <v>1997</v>
      </c>
      <c r="Y78" s="13">
        <f t="shared" si="4"/>
        <v>2.547060076839482</v>
      </c>
      <c r="Z78" s="5">
        <f t="shared" si="4"/>
        <v>0.11968605279763904</v>
      </c>
      <c r="AA78" s="357">
        <f t="shared" si="4"/>
        <v>2.4523032954125466E-2</v>
      </c>
      <c r="AB78" s="5">
        <f t="shared" si="4"/>
        <v>0.69284765480533428</v>
      </c>
      <c r="AC78" s="358">
        <f t="shared" si="4"/>
        <v>0.69284765480533428</v>
      </c>
      <c r="AD78" s="5">
        <f t="shared" si="4"/>
        <v>2.606510031909318E-2</v>
      </c>
      <c r="AE78" s="13">
        <f t="shared" si="4"/>
        <v>7.36158619242629</v>
      </c>
    </row>
    <row r="79" spans="1:31" x14ac:dyDescent="0.25">
      <c r="M79" s="1" t="s">
        <v>2010</v>
      </c>
      <c r="N79" s="133">
        <f>SUM(N64,N65,N66,N67,N69)</f>
        <v>0.12380276578478262</v>
      </c>
      <c r="O79" s="133">
        <f t="shared" ref="O79:U79" si="11">SUM(O64,O65,O66,O67,O69)</f>
        <v>0.22193264803735513</v>
      </c>
      <c r="P79" s="133">
        <f t="shared" si="11"/>
        <v>0.12499450899524707</v>
      </c>
      <c r="Q79" s="133">
        <f t="shared" si="11"/>
        <v>0.10465862535265139</v>
      </c>
      <c r="R79" s="133">
        <f t="shared" si="11"/>
        <v>0.10465862535265139</v>
      </c>
      <c r="S79" s="133">
        <f t="shared" si="11"/>
        <v>4.3514439758705087E-2</v>
      </c>
      <c r="T79" s="133">
        <f t="shared" si="11"/>
        <v>1.5703124998133442</v>
      </c>
      <c r="U79" s="45">
        <f t="shared" si="11"/>
        <v>3474.8966950948657</v>
      </c>
      <c r="V79" s="134">
        <f t="shared" ref="V79" si="12">SUM(V50:V59,V68)</f>
        <v>619.92448489932019</v>
      </c>
      <c r="W79" t="s">
        <v>2011</v>
      </c>
      <c r="Y79" s="13">
        <f t="shared" si="4"/>
        <v>7.125550866564842E-2</v>
      </c>
      <c r="Z79" s="5">
        <f t="shared" si="4"/>
        <v>0.12773481775768089</v>
      </c>
      <c r="AA79" s="357">
        <f t="shared" si="4"/>
        <v>7.1941424429502174E-2</v>
      </c>
      <c r="AB79" s="5">
        <f t="shared" si="4"/>
        <v>6.0236970785569888E-2</v>
      </c>
      <c r="AC79" s="358">
        <f t="shared" si="4"/>
        <v>6.0236970785569888E-2</v>
      </c>
      <c r="AD79" s="5">
        <f t="shared" si="4"/>
        <v>2.5045026414816703E-2</v>
      </c>
      <c r="AE79" s="13">
        <f t="shared" si="4"/>
        <v>0.90380384661793478</v>
      </c>
    </row>
    <row r="80" spans="1:31" x14ac:dyDescent="0.25">
      <c r="M80" s="1" t="s">
        <v>2012</v>
      </c>
      <c r="N80" s="133">
        <f>SUM(N76:N79)</f>
        <v>9.1062730617799676</v>
      </c>
      <c r="O80" s="133">
        <f t="shared" ref="O80:U80" si="13">SUM(O76:O79)</f>
        <v>2.6048562707080123</v>
      </c>
      <c r="P80" s="133">
        <f t="shared" si="13"/>
        <v>4.0475646035746564</v>
      </c>
      <c r="Q80" s="133">
        <f t="shared" si="13"/>
        <v>2.5882506455525554</v>
      </c>
      <c r="R80" s="133">
        <f t="shared" si="13"/>
        <v>2.5882506455525554</v>
      </c>
      <c r="S80" s="133">
        <f t="shared" si="13"/>
        <v>0.13807069600535998</v>
      </c>
      <c r="T80" s="133">
        <f t="shared" si="13"/>
        <v>27.284616782154746</v>
      </c>
      <c r="U80" s="45">
        <f t="shared" si="13"/>
        <v>51832.82158544907</v>
      </c>
      <c r="Y80" s="13">
        <f t="shared" si="4"/>
        <v>0.35137091839647622</v>
      </c>
      <c r="Z80" s="5">
        <f t="shared" si="4"/>
        <v>0.10050991595793306</v>
      </c>
      <c r="AA80" s="357">
        <f t="shared" si="4"/>
        <v>0.15617766811718084</v>
      </c>
      <c r="AB80" s="5">
        <f t="shared" si="4"/>
        <v>9.9869178114708315E-2</v>
      </c>
      <c r="AC80" s="358">
        <f t="shared" si="4"/>
        <v>9.9869178114708315E-2</v>
      </c>
      <c r="AD80" s="5">
        <f t="shared" si="4"/>
        <v>5.3275392611125119E-3</v>
      </c>
      <c r="AE80" s="13">
        <f t="shared" si="4"/>
        <v>1.0527930352845891</v>
      </c>
    </row>
    <row r="82" spans="20:23" x14ac:dyDescent="0.25">
      <c r="V82" s="38">
        <f>V79/Lookup!B37</f>
        <v>368.39842097281542</v>
      </c>
      <c r="W82" t="s">
        <v>2013</v>
      </c>
    </row>
    <row r="83" spans="20:23" x14ac:dyDescent="0.25">
      <c r="T83" s="1" t="s">
        <v>2014</v>
      </c>
      <c r="U83" s="13">
        <v>1.930282922015446</v>
      </c>
      <c r="V83" s="45">
        <f>V82*365/U83</f>
        <v>69660.99224184177</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51F-038F-4BF0-9DF9-67699980B95E}">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2018</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5.737322204693009</v>
      </c>
      <c r="E6" s="133">
        <v>6.5139902760706664E-2</v>
      </c>
      <c r="F6" s="133">
        <v>1.0021523501647176E-2</v>
      </c>
      <c r="G6" s="133">
        <v>0.86686178289248084</v>
      </c>
      <c r="H6" s="133">
        <v>0.86686178289248084</v>
      </c>
      <c r="I6" s="133">
        <v>4.5096855757412284E-2</v>
      </c>
      <c r="J6" s="133">
        <v>6.3285920912901918</v>
      </c>
      <c r="K6" s="45">
        <v>806.23227856524011</v>
      </c>
      <c r="L6" s="134">
        <v>71.58290200694934</v>
      </c>
      <c r="M6" s="45" t="s">
        <v>738</v>
      </c>
      <c r="N6" s="133">
        <v>5.2864976609606478</v>
      </c>
      <c r="O6" s="133">
        <v>6.0021370823133996E-2</v>
      </c>
      <c r="P6" s="133">
        <v>9.2340570497129217E-3</v>
      </c>
      <c r="Q6" s="133">
        <v>0.79874593480016765</v>
      </c>
      <c r="R6" s="133">
        <v>0.79874593480016765</v>
      </c>
      <c r="S6" s="133">
        <v>4.1553256723708139E-2</v>
      </c>
      <c r="T6" s="133">
        <v>5.8313070268937093</v>
      </c>
      <c r="U6" s="45">
        <v>742.88054649253797</v>
      </c>
      <c r="V6" s="134">
        <v>65.958095174604452</v>
      </c>
      <c r="W6" t="s">
        <v>738</v>
      </c>
    </row>
    <row r="7" spans="1:23" x14ac:dyDescent="0.25">
      <c r="A7" s="812" t="s">
        <v>1996</v>
      </c>
      <c r="B7" s="812">
        <v>2104008210</v>
      </c>
      <c r="C7" s="812" t="s">
        <v>138</v>
      </c>
      <c r="D7" s="133">
        <v>0.11834283031723535</v>
      </c>
      <c r="E7" s="133">
        <v>6.2520740544954488E-3</v>
      </c>
      <c r="F7" s="133">
        <v>8.9315343635649276E-4</v>
      </c>
      <c r="G7" s="133">
        <v>6.832623788127172E-2</v>
      </c>
      <c r="H7" s="133">
        <v>6.832623788127172E-2</v>
      </c>
      <c r="I7" s="133">
        <v>3.7959021045150939E-3</v>
      </c>
      <c r="J7" s="133">
        <v>0.51534953277769657</v>
      </c>
      <c r="K7" s="45">
        <v>71.854257487268569</v>
      </c>
      <c r="L7" s="134">
        <v>6.3797200995805028</v>
      </c>
      <c r="M7" s="45" t="s">
        <v>738</v>
      </c>
      <c r="N7" s="133">
        <v>0.10284300466689485</v>
      </c>
      <c r="O7" s="133">
        <v>5.4332153408925563E-3</v>
      </c>
      <c r="P7" s="133">
        <v>7.7617362012750838E-4</v>
      </c>
      <c r="Q7" s="133">
        <v>5.9377281939754396E-2</v>
      </c>
      <c r="R7" s="133">
        <v>5.9377281939754396E-2</v>
      </c>
      <c r="S7" s="133">
        <v>3.2987378855419101E-3</v>
      </c>
      <c r="T7" s="133">
        <v>0.44785217881357231</v>
      </c>
      <c r="U7" s="45">
        <v>62.443222950560084</v>
      </c>
      <c r="V7" s="134">
        <v>5.5441430817214918</v>
      </c>
      <c r="W7" t="s">
        <v>738</v>
      </c>
    </row>
    <row r="8" spans="1:23" x14ac:dyDescent="0.25">
      <c r="A8" s="812" t="s">
        <v>1996</v>
      </c>
      <c r="B8" s="812">
        <v>2104008220</v>
      </c>
      <c r="C8" s="812" t="s">
        <v>139</v>
      </c>
      <c r="D8" s="133">
        <v>5.6413794293406441E-2</v>
      </c>
      <c r="E8" s="133">
        <v>9.4022990489010735E-3</v>
      </c>
      <c r="F8" s="133">
        <v>1.8804598097802146E-3</v>
      </c>
      <c r="G8" s="133">
        <v>5.6413794293406441E-2</v>
      </c>
      <c r="H8" s="133">
        <v>5.6413794293406441E-2</v>
      </c>
      <c r="I8" s="133">
        <v>4.2310345720054845E-3</v>
      </c>
      <c r="J8" s="133">
        <v>0.66192185304263562</v>
      </c>
      <c r="K8" s="45">
        <v>151.28312545894542</v>
      </c>
      <c r="L8" s="134">
        <v>13.431966733339381</v>
      </c>
      <c r="M8" s="45" t="s">
        <v>738</v>
      </c>
      <c r="N8" s="133">
        <v>4.9025057912182479E-2</v>
      </c>
      <c r="O8" s="133">
        <v>8.1708429853637483E-3</v>
      </c>
      <c r="P8" s="133">
        <v>1.6341685970727492E-3</v>
      </c>
      <c r="Q8" s="133">
        <v>4.9025057912182479E-2</v>
      </c>
      <c r="R8" s="133">
        <v>4.9025057912182479E-2</v>
      </c>
      <c r="S8" s="133">
        <v>3.6768793434136856E-3</v>
      </c>
      <c r="T8" s="133">
        <v>0.57522734616960758</v>
      </c>
      <c r="U8" s="45">
        <v>131.46897987727829</v>
      </c>
      <c r="V8" s="134">
        <v>11.672729253976746</v>
      </c>
      <c r="W8" t="s">
        <v>738</v>
      </c>
    </row>
    <row r="9" spans="1:23" x14ac:dyDescent="0.25">
      <c r="A9" s="812" t="s">
        <v>1996</v>
      </c>
      <c r="B9" s="812">
        <v>2104008230</v>
      </c>
      <c r="C9" s="812" t="s">
        <v>140</v>
      </c>
      <c r="D9" s="133">
        <v>4.2456543337707507E-2</v>
      </c>
      <c r="E9" s="133">
        <v>5.6608724450276648E-3</v>
      </c>
      <c r="F9" s="133">
        <v>1.1321744890055334E-3</v>
      </c>
      <c r="G9" s="133">
        <v>3.6795670892679821E-2</v>
      </c>
      <c r="H9" s="133">
        <v>3.6795670892679821E-2</v>
      </c>
      <c r="I9" s="133">
        <v>2.5473926002624499E-3</v>
      </c>
      <c r="J9" s="133">
        <v>0.30285667580898012</v>
      </c>
      <c r="K9" s="45">
        <v>91.083518175089509</v>
      </c>
      <c r="L9" s="134">
        <v>8.0870274352926721</v>
      </c>
      <c r="M9" s="45" t="s">
        <v>738</v>
      </c>
      <c r="N9" s="133">
        <v>3.6895842975154573E-2</v>
      </c>
      <c r="O9" s="133">
        <v>4.9194457300206097E-3</v>
      </c>
      <c r="P9" s="133">
        <v>9.8388914600412171E-4</v>
      </c>
      <c r="Q9" s="133">
        <v>3.1976397245133958E-2</v>
      </c>
      <c r="R9" s="133">
        <v>3.1976397245133958E-2</v>
      </c>
      <c r="S9" s="133">
        <v>2.2137505785092739E-3</v>
      </c>
      <c r="T9" s="133">
        <v>0.26319034655610257</v>
      </c>
      <c r="U9" s="45">
        <v>79.153951782693568</v>
      </c>
      <c r="V9" s="134">
        <v>7.0278376648558512</v>
      </c>
      <c r="W9" t="s">
        <v>738</v>
      </c>
    </row>
    <row r="10" spans="1:23" x14ac:dyDescent="0.25">
      <c r="A10" s="812" t="s">
        <v>1996</v>
      </c>
      <c r="B10" s="812">
        <v>2104008310</v>
      </c>
      <c r="C10" s="812" t="s">
        <v>141</v>
      </c>
      <c r="D10" s="133">
        <v>2.4016755135841006</v>
      </c>
      <c r="E10" s="133">
        <v>6.5803309520408831E-2</v>
      </c>
      <c r="F10" s="133">
        <v>1.8125852932710195E-2</v>
      </c>
      <c r="G10" s="133">
        <v>0.5502115973597892</v>
      </c>
      <c r="H10" s="133">
        <v>0.5502115973597892</v>
      </c>
      <c r="I10" s="133">
        <v>1.7991202552505629E-2</v>
      </c>
      <c r="J10" s="133">
        <v>5.4908030779806269</v>
      </c>
      <c r="K10" s="45">
        <v>1458.2261577768506</v>
      </c>
      <c r="L10" s="134">
        <v>129.47144753602646</v>
      </c>
      <c r="M10" s="45" t="s">
        <v>738</v>
      </c>
      <c r="N10" s="133">
        <v>2.0871186314353727</v>
      </c>
      <c r="O10" s="133">
        <v>5.7184791423050274E-2</v>
      </c>
      <c r="P10" s="133">
        <v>1.5751838727814133E-2</v>
      </c>
      <c r="Q10" s="133">
        <v>0.47814822176693744</v>
      </c>
      <c r="R10" s="133">
        <v>0.47814822176693744</v>
      </c>
      <c r="S10" s="133">
        <v>1.5634824037167858E-2</v>
      </c>
      <c r="T10" s="133">
        <v>4.7716510164580823</v>
      </c>
      <c r="U10" s="45">
        <v>1267.2365461229938</v>
      </c>
      <c r="V10" s="134">
        <v>112.51406314589373</v>
      </c>
      <c r="W10" t="s">
        <v>738</v>
      </c>
    </row>
    <row r="11" spans="1:23" x14ac:dyDescent="0.25">
      <c r="A11" s="812" t="s">
        <v>1996</v>
      </c>
      <c r="B11" s="812">
        <v>2104008320</v>
      </c>
      <c r="C11" s="812" t="s">
        <v>142</v>
      </c>
      <c r="D11" s="133">
        <v>1.1448739904196159</v>
      </c>
      <c r="E11" s="133">
        <v>0.1534932211903775</v>
      </c>
      <c r="F11" s="133">
        <v>3.8162466347320539E-2</v>
      </c>
      <c r="G11" s="133">
        <v>0.75610581516501463</v>
      </c>
      <c r="H11" s="133">
        <v>0.75610581516501463</v>
      </c>
      <c r="I11" s="133">
        <v>2.3826901524926582E-2</v>
      </c>
      <c r="J11" s="133">
        <v>11.796108839952756</v>
      </c>
      <c r="K11" s="45">
        <v>3070.1731322400638</v>
      </c>
      <c r="L11" s="134">
        <v>272.59129696545051</v>
      </c>
      <c r="M11" s="45" t="s">
        <v>738</v>
      </c>
      <c r="N11" s="133">
        <v>0.99492534380076625</v>
      </c>
      <c r="O11" s="133">
        <v>0.1333896106836622</v>
      </c>
      <c r="P11" s="133">
        <v>3.3164178126692215E-2</v>
      </c>
      <c r="Q11" s="133">
        <v>0.65707566456906863</v>
      </c>
      <c r="R11" s="133">
        <v>0.65707566456906863</v>
      </c>
      <c r="S11" s="133">
        <v>2.0706198577107985E-2</v>
      </c>
      <c r="T11" s="133">
        <v>10.251126098864136</v>
      </c>
      <c r="U11" s="45">
        <v>2668.0604893489285</v>
      </c>
      <c r="V11" s="134">
        <v>236.88894334217974</v>
      </c>
      <c r="W11" t="s">
        <v>738</v>
      </c>
    </row>
    <row r="12" spans="1:23" x14ac:dyDescent="0.25">
      <c r="A12" s="812" t="s">
        <v>1996</v>
      </c>
      <c r="B12" s="812">
        <v>2104008330</v>
      </c>
      <c r="C12" s="812" t="s">
        <v>143</v>
      </c>
      <c r="D12" s="133">
        <v>0.86162245952929417</v>
      </c>
      <c r="E12" s="133">
        <v>9.241415762421433E-2</v>
      </c>
      <c r="F12" s="133">
        <v>2.2976598920781178E-2</v>
      </c>
      <c r="G12" s="133">
        <v>0.50511939677331863</v>
      </c>
      <c r="H12" s="133">
        <v>0.50511939677331863</v>
      </c>
      <c r="I12" s="133">
        <v>1.4345539276227259E-2</v>
      </c>
      <c r="J12" s="133">
        <v>7.10212120922069</v>
      </c>
      <c r="K12" s="45">
        <v>1848.4690175636761</v>
      </c>
      <c r="L12" s="134">
        <v>164.11991936444824</v>
      </c>
      <c r="M12" s="45" t="s">
        <v>738</v>
      </c>
      <c r="N12" s="133">
        <v>0.74877237927245444</v>
      </c>
      <c r="O12" s="133">
        <v>8.0310312152894817E-2</v>
      </c>
      <c r="P12" s="133">
        <v>1.9967263447265449E-2</v>
      </c>
      <c r="Q12" s="133">
        <v>0.4389619239327241</v>
      </c>
      <c r="R12" s="133">
        <v>0.4389619239327241</v>
      </c>
      <c r="S12" s="133">
        <v>1.2466647609992955E-2</v>
      </c>
      <c r="T12" s="133">
        <v>6.1719284785295612</v>
      </c>
      <c r="U12" s="45">
        <v>1606.3677646572683</v>
      </c>
      <c r="V12" s="134">
        <v>142.62448842809346</v>
      </c>
      <c r="W12" t="s">
        <v>738</v>
      </c>
    </row>
    <row r="13" spans="1:23" x14ac:dyDescent="0.25">
      <c r="A13" s="812" t="s">
        <v>1996</v>
      </c>
      <c r="B13" s="812">
        <v>2104008410</v>
      </c>
      <c r="C13" s="812" t="s">
        <v>144</v>
      </c>
      <c r="D13" s="133">
        <v>1.4437289922466144E-2</v>
      </c>
      <c r="E13" s="133">
        <v>2.5212005585972256E-2</v>
      </c>
      <c r="F13" s="133">
        <v>2.0149455013764041E-3</v>
      </c>
      <c r="G13" s="133">
        <v>1.863824588773174E-2</v>
      </c>
      <c r="H13" s="133">
        <v>1.863824588773174E-2</v>
      </c>
      <c r="I13" s="133">
        <v>4.5260713324667481E-4</v>
      </c>
      <c r="J13" s="133">
        <v>6.2538870998970153E-2</v>
      </c>
      <c r="K13" s="45">
        <v>193.58016687089693</v>
      </c>
      <c r="L13" s="134">
        <v>17.187391877025931</v>
      </c>
      <c r="M13" s="45" t="s">
        <v>738</v>
      </c>
      <c r="N13" s="133">
        <v>1.2546381313454685E-2</v>
      </c>
      <c r="O13" s="133">
        <v>2.1909890114925702E-2</v>
      </c>
      <c r="P13" s="133">
        <v>1.7510401690250313E-3</v>
      </c>
      <c r="Q13" s="133">
        <v>1.6197121563481534E-2</v>
      </c>
      <c r="R13" s="133">
        <v>1.6197121563481534E-2</v>
      </c>
      <c r="S13" s="133">
        <v>3.9332739796724765E-4</v>
      </c>
      <c r="T13" s="133">
        <v>5.4347909246114427E-2</v>
      </c>
      <c r="U13" s="45">
        <v>168.22621152083863</v>
      </c>
      <c r="V13" s="134">
        <v>14.936291605350403</v>
      </c>
      <c r="W13" t="s">
        <v>738</v>
      </c>
    </row>
    <row r="14" spans="1:23" x14ac:dyDescent="0.25">
      <c r="A14" s="812" t="s">
        <v>1996</v>
      </c>
      <c r="B14" s="812">
        <v>2104008420</v>
      </c>
      <c r="C14" s="812" t="s">
        <v>145</v>
      </c>
      <c r="D14" s="133">
        <v>4.8697427599186917E-2</v>
      </c>
      <c r="E14" s="133">
        <v>8.5040878395233999E-2</v>
      </c>
      <c r="F14" s="133">
        <v>6.7964737978209004E-3</v>
      </c>
      <c r="G14" s="133">
        <v>6.286738262984333E-2</v>
      </c>
      <c r="H14" s="133">
        <v>6.286738262984333E-2</v>
      </c>
      <c r="I14" s="133">
        <v>1.5266579268355194E-3</v>
      </c>
      <c r="J14" s="133">
        <v>0.21094555549986618</v>
      </c>
      <c r="K14" s="45">
        <v>652.95191905543982</v>
      </c>
      <c r="L14" s="134">
        <v>57.973606961226189</v>
      </c>
      <c r="M14" s="45" t="s">
        <v>738</v>
      </c>
      <c r="N14" s="133">
        <v>4.2319334094205519E-2</v>
      </c>
      <c r="O14" s="133">
        <v>7.3902740286279509E-2</v>
      </c>
      <c r="P14" s="133">
        <v>5.9063129099923692E-3</v>
      </c>
      <c r="Q14" s="133">
        <v>5.4633394417429419E-2</v>
      </c>
      <c r="R14" s="133">
        <v>5.4633394417429419E-2</v>
      </c>
      <c r="S14" s="133">
        <v>1.3267055374070363E-3</v>
      </c>
      <c r="T14" s="133">
        <v>0.18331718694388818</v>
      </c>
      <c r="U14" s="45">
        <v>567.43223969434393</v>
      </c>
      <c r="V14" s="134">
        <v>50.380575783827524</v>
      </c>
      <c r="W14" t="s">
        <v>738</v>
      </c>
    </row>
    <row r="15" spans="1:23" x14ac:dyDescent="0.25">
      <c r="A15" s="812" t="s">
        <v>1996</v>
      </c>
      <c r="B15" s="812">
        <v>2104008610</v>
      </c>
      <c r="C15" s="812" t="s">
        <v>146</v>
      </c>
      <c r="D15" s="133">
        <v>1.2344712987049387</v>
      </c>
      <c r="E15" s="133">
        <v>4.3851833262822548E-2</v>
      </c>
      <c r="F15" s="133">
        <v>1.0876399107532499E-2</v>
      </c>
      <c r="G15" s="133">
        <v>0.26837928316643306</v>
      </c>
      <c r="H15" s="133">
        <v>0.26837928316643306</v>
      </c>
      <c r="I15" s="133">
        <v>6.6280387216668445E-3</v>
      </c>
      <c r="J15" s="133">
        <v>1.646976857304695</v>
      </c>
      <c r="K15" s="45">
        <v>875.00708186829854</v>
      </c>
      <c r="L15" s="134">
        <v>77.689206773301706</v>
      </c>
      <c r="M15" s="45" t="s">
        <v>738</v>
      </c>
      <c r="N15" s="133">
        <v>1.1285883703786872</v>
      </c>
      <c r="O15" s="133">
        <v>4.0090578932152218E-2</v>
      </c>
      <c r="P15" s="133">
        <v>9.9435098711778587E-3</v>
      </c>
      <c r="Q15" s="133">
        <v>0.2453598865765132</v>
      </c>
      <c r="R15" s="133">
        <v>0.2453598865765132</v>
      </c>
      <c r="S15" s="133">
        <v>6.0595393570837116E-3</v>
      </c>
      <c r="T15" s="133">
        <v>1.505712550293318</v>
      </c>
      <c r="U15" s="45">
        <v>799.95607644466565</v>
      </c>
      <c r="V15" s="134">
        <v>71.025657186421427</v>
      </c>
      <c r="W15" t="s">
        <v>738</v>
      </c>
    </row>
    <row r="16" spans="1:23" x14ac:dyDescent="0.25">
      <c r="A16" s="812" t="s">
        <v>1996</v>
      </c>
      <c r="B16" s="812">
        <v>2104004000</v>
      </c>
      <c r="C16" s="812" t="s">
        <v>568</v>
      </c>
      <c r="D16" s="133">
        <v>9.94896146043526E-2</v>
      </c>
      <c r="E16" s="133">
        <v>1.5588207289115743</v>
      </c>
      <c r="F16" s="133">
        <v>4.0329683436574166</v>
      </c>
      <c r="G16" s="133">
        <v>6.3712018892843614E-2</v>
      </c>
      <c r="H16" s="133">
        <v>6.3712018892843614E-2</v>
      </c>
      <c r="I16" s="133">
        <v>3.4181498136010612E-3</v>
      </c>
      <c r="J16" s="133">
        <v>6.2490871864064129E-2</v>
      </c>
      <c r="K16" s="45">
        <v>37454.60571005231</v>
      </c>
      <c r="L16" s="134">
        <v>279.07325274713224</v>
      </c>
      <c r="M16" s="45" t="s">
        <v>1997</v>
      </c>
      <c r="N16" s="133">
        <v>9.1807409756136035E-2</v>
      </c>
      <c r="O16" s="133">
        <v>1.438454596137138</v>
      </c>
      <c r="P16" s="133">
        <v>3.7215580614329102</v>
      </c>
      <c r="Q16" s="133">
        <v>5.8792422185441617E-2</v>
      </c>
      <c r="R16" s="133">
        <v>5.8792422185441617E-2</v>
      </c>
      <c r="S16" s="133">
        <v>3.1542134502489426E-3</v>
      </c>
      <c r="T16" s="133">
        <v>5.7665567426887318E-2</v>
      </c>
      <c r="U16" s="45">
        <v>34562.505316276984</v>
      </c>
      <c r="V16" s="134">
        <v>257.52429104105488</v>
      </c>
      <c r="W16" t="s">
        <v>1997</v>
      </c>
    </row>
    <row r="17" spans="1:23" x14ac:dyDescent="0.25">
      <c r="A17" s="812" t="s">
        <v>1996</v>
      </c>
      <c r="B17" s="812">
        <v>2103004001</v>
      </c>
      <c r="C17" s="812" t="s">
        <v>148</v>
      </c>
      <c r="D17" s="133">
        <v>3.127850757355552E-2</v>
      </c>
      <c r="E17" s="133">
        <v>0.7896397423899012</v>
      </c>
      <c r="F17" s="133">
        <v>0.55815246502084381</v>
      </c>
      <c r="G17" s="133">
        <v>2.0030400895523593E-2</v>
      </c>
      <c r="H17" s="133">
        <v>2.0030400895523593E-2</v>
      </c>
      <c r="I17" s="133">
        <v>1.074631008044841E-3</v>
      </c>
      <c r="J17" s="133">
        <v>1.9646484878359394E-2</v>
      </c>
      <c r="K17" s="45">
        <v>12151.678257889036</v>
      </c>
      <c r="L17" s="134">
        <v>90.541825590638723</v>
      </c>
      <c r="M17" s="45" t="s">
        <v>1997</v>
      </c>
      <c r="N17" s="133">
        <v>3.0750049353841135E-2</v>
      </c>
      <c r="O17" s="133">
        <v>0.77629858116289019</v>
      </c>
      <c r="P17" s="133">
        <v>0.54872233932509362</v>
      </c>
      <c r="Q17" s="133">
        <v>1.9691982255423155E-2</v>
      </c>
      <c r="R17" s="133">
        <v>1.9691982255423155E-2</v>
      </c>
      <c r="S17" s="133">
        <v>1.0564748480034524E-3</v>
      </c>
      <c r="T17" s="133">
        <v>1.931455259552755E-2</v>
      </c>
      <c r="U17" s="45">
        <v>11946.372610117811</v>
      </c>
      <c r="V17" s="134">
        <v>89.012098769472487</v>
      </c>
      <c r="W17" t="s">
        <v>1997</v>
      </c>
    </row>
    <row r="18" spans="1:23" x14ac:dyDescent="0.25">
      <c r="A18" s="812" t="s">
        <v>1996</v>
      </c>
      <c r="B18" s="812">
        <v>2104004000</v>
      </c>
      <c r="C18" s="812" t="s">
        <v>746</v>
      </c>
      <c r="D18" s="133">
        <v>6.6446962873683505E-4</v>
      </c>
      <c r="E18" s="133">
        <v>1.6774829336974804E-2</v>
      </c>
      <c r="F18" s="133">
        <v>2.6935323738807745E-2</v>
      </c>
      <c r="G18" s="133">
        <v>3.7277398526610678E-4</v>
      </c>
      <c r="H18" s="133">
        <v>3.7277398526610678E-4</v>
      </c>
      <c r="I18" s="133">
        <v>2.2829083685193138E-5</v>
      </c>
      <c r="J18" s="133">
        <v>4.1736302419186587E-4</v>
      </c>
      <c r="K18" s="45">
        <v>255.34086055765152</v>
      </c>
      <c r="L18" s="134">
        <v>1.8638699263305341</v>
      </c>
      <c r="M18" s="45" t="s">
        <v>1997</v>
      </c>
      <c r="N18" s="133">
        <v>6.2684967306599374E-4</v>
      </c>
      <c r="O18" s="133">
        <v>1.5825096935747393E-2</v>
      </c>
      <c r="P18" s="133">
        <v>2.5410339539063326E-2</v>
      </c>
      <c r="Q18" s="133">
        <v>3.5166882079438642E-4</v>
      </c>
      <c r="R18" s="133">
        <v>3.5166882079438642E-4</v>
      </c>
      <c r="S18" s="133">
        <v>2.1536580493022352E-5</v>
      </c>
      <c r="T18" s="133">
        <v>3.9373338366398405E-4</v>
      </c>
      <c r="U18" s="45">
        <v>240.88435052363485</v>
      </c>
      <c r="V18" s="134">
        <v>1.7583441039719319</v>
      </c>
      <c r="W18" t="s">
        <v>1997</v>
      </c>
    </row>
    <row r="19" spans="1:23" x14ac:dyDescent="0.25">
      <c r="A19" s="812" t="s">
        <v>1996</v>
      </c>
      <c r="B19" s="812">
        <v>2104004000</v>
      </c>
      <c r="C19" s="812" t="s">
        <v>747</v>
      </c>
      <c r="D19" s="133">
        <v>2.8518251345157355E-3</v>
      </c>
      <c r="E19" s="133">
        <v>4.4682896326343591E-2</v>
      </c>
      <c r="F19" s="133">
        <v>0.11560322687836952</v>
      </c>
      <c r="G19" s="133">
        <v>1.8262764166080488E-3</v>
      </c>
      <c r="H19" s="133">
        <v>1.8262764166080488E-3</v>
      </c>
      <c r="I19" s="133">
        <v>9.797972975102185E-5</v>
      </c>
      <c r="J19" s="133">
        <v>1.7912727852897282E-3</v>
      </c>
      <c r="K19" s="45">
        <v>999.938686716598</v>
      </c>
      <c r="L19" s="134">
        <v>7.9995094937327806</v>
      </c>
      <c r="M19" s="45" t="s">
        <v>1997</v>
      </c>
      <c r="N19" s="133">
        <v>2.3554631145907734E-3</v>
      </c>
      <c r="O19" s="133">
        <v>3.6905809152165306E-2</v>
      </c>
      <c r="P19" s="133">
        <v>9.5482410034199647E-2</v>
      </c>
      <c r="Q19" s="133">
        <v>1.5084118182083915E-3</v>
      </c>
      <c r="R19" s="133">
        <v>1.5084118182083915E-3</v>
      </c>
      <c r="S19" s="133">
        <v>8.0926294046880206E-5</v>
      </c>
      <c r="T19" s="133">
        <v>1.4795005916927297E-3</v>
      </c>
      <c r="U19" s="45">
        <v>825.89870778077625</v>
      </c>
      <c r="V19" s="134">
        <v>6.607189662246209</v>
      </c>
      <c r="W19" t="s">
        <v>1997</v>
      </c>
    </row>
    <row r="20" spans="1:23" x14ac:dyDescent="0.25">
      <c r="A20" s="812" t="s">
        <v>1996</v>
      </c>
      <c r="B20" s="812">
        <v>2104006010</v>
      </c>
      <c r="C20" s="812" t="s">
        <v>149</v>
      </c>
      <c r="D20" s="133">
        <v>6.6969683938961284E-4</v>
      </c>
      <c r="E20" s="133">
        <v>1.1445727800477035E-2</v>
      </c>
      <c r="F20" s="133">
        <v>7.3057837024321452E-5</v>
      </c>
      <c r="G20" s="133">
        <v>6.0311679724811471E-6</v>
      </c>
      <c r="H20" s="133">
        <v>6.0311679724811471E-6</v>
      </c>
      <c r="I20" s="133">
        <v>2.4352612341440477E-3</v>
      </c>
      <c r="J20" s="133">
        <v>4.8705224682880953E-3</v>
      </c>
      <c r="K20" s="45">
        <v>300.62303278688512</v>
      </c>
      <c r="L20" s="134">
        <v>296.18032786885266</v>
      </c>
      <c r="M20" s="45" t="s">
        <v>1998</v>
      </c>
      <c r="N20" s="133">
        <v>6.6969683938961284E-4</v>
      </c>
      <c r="O20" s="133">
        <v>1.1445727800477035E-2</v>
      </c>
      <c r="P20" s="133">
        <v>7.3057837024321452E-5</v>
      </c>
      <c r="Q20" s="133">
        <v>6.0311679724811471E-6</v>
      </c>
      <c r="R20" s="133">
        <v>6.0311679724811471E-6</v>
      </c>
      <c r="S20" s="133">
        <v>2.4352612341440477E-3</v>
      </c>
      <c r="T20" s="133">
        <v>4.8705224682880953E-3</v>
      </c>
      <c r="U20" s="45">
        <v>300.62303278688512</v>
      </c>
      <c r="V20" s="134">
        <v>296.18032786885266</v>
      </c>
      <c r="W20" t="s">
        <v>1998</v>
      </c>
    </row>
    <row r="21" spans="1:23" x14ac:dyDescent="0.25">
      <c r="A21" s="812" t="s">
        <v>1996</v>
      </c>
      <c r="B21" s="812">
        <v>2103006000</v>
      </c>
      <c r="C21" s="812" t="s">
        <v>150</v>
      </c>
      <c r="D21" s="133">
        <v>5.2612909836065565E-3</v>
      </c>
      <c r="E21" s="133">
        <v>9.5659836065573781E-2</v>
      </c>
      <c r="F21" s="133">
        <v>5.7395901639344278E-4</v>
      </c>
      <c r="G21" s="133">
        <v>7.2701475409836071E-3</v>
      </c>
      <c r="H21" s="133">
        <v>7.2701475409836071E-3</v>
      </c>
      <c r="I21" s="133">
        <v>1.9131967213114762E-2</v>
      </c>
      <c r="J21" s="133">
        <v>3.8263934426229523E-2</v>
      </c>
      <c r="K21" s="45">
        <v>1941.894672131147</v>
      </c>
      <c r="L21" s="134">
        <v>1913.196721311474</v>
      </c>
      <c r="M21" s="45" t="s">
        <v>1998</v>
      </c>
      <c r="N21" s="133">
        <v>5.2612909836065565E-3</v>
      </c>
      <c r="O21" s="133">
        <v>9.5659836065573781E-2</v>
      </c>
      <c r="P21" s="133">
        <v>5.7395901639344278E-4</v>
      </c>
      <c r="Q21" s="133">
        <v>7.2701475409836071E-3</v>
      </c>
      <c r="R21" s="133">
        <v>7.2701475409836071E-3</v>
      </c>
      <c r="S21" s="133">
        <v>1.9131967213114762E-2</v>
      </c>
      <c r="T21" s="133">
        <v>3.8263934426229523E-2</v>
      </c>
      <c r="U21" s="45">
        <v>1941.894672131147</v>
      </c>
      <c r="V21" s="134">
        <v>1913.196721311474</v>
      </c>
      <c r="W21" t="s">
        <v>1998</v>
      </c>
    </row>
    <row r="22" spans="1:23" x14ac:dyDescent="0.25">
      <c r="A22" s="812" t="s">
        <v>1996</v>
      </c>
      <c r="B22" s="812">
        <v>2104002000</v>
      </c>
      <c r="C22" s="812" t="s">
        <v>151</v>
      </c>
      <c r="D22" s="133">
        <v>0.1506714691008415</v>
      </c>
      <c r="E22" s="133">
        <v>7.1116933415597161E-2</v>
      </c>
      <c r="F22" s="133">
        <v>0.14012446626378258</v>
      </c>
      <c r="G22" s="133">
        <v>0.12038650381157234</v>
      </c>
      <c r="H22" s="133">
        <v>0.12038650381157234</v>
      </c>
      <c r="I22" s="133">
        <v>1.9074254630821033E-2</v>
      </c>
      <c r="J22" s="133">
        <v>1.9673927077842368</v>
      </c>
      <c r="K22" s="45">
        <v>458.04126606655808</v>
      </c>
      <c r="L22" s="134">
        <v>30.134293820168303</v>
      </c>
      <c r="M22" s="45" t="s">
        <v>738</v>
      </c>
      <c r="N22" s="133">
        <v>0.13190857947046683</v>
      </c>
      <c r="O22" s="133">
        <v>6.2260849510060348E-2</v>
      </c>
      <c r="P22" s="133">
        <v>0.12267497890753419</v>
      </c>
      <c r="Q22" s="133">
        <v>0.10539495499690302</v>
      </c>
      <c r="R22" s="133">
        <v>0.10539495499690302</v>
      </c>
      <c r="S22" s="133">
        <v>1.6698966618063756E-2</v>
      </c>
      <c r="T22" s="133">
        <v>1.7223962764356207</v>
      </c>
      <c r="U22" s="45">
        <v>401.00208159021923</v>
      </c>
      <c r="V22" s="134">
        <v>26.381715894093372</v>
      </c>
      <c r="W22" t="s">
        <v>738</v>
      </c>
    </row>
    <row r="23" spans="1:23" x14ac:dyDescent="0.25">
      <c r="A23" s="812" t="s">
        <v>1996</v>
      </c>
      <c r="B23" s="812">
        <v>2103002000</v>
      </c>
      <c r="C23" s="812" t="s">
        <v>152</v>
      </c>
      <c r="D23" s="133">
        <v>4.0148138126104761E-4</v>
      </c>
      <c r="E23" s="133">
        <v>1.8949921195521454E-4</v>
      </c>
      <c r="F23" s="133">
        <v>3.7337768457277421E-4</v>
      </c>
      <c r="G23" s="133">
        <v>3.2078362362757709E-4</v>
      </c>
      <c r="H23" s="133">
        <v>3.2078362362757709E-4</v>
      </c>
      <c r="I23" s="133">
        <v>5.0825535460742351E-5</v>
      </c>
      <c r="J23" s="133">
        <v>5.24234313581613E-3</v>
      </c>
      <c r="K23" s="45">
        <v>18.456877950864644</v>
      </c>
      <c r="L23" s="134">
        <v>1.2205033990335847</v>
      </c>
      <c r="M23" s="45" t="s">
        <v>738</v>
      </c>
      <c r="N23" s="133">
        <v>3.7940475162931143E-4</v>
      </c>
      <c r="O23" s="133">
        <v>1.7907904276903499E-4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2" t="s">
        <v>1996</v>
      </c>
      <c r="B24" s="812">
        <v>2103008000</v>
      </c>
      <c r="C24" s="812" t="s">
        <v>153</v>
      </c>
      <c r="D24" s="133">
        <v>1.2267802496122725E-3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4.0923651207836456E-5</v>
      </c>
      <c r="P24" s="133">
        <v>8.6857798127814742E-6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1.9363248899601764E-2</v>
      </c>
      <c r="G25" s="135">
        <v>2.7260720241086738E-3</v>
      </c>
      <c r="H25" s="135">
        <v>2.7260720241086738E-3</v>
      </c>
      <c r="I25" s="135">
        <v>1.9058091583470187E-5</v>
      </c>
      <c r="J25" s="135">
        <v>6.5100227441401174E-3</v>
      </c>
      <c r="K25" s="88">
        <v>145.09904851683226</v>
      </c>
      <c r="L25" s="136">
        <v>1.0476465596883191</v>
      </c>
      <c r="M25" s="88" t="s">
        <v>1997</v>
      </c>
      <c r="N25" s="135">
        <v>5.2382327984415965E-4</v>
      </c>
      <c r="O25" s="135">
        <v>2.734616428960358E-2</v>
      </c>
      <c r="P25" s="135">
        <v>1.9363248899601764E-2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11.953352311176671</v>
      </c>
      <c r="E26" s="137">
        <v>3.1679956881119162</v>
      </c>
      <c r="F26" s="137">
        <v>5.0070581503263902</v>
      </c>
      <c r="G26" s="137">
        <v>3.406715216984304</v>
      </c>
      <c r="H26" s="137">
        <v>3.406715216984304</v>
      </c>
      <c r="I26" s="137">
        <v>0.16577972117284109</v>
      </c>
      <c r="J26" s="137">
        <v>36.227293961069165</v>
      </c>
      <c r="K26" s="87">
        <v>62955.677711020013</v>
      </c>
      <c r="L26" s="87"/>
      <c r="M26" s="87"/>
      <c r="N26" s="137">
        <v>10.754820289715353</v>
      </c>
      <c r="O26" s="137">
        <v>2.9497494622200078</v>
      </c>
      <c r="P26" s="137">
        <v>4.633332358855534</v>
      </c>
      <c r="Q26" s="137">
        <v>3.0258426612415339</v>
      </c>
      <c r="R26" s="137">
        <v>3.0258426612415339</v>
      </c>
      <c r="S26" s="137">
        <v>0.14998774786043592</v>
      </c>
      <c r="T26" s="137">
        <v>31.913667265925483</v>
      </c>
      <c r="U26" s="87">
        <v>58484.041019151555</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3.6092131931451759</v>
      </c>
      <c r="E28" s="133">
        <v>4.0977966385054382E-2</v>
      </c>
      <c r="F28" s="133">
        <v>6.3043025207775993E-3</v>
      </c>
      <c r="G28" s="133">
        <v>0.5453221680472623</v>
      </c>
      <c r="H28" s="133">
        <v>0.5453221680472623</v>
      </c>
      <c r="I28" s="133">
        <v>2.83693613434992E-2</v>
      </c>
      <c r="J28" s="133">
        <v>3.9811670418710539</v>
      </c>
      <c r="K28" s="45">
        <v>504.2738608688486</v>
      </c>
      <c r="L28" s="134">
        <v>45.031104252044351</v>
      </c>
      <c r="M28" s="45" t="s">
        <v>738</v>
      </c>
      <c r="N28" s="133">
        <v>3.3377938455384064</v>
      </c>
      <c r="O28" s="133">
        <v>3.7896349337990638E-2</v>
      </c>
      <c r="P28" s="133">
        <v>5.8302075904600988E-3</v>
      </c>
      <c r="Q28" s="133">
        <v>0.50431295657479869</v>
      </c>
      <c r="R28" s="133">
        <v>0.50431295657479869</v>
      </c>
      <c r="S28" s="133">
        <v>2.6235934157070453E-2</v>
      </c>
      <c r="T28" s="133">
        <v>3.6817760933755523</v>
      </c>
      <c r="U28" s="45">
        <v>466.3515561980908</v>
      </c>
      <c r="V28" s="134">
        <v>41.644683920511817</v>
      </c>
      <c r="W28" t="s">
        <v>738</v>
      </c>
    </row>
    <row r="29" spans="1:23" x14ac:dyDescent="0.25">
      <c r="A29" s="812" t="s">
        <v>1999</v>
      </c>
      <c r="B29" s="812">
        <v>2104008210</v>
      </c>
      <c r="C29" s="812" t="s">
        <v>138</v>
      </c>
      <c r="D29" s="133">
        <v>8.5107167671581746E-2</v>
      </c>
      <c r="E29" s="133">
        <v>4.4962277260458244E-3</v>
      </c>
      <c r="F29" s="133">
        <v>6.4231824657797506E-4</v>
      </c>
      <c r="G29" s="133">
        <v>4.9137345863215096E-2</v>
      </c>
      <c r="H29" s="133">
        <v>4.9137345863215096E-2</v>
      </c>
      <c r="I29" s="133">
        <v>2.7298525479563939E-3</v>
      </c>
      <c r="J29" s="133">
        <v>0.37061762827549172</v>
      </c>
      <c r="K29" s="45">
        <v>51.378293005588979</v>
      </c>
      <c r="L29" s="134">
        <v>4.5880253730392813</v>
      </c>
      <c r="M29" s="45" t="s">
        <v>738</v>
      </c>
      <c r="N29" s="133">
        <v>7.4262335658508816E-2</v>
      </c>
      <c r="O29" s="133">
        <v>3.9232932046004646E-3</v>
      </c>
      <c r="P29" s="133">
        <v>5.6047045780006639E-4</v>
      </c>
      <c r="Q29" s="133">
        <v>4.2875990021705085E-2</v>
      </c>
      <c r="R29" s="133">
        <v>4.2875990021705085E-2</v>
      </c>
      <c r="S29" s="133">
        <v>2.3819994456502824E-3</v>
      </c>
      <c r="T29" s="133">
        <v>0.32339145415063841</v>
      </c>
      <c r="U29" s="45">
        <v>44.831383127044106</v>
      </c>
      <c r="V29" s="134">
        <v>4.0033934812304617</v>
      </c>
      <c r="W29" t="s">
        <v>738</v>
      </c>
    </row>
    <row r="30" spans="1:23" x14ac:dyDescent="0.25">
      <c r="A30" s="812" t="s">
        <v>1999</v>
      </c>
      <c r="B30" s="812">
        <v>2104008220</v>
      </c>
      <c r="C30" s="812" t="s">
        <v>139</v>
      </c>
      <c r="D30" s="133">
        <v>4.0570419323660678E-2</v>
      </c>
      <c r="E30" s="133">
        <v>6.7617365539434501E-3</v>
      </c>
      <c r="F30" s="133">
        <v>1.3523473107886898E-3</v>
      </c>
      <c r="G30" s="133">
        <v>4.0570419323660678E-2</v>
      </c>
      <c r="H30" s="133">
        <v>4.0570419323660678E-2</v>
      </c>
      <c r="I30" s="133">
        <v>3.0427814492745525E-3</v>
      </c>
      <c r="J30" s="133">
        <v>0.47602625339761895</v>
      </c>
      <c r="K30" s="45">
        <v>108.17269593257116</v>
      </c>
      <c r="L30" s="134">
        <v>9.659703438467913</v>
      </c>
      <c r="M30" s="45" t="s">
        <v>738</v>
      </c>
      <c r="N30" s="133">
        <v>3.5400709247502882E-2</v>
      </c>
      <c r="O30" s="133">
        <v>5.9001182079171464E-3</v>
      </c>
      <c r="P30" s="133">
        <v>1.1800236415834295E-3</v>
      </c>
      <c r="Q30" s="133">
        <v>3.5400709247502882E-2</v>
      </c>
      <c r="R30" s="133">
        <v>3.5400709247502882E-2</v>
      </c>
      <c r="S30" s="133">
        <v>2.6550531935627167E-3</v>
      </c>
      <c r="T30" s="133">
        <v>0.41536832183736722</v>
      </c>
      <c r="U30" s="45">
        <v>94.388725112194919</v>
      </c>
      <c r="V30" s="134">
        <v>8.4288099197159401</v>
      </c>
      <c r="W30" t="s">
        <v>738</v>
      </c>
    </row>
    <row r="31" spans="1:23" x14ac:dyDescent="0.25">
      <c r="A31" s="812" t="s">
        <v>1999</v>
      </c>
      <c r="B31" s="812">
        <v>2104008230</v>
      </c>
      <c r="C31" s="812" t="s">
        <v>140</v>
      </c>
      <c r="D31" s="133">
        <v>3.0532953647567126E-2</v>
      </c>
      <c r="E31" s="133">
        <v>4.0710604863422838E-3</v>
      </c>
      <c r="F31" s="133">
        <v>8.1421209726845688E-4</v>
      </c>
      <c r="G31" s="133">
        <v>2.6461893161224839E-2</v>
      </c>
      <c r="H31" s="133">
        <v>2.6461893161224839E-2</v>
      </c>
      <c r="I31" s="133">
        <v>1.831977218854028E-3</v>
      </c>
      <c r="J31" s="133">
        <v>0.21780173601931219</v>
      </c>
      <c r="K31" s="45">
        <v>65.127883140519685</v>
      </c>
      <c r="L31" s="134">
        <v>5.8158487341830725</v>
      </c>
      <c r="M31" s="45" t="s">
        <v>738</v>
      </c>
      <c r="N31" s="133">
        <v>2.6642273670428443E-2</v>
      </c>
      <c r="O31" s="133">
        <v>3.5523031560571266E-3</v>
      </c>
      <c r="P31" s="133">
        <v>7.1046063121142503E-4</v>
      </c>
      <c r="Q31" s="133">
        <v>2.3089970514371325E-2</v>
      </c>
      <c r="R31" s="133">
        <v>2.3089970514371325E-2</v>
      </c>
      <c r="S31" s="133">
        <v>1.5985364202257073E-3</v>
      </c>
      <c r="T31" s="133">
        <v>0.19004821884905626</v>
      </c>
      <c r="U31" s="45">
        <v>56.828923471793424</v>
      </c>
      <c r="V31" s="134">
        <v>5.0747607123252072</v>
      </c>
      <c r="W31" t="s">
        <v>738</v>
      </c>
    </row>
    <row r="32" spans="1:23" x14ac:dyDescent="0.25">
      <c r="A32" s="812" t="s">
        <v>1999</v>
      </c>
      <c r="B32" s="812">
        <v>2104008310</v>
      </c>
      <c r="C32" s="812" t="s">
        <v>141</v>
      </c>
      <c r="D32" s="133">
        <v>1.7271836416233286</v>
      </c>
      <c r="E32" s="133">
        <v>4.7322962292569042E-2</v>
      </c>
      <c r="F32" s="133">
        <v>1.303534823866663E-2</v>
      </c>
      <c r="G32" s="133">
        <v>0.39568895340614962</v>
      </c>
      <c r="H32" s="133">
        <v>0.39568895340614962</v>
      </c>
      <c r="I32" s="133">
        <v>1.2938513369546194E-2</v>
      </c>
      <c r="J32" s="133">
        <v>3.948753777112227</v>
      </c>
      <c r="K32" s="45">
        <v>1042.6824160829733</v>
      </c>
      <c r="L32" s="134">
        <v>93.110399376059306</v>
      </c>
      <c r="M32" s="45" t="s">
        <v>738</v>
      </c>
      <c r="N32" s="133">
        <v>1.5070962275830295</v>
      </c>
      <c r="O32" s="133">
        <v>4.1292805368485883E-2</v>
      </c>
      <c r="P32" s="133">
        <v>1.1374311151570036E-2</v>
      </c>
      <c r="Q32" s="133">
        <v>0.34526805060184679</v>
      </c>
      <c r="R32" s="133">
        <v>0.34526805060184679</v>
      </c>
      <c r="S32" s="133">
        <v>1.1289815523871328E-2</v>
      </c>
      <c r="T32" s="133">
        <v>3.445581452790258</v>
      </c>
      <c r="U32" s="45">
        <v>909.81798227829131</v>
      </c>
      <c r="V32" s="134">
        <v>81.245750750927527</v>
      </c>
      <c r="W32" t="s">
        <v>738</v>
      </c>
    </row>
    <row r="33" spans="1:31" x14ac:dyDescent="0.25">
      <c r="A33" s="812" t="s">
        <v>1999</v>
      </c>
      <c r="B33" s="812">
        <v>2104008320</v>
      </c>
      <c r="C33" s="812" t="s">
        <v>142</v>
      </c>
      <c r="D33" s="133">
        <v>0.823345042570648</v>
      </c>
      <c r="E33" s="133">
        <v>0.11038584489894612</v>
      </c>
      <c r="F33" s="133">
        <v>2.7444834752354933E-2</v>
      </c>
      <c r="G33" s="133">
        <v>0.54375938294028614</v>
      </c>
      <c r="H33" s="133">
        <v>0.54375938294028614</v>
      </c>
      <c r="I33" s="133">
        <v>1.7135301714014024E-2</v>
      </c>
      <c r="J33" s="133">
        <v>8.4832634999762622</v>
      </c>
      <c r="K33" s="45">
        <v>2195.2805621026132</v>
      </c>
      <c r="L33" s="134">
        <v>196.03615322079875</v>
      </c>
      <c r="M33" s="45" t="s">
        <v>738</v>
      </c>
      <c r="N33" s="133">
        <v>0.71842980546710444</v>
      </c>
      <c r="O33" s="133">
        <v>9.6319862240825949E-2</v>
      </c>
      <c r="P33" s="133">
        <v>2.3947660182236801E-2</v>
      </c>
      <c r="Q33" s="133">
        <v>0.47447051662205408</v>
      </c>
      <c r="R33" s="133">
        <v>0.47447051662205408</v>
      </c>
      <c r="S33" s="133">
        <v>1.495182559013576E-2</v>
      </c>
      <c r="T33" s="133">
        <v>7.4022785477464961</v>
      </c>
      <c r="U33" s="45">
        <v>1915.5456165168653</v>
      </c>
      <c r="V33" s="134">
        <v>171.05612852566986</v>
      </c>
      <c r="W33" t="s">
        <v>738</v>
      </c>
    </row>
    <row r="34" spans="1:31" x14ac:dyDescent="0.25">
      <c r="A34" s="812" t="s">
        <v>1999</v>
      </c>
      <c r="B34" s="812">
        <v>2104008330</v>
      </c>
      <c r="C34" s="812" t="s">
        <v>143</v>
      </c>
      <c r="D34" s="133">
        <v>0.61964249913736069</v>
      </c>
      <c r="E34" s="133">
        <v>6.6460360860631937E-2</v>
      </c>
      <c r="F34" s="133">
        <v>1.6523799976996288E-2</v>
      </c>
      <c r="G34" s="133">
        <v>0.36326054633065635</v>
      </c>
      <c r="H34" s="133">
        <v>0.36326054633065635</v>
      </c>
      <c r="I34" s="133">
        <v>1.031670624446205E-2</v>
      </c>
      <c r="J34" s="133">
        <v>5.1075457546244909</v>
      </c>
      <c r="K34" s="45">
        <v>1321.7196324513843</v>
      </c>
      <c r="L34" s="134">
        <v>118.02811761518527</v>
      </c>
      <c r="M34" s="45" t="s">
        <v>738</v>
      </c>
      <c r="N34" s="133">
        <v>0.54068418111135486</v>
      </c>
      <c r="O34" s="133">
        <v>5.7991609417239388E-2</v>
      </c>
      <c r="P34" s="133">
        <v>1.4418244829636129E-2</v>
      </c>
      <c r="Q34" s="133">
        <v>0.31697185279622786</v>
      </c>
      <c r="R34" s="133">
        <v>0.31697185279622786</v>
      </c>
      <c r="S34" s="133">
        <v>9.0020937481191578E-3</v>
      </c>
      <c r="T34" s="133">
        <v>4.4567136658193327</v>
      </c>
      <c r="U34" s="45">
        <v>1153.2987135738081</v>
      </c>
      <c r="V34" s="134">
        <v>102.98831376111693</v>
      </c>
      <c r="W34" t="s">
        <v>738</v>
      </c>
    </row>
    <row r="35" spans="1:31" x14ac:dyDescent="0.25">
      <c r="A35" s="812" t="s">
        <v>1999</v>
      </c>
      <c r="B35" s="812">
        <v>2104008410</v>
      </c>
      <c r="C35" s="812" t="s">
        <v>144</v>
      </c>
      <c r="D35" s="133">
        <v>1.0382689435944763E-2</v>
      </c>
      <c r="E35" s="133">
        <v>1.8131410081965012E-2</v>
      </c>
      <c r="F35" s="133">
        <v>1.4490637428143873E-3</v>
      </c>
      <c r="G35" s="133">
        <v>1.3403839621033082E-2</v>
      </c>
      <c r="H35" s="133">
        <v>1.3403839621033082E-2</v>
      </c>
      <c r="I35" s="133">
        <v>3.2549594322968172E-4</v>
      </c>
      <c r="J35" s="133">
        <v>4.4975315917601559E-2</v>
      </c>
      <c r="K35" s="45">
        <v>138.41655152203046</v>
      </c>
      <c r="L35" s="134">
        <v>12.360446664948418</v>
      </c>
      <c r="M35" s="45" t="s">
        <v>738</v>
      </c>
      <c r="N35" s="133">
        <v>9.0596689917533651E-3</v>
      </c>
      <c r="O35" s="133">
        <v>1.5821004250368944E-2</v>
      </c>
      <c r="P35" s="133">
        <v>1.2644159241054099E-3</v>
      </c>
      <c r="Q35" s="133">
        <v>1.1695847297975046E-2</v>
      </c>
      <c r="R35" s="133">
        <v>1.1695847297975046E-2</v>
      </c>
      <c r="S35" s="133">
        <v>2.8401942695217781E-4</v>
      </c>
      <c r="T35" s="133">
        <v>3.9244309244421682E-2</v>
      </c>
      <c r="U35" s="45">
        <v>120.77873921839635</v>
      </c>
      <c r="V35" s="134">
        <v>10.785409316682005</v>
      </c>
      <c r="W35" t="s">
        <v>738</v>
      </c>
    </row>
    <row r="36" spans="1:31" x14ac:dyDescent="0.25">
      <c r="A36" s="812" t="s">
        <v>1999</v>
      </c>
      <c r="B36" s="812">
        <v>2104008420</v>
      </c>
      <c r="C36" s="812" t="s">
        <v>145</v>
      </c>
      <c r="D36" s="133">
        <v>3.502113414685766E-2</v>
      </c>
      <c r="E36" s="133">
        <v>6.1157809705246646E-2</v>
      </c>
      <c r="F36" s="133">
        <v>4.8877370393803502E-3</v>
      </c>
      <c r="G36" s="133">
        <v>4.5211567614268248E-2</v>
      </c>
      <c r="H36" s="133">
        <v>4.5211567614268248E-2</v>
      </c>
      <c r="I36" s="133">
        <v>1.0979079324708117E-3</v>
      </c>
      <c r="J36" s="133">
        <v>0.1517031383597677</v>
      </c>
      <c r="K36" s="45">
        <v>466.88333007596799</v>
      </c>
      <c r="L36" s="134">
        <v>41.69217074620596</v>
      </c>
      <c r="M36" s="45" t="s">
        <v>738</v>
      </c>
      <c r="N36" s="133">
        <v>3.0558545070981481E-2</v>
      </c>
      <c r="O36" s="133">
        <v>5.3364739031102407E-2</v>
      </c>
      <c r="P36" s="133">
        <v>4.2649142082799131E-3</v>
      </c>
      <c r="Q36" s="133">
        <v>3.9450456426589189E-2</v>
      </c>
      <c r="R36" s="133">
        <v>3.9450456426589189E-2</v>
      </c>
      <c r="S36" s="133">
        <v>9.580063540348756E-4</v>
      </c>
      <c r="T36" s="133">
        <v>0.13237227473948779</v>
      </c>
      <c r="U36" s="45">
        <v>407.39044101735789</v>
      </c>
      <c r="V36" s="134">
        <v>36.379520820553083</v>
      </c>
      <c r="W36" t="s">
        <v>738</v>
      </c>
    </row>
    <row r="37" spans="1:31" x14ac:dyDescent="0.25">
      <c r="A37" s="812" t="s">
        <v>1999</v>
      </c>
      <c r="B37" s="812">
        <v>2104008610</v>
      </c>
      <c r="C37" s="812" t="s">
        <v>146</v>
      </c>
      <c r="D37" s="133">
        <v>1.1417031096505725</v>
      </c>
      <c r="E37" s="133">
        <v>4.0556450727178506E-2</v>
      </c>
      <c r="F37" s="133">
        <v>1.005905823480681E-2</v>
      </c>
      <c r="G37" s="133">
        <v>0.24821108638034481</v>
      </c>
      <c r="H37" s="133">
        <v>0.24821108638034481</v>
      </c>
      <c r="I37" s="133">
        <v>6.1299541166733532E-3</v>
      </c>
      <c r="J37" s="133">
        <v>1.5232096537845368</v>
      </c>
      <c r="K37" s="45">
        <v>804.61242398388981</v>
      </c>
      <c r="L37" s="134">
        <v>71.851009458394316</v>
      </c>
      <c r="M37" s="45" t="s">
        <v>738</v>
      </c>
      <c r="N37" s="133">
        <v>1.0440096429478014</v>
      </c>
      <c r="O37" s="133">
        <v>3.7086108713385781E-2</v>
      </c>
      <c r="P37" s="133">
        <v>9.1983228453550829E-3</v>
      </c>
      <c r="Q37" s="133">
        <v>0.22697211339552187</v>
      </c>
      <c r="R37" s="133">
        <v>0.22697211339552187</v>
      </c>
      <c r="S37" s="133">
        <v>5.6054250483676465E-3</v>
      </c>
      <c r="T37" s="133">
        <v>1.3928713632644358</v>
      </c>
      <c r="U37" s="45">
        <v>735.76319655631096</v>
      </c>
      <c r="V37" s="134">
        <v>65.702848749405391</v>
      </c>
      <c r="W37" t="s">
        <v>738</v>
      </c>
    </row>
    <row r="38" spans="1:31" x14ac:dyDescent="0.25">
      <c r="A38" s="812" t="s">
        <v>1999</v>
      </c>
      <c r="B38" s="812">
        <v>2104004000</v>
      </c>
      <c r="C38" s="812" t="s">
        <v>568</v>
      </c>
      <c r="D38" s="133">
        <v>7.5335411717811426E-2</v>
      </c>
      <c r="E38" s="133">
        <v>1.1803684422120035</v>
      </c>
      <c r="F38" s="133">
        <v>3.0538396577630249</v>
      </c>
      <c r="G38" s="133">
        <v>4.8243941779782161E-2</v>
      </c>
      <c r="H38" s="133">
        <v>4.8243941779782161E-2</v>
      </c>
      <c r="I38" s="133">
        <v>2.5882874764853138E-3</v>
      </c>
      <c r="J38" s="133">
        <v>4.7319266229003017E-2</v>
      </c>
      <c r="K38" s="45">
        <v>28361.333523264406</v>
      </c>
      <c r="L38" s="134">
        <v>211.31952796020036</v>
      </c>
      <c r="M38" s="45" t="s">
        <v>1997</v>
      </c>
      <c r="N38" s="133">
        <v>6.9651727621070483E-2</v>
      </c>
      <c r="O38" s="133">
        <v>1.0913154830481913</v>
      </c>
      <c r="P38" s="133">
        <v>2.823442564270791</v>
      </c>
      <c r="Q38" s="133">
        <v>4.4604175056465599E-2</v>
      </c>
      <c r="R38" s="133">
        <v>4.4604175056465599E-2</v>
      </c>
      <c r="S38" s="133">
        <v>2.3930139917793785E-3</v>
      </c>
      <c r="T38" s="133">
        <v>4.374926170121668E-2</v>
      </c>
      <c r="U38" s="45">
        <v>26221.611224906905</v>
      </c>
      <c r="V38" s="134">
        <v>195.37651506611638</v>
      </c>
      <c r="W38" t="s">
        <v>1997</v>
      </c>
    </row>
    <row r="39" spans="1:31" x14ac:dyDescent="0.25">
      <c r="A39" s="812" t="s">
        <v>1999</v>
      </c>
      <c r="B39" s="812">
        <v>2103004001</v>
      </c>
      <c r="C39" s="812" t="s">
        <v>148</v>
      </c>
      <c r="D39" s="133">
        <v>2.2228827011543672E-2</v>
      </c>
      <c r="E39" s="133">
        <v>0.56117655849619374</v>
      </c>
      <c r="F39" s="133">
        <v>0.39666453272548746</v>
      </c>
      <c r="G39" s="133">
        <v>1.4235088276874914E-2</v>
      </c>
      <c r="H39" s="133">
        <v>1.4235088276874914E-2</v>
      </c>
      <c r="I39" s="133">
        <v>7.637124860543394E-4</v>
      </c>
      <c r="J39" s="133">
        <v>1.3962249084901479E-2</v>
      </c>
      <c r="K39" s="45">
        <v>8635.8837057469827</v>
      </c>
      <c r="L39" s="134">
        <v>64.345735602335935</v>
      </c>
      <c r="M39" s="45" t="s">
        <v>1997</v>
      </c>
      <c r="N39" s="133">
        <v>2.1853265411578116E-2</v>
      </c>
      <c r="O39" s="133">
        <v>0.55169533998373921</v>
      </c>
      <c r="P39" s="133">
        <v>0.38996278609339502</v>
      </c>
      <c r="Q39" s="133">
        <v>1.399458289500578E-2</v>
      </c>
      <c r="R39" s="133">
        <v>1.399458289500578E-2</v>
      </c>
      <c r="S39" s="133">
        <v>7.508093723170605E-4</v>
      </c>
      <c r="T39" s="133">
        <v>1.3726353389518175E-2</v>
      </c>
      <c r="U39" s="45">
        <v>8489.9782875275432</v>
      </c>
      <c r="V39" s="134">
        <v>63.258598282799262</v>
      </c>
      <c r="W39" t="s">
        <v>1997</v>
      </c>
    </row>
    <row r="40" spans="1:31" x14ac:dyDescent="0.25">
      <c r="A40" s="812" t="s">
        <v>1999</v>
      </c>
      <c r="B40" s="812">
        <v>2104004000</v>
      </c>
      <c r="C40" s="812" t="s">
        <v>746</v>
      </c>
      <c r="D40" s="133">
        <v>4.9955677451309598E-4</v>
      </c>
      <c r="E40" s="133">
        <v>1.2611531474383915E-2</v>
      </c>
      <c r="F40" s="133">
        <v>2.0250321256976511E-2</v>
      </c>
      <c r="G40" s="133">
        <v>2.8025625498630924E-4</v>
      </c>
      <c r="H40" s="133">
        <v>2.8025625498630924E-4</v>
      </c>
      <c r="I40" s="133">
        <v>1.7163197409856909E-5</v>
      </c>
      <c r="J40" s="133">
        <v>3.1377886535261841E-4</v>
      </c>
      <c r="K40" s="45">
        <v>191.96852825924705</v>
      </c>
      <c r="L40" s="134">
        <v>1.401281274931546</v>
      </c>
      <c r="M40" s="45" t="s">
        <v>1997</v>
      </c>
      <c r="N40" s="133">
        <v>4.7233675070955969E-4</v>
      </c>
      <c r="O40" s="133">
        <v>1.1924349947786923E-2</v>
      </c>
      <c r="P40" s="133">
        <v>1.9146914687860495E-2</v>
      </c>
      <c r="Q40" s="133">
        <v>2.6498555439526496E-4</v>
      </c>
      <c r="R40" s="133">
        <v>2.6498555439526496E-4</v>
      </c>
      <c r="S40" s="133">
        <v>1.6228003121887437E-5</v>
      </c>
      <c r="T40" s="133">
        <v>2.9668157307333811E-4</v>
      </c>
      <c r="U40" s="45">
        <v>181.50848012189658</v>
      </c>
      <c r="V40" s="134">
        <v>1.3249277719763248</v>
      </c>
      <c r="W40" t="s">
        <v>1997</v>
      </c>
    </row>
    <row r="41" spans="1:31" x14ac:dyDescent="0.25">
      <c r="A41" s="812" t="s">
        <v>1999</v>
      </c>
      <c r="B41" s="812">
        <v>2104004000</v>
      </c>
      <c r="C41" s="812" t="s">
        <v>747</v>
      </c>
      <c r="D41" s="133">
        <v>1.6008419619064857E-3</v>
      </c>
      <c r="E41" s="133">
        <v>2.5082272595537119E-2</v>
      </c>
      <c r="F41" s="133">
        <v>6.4892652175223497E-2</v>
      </c>
      <c r="G41" s="133">
        <v>1.0251610052671846E-3</v>
      </c>
      <c r="H41" s="133">
        <v>1.0251610052671846E-3</v>
      </c>
      <c r="I41" s="133">
        <v>5.4999887932584453E-5</v>
      </c>
      <c r="J41" s="133">
        <v>1.0055120859995634E-3</v>
      </c>
      <c r="K41" s="45">
        <v>561.30503573158694</v>
      </c>
      <c r="L41" s="134">
        <v>4.4904402858526957</v>
      </c>
      <c r="M41" s="45" t="s">
        <v>1997</v>
      </c>
      <c r="N41" s="133">
        <v>1.3358834383407671E-3</v>
      </c>
      <c r="O41" s="133">
        <v>2.0930855983074138E-2</v>
      </c>
      <c r="P41" s="133">
        <v>5.415214079449087E-2</v>
      </c>
      <c r="Q41" s="133">
        <v>8.5548457696488299E-4</v>
      </c>
      <c r="R41" s="133">
        <v>8.5548457696488299E-4</v>
      </c>
      <c r="S41" s="133">
        <v>4.5896747554165992E-5</v>
      </c>
      <c r="T41" s="133">
        <v>8.390877892397227E-4</v>
      </c>
      <c r="U41" s="45">
        <v>468.40232760896464</v>
      </c>
      <c r="V41" s="134">
        <v>3.7472186208717169</v>
      </c>
      <c r="W41" t="s">
        <v>1997</v>
      </c>
    </row>
    <row r="42" spans="1:31" x14ac:dyDescent="0.25">
      <c r="A42" s="812" t="s">
        <v>1999</v>
      </c>
      <c r="B42" s="812">
        <v>2104006010</v>
      </c>
      <c r="C42" s="812" t="s">
        <v>149</v>
      </c>
      <c r="D42" s="133">
        <v>6.2640334377998884E-4</v>
      </c>
      <c r="E42" s="133">
        <v>1.0705802602785272E-2</v>
      </c>
      <c r="F42" s="133">
        <v>6.8334910230544231E-5</v>
      </c>
      <c r="G42" s="133">
        <v>5.6412746225655259E-6</v>
      </c>
      <c r="H42" s="133">
        <v>5.6412746225655259E-6</v>
      </c>
      <c r="I42" s="133">
        <v>2.277830341018141E-3</v>
      </c>
      <c r="J42" s="133">
        <v>4.5556606820362821E-3</v>
      </c>
      <c r="K42" s="45">
        <v>281.18883333333321</v>
      </c>
      <c r="L42" s="134">
        <v>277.03333333333342</v>
      </c>
      <c r="M42" s="45" t="s">
        <v>1998</v>
      </c>
      <c r="N42" s="133">
        <v>6.2640334377998884E-4</v>
      </c>
      <c r="O42" s="133">
        <v>1.0705802602785272E-2</v>
      </c>
      <c r="P42" s="133">
        <v>6.8334910230544231E-5</v>
      </c>
      <c r="Q42" s="133">
        <v>5.6412746225655259E-6</v>
      </c>
      <c r="R42" s="133">
        <v>5.6412746225655259E-6</v>
      </c>
      <c r="S42" s="133">
        <v>2.277830341018141E-3</v>
      </c>
      <c r="T42" s="133">
        <v>4.5556606820362821E-3</v>
      </c>
      <c r="U42" s="45">
        <v>281.18883333333321</v>
      </c>
      <c r="V42" s="134">
        <v>277.03333333333342</v>
      </c>
      <c r="W42" t="s">
        <v>1998</v>
      </c>
    </row>
    <row r="43" spans="1:31" x14ac:dyDescent="0.25">
      <c r="A43" s="812" t="s">
        <v>1999</v>
      </c>
      <c r="B43" s="812">
        <v>2103006000</v>
      </c>
      <c r="C43" s="812" t="s">
        <v>150</v>
      </c>
      <c r="D43" s="133">
        <v>9.7086916666666648E-3</v>
      </c>
      <c r="E43" s="133">
        <v>0.1765216666666668</v>
      </c>
      <c r="F43" s="133">
        <v>1.0591299999999997E-3</v>
      </c>
      <c r="G43" s="133">
        <v>1.341564666666667E-2</v>
      </c>
      <c r="H43" s="133">
        <v>1.341564666666667E-2</v>
      </c>
      <c r="I43" s="133">
        <v>3.5304333333333333E-2</v>
      </c>
      <c r="J43" s="133">
        <v>7.0608666666666667E-2</v>
      </c>
      <c r="K43" s="45">
        <v>3583.3898333333341</v>
      </c>
      <c r="L43" s="134">
        <v>3530.4333333333338</v>
      </c>
      <c r="M43" s="45" t="s">
        <v>1998</v>
      </c>
      <c r="N43" s="133">
        <v>9.7086916666666648E-3</v>
      </c>
      <c r="O43" s="133">
        <v>0.1765216666666668</v>
      </c>
      <c r="P43" s="133">
        <v>1.0591299999999997E-3</v>
      </c>
      <c r="Q43" s="133">
        <v>1.341564666666667E-2</v>
      </c>
      <c r="R43" s="133">
        <v>1.341564666666667E-2</v>
      </c>
      <c r="S43" s="133">
        <v>3.5304333333333333E-2</v>
      </c>
      <c r="T43" s="133">
        <v>7.0608666666666667E-2</v>
      </c>
      <c r="U43" s="45">
        <v>3583.3898333333341</v>
      </c>
      <c r="V43" s="134">
        <v>3530.4333333333338</v>
      </c>
      <c r="W43" t="s">
        <v>1998</v>
      </c>
    </row>
    <row r="44" spans="1:31" x14ac:dyDescent="0.25">
      <c r="A44" s="812" t="s">
        <v>1999</v>
      </c>
      <c r="B44" s="812">
        <v>2104002000</v>
      </c>
      <c r="C44" s="812" t="s">
        <v>151</v>
      </c>
      <c r="D44" s="133">
        <v>0.1118680936087232</v>
      </c>
      <c r="E44" s="133">
        <v>5.2801740183317347E-2</v>
      </c>
      <c r="F44" s="133">
        <v>0.10403732705611256</v>
      </c>
      <c r="G44" s="133">
        <v>8.9382606793369818E-2</v>
      </c>
      <c r="H44" s="133">
        <v>8.9382606793369818E-2</v>
      </c>
      <c r="I44" s="133">
        <v>1.4161941310396314E-2</v>
      </c>
      <c r="J44" s="133">
        <v>1.460717632295903</v>
      </c>
      <c r="K44" s="45">
        <v>340.07900457051846</v>
      </c>
      <c r="L44" s="134">
        <v>22.373618721744638</v>
      </c>
      <c r="M44" s="45" t="s">
        <v>738</v>
      </c>
      <c r="N44" s="133">
        <v>9.8287523511069785E-2</v>
      </c>
      <c r="O44" s="133">
        <v>4.6391711097224918E-2</v>
      </c>
      <c r="P44" s="133">
        <v>9.1407396865294879E-2</v>
      </c>
      <c r="Q44" s="133">
        <v>7.8531731285344741E-2</v>
      </c>
      <c r="R44" s="133">
        <v>7.8531731285344741E-2</v>
      </c>
      <c r="S44" s="133">
        <v>1.244270903888388E-2</v>
      </c>
      <c r="T44" s="133">
        <v>1.2833893382457935</v>
      </c>
      <c r="U44" s="45">
        <v>298.79407147365214</v>
      </c>
      <c r="V44" s="134">
        <v>19.657504702213952</v>
      </c>
      <c r="W44" t="s">
        <v>738</v>
      </c>
    </row>
    <row r="45" spans="1:31" x14ac:dyDescent="0.25">
      <c r="A45" s="812" t="s">
        <v>1999</v>
      </c>
      <c r="B45" s="812">
        <v>2103002000</v>
      </c>
      <c r="C45" s="812" t="s">
        <v>152</v>
      </c>
      <c r="D45" s="133">
        <v>2.8532244230068844E-4</v>
      </c>
      <c r="E45" s="133">
        <v>1.3467219276592487E-4</v>
      </c>
      <c r="F45" s="133">
        <v>2.6534987133964015E-4</v>
      </c>
      <c r="G45" s="133">
        <v>2.2797263139825007E-4</v>
      </c>
      <c r="H45" s="133">
        <v>2.2797263139825007E-4</v>
      </c>
      <c r="I45" s="133">
        <v>3.6120394583055642E-5</v>
      </c>
      <c r="J45" s="133">
        <v>3.725597790341238E-3</v>
      </c>
      <c r="K45" s="45">
        <v>13.116826184181894</v>
      </c>
      <c r="L45" s="134">
        <v>0.86738022459409281</v>
      </c>
      <c r="M45" s="45" t="s">
        <v>738</v>
      </c>
      <c r="N45" s="133">
        <v>2.6963315214105564E-4</v>
      </c>
      <c r="O45" s="133">
        <v>1.2726684781057824E-4</v>
      </c>
      <c r="P45" s="133">
        <v>2.5075883149118169E-4</v>
      </c>
      <c r="Q45" s="133">
        <v>2.1543688856070348E-4</v>
      </c>
      <c r="R45" s="133">
        <v>2.1543688856070348E-4</v>
      </c>
      <c r="S45" s="133">
        <v>3.4134208895296937E-5</v>
      </c>
      <c r="T45" s="133">
        <v>3.5207348840818335E-3</v>
      </c>
      <c r="U45" s="45">
        <v>12.391855464485586</v>
      </c>
      <c r="V45" s="134">
        <v>0.81968478250880905</v>
      </c>
      <c r="W45" t="s">
        <v>738</v>
      </c>
    </row>
    <row r="46" spans="1:31" x14ac:dyDescent="0.25">
      <c r="A46" s="812" t="s">
        <v>1999</v>
      </c>
      <c r="B46" s="812">
        <v>2103008000</v>
      </c>
      <c r="C46" s="812" t="s">
        <v>153</v>
      </c>
      <c r="D46" s="133">
        <v>8.7184102008962055E-4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2.9083381335906241E-5</v>
      </c>
      <c r="P46" s="133">
        <v>6.1727592489711021E-6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1.37609605943799E-2</v>
      </c>
      <c r="G47" s="135">
        <v>1.9373489384817266E-3</v>
      </c>
      <c r="H47" s="135">
        <v>1.9373489384817266E-3</v>
      </c>
      <c r="I47" s="135">
        <v>1.3544093175893139E-5</v>
      </c>
      <c r="J47" s="135">
        <v>4.6265049277175547E-3</v>
      </c>
      <c r="K47" s="88">
        <v>103.11814403022066</v>
      </c>
      <c r="L47" s="136">
        <v>0.74453533595827182</v>
      </c>
      <c r="M47" s="88" t="s">
        <v>1997</v>
      </c>
      <c r="N47" s="135">
        <v>3.72267667979136E-4</v>
      </c>
      <c r="O47" s="135">
        <v>1.9434212261993551E-2</v>
      </c>
      <c r="P47" s="135">
        <v>1.37609605943799E-2</v>
      </c>
      <c r="Q47" s="135">
        <v>1.9373489384817266E-3</v>
      </c>
      <c r="R47" s="135">
        <v>1.9373489384817266E-3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8.3460991075680102</v>
      </c>
      <c r="E48" s="137">
        <v>2.4391933925843738</v>
      </c>
      <c r="F48" s="137">
        <v>3.7373588454563733</v>
      </c>
      <c r="G48" s="137">
        <v>2.4400260500904736</v>
      </c>
      <c r="H48" s="137">
        <v>2.4400260500904736</v>
      </c>
      <c r="I48" s="137">
        <v>0.13914476210752322</v>
      </c>
      <c r="J48" s="137">
        <v>25.913642572861235</v>
      </c>
      <c r="K48" s="87">
        <v>48777.84702955409</v>
      </c>
      <c r="L48" s="87"/>
      <c r="M48" s="87"/>
      <c r="N48" s="137">
        <v>7.5272297039956815</v>
      </c>
      <c r="O48" s="137">
        <v>2.2822239647485829</v>
      </c>
      <c r="P48" s="137">
        <v>3.4660061912694218</v>
      </c>
      <c r="Q48" s="137">
        <v>2.1745445251516</v>
      </c>
      <c r="R48" s="137">
        <v>2.1745445251516</v>
      </c>
      <c r="S48" s="137">
        <v>0.12824934222849396</v>
      </c>
      <c r="T48" s="137">
        <v>22.906492294215312</v>
      </c>
      <c r="U48" s="87">
        <v>45551.844339364987</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4.7644723708425705</v>
      </c>
      <c r="E50" s="133">
        <v>5.409444613183706E-2</v>
      </c>
      <c r="F50" s="133">
        <v>8.3222224818210819E-3</v>
      </c>
      <c r="G50" s="133">
        <v>0.71987224467752364</v>
      </c>
      <c r="H50" s="133">
        <v>0.71987224467752364</v>
      </c>
      <c r="I50" s="133">
        <v>3.7450001168194871E-2</v>
      </c>
      <c r="J50" s="133">
        <v>5.2554834972700144</v>
      </c>
      <c r="K50" s="45">
        <v>668.19414476117538</v>
      </c>
      <c r="L50" s="134">
        <v>59.444937318992771</v>
      </c>
      <c r="M50" s="45" t="s">
        <v>738</v>
      </c>
      <c r="N50" s="133">
        <v>4.3956616310533372</v>
      </c>
      <c r="O50" s="133">
        <v>4.9907075287068461E-2</v>
      </c>
      <c r="P50" s="133">
        <v>7.6780115826259165E-3</v>
      </c>
      <c r="Q50" s="133">
        <v>0.66414800189714196</v>
      </c>
      <c r="R50" s="133">
        <v>0.66414800189714196</v>
      </c>
      <c r="S50" s="133">
        <v>3.4551052121816618E-2</v>
      </c>
      <c r="T50" s="133">
        <v>4.8486643144282651</v>
      </c>
      <c r="U50" s="45">
        <v>616.4672937865048</v>
      </c>
      <c r="V50" s="134">
        <v>54.843392887019242</v>
      </c>
      <c r="W50" t="s">
        <v>738</v>
      </c>
      <c r="Y50" s="13">
        <f>N50/$U50*2000</f>
        <v>14.260810509683404</v>
      </c>
      <c r="Z50" s="5">
        <f t="shared" ref="Z50:AE65" si="0">O50/$U50*2000</f>
        <v>0.16191313242435307</v>
      </c>
      <c r="AA50" s="357">
        <f t="shared" si="0"/>
        <v>2.4909712680669702E-2</v>
      </c>
      <c r="AB50" s="5">
        <f t="shared" si="0"/>
        <v>2.1546901468779298</v>
      </c>
      <c r="AC50" s="358">
        <f t="shared" si="0"/>
        <v>2.1546901468779298</v>
      </c>
      <c r="AD50" s="5">
        <f t="shared" si="0"/>
        <v>0.11209370706301364</v>
      </c>
      <c r="AE50" s="13">
        <f t="shared" si="0"/>
        <v>15.730483557842915</v>
      </c>
    </row>
    <row r="51" spans="1:31" x14ac:dyDescent="0.25">
      <c r="A51" s="812" t="s">
        <v>2001</v>
      </c>
      <c r="B51" s="812">
        <v>2104008210</v>
      </c>
      <c r="C51" s="812" t="s">
        <v>138</v>
      </c>
      <c r="D51" s="133">
        <v>0.10314938453636516</v>
      </c>
      <c r="E51" s="133">
        <v>5.4494014472041916E-3</v>
      </c>
      <c r="F51" s="133">
        <v>7.7848592102917056E-4</v>
      </c>
      <c r="G51" s="133">
        <v>5.9554172958731555E-2</v>
      </c>
      <c r="H51" s="133">
        <v>5.9554172958731555E-2</v>
      </c>
      <c r="I51" s="133">
        <v>3.3085651643739739E-3</v>
      </c>
      <c r="J51" s="133">
        <v>0.44918637643383158</v>
      </c>
      <c r="K51" s="45">
        <v>62.493816581357898</v>
      </c>
      <c r="L51" s="134">
        <v>5.5606596531616601</v>
      </c>
      <c r="M51" s="45" t="s">
        <v>738</v>
      </c>
      <c r="N51" s="133">
        <v>8.9777555977346921E-2</v>
      </c>
      <c r="O51" s="133">
        <v>4.7429652214447428E-3</v>
      </c>
      <c r="P51" s="133">
        <v>6.7756646020639209E-4</v>
      </c>
      <c r="Q51" s="133">
        <v>5.1833834205788992E-2</v>
      </c>
      <c r="R51" s="133">
        <v>5.1833834205788992E-2</v>
      </c>
      <c r="S51" s="133">
        <v>2.8796574558771662E-3</v>
      </c>
      <c r="T51" s="133">
        <v>0.39095584753908824</v>
      </c>
      <c r="U51" s="45">
        <v>54.392096174095641</v>
      </c>
      <c r="V51" s="134">
        <v>4.8398004072113059</v>
      </c>
      <c r="W51" t="s">
        <v>738</v>
      </c>
      <c r="Y51" s="13">
        <f t="shared" ref="Y51:AE70" si="1">N51/$U51*2000</f>
        <v>3.3011250638324796</v>
      </c>
      <c r="Z51" s="5">
        <f t="shared" si="0"/>
        <v>0.17439905997605554</v>
      </c>
      <c r="AA51" s="357">
        <f t="shared" si="0"/>
        <v>2.4914151425150799E-2</v>
      </c>
      <c r="AB51" s="5">
        <f t="shared" si="0"/>
        <v>1.905932584024036</v>
      </c>
      <c r="AC51" s="358">
        <f t="shared" si="0"/>
        <v>1.905932584024036</v>
      </c>
      <c r="AD51" s="5">
        <f t="shared" si="0"/>
        <v>0.10588514355689088</v>
      </c>
      <c r="AE51" s="13">
        <f t="shared" si="0"/>
        <v>14.375465372312009</v>
      </c>
    </row>
    <row r="52" spans="1:31" x14ac:dyDescent="0.25">
      <c r="A52" s="812" t="s">
        <v>2001</v>
      </c>
      <c r="B52" s="812">
        <v>2104008220</v>
      </c>
      <c r="C52" s="812" t="s">
        <v>139</v>
      </c>
      <c r="D52" s="133">
        <v>4.9171108592951249E-2</v>
      </c>
      <c r="E52" s="133">
        <v>8.1951847654918725E-3</v>
      </c>
      <c r="F52" s="133">
        <v>1.6390369530983745E-3</v>
      </c>
      <c r="G52" s="133">
        <v>4.9171108592951249E-2</v>
      </c>
      <c r="H52" s="133">
        <v>4.9171108592951249E-2</v>
      </c>
      <c r="I52" s="133">
        <v>3.6878331444713443E-3</v>
      </c>
      <c r="J52" s="133">
        <v>0.57694100749062782</v>
      </c>
      <c r="K52" s="45">
        <v>131.57550053260292</v>
      </c>
      <c r="L52" s="134">
        <v>11.707503512826706</v>
      </c>
      <c r="M52" s="45" t="s">
        <v>738</v>
      </c>
      <c r="N52" s="133">
        <v>4.2796784236900379E-2</v>
      </c>
      <c r="O52" s="133">
        <v>7.1327973728167321E-3</v>
      </c>
      <c r="P52" s="133">
        <v>1.4265594745633456E-3</v>
      </c>
      <c r="Q52" s="133">
        <v>4.2796784236900379E-2</v>
      </c>
      <c r="R52" s="133">
        <v>4.2796784236900379E-2</v>
      </c>
      <c r="S52" s="133">
        <v>3.2097588177675282E-3</v>
      </c>
      <c r="T52" s="133">
        <v>0.50214893504629776</v>
      </c>
      <c r="U52" s="45">
        <v>114.51800627038304</v>
      </c>
      <c r="V52" s="134">
        <v>10.189794701171804</v>
      </c>
      <c r="W52" t="s">
        <v>738</v>
      </c>
      <c r="Y52" s="13">
        <f t="shared" si="1"/>
        <v>0.74742454275452408</v>
      </c>
      <c r="Z52" s="5">
        <f t="shared" si="0"/>
        <v>0.12457075712575405</v>
      </c>
      <c r="AA52" s="357">
        <f t="shared" si="0"/>
        <v>2.4914151425150795E-2</v>
      </c>
      <c r="AB52" s="5">
        <f t="shared" si="0"/>
        <v>0.74742454275452408</v>
      </c>
      <c r="AC52" s="358">
        <f t="shared" si="0"/>
        <v>0.74742454275452408</v>
      </c>
      <c r="AD52" s="5">
        <f t="shared" si="0"/>
        <v>5.6056840706589298E-2</v>
      </c>
      <c r="AE52" s="13">
        <f t="shared" si="0"/>
        <v>8.7697813016530812</v>
      </c>
    </row>
    <row r="53" spans="1:31" x14ac:dyDescent="0.25">
      <c r="A53" s="812" t="s">
        <v>2001</v>
      </c>
      <c r="B53" s="812">
        <v>2104008230</v>
      </c>
      <c r="C53" s="812" t="s">
        <v>140</v>
      </c>
      <c r="D53" s="133">
        <v>3.7005759479357615E-2</v>
      </c>
      <c r="E53" s="133">
        <v>4.9341012639143476E-3</v>
      </c>
      <c r="F53" s="133">
        <v>9.8682025278286995E-4</v>
      </c>
      <c r="G53" s="133">
        <v>3.2071658215443256E-2</v>
      </c>
      <c r="H53" s="133">
        <v>3.2071658215443256E-2</v>
      </c>
      <c r="I53" s="133">
        <v>2.2203455687614571E-3</v>
      </c>
      <c r="J53" s="133">
        <v>0.2639744176194177</v>
      </c>
      <c r="K53" s="45">
        <v>79.218085016429015</v>
      </c>
      <c r="L53" s="134">
        <v>7.0487743147854269</v>
      </c>
      <c r="M53" s="45" t="s">
        <v>738</v>
      </c>
      <c r="N53" s="133">
        <v>3.2208497007279777E-2</v>
      </c>
      <c r="O53" s="133">
        <v>4.2944662676373041E-3</v>
      </c>
      <c r="P53" s="133">
        <v>8.5889325352746042E-4</v>
      </c>
      <c r="Q53" s="133">
        <v>2.7914030739642468E-2</v>
      </c>
      <c r="R53" s="133">
        <v>2.7914030739642468E-2</v>
      </c>
      <c r="S53" s="133">
        <v>1.9325098204367864E-3</v>
      </c>
      <c r="T53" s="133">
        <v>0.22975394531859569</v>
      </c>
      <c r="U53" s="45">
        <v>68.94822455485351</v>
      </c>
      <c r="V53" s="134">
        <v>6.1350024865561279</v>
      </c>
      <c r="W53" t="s">
        <v>738</v>
      </c>
      <c r="Y53" s="13">
        <f t="shared" si="1"/>
        <v>0.93428067844315532</v>
      </c>
      <c r="Z53" s="5">
        <f t="shared" si="0"/>
        <v>0.12457075712575405</v>
      </c>
      <c r="AA53" s="357">
        <f t="shared" si="0"/>
        <v>2.4914151425150799E-2</v>
      </c>
      <c r="AB53" s="5">
        <f t="shared" si="0"/>
        <v>0.80970992131740105</v>
      </c>
      <c r="AC53" s="358">
        <f t="shared" si="0"/>
        <v>0.80970992131740105</v>
      </c>
      <c r="AD53" s="5">
        <f t="shared" si="0"/>
        <v>5.6056840706589312E-2</v>
      </c>
      <c r="AE53" s="13">
        <f t="shared" si="0"/>
        <v>6.6645355062278391</v>
      </c>
    </row>
    <row r="54" spans="1:31" x14ac:dyDescent="0.25">
      <c r="A54" s="812" t="s">
        <v>2001</v>
      </c>
      <c r="B54" s="812">
        <v>2104008310</v>
      </c>
      <c r="C54" s="812" t="s">
        <v>141</v>
      </c>
      <c r="D54" s="133">
        <v>2.093336372116319</v>
      </c>
      <c r="E54" s="133">
        <v>5.7355150787682059E-2</v>
      </c>
      <c r="F54" s="133">
        <v>1.5798765072575997E-2</v>
      </c>
      <c r="G54" s="133">
        <v>0.47957267440955403</v>
      </c>
      <c r="H54" s="133">
        <v>0.47957267440955403</v>
      </c>
      <c r="I54" s="133">
        <v>1.5681401783152745E-2</v>
      </c>
      <c r="J54" s="133">
        <v>4.7858662547265007</v>
      </c>
      <c r="K54" s="45">
        <v>1268.2633044310783</v>
      </c>
      <c r="L54" s="134">
        <v>112.84925409147004</v>
      </c>
      <c r="M54" s="45" t="s">
        <v>738</v>
      </c>
      <c r="N54" s="133">
        <v>1.8219655325314446</v>
      </c>
      <c r="O54" s="133">
        <v>4.9919883512392266E-2</v>
      </c>
      <c r="P54" s="133">
        <v>1.3750683264388261E-2</v>
      </c>
      <c r="Q54" s="133">
        <v>0.41740300066289604</v>
      </c>
      <c r="R54" s="133">
        <v>0.41740300066289604</v>
      </c>
      <c r="S54" s="133">
        <v>1.3648534431089442E-2</v>
      </c>
      <c r="T54" s="133">
        <v>4.1654477873527913</v>
      </c>
      <c r="U54" s="45">
        <v>1103.8452026511297</v>
      </c>
      <c r="V54" s="134">
        <v>98.219977479623466</v>
      </c>
      <c r="W54" t="s">
        <v>738</v>
      </c>
      <c r="Y54" s="13">
        <f t="shared" si="1"/>
        <v>3.3011250638324818</v>
      </c>
      <c r="Z54" s="5">
        <f t="shared" si="0"/>
        <v>9.0447253641178241E-2</v>
      </c>
      <c r="AA54" s="357">
        <f t="shared" si="0"/>
        <v>2.4914151425150806E-2</v>
      </c>
      <c r="AB54" s="5">
        <f t="shared" si="0"/>
        <v>0.75627089678953163</v>
      </c>
      <c r="AC54" s="358">
        <f t="shared" si="0"/>
        <v>0.75627089678953163</v>
      </c>
      <c r="AD54" s="5">
        <f t="shared" si="0"/>
        <v>2.4729073240177975E-2</v>
      </c>
      <c r="AE54" s="13">
        <f t="shared" si="0"/>
        <v>7.5471592889085208</v>
      </c>
    </row>
    <row r="55" spans="1:31" x14ac:dyDescent="0.25">
      <c r="A55" s="812" t="s">
        <v>2001</v>
      </c>
      <c r="B55" s="812">
        <v>2104008320</v>
      </c>
      <c r="C55" s="812" t="s">
        <v>142</v>
      </c>
      <c r="D55" s="133">
        <v>0.99788932854580226</v>
      </c>
      <c r="E55" s="133">
        <v>0.1337869920285803</v>
      </c>
      <c r="F55" s="133">
        <v>3.3262977618193405E-2</v>
      </c>
      <c r="G55" s="133">
        <v>0.6590331604337103</v>
      </c>
      <c r="H55" s="133">
        <v>0.6590331604337103</v>
      </c>
      <c r="I55" s="133">
        <v>2.0767884468509412E-2</v>
      </c>
      <c r="J55" s="133">
        <v>10.2816652559635</v>
      </c>
      <c r="K55" s="45">
        <v>2670.2222430343732</v>
      </c>
      <c r="L55" s="134">
        <v>237.59465982503826</v>
      </c>
      <c r="M55" s="45" t="s">
        <v>738</v>
      </c>
      <c r="N55" s="133">
        <v>0.86852738341966362</v>
      </c>
      <c r="O55" s="133">
        <v>0.11644343996693705</v>
      </c>
      <c r="P55" s="133">
        <v>2.8950912780655459E-2</v>
      </c>
      <c r="Q55" s="133">
        <v>0.57359902550757647</v>
      </c>
      <c r="R55" s="133">
        <v>0.57359902550757647</v>
      </c>
      <c r="S55" s="133">
        <v>1.807562806877782E-2</v>
      </c>
      <c r="T55" s="133">
        <v>8.9487957897817871</v>
      </c>
      <c r="U55" s="45">
        <v>2324.0536903399848</v>
      </c>
      <c r="V55" s="134">
        <v>206.79394228320376</v>
      </c>
      <c r="W55" t="s">
        <v>738</v>
      </c>
      <c r="Y55" s="13">
        <f t="shared" si="1"/>
        <v>0.74742454275452408</v>
      </c>
      <c r="Z55" s="5">
        <f t="shared" si="0"/>
        <v>0.10020718579001726</v>
      </c>
      <c r="AA55" s="357">
        <f t="shared" si="0"/>
        <v>2.4914151425150806E-2</v>
      </c>
      <c r="AB55" s="5">
        <f t="shared" si="0"/>
        <v>0.49361942703110689</v>
      </c>
      <c r="AC55" s="358">
        <f t="shared" si="0"/>
        <v>0.49361942703110689</v>
      </c>
      <c r="AD55" s="5">
        <f t="shared" si="0"/>
        <v>1.5555258593129615E-2</v>
      </c>
      <c r="AE55" s="13">
        <f t="shared" si="0"/>
        <v>7.701023282704516</v>
      </c>
    </row>
    <row r="56" spans="1:31" x14ac:dyDescent="0.25">
      <c r="A56" s="812" t="s">
        <v>2001</v>
      </c>
      <c r="B56" s="812">
        <v>2104008330</v>
      </c>
      <c r="C56" s="812" t="s">
        <v>143</v>
      </c>
      <c r="D56" s="133">
        <v>0.75100304906441018</v>
      </c>
      <c r="E56" s="133">
        <v>8.0549564818005223E-2</v>
      </c>
      <c r="F56" s="133">
        <v>2.0026747975050947E-2</v>
      </c>
      <c r="G56" s="133">
        <v>0.44026963657095874</v>
      </c>
      <c r="H56" s="133">
        <v>0.44026963657095874</v>
      </c>
      <c r="I56" s="133">
        <v>1.2503787033134591E-2</v>
      </c>
      <c r="J56" s="133">
        <v>6.1903152871195699</v>
      </c>
      <c r="K56" s="45">
        <v>1607.6692986552</v>
      </c>
      <c r="L56" s="134">
        <v>143.04938142192796</v>
      </c>
      <c r="M56" s="45" t="s">
        <v>738</v>
      </c>
      <c r="N56" s="133">
        <v>0.65364634582738013</v>
      </c>
      <c r="O56" s="133">
        <v>7.010747661659518E-2</v>
      </c>
      <c r="P56" s="133">
        <v>1.7430569222063472E-2</v>
      </c>
      <c r="Q56" s="133">
        <v>0.38319503427032575</v>
      </c>
      <c r="R56" s="133">
        <v>0.38319503427032575</v>
      </c>
      <c r="S56" s="133">
        <v>1.0882851558850649E-2</v>
      </c>
      <c r="T56" s="133">
        <v>5.3878302784334551</v>
      </c>
      <c r="U56" s="45">
        <v>1399.2504841619725</v>
      </c>
      <c r="V56" s="134">
        <v>124.50509429461843</v>
      </c>
      <c r="W56" t="s">
        <v>738</v>
      </c>
      <c r="Y56" s="13">
        <f t="shared" si="1"/>
        <v>0.93428067844315466</v>
      </c>
      <c r="Z56" s="5">
        <f t="shared" si="0"/>
        <v>0.10020718579001724</v>
      </c>
      <c r="AA56" s="357">
        <f t="shared" si="0"/>
        <v>2.4914151425150792E-2</v>
      </c>
      <c r="AB56" s="5">
        <f t="shared" si="0"/>
        <v>0.54771470670574862</v>
      </c>
      <c r="AC56" s="358">
        <f t="shared" si="0"/>
        <v>0.54771470670574862</v>
      </c>
      <c r="AD56" s="5">
        <f t="shared" si="0"/>
        <v>1.5555258593129615E-2</v>
      </c>
      <c r="AE56" s="13">
        <f t="shared" si="0"/>
        <v>7.7010232827045115</v>
      </c>
    </row>
    <row r="57" spans="1:31" x14ac:dyDescent="0.25">
      <c r="A57" s="812" t="s">
        <v>2001</v>
      </c>
      <c r="B57" s="812">
        <v>2104008410</v>
      </c>
      <c r="C57" s="812" t="s">
        <v>144</v>
      </c>
      <c r="D57" s="133">
        <v>1.2583758271484941E-2</v>
      </c>
      <c r="E57" s="133">
        <v>2.1975161926997517E-2</v>
      </c>
      <c r="F57" s="133">
        <v>1.7562566974623391E-3</v>
      </c>
      <c r="G57" s="133">
        <v>1.6245374451526639E-2</v>
      </c>
      <c r="H57" s="133">
        <v>1.6245374451526639E-2</v>
      </c>
      <c r="I57" s="133">
        <v>3.94499160667478E-4</v>
      </c>
      <c r="J57" s="133">
        <v>5.4509817247487366E-2</v>
      </c>
      <c r="K57" s="45">
        <v>168.36251413998656</v>
      </c>
      <c r="L57" s="134">
        <v>14.980788351504783</v>
      </c>
      <c r="M57" s="45" t="s">
        <v>738</v>
      </c>
      <c r="N57" s="133">
        <v>1.0952455680676938E-2</v>
      </c>
      <c r="O57" s="133">
        <v>1.9126399433985471E-2</v>
      </c>
      <c r="P57" s="133">
        <v>1.5285833713474901E-3</v>
      </c>
      <c r="Q57" s="133">
        <v>1.4139396184964282E-2</v>
      </c>
      <c r="R57" s="133">
        <v>1.4139396184964282E-2</v>
      </c>
      <c r="S57" s="133">
        <v>3.4335803978893006E-4</v>
      </c>
      <c r="T57" s="133">
        <v>4.7443406388197731E-2</v>
      </c>
      <c r="U57" s="45">
        <v>146.53593846829364</v>
      </c>
      <c r="V57" s="134">
        <v>13.038745416244851</v>
      </c>
      <c r="W57" t="s">
        <v>738</v>
      </c>
      <c r="Y57" s="13">
        <f t="shared" si="1"/>
        <v>0.14948490855090474</v>
      </c>
      <c r="Z57" s="5">
        <f t="shared" si="0"/>
        <v>0.26104721659286195</v>
      </c>
      <c r="AA57" s="357">
        <f t="shared" si="0"/>
        <v>2.0862914413015941E-2</v>
      </c>
      <c r="AB57" s="5">
        <f t="shared" si="0"/>
        <v>0.19298195832039744</v>
      </c>
      <c r="AC57" s="358">
        <f t="shared" si="0"/>
        <v>0.19298195832039744</v>
      </c>
      <c r="AD57" s="5">
        <f t="shared" si="0"/>
        <v>4.6863321500237066E-3</v>
      </c>
      <c r="AE57" s="13">
        <f t="shared" si="0"/>
        <v>0.64753270609398239</v>
      </c>
    </row>
    <row r="58" spans="1:31" x14ac:dyDescent="0.25">
      <c r="A58" s="812" t="s">
        <v>2001</v>
      </c>
      <c r="B58" s="812">
        <v>2104008420</v>
      </c>
      <c r="C58" s="812" t="s">
        <v>145</v>
      </c>
      <c r="D58" s="133">
        <v>4.2445407735264958E-2</v>
      </c>
      <c r="E58" s="133">
        <v>7.4122904136954063E-2</v>
      </c>
      <c r="F58" s="133">
        <v>5.923908422533793E-3</v>
      </c>
      <c r="G58" s="133">
        <v>5.479615290843759E-2</v>
      </c>
      <c r="H58" s="133">
        <v>5.479615290843759E-2</v>
      </c>
      <c r="I58" s="133">
        <v>1.3306579294116532E-3</v>
      </c>
      <c r="J58" s="133">
        <v>0.1838633076643926</v>
      </c>
      <c r="K58" s="45">
        <v>567.89199266482399</v>
      </c>
      <c r="L58" s="134">
        <v>50.530664691502672</v>
      </c>
      <c r="M58" s="45" t="s">
        <v>738</v>
      </c>
      <c r="N58" s="133">
        <v>3.6942973397874543E-2</v>
      </c>
      <c r="O58" s="133">
        <v>6.4513939712484258E-2</v>
      </c>
      <c r="P58" s="133">
        <v>5.1559592177809607E-3</v>
      </c>
      <c r="Q58" s="133">
        <v>4.769262276447387E-2</v>
      </c>
      <c r="R58" s="133">
        <v>4.769262276447387E-2</v>
      </c>
      <c r="S58" s="133">
        <v>1.1581573392940483E-3</v>
      </c>
      <c r="T58" s="133">
        <v>0.16002808422187662</v>
      </c>
      <c r="U58" s="45">
        <v>494.27027458486452</v>
      </c>
      <c r="V58" s="134">
        <v>43.980093514902059</v>
      </c>
      <c r="W58" t="s">
        <v>738</v>
      </c>
      <c r="Y58" s="13">
        <f t="shared" si="1"/>
        <v>0.14948490855090479</v>
      </c>
      <c r="Z58" s="5">
        <f t="shared" si="0"/>
        <v>0.26104721659286201</v>
      </c>
      <c r="AA58" s="357">
        <f t="shared" si="0"/>
        <v>2.0862914413015951E-2</v>
      </c>
      <c r="AB58" s="5">
        <f t="shared" si="0"/>
        <v>0.1929819583203975</v>
      </c>
      <c r="AC58" s="358">
        <f t="shared" si="0"/>
        <v>0.1929819583203975</v>
      </c>
      <c r="AD58" s="5">
        <f t="shared" si="0"/>
        <v>4.6863321500237075E-3</v>
      </c>
      <c r="AE58" s="13">
        <f t="shared" si="0"/>
        <v>0.64753270609398283</v>
      </c>
    </row>
    <row r="59" spans="1:31" x14ac:dyDescent="0.25">
      <c r="A59" s="812" t="s">
        <v>2001</v>
      </c>
      <c r="B59" s="812">
        <v>2104008610</v>
      </c>
      <c r="C59" s="812" t="s">
        <v>146</v>
      </c>
      <c r="D59" s="133">
        <v>1.1920629837086572</v>
      </c>
      <c r="E59" s="133">
        <v>4.2345372675099566E-2</v>
      </c>
      <c r="F59" s="133">
        <v>1.0502757565715041E-2</v>
      </c>
      <c r="G59" s="133">
        <v>0.25915953606422126</v>
      </c>
      <c r="H59" s="133">
        <v>0.25915953606422126</v>
      </c>
      <c r="I59" s="133">
        <v>6.4003429022412468E-3</v>
      </c>
      <c r="J59" s="133">
        <v>1.5903975642669081</v>
      </c>
      <c r="K59" s="45">
        <v>842.82666683542584</v>
      </c>
      <c r="L59" s="134">
        <v>75.020316572201182</v>
      </c>
      <c r="M59" s="45" t="s">
        <v>738</v>
      </c>
      <c r="N59" s="133">
        <v>1.0899238092674248</v>
      </c>
      <c r="O59" s="133">
        <v>3.8717106832144702E-2</v>
      </c>
      <c r="P59" s="133">
        <v>9.6028529450874461E-3</v>
      </c>
      <c r="Q59" s="133">
        <v>0.23695404740806003</v>
      </c>
      <c r="R59" s="133">
        <v>0.23695404740806003</v>
      </c>
      <c r="S59" s="133">
        <v>5.851944244527796E-3</v>
      </c>
      <c r="T59" s="133">
        <v>1.4541280076515433</v>
      </c>
      <c r="U59" s="45">
        <v>770.61075992427504</v>
      </c>
      <c r="V59" s="134">
        <v>68.592373329499807</v>
      </c>
      <c r="W59" t="s">
        <v>738</v>
      </c>
      <c r="Y59" s="13">
        <f t="shared" si="1"/>
        <v>2.8287272017186145</v>
      </c>
      <c r="Z59" s="5">
        <f t="shared" si="0"/>
        <v>0.10048421030598971</v>
      </c>
      <c r="AA59" s="357">
        <f t="shared" si="0"/>
        <v>2.49227066230715E-2</v>
      </c>
      <c r="AB59" s="5">
        <f t="shared" si="0"/>
        <v>0.6149772614941027</v>
      </c>
      <c r="AC59" s="358">
        <f t="shared" si="0"/>
        <v>0.6149772614941027</v>
      </c>
      <c r="AD59" s="5">
        <f t="shared" si="0"/>
        <v>1.5187808291446239E-2</v>
      </c>
      <c r="AE59" s="13">
        <f t="shared" si="0"/>
        <v>3.7739623770486537</v>
      </c>
    </row>
    <row r="60" spans="1:31" x14ac:dyDescent="0.25">
      <c r="A60" s="812" t="s">
        <v>2001</v>
      </c>
      <c r="B60" s="812">
        <v>2104004000</v>
      </c>
      <c r="C60" s="812" t="s">
        <v>568</v>
      </c>
      <c r="D60" s="133">
        <v>8.8447693284790921E-2</v>
      </c>
      <c r="E60" s="133">
        <v>1.3858139692774847</v>
      </c>
      <c r="F60" s="133">
        <v>3.5853666586771236</v>
      </c>
      <c r="G60" s="133">
        <v>5.6640897926872671E-2</v>
      </c>
      <c r="H60" s="133">
        <v>5.6640897926872671E-2</v>
      </c>
      <c r="I60" s="133">
        <v>3.0387841737767201E-3</v>
      </c>
      <c r="J60" s="133">
        <v>5.5555280716607626E-2</v>
      </c>
      <c r="K60" s="45">
        <v>33297.681281806414</v>
      </c>
      <c r="L60" s="134">
        <v>248.10012141596343</v>
      </c>
      <c r="M60" s="45" t="s">
        <v>1997</v>
      </c>
      <c r="N60" s="133">
        <v>8.1679097922963198E-2</v>
      </c>
      <c r="O60" s="133">
        <v>1.2797624301536195</v>
      </c>
      <c r="P60" s="133">
        <v>3.3109909770159418</v>
      </c>
      <c r="Q60" s="133">
        <v>5.2306366355052564E-2</v>
      </c>
      <c r="R60" s="133">
        <v>5.2306366355052564E-2</v>
      </c>
      <c r="S60" s="133">
        <v>2.8062365549485699E-3</v>
      </c>
      <c r="T60" s="133">
        <v>5.1303827666580738E-2</v>
      </c>
      <c r="U60" s="45">
        <v>30749.525160222096</v>
      </c>
      <c r="V60" s="134">
        <v>229.11387916679729</v>
      </c>
      <c r="W60" t="s">
        <v>1997</v>
      </c>
      <c r="Y60" s="13">
        <f t="shared" si="1"/>
        <v>5.3125436895281961E-3</v>
      </c>
      <c r="Z60" s="5">
        <f t="shared" si="0"/>
        <v>8.3237866177467576E-2</v>
      </c>
      <c r="AA60" s="357">
        <f t="shared" si="0"/>
        <v>0.215352332093835</v>
      </c>
      <c r="AB60" s="5">
        <f t="shared" si="0"/>
        <v>3.4020926230572575E-3</v>
      </c>
      <c r="AC60" s="358">
        <f t="shared" si="0"/>
        <v>3.4020926230572575E-3</v>
      </c>
      <c r="AD60" s="5">
        <f t="shared" si="0"/>
        <v>1.8252226922702185E-4</v>
      </c>
      <c r="AE60" s="13">
        <f t="shared" si="0"/>
        <v>3.3368858477819947E-3</v>
      </c>
    </row>
    <row r="61" spans="1:31" x14ac:dyDescent="0.25">
      <c r="A61" s="812" t="s">
        <v>2001</v>
      </c>
      <c r="B61" s="812">
        <v>2103004001</v>
      </c>
      <c r="C61" s="812" t="s">
        <v>148</v>
      </c>
      <c r="D61" s="133">
        <v>2.714151074520724E-2</v>
      </c>
      <c r="E61" s="133">
        <v>0.68519942975277781</v>
      </c>
      <c r="F61" s="133">
        <v>0.48432941025725224</v>
      </c>
      <c r="G61" s="133">
        <v>1.7381115126998487E-2</v>
      </c>
      <c r="H61" s="133">
        <v>1.7381115126998487E-2</v>
      </c>
      <c r="I61" s="133">
        <v>9.3249682656346893E-4</v>
      </c>
      <c r="J61" s="133">
        <v>1.7047977087064348E-2</v>
      </c>
      <c r="K61" s="45">
        <v>10544.457891195529</v>
      </c>
      <c r="L61" s="134">
        <v>78.566470167414607</v>
      </c>
      <c r="M61" s="45" t="s">
        <v>1997</v>
      </c>
      <c r="N61" s="133">
        <v>2.6682948123092319E-2</v>
      </c>
      <c r="O61" s="133">
        <v>0.67362281376670707</v>
      </c>
      <c r="P61" s="133">
        <v>0.47614654356203151</v>
      </c>
      <c r="Q61" s="133">
        <v>1.7087456833518078E-2</v>
      </c>
      <c r="R61" s="133">
        <v>1.7087456833518078E-2</v>
      </c>
      <c r="S61" s="133">
        <v>9.167420591182446E-4</v>
      </c>
      <c r="T61" s="133">
        <v>1.675994724420898E-2</v>
      </c>
      <c r="U61" s="45">
        <v>10366.306634076549</v>
      </c>
      <c r="V61" s="134">
        <v>77.239069975564718</v>
      </c>
      <c r="W61" t="s">
        <v>1997</v>
      </c>
      <c r="Y61" s="13">
        <f t="shared" si="1"/>
        <v>5.1480144404332075E-3</v>
      </c>
      <c r="Z61" s="5">
        <f t="shared" si="0"/>
        <v>0.1299638989169675</v>
      </c>
      <c r="AA61" s="357">
        <f t="shared" si="0"/>
        <v>9.1864259927797814E-2</v>
      </c>
      <c r="AB61" s="5">
        <f t="shared" si="0"/>
        <v>3.2967299611507705E-3</v>
      </c>
      <c r="AC61" s="358">
        <f t="shared" si="0"/>
        <v>3.2967299611507705E-3</v>
      </c>
      <c r="AD61" s="5">
        <f t="shared" si="0"/>
        <v>1.7686956241573878E-4</v>
      </c>
      <c r="AE61" s="13">
        <f t="shared" si="0"/>
        <v>3.2335426368953805E-3</v>
      </c>
    </row>
    <row r="62" spans="1:31" x14ac:dyDescent="0.25">
      <c r="A62" s="812" t="s">
        <v>2001</v>
      </c>
      <c r="B62" s="812">
        <v>2104004000</v>
      </c>
      <c r="C62" s="812" t="s">
        <v>746</v>
      </c>
      <c r="D62" s="133">
        <v>5.8908089537741161E-4</v>
      </c>
      <c r="E62" s="133">
        <v>1.4871607456933259E-2</v>
      </c>
      <c r="F62" s="133">
        <v>2.387932260425632E-2</v>
      </c>
      <c r="G62" s="133">
        <v>3.304801657096279E-4</v>
      </c>
      <c r="H62" s="133">
        <v>3.304801657096279E-4</v>
      </c>
      <c r="I62" s="133">
        <v>2.0238964245039434E-5</v>
      </c>
      <c r="J62" s="133">
        <v>3.7001026586535278E-4</v>
      </c>
      <c r="K62" s="45">
        <v>226.37065150695238</v>
      </c>
      <c r="L62" s="134">
        <v>1.6524008285481391</v>
      </c>
      <c r="M62" s="45" t="s">
        <v>1997</v>
      </c>
      <c r="N62" s="133">
        <v>5.5621519427448104E-4</v>
      </c>
      <c r="O62" s="133">
        <v>1.4041898312679747E-2</v>
      </c>
      <c r="P62" s="133">
        <v>2.2547059607084891E-2</v>
      </c>
      <c r="Q62" s="133">
        <v>3.1204218472621664E-4</v>
      </c>
      <c r="R62" s="133">
        <v>3.1204218472621664E-4</v>
      </c>
      <c r="S62" s="133">
        <v>1.910980226621782E-5</v>
      </c>
      <c r="T62" s="133">
        <v>3.4936684167968877E-4</v>
      </c>
      <c r="U62" s="45">
        <v>213.74109548284019</v>
      </c>
      <c r="V62" s="134">
        <v>1.5602109236310833</v>
      </c>
      <c r="W62" t="s">
        <v>1997</v>
      </c>
      <c r="Y62" s="13">
        <f t="shared" si="1"/>
        <v>5.2045695098361256E-3</v>
      </c>
      <c r="Z62" s="5">
        <f t="shared" si="0"/>
        <v>0.13139165662980401</v>
      </c>
      <c r="AA62" s="357">
        <f t="shared" si="0"/>
        <v>0.21097542853096343</v>
      </c>
      <c r="AB62" s="5">
        <f t="shared" si="0"/>
        <v>2.919814591773423E-3</v>
      </c>
      <c r="AC62" s="358">
        <f t="shared" si="0"/>
        <v>2.919814591773423E-3</v>
      </c>
      <c r="AD62" s="5">
        <f t="shared" si="0"/>
        <v>1.7881261647928641E-4</v>
      </c>
      <c r="AE62" s="13">
        <f t="shared" si="0"/>
        <v>3.2690656973612922E-3</v>
      </c>
    </row>
    <row r="63" spans="1:31" x14ac:dyDescent="0.25">
      <c r="A63" s="812" t="s">
        <v>2001</v>
      </c>
      <c r="B63" s="812">
        <v>2104004000</v>
      </c>
      <c r="C63" s="812" t="s">
        <v>747</v>
      </c>
      <c r="D63" s="133">
        <v>2.279947112751507E-3</v>
      </c>
      <c r="E63" s="133">
        <v>3.5722611192260632E-2</v>
      </c>
      <c r="F63" s="133">
        <v>9.242124987121704E-2</v>
      </c>
      <c r="G63" s="133">
        <v>1.4600522285665104E-3</v>
      </c>
      <c r="H63" s="133">
        <v>1.4600522285665104E-3</v>
      </c>
      <c r="I63" s="133">
        <v>7.8331802062593363E-5</v>
      </c>
      <c r="J63" s="133">
        <v>1.4320678941856528E-3</v>
      </c>
      <c r="K63" s="45">
        <v>799.42044626630729</v>
      </c>
      <c r="L63" s="134">
        <v>6.3953635701304572</v>
      </c>
      <c r="M63" s="45" t="s">
        <v>1997</v>
      </c>
      <c r="N63" s="133">
        <v>1.889369548305056E-3</v>
      </c>
      <c r="O63" s="133">
        <v>2.9602973417723635E-2</v>
      </c>
      <c r="P63" s="133">
        <v>7.6588572667475638E-2</v>
      </c>
      <c r="Q63" s="133">
        <v>1.2099307936399306E-3</v>
      </c>
      <c r="R63" s="133">
        <v>1.2099307936399306E-3</v>
      </c>
      <c r="S63" s="133">
        <v>6.4912787078782281E-5</v>
      </c>
      <c r="T63" s="133">
        <v>1.1867404534284982E-3</v>
      </c>
      <c r="U63" s="45">
        <v>662.47179113080529</v>
      </c>
      <c r="V63" s="134">
        <v>5.299774329046441</v>
      </c>
      <c r="W63" t="s">
        <v>1997</v>
      </c>
      <c r="Y63" s="13">
        <f t="shared" si="1"/>
        <v>5.7039999999999981E-3</v>
      </c>
      <c r="Z63" s="5">
        <f t="shared" si="0"/>
        <v>8.9371272298833682E-2</v>
      </c>
      <c r="AA63" s="357">
        <f t="shared" si="0"/>
        <v>0.23122063065279469</v>
      </c>
      <c r="AB63" s="5">
        <f t="shared" si="0"/>
        <v>3.6527767969550553E-3</v>
      </c>
      <c r="AC63" s="358">
        <f t="shared" si="0"/>
        <v>3.6527767969550553E-3</v>
      </c>
      <c r="AD63" s="5">
        <f t="shared" si="0"/>
        <v>1.9597147515663872E-4</v>
      </c>
      <c r="AE63" s="13">
        <f t="shared" si="0"/>
        <v>3.5827652416800821E-3</v>
      </c>
    </row>
    <row r="64" spans="1:31" x14ac:dyDescent="0.25">
      <c r="A64" s="812" t="s">
        <v>2001</v>
      </c>
      <c r="B64" s="812">
        <v>2104006010</v>
      </c>
      <c r="C64" s="812" t="s">
        <v>149</v>
      </c>
      <c r="D64" s="133">
        <v>6.4990552711092727E-4</v>
      </c>
      <c r="E64" s="133">
        <v>1.1107476281532223E-2</v>
      </c>
      <c r="F64" s="133">
        <v>7.0898784775737624E-5</v>
      </c>
      <c r="G64" s="133">
        <v>5.8529310125197163E-6</v>
      </c>
      <c r="H64" s="133">
        <v>5.8529310125197163E-6</v>
      </c>
      <c r="I64" s="133">
        <v>2.363292825857918E-3</v>
      </c>
      <c r="J64" s="133">
        <v>4.726585651715836E-3</v>
      </c>
      <c r="K64" s="45">
        <v>291.73882732240446</v>
      </c>
      <c r="L64" s="134">
        <v>287.42741608118672</v>
      </c>
      <c r="M64" s="45" t="s">
        <v>1998</v>
      </c>
      <c r="N64" s="133">
        <v>6.4990552711092727E-4</v>
      </c>
      <c r="O64" s="133">
        <v>1.1107476281532223E-2</v>
      </c>
      <c r="P64" s="133">
        <v>7.0898784775737624E-5</v>
      </c>
      <c r="Q64" s="133">
        <v>5.8529310125197163E-6</v>
      </c>
      <c r="R64" s="133">
        <v>5.8529310125197163E-6</v>
      </c>
      <c r="S64" s="133">
        <v>2.363292825857918E-3</v>
      </c>
      <c r="T64" s="133">
        <v>4.726585651715836E-3</v>
      </c>
      <c r="U64" s="45">
        <v>291.73882732240446</v>
      </c>
      <c r="V64" s="134">
        <v>287.42741608118672</v>
      </c>
      <c r="W64" t="s">
        <v>1998</v>
      </c>
      <c r="Y64" s="13">
        <f t="shared" si="1"/>
        <v>4.4553927434054438E-3</v>
      </c>
      <c r="Z64" s="5">
        <f t="shared" si="0"/>
        <v>7.6146712341838563E-2</v>
      </c>
      <c r="AA64" s="357">
        <f t="shared" si="0"/>
        <v>4.8604284473513997E-4</v>
      </c>
      <c r="AB64" s="5">
        <f t="shared" si="0"/>
        <v>4.0124456975701519E-5</v>
      </c>
      <c r="AC64" s="358">
        <f t="shared" si="0"/>
        <v>4.0124456975701519E-5</v>
      </c>
      <c r="AD64" s="5">
        <f t="shared" si="0"/>
        <v>1.6201428157837979E-2</v>
      </c>
      <c r="AE64" s="13">
        <f t="shared" si="0"/>
        <v>3.2402856315675958E-2</v>
      </c>
    </row>
    <row r="65" spans="1:31" x14ac:dyDescent="0.25">
      <c r="A65" s="812" t="s">
        <v>2001</v>
      </c>
      <c r="B65" s="812">
        <v>2103006000</v>
      </c>
      <c r="C65" s="812" t="s">
        <v>150</v>
      </c>
      <c r="D65" s="133">
        <v>7.2943884387197469E-3</v>
      </c>
      <c r="E65" s="133">
        <v>0.13262524434035919</v>
      </c>
      <c r="F65" s="133">
        <v>7.9575146604215412E-4</v>
      </c>
      <c r="G65" s="133">
        <v>1.0079518569867293E-2</v>
      </c>
      <c r="H65" s="133">
        <v>1.0079518569867293E-2</v>
      </c>
      <c r="I65" s="133">
        <v>2.6525048868071836E-2</v>
      </c>
      <c r="J65" s="133">
        <v>5.3050097736143671E-2</v>
      </c>
      <c r="K65" s="45">
        <v>2692.2924601092896</v>
      </c>
      <c r="L65" s="134">
        <v>2652.5048868071817</v>
      </c>
      <c r="M65" s="45" t="s">
        <v>1998</v>
      </c>
      <c r="N65" s="133">
        <v>7.2943884387197469E-3</v>
      </c>
      <c r="O65" s="133">
        <v>0.13262524434035919</v>
      </c>
      <c r="P65" s="133">
        <v>7.9575146604215412E-4</v>
      </c>
      <c r="Q65" s="133">
        <v>1.0079518569867293E-2</v>
      </c>
      <c r="R65" s="133">
        <v>1.0079518569867293E-2</v>
      </c>
      <c r="S65" s="133">
        <v>2.6525048868071836E-2</v>
      </c>
      <c r="T65" s="133">
        <v>5.3050097736143671E-2</v>
      </c>
      <c r="U65" s="45">
        <v>2692.2924601092896</v>
      </c>
      <c r="V65" s="134">
        <v>2652.5048868071817</v>
      </c>
      <c r="W65" t="s">
        <v>1998</v>
      </c>
      <c r="Y65" s="13">
        <f t="shared" si="1"/>
        <v>5.4187192118226573E-3</v>
      </c>
      <c r="Z65" s="5">
        <f t="shared" si="0"/>
        <v>9.8522167487684803E-2</v>
      </c>
      <c r="AA65" s="357">
        <f t="shared" si="0"/>
        <v>5.91133004926108E-4</v>
      </c>
      <c r="AB65" s="5">
        <f t="shared" si="0"/>
        <v>7.4876847290640414E-3</v>
      </c>
      <c r="AC65" s="358">
        <f t="shared" si="0"/>
        <v>7.4876847290640414E-3</v>
      </c>
      <c r="AD65" s="5">
        <f t="shared" si="0"/>
        <v>1.970443349753696E-2</v>
      </c>
      <c r="AE65" s="13">
        <f t="shared" si="0"/>
        <v>3.940886699507392E-2</v>
      </c>
    </row>
    <row r="66" spans="1:31" x14ac:dyDescent="0.25">
      <c r="A66" s="812" t="s">
        <v>2001</v>
      </c>
      <c r="B66" s="812">
        <v>2104002000</v>
      </c>
      <c r="C66" s="812" t="s">
        <v>151</v>
      </c>
      <c r="D66" s="133">
        <v>0.13293278316158741</v>
      </c>
      <c r="E66" s="133">
        <v>6.2744273652269242E-2</v>
      </c>
      <c r="F66" s="133">
        <v>0.12362748834027623</v>
      </c>
      <c r="G66" s="133">
        <v>0.10621329374610831</v>
      </c>
      <c r="H66" s="133">
        <v>0.10621329374610831</v>
      </c>
      <c r="I66" s="133">
        <v>1.6828625684341163E-2</v>
      </c>
      <c r="J66" s="133">
        <v>1.7357698161324271</v>
      </c>
      <c r="K66" s="45">
        <v>404.11566081122578</v>
      </c>
      <c r="L66" s="134">
        <v>26.586556632317482</v>
      </c>
      <c r="M66" s="45" t="s">
        <v>738</v>
      </c>
      <c r="N66" s="133">
        <v>0.11653895388902819</v>
      </c>
      <c r="O66" s="133">
        <v>5.5006386235621291E-2</v>
      </c>
      <c r="P66" s="133">
        <v>0.10838122711679619</v>
      </c>
      <c r="Q66" s="133">
        <v>9.3114624157333514E-2</v>
      </c>
      <c r="R66" s="133">
        <v>9.3114624157333514E-2</v>
      </c>
      <c r="S66" s="133">
        <v>1.4753248867581524E-2</v>
      </c>
      <c r="T66" s="133">
        <v>1.521707390405985</v>
      </c>
      <c r="U66" s="45">
        <v>354.27841982264556</v>
      </c>
      <c r="V66" s="134">
        <v>23.307790777805639</v>
      </c>
      <c r="W66" t="s">
        <v>738</v>
      </c>
      <c r="Y66" s="13">
        <f t="shared" si="1"/>
        <v>0.65789473684210542</v>
      </c>
      <c r="Z66" s="5">
        <f t="shared" si="1"/>
        <v>0.31052631578947371</v>
      </c>
      <c r="AA66" s="357">
        <f t="shared" si="1"/>
        <v>0.61184210526315808</v>
      </c>
      <c r="AB66" s="5">
        <f t="shared" si="1"/>
        <v>0.52565789473684221</v>
      </c>
      <c r="AC66" s="358">
        <f t="shared" si="1"/>
        <v>0.52565789473684221</v>
      </c>
      <c r="AD66" s="5">
        <f t="shared" si="1"/>
        <v>8.3286184210526346E-2</v>
      </c>
      <c r="AE66" s="13">
        <f t="shared" si="1"/>
        <v>8.5904605263157894</v>
      </c>
    </row>
    <row r="67" spans="1:31" x14ac:dyDescent="0.25">
      <c r="A67" s="812" t="s">
        <v>2001</v>
      </c>
      <c r="B67" s="812">
        <v>2103002000</v>
      </c>
      <c r="C67" s="812" t="s">
        <v>152</v>
      </c>
      <c r="D67" s="133">
        <v>3.4838015202202628E-4</v>
      </c>
      <c r="E67" s="133">
        <v>1.6443543175439636E-4</v>
      </c>
      <c r="F67" s="133">
        <v>3.2399354138048435E-4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1.5539346793088337E-4</v>
      </c>
      <c r="P67" s="133">
        <v>3.0617780757568117E-4</v>
      </c>
      <c r="Q67" s="133">
        <v>2.6304953575588091E-4</v>
      </c>
      <c r="R67" s="133">
        <v>2.6304953575588091E-4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2.9937064250054862E-4</v>
      </c>
      <c r="H68" s="133">
        <v>2.9937064250054862E-4</v>
      </c>
      <c r="I68" s="133">
        <v>1.0961826058757602E-5</v>
      </c>
      <c r="J68" s="133">
        <v>2.1293167390460895E-3</v>
      </c>
      <c r="K68" s="45">
        <v>9.6654102131207296</v>
      </c>
      <c r="L68" s="134">
        <v>0.79814120981799463</v>
      </c>
      <c r="M68" s="45" t="s">
        <v>738</v>
      </c>
      <c r="N68" s="133">
        <v>8.7269646582558802E-4</v>
      </c>
      <c r="O68" s="133">
        <v>3.5510956409239786E-5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2.3729271934124711E-2</v>
      </c>
      <c r="F69" s="135">
        <v>1.6802202817214628E-2</v>
      </c>
      <c r="G69" s="135">
        <v>2.3655128992506407E-3</v>
      </c>
      <c r="H69" s="135">
        <v>2.3655128992506407E-3</v>
      </c>
      <c r="I69" s="135">
        <v>1.6537406597149251E-5</v>
      </c>
      <c r="J69" s="135">
        <v>5.6489860280612312E-3</v>
      </c>
      <c r="K69" s="88">
        <v>125.9077778943812</v>
      </c>
      <c r="L69" s="136">
        <v>0.90908142884029708</v>
      </c>
      <c r="M69" s="88" t="s">
        <v>1997</v>
      </c>
      <c r="N69" s="135">
        <v>4.5454071442014882E-4</v>
      </c>
      <c r="O69" s="135">
        <v>2.3729271934124711E-2</v>
      </c>
      <c r="P69" s="135">
        <v>1.6802202817214628E-2</v>
      </c>
      <c r="Q69" s="135">
        <v>2.3655128992506407E-3</v>
      </c>
      <c r="R69" s="135">
        <v>2.3655128992506407E-3</v>
      </c>
      <c r="S69" s="135">
        <v>1.6537406597149251E-5</v>
      </c>
      <c r="T69" s="135">
        <v>5.6489860280612312E-3</v>
      </c>
      <c r="U69" s="88">
        <v>125.9077778943812</v>
      </c>
      <c r="V69" s="136">
        <v>0.90908142884029708</v>
      </c>
      <c r="W69" s="3" t="s">
        <v>1997</v>
      </c>
      <c r="Y69" s="359">
        <f t="shared" si="1"/>
        <v>7.2202166064981961E-3</v>
      </c>
      <c r="Z69" s="360">
        <f t="shared" si="1"/>
        <v>0.37693099395384788</v>
      </c>
      <c r="AA69" s="361">
        <f t="shared" si="1"/>
        <v>0.26689697964980841</v>
      </c>
      <c r="AB69" s="360">
        <f t="shared" si="1"/>
        <v>3.7575325985579243E-2</v>
      </c>
      <c r="AC69" s="362">
        <f t="shared" si="1"/>
        <v>3.7575325985579243E-2</v>
      </c>
      <c r="AD69" s="360">
        <f t="shared" si="1"/>
        <v>2.6269078644246735E-4</v>
      </c>
      <c r="AE69" s="359">
        <f t="shared" si="1"/>
        <v>8.973212175660715E-2</v>
      </c>
    </row>
    <row r="70" spans="1:31" x14ac:dyDescent="0.25">
      <c r="A70" s="810" t="s">
        <v>2001</v>
      </c>
      <c r="B70" s="810" t="s">
        <v>341</v>
      </c>
      <c r="C70" s="810"/>
      <c r="D70" s="137">
        <v>10.304322275241287</v>
      </c>
      <c r="E70" s="137">
        <v>2.8348289244421823</v>
      </c>
      <c r="F70" s="137">
        <v>4.4266241823858108</v>
      </c>
      <c r="G70" s="137">
        <v>2.964800169261411</v>
      </c>
      <c r="H70" s="137">
        <v>2.964800169261411</v>
      </c>
      <c r="I70" s="137">
        <v>0.15360373988583864</v>
      </c>
      <c r="J70" s="137">
        <v>31.512481897888399</v>
      </c>
      <c r="K70" s="87">
        <v>56474.383685207031</v>
      </c>
      <c r="L70" s="87"/>
      <c r="M70" s="87"/>
      <c r="N70" s="137">
        <v>9.2793503076720718</v>
      </c>
      <c r="O70" s="137">
        <v>2.6445949490902136</v>
      </c>
      <c r="P70" s="137">
        <v>4.0996975393875967</v>
      </c>
      <c r="Q70" s="137">
        <v>2.6366777990289929</v>
      </c>
      <c r="R70" s="137">
        <v>2.6366777990289929</v>
      </c>
      <c r="S70" s="137">
        <v>0.14005019100011956</v>
      </c>
      <c r="T70" s="137">
        <v>27.796101564572261</v>
      </c>
      <c r="U70" s="87">
        <v>52572.179679820561</v>
      </c>
      <c r="Y70" s="13">
        <f t="shared" si="1"/>
        <v>0.35301371806099496</v>
      </c>
      <c r="Z70" s="5">
        <f t="shared" si="1"/>
        <v>0.1006081530268117</v>
      </c>
      <c r="AA70" s="357">
        <f t="shared" si="1"/>
        <v>0.15596452589015383</v>
      </c>
      <c r="AB70" s="5">
        <f t="shared" si="1"/>
        <v>0.10030696140381115</v>
      </c>
      <c r="AC70" s="358">
        <f t="shared" si="1"/>
        <v>0.10030696140381115</v>
      </c>
      <c r="AD70" s="5">
        <f t="shared" si="1"/>
        <v>5.3279202746800616E-3</v>
      </c>
      <c r="AE70" s="13">
        <f t="shared" si="1"/>
        <v>1.0574452774778744</v>
      </c>
    </row>
    <row r="71" spans="1:31" x14ac:dyDescent="0.25">
      <c r="R71" s="133"/>
      <c r="T71" s="1" t="s">
        <v>1452</v>
      </c>
      <c r="U71" s="45">
        <f>SUM(U50:U60,U62:U64,U66)</f>
        <v>39364.647264897147</v>
      </c>
      <c r="V71" t="s">
        <v>2002</v>
      </c>
    </row>
    <row r="72" spans="1:31" x14ac:dyDescent="0.25">
      <c r="L72" s="134"/>
      <c r="U72" s="45">
        <f ca="1">U71/OFFSET(Devices!$BH$41,0,MATCH(VALUE(RIGHT(A2,4)),Devices!$BI$39:$CG$39,0))*10^6</f>
        <v>941224.71066877025</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7.513867482718581</v>
      </c>
      <c r="O74" s="133">
        <f t="shared" si="2"/>
        <v>0.19829341708867146</v>
      </c>
      <c r="P74" s="133">
        <f t="shared" si="2"/>
        <v>0.1400903413691042</v>
      </c>
      <c r="Q74" s="133">
        <f>SUM(Q50,Q51,Q54, Q59,Q66)</f>
        <v>1.4634535083312206</v>
      </c>
      <c r="R74" s="133">
        <f t="shared" ref="R74:U74" si="3">SUM(R50,R51,R54, R59,R66)</f>
        <v>1.4634535083312206</v>
      </c>
      <c r="S74" s="133">
        <f t="shared" si="3"/>
        <v>7.1684437120892536E-2</v>
      </c>
      <c r="T74" s="133">
        <f t="shared" si="3"/>
        <v>12.380903347377675</v>
      </c>
      <c r="U74" s="45">
        <f t="shared" si="3"/>
        <v>2899.5937723586508</v>
      </c>
      <c r="Y74" s="13">
        <f t="shared" ref="Y74:AE80" si="4">N74/$U74*2000</f>
        <v>5.1827035596137918</v>
      </c>
      <c r="Z74" s="5">
        <f t="shared" si="4"/>
        <v>0.13677323974066291</v>
      </c>
      <c r="AA74" s="357">
        <f t="shared" si="4"/>
        <v>9.6627563974348615E-2</v>
      </c>
      <c r="AB74" s="5">
        <f t="shared" si="4"/>
        <v>1.009419679599316</v>
      </c>
      <c r="AC74" s="358">
        <f t="shared" si="4"/>
        <v>1.009419679599316</v>
      </c>
      <c r="AD74" s="5">
        <f t="shared" si="4"/>
        <v>4.9444468948891013E-2</v>
      </c>
      <c r="AE74" s="13">
        <f t="shared" si="4"/>
        <v>8.5397502680567072</v>
      </c>
    </row>
    <row r="75" spans="1:31" x14ac:dyDescent="0.25">
      <c r="M75" s="1" t="s">
        <v>2006</v>
      </c>
      <c r="N75" s="133">
        <f t="shared" ref="N75:U75" si="5">SUM(N52:N53,N55:N56)</f>
        <v>1.597179010491224</v>
      </c>
      <c r="O75" s="133">
        <f t="shared" si="5"/>
        <v>0.19797818022398628</v>
      </c>
      <c r="P75" s="133">
        <f t="shared" si="5"/>
        <v>4.8666934730809741E-2</v>
      </c>
      <c r="Q75" s="133">
        <f t="shared" si="5"/>
        <v>1.0275048747544451</v>
      </c>
      <c r="R75" s="133">
        <f t="shared" si="5"/>
        <v>1.0275048747544451</v>
      </c>
      <c r="S75" s="133">
        <f t="shared" si="5"/>
        <v>3.4100748265832787E-2</v>
      </c>
      <c r="T75" s="133">
        <f t="shared" si="5"/>
        <v>15.068528948580136</v>
      </c>
      <c r="U75" s="45">
        <f t="shared" si="5"/>
        <v>3906.7704053271937</v>
      </c>
      <c r="Y75" s="13">
        <f t="shared" si="4"/>
        <v>0.81764672339758837</v>
      </c>
      <c r="Z75" s="5">
        <f t="shared" si="4"/>
        <v>0.1013513258695864</v>
      </c>
      <c r="AA75" s="357">
        <f t="shared" si="4"/>
        <v>2.4914151425150802E-2</v>
      </c>
      <c r="AB75" s="5">
        <f t="shared" si="4"/>
        <v>0.52601241852009528</v>
      </c>
      <c r="AC75" s="358">
        <f t="shared" si="4"/>
        <v>0.52601241852009528</v>
      </c>
      <c r="AD75" s="5">
        <f t="shared" si="4"/>
        <v>1.745725739057186E-2</v>
      </c>
      <c r="AE75" s="13">
        <f t="shared" si="4"/>
        <v>7.7140591256824269</v>
      </c>
    </row>
    <row r="76" spans="1:31" x14ac:dyDescent="0.25">
      <c r="M76" s="1" t="s">
        <v>2007</v>
      </c>
      <c r="N76" s="133">
        <f t="shared" ref="N76:U76" si="6">SUM(N60,N62:N63)</f>
        <v>8.4124682665542738E-2</v>
      </c>
      <c r="O76" s="133">
        <f t="shared" si="6"/>
        <v>1.3234073018840229</v>
      </c>
      <c r="P76" s="133">
        <f t="shared" si="6"/>
        <v>3.4101266092905025</v>
      </c>
      <c r="Q76" s="133">
        <f t="shared" si="6"/>
        <v>5.3828339333418712E-2</v>
      </c>
      <c r="R76" s="133">
        <f t="shared" si="6"/>
        <v>5.3828339333418712E-2</v>
      </c>
      <c r="S76" s="133">
        <f t="shared" si="6"/>
        <v>2.8902591442935698E-3</v>
      </c>
      <c r="T76" s="133">
        <f t="shared" si="6"/>
        <v>5.2839934961688928E-2</v>
      </c>
      <c r="U76" s="45">
        <f t="shared" si="6"/>
        <v>31625.738046835744</v>
      </c>
      <c r="V76" s="134">
        <f t="shared" ref="V76" si="7">SUM(V60,V62:V63)</f>
        <v>235.97386441947481</v>
      </c>
      <c r="W76" t="s">
        <v>1997</v>
      </c>
      <c r="Y76" s="13">
        <f t="shared" si="4"/>
        <v>5.3200138786300786E-3</v>
      </c>
      <c r="Z76" s="5">
        <f t="shared" si="4"/>
        <v>8.3691789258744834E-2</v>
      </c>
      <c r="AA76" s="357">
        <f t="shared" si="4"/>
        <v>0.21565514798360233</v>
      </c>
      <c r="AB76" s="5">
        <f t="shared" si="4"/>
        <v>3.4040843096658996E-3</v>
      </c>
      <c r="AC76" s="358">
        <f t="shared" si="4"/>
        <v>3.4040843096658996E-3</v>
      </c>
      <c r="AD76" s="5">
        <f t="shared" si="4"/>
        <v>1.8277892139707705E-4</v>
      </c>
      <c r="AE76" s="13">
        <f t="shared" si="4"/>
        <v>3.3415779820497016E-3</v>
      </c>
    </row>
    <row r="77" spans="1:31" x14ac:dyDescent="0.25">
      <c r="M77" s="1" t="s">
        <v>2008</v>
      </c>
      <c r="N77" s="133">
        <f t="shared" ref="N77:U77" si="8">N61</f>
        <v>2.6682948123092319E-2</v>
      </c>
      <c r="O77" s="133">
        <f t="shared" si="8"/>
        <v>0.67362281376670707</v>
      </c>
      <c r="P77" s="133">
        <f t="shared" si="8"/>
        <v>0.47614654356203151</v>
      </c>
      <c r="Q77" s="133">
        <f t="shared" si="8"/>
        <v>1.7087456833518078E-2</v>
      </c>
      <c r="R77" s="133">
        <f t="shared" si="8"/>
        <v>1.7087456833518078E-2</v>
      </c>
      <c r="S77" s="133">
        <f t="shared" si="8"/>
        <v>9.167420591182446E-4</v>
      </c>
      <c r="T77" s="133">
        <f t="shared" si="8"/>
        <v>1.675994724420898E-2</v>
      </c>
      <c r="U77" s="45">
        <f t="shared" si="8"/>
        <v>10366.306634076549</v>
      </c>
      <c r="Y77" s="13">
        <f t="shared" si="4"/>
        <v>5.1480144404332075E-3</v>
      </c>
      <c r="Z77" s="5">
        <f t="shared" si="4"/>
        <v>0.1299638989169675</v>
      </c>
      <c r="AA77" s="357">
        <f t="shared" si="4"/>
        <v>9.1864259927797814E-2</v>
      </c>
      <c r="AB77" s="5">
        <f t="shared" si="4"/>
        <v>3.2967299611507705E-3</v>
      </c>
      <c r="AC77" s="358">
        <f t="shared" si="4"/>
        <v>3.2967299611507705E-3</v>
      </c>
      <c r="AD77" s="5">
        <f t="shared" si="4"/>
        <v>1.7686956241573878E-4</v>
      </c>
      <c r="AE77" s="13">
        <f t="shared" si="4"/>
        <v>3.2335426368953805E-3</v>
      </c>
    </row>
    <row r="78" spans="1:31" x14ac:dyDescent="0.25">
      <c r="M78" s="1" t="s">
        <v>2009</v>
      </c>
      <c r="N78" s="133">
        <f t="shared" ref="N78:U78" si="9">SUM(N50:N59,N68)</f>
        <v>9.0432756648651527</v>
      </c>
      <c r="O78" s="133">
        <f t="shared" si="9"/>
        <v>0.42494106117991537</v>
      </c>
      <c r="P78" s="133">
        <f t="shared" si="9"/>
        <v>8.7068128542658399E-2</v>
      </c>
      <c r="Q78" s="133">
        <f t="shared" si="9"/>
        <v>2.4599334447688364</v>
      </c>
      <c r="R78" s="133">
        <f t="shared" si="9"/>
        <v>2.4599334447688364</v>
      </c>
      <c r="S78" s="133">
        <f t="shared" si="9"/>
        <v>9.2543383786072395E-2</v>
      </c>
      <c r="T78" s="133">
        <f t="shared" si="9"/>
        <v>26.13706978735906</v>
      </c>
      <c r="U78" s="45">
        <f t="shared" si="9"/>
        <v>7100.7869952635583</v>
      </c>
      <c r="V78" s="134">
        <f t="shared" ref="V78" si="10">V61</f>
        <v>77.239069975564718</v>
      </c>
      <c r="W78" t="s">
        <v>1997</v>
      </c>
      <c r="Y78" s="13">
        <f t="shared" si="4"/>
        <v>2.5471192618219063</v>
      </c>
      <c r="Z78" s="5">
        <f t="shared" si="4"/>
        <v>0.1196884405808438</v>
      </c>
      <c r="AA78" s="357">
        <f t="shared" si="4"/>
        <v>2.4523515097899851E-2</v>
      </c>
      <c r="AB78" s="5">
        <f t="shared" si="4"/>
        <v>0.69286219862944409</v>
      </c>
      <c r="AC78" s="358">
        <f t="shared" si="4"/>
        <v>0.69286219862944409</v>
      </c>
      <c r="AD78" s="5">
        <f t="shared" si="4"/>
        <v>2.6065669579386528E-2</v>
      </c>
      <c r="AE78" s="13">
        <f t="shared" si="4"/>
        <v>7.3617388621270523</v>
      </c>
    </row>
    <row r="79" spans="1:31" x14ac:dyDescent="0.25">
      <c r="M79" s="1" t="s">
        <v>2010</v>
      </c>
      <c r="N79" s="133">
        <f>SUM(N64,N65,N66,N67,N69)</f>
        <v>0.12526701201828511</v>
      </c>
      <c r="O79" s="133">
        <f t="shared" ref="O79:U79" si="11">SUM(O64,O65,O66,O67,O69)</f>
        <v>0.22262377225956831</v>
      </c>
      <c r="P79" s="133">
        <f t="shared" si="11"/>
        <v>0.12635625799240438</v>
      </c>
      <c r="Q79" s="133">
        <f t="shared" si="11"/>
        <v>0.10582855809321987</v>
      </c>
      <c r="R79" s="133">
        <f t="shared" si="11"/>
        <v>0.10582855809321987</v>
      </c>
      <c r="S79" s="133">
        <f t="shared" si="11"/>
        <v>4.3699806010635354E-2</v>
      </c>
      <c r="T79" s="133">
        <f t="shared" si="11"/>
        <v>1.589431895007303</v>
      </c>
      <c r="U79" s="45">
        <f t="shared" si="11"/>
        <v>3479.3480036447136</v>
      </c>
      <c r="V79" s="134">
        <f t="shared" ref="V79" si="12">SUM(V50:V59,V68)</f>
        <v>631.79016474070465</v>
      </c>
      <c r="W79" t="s">
        <v>2011</v>
      </c>
      <c r="Y79" s="13">
        <f t="shared" si="4"/>
        <v>7.2006026351525879E-2</v>
      </c>
      <c r="Z79" s="5">
        <f t="shared" si="4"/>
        <v>0.1279686723066297</v>
      </c>
      <c r="AA79" s="357">
        <f t="shared" si="4"/>
        <v>7.2632147091950955E-2</v>
      </c>
      <c r="AB79" s="5">
        <f t="shared" si="4"/>
        <v>6.0832407670840354E-2</v>
      </c>
      <c r="AC79" s="358">
        <f t="shared" si="4"/>
        <v>6.0832407670840354E-2</v>
      </c>
      <c r="AD79" s="5">
        <f t="shared" si="4"/>
        <v>2.5119537318404824E-2</v>
      </c>
      <c r="AE79" s="13">
        <f t="shared" si="4"/>
        <v>0.91363778118333028</v>
      </c>
    </row>
    <row r="80" spans="1:31" x14ac:dyDescent="0.25">
      <c r="M80" s="1" t="s">
        <v>2012</v>
      </c>
      <c r="N80" s="133">
        <f>SUM(N76:N79)</f>
        <v>9.2793503076720736</v>
      </c>
      <c r="O80" s="133">
        <f t="shared" ref="O80:U80" si="13">SUM(O76:O79)</f>
        <v>2.6445949490902136</v>
      </c>
      <c r="P80" s="133">
        <f t="shared" si="13"/>
        <v>4.0996975393875967</v>
      </c>
      <c r="Q80" s="133">
        <f t="shared" si="13"/>
        <v>2.6366777990289929</v>
      </c>
      <c r="R80" s="133">
        <f t="shared" si="13"/>
        <v>2.6366777990289929</v>
      </c>
      <c r="S80" s="133">
        <f t="shared" si="13"/>
        <v>0.14005019100011956</v>
      </c>
      <c r="T80" s="133">
        <f t="shared" si="13"/>
        <v>27.796101564572261</v>
      </c>
      <c r="U80" s="45">
        <f t="shared" si="13"/>
        <v>52572.179679820569</v>
      </c>
      <c r="Y80" s="13">
        <f t="shared" si="4"/>
        <v>0.35301371806099502</v>
      </c>
      <c r="Z80" s="5">
        <f t="shared" si="4"/>
        <v>0.10060815302681168</v>
      </c>
      <c r="AA80" s="357">
        <f t="shared" si="4"/>
        <v>0.15596452589015383</v>
      </c>
      <c r="AB80" s="5">
        <f t="shared" si="4"/>
        <v>0.10030696140381114</v>
      </c>
      <c r="AC80" s="358">
        <f t="shared" si="4"/>
        <v>0.10030696140381114</v>
      </c>
      <c r="AD80" s="5">
        <f t="shared" si="4"/>
        <v>5.3279202746800607E-3</v>
      </c>
      <c r="AE80" s="13">
        <f t="shared" si="4"/>
        <v>1.0574452774778742</v>
      </c>
    </row>
    <row r="82" spans="20:23" x14ac:dyDescent="0.25">
      <c r="V82" s="38">
        <f>V79/Lookup!B37</f>
        <v>375.44976000493142</v>
      </c>
      <c r="W82" t="s">
        <v>2013</v>
      </c>
    </row>
    <row r="83" spans="20:23" x14ac:dyDescent="0.25">
      <c r="T83" s="1" t="s">
        <v>2014</v>
      </c>
      <c r="U83" s="13">
        <v>1.930282922015446</v>
      </c>
      <c r="V83" s="45">
        <f>V82*365/U83</f>
        <v>70994.340176161684</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4A50-96D8-44F9-86DA-79A9395EF78D}">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2019</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5.8084995343808661</v>
      </c>
      <c r="E6" s="133">
        <v>6.5948029647992359E-2</v>
      </c>
      <c r="F6" s="133">
        <v>1.0145850715075747E-2</v>
      </c>
      <c r="G6" s="133">
        <v>0.87761608685405224</v>
      </c>
      <c r="H6" s="133">
        <v>0.87761608685405224</v>
      </c>
      <c r="I6" s="133">
        <v>4.5656328217840859E-2</v>
      </c>
      <c r="J6" s="133">
        <v>6.407104726570334</v>
      </c>
      <c r="K6" s="45">
        <v>816.2344117292954</v>
      </c>
      <c r="L6" s="134">
        <v>72.470960866881356</v>
      </c>
      <c r="M6" s="45" t="s">
        <v>738</v>
      </c>
      <c r="N6" s="133">
        <v>5.3520923035302452</v>
      </c>
      <c r="O6" s="133">
        <v>6.076611348986307E-2</v>
      </c>
      <c r="P6" s="133">
        <v>9.3486328445943172E-3</v>
      </c>
      <c r="Q6" s="133">
        <v>0.80865674105740859</v>
      </c>
      <c r="R6" s="133">
        <v>0.80865674105740859</v>
      </c>
      <c r="S6" s="133">
        <v>4.2068847800674415E-2</v>
      </c>
      <c r="T6" s="133">
        <v>5.9036616413613086</v>
      </c>
      <c r="U6" s="45">
        <v>752.09817734082833</v>
      </c>
      <c r="V6" s="134">
        <v>66.776500469569356</v>
      </c>
      <c r="W6" t="s">
        <v>738</v>
      </c>
    </row>
    <row r="7" spans="1:23" x14ac:dyDescent="0.25">
      <c r="A7" s="812" t="s">
        <v>1996</v>
      </c>
      <c r="B7" s="812">
        <v>2104008210</v>
      </c>
      <c r="C7" s="812" t="s">
        <v>138</v>
      </c>
      <c r="D7" s="133">
        <v>0.11981002605452708</v>
      </c>
      <c r="E7" s="133">
        <v>6.329586282125957E-3</v>
      </c>
      <c r="F7" s="133">
        <v>9.0422661173227958E-4</v>
      </c>
      <c r="G7" s="133">
        <v>6.9173335797519386E-2</v>
      </c>
      <c r="H7" s="133">
        <v>6.9173335797519386E-2</v>
      </c>
      <c r="I7" s="133">
        <v>3.8429630998621876E-3</v>
      </c>
      <c r="J7" s="133">
        <v>0.52173875496952538</v>
      </c>
      <c r="K7" s="45">
        <v>72.745095233915109</v>
      </c>
      <c r="L7" s="134">
        <v>6.4588148627370687</v>
      </c>
      <c r="M7" s="45" t="s">
        <v>738</v>
      </c>
      <c r="N7" s="133">
        <v>0.10411826753468705</v>
      </c>
      <c r="O7" s="133">
        <v>5.5005877188136539E-3</v>
      </c>
      <c r="P7" s="133">
        <v>7.8579824554480778E-4</v>
      </c>
      <c r="Q7" s="133">
        <v>6.01135657841778E-2</v>
      </c>
      <c r="R7" s="133">
        <v>6.01135657841778E-2</v>
      </c>
      <c r="S7" s="133">
        <v>3.3396425435654326E-3</v>
      </c>
      <c r="T7" s="133">
        <v>0.45340558767935413</v>
      </c>
      <c r="U7" s="45">
        <v>63.217524750007122</v>
      </c>
      <c r="V7" s="134">
        <v>5.612890973994249</v>
      </c>
      <c r="W7" t="s">
        <v>738</v>
      </c>
    </row>
    <row r="8" spans="1:23" x14ac:dyDescent="0.25">
      <c r="A8" s="812" t="s">
        <v>1996</v>
      </c>
      <c r="B8" s="812">
        <v>2104008220</v>
      </c>
      <c r="C8" s="812" t="s">
        <v>139</v>
      </c>
      <c r="D8" s="133">
        <v>5.7113203613682641E-2</v>
      </c>
      <c r="E8" s="133">
        <v>9.5188672689471079E-3</v>
      </c>
      <c r="F8" s="133">
        <v>1.9037734537894217E-3</v>
      </c>
      <c r="G8" s="133">
        <v>5.7113203613682641E-2</v>
      </c>
      <c r="H8" s="133">
        <v>5.7113203613682641E-2</v>
      </c>
      <c r="I8" s="133">
        <v>4.2834902710261989E-3</v>
      </c>
      <c r="J8" s="133">
        <v>0.67012825573387647</v>
      </c>
      <c r="K8" s="45">
        <v>153.15870977784792</v>
      </c>
      <c r="L8" s="134">
        <v>13.598494137507188</v>
      </c>
      <c r="M8" s="45" t="s">
        <v>738</v>
      </c>
      <c r="N8" s="133">
        <v>4.9632973211324781E-2</v>
      </c>
      <c r="O8" s="133">
        <v>8.2721622018874612E-3</v>
      </c>
      <c r="P8" s="133">
        <v>1.654432440377492E-3</v>
      </c>
      <c r="Q8" s="133">
        <v>4.9632973211324781E-2</v>
      </c>
      <c r="R8" s="133">
        <v>4.9632973211324781E-2</v>
      </c>
      <c r="S8" s="133">
        <v>3.7224729908493571E-3</v>
      </c>
      <c r="T8" s="133">
        <v>0.58236021901287738</v>
      </c>
      <c r="U8" s="45">
        <v>133.09920751256615</v>
      </c>
      <c r="V8" s="134">
        <v>11.817472187456785</v>
      </c>
      <c r="W8" t="s">
        <v>738</v>
      </c>
    </row>
    <row r="9" spans="1:23" x14ac:dyDescent="0.25">
      <c r="A9" s="812" t="s">
        <v>1996</v>
      </c>
      <c r="B9" s="812">
        <v>2104008230</v>
      </c>
      <c r="C9" s="812" t="s">
        <v>140</v>
      </c>
      <c r="D9" s="133">
        <v>4.2982912862910207E-2</v>
      </c>
      <c r="E9" s="133">
        <v>5.7310550483880267E-3</v>
      </c>
      <c r="F9" s="133">
        <v>1.1462110096776053E-3</v>
      </c>
      <c r="G9" s="133">
        <v>3.7251857814522171E-2</v>
      </c>
      <c r="H9" s="133">
        <v>3.7251857814522171E-2</v>
      </c>
      <c r="I9" s="133">
        <v>2.578974771774612E-3</v>
      </c>
      <c r="J9" s="133">
        <v>0.30661144508875943</v>
      </c>
      <c r="K9" s="45">
        <v>92.212757261612907</v>
      </c>
      <c r="L9" s="134">
        <v>8.1872891254061884</v>
      </c>
      <c r="M9" s="45" t="s">
        <v>738</v>
      </c>
      <c r="N9" s="133">
        <v>3.7353354875691767E-2</v>
      </c>
      <c r="O9" s="133">
        <v>4.9804473167589002E-3</v>
      </c>
      <c r="P9" s="133">
        <v>9.9608946335177982E-4</v>
      </c>
      <c r="Q9" s="133">
        <v>3.2372907558932844E-2</v>
      </c>
      <c r="R9" s="133">
        <v>3.2372907558932844E-2</v>
      </c>
      <c r="S9" s="133">
        <v>2.2412012925415049E-3</v>
      </c>
      <c r="T9" s="133">
        <v>0.26645393144660118</v>
      </c>
      <c r="U9" s="45">
        <v>80.135468181153854</v>
      </c>
      <c r="V9" s="134">
        <v>7.1149835085998241</v>
      </c>
      <c r="W9" t="s">
        <v>738</v>
      </c>
    </row>
    <row r="10" spans="1:23" x14ac:dyDescent="0.25">
      <c r="A10" s="812" t="s">
        <v>1996</v>
      </c>
      <c r="B10" s="812">
        <v>2104008310</v>
      </c>
      <c r="C10" s="812" t="s">
        <v>141</v>
      </c>
      <c r="D10" s="133">
        <v>2.4314511076479115</v>
      </c>
      <c r="E10" s="133">
        <v>6.6619128568924296E-2</v>
      </c>
      <c r="F10" s="133">
        <v>1.8350574397342733E-2</v>
      </c>
      <c r="G10" s="133">
        <v>0.55703303392752035</v>
      </c>
      <c r="H10" s="133">
        <v>0.55703303392752035</v>
      </c>
      <c r="I10" s="133">
        <v>1.8214254642970506E-2</v>
      </c>
      <c r="J10" s="133">
        <v>5.5588771881631036</v>
      </c>
      <c r="K10" s="45">
        <v>1476.3050155915764</v>
      </c>
      <c r="L10" s="134">
        <v>131.07661411364364</v>
      </c>
      <c r="M10" s="45" t="s">
        <v>738</v>
      </c>
      <c r="N10" s="133">
        <v>2.1129990974910626</v>
      </c>
      <c r="O10" s="133">
        <v>5.7893888180194419E-2</v>
      </c>
      <c r="P10" s="133">
        <v>1.5947162999932551E-2</v>
      </c>
      <c r="Q10" s="133">
        <v>0.48407730439628355</v>
      </c>
      <c r="R10" s="133">
        <v>0.48407730439628355</v>
      </c>
      <c r="S10" s="133">
        <v>1.5828697316188092E-2</v>
      </c>
      <c r="T10" s="133">
        <v>4.8308199349378702</v>
      </c>
      <c r="U10" s="45">
        <v>1282.9503977088577</v>
      </c>
      <c r="V10" s="134">
        <v>113.90924804251479</v>
      </c>
      <c r="W10" t="s">
        <v>738</v>
      </c>
    </row>
    <row r="11" spans="1:23" x14ac:dyDescent="0.25">
      <c r="A11" s="812" t="s">
        <v>1996</v>
      </c>
      <c r="B11" s="812">
        <v>2104008320</v>
      </c>
      <c r="C11" s="812" t="s">
        <v>142</v>
      </c>
      <c r="D11" s="133">
        <v>1.1590679575064011</v>
      </c>
      <c r="E11" s="133">
        <v>0.15539620592743336</v>
      </c>
      <c r="F11" s="133">
        <v>3.8635598583546718E-2</v>
      </c>
      <c r="G11" s="133">
        <v>0.76547989575762687</v>
      </c>
      <c r="H11" s="133">
        <v>0.76547989575762687</v>
      </c>
      <c r="I11" s="133">
        <v>2.412230369045305E-2</v>
      </c>
      <c r="J11" s="133">
        <v>11.942355136075754</v>
      </c>
      <c r="K11" s="45">
        <v>3108.2366542996183</v>
      </c>
      <c r="L11" s="134">
        <v>275.97084085381653</v>
      </c>
      <c r="M11" s="45" t="s">
        <v>738</v>
      </c>
      <c r="N11" s="133">
        <v>1.0072625110323543</v>
      </c>
      <c r="O11" s="133">
        <v>0.13504365432041804</v>
      </c>
      <c r="P11" s="133">
        <v>3.357541703441181E-2</v>
      </c>
      <c r="Q11" s="133">
        <v>0.66522346420861522</v>
      </c>
      <c r="R11" s="133">
        <v>0.66522346420861522</v>
      </c>
      <c r="S11" s="133">
        <v>2.0962957374306136E-2</v>
      </c>
      <c r="T11" s="133">
        <v>10.378241020382418</v>
      </c>
      <c r="U11" s="45">
        <v>2701.1446887274924</v>
      </c>
      <c r="V11" s="134">
        <v>239.8263883751529</v>
      </c>
      <c r="W11" t="s">
        <v>738</v>
      </c>
    </row>
    <row r="12" spans="1:23" x14ac:dyDescent="0.25">
      <c r="A12" s="812" t="s">
        <v>1996</v>
      </c>
      <c r="B12" s="812">
        <v>2104008330</v>
      </c>
      <c r="C12" s="812" t="s">
        <v>143</v>
      </c>
      <c r="D12" s="133">
        <v>0.87230471882956173</v>
      </c>
      <c r="E12" s="133">
        <v>9.3559893768670105E-2</v>
      </c>
      <c r="F12" s="133">
        <v>2.3261459168788304E-2</v>
      </c>
      <c r="G12" s="133">
        <v>0.51138178735314954</v>
      </c>
      <c r="H12" s="133">
        <v>0.51138178735314954</v>
      </c>
      <c r="I12" s="133">
        <v>1.4523393008631754E-2</v>
      </c>
      <c r="J12" s="133">
        <v>7.1901721873489333</v>
      </c>
      <c r="K12" s="45">
        <v>1871.386044778719</v>
      </c>
      <c r="L12" s="134">
        <v>166.15465222870961</v>
      </c>
      <c r="M12" s="45" t="s">
        <v>738</v>
      </c>
      <c r="N12" s="133">
        <v>0.7580572267427067</v>
      </c>
      <c r="O12" s="133">
        <v>8.1306167527998949E-2</v>
      </c>
      <c r="P12" s="133">
        <v>2.0214859379805519E-2</v>
      </c>
      <c r="Q12" s="133">
        <v>0.44440509280725438</v>
      </c>
      <c r="R12" s="133">
        <v>0.44440509280725438</v>
      </c>
      <c r="S12" s="133">
        <v>1.2621235205273432E-2</v>
      </c>
      <c r="T12" s="133">
        <v>6.2484609683846672</v>
      </c>
      <c r="U12" s="45">
        <v>1626.2868750422763</v>
      </c>
      <c r="V12" s="134">
        <v>144.3930454118117</v>
      </c>
      <c r="W12" t="s">
        <v>738</v>
      </c>
    </row>
    <row r="13" spans="1:23" x14ac:dyDescent="0.25">
      <c r="A13" s="812" t="s">
        <v>1996</v>
      </c>
      <c r="B13" s="812">
        <v>2104008410</v>
      </c>
      <c r="C13" s="812" t="s">
        <v>144</v>
      </c>
      <c r="D13" s="133">
        <v>1.4616281164905627E-2</v>
      </c>
      <c r="E13" s="133">
        <v>2.5524580053095908E-2</v>
      </c>
      <c r="F13" s="133">
        <v>2.0399264777699027E-3</v>
      </c>
      <c r="G13" s="133">
        <v>1.8869319919371602E-2</v>
      </c>
      <c r="H13" s="133">
        <v>1.8869319919371602E-2</v>
      </c>
      <c r="I13" s="133">
        <v>4.582184850690646E-4</v>
      </c>
      <c r="J13" s="133">
        <v>6.3314218053783372E-2</v>
      </c>
      <c r="K13" s="45">
        <v>195.98014323529389</v>
      </c>
      <c r="L13" s="134">
        <v>17.400478449567224</v>
      </c>
      <c r="M13" s="45" t="s">
        <v>738</v>
      </c>
      <c r="N13" s="133">
        <v>1.2701957614108613E-2</v>
      </c>
      <c r="O13" s="133">
        <v>2.2181574799668931E-2</v>
      </c>
      <c r="P13" s="133">
        <v>1.7727532307427719E-3</v>
      </c>
      <c r="Q13" s="133">
        <v>1.6397967384370639E-2</v>
      </c>
      <c r="R13" s="133">
        <v>1.6397967384370639E-2</v>
      </c>
      <c r="S13" s="133">
        <v>3.9820469445559512E-4</v>
      </c>
      <c r="T13" s="133">
        <v>5.5021828399178796E-2</v>
      </c>
      <c r="U13" s="45">
        <v>170.31223226319969</v>
      </c>
      <c r="V13" s="134">
        <v>15.121503016943388</v>
      </c>
      <c r="W13" t="s">
        <v>738</v>
      </c>
    </row>
    <row r="14" spans="1:23" x14ac:dyDescent="0.25">
      <c r="A14" s="812" t="s">
        <v>1996</v>
      </c>
      <c r="B14" s="812">
        <v>2104008420</v>
      </c>
      <c r="C14" s="812" t="s">
        <v>145</v>
      </c>
      <c r="D14" s="133">
        <v>4.930117062273192E-2</v>
      </c>
      <c r="E14" s="133">
        <v>8.6095201787217815E-2</v>
      </c>
      <c r="F14" s="133">
        <v>6.8807354075698587E-3</v>
      </c>
      <c r="G14" s="133">
        <v>6.3646802520021153E-2</v>
      </c>
      <c r="H14" s="133">
        <v>6.3646802520021153E-2</v>
      </c>
      <c r="I14" s="133">
        <v>1.5455851909253796E-3</v>
      </c>
      <c r="J14" s="133">
        <v>0.21356082521244935</v>
      </c>
      <c r="K14" s="45">
        <v>661.04711392044771</v>
      </c>
      <c r="L14" s="134">
        <v>58.692354592839607</v>
      </c>
      <c r="M14" s="45" t="s">
        <v>738</v>
      </c>
      <c r="N14" s="133">
        <v>4.2844097791404308E-2</v>
      </c>
      <c r="O14" s="133">
        <v>7.4819141171497114E-2</v>
      </c>
      <c r="P14" s="133">
        <v>5.9795517419777922E-3</v>
      </c>
      <c r="Q14" s="133">
        <v>5.5310853613294582E-2</v>
      </c>
      <c r="R14" s="133">
        <v>5.5310853613294582E-2</v>
      </c>
      <c r="S14" s="133">
        <v>1.3431568100417623E-3</v>
      </c>
      <c r="T14" s="133">
        <v>0.18559033719163576</v>
      </c>
      <c r="U14" s="45">
        <v>574.46845248892487</v>
      </c>
      <c r="V14" s="134">
        <v>51.005299631241371</v>
      </c>
      <c r="W14" t="s">
        <v>738</v>
      </c>
    </row>
    <row r="15" spans="1:23" x14ac:dyDescent="0.25">
      <c r="A15" s="812" t="s">
        <v>1996</v>
      </c>
      <c r="B15" s="812">
        <v>2104008610</v>
      </c>
      <c r="C15" s="812" t="s">
        <v>146</v>
      </c>
      <c r="D15" s="133">
        <v>1.2497793038919291</v>
      </c>
      <c r="E15" s="133">
        <v>4.4395615926502568E-2</v>
      </c>
      <c r="F15" s="133">
        <v>1.101127139992889E-2</v>
      </c>
      <c r="G15" s="133">
        <v>0.27170730825952544</v>
      </c>
      <c r="H15" s="133">
        <v>0.27170730825952544</v>
      </c>
      <c r="I15" s="133">
        <v>6.7102294143441795E-3</v>
      </c>
      <c r="J15" s="133">
        <v>1.6674001189073933</v>
      </c>
      <c r="K15" s="45">
        <v>885.85756738541443</v>
      </c>
      <c r="L15" s="134">
        <v>78.652588248032274</v>
      </c>
      <c r="M15" s="45" t="s">
        <v>738</v>
      </c>
      <c r="N15" s="133">
        <v>1.1425850642742466</v>
      </c>
      <c r="O15" s="133">
        <v>4.0587780193601347E-2</v>
      </c>
      <c r="P15" s="133">
        <v>1.0066828760125518E-2</v>
      </c>
      <c r="Q15" s="133">
        <v>0.24840282704692437</v>
      </c>
      <c r="R15" s="133">
        <v>0.24840282704692437</v>
      </c>
      <c r="S15" s="133">
        <v>6.1346894470148509E-3</v>
      </c>
      <c r="T15" s="133">
        <v>1.5243863185283086</v>
      </c>
      <c r="U15" s="45">
        <v>809.87708983250695</v>
      </c>
      <c r="V15" s="134">
        <v>71.906513669140438</v>
      </c>
      <c r="W15" t="s">
        <v>738</v>
      </c>
    </row>
    <row r="16" spans="1:23" x14ac:dyDescent="0.25">
      <c r="A16" s="812" t="s">
        <v>1996</v>
      </c>
      <c r="B16" s="812">
        <v>2104004000</v>
      </c>
      <c r="C16" s="812" t="s">
        <v>568</v>
      </c>
      <c r="D16" s="133">
        <v>0.10007735420370696</v>
      </c>
      <c r="E16" s="133">
        <v>1.568029536024951</v>
      </c>
      <c r="F16" s="133">
        <v>4.0567932947132279</v>
      </c>
      <c r="G16" s="133">
        <v>6.4088400654970776E-2</v>
      </c>
      <c r="H16" s="133">
        <v>6.4088400654970776E-2</v>
      </c>
      <c r="I16" s="133">
        <v>3.4383426951391824E-3</v>
      </c>
      <c r="J16" s="133">
        <v>6.2860039642417195E-2</v>
      </c>
      <c r="K16" s="45">
        <v>37675.870563087927</v>
      </c>
      <c r="L16" s="134">
        <v>280.72189117449363</v>
      </c>
      <c r="M16" s="45" t="s">
        <v>1997</v>
      </c>
      <c r="N16" s="133">
        <v>9.2356199897005567E-2</v>
      </c>
      <c r="O16" s="133">
        <v>1.4470531363044878</v>
      </c>
      <c r="P16" s="133">
        <v>3.7438041347968443</v>
      </c>
      <c r="Q16" s="133">
        <v>5.9143861156859191E-2</v>
      </c>
      <c r="R16" s="133">
        <v>5.9143861156859191E-2</v>
      </c>
      <c r="S16" s="133">
        <v>3.1730681510654959E-3</v>
      </c>
      <c r="T16" s="133">
        <v>5.8010270484686051E-2</v>
      </c>
      <c r="U16" s="45">
        <v>34769.106964354265</v>
      </c>
      <c r="V16" s="134">
        <v>259.06367432540134</v>
      </c>
      <c r="W16" t="s">
        <v>1997</v>
      </c>
    </row>
    <row r="17" spans="1:23" x14ac:dyDescent="0.25">
      <c r="A17" s="812" t="s">
        <v>1996</v>
      </c>
      <c r="B17" s="812">
        <v>2103004001</v>
      </c>
      <c r="C17" s="812" t="s">
        <v>148</v>
      </c>
      <c r="D17" s="133">
        <v>3.1696733205338883E-2</v>
      </c>
      <c r="E17" s="133">
        <v>0.80019803323436167</v>
      </c>
      <c r="F17" s="133">
        <v>0.56561553424707955</v>
      </c>
      <c r="G17" s="133">
        <v>2.0298227838663519E-2</v>
      </c>
      <c r="H17" s="133">
        <v>2.0298227838663519E-2</v>
      </c>
      <c r="I17" s="133">
        <v>1.0889999235442979E-3</v>
      </c>
      <c r="J17" s="133">
        <v>1.9909178471755794E-2</v>
      </c>
      <c r="K17" s="45">
        <v>12314.158622551015</v>
      </c>
      <c r="L17" s="134">
        <v>91.752462387212674</v>
      </c>
      <c r="M17" s="45" t="s">
        <v>1997</v>
      </c>
      <c r="N17" s="133">
        <v>3.1164978270134765E-2</v>
      </c>
      <c r="O17" s="133">
        <v>0.78677364496833924</v>
      </c>
      <c r="P17" s="133">
        <v>0.55612657998117643</v>
      </c>
      <c r="Q17" s="133">
        <v>1.9957698019417391E-2</v>
      </c>
      <c r="R17" s="133">
        <v>1.9957698019417391E-2</v>
      </c>
      <c r="S17" s="133">
        <v>1.070730498741743E-3</v>
      </c>
      <c r="T17" s="133">
        <v>1.957517547404522E-2</v>
      </c>
      <c r="U17" s="45">
        <v>12107.572203123889</v>
      </c>
      <c r="V17" s="134">
        <v>90.213192571126029</v>
      </c>
      <c r="W17" t="s">
        <v>1997</v>
      </c>
    </row>
    <row r="18" spans="1:23" x14ac:dyDescent="0.25">
      <c r="A18" s="812" t="s">
        <v>1996</v>
      </c>
      <c r="B18" s="812">
        <v>2104004000</v>
      </c>
      <c r="C18" s="812" t="s">
        <v>746</v>
      </c>
      <c r="D18" s="133">
        <v>6.6932187294628325E-4</v>
      </c>
      <c r="E18" s="133">
        <v>1.6897326385740676E-2</v>
      </c>
      <c r="F18" s="133">
        <v>2.7132017105951853E-2</v>
      </c>
      <c r="G18" s="133">
        <v>3.7549614190534838E-4</v>
      </c>
      <c r="H18" s="133">
        <v>3.7549614190534838E-4</v>
      </c>
      <c r="I18" s="133">
        <v>2.2995791514005518E-5</v>
      </c>
      <c r="J18" s="133">
        <v>4.2041078925107934E-4</v>
      </c>
      <c r="K18" s="45">
        <v>257.20546980161595</v>
      </c>
      <c r="L18" s="134">
        <v>1.8774807095267418</v>
      </c>
      <c r="M18" s="45" t="s">
        <v>1997</v>
      </c>
      <c r="N18" s="133">
        <v>6.314299539118553E-4</v>
      </c>
      <c r="O18" s="133">
        <v>1.59407281492474E-2</v>
      </c>
      <c r="P18" s="133">
        <v>2.5596008442595415E-2</v>
      </c>
      <c r="Q18" s="133">
        <v>3.5423840331660878E-4</v>
      </c>
      <c r="R18" s="133">
        <v>3.5423840331660878E-4</v>
      </c>
      <c r="S18" s="133">
        <v>2.1693944517215058E-5</v>
      </c>
      <c r="T18" s="133">
        <v>3.9661032458468653E-4</v>
      </c>
      <c r="U18" s="45">
        <v>242.64445031179415</v>
      </c>
      <c r="V18" s="134">
        <v>1.7711920165830446</v>
      </c>
      <c r="W18" t="s">
        <v>1997</v>
      </c>
    </row>
    <row r="19" spans="1:23" x14ac:dyDescent="0.25">
      <c r="A19" s="812" t="s">
        <v>1996</v>
      </c>
      <c r="B19" s="812">
        <v>2104004000</v>
      </c>
      <c r="C19" s="812" t="s">
        <v>747</v>
      </c>
      <c r="D19" s="133">
        <v>2.8677749203413726E-3</v>
      </c>
      <c r="E19" s="133">
        <v>4.4932800367741041E-2</v>
      </c>
      <c r="F19" s="133">
        <v>0.11624977658688644</v>
      </c>
      <c r="G19" s="133">
        <v>1.8364904782455463E-3</v>
      </c>
      <c r="H19" s="133">
        <v>1.8364904782455463E-3</v>
      </c>
      <c r="I19" s="133">
        <v>9.8527714157873586E-5</v>
      </c>
      <c r="J19" s="133">
        <v>1.8012910774125072E-3</v>
      </c>
      <c r="K19" s="45">
        <v>1005.5311782403134</v>
      </c>
      <c r="L19" s="134">
        <v>8.0442494259225068</v>
      </c>
      <c r="M19" s="45" t="s">
        <v>1997</v>
      </c>
      <c r="N19" s="133">
        <v>2.3689243534091376E-3</v>
      </c>
      <c r="O19" s="133">
        <v>3.7116722202641401E-2</v>
      </c>
      <c r="P19" s="133">
        <v>9.6028082567325493E-2</v>
      </c>
      <c r="Q19" s="133">
        <v>1.5170322426147711E-3</v>
      </c>
      <c r="R19" s="133">
        <v>1.5170322426147711E-3</v>
      </c>
      <c r="S19" s="133">
        <v>8.1388779816282471E-5</v>
      </c>
      <c r="T19" s="133">
        <v>1.4879557912979879E-3</v>
      </c>
      <c r="U19" s="45">
        <v>830.61863724023044</v>
      </c>
      <c r="V19" s="134">
        <v>6.6449490979218453</v>
      </c>
      <c r="W19" t="s">
        <v>1997</v>
      </c>
    </row>
    <row r="20" spans="1:23" x14ac:dyDescent="0.25">
      <c r="A20" s="812" t="s">
        <v>1996</v>
      </c>
      <c r="B20" s="812">
        <v>2104006010</v>
      </c>
      <c r="C20" s="812" t="s">
        <v>149</v>
      </c>
      <c r="D20" s="133">
        <v>6.6969683938961284E-4</v>
      </c>
      <c r="E20" s="133">
        <v>1.1445727800477035E-2</v>
      </c>
      <c r="F20" s="133">
        <v>7.3057837024321452E-5</v>
      </c>
      <c r="G20" s="133">
        <v>6.0311679724811471E-6</v>
      </c>
      <c r="H20" s="133">
        <v>6.0311679724811471E-6</v>
      </c>
      <c r="I20" s="133">
        <v>2.4352612341440477E-3</v>
      </c>
      <c r="J20" s="133">
        <v>4.8705224682880953E-3</v>
      </c>
      <c r="K20" s="45">
        <v>300.62303278688512</v>
      </c>
      <c r="L20" s="134">
        <v>296.18032786885266</v>
      </c>
      <c r="M20" s="45" t="s">
        <v>1998</v>
      </c>
      <c r="N20" s="133">
        <v>6.6969683938961284E-4</v>
      </c>
      <c r="O20" s="133">
        <v>1.1445727800477035E-2</v>
      </c>
      <c r="P20" s="133">
        <v>7.3057837024321452E-5</v>
      </c>
      <c r="Q20" s="133">
        <v>6.0311679724811471E-6</v>
      </c>
      <c r="R20" s="133">
        <v>6.0311679724811471E-6</v>
      </c>
      <c r="S20" s="133">
        <v>2.4352612341440477E-3</v>
      </c>
      <c r="T20" s="133">
        <v>4.8705224682880953E-3</v>
      </c>
      <c r="U20" s="45">
        <v>300.62303278688512</v>
      </c>
      <c r="V20" s="134">
        <v>296.18032786885266</v>
      </c>
      <c r="W20" t="s">
        <v>1998</v>
      </c>
    </row>
    <row r="21" spans="1:23" x14ac:dyDescent="0.25">
      <c r="A21" s="812" t="s">
        <v>1996</v>
      </c>
      <c r="B21" s="812">
        <v>2103006000</v>
      </c>
      <c r="C21" s="812" t="s">
        <v>150</v>
      </c>
      <c r="D21" s="133">
        <v>5.2612909836065565E-3</v>
      </c>
      <c r="E21" s="133">
        <v>9.5659836065573767E-2</v>
      </c>
      <c r="F21" s="133">
        <v>5.7395901639344246E-4</v>
      </c>
      <c r="G21" s="133">
        <v>7.2701475409836028E-3</v>
      </c>
      <c r="H21" s="133">
        <v>7.2701475409836028E-3</v>
      </c>
      <c r="I21" s="133">
        <v>1.9131967213114758E-2</v>
      </c>
      <c r="J21" s="133">
        <v>3.8263934426229516E-2</v>
      </c>
      <c r="K21" s="45">
        <v>1941.8946721311468</v>
      </c>
      <c r="L21" s="134">
        <v>1913.1967213114763</v>
      </c>
      <c r="M21" s="45" t="s">
        <v>1998</v>
      </c>
      <c r="N21" s="133">
        <v>5.2612909836065565E-3</v>
      </c>
      <c r="O21" s="133">
        <v>9.5659836065573767E-2</v>
      </c>
      <c r="P21" s="133">
        <v>5.7395901639344246E-4</v>
      </c>
      <c r="Q21" s="133">
        <v>7.2701475409836028E-3</v>
      </c>
      <c r="R21" s="133">
        <v>7.2701475409836028E-3</v>
      </c>
      <c r="S21" s="133">
        <v>1.9131967213114758E-2</v>
      </c>
      <c r="T21" s="133">
        <v>3.8263934426229516E-2</v>
      </c>
      <c r="U21" s="45">
        <v>1941.8946721311468</v>
      </c>
      <c r="V21" s="134">
        <v>1913.1967213114763</v>
      </c>
      <c r="W21" t="s">
        <v>1998</v>
      </c>
    </row>
    <row r="22" spans="1:23" x14ac:dyDescent="0.25">
      <c r="A22" s="812" t="s">
        <v>1996</v>
      </c>
      <c r="B22" s="812">
        <v>2104002000</v>
      </c>
      <c r="C22" s="812" t="s">
        <v>151</v>
      </c>
      <c r="D22" s="133">
        <v>0.15177185256069628</v>
      </c>
      <c r="E22" s="133">
        <v>7.1636314408648663E-2</v>
      </c>
      <c r="F22" s="133">
        <v>0.14114782288144753</v>
      </c>
      <c r="G22" s="133">
        <v>0.1212657101959963</v>
      </c>
      <c r="H22" s="133">
        <v>0.1212657101959963</v>
      </c>
      <c r="I22" s="133">
        <v>1.9213557674921347E-2</v>
      </c>
      <c r="J22" s="133">
        <v>1.9817609648112917</v>
      </c>
      <c r="K22" s="45">
        <v>461.38643178451656</v>
      </c>
      <c r="L22" s="134">
        <v>30.354370512139248</v>
      </c>
      <c r="M22" s="45" t="s">
        <v>738</v>
      </c>
      <c r="N22" s="133">
        <v>0.13287330776431033</v>
      </c>
      <c r="O22" s="133">
        <v>6.2716201264754454E-2</v>
      </c>
      <c r="P22" s="133">
        <v>0.12357217622080854</v>
      </c>
      <c r="Q22" s="133">
        <v>0.10616577290368391</v>
      </c>
      <c r="R22" s="133">
        <v>0.10616577290368391</v>
      </c>
      <c r="S22" s="133">
        <v>1.682109639642286E-2</v>
      </c>
      <c r="T22" s="133">
        <v>1.7349932161324819</v>
      </c>
      <c r="U22" s="45">
        <v>403.93485560350331</v>
      </c>
      <c r="V22" s="134">
        <v>26.574661552862061</v>
      </c>
      <c r="W22" t="s">
        <v>738</v>
      </c>
    </row>
    <row r="23" spans="1:23" x14ac:dyDescent="0.25">
      <c r="A23" s="812" t="s">
        <v>1996</v>
      </c>
      <c r="B23" s="812">
        <v>2103002000</v>
      </c>
      <c r="C23" s="812" t="s">
        <v>152</v>
      </c>
      <c r="D23" s="133">
        <v>4.0148138126104761E-4</v>
      </c>
      <c r="E23" s="133">
        <v>1.8949921195521454E-4</v>
      </c>
      <c r="F23" s="133">
        <v>3.7337768457277438E-4</v>
      </c>
      <c r="G23" s="133">
        <v>3.2078362362757715E-4</v>
      </c>
      <c r="H23" s="133">
        <v>3.2078362362757715E-4</v>
      </c>
      <c r="I23" s="133">
        <v>5.0825535460742344E-5</v>
      </c>
      <c r="J23" s="133">
        <v>5.24234313581613E-3</v>
      </c>
      <c r="K23" s="45">
        <v>18.456877950864644</v>
      </c>
      <c r="L23" s="134">
        <v>1.2205033990335847</v>
      </c>
      <c r="M23" s="45" t="s">
        <v>738</v>
      </c>
      <c r="N23" s="133">
        <v>3.7940475162931143E-4</v>
      </c>
      <c r="O23" s="133">
        <v>1.7907904276903502E-4</v>
      </c>
      <c r="P23" s="133">
        <v>3.5284641901525964E-4</v>
      </c>
      <c r="Q23" s="133">
        <v>3.0314439655181985E-4</v>
      </c>
      <c r="R23" s="133">
        <v>3.0314439655181985E-4</v>
      </c>
      <c r="S23" s="133">
        <v>4.8030744532512688E-5</v>
      </c>
      <c r="T23" s="133">
        <v>4.9540775443997339E-3</v>
      </c>
      <c r="U23" s="45">
        <v>17.43676104884138</v>
      </c>
      <c r="V23" s="134">
        <v>1.1533904449531067</v>
      </c>
      <c r="W23" t="s">
        <v>738</v>
      </c>
    </row>
    <row r="24" spans="1:23" x14ac:dyDescent="0.25">
      <c r="A24" s="812" t="s">
        <v>1996</v>
      </c>
      <c r="B24" s="812">
        <v>2103008000</v>
      </c>
      <c r="C24" s="812" t="s">
        <v>153</v>
      </c>
      <c r="D24" s="133">
        <v>1.2267802496122725E-3</v>
      </c>
      <c r="E24" s="133">
        <v>4.8776475754854209E-5</v>
      </c>
      <c r="F24" s="133">
        <v>1.0633485245822148E-5</v>
      </c>
      <c r="G24" s="133">
        <v>3.4500168382878608E-4</v>
      </c>
      <c r="H24" s="133">
        <v>3.4500168382878608E-4</v>
      </c>
      <c r="I24" s="133">
        <v>1.2632663031087653E-5</v>
      </c>
      <c r="J24" s="133">
        <v>2.4538740814386123E-3</v>
      </c>
      <c r="K24" s="45">
        <v>11.138643290370357</v>
      </c>
      <c r="L24" s="134">
        <v>0.91979647376361562</v>
      </c>
      <c r="M24" s="45" t="s">
        <v>738</v>
      </c>
      <c r="N24" s="133">
        <v>1.0057156829621557E-3</v>
      </c>
      <c r="O24" s="133">
        <v>4.0923651207836456E-5</v>
      </c>
      <c r="P24" s="133">
        <v>8.6857798127814725E-6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1.9363248899601761E-2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2.7346164289603576E-2</v>
      </c>
      <c r="P25" s="135">
        <v>1.9363248899601761E-2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12.100092326072165</v>
      </c>
      <c r="E26" s="137">
        <v>3.1955021785441051</v>
      </c>
      <c r="F26" s="137">
        <v>5.0416123496826541</v>
      </c>
      <c r="G26" s="137">
        <v>3.4478049931672938</v>
      </c>
      <c r="H26" s="137">
        <v>3.4478049931672938</v>
      </c>
      <c r="I26" s="137">
        <v>0.16744790932950868</v>
      </c>
      <c r="J26" s="137">
        <v>36.665355437771964</v>
      </c>
      <c r="K26" s="87">
        <v>63464.528053355214</v>
      </c>
      <c r="L26" s="87"/>
      <c r="M26" s="87"/>
      <c r="N26" s="137">
        <v>10.88688162587404</v>
      </c>
      <c r="O26" s="137">
        <v>2.9756236806598033</v>
      </c>
      <c r="P26" s="137">
        <v>4.6658403061014626</v>
      </c>
      <c r="Q26" s="137">
        <v>3.0623346362358497</v>
      </c>
      <c r="R26" s="137">
        <v>3.0623346362358497</v>
      </c>
      <c r="S26" s="137">
        <v>0.15147484626715427</v>
      </c>
      <c r="T26" s="137">
        <v>32.299622512255311</v>
      </c>
      <c r="U26" s="87">
        <v>58961.619148451522</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3.6539887699090521</v>
      </c>
      <c r="E28" s="133">
        <v>4.1486335378880086E-2</v>
      </c>
      <c r="F28" s="133">
        <v>6.382513135212319E-3</v>
      </c>
      <c r="G28" s="133">
        <v>0.55208738619586561</v>
      </c>
      <c r="H28" s="133">
        <v>0.55208738619586561</v>
      </c>
      <c r="I28" s="133">
        <v>2.8721309108455436E-2</v>
      </c>
      <c r="J28" s="133">
        <v>4.0305570448865797</v>
      </c>
      <c r="K28" s="45">
        <v>510.52983738202136</v>
      </c>
      <c r="L28" s="134">
        <v>45.58975611251882</v>
      </c>
      <c r="M28" s="45" t="s">
        <v>738</v>
      </c>
      <c r="N28" s="133">
        <v>3.3792082590388013</v>
      </c>
      <c r="O28" s="133">
        <v>3.836655665284229E-2</v>
      </c>
      <c r="P28" s="133">
        <v>5.9025471773603514E-3</v>
      </c>
      <c r="Q28" s="133">
        <v>0.51057033084167058</v>
      </c>
      <c r="R28" s="133">
        <v>0.51057033084167058</v>
      </c>
      <c r="S28" s="133">
        <v>2.6561462298121598E-2</v>
      </c>
      <c r="T28" s="133">
        <v>3.7274585425030629</v>
      </c>
      <c r="U28" s="45">
        <v>472.13791601499713</v>
      </c>
      <c r="V28" s="134">
        <v>42.161399523628731</v>
      </c>
      <c r="W28" t="s">
        <v>738</v>
      </c>
    </row>
    <row r="29" spans="1:23" x14ac:dyDescent="0.25">
      <c r="A29" s="812" t="s">
        <v>1999</v>
      </c>
      <c r="B29" s="812">
        <v>2104008210</v>
      </c>
      <c r="C29" s="812" t="s">
        <v>138</v>
      </c>
      <c r="D29" s="133">
        <v>8.6162318031635154E-2</v>
      </c>
      <c r="E29" s="133">
        <v>4.5519715186524241E-3</v>
      </c>
      <c r="F29" s="133">
        <v>6.5028164552177509E-4</v>
      </c>
      <c r="G29" s="133">
        <v>4.9746545882415789E-2</v>
      </c>
      <c r="H29" s="133">
        <v>4.9746545882415789E-2</v>
      </c>
      <c r="I29" s="133">
        <v>2.763696993467543E-3</v>
      </c>
      <c r="J29" s="133">
        <v>0.3752125094660641</v>
      </c>
      <c r="K29" s="45">
        <v>52.015276068789667</v>
      </c>
      <c r="L29" s="134">
        <v>4.6449072639157105</v>
      </c>
      <c r="M29" s="45" t="s">
        <v>738</v>
      </c>
      <c r="N29" s="133">
        <v>7.5183193372988011E-2</v>
      </c>
      <c r="O29" s="133">
        <v>3.9719422914031403E-3</v>
      </c>
      <c r="P29" s="133">
        <v>5.6742032734330579E-4</v>
      </c>
      <c r="Q29" s="133">
        <v>4.3407655041762902E-2</v>
      </c>
      <c r="R29" s="133">
        <v>4.3407655041762902E-2</v>
      </c>
      <c r="S29" s="133">
        <v>2.4115363912090497E-3</v>
      </c>
      <c r="T29" s="133">
        <v>0.32740152887708751</v>
      </c>
      <c r="U29" s="45">
        <v>45.387295146740776</v>
      </c>
      <c r="V29" s="134">
        <v>4.0530358165892562</v>
      </c>
      <c r="W29" t="s">
        <v>738</v>
      </c>
    </row>
    <row r="30" spans="1:23" x14ac:dyDescent="0.25">
      <c r="A30" s="812" t="s">
        <v>1999</v>
      </c>
      <c r="B30" s="812">
        <v>2104008220</v>
      </c>
      <c r="C30" s="812" t="s">
        <v>139</v>
      </c>
      <c r="D30" s="133">
        <v>4.1073407423582786E-2</v>
      </c>
      <c r="E30" s="133">
        <v>6.8455679039304655E-3</v>
      </c>
      <c r="F30" s="133">
        <v>1.369113580786093E-3</v>
      </c>
      <c r="G30" s="133">
        <v>4.1073407423582786E-2</v>
      </c>
      <c r="H30" s="133">
        <v>4.1073407423582786E-2</v>
      </c>
      <c r="I30" s="133">
        <v>3.0805055567687104E-3</v>
      </c>
      <c r="J30" s="133">
        <v>0.48192798043670476</v>
      </c>
      <c r="K30" s="45">
        <v>109.51381046127517</v>
      </c>
      <c r="L30" s="134">
        <v>9.7794634991062885</v>
      </c>
      <c r="M30" s="45" t="s">
        <v>738</v>
      </c>
      <c r="N30" s="133">
        <v>3.5839680307590514E-2</v>
      </c>
      <c r="O30" s="133">
        <v>5.9732800512650869E-3</v>
      </c>
      <c r="P30" s="133">
        <v>1.1946560102530173E-3</v>
      </c>
      <c r="Q30" s="133">
        <v>3.5839680307590514E-2</v>
      </c>
      <c r="R30" s="133">
        <v>3.5839680307590514E-2</v>
      </c>
      <c r="S30" s="133">
        <v>2.687976023069289E-3</v>
      </c>
      <c r="T30" s="133">
        <v>0.42051891560906213</v>
      </c>
      <c r="U30" s="45">
        <v>95.559151343859824</v>
      </c>
      <c r="V30" s="134">
        <v>8.5333277021102507</v>
      </c>
      <c r="W30" t="s">
        <v>738</v>
      </c>
    </row>
    <row r="31" spans="1:23" x14ac:dyDescent="0.25">
      <c r="A31" s="812" t="s">
        <v>1999</v>
      </c>
      <c r="B31" s="812">
        <v>2104008230</v>
      </c>
      <c r="C31" s="812" t="s">
        <v>140</v>
      </c>
      <c r="D31" s="133">
        <v>3.091149822749073E-2</v>
      </c>
      <c r="E31" s="133">
        <v>4.1215330969987633E-3</v>
      </c>
      <c r="F31" s="133">
        <v>8.2430661939975254E-4</v>
      </c>
      <c r="G31" s="133">
        <v>2.678996513049196E-2</v>
      </c>
      <c r="H31" s="133">
        <v>2.678996513049196E-2</v>
      </c>
      <c r="I31" s="133">
        <v>1.8546898936494434E-3</v>
      </c>
      <c r="J31" s="133">
        <v>0.22050202068943381</v>
      </c>
      <c r="K31" s="45">
        <v>65.935332280531256</v>
      </c>
      <c r="L31" s="134">
        <v>5.8879530592802265</v>
      </c>
      <c r="M31" s="45" t="s">
        <v>738</v>
      </c>
      <c r="N31" s="133">
        <v>2.6972639568876591E-2</v>
      </c>
      <c r="O31" s="133">
        <v>3.5963519425168781E-3</v>
      </c>
      <c r="P31" s="133">
        <v>7.1927038850337556E-4</v>
      </c>
      <c r="Q31" s="133">
        <v>2.337628762635971E-2</v>
      </c>
      <c r="R31" s="133">
        <v>2.337628762635971E-2</v>
      </c>
      <c r="S31" s="133">
        <v>1.6183583741325952E-3</v>
      </c>
      <c r="T31" s="133">
        <v>0.19240482892465297</v>
      </c>
      <c r="U31" s="45">
        <v>57.533605759530687</v>
      </c>
      <c r="V31" s="134">
        <v>5.1376880699102117</v>
      </c>
      <c r="W31" t="s">
        <v>738</v>
      </c>
    </row>
    <row r="32" spans="1:23" x14ac:dyDescent="0.25">
      <c r="A32" s="812" t="s">
        <v>1999</v>
      </c>
      <c r="B32" s="812">
        <v>2104008310</v>
      </c>
      <c r="C32" s="812" t="s">
        <v>141</v>
      </c>
      <c r="D32" s="133">
        <v>1.7485970958739727</v>
      </c>
      <c r="E32" s="133">
        <v>4.7909667761307999E-2</v>
      </c>
      <c r="F32" s="133">
        <v>1.3196959214143192E-2</v>
      </c>
      <c r="G32" s="133">
        <v>0.40059466643923741</v>
      </c>
      <c r="H32" s="133">
        <v>0.40059466643923741</v>
      </c>
      <c r="I32" s="133">
        <v>1.3098923795764524E-2</v>
      </c>
      <c r="J32" s="133">
        <v>3.9977100411223345</v>
      </c>
      <c r="K32" s="45">
        <v>1055.6094909328481</v>
      </c>
      <c r="L32" s="134">
        <v>94.264773021831274</v>
      </c>
      <c r="M32" s="45" t="s">
        <v>738</v>
      </c>
      <c r="N32" s="133">
        <v>1.5257843172495626</v>
      </c>
      <c r="O32" s="133">
        <v>4.1804838797530108E-2</v>
      </c>
      <c r="P32" s="133">
        <v>1.1515353337732546E-2</v>
      </c>
      <c r="Q32" s="133">
        <v>0.34954939652425282</v>
      </c>
      <c r="R32" s="133">
        <v>0.34954939652425282</v>
      </c>
      <c r="S32" s="133">
        <v>1.1429809958843197E-2</v>
      </c>
      <c r="T32" s="133">
        <v>3.4883068832999951</v>
      </c>
      <c r="U32" s="45">
        <v>921.09978348106415</v>
      </c>
      <c r="V32" s="134">
        <v>82.253203259446536</v>
      </c>
      <c r="W32" t="s">
        <v>738</v>
      </c>
    </row>
    <row r="33" spans="1:31" x14ac:dyDescent="0.25">
      <c r="A33" s="812" t="s">
        <v>1999</v>
      </c>
      <c r="B33" s="812">
        <v>2104008320</v>
      </c>
      <c r="C33" s="812" t="s">
        <v>142</v>
      </c>
      <c r="D33" s="133">
        <v>0.83355279406660987</v>
      </c>
      <c r="E33" s="133">
        <v>0.11175439783257664</v>
      </c>
      <c r="F33" s="133">
        <v>2.7785093135553662E-2</v>
      </c>
      <c r="G33" s="133">
        <v>0.55050085871005816</v>
      </c>
      <c r="H33" s="133">
        <v>0.55050085871005816</v>
      </c>
      <c r="I33" s="133">
        <v>1.734774351260537E-2</v>
      </c>
      <c r="J33" s="133">
        <v>8.5884381730539676</v>
      </c>
      <c r="K33" s="45">
        <v>2222.4974362965645</v>
      </c>
      <c r="L33" s="134">
        <v>198.46659031926518</v>
      </c>
      <c r="M33" s="45" t="s">
        <v>738</v>
      </c>
      <c r="N33" s="133">
        <v>0.72733838102980131</v>
      </c>
      <c r="O33" s="133">
        <v>9.7514234696466306E-2</v>
      </c>
      <c r="P33" s="133">
        <v>2.4244612700993377E-2</v>
      </c>
      <c r="Q33" s="133">
        <v>0.4803539813912408</v>
      </c>
      <c r="R33" s="133">
        <v>0.4803539813912408</v>
      </c>
      <c r="S33" s="133">
        <v>1.5137229184274494E-2</v>
      </c>
      <c r="T33" s="133">
        <v>7.4940672754369526</v>
      </c>
      <c r="U33" s="45">
        <v>1939.298504744321</v>
      </c>
      <c r="V33" s="134">
        <v>173.17723546588448</v>
      </c>
      <c r="W33" t="s">
        <v>738</v>
      </c>
    </row>
    <row r="34" spans="1:31" x14ac:dyDescent="0.25">
      <c r="A34" s="812" t="s">
        <v>1999</v>
      </c>
      <c r="B34" s="812">
        <v>2104008330</v>
      </c>
      <c r="C34" s="812" t="s">
        <v>143</v>
      </c>
      <c r="D34" s="133">
        <v>0.62732476637708612</v>
      </c>
      <c r="E34" s="133">
        <v>6.7284329929394593E-2</v>
      </c>
      <c r="F34" s="133">
        <v>1.672866043672229E-2</v>
      </c>
      <c r="G34" s="133">
        <v>0.36776421513717905</v>
      </c>
      <c r="H34" s="133">
        <v>0.36776421513717905</v>
      </c>
      <c r="I34" s="133">
        <v>1.044461176177895E-2</v>
      </c>
      <c r="J34" s="133">
        <v>5.1708686084971269</v>
      </c>
      <c r="K34" s="45">
        <v>1338.1061834814041</v>
      </c>
      <c r="L34" s="134">
        <v>119.49141870022046</v>
      </c>
      <c r="M34" s="45" t="s">
        <v>738</v>
      </c>
      <c r="N34" s="133">
        <v>0.54738869955745906</v>
      </c>
      <c r="O34" s="133">
        <v>5.8710709085104631E-2</v>
      </c>
      <c r="P34" s="133">
        <v>1.4597031988198908E-2</v>
      </c>
      <c r="Q34" s="133">
        <v>0.32090232405506891</v>
      </c>
      <c r="R34" s="133">
        <v>0.32090232405506891</v>
      </c>
      <c r="S34" s="133">
        <v>9.1137202866721587E-3</v>
      </c>
      <c r="T34" s="133">
        <v>4.5119772004766148</v>
      </c>
      <c r="U34" s="45">
        <v>1167.5996914258526</v>
      </c>
      <c r="V34" s="134">
        <v>104.26537544234705</v>
      </c>
      <c r="W34" t="s">
        <v>738</v>
      </c>
    </row>
    <row r="35" spans="1:31" x14ac:dyDescent="0.25">
      <c r="A35" s="812" t="s">
        <v>1999</v>
      </c>
      <c r="B35" s="812">
        <v>2104008410</v>
      </c>
      <c r="C35" s="812" t="s">
        <v>144</v>
      </c>
      <c r="D35" s="133">
        <v>1.0511413006431042E-2</v>
      </c>
      <c r="E35" s="133">
        <v>1.8356201534902188E-2</v>
      </c>
      <c r="F35" s="133">
        <v>1.4670290936984766E-3</v>
      </c>
      <c r="G35" s="133">
        <v>1.3570019116710913E-2</v>
      </c>
      <c r="H35" s="133">
        <v>1.3570019116710913E-2</v>
      </c>
      <c r="I35" s="133">
        <v>3.295314101720203E-4</v>
      </c>
      <c r="J35" s="133">
        <v>4.553291549566648E-2</v>
      </c>
      <c r="K35" s="45">
        <v>140.13262642114375</v>
      </c>
      <c r="L35" s="134">
        <v>12.513690276570765</v>
      </c>
      <c r="M35" s="45" t="s">
        <v>738</v>
      </c>
      <c r="N35" s="133">
        <v>9.1720094670118824E-3</v>
      </c>
      <c r="O35" s="133">
        <v>1.6017185715516434E-2</v>
      </c>
      <c r="P35" s="133">
        <v>1.2800947624788358E-3</v>
      </c>
      <c r="Q35" s="133">
        <v>1.1840876552929234E-2</v>
      </c>
      <c r="R35" s="133">
        <v>1.1840876552929234E-2</v>
      </c>
      <c r="S35" s="133">
        <v>2.8754128602180844E-4</v>
      </c>
      <c r="T35" s="133">
        <v>3.9730941190436866E-2</v>
      </c>
      <c r="U35" s="45">
        <v>122.27640331376999</v>
      </c>
      <c r="V35" s="134">
        <v>10.919149082405958</v>
      </c>
      <c r="W35" t="s">
        <v>738</v>
      </c>
    </row>
    <row r="36" spans="1:31" x14ac:dyDescent="0.25">
      <c r="A36" s="812" t="s">
        <v>1999</v>
      </c>
      <c r="B36" s="812">
        <v>2104008420</v>
      </c>
      <c r="C36" s="812" t="s">
        <v>145</v>
      </c>
      <c r="D36" s="133">
        <v>3.5455322750655799E-2</v>
      </c>
      <c r="E36" s="133">
        <v>6.1916038262206596E-2</v>
      </c>
      <c r="F36" s="133">
        <v>4.9483347262502782E-3</v>
      </c>
      <c r="G36" s="133">
        <v>4.577209621781507E-2</v>
      </c>
      <c r="H36" s="133">
        <v>4.577209621781507E-2</v>
      </c>
      <c r="I36" s="133">
        <v>1.111519687883969E-3</v>
      </c>
      <c r="J36" s="133">
        <v>0.15358393906599305</v>
      </c>
      <c r="K36" s="45">
        <v>472.6717040438765</v>
      </c>
      <c r="L36" s="134">
        <v>42.209066210804536</v>
      </c>
      <c r="M36" s="45" t="s">
        <v>738</v>
      </c>
      <c r="N36" s="133">
        <v>3.0937472985412759E-2</v>
      </c>
      <c r="O36" s="133">
        <v>5.4026465210089483E-2</v>
      </c>
      <c r="P36" s="133">
        <v>4.3177994173897684E-3</v>
      </c>
      <c r="Q36" s="133">
        <v>3.9939644610855356E-2</v>
      </c>
      <c r="R36" s="133">
        <v>3.9939644610855356E-2</v>
      </c>
      <c r="S36" s="133">
        <v>9.698856941311771E-4</v>
      </c>
      <c r="T36" s="133">
        <v>0.13401369941723495</v>
      </c>
      <c r="U36" s="45">
        <v>412.44210855635112</v>
      </c>
      <c r="V36" s="134">
        <v>36.830629206784202</v>
      </c>
      <c r="W36" t="s">
        <v>738</v>
      </c>
    </row>
    <row r="37" spans="1:31" x14ac:dyDescent="0.25">
      <c r="A37" s="812" t="s">
        <v>1999</v>
      </c>
      <c r="B37" s="812">
        <v>2104008610</v>
      </c>
      <c r="C37" s="812" t="s">
        <v>146</v>
      </c>
      <c r="D37" s="133">
        <v>1.1558607511168233</v>
      </c>
      <c r="E37" s="133">
        <v>4.1059369291282968E-2</v>
      </c>
      <c r="F37" s="133">
        <v>1.0183795164024874E-2</v>
      </c>
      <c r="G37" s="133">
        <v>0.2512890175335647</v>
      </c>
      <c r="H37" s="133">
        <v>0.2512890175335647</v>
      </c>
      <c r="I37" s="133">
        <v>6.2059683552743074E-3</v>
      </c>
      <c r="J37" s="133">
        <v>1.5420981511302383</v>
      </c>
      <c r="K37" s="45">
        <v>814.58998655840321</v>
      </c>
      <c r="L37" s="134">
        <v>72.74199488385355</v>
      </c>
      <c r="M37" s="45" t="s">
        <v>738</v>
      </c>
      <c r="N37" s="133">
        <v>1.0569573941596664</v>
      </c>
      <c r="O37" s="133">
        <v>3.7546048630876655E-2</v>
      </c>
      <c r="P37" s="133">
        <v>9.3123999485433158E-3</v>
      </c>
      <c r="Q37" s="133">
        <v>0.22978700928860832</v>
      </c>
      <c r="R37" s="133">
        <v>0.22978700928860832</v>
      </c>
      <c r="S37" s="133">
        <v>5.6749432271060085E-3</v>
      </c>
      <c r="T37" s="133">
        <v>1.4101456786919804</v>
      </c>
      <c r="U37" s="45">
        <v>744.88809198635659</v>
      </c>
      <c r="V37" s="134">
        <v>66.517691931424366</v>
      </c>
      <c r="W37" t="s">
        <v>738</v>
      </c>
    </row>
    <row r="38" spans="1:31" x14ac:dyDescent="0.25">
      <c r="A38" s="812" t="s">
        <v>1999</v>
      </c>
      <c r="B38" s="812">
        <v>2104004000</v>
      </c>
      <c r="C38" s="812" t="s">
        <v>568</v>
      </c>
      <c r="D38" s="133">
        <v>7.5780837405243689E-2</v>
      </c>
      <c r="E38" s="133">
        <v>1.1873474499960857</v>
      </c>
      <c r="F38" s="133">
        <v>3.0718956900836849</v>
      </c>
      <c r="G38" s="133">
        <v>4.8529187329540278E-2</v>
      </c>
      <c r="H38" s="133">
        <v>4.8529187329540278E-2</v>
      </c>
      <c r="I38" s="133">
        <v>2.603590900229838E-3</v>
      </c>
      <c r="J38" s="133">
        <v>4.7599044572390781E-2</v>
      </c>
      <c r="K38" s="45">
        <v>28529.021814773518</v>
      </c>
      <c r="L38" s="134">
        <v>212.56896887866395</v>
      </c>
      <c r="M38" s="45" t="s">
        <v>1997</v>
      </c>
      <c r="N38" s="133">
        <v>7.00683278877062E-2</v>
      </c>
      <c r="O38" s="133">
        <v>1.0978428490841783</v>
      </c>
      <c r="P38" s="133">
        <v>2.8403301127247951</v>
      </c>
      <c r="Q38" s="133">
        <v>4.4870961134230739E-2</v>
      </c>
      <c r="R38" s="133">
        <v>4.4870961134230739E-2</v>
      </c>
      <c r="S38" s="133">
        <v>2.4073270648514791E-3</v>
      </c>
      <c r="T38" s="133">
        <v>4.4010934379157984E-2</v>
      </c>
      <c r="U38" s="45">
        <v>26378.447682537142</v>
      </c>
      <c r="V38" s="134">
        <v>196.54509926425311</v>
      </c>
      <c r="W38" t="s">
        <v>1997</v>
      </c>
    </row>
    <row r="39" spans="1:31" x14ac:dyDescent="0.25">
      <c r="A39" s="812" t="s">
        <v>1999</v>
      </c>
      <c r="B39" s="812">
        <v>2103004001</v>
      </c>
      <c r="C39" s="812" t="s">
        <v>148</v>
      </c>
      <c r="D39" s="133">
        <v>2.2526049159973978E-2</v>
      </c>
      <c r="E39" s="133">
        <v>0.56868006294464468</v>
      </c>
      <c r="F39" s="133">
        <v>0.40196834315873914</v>
      </c>
      <c r="G39" s="133">
        <v>1.442542596399402E-2</v>
      </c>
      <c r="H39" s="133">
        <v>1.442542596399402E-2</v>
      </c>
      <c r="I39" s="133">
        <v>7.7392410296827946E-4</v>
      </c>
      <c r="J39" s="133">
        <v>1.414893863301747E-2</v>
      </c>
      <c r="K39" s="45">
        <v>8751.3543019814806</v>
      </c>
      <c r="L39" s="134">
        <v>65.206103887541602</v>
      </c>
      <c r="M39" s="45" t="s">
        <v>1997</v>
      </c>
      <c r="N39" s="133">
        <v>2.2148144669505879E-2</v>
      </c>
      <c r="O39" s="133">
        <v>0.55913969712637579</v>
      </c>
      <c r="P39" s="133">
        <v>0.39522478858212812</v>
      </c>
      <c r="Q39" s="133">
        <v>1.4183420221664604E-2</v>
      </c>
      <c r="R39" s="133">
        <v>1.4183420221664604E-2</v>
      </c>
      <c r="S39" s="133">
        <v>7.6094049489230616E-4</v>
      </c>
      <c r="T39" s="133">
        <v>1.3911571334082702E-2</v>
      </c>
      <c r="U39" s="45">
        <v>8604.5386724447853</v>
      </c>
      <c r="V39" s="134">
        <v>64.112184608131685</v>
      </c>
      <c r="W39" t="s">
        <v>1997</v>
      </c>
    </row>
    <row r="40" spans="1:31" x14ac:dyDescent="0.25">
      <c r="A40" s="812" t="s">
        <v>1999</v>
      </c>
      <c r="B40" s="812">
        <v>2104004000</v>
      </c>
      <c r="C40" s="812" t="s">
        <v>746</v>
      </c>
      <c r="D40" s="133">
        <v>5.0319040717808068E-4</v>
      </c>
      <c r="E40" s="133">
        <v>1.2703264136333039E-2</v>
      </c>
      <c r="F40" s="133">
        <v>2.0397616284388576E-2</v>
      </c>
      <c r="G40" s="133">
        <v>2.8229475858517861E-4</v>
      </c>
      <c r="H40" s="133">
        <v>2.8229475858517861E-4</v>
      </c>
      <c r="I40" s="133">
        <v>1.7288037584038954E-5</v>
      </c>
      <c r="J40" s="133">
        <v>3.1606120280232747E-4</v>
      </c>
      <c r="K40" s="45">
        <v>193.3648522618827</v>
      </c>
      <c r="L40" s="134">
        <v>1.4114737929258936</v>
      </c>
      <c r="M40" s="45" t="s">
        <v>1997</v>
      </c>
      <c r="N40" s="133">
        <v>4.757747878835364E-4</v>
      </c>
      <c r="O40" s="133">
        <v>1.2011144715152394E-2</v>
      </c>
      <c r="P40" s="133">
        <v>1.9286280943746657E-2</v>
      </c>
      <c r="Q40" s="133">
        <v>2.6691432700338649E-4</v>
      </c>
      <c r="R40" s="133">
        <v>2.6691432700338649E-4</v>
      </c>
      <c r="S40" s="133">
        <v>1.6346123251029715E-5</v>
      </c>
      <c r="T40" s="133">
        <v>2.9884105415442638E-4</v>
      </c>
      <c r="U40" s="45">
        <v>182.82964113914463</v>
      </c>
      <c r="V40" s="134">
        <v>1.3345716350169328</v>
      </c>
      <c r="W40" t="s">
        <v>1997</v>
      </c>
    </row>
    <row r="41" spans="1:31" x14ac:dyDescent="0.25">
      <c r="A41" s="812" t="s">
        <v>1999</v>
      </c>
      <c r="B41" s="812">
        <v>2104004000</v>
      </c>
      <c r="C41" s="812" t="s">
        <v>747</v>
      </c>
      <c r="D41" s="133">
        <v>1.6098234720326151E-3</v>
      </c>
      <c r="E41" s="133">
        <v>2.5222996471262402E-2</v>
      </c>
      <c r="F41" s="133">
        <v>6.5256731844855018E-2</v>
      </c>
      <c r="G41" s="133">
        <v>1.030912662313178E-3</v>
      </c>
      <c r="H41" s="133">
        <v>1.030912662313178E-3</v>
      </c>
      <c r="I41" s="133">
        <v>5.5308464333101977E-5</v>
      </c>
      <c r="J41" s="133">
        <v>1.011153502952175E-3</v>
      </c>
      <c r="K41" s="45">
        <v>564.45423283051048</v>
      </c>
      <c r="L41" s="134">
        <v>4.5156338626440835</v>
      </c>
      <c r="M41" s="45" t="s">
        <v>1997</v>
      </c>
      <c r="N41" s="133">
        <v>1.3435344083483618E-3</v>
      </c>
      <c r="O41" s="133">
        <v>2.105073272288812E-2</v>
      </c>
      <c r="P41" s="133">
        <v>5.4462284923218376E-2</v>
      </c>
      <c r="Q41" s="133">
        <v>8.6038417123520956E-4</v>
      </c>
      <c r="R41" s="133">
        <v>8.6038417123520956E-4</v>
      </c>
      <c r="S41" s="133">
        <v>4.6159610786768991E-5</v>
      </c>
      <c r="T41" s="133">
        <v>8.4389347461986822E-4</v>
      </c>
      <c r="U41" s="45">
        <v>471.08499591457291</v>
      </c>
      <c r="V41" s="134">
        <v>3.7686799673165843</v>
      </c>
      <c r="W41" t="s">
        <v>1997</v>
      </c>
    </row>
    <row r="42" spans="1:31" x14ac:dyDescent="0.25">
      <c r="A42" s="812" t="s">
        <v>1999</v>
      </c>
      <c r="B42" s="812">
        <v>2104006010</v>
      </c>
      <c r="C42" s="812" t="s">
        <v>149</v>
      </c>
      <c r="D42" s="133">
        <v>6.2640334377998884E-4</v>
      </c>
      <c r="E42" s="133">
        <v>1.0705802602785272E-2</v>
      </c>
      <c r="F42" s="133">
        <v>6.8334910230544231E-5</v>
      </c>
      <c r="G42" s="133">
        <v>5.6412746225655259E-6</v>
      </c>
      <c r="H42" s="133">
        <v>5.6412746225655259E-6</v>
      </c>
      <c r="I42" s="133">
        <v>2.2778303410181415E-3</v>
      </c>
      <c r="J42" s="133">
        <v>4.5556606820362829E-3</v>
      </c>
      <c r="K42" s="45">
        <v>281.18883333333315</v>
      </c>
      <c r="L42" s="134">
        <v>277.03333333333342</v>
      </c>
      <c r="M42" s="45" t="s">
        <v>1998</v>
      </c>
      <c r="N42" s="133">
        <v>6.2640334377998884E-4</v>
      </c>
      <c r="O42" s="133">
        <v>1.0705802602785272E-2</v>
      </c>
      <c r="P42" s="133">
        <v>6.8334910230544231E-5</v>
      </c>
      <c r="Q42" s="133">
        <v>5.6412746225655259E-6</v>
      </c>
      <c r="R42" s="133">
        <v>5.6412746225655259E-6</v>
      </c>
      <c r="S42" s="133">
        <v>2.2778303410181415E-3</v>
      </c>
      <c r="T42" s="133">
        <v>4.5556606820362829E-3</v>
      </c>
      <c r="U42" s="45">
        <v>281.18883333333315</v>
      </c>
      <c r="V42" s="134">
        <v>277.03333333333342</v>
      </c>
      <c r="W42" t="s">
        <v>1998</v>
      </c>
    </row>
    <row r="43" spans="1:31" x14ac:dyDescent="0.25">
      <c r="A43" s="812" t="s">
        <v>1999</v>
      </c>
      <c r="B43" s="812">
        <v>2103006000</v>
      </c>
      <c r="C43" s="812" t="s">
        <v>150</v>
      </c>
      <c r="D43" s="133">
        <v>9.7086916666666578E-3</v>
      </c>
      <c r="E43" s="133">
        <v>0.1765216666666666</v>
      </c>
      <c r="F43" s="133">
        <v>1.0591299999999988E-3</v>
      </c>
      <c r="G43" s="133">
        <v>1.3415646666666668E-2</v>
      </c>
      <c r="H43" s="133">
        <v>1.3415646666666668E-2</v>
      </c>
      <c r="I43" s="133">
        <v>3.5304333333333333E-2</v>
      </c>
      <c r="J43" s="133">
        <v>7.0608666666666667E-2</v>
      </c>
      <c r="K43" s="45">
        <v>3583.3898333333341</v>
      </c>
      <c r="L43" s="134">
        <v>3530.4333333333338</v>
      </c>
      <c r="M43" s="45" t="s">
        <v>1998</v>
      </c>
      <c r="N43" s="133">
        <v>9.7086916666666578E-3</v>
      </c>
      <c r="O43" s="133">
        <v>0.1765216666666666</v>
      </c>
      <c r="P43" s="133">
        <v>1.0591299999999988E-3</v>
      </c>
      <c r="Q43" s="133">
        <v>1.3415646666666668E-2</v>
      </c>
      <c r="R43" s="133">
        <v>1.3415646666666668E-2</v>
      </c>
      <c r="S43" s="133">
        <v>3.5304333333333333E-2</v>
      </c>
      <c r="T43" s="133">
        <v>7.0608666666666667E-2</v>
      </c>
      <c r="U43" s="45">
        <v>3583.3898333333341</v>
      </c>
      <c r="V43" s="134">
        <v>3530.4333333333338</v>
      </c>
      <c r="W43" t="s">
        <v>1998</v>
      </c>
    </row>
    <row r="44" spans="1:31" x14ac:dyDescent="0.25">
      <c r="A44" s="812" t="s">
        <v>1999</v>
      </c>
      <c r="B44" s="812">
        <v>2104002000</v>
      </c>
      <c r="C44" s="812" t="s">
        <v>151</v>
      </c>
      <c r="D44" s="133">
        <v>0.11268101493292303</v>
      </c>
      <c r="E44" s="133">
        <v>5.318543904833966E-2</v>
      </c>
      <c r="F44" s="133">
        <v>0.10479334388761843</v>
      </c>
      <c r="G44" s="133">
        <v>9.0032130931405496E-2</v>
      </c>
      <c r="H44" s="133">
        <v>9.0032130931405496E-2</v>
      </c>
      <c r="I44" s="133">
        <v>1.4264853085433399E-2</v>
      </c>
      <c r="J44" s="133">
        <v>1.4713323524866428</v>
      </c>
      <c r="K44" s="45">
        <v>342.550285396086</v>
      </c>
      <c r="L44" s="134">
        <v>22.536202986584605</v>
      </c>
      <c r="M44" s="45" t="s">
        <v>738</v>
      </c>
      <c r="N44" s="133">
        <v>9.9002843708973637E-2</v>
      </c>
      <c r="O44" s="133">
        <v>4.6729342230635559E-2</v>
      </c>
      <c r="P44" s="133">
        <v>9.2072644649345489E-2</v>
      </c>
      <c r="Q44" s="133">
        <v>7.9103272123469945E-2</v>
      </c>
      <c r="R44" s="133">
        <v>7.9103272123469945E-2</v>
      </c>
      <c r="S44" s="133">
        <v>1.2533264999337521E-2</v>
      </c>
      <c r="T44" s="133">
        <v>1.2927296317299237</v>
      </c>
      <c r="U44" s="45">
        <v>300.96864487527984</v>
      </c>
      <c r="V44" s="134">
        <v>19.800568741794734</v>
      </c>
      <c r="W44" t="s">
        <v>738</v>
      </c>
    </row>
    <row r="45" spans="1:31" x14ac:dyDescent="0.25">
      <c r="A45" s="812" t="s">
        <v>1999</v>
      </c>
      <c r="B45" s="812">
        <v>2103002000</v>
      </c>
      <c r="C45" s="812" t="s">
        <v>152</v>
      </c>
      <c r="D45" s="133">
        <v>2.8532244230068844E-4</v>
      </c>
      <c r="E45" s="133">
        <v>1.346721927659249E-4</v>
      </c>
      <c r="F45" s="133">
        <v>2.6534987133964015E-4</v>
      </c>
      <c r="G45" s="133">
        <v>2.2797263139825007E-4</v>
      </c>
      <c r="H45" s="133">
        <v>2.2797263139825007E-4</v>
      </c>
      <c r="I45" s="133">
        <v>3.6120394583055649E-5</v>
      </c>
      <c r="J45" s="133">
        <v>3.7255977903412375E-3</v>
      </c>
      <c r="K45" s="45">
        <v>13.116826184181894</v>
      </c>
      <c r="L45" s="134">
        <v>0.86738022459409281</v>
      </c>
      <c r="M45" s="45" t="s">
        <v>738</v>
      </c>
      <c r="N45" s="133">
        <v>2.6963315214105564E-4</v>
      </c>
      <c r="O45" s="133">
        <v>1.2726684781057826E-4</v>
      </c>
      <c r="P45" s="133">
        <v>2.5075883149118169E-4</v>
      </c>
      <c r="Q45" s="133">
        <v>2.1543688856070351E-4</v>
      </c>
      <c r="R45" s="133">
        <v>2.1543688856070351E-4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8.7184102008962066E-4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2.9083381335906241E-5</v>
      </c>
      <c r="P46" s="133">
        <v>6.1727592489711029E-6</v>
      </c>
      <c r="Q46" s="133">
        <v>2.1102851649953144E-4</v>
      </c>
      <c r="R46" s="133">
        <v>2.1102851649953144E-4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3.7226766797913594E-4</v>
      </c>
      <c r="E47" s="135">
        <v>1.9434212261993555E-2</v>
      </c>
      <c r="F47" s="135">
        <v>1.3760960594379902E-2</v>
      </c>
      <c r="G47" s="135">
        <v>1.9373489384817263E-3</v>
      </c>
      <c r="H47" s="135">
        <v>1.9373489384817263E-3</v>
      </c>
      <c r="I47" s="135">
        <v>1.3544093175893139E-5</v>
      </c>
      <c r="J47" s="135">
        <v>4.6265049277175547E-3</v>
      </c>
      <c r="K47" s="88">
        <v>103.11814403022066</v>
      </c>
      <c r="L47" s="136">
        <v>0.74453533595827182</v>
      </c>
      <c r="M47" s="88" t="s">
        <v>1997</v>
      </c>
      <c r="N47" s="135">
        <v>3.7226766797913594E-4</v>
      </c>
      <c r="O47" s="135">
        <v>1.9434212261993555E-2</v>
      </c>
      <c r="P47" s="135">
        <v>1.3760960594379902E-2</v>
      </c>
      <c r="Q47" s="135">
        <v>1.9373489384817263E-3</v>
      </c>
      <c r="R47" s="135">
        <v>1.9373489384817263E-3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8.448403578301507</v>
      </c>
      <c r="E48" s="137">
        <v>2.4592556430118124</v>
      </c>
      <c r="F48" s="137">
        <v>3.7630091443297151</v>
      </c>
      <c r="G48" s="137">
        <v>2.4693199227248517</v>
      </c>
      <c r="H48" s="137">
        <v>2.4693199227248517</v>
      </c>
      <c r="I48" s="137">
        <v>0.14031427053563345</v>
      </c>
      <c r="J48" s="137">
        <v>26.22609926920363</v>
      </c>
      <c r="K48" s="87">
        <v>49151.07675398529</v>
      </c>
      <c r="L48" s="87"/>
      <c r="M48" s="87"/>
      <c r="N48" s="137">
        <v>7.6195124041756292</v>
      </c>
      <c r="O48" s="137">
        <v>2.301119410713433</v>
      </c>
      <c r="P48" s="137">
        <v>3.4901726549773811</v>
      </c>
      <c r="Q48" s="137">
        <v>2.2006372405027741</v>
      </c>
      <c r="R48" s="137">
        <v>2.2006372405027741</v>
      </c>
      <c r="S48" s="137">
        <v>0.12929447718354797</v>
      </c>
      <c r="T48" s="137">
        <v>23.182666236098445</v>
      </c>
      <c r="U48" s="87">
        <v>45902.646859339628</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4.8235803277651792</v>
      </c>
      <c r="E50" s="133">
        <v>5.4765540839255313E-2</v>
      </c>
      <c r="F50" s="133">
        <v>8.4254678214238932E-3</v>
      </c>
      <c r="G50" s="133">
        <v>0.7288029665531669</v>
      </c>
      <c r="H50" s="133">
        <v>0.7288029665531669</v>
      </c>
      <c r="I50" s="133">
        <v>3.7914605196407526E-2</v>
      </c>
      <c r="J50" s="133">
        <v>5.3206829292291902</v>
      </c>
      <c r="K50" s="45">
        <v>676.4837491705415</v>
      </c>
      <c r="L50" s="134">
        <v>60.1824101220299</v>
      </c>
      <c r="M50" s="45" t="s">
        <v>738</v>
      </c>
      <c r="N50" s="133">
        <v>4.4502024546198724</v>
      </c>
      <c r="O50" s="133">
        <v>5.0526316078653571E-2</v>
      </c>
      <c r="P50" s="133">
        <v>7.7732793967159328E-3</v>
      </c>
      <c r="Q50" s="133">
        <v>0.67238866781592821</v>
      </c>
      <c r="R50" s="133">
        <v>0.67238866781592821</v>
      </c>
      <c r="S50" s="133">
        <v>3.4979757285221701E-2</v>
      </c>
      <c r="T50" s="133">
        <v>4.9088259390261113</v>
      </c>
      <c r="U50" s="45">
        <v>624.11634359187701</v>
      </c>
      <c r="V50" s="134">
        <v>55.523882894282217</v>
      </c>
      <c r="W50" t="s">
        <v>738</v>
      </c>
      <c r="Y50" s="13">
        <f>N50/$U50*2000</f>
        <v>14.260810505324484</v>
      </c>
      <c r="Z50" s="5">
        <f t="shared" ref="Z50:AE65" si="0">O50/$U50*2000</f>
        <v>0.16191313237486313</v>
      </c>
      <c r="AA50" s="357">
        <f t="shared" si="0"/>
        <v>2.4909712673055862E-2</v>
      </c>
      <c r="AB50" s="5">
        <f t="shared" si="0"/>
        <v>2.1546901462193322</v>
      </c>
      <c r="AC50" s="358">
        <f t="shared" si="0"/>
        <v>2.1546901462193322</v>
      </c>
      <c r="AD50" s="5">
        <f t="shared" si="0"/>
        <v>0.11209370702875139</v>
      </c>
      <c r="AE50" s="13">
        <f t="shared" si="0"/>
        <v>15.730483553034778</v>
      </c>
    </row>
    <row r="51" spans="1:31" x14ac:dyDescent="0.25">
      <c r="A51" s="812" t="s">
        <v>2001</v>
      </c>
      <c r="B51" s="812">
        <v>2104008210</v>
      </c>
      <c r="C51" s="812" t="s">
        <v>138</v>
      </c>
      <c r="D51" s="133">
        <v>0.10442821667263365</v>
      </c>
      <c r="E51" s="133">
        <v>5.5169623902523428E-3</v>
      </c>
      <c r="F51" s="133">
        <v>7.8813748432176309E-4</v>
      </c>
      <c r="G51" s="133">
        <v>6.0292517550614884E-2</v>
      </c>
      <c r="H51" s="133">
        <v>6.0292517550614884E-2</v>
      </c>
      <c r="I51" s="133">
        <v>3.3495843083674931E-3</v>
      </c>
      <c r="J51" s="133">
        <v>0.45475532845365735</v>
      </c>
      <c r="K51" s="45">
        <v>63.268606472714886</v>
      </c>
      <c r="L51" s="134">
        <v>5.6295999604187346</v>
      </c>
      <c r="M51" s="45" t="s">
        <v>738</v>
      </c>
      <c r="N51" s="133">
        <v>9.0890805060767479E-2</v>
      </c>
      <c r="O51" s="133">
        <v>4.8017783805688469E-3</v>
      </c>
      <c r="P51" s="133">
        <v>6.8596834008126406E-4</v>
      </c>
      <c r="Q51" s="133">
        <v>5.2476578016216698E-2</v>
      </c>
      <c r="R51" s="133">
        <v>5.2476578016216698E-2</v>
      </c>
      <c r="S51" s="133">
        <v>2.9153654453453726E-3</v>
      </c>
      <c r="T51" s="133">
        <v>0.39580373222688942</v>
      </c>
      <c r="U51" s="45">
        <v>55.066562645656781</v>
      </c>
      <c r="V51" s="134">
        <v>4.89981433060911</v>
      </c>
      <c r="W51" t="s">
        <v>738</v>
      </c>
      <c r="Y51" s="13">
        <f t="shared" ref="Y51:AE70" si="1">N51/$U51*2000</f>
        <v>3.3011250637027456</v>
      </c>
      <c r="Z51" s="5">
        <f t="shared" si="0"/>
        <v>0.1743990599692016</v>
      </c>
      <c r="AA51" s="357">
        <f t="shared" si="0"/>
        <v>2.4914151424171666E-2</v>
      </c>
      <c r="AB51" s="5">
        <f t="shared" si="0"/>
        <v>1.9059325839491323</v>
      </c>
      <c r="AC51" s="358">
        <f t="shared" si="0"/>
        <v>1.9059325839491323</v>
      </c>
      <c r="AD51" s="5">
        <f t="shared" si="0"/>
        <v>0.1058851435527296</v>
      </c>
      <c r="AE51" s="13">
        <f t="shared" si="0"/>
        <v>14.375465371747055</v>
      </c>
    </row>
    <row r="52" spans="1:31" x14ac:dyDescent="0.25">
      <c r="A52" s="812" t="s">
        <v>2001</v>
      </c>
      <c r="B52" s="812">
        <v>2104008220</v>
      </c>
      <c r="C52" s="812" t="s">
        <v>139</v>
      </c>
      <c r="D52" s="133">
        <v>4.9780725355351288E-2</v>
      </c>
      <c r="E52" s="133">
        <v>8.2967875592252164E-3</v>
      </c>
      <c r="F52" s="133">
        <v>1.6593575118450427E-3</v>
      </c>
      <c r="G52" s="133">
        <v>4.9780725355351288E-2</v>
      </c>
      <c r="H52" s="133">
        <v>4.9780725355351288E-2</v>
      </c>
      <c r="I52" s="133">
        <v>3.7335544016513455E-3</v>
      </c>
      <c r="J52" s="133">
        <v>0.58409384416945498</v>
      </c>
      <c r="K52" s="45">
        <v>133.2067558045575</v>
      </c>
      <c r="L52" s="134">
        <v>11.852651559952488</v>
      </c>
      <c r="M52" s="45" t="s">
        <v>738</v>
      </c>
      <c r="N52" s="133">
        <v>4.3327467883903403E-2</v>
      </c>
      <c r="O52" s="133">
        <v>7.2212446473172327E-3</v>
      </c>
      <c r="P52" s="133">
        <v>1.4442489294634467E-3</v>
      </c>
      <c r="Q52" s="133">
        <v>4.3327467883903403E-2</v>
      </c>
      <c r="R52" s="133">
        <v>4.3327467883903403E-2</v>
      </c>
      <c r="S52" s="133">
        <v>3.2495600912927549E-3</v>
      </c>
      <c r="T52" s="133">
        <v>0.50837562317113316</v>
      </c>
      <c r="U52" s="45">
        <v>115.9380389783004</v>
      </c>
      <c r="V52" s="134">
        <v>10.316148994155512</v>
      </c>
      <c r="W52" t="s">
        <v>738</v>
      </c>
      <c r="Y52" s="13">
        <f t="shared" si="1"/>
        <v>0.74742454272515013</v>
      </c>
      <c r="Z52" s="5">
        <f t="shared" si="0"/>
        <v>0.12457075712085834</v>
      </c>
      <c r="AA52" s="357">
        <f t="shared" si="0"/>
        <v>2.4914151424171669E-2</v>
      </c>
      <c r="AB52" s="5">
        <f t="shared" si="0"/>
        <v>0.74742454272515013</v>
      </c>
      <c r="AC52" s="358">
        <f t="shared" si="0"/>
        <v>0.74742454272515013</v>
      </c>
      <c r="AD52" s="5">
        <f t="shared" si="0"/>
        <v>5.6056840704386254E-2</v>
      </c>
      <c r="AE52" s="13">
        <f t="shared" si="0"/>
        <v>8.7697813013084271</v>
      </c>
    </row>
    <row r="53" spans="1:31" x14ac:dyDescent="0.25">
      <c r="A53" s="812" t="s">
        <v>2001</v>
      </c>
      <c r="B53" s="812">
        <v>2104008230</v>
      </c>
      <c r="C53" s="812" t="s">
        <v>140</v>
      </c>
      <c r="D53" s="133">
        <v>3.7464551886718447E-2</v>
      </c>
      <c r="E53" s="133">
        <v>4.9952735848957912E-3</v>
      </c>
      <c r="F53" s="133">
        <v>9.9905471697915821E-4</v>
      </c>
      <c r="G53" s="133">
        <v>3.2469278301822654E-2</v>
      </c>
      <c r="H53" s="133">
        <v>3.2469278301822654E-2</v>
      </c>
      <c r="I53" s="133">
        <v>2.2478731132031058E-3</v>
      </c>
      <c r="J53" s="133">
        <v>0.26724713679192497</v>
      </c>
      <c r="K53" s="45">
        <v>80.200220127404123</v>
      </c>
      <c r="L53" s="134">
        <v>7.1361640666057484</v>
      </c>
      <c r="M53" s="45" t="s">
        <v>738</v>
      </c>
      <c r="N53" s="133">
        <v>3.2607885021147698E-2</v>
      </c>
      <c r="O53" s="133">
        <v>4.3477180028196911E-3</v>
      </c>
      <c r="P53" s="133">
        <v>8.6954360056393763E-4</v>
      </c>
      <c r="Q53" s="133">
        <v>2.8260167018327988E-2</v>
      </c>
      <c r="R53" s="133">
        <v>2.8260167018327988E-2</v>
      </c>
      <c r="S53" s="133">
        <v>1.9564731012688607E-3</v>
      </c>
      <c r="T53" s="133">
        <v>0.23260291315085335</v>
      </c>
      <c r="U53" s="45">
        <v>69.803188216983244</v>
      </c>
      <c r="V53" s="134">
        <v>6.2110770223417173</v>
      </c>
      <c r="W53" t="s">
        <v>738</v>
      </c>
      <c r="Y53" s="13">
        <f t="shared" si="1"/>
        <v>0.93428067840643814</v>
      </c>
      <c r="Z53" s="5">
        <f t="shared" si="0"/>
        <v>0.12457075712085837</v>
      </c>
      <c r="AA53" s="357">
        <f t="shared" si="0"/>
        <v>2.4914151424171655E-2</v>
      </c>
      <c r="AB53" s="5">
        <f t="shared" si="0"/>
        <v>0.80970992128557917</v>
      </c>
      <c r="AC53" s="358">
        <f t="shared" si="0"/>
        <v>0.80970992128557917</v>
      </c>
      <c r="AD53" s="5">
        <f t="shared" si="0"/>
        <v>5.6056840704386254E-2</v>
      </c>
      <c r="AE53" s="13">
        <f t="shared" si="0"/>
        <v>6.6645355059659197</v>
      </c>
    </row>
    <row r="54" spans="1:31" x14ac:dyDescent="0.25">
      <c r="A54" s="812" t="s">
        <v>2001</v>
      </c>
      <c r="B54" s="812">
        <v>2104008310</v>
      </c>
      <c r="C54" s="812" t="s">
        <v>141</v>
      </c>
      <c r="D54" s="133">
        <v>2.1192892736941107</v>
      </c>
      <c r="E54" s="133">
        <v>5.8066232199728278E-2</v>
      </c>
      <c r="F54" s="133">
        <v>1.599463602788008E-2</v>
      </c>
      <c r="G54" s="133">
        <v>0.48551835164716245</v>
      </c>
      <c r="H54" s="133">
        <v>0.48551835164716245</v>
      </c>
      <c r="I54" s="133">
        <v>1.587581768424777E-2</v>
      </c>
      <c r="J54" s="133">
        <v>4.8452007780873245</v>
      </c>
      <c r="K54" s="45">
        <v>1283.9870614618719</v>
      </c>
      <c r="L54" s="134">
        <v>114.2483439002437</v>
      </c>
      <c r="M54" s="45" t="s">
        <v>738</v>
      </c>
      <c r="N54" s="133">
        <v>1.8445580550949485</v>
      </c>
      <c r="O54" s="133">
        <v>5.0538894176690732E-2</v>
      </c>
      <c r="P54" s="133">
        <v>1.3921192868641121E-2</v>
      </c>
      <c r="Q54" s="133">
        <v>0.4225788322262124</v>
      </c>
      <c r="R54" s="133">
        <v>0.4225788322262124</v>
      </c>
      <c r="S54" s="133">
        <v>1.3817777381401858E-2</v>
      </c>
      <c r="T54" s="133">
        <v>4.2170996827605567</v>
      </c>
      <c r="U54" s="45">
        <v>1117.5329740618663</v>
      </c>
      <c r="V54" s="134">
        <v>99.437913284540713</v>
      </c>
      <c r="W54" t="s">
        <v>738</v>
      </c>
      <c r="Y54" s="13">
        <f t="shared" si="1"/>
        <v>3.3011250637027456</v>
      </c>
      <c r="Z54" s="5">
        <f t="shared" si="0"/>
        <v>9.0447253637623612E-2</v>
      </c>
      <c r="AA54" s="357">
        <f t="shared" si="0"/>
        <v>2.4914151424171666E-2</v>
      </c>
      <c r="AB54" s="5">
        <f t="shared" si="0"/>
        <v>0.75627089675980974</v>
      </c>
      <c r="AC54" s="358">
        <f t="shared" si="0"/>
        <v>0.75627089675980974</v>
      </c>
      <c r="AD54" s="5">
        <f t="shared" si="0"/>
        <v>2.4729073239206111E-2</v>
      </c>
      <c r="AE54" s="13">
        <f t="shared" si="0"/>
        <v>7.5471592886119163</v>
      </c>
    </row>
    <row r="55" spans="1:31" x14ac:dyDescent="0.25">
      <c r="A55" s="812" t="s">
        <v>2001</v>
      </c>
      <c r="B55" s="812">
        <v>2104008320</v>
      </c>
      <c r="C55" s="812" t="s">
        <v>142</v>
      </c>
      <c r="D55" s="133">
        <v>1.010261025648211</v>
      </c>
      <c r="E55" s="133">
        <v>0.13544566508407033</v>
      </c>
      <c r="F55" s="133">
        <v>3.367536752160704E-2</v>
      </c>
      <c r="G55" s="133">
        <v>0.66720376453588115</v>
      </c>
      <c r="H55" s="133">
        <v>0.66720376453588115</v>
      </c>
      <c r="I55" s="133">
        <v>2.1025361894865535E-2</v>
      </c>
      <c r="J55" s="133">
        <v>10.40913595298008</v>
      </c>
      <c r="K55" s="45">
        <v>2703.3272974982224</v>
      </c>
      <c r="L55" s="134">
        <v>240.54032632373591</v>
      </c>
      <c r="M55" s="45" t="s">
        <v>738</v>
      </c>
      <c r="N55" s="133">
        <v>0.87929719445975885</v>
      </c>
      <c r="O55" s="133">
        <v>0.11788734820661149</v>
      </c>
      <c r="P55" s="133">
        <v>2.930990648199195E-2</v>
      </c>
      <c r="Q55" s="133">
        <v>0.58071170063495825</v>
      </c>
      <c r="R55" s="133">
        <v>0.58071170063495825</v>
      </c>
      <c r="S55" s="133">
        <v>1.8299767344577385E-2</v>
      </c>
      <c r="T55" s="133">
        <v>9.0597615941216354</v>
      </c>
      <c r="U55" s="45">
        <v>2352.8721474780427</v>
      </c>
      <c r="V55" s="134">
        <v>209.35820418805875</v>
      </c>
      <c r="W55" t="s">
        <v>738</v>
      </c>
      <c r="Y55" s="13">
        <f t="shared" si="1"/>
        <v>0.74742454272515002</v>
      </c>
      <c r="Z55" s="5">
        <f t="shared" si="0"/>
        <v>0.10020718578607904</v>
      </c>
      <c r="AA55" s="357">
        <f t="shared" si="0"/>
        <v>2.4914151424171655E-2</v>
      </c>
      <c r="AB55" s="5">
        <f t="shared" si="0"/>
        <v>0.49361942701170719</v>
      </c>
      <c r="AC55" s="358">
        <f t="shared" si="0"/>
        <v>0.49361942701170719</v>
      </c>
      <c r="AD55" s="5">
        <f t="shared" si="0"/>
        <v>1.5555258592518285E-2</v>
      </c>
      <c r="AE55" s="13">
        <f t="shared" si="0"/>
        <v>7.7010232824018603</v>
      </c>
    </row>
    <row r="56" spans="1:31" x14ac:dyDescent="0.25">
      <c r="A56" s="812" t="s">
        <v>2001</v>
      </c>
      <c r="B56" s="812">
        <v>2104008330</v>
      </c>
      <c r="C56" s="812" t="s">
        <v>143</v>
      </c>
      <c r="D56" s="133">
        <v>0.76031388342271566</v>
      </c>
      <c r="E56" s="133">
        <v>8.1548207442144138E-2</v>
      </c>
      <c r="F56" s="133">
        <v>2.0275036891272413E-2</v>
      </c>
      <c r="G56" s="133">
        <v>0.44572804005442018</v>
      </c>
      <c r="H56" s="133">
        <v>0.44572804005442018</v>
      </c>
      <c r="I56" s="133">
        <v>1.2658807295784761E-2</v>
      </c>
      <c r="J56" s="133">
        <v>6.2670619798738212</v>
      </c>
      <c r="K56" s="45">
        <v>1627.6009653285182</v>
      </c>
      <c r="L56" s="134">
        <v>144.82288832997173</v>
      </c>
      <c r="M56" s="45" t="s">
        <v>738</v>
      </c>
      <c r="N56" s="133">
        <v>0.66175161431516516</v>
      </c>
      <c r="O56" s="133">
        <v>7.0976815096961549E-2</v>
      </c>
      <c r="P56" s="133">
        <v>1.7646709715071065E-2</v>
      </c>
      <c r="Q56" s="133">
        <v>0.38794668423482676</v>
      </c>
      <c r="R56" s="133">
        <v>0.38794668423482676</v>
      </c>
      <c r="S56" s="133">
        <v>1.101779981391285E-2</v>
      </c>
      <c r="T56" s="133">
        <v>5.4546398173409854</v>
      </c>
      <c r="U56" s="45">
        <v>1416.6013053890545</v>
      </c>
      <c r="V56" s="134">
        <v>126.04896771148501</v>
      </c>
      <c r="W56" t="s">
        <v>738</v>
      </c>
      <c r="Y56" s="13">
        <f t="shared" si="1"/>
        <v>0.93428067840643714</v>
      </c>
      <c r="Z56" s="5">
        <f t="shared" si="0"/>
        <v>0.10020718578607907</v>
      </c>
      <c r="AA56" s="357">
        <f t="shared" si="0"/>
        <v>2.4914151424171648E-2</v>
      </c>
      <c r="AB56" s="5">
        <f t="shared" si="0"/>
        <v>0.54771470668422306</v>
      </c>
      <c r="AC56" s="358">
        <f t="shared" si="0"/>
        <v>0.54771470668422306</v>
      </c>
      <c r="AD56" s="5">
        <f t="shared" si="0"/>
        <v>1.5555258592518278E-2</v>
      </c>
      <c r="AE56" s="13">
        <f t="shared" si="0"/>
        <v>7.7010232824018567</v>
      </c>
    </row>
    <row r="57" spans="1:31" x14ac:dyDescent="0.25">
      <c r="A57" s="812" t="s">
        <v>2001</v>
      </c>
      <c r="B57" s="812">
        <v>2104008410</v>
      </c>
      <c r="C57" s="812" t="s">
        <v>144</v>
      </c>
      <c r="D57" s="133">
        <v>1.2739770006745817E-2</v>
      </c>
      <c r="E57" s="133">
        <v>2.2247607016207344E-2</v>
      </c>
      <c r="F57" s="133">
        <v>1.778030530765822E-3</v>
      </c>
      <c r="G57" s="133">
        <v>1.6446782409583856E-2</v>
      </c>
      <c r="H57" s="133">
        <v>1.6446782409583856E-2</v>
      </c>
      <c r="I57" s="133">
        <v>3.9939010797327296E-4</v>
      </c>
      <c r="J57" s="133">
        <v>5.5185622598644207E-2</v>
      </c>
      <c r="K57" s="45">
        <v>170.44984983453952</v>
      </c>
      <c r="L57" s="134">
        <v>15.1665181419117</v>
      </c>
      <c r="M57" s="45" t="s">
        <v>738</v>
      </c>
      <c r="N57" s="133">
        <v>1.1088267032578676E-2</v>
      </c>
      <c r="O57" s="133">
        <v>1.9363568361199218E-2</v>
      </c>
      <c r="P57" s="133">
        <v>1.5475379309649723E-3</v>
      </c>
      <c r="Q57" s="133">
        <v>1.4314725861425995E-2</v>
      </c>
      <c r="R57" s="133">
        <v>1.4314725861425995E-2</v>
      </c>
      <c r="S57" s="133">
        <v>3.4761570774300706E-4</v>
      </c>
      <c r="T57" s="133">
        <v>4.8031708532325343E-2</v>
      </c>
      <c r="U57" s="45">
        <v>148.35299617203182</v>
      </c>
      <c r="V57" s="134">
        <v>13.20042693258342</v>
      </c>
      <c r="W57" t="s">
        <v>738</v>
      </c>
      <c r="Y57" s="13">
        <f t="shared" si="1"/>
        <v>0.14948490854502994</v>
      </c>
      <c r="Z57" s="5">
        <f t="shared" si="0"/>
        <v>0.26104721658260283</v>
      </c>
      <c r="AA57" s="357">
        <f t="shared" si="0"/>
        <v>2.0862914412196027E-2</v>
      </c>
      <c r="AB57" s="5">
        <f t="shared" si="0"/>
        <v>0.19298195831281326</v>
      </c>
      <c r="AC57" s="358">
        <f t="shared" si="0"/>
        <v>0.19298195831281326</v>
      </c>
      <c r="AD57" s="5">
        <f t="shared" si="0"/>
        <v>4.6863321498395345E-3</v>
      </c>
      <c r="AE57" s="13">
        <f t="shared" si="0"/>
        <v>0.64753270606853441</v>
      </c>
    </row>
    <row r="58" spans="1:31" x14ac:dyDescent="0.25">
      <c r="A58" s="812" t="s">
        <v>2001</v>
      </c>
      <c r="B58" s="812">
        <v>2104008420</v>
      </c>
      <c r="C58" s="812" t="s">
        <v>145</v>
      </c>
      <c r="D58" s="133">
        <v>4.2971640166925687E-2</v>
      </c>
      <c r="E58" s="133">
        <v>7.5041869890069821E-2</v>
      </c>
      <c r="F58" s="133">
        <v>5.9973522389666217E-3</v>
      </c>
      <c r="G58" s="133">
        <v>5.5475508210441227E-2</v>
      </c>
      <c r="H58" s="133">
        <v>5.5475508210441227E-2</v>
      </c>
      <c r="I58" s="133">
        <v>1.3471552466778774E-3</v>
      </c>
      <c r="J58" s="133">
        <v>0.1861428201169264</v>
      </c>
      <c r="K58" s="45">
        <v>574.93264083401493</v>
      </c>
      <c r="L58" s="134">
        <v>51.157137046766415</v>
      </c>
      <c r="M58" s="45" t="s">
        <v>738</v>
      </c>
      <c r="N58" s="133">
        <v>3.7401069308665325E-2</v>
      </c>
      <c r="O58" s="133">
        <v>6.5313917874853619E-2</v>
      </c>
      <c r="P58" s="133">
        <v>5.2198935364518393E-3</v>
      </c>
      <c r="Q58" s="133">
        <v>4.8284015212179503E-2</v>
      </c>
      <c r="R58" s="133">
        <v>4.8284015212179503E-2</v>
      </c>
      <c r="S58" s="133">
        <v>1.1725185856254947E-3</v>
      </c>
      <c r="T58" s="133">
        <v>0.16201244563762396</v>
      </c>
      <c r="U58" s="45">
        <v>500.39926669117693</v>
      </c>
      <c r="V58" s="134">
        <v>44.525450294346669</v>
      </c>
      <c r="W58" t="s">
        <v>738</v>
      </c>
      <c r="Y58" s="13">
        <f t="shared" si="1"/>
        <v>0.14948490854502997</v>
      </c>
      <c r="Z58" s="5">
        <f t="shared" si="0"/>
        <v>0.26104721658260271</v>
      </c>
      <c r="AA58" s="357">
        <f t="shared" si="0"/>
        <v>2.0862914412196027E-2</v>
      </c>
      <c r="AB58" s="5">
        <f t="shared" si="0"/>
        <v>0.19298195831281323</v>
      </c>
      <c r="AC58" s="358">
        <f t="shared" si="0"/>
        <v>0.19298195831281323</v>
      </c>
      <c r="AD58" s="5">
        <f t="shared" si="0"/>
        <v>4.6863321498395345E-3</v>
      </c>
      <c r="AE58" s="13">
        <f t="shared" si="0"/>
        <v>0.64753270606853419</v>
      </c>
    </row>
    <row r="59" spans="1:31" x14ac:dyDescent="0.25">
      <c r="A59" s="812" t="s">
        <v>2001</v>
      </c>
      <c r="B59" s="812">
        <v>2104008610</v>
      </c>
      <c r="C59" s="812" t="s">
        <v>146</v>
      </c>
      <c r="D59" s="133">
        <v>1.2068451083375953</v>
      </c>
      <c r="E59" s="133">
        <v>4.2870474607545041E-2</v>
      </c>
      <c r="F59" s="133">
        <v>1.0632996549229912E-2</v>
      </c>
      <c r="G59" s="133">
        <v>0.26237323249908617</v>
      </c>
      <c r="H59" s="133">
        <v>0.26237323249908617</v>
      </c>
      <c r="I59" s="133">
        <v>6.4797100730550946E-3</v>
      </c>
      <c r="J59" s="133">
        <v>1.6101192193521225</v>
      </c>
      <c r="K59" s="45">
        <v>853.27810186449506</v>
      </c>
      <c r="L59" s="134">
        <v>75.950602710121998</v>
      </c>
      <c r="M59" s="45" t="s">
        <v>738</v>
      </c>
      <c r="N59" s="133">
        <v>1.1034409865075812</v>
      </c>
      <c r="O59" s="133">
        <v>3.9197274336355767E-2</v>
      </c>
      <c r="P59" s="133">
        <v>9.7219470176879395E-3</v>
      </c>
      <c r="Q59" s="133">
        <v>0.239892738928837</v>
      </c>
      <c r="R59" s="133">
        <v>0.239892738928837</v>
      </c>
      <c r="S59" s="133">
        <v>5.9245197464850964E-3</v>
      </c>
      <c r="T59" s="133">
        <v>1.4721620260317012</v>
      </c>
      <c r="U59" s="45">
        <v>780.1678336742666</v>
      </c>
      <c r="V59" s="134">
        <v>69.443052303327363</v>
      </c>
      <c r="W59" t="s">
        <v>738</v>
      </c>
      <c r="Y59" s="13">
        <f t="shared" si="1"/>
        <v>2.8287272017120526</v>
      </c>
      <c r="Z59" s="5">
        <f t="shared" si="0"/>
        <v>0.10048421030575659</v>
      </c>
      <c r="AA59" s="357">
        <f t="shared" si="0"/>
        <v>2.4922706623013678E-2</v>
      </c>
      <c r="AB59" s="5">
        <f t="shared" si="0"/>
        <v>0.61497726149267595</v>
      </c>
      <c r="AC59" s="358">
        <f t="shared" si="0"/>
        <v>0.61497726149267595</v>
      </c>
      <c r="AD59" s="5">
        <f t="shared" si="0"/>
        <v>1.518780829141101E-2</v>
      </c>
      <c r="AE59" s="13">
        <f t="shared" si="0"/>
        <v>3.7739623770398971</v>
      </c>
    </row>
    <row r="60" spans="1:31" x14ac:dyDescent="0.25">
      <c r="A60" s="812" t="s">
        <v>2001</v>
      </c>
      <c r="B60" s="812">
        <v>2104004000</v>
      </c>
      <c r="C60" s="812" t="s">
        <v>568</v>
      </c>
      <c r="D60" s="133">
        <v>8.8970375095838022E-2</v>
      </c>
      <c r="E60" s="133">
        <v>1.3940034395546128</v>
      </c>
      <c r="F60" s="133">
        <v>3.6065543897397223</v>
      </c>
      <c r="G60" s="133">
        <v>5.6975617420488261E-2</v>
      </c>
      <c r="H60" s="133">
        <v>5.6975617420488261E-2</v>
      </c>
      <c r="I60" s="133">
        <v>3.0567418746091958E-3</v>
      </c>
      <c r="J60" s="133">
        <v>5.5883584753262258E-2</v>
      </c>
      <c r="K60" s="45">
        <v>33494.453992429917</v>
      </c>
      <c r="L60" s="134">
        <v>249.56626955354295</v>
      </c>
      <c r="M60" s="45" t="s">
        <v>1997</v>
      </c>
      <c r="N60" s="133">
        <v>8.2167458407040136E-2</v>
      </c>
      <c r="O60" s="133">
        <v>1.2874141478609176</v>
      </c>
      <c r="P60" s="133">
        <v>3.3307874389924792</v>
      </c>
      <c r="Q60" s="133">
        <v>5.2619106860800471E-2</v>
      </c>
      <c r="R60" s="133">
        <v>5.2619106860800471E-2</v>
      </c>
      <c r="S60" s="133">
        <v>2.8230150830819453E-3</v>
      </c>
      <c r="T60" s="133">
        <v>5.1610573979301792E-2</v>
      </c>
      <c r="U60" s="45">
        <v>30933.37700695216</v>
      </c>
      <c r="V60" s="134">
        <v>230.48375429744786</v>
      </c>
      <c r="W60" t="s">
        <v>1997</v>
      </c>
      <c r="Y60" s="13">
        <f t="shared" si="1"/>
        <v>5.3125436895281953E-3</v>
      </c>
      <c r="Z60" s="5">
        <f t="shared" si="0"/>
        <v>8.3237866177467534E-2</v>
      </c>
      <c r="AA60" s="357">
        <f t="shared" si="0"/>
        <v>0.21535233209383492</v>
      </c>
      <c r="AB60" s="5">
        <f t="shared" si="0"/>
        <v>3.4020926230572579E-3</v>
      </c>
      <c r="AC60" s="358">
        <f t="shared" si="0"/>
        <v>3.4020926230572579E-3</v>
      </c>
      <c r="AD60" s="5">
        <f t="shared" si="0"/>
        <v>1.825222692270219E-4</v>
      </c>
      <c r="AE60" s="13">
        <f t="shared" si="0"/>
        <v>3.3368858477819939E-3</v>
      </c>
    </row>
    <row r="61" spans="1:31" x14ac:dyDescent="0.25">
      <c r="A61" s="812" t="s">
        <v>2001</v>
      </c>
      <c r="B61" s="812">
        <v>2103004001</v>
      </c>
      <c r="C61" s="812" t="s">
        <v>148</v>
      </c>
      <c r="D61" s="133">
        <v>2.7504420498886351E-2</v>
      </c>
      <c r="E61" s="133">
        <v>0.69436124681620526</v>
      </c>
      <c r="F61" s="133">
        <v>0.49080538974955235</v>
      </c>
      <c r="G61" s="133">
        <v>1.7613518410243171E-2</v>
      </c>
      <c r="H61" s="133">
        <v>1.7613518410243171E-2</v>
      </c>
      <c r="I61" s="133">
        <v>9.4496526270954658E-4</v>
      </c>
      <c r="J61" s="133">
        <v>1.7275925974046841E-2</v>
      </c>
      <c r="K61" s="45">
        <v>10685.448076004941</v>
      </c>
      <c r="L61" s="134">
        <v>79.616984215934465</v>
      </c>
      <c r="M61" s="45" t="s">
        <v>1997</v>
      </c>
      <c r="N61" s="133">
        <v>2.7042997195561563E-2</v>
      </c>
      <c r="O61" s="133">
        <v>0.68271241166915586</v>
      </c>
      <c r="P61" s="133">
        <v>0.48257147534161138</v>
      </c>
      <c r="Q61" s="133">
        <v>1.731802816901612E-2</v>
      </c>
      <c r="R61" s="133">
        <v>1.731802816901612E-2</v>
      </c>
      <c r="S61" s="133">
        <v>9.2911221126771486E-4</v>
      </c>
      <c r="T61" s="133">
        <v>1.698609929577664E-2</v>
      </c>
      <c r="U61" s="45">
        <v>10506.185446242012</v>
      </c>
      <c r="V61" s="134">
        <v>78.281303216614333</v>
      </c>
      <c r="W61" t="s">
        <v>1997</v>
      </c>
      <c r="Y61" s="13">
        <f t="shared" si="1"/>
        <v>5.1480144404332118E-3</v>
      </c>
      <c r="Z61" s="5">
        <f t="shared" si="0"/>
        <v>0.12996389891696747</v>
      </c>
      <c r="AA61" s="357">
        <f t="shared" si="0"/>
        <v>9.1864259927797814E-2</v>
      </c>
      <c r="AB61" s="5">
        <f t="shared" si="0"/>
        <v>3.2967299611507722E-3</v>
      </c>
      <c r="AC61" s="358">
        <f t="shared" si="0"/>
        <v>3.2967299611507722E-3</v>
      </c>
      <c r="AD61" s="5">
        <f t="shared" si="0"/>
        <v>1.7686956241573894E-4</v>
      </c>
      <c r="AE61" s="13">
        <f t="shared" si="0"/>
        <v>3.2335426368953818E-3</v>
      </c>
    </row>
    <row r="62" spans="1:31" x14ac:dyDescent="0.25">
      <c r="A62" s="812" t="s">
        <v>2001</v>
      </c>
      <c r="B62" s="812">
        <v>2104004000</v>
      </c>
      <c r="C62" s="812" t="s">
        <v>746</v>
      </c>
      <c r="D62" s="133">
        <v>5.933760600236763E-4</v>
      </c>
      <c r="E62" s="133">
        <v>1.4980040786011469E-2</v>
      </c>
      <c r="F62" s="133">
        <v>2.4053433873237207E-2</v>
      </c>
      <c r="G62" s="133">
        <v>3.3288979524469931E-4</v>
      </c>
      <c r="H62" s="133">
        <v>3.3288979524469931E-4</v>
      </c>
      <c r="I62" s="133">
        <v>2.038653257459223E-5</v>
      </c>
      <c r="J62" s="133">
        <v>3.7270812116022126E-4</v>
      </c>
      <c r="K62" s="45">
        <v>228.02118749773788</v>
      </c>
      <c r="L62" s="134">
        <v>1.6644489762234969</v>
      </c>
      <c r="M62" s="45" t="s">
        <v>1997</v>
      </c>
      <c r="N62" s="133">
        <v>5.6027330658462381E-4</v>
      </c>
      <c r="O62" s="133">
        <v>1.4144347150803972E-2</v>
      </c>
      <c r="P62" s="133">
        <v>2.2711561585978843E-2</v>
      </c>
      <c r="Q62" s="133">
        <v>3.1431882557342143E-4</v>
      </c>
      <c r="R62" s="133">
        <v>3.1431882557342143E-4</v>
      </c>
      <c r="S62" s="133">
        <v>1.924922622410176E-5</v>
      </c>
      <c r="T62" s="133">
        <v>3.5191580095942477E-4</v>
      </c>
      <c r="U62" s="45">
        <v>215.30053754715436</v>
      </c>
      <c r="V62" s="134">
        <v>1.5715941278671075</v>
      </c>
      <c r="W62" t="s">
        <v>1997</v>
      </c>
      <c r="Y62" s="13">
        <f t="shared" si="1"/>
        <v>5.2045695098361265E-3</v>
      </c>
      <c r="Z62" s="5">
        <f t="shared" si="0"/>
        <v>0.13139165662980407</v>
      </c>
      <c r="AA62" s="357">
        <f t="shared" si="0"/>
        <v>0.21097542853096349</v>
      </c>
      <c r="AB62" s="5">
        <f t="shared" si="0"/>
        <v>2.9198145917734221E-3</v>
      </c>
      <c r="AC62" s="358">
        <f t="shared" si="0"/>
        <v>2.9198145917734221E-3</v>
      </c>
      <c r="AD62" s="5">
        <f t="shared" si="0"/>
        <v>1.7881261647928644E-4</v>
      </c>
      <c r="AE62" s="13">
        <f t="shared" si="0"/>
        <v>3.2690656973612935E-3</v>
      </c>
    </row>
    <row r="63" spans="1:31" x14ac:dyDescent="0.25">
      <c r="A63" s="812" t="s">
        <v>2001</v>
      </c>
      <c r="B63" s="812">
        <v>2104004000</v>
      </c>
      <c r="C63" s="812" t="s">
        <v>747</v>
      </c>
      <c r="D63" s="133">
        <v>2.2927114011145116E-3</v>
      </c>
      <c r="E63" s="133">
        <v>3.5922604300779377E-2</v>
      </c>
      <c r="F63" s="133">
        <v>9.2938670419100658E-2</v>
      </c>
      <c r="G63" s="133">
        <v>1.4682263338193207E-3</v>
      </c>
      <c r="H63" s="133">
        <v>1.4682263338193207E-3</v>
      </c>
      <c r="I63" s="133">
        <v>7.8770342809406573E-5</v>
      </c>
      <c r="J63" s="133">
        <v>1.440085329087784E-3</v>
      </c>
      <c r="K63" s="45">
        <v>803.89600319583212</v>
      </c>
      <c r="L63" s="134">
        <v>6.431168025566655</v>
      </c>
      <c r="M63" s="45" t="s">
        <v>1997</v>
      </c>
      <c r="N63" s="133">
        <v>1.9001746642384968E-3</v>
      </c>
      <c r="O63" s="133">
        <v>2.9772269869039896E-2</v>
      </c>
      <c r="P63" s="133">
        <v>7.7026575072876538E-2</v>
      </c>
      <c r="Q63" s="133">
        <v>1.2168502671269714E-3</v>
      </c>
      <c r="R63" s="133">
        <v>1.2168502671269714E-3</v>
      </c>
      <c r="S63" s="133">
        <v>6.5284016831362008E-5</v>
      </c>
      <c r="T63" s="133">
        <v>1.1935273036737047E-3</v>
      </c>
      <c r="U63" s="45">
        <v>666.26040120564414</v>
      </c>
      <c r="V63" s="134">
        <v>5.3300832096451538</v>
      </c>
      <c r="W63" t="s">
        <v>1997</v>
      </c>
      <c r="Y63" s="13">
        <f t="shared" si="1"/>
        <v>5.703999999999999E-3</v>
      </c>
      <c r="Z63" s="5">
        <f t="shared" si="0"/>
        <v>8.9371272298833682E-2</v>
      </c>
      <c r="AA63" s="357">
        <f t="shared" si="0"/>
        <v>0.23122063065279475</v>
      </c>
      <c r="AB63" s="5">
        <f t="shared" si="0"/>
        <v>3.6527767969550553E-3</v>
      </c>
      <c r="AC63" s="358">
        <f t="shared" si="0"/>
        <v>3.6527767969550553E-3</v>
      </c>
      <c r="AD63" s="5">
        <f t="shared" si="0"/>
        <v>1.959714751566387E-4</v>
      </c>
      <c r="AE63" s="13">
        <f t="shared" si="0"/>
        <v>3.5827652416800838E-3</v>
      </c>
    </row>
    <row r="64" spans="1:31" x14ac:dyDescent="0.25">
      <c r="A64" s="812" t="s">
        <v>2001</v>
      </c>
      <c r="B64" s="812">
        <v>2104006010</v>
      </c>
      <c r="C64" s="812" t="s">
        <v>149</v>
      </c>
      <c r="D64" s="133">
        <v>6.4990552711092738E-4</v>
      </c>
      <c r="E64" s="133">
        <v>1.1107476281532223E-2</v>
      </c>
      <c r="F64" s="133">
        <v>7.0898784775737624E-5</v>
      </c>
      <c r="G64" s="133">
        <v>5.8529310125197163E-6</v>
      </c>
      <c r="H64" s="133">
        <v>5.8529310125197163E-6</v>
      </c>
      <c r="I64" s="133">
        <v>2.363292825857918E-3</v>
      </c>
      <c r="J64" s="133">
        <v>4.726585651715836E-3</v>
      </c>
      <c r="K64" s="45">
        <v>291.73882732240446</v>
      </c>
      <c r="L64" s="134">
        <v>287.42741608118672</v>
      </c>
      <c r="M64" s="45" t="s">
        <v>1998</v>
      </c>
      <c r="N64" s="133">
        <v>6.4990552711092738E-4</v>
      </c>
      <c r="O64" s="133">
        <v>1.1107476281532223E-2</v>
      </c>
      <c r="P64" s="133">
        <v>7.0898784775737624E-5</v>
      </c>
      <c r="Q64" s="133">
        <v>5.8529310125197163E-6</v>
      </c>
      <c r="R64" s="133">
        <v>5.8529310125197163E-6</v>
      </c>
      <c r="S64" s="133">
        <v>2.363292825857918E-3</v>
      </c>
      <c r="T64" s="133">
        <v>4.726585651715836E-3</v>
      </c>
      <c r="U64" s="45">
        <v>291.73882732240446</v>
      </c>
      <c r="V64" s="134">
        <v>287.42741608118672</v>
      </c>
      <c r="W64" t="s">
        <v>1998</v>
      </c>
      <c r="Y64" s="13">
        <f t="shared" si="1"/>
        <v>4.4553927434054447E-3</v>
      </c>
      <c r="Z64" s="5">
        <f t="shared" si="0"/>
        <v>7.6146712341838563E-2</v>
      </c>
      <c r="AA64" s="357">
        <f t="shared" si="0"/>
        <v>4.8604284473513997E-4</v>
      </c>
      <c r="AB64" s="5">
        <f t="shared" si="0"/>
        <v>4.0124456975701519E-5</v>
      </c>
      <c r="AC64" s="358">
        <f t="shared" si="0"/>
        <v>4.0124456975701519E-5</v>
      </c>
      <c r="AD64" s="5">
        <f t="shared" si="0"/>
        <v>1.6201428157837979E-2</v>
      </c>
      <c r="AE64" s="13">
        <f t="shared" si="0"/>
        <v>3.2402856315675958E-2</v>
      </c>
    </row>
    <row r="65" spans="1:31" x14ac:dyDescent="0.25">
      <c r="A65" s="812" t="s">
        <v>2001</v>
      </c>
      <c r="B65" s="812">
        <v>2103006000</v>
      </c>
      <c r="C65" s="812" t="s">
        <v>150</v>
      </c>
      <c r="D65" s="133">
        <v>7.2943884387197452E-3</v>
      </c>
      <c r="E65" s="133">
        <v>0.13262524434035905</v>
      </c>
      <c r="F65" s="133">
        <v>7.9575146604215379E-4</v>
      </c>
      <c r="G65" s="133">
        <v>1.007951856986729E-2</v>
      </c>
      <c r="H65" s="133">
        <v>1.007951856986729E-2</v>
      </c>
      <c r="I65" s="133">
        <v>2.6525048868071836E-2</v>
      </c>
      <c r="J65" s="133">
        <v>5.3050097736143671E-2</v>
      </c>
      <c r="K65" s="45">
        <v>2692.2924601092896</v>
      </c>
      <c r="L65" s="134">
        <v>2652.5048868071826</v>
      </c>
      <c r="M65" s="45" t="s">
        <v>1998</v>
      </c>
      <c r="N65" s="133">
        <v>7.2943884387197452E-3</v>
      </c>
      <c r="O65" s="133">
        <v>0.13262524434035905</v>
      </c>
      <c r="P65" s="133">
        <v>7.9575146604215379E-4</v>
      </c>
      <c r="Q65" s="133">
        <v>1.007951856986729E-2</v>
      </c>
      <c r="R65" s="133">
        <v>1.007951856986729E-2</v>
      </c>
      <c r="S65" s="133">
        <v>2.6525048868071836E-2</v>
      </c>
      <c r="T65" s="133">
        <v>5.3050097736143671E-2</v>
      </c>
      <c r="U65" s="45">
        <v>2692.2924601092896</v>
      </c>
      <c r="V65" s="134">
        <v>2652.5048868071826</v>
      </c>
      <c r="W65" t="s">
        <v>1998</v>
      </c>
      <c r="Y65" s="13">
        <f t="shared" si="1"/>
        <v>5.4187192118226564E-3</v>
      </c>
      <c r="Z65" s="5">
        <f t="shared" si="0"/>
        <v>9.8522167487684692E-2</v>
      </c>
      <c r="AA65" s="357">
        <f t="shared" si="0"/>
        <v>5.9113300492610779E-4</v>
      </c>
      <c r="AB65" s="5">
        <f t="shared" si="0"/>
        <v>7.4876847290640388E-3</v>
      </c>
      <c r="AC65" s="358">
        <f t="shared" si="0"/>
        <v>7.4876847290640388E-3</v>
      </c>
      <c r="AD65" s="5">
        <f t="shared" si="0"/>
        <v>1.970443349753696E-2</v>
      </c>
      <c r="AE65" s="13">
        <f t="shared" si="0"/>
        <v>3.940886699507392E-2</v>
      </c>
    </row>
    <row r="66" spans="1:31" x14ac:dyDescent="0.25">
      <c r="A66" s="812" t="s">
        <v>2001</v>
      </c>
      <c r="B66" s="812">
        <v>2104002000</v>
      </c>
      <c r="C66" s="812" t="s">
        <v>151</v>
      </c>
      <c r="D66" s="133">
        <v>0.13390175535942855</v>
      </c>
      <c r="E66" s="133">
        <v>6.3201628529650264E-2</v>
      </c>
      <c r="F66" s="133">
        <v>0.12452863248426849</v>
      </c>
      <c r="G66" s="133">
        <v>0.10698750253218334</v>
      </c>
      <c r="H66" s="133">
        <v>0.10698750253218334</v>
      </c>
      <c r="I66" s="133">
        <v>1.6951292719726858E-2</v>
      </c>
      <c r="J66" s="133">
        <v>1.7484221706057379</v>
      </c>
      <c r="K66" s="45">
        <v>407.0613362926627</v>
      </c>
      <c r="L66" s="134">
        <v>26.780351071885701</v>
      </c>
      <c r="M66" s="45" t="s">
        <v>738</v>
      </c>
      <c r="N66" s="133">
        <v>0.11738966705329928</v>
      </c>
      <c r="O66" s="133">
        <v>5.540792284915725E-2</v>
      </c>
      <c r="P66" s="133">
        <v>0.10917239035956829</v>
      </c>
      <c r="Q66" s="133">
        <v>9.37943439755861E-2</v>
      </c>
      <c r="R66" s="133">
        <v>9.37943439755861E-2</v>
      </c>
      <c r="S66" s="133">
        <v>1.4860944900612421E-2</v>
      </c>
      <c r="T66" s="133">
        <v>1.5328155775484553</v>
      </c>
      <c r="U66" s="45">
        <v>356.86458784202961</v>
      </c>
      <c r="V66" s="134">
        <v>23.477933410659848</v>
      </c>
      <c r="W66" t="s">
        <v>738</v>
      </c>
      <c r="Y66" s="13">
        <f t="shared" si="1"/>
        <v>0.65789473684210564</v>
      </c>
      <c r="Z66" s="5">
        <f t="shared" si="1"/>
        <v>0.31052631578947382</v>
      </c>
      <c r="AA66" s="357">
        <f t="shared" si="1"/>
        <v>0.61184210526315808</v>
      </c>
      <c r="AB66" s="5">
        <f t="shared" si="1"/>
        <v>0.52565789473684221</v>
      </c>
      <c r="AC66" s="358">
        <f t="shared" si="1"/>
        <v>0.52565789473684221</v>
      </c>
      <c r="AD66" s="5">
        <f t="shared" si="1"/>
        <v>8.3286184210526346E-2</v>
      </c>
      <c r="AE66" s="13">
        <f t="shared" si="1"/>
        <v>8.5904605263157947</v>
      </c>
    </row>
    <row r="67" spans="1:31" x14ac:dyDescent="0.25">
      <c r="A67" s="812" t="s">
        <v>2001</v>
      </c>
      <c r="B67" s="812">
        <v>2103002000</v>
      </c>
      <c r="C67" s="812" t="s">
        <v>152</v>
      </c>
      <c r="D67" s="133">
        <v>3.4838015202202628E-4</v>
      </c>
      <c r="E67" s="133">
        <v>1.6443543175439639E-4</v>
      </c>
      <c r="F67" s="133">
        <v>3.2399354138048446E-4</v>
      </c>
      <c r="G67" s="133">
        <v>2.7835574146559898E-4</v>
      </c>
      <c r="H67" s="133">
        <v>2.7835574146559898E-4</v>
      </c>
      <c r="I67" s="133">
        <v>4.4103185345228465E-5</v>
      </c>
      <c r="J67" s="133">
        <v>4.5489738350276074E-3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4.2988351853972661E-3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2.9937064250054856E-4</v>
      </c>
      <c r="H68" s="133">
        <v>2.9937064250054856E-4</v>
      </c>
      <c r="I68" s="133">
        <v>1.0961826058757602E-5</v>
      </c>
      <c r="J68" s="133">
        <v>2.1293167390460895E-3</v>
      </c>
      <c r="K68" s="45">
        <v>9.6654102131207296</v>
      </c>
      <c r="L68" s="134">
        <v>0.79814120981799463</v>
      </c>
      <c r="M68" s="45" t="s">
        <v>738</v>
      </c>
      <c r="N68" s="133">
        <v>8.7269646582558802E-4</v>
      </c>
      <c r="O68" s="133">
        <v>3.5510956409239786E-5</v>
      </c>
      <c r="P68" s="133">
        <v>7.5369704121824456E-6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2.3729271934124708E-2</v>
      </c>
      <c r="F69" s="135">
        <v>1.6802202817214628E-2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2.3729271934124708E-2</v>
      </c>
      <c r="P69" s="135">
        <v>1.6802202817214628E-2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0.37693099395384783</v>
      </c>
      <c r="AA69" s="361">
        <f t="shared" si="1"/>
        <v>0.26689697964980841</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10.430748898519868</v>
      </c>
      <c r="E70" s="137">
        <v>2.8589323337293435</v>
      </c>
      <c r="F70" s="137">
        <v>4.457108027235595</v>
      </c>
      <c r="G70" s="137">
        <v>3.0004975323936063</v>
      </c>
      <c r="H70" s="137">
        <v>3.0004975323936063</v>
      </c>
      <c r="I70" s="137">
        <v>0.15504396016659427</v>
      </c>
      <c r="J70" s="137">
        <v>31.893124046426433</v>
      </c>
      <c r="K70" s="87">
        <v>56921.236030786124</v>
      </c>
      <c r="L70" s="87"/>
      <c r="M70" s="87"/>
      <c r="N70" s="137">
        <v>9.3932271245261898</v>
      </c>
      <c r="O70" s="137">
        <v>2.667278871541463</v>
      </c>
      <c r="P70" s="137">
        <v>4.1283922370161692</v>
      </c>
      <c r="Q70" s="137">
        <v>2.6684158267578719</v>
      </c>
      <c r="R70" s="137">
        <v>2.6684158267578719</v>
      </c>
      <c r="S70" s="137">
        <v>0.14133524897179139</v>
      </c>
      <c r="T70" s="137">
        <v>28.131871071726465</v>
      </c>
      <c r="U70" s="87">
        <v>52991.803244857532</v>
      </c>
      <c r="Y70" s="13">
        <f t="shared" si="1"/>
        <v>0.35451622890140971</v>
      </c>
      <c r="Z70" s="5">
        <f t="shared" si="1"/>
        <v>0.1006676017125461</v>
      </c>
      <c r="AA70" s="357">
        <f t="shared" si="1"/>
        <v>0.15581248360016128</v>
      </c>
      <c r="AB70" s="5">
        <f t="shared" si="1"/>
        <v>0.10071051231934902</v>
      </c>
      <c r="AC70" s="358">
        <f t="shared" si="1"/>
        <v>0.10071051231934902</v>
      </c>
      <c r="AD70" s="5">
        <f t="shared" si="1"/>
        <v>5.3342305910492657E-3</v>
      </c>
      <c r="AE70" s="13">
        <f t="shared" si="1"/>
        <v>1.0617442453029358</v>
      </c>
    </row>
    <row r="71" spans="1:31" x14ac:dyDescent="0.25">
      <c r="R71" s="133"/>
      <c r="T71" s="1" t="s">
        <v>1452</v>
      </c>
      <c r="U71" s="45">
        <f>SUM(U50:U60,U62:U64,U66)</f>
        <v>39644.392017768652</v>
      </c>
      <c r="V71" t="s">
        <v>2002</v>
      </c>
    </row>
    <row r="72" spans="1:31" x14ac:dyDescent="0.25">
      <c r="L72" s="134"/>
      <c r="U72" s="45">
        <f ca="1">U71/OFFSET(Devices!$BH$41,0,MATCH(VALUE(RIGHT(A2,4)),Devices!$BI$39:$CG$39,0))*10^6</f>
        <v>940876.64833092329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7.6064819683364684</v>
      </c>
      <c r="O74" s="133">
        <f t="shared" si="2"/>
        <v>0.20047218582142617</v>
      </c>
      <c r="P74" s="133">
        <f t="shared" si="2"/>
        <v>0.14127477798269455</v>
      </c>
      <c r="Q74" s="133">
        <f>SUM(Q50,Q51,Q54, Q59,Q66)</f>
        <v>1.4811311609627804</v>
      </c>
      <c r="R74" s="133">
        <f t="shared" ref="R74:U74" si="3">SUM(R50,R51,R54, R59,R66)</f>
        <v>1.4811311609627804</v>
      </c>
      <c r="S74" s="133">
        <f t="shared" si="3"/>
        <v>7.2498364759066458E-2</v>
      </c>
      <c r="T74" s="133">
        <f t="shared" si="3"/>
        <v>12.526706957593714</v>
      </c>
      <c r="U74" s="45">
        <f t="shared" si="3"/>
        <v>2933.7483018156963</v>
      </c>
      <c r="Y74" s="13">
        <f t="shared" ref="Y74:AE80" si="4">N74/$U74*2000</f>
        <v>5.1855041304182894</v>
      </c>
      <c r="Z74" s="5">
        <f t="shared" si="4"/>
        <v>0.13666624754233617</v>
      </c>
      <c r="AA74" s="357">
        <f t="shared" si="4"/>
        <v>9.6310087607215392E-2</v>
      </c>
      <c r="AB74" s="5">
        <f t="shared" si="4"/>
        <v>1.0097193137162508</v>
      </c>
      <c r="AC74" s="358">
        <f t="shared" si="4"/>
        <v>1.0097193137162508</v>
      </c>
      <c r="AD74" s="5">
        <f t="shared" si="4"/>
        <v>4.9423711443955319E-2</v>
      </c>
      <c r="AE74" s="13">
        <f t="shared" si="4"/>
        <v>8.5397284762574461</v>
      </c>
    </row>
    <row r="75" spans="1:31" x14ac:dyDescent="0.25">
      <c r="M75" s="1" t="s">
        <v>2006</v>
      </c>
      <c r="N75" s="133">
        <f t="shared" ref="N75:U75" si="5">SUM(N52:N53,N55:N56)</f>
        <v>1.6169841616799752</v>
      </c>
      <c r="O75" s="133">
        <f t="shared" si="5"/>
        <v>0.20043312595370996</v>
      </c>
      <c r="P75" s="133">
        <f t="shared" si="5"/>
        <v>4.9270408727090403E-2</v>
      </c>
      <c r="Q75" s="133">
        <f t="shared" si="5"/>
        <v>1.0402460197720165</v>
      </c>
      <c r="R75" s="133">
        <f t="shared" si="5"/>
        <v>1.0402460197720165</v>
      </c>
      <c r="S75" s="133">
        <f t="shared" si="5"/>
        <v>3.4523600351051849E-2</v>
      </c>
      <c r="T75" s="133">
        <f t="shared" si="5"/>
        <v>15.255379947784608</v>
      </c>
      <c r="U75" s="45">
        <f t="shared" si="5"/>
        <v>3955.2146800623805</v>
      </c>
      <c r="Y75" s="13">
        <f t="shared" si="4"/>
        <v>0.81764672336545463</v>
      </c>
      <c r="Z75" s="5">
        <f t="shared" si="4"/>
        <v>0.10135132586560322</v>
      </c>
      <c r="AA75" s="357">
        <f t="shared" si="4"/>
        <v>2.4914151424171659E-2</v>
      </c>
      <c r="AB75" s="5">
        <f t="shared" si="4"/>
        <v>0.52601241849942271</v>
      </c>
      <c r="AC75" s="358">
        <f t="shared" si="4"/>
        <v>0.52601241849942271</v>
      </c>
      <c r="AD75" s="5">
        <f t="shared" si="4"/>
        <v>1.7457257389885773E-2</v>
      </c>
      <c r="AE75" s="13">
        <f t="shared" si="4"/>
        <v>7.7140591253792596</v>
      </c>
    </row>
    <row r="76" spans="1:31" x14ac:dyDescent="0.25">
      <c r="M76" s="1" t="s">
        <v>2007</v>
      </c>
      <c r="N76" s="133">
        <f t="shared" ref="N76:U76" si="6">SUM(N60,N62:N63)</f>
        <v>8.4627906377863257E-2</v>
      </c>
      <c r="O76" s="133">
        <f t="shared" si="6"/>
        <v>1.3313307648807615</v>
      </c>
      <c r="P76" s="133">
        <f t="shared" si="6"/>
        <v>3.4305255756513344</v>
      </c>
      <c r="Q76" s="133">
        <f t="shared" si="6"/>
        <v>5.4150275953500866E-2</v>
      </c>
      <c r="R76" s="133">
        <f t="shared" si="6"/>
        <v>5.4150275953500866E-2</v>
      </c>
      <c r="S76" s="133">
        <f t="shared" si="6"/>
        <v>2.907548326137409E-3</v>
      </c>
      <c r="T76" s="133">
        <f t="shared" si="6"/>
        <v>5.3156017083934921E-2</v>
      </c>
      <c r="U76" s="45">
        <f t="shared" si="6"/>
        <v>31814.937945704958</v>
      </c>
      <c r="V76" s="134">
        <f t="shared" ref="V76" si="7">SUM(V60,V62:V63)</f>
        <v>237.38543163496013</v>
      </c>
      <c r="W76" t="s">
        <v>1997</v>
      </c>
      <c r="Y76" s="13">
        <f t="shared" si="4"/>
        <v>5.3200107774711587E-3</v>
      </c>
      <c r="Z76" s="5">
        <f t="shared" si="4"/>
        <v>8.3692180519276627E-2</v>
      </c>
      <c r="AA76" s="357">
        <f t="shared" si="4"/>
        <v>0.21565502227323741</v>
      </c>
      <c r="AB76" s="5">
        <f t="shared" si="4"/>
        <v>3.4040786781299502E-3</v>
      </c>
      <c r="AC76" s="358">
        <f t="shared" si="4"/>
        <v>3.4040786781299502E-3</v>
      </c>
      <c r="AD76" s="5">
        <f t="shared" si="4"/>
        <v>1.8277881485102382E-4</v>
      </c>
      <c r="AE76" s="13">
        <f t="shared" si="4"/>
        <v>3.3415760341667443E-3</v>
      </c>
    </row>
    <row r="77" spans="1:31" x14ac:dyDescent="0.25">
      <c r="M77" s="1" t="s">
        <v>2008</v>
      </c>
      <c r="N77" s="133">
        <f t="shared" ref="N77:U77" si="8">N61</f>
        <v>2.7042997195561563E-2</v>
      </c>
      <c r="O77" s="133">
        <f t="shared" si="8"/>
        <v>0.68271241166915586</v>
      </c>
      <c r="P77" s="133">
        <f t="shared" si="8"/>
        <v>0.48257147534161138</v>
      </c>
      <c r="Q77" s="133">
        <f t="shared" si="8"/>
        <v>1.731802816901612E-2</v>
      </c>
      <c r="R77" s="133">
        <f t="shared" si="8"/>
        <v>1.731802816901612E-2</v>
      </c>
      <c r="S77" s="133">
        <f t="shared" si="8"/>
        <v>9.2911221126771486E-4</v>
      </c>
      <c r="T77" s="133">
        <f t="shared" si="8"/>
        <v>1.698609929577664E-2</v>
      </c>
      <c r="U77" s="45">
        <f t="shared" si="8"/>
        <v>10506.185446242012</v>
      </c>
      <c r="Y77" s="13">
        <f t="shared" si="4"/>
        <v>5.1480144404332118E-3</v>
      </c>
      <c r="Z77" s="5">
        <f t="shared" si="4"/>
        <v>0.12996389891696747</v>
      </c>
      <c r="AA77" s="357">
        <f t="shared" si="4"/>
        <v>9.1864259927797814E-2</v>
      </c>
      <c r="AB77" s="5">
        <f t="shared" si="4"/>
        <v>3.2967299611507722E-3</v>
      </c>
      <c r="AC77" s="358">
        <f t="shared" si="4"/>
        <v>3.2967299611507722E-3</v>
      </c>
      <c r="AD77" s="5">
        <f t="shared" si="4"/>
        <v>1.7686956241573894E-4</v>
      </c>
      <c r="AE77" s="13">
        <f t="shared" si="4"/>
        <v>3.2335426368953818E-3</v>
      </c>
    </row>
    <row r="78" spans="1:31" x14ac:dyDescent="0.25">
      <c r="M78" s="1" t="s">
        <v>2009</v>
      </c>
      <c r="N78" s="133">
        <f t="shared" ref="N78:U78" si="9">SUM(N50:N59,N68)</f>
        <v>9.1554384957702108</v>
      </c>
      <c r="O78" s="133">
        <f t="shared" si="9"/>
        <v>0.43021038611844103</v>
      </c>
      <c r="P78" s="133">
        <f t="shared" si="9"/>
        <v>8.814776478804566E-2</v>
      </c>
      <c r="Q78" s="133">
        <f t="shared" si="9"/>
        <v>2.4904392447238823</v>
      </c>
      <c r="R78" s="133">
        <f t="shared" si="9"/>
        <v>2.4904392447238823</v>
      </c>
      <c r="S78" s="133">
        <f t="shared" si="9"/>
        <v>9.3691086390720019E-2</v>
      </c>
      <c r="T78" s="133">
        <f t="shared" si="9"/>
        <v>26.461188873196978</v>
      </c>
      <c r="U78" s="45">
        <f t="shared" si="9"/>
        <v>7188.7456812464579</v>
      </c>
      <c r="V78" s="134">
        <f t="shared" ref="V78" si="10">V61</f>
        <v>78.281303216614333</v>
      </c>
      <c r="W78" t="s">
        <v>1997</v>
      </c>
      <c r="Y78" s="13">
        <f t="shared" si="4"/>
        <v>2.5471588234521456</v>
      </c>
      <c r="Z78" s="5">
        <f t="shared" si="4"/>
        <v>0.11968997240805068</v>
      </c>
      <c r="AA78" s="357">
        <f t="shared" si="4"/>
        <v>2.4523823403017283E-2</v>
      </c>
      <c r="AB78" s="5">
        <f t="shared" si="4"/>
        <v>0.69287170673481513</v>
      </c>
      <c r="AC78" s="358">
        <f t="shared" si="4"/>
        <v>0.69287170673481513</v>
      </c>
      <c r="AD78" s="5">
        <f t="shared" si="4"/>
        <v>2.6066045606575109E-2</v>
      </c>
      <c r="AE78" s="13">
        <f t="shared" si="4"/>
        <v>7.3618375295226377</v>
      </c>
    </row>
    <row r="79" spans="1:31" x14ac:dyDescent="0.25">
      <c r="M79" s="1" t="s">
        <v>2010</v>
      </c>
      <c r="N79" s="133">
        <f>SUM(N64,N65,N66,N67,N69)</f>
        <v>0.12611772518255621</v>
      </c>
      <c r="O79" s="133">
        <f t="shared" ref="O79:U79" si="11">SUM(O64,O65,O66,O67,O69)</f>
        <v>0.22302530887310412</v>
      </c>
      <c r="P79" s="133">
        <f t="shared" si="11"/>
        <v>0.12714742123517647</v>
      </c>
      <c r="Q79" s="133">
        <f t="shared" si="11"/>
        <v>0.10650827791147244</v>
      </c>
      <c r="R79" s="133">
        <f t="shared" si="11"/>
        <v>0.10650827791147244</v>
      </c>
      <c r="S79" s="133">
        <f t="shared" si="11"/>
        <v>4.3807502043666249E-2</v>
      </c>
      <c r="T79" s="133">
        <f t="shared" si="11"/>
        <v>1.6005400821497733</v>
      </c>
      <c r="U79" s="45">
        <f t="shared" si="11"/>
        <v>3481.9341716640979</v>
      </c>
      <c r="V79" s="134">
        <f t="shared" ref="V79" si="12">SUM(V50:V59,V68)</f>
        <v>639.61688589638436</v>
      </c>
      <c r="W79" t="s">
        <v>2011</v>
      </c>
      <c r="Y79" s="13">
        <f t="shared" si="4"/>
        <v>7.2441188698453535E-2</v>
      </c>
      <c r="Z79" s="5">
        <f t="shared" si="4"/>
        <v>0.12810426497323185</v>
      </c>
      <c r="AA79" s="357">
        <f t="shared" si="4"/>
        <v>7.3032639312884964E-2</v>
      </c>
      <c r="AB79" s="5">
        <f t="shared" si="4"/>
        <v>6.1177651650185932E-2</v>
      </c>
      <c r="AC79" s="358">
        <f t="shared" si="4"/>
        <v>6.1177651650185932E-2</v>
      </c>
      <c r="AD79" s="5">
        <f t="shared" si="4"/>
        <v>2.5162739950784087E-2</v>
      </c>
      <c r="AE79" s="13">
        <f t="shared" si="4"/>
        <v>0.91933965620311409</v>
      </c>
    </row>
    <row r="80" spans="1:31" x14ac:dyDescent="0.25">
      <c r="M80" s="1" t="s">
        <v>2012</v>
      </c>
      <c r="N80" s="133">
        <f>SUM(N76:N79)</f>
        <v>9.3932271245261916</v>
      </c>
      <c r="O80" s="133">
        <f t="shared" ref="O80:U80" si="13">SUM(O76:O79)</f>
        <v>2.6672788715414626</v>
      </c>
      <c r="P80" s="133">
        <f t="shared" si="13"/>
        <v>4.1283922370161683</v>
      </c>
      <c r="Q80" s="133">
        <f t="shared" si="13"/>
        <v>2.6684158267578715</v>
      </c>
      <c r="R80" s="133">
        <f t="shared" si="13"/>
        <v>2.6684158267578715</v>
      </c>
      <c r="S80" s="133">
        <f t="shared" si="13"/>
        <v>0.14133524897179139</v>
      </c>
      <c r="T80" s="133">
        <f t="shared" si="13"/>
        <v>28.131871071726462</v>
      </c>
      <c r="U80" s="45">
        <f t="shared" si="13"/>
        <v>52991.803244857525</v>
      </c>
      <c r="Y80" s="13">
        <f t="shared" si="4"/>
        <v>0.35451622890140982</v>
      </c>
      <c r="Z80" s="5">
        <f t="shared" si="4"/>
        <v>0.1006676017125461</v>
      </c>
      <c r="AA80" s="357">
        <f t="shared" si="4"/>
        <v>0.15581248360016128</v>
      </c>
      <c r="AB80" s="5">
        <f t="shared" si="4"/>
        <v>0.10071051231934902</v>
      </c>
      <c r="AC80" s="358">
        <f t="shared" si="4"/>
        <v>0.10071051231934902</v>
      </c>
      <c r="AD80" s="5">
        <f t="shared" si="4"/>
        <v>5.3342305910492665E-3</v>
      </c>
      <c r="AE80" s="13">
        <f t="shared" si="4"/>
        <v>1.0617442453029358</v>
      </c>
    </row>
    <row r="82" spans="20:23" x14ac:dyDescent="0.25">
      <c r="V82" s="38">
        <f>V79/Lookup!B37</f>
        <v>380.10089378877484</v>
      </c>
      <c r="W82" t="s">
        <v>2013</v>
      </c>
    </row>
    <row r="83" spans="20:23" x14ac:dyDescent="0.25">
      <c r="T83" s="1" t="s">
        <v>2014</v>
      </c>
      <c r="U83" s="13">
        <v>1.930282922015446</v>
      </c>
      <c r="V83" s="45">
        <f>V82*365/U83</f>
        <v>71873.82981560289</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DFDF9-CA5B-40C8-AF13-71B550BB52B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2020</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5.8979061466357576</v>
      </c>
      <c r="E6" s="133">
        <v>6.6963126555689853E-2</v>
      </c>
      <c r="F6" s="133">
        <v>1.0302019470106128E-2</v>
      </c>
      <c r="G6" s="133">
        <v>0.89112468416418</v>
      </c>
      <c r="H6" s="133">
        <v>0.89112468416418</v>
      </c>
      <c r="I6" s="133">
        <v>4.6359087615477572E-2</v>
      </c>
      <c r="J6" s="133">
        <v>6.5057252953720193</v>
      </c>
      <c r="K6" s="45">
        <v>828.79819918018961</v>
      </c>
      <c r="L6" s="134">
        <v>73.586461188369327</v>
      </c>
      <c r="M6" s="45" t="s">
        <v>738</v>
      </c>
      <c r="N6" s="133">
        <v>5.4344900196692842</v>
      </c>
      <c r="O6" s="133">
        <v>6.1701633411092319E-2</v>
      </c>
      <c r="P6" s="133">
        <v>9.4925589863218956E-3</v>
      </c>
      <c r="Q6" s="133">
        <v>0.82110635231684426</v>
      </c>
      <c r="R6" s="133">
        <v>0.82110635231684426</v>
      </c>
      <c r="S6" s="133">
        <v>4.2716515438448531E-2</v>
      </c>
      <c r="T6" s="133">
        <v>5.9945509998622768</v>
      </c>
      <c r="U6" s="45">
        <v>763.6770456806629</v>
      </c>
      <c r="V6" s="134">
        <v>67.804552830852558</v>
      </c>
      <c r="W6" t="s">
        <v>738</v>
      </c>
    </row>
    <row r="7" spans="1:23" x14ac:dyDescent="0.25">
      <c r="A7" s="812" t="s">
        <v>1996</v>
      </c>
      <c r="B7" s="812">
        <v>2104008210</v>
      </c>
      <c r="C7" s="812" t="s">
        <v>138</v>
      </c>
      <c r="D7" s="133">
        <v>0.12165264909865252</v>
      </c>
      <c r="E7" s="133">
        <v>6.4269324052118292E-3</v>
      </c>
      <c r="F7" s="133">
        <v>9.1813320074454719E-4</v>
      </c>
      <c r="G7" s="133">
        <v>7.0237189856957843E-2</v>
      </c>
      <c r="H7" s="133">
        <v>7.0237189856957843E-2</v>
      </c>
      <c r="I7" s="133">
        <v>3.9020661031643243E-3</v>
      </c>
      <c r="J7" s="133">
        <v>0.52976285682960356</v>
      </c>
      <c r="K7" s="45">
        <v>73.863881309164839</v>
      </c>
      <c r="L7" s="134">
        <v>6.558148461900152</v>
      </c>
      <c r="M7" s="45" t="s">
        <v>738</v>
      </c>
      <c r="N7" s="133">
        <v>0.10571992666376755</v>
      </c>
      <c r="O7" s="133">
        <v>5.585203672802813E-3</v>
      </c>
      <c r="P7" s="133">
        <v>7.9788623897183043E-4</v>
      </c>
      <c r="Q7" s="133">
        <v>6.1038297281345008E-2</v>
      </c>
      <c r="R7" s="133">
        <v>6.1038297281345008E-2</v>
      </c>
      <c r="S7" s="133">
        <v>3.3910165156302795E-3</v>
      </c>
      <c r="T7" s="133">
        <v>0.4603803598867463</v>
      </c>
      <c r="U7" s="45">
        <v>64.190004681062334</v>
      </c>
      <c r="V7" s="134">
        <v>5.6992344973921636</v>
      </c>
      <c r="W7" t="s">
        <v>738</v>
      </c>
    </row>
    <row r="8" spans="1:23" x14ac:dyDescent="0.25">
      <c r="A8" s="812" t="s">
        <v>1996</v>
      </c>
      <c r="B8" s="812">
        <v>2104008220</v>
      </c>
      <c r="C8" s="812" t="s">
        <v>139</v>
      </c>
      <c r="D8" s="133">
        <v>5.7991578392221646E-2</v>
      </c>
      <c r="E8" s="133">
        <v>9.6652630653702772E-3</v>
      </c>
      <c r="F8" s="133">
        <v>1.9330526130740551E-3</v>
      </c>
      <c r="G8" s="133">
        <v>5.7991578392221646E-2</v>
      </c>
      <c r="H8" s="133">
        <v>5.7991578392221646E-2</v>
      </c>
      <c r="I8" s="133">
        <v>4.3493683794166259E-3</v>
      </c>
      <c r="J8" s="133">
        <v>0.68043451980206737</v>
      </c>
      <c r="K8" s="45">
        <v>155.51422022500142</v>
      </c>
      <c r="L8" s="134">
        <v>13.807632717042853</v>
      </c>
      <c r="M8" s="45" t="s">
        <v>738</v>
      </c>
      <c r="N8" s="133">
        <v>5.0396480965819827E-2</v>
      </c>
      <c r="O8" s="133">
        <v>8.3994134943033063E-3</v>
      </c>
      <c r="P8" s="133">
        <v>1.6798826988606611E-3</v>
      </c>
      <c r="Q8" s="133">
        <v>5.0396480965819827E-2</v>
      </c>
      <c r="R8" s="133">
        <v>5.0396480965819827E-2</v>
      </c>
      <c r="S8" s="133">
        <v>3.7797360724364875E-3</v>
      </c>
      <c r="T8" s="133">
        <v>0.59131870999895264</v>
      </c>
      <c r="U8" s="45">
        <v>135.14668261788191</v>
      </c>
      <c r="V8" s="134">
        <v>11.999261249644066</v>
      </c>
      <c r="W8" t="s">
        <v>738</v>
      </c>
    </row>
    <row r="9" spans="1:23" x14ac:dyDescent="0.25">
      <c r="A9" s="812" t="s">
        <v>1996</v>
      </c>
      <c r="B9" s="812">
        <v>2104008230</v>
      </c>
      <c r="C9" s="812" t="s">
        <v>140</v>
      </c>
      <c r="D9" s="133">
        <v>4.3643970274823182E-2</v>
      </c>
      <c r="E9" s="133">
        <v>5.8191960366430892E-3</v>
      </c>
      <c r="F9" s="133">
        <v>1.1638392073286181E-3</v>
      </c>
      <c r="G9" s="133">
        <v>3.7824774238180085E-2</v>
      </c>
      <c r="H9" s="133">
        <v>3.7824774238180085E-2</v>
      </c>
      <c r="I9" s="133">
        <v>2.6186382164893915E-3</v>
      </c>
      <c r="J9" s="133">
        <v>0.31132698796040542</v>
      </c>
      <c r="K9" s="45">
        <v>93.63094701657765</v>
      </c>
      <c r="L9" s="134">
        <v>8.3132058629964547</v>
      </c>
      <c r="M9" s="45" t="s">
        <v>738</v>
      </c>
      <c r="N9" s="133">
        <v>3.7927964339093595E-2</v>
      </c>
      <c r="O9" s="133">
        <v>5.057061911879145E-3</v>
      </c>
      <c r="P9" s="133">
        <v>1.0114123823758289E-3</v>
      </c>
      <c r="Q9" s="133">
        <v>3.2870902427214438E-2</v>
      </c>
      <c r="R9" s="133">
        <v>3.2870902427214438E-2</v>
      </c>
      <c r="S9" s="133">
        <v>2.2756778603456149E-3</v>
      </c>
      <c r="T9" s="133">
        <v>0.27055281228553429</v>
      </c>
      <c r="U9" s="45">
        <v>81.368198106598712</v>
      </c>
      <c r="V9" s="134">
        <v>7.2244338342692345</v>
      </c>
      <c r="W9" t="s">
        <v>738</v>
      </c>
    </row>
    <row r="10" spans="1:23" x14ac:dyDescent="0.25">
      <c r="A10" s="812" t="s">
        <v>1996</v>
      </c>
      <c r="B10" s="812">
        <v>2104008310</v>
      </c>
      <c r="C10" s="812" t="s">
        <v>141</v>
      </c>
      <c r="D10" s="133">
        <v>2.4688457063234623</v>
      </c>
      <c r="E10" s="133">
        <v>6.7643700097059889E-2</v>
      </c>
      <c r="F10" s="133">
        <v>1.8632797783573303E-2</v>
      </c>
      <c r="G10" s="133">
        <v>0.56559994554964776</v>
      </c>
      <c r="H10" s="133">
        <v>0.56559994554964776</v>
      </c>
      <c r="I10" s="133">
        <v>1.8494381494135959E-2</v>
      </c>
      <c r="J10" s="133">
        <v>5.6443701601929304</v>
      </c>
      <c r="K10" s="45">
        <v>1499.0099070891285</v>
      </c>
      <c r="L10" s="134">
        <v>133.09251209535196</v>
      </c>
      <c r="M10" s="45" t="s">
        <v>738</v>
      </c>
      <c r="N10" s="133">
        <v>2.1455035213003422</v>
      </c>
      <c r="O10" s="133">
        <v>5.8784474210075134E-2</v>
      </c>
      <c r="P10" s="133">
        <v>1.6192479406040322E-2</v>
      </c>
      <c r="Q10" s="133">
        <v>0.49152390192547007</v>
      </c>
      <c r="R10" s="133">
        <v>0.49152390192547007</v>
      </c>
      <c r="S10" s="133">
        <v>1.6072191355785696E-2</v>
      </c>
      <c r="T10" s="133">
        <v>4.9051328008060953</v>
      </c>
      <c r="U10" s="45">
        <v>1302.6861200302387</v>
      </c>
      <c r="V10" s="134">
        <v>115.66152256007923</v>
      </c>
      <c r="W10" t="s">
        <v>738</v>
      </c>
    </row>
    <row r="11" spans="1:23" x14ac:dyDescent="0.25">
      <c r="A11" s="812" t="s">
        <v>1996</v>
      </c>
      <c r="B11" s="812">
        <v>2104008320</v>
      </c>
      <c r="C11" s="812" t="s">
        <v>142</v>
      </c>
      <c r="D11" s="133">
        <v>1.1768938890961052</v>
      </c>
      <c r="E11" s="133">
        <v>0.15778612803529804</v>
      </c>
      <c r="F11" s="133">
        <v>3.9229796303203508E-2</v>
      </c>
      <c r="G11" s="133">
        <v>0.77725262415262586</v>
      </c>
      <c r="H11" s="133">
        <v>0.77725262415262586</v>
      </c>
      <c r="I11" s="133">
        <v>2.4493293616097433E-2</v>
      </c>
      <c r="J11" s="133">
        <v>12.126023060201302</v>
      </c>
      <c r="K11" s="45">
        <v>3156.03990311288</v>
      </c>
      <c r="L11" s="134">
        <v>280.21514533825484</v>
      </c>
      <c r="M11" s="45" t="s">
        <v>738</v>
      </c>
      <c r="N11" s="133">
        <v>1.0227573058880026</v>
      </c>
      <c r="O11" s="133">
        <v>0.13712104099701283</v>
      </c>
      <c r="P11" s="133">
        <v>3.4091910196266763E-2</v>
      </c>
      <c r="Q11" s="133">
        <v>0.67545664671881511</v>
      </c>
      <c r="R11" s="133">
        <v>0.67545664671881511</v>
      </c>
      <c r="S11" s="133">
        <v>2.1285432121976113E-2</v>
      </c>
      <c r="T11" s="133">
        <v>10.537890281436015</v>
      </c>
      <c r="U11" s="45">
        <v>2742.6966003382609</v>
      </c>
      <c r="V11" s="134">
        <v>243.51565571920952</v>
      </c>
      <c r="W11" t="s">
        <v>738</v>
      </c>
    </row>
    <row r="12" spans="1:23" x14ac:dyDescent="0.25">
      <c r="A12" s="812" t="s">
        <v>1996</v>
      </c>
      <c r="B12" s="812">
        <v>2104008330</v>
      </c>
      <c r="C12" s="812" t="s">
        <v>143</v>
      </c>
      <c r="D12" s="133">
        <v>0.88572036382477415</v>
      </c>
      <c r="E12" s="133">
        <v>9.4998801862936133E-2</v>
      </c>
      <c r="F12" s="133">
        <v>2.3619209701993975E-2</v>
      </c>
      <c r="G12" s="133">
        <v>0.51924660381929499</v>
      </c>
      <c r="H12" s="133">
        <v>0.51924660381929499</v>
      </c>
      <c r="I12" s="133">
        <v>1.4746756107012312E-2</v>
      </c>
      <c r="J12" s="133">
        <v>7.3007537254717079</v>
      </c>
      <c r="K12" s="45">
        <v>1900.1671006228655</v>
      </c>
      <c r="L12" s="134">
        <v>168.71003428785318</v>
      </c>
      <c r="M12" s="45" t="s">
        <v>738</v>
      </c>
      <c r="N12" s="133">
        <v>0.76971847799406279</v>
      </c>
      <c r="O12" s="133">
        <v>8.2556906409419373E-2</v>
      </c>
      <c r="P12" s="133">
        <v>2.0525826079841682E-2</v>
      </c>
      <c r="Q12" s="133">
        <v>0.45124140972606475</v>
      </c>
      <c r="R12" s="133">
        <v>0.45124140972606475</v>
      </c>
      <c r="S12" s="133">
        <v>1.2815388614328798E-2</v>
      </c>
      <c r="T12" s="133">
        <v>6.3445815127395031</v>
      </c>
      <c r="U12" s="45">
        <v>1651.3041681800769</v>
      </c>
      <c r="V12" s="134">
        <v>146.61425447373267</v>
      </c>
      <c r="W12" t="s">
        <v>738</v>
      </c>
    </row>
    <row r="13" spans="1:23" x14ac:dyDescent="0.25">
      <c r="A13" s="812" t="s">
        <v>1996</v>
      </c>
      <c r="B13" s="812">
        <v>2104008410</v>
      </c>
      <c r="C13" s="812" t="s">
        <v>144</v>
      </c>
      <c r="D13" s="133">
        <v>1.4841072840367031E-2</v>
      </c>
      <c r="E13" s="133">
        <v>2.5917136343635846E-2</v>
      </c>
      <c r="F13" s="133">
        <v>2.0712996078829844E-3</v>
      </c>
      <c r="G13" s="133">
        <v>1.9159521372917609E-2</v>
      </c>
      <c r="H13" s="133">
        <v>1.9159521372917609E-2</v>
      </c>
      <c r="I13" s="133">
        <v>4.6526567442071553E-4</v>
      </c>
      <c r="J13" s="133">
        <v>6.4287961579668138E-2</v>
      </c>
      <c r="K13" s="45">
        <v>198.9942276154442</v>
      </c>
      <c r="L13" s="134">
        <v>17.668089797513925</v>
      </c>
      <c r="M13" s="45" t="s">
        <v>738</v>
      </c>
      <c r="N13" s="133">
        <v>1.2897352782041585E-2</v>
      </c>
      <c r="O13" s="133">
        <v>2.2522795630715086E-2</v>
      </c>
      <c r="P13" s="133">
        <v>1.8000236268303767E-3</v>
      </c>
      <c r="Q13" s="133">
        <v>1.6650218548180981E-2</v>
      </c>
      <c r="R13" s="133">
        <v>1.6650218548180981E-2</v>
      </c>
      <c r="S13" s="133">
        <v>4.0433030717677338E-4</v>
      </c>
      <c r="T13" s="133">
        <v>5.5868233317747831E-2</v>
      </c>
      <c r="U13" s="45">
        <v>172.93215812306431</v>
      </c>
      <c r="V13" s="134">
        <v>15.354118233523288</v>
      </c>
      <c r="W13" t="s">
        <v>738</v>
      </c>
    </row>
    <row r="14" spans="1:23" x14ac:dyDescent="0.25">
      <c r="A14" s="812" t="s">
        <v>1996</v>
      </c>
      <c r="B14" s="812">
        <v>2104008420</v>
      </c>
      <c r="C14" s="812" t="s">
        <v>145</v>
      </c>
      <c r="D14" s="133">
        <v>5.0059399930273016E-2</v>
      </c>
      <c r="E14" s="133">
        <v>8.7419306355307591E-2</v>
      </c>
      <c r="F14" s="133">
        <v>6.9865579504741352E-3</v>
      </c>
      <c r="G14" s="133">
        <v>6.462566104188576E-2</v>
      </c>
      <c r="H14" s="133">
        <v>6.462566104188576E-2</v>
      </c>
      <c r="I14" s="133">
        <v>1.5693555796252529E-3</v>
      </c>
      <c r="J14" s="133">
        <v>0.216845292387841</v>
      </c>
      <c r="K14" s="45">
        <v>671.21371420820742</v>
      </c>
      <c r="L14" s="134">
        <v>59.5950159864489</v>
      </c>
      <c r="M14" s="45" t="s">
        <v>738</v>
      </c>
      <c r="N14" s="133">
        <v>4.3503171765449815E-2</v>
      </c>
      <c r="O14" s="133">
        <v>7.5970089639280355E-2</v>
      </c>
      <c r="P14" s="133">
        <v>6.0715356355069208E-3</v>
      </c>
      <c r="Q14" s="133">
        <v>5.6161704628439023E-2</v>
      </c>
      <c r="R14" s="133">
        <v>5.6161704628439023E-2</v>
      </c>
      <c r="S14" s="133">
        <v>1.3638186921257421E-3</v>
      </c>
      <c r="T14" s="133">
        <v>0.18844528728704613</v>
      </c>
      <c r="U14" s="45">
        <v>583.30554383786694</v>
      </c>
      <c r="V14" s="134">
        <v>51.789917986119853</v>
      </c>
      <c r="W14" t="s">
        <v>738</v>
      </c>
    </row>
    <row r="15" spans="1:23" x14ac:dyDescent="0.25">
      <c r="A15" s="812" t="s">
        <v>1996</v>
      </c>
      <c r="B15" s="812">
        <v>2104008610</v>
      </c>
      <c r="C15" s="812" t="s">
        <v>146</v>
      </c>
      <c r="D15" s="133">
        <v>1.2690054606292667</v>
      </c>
      <c r="E15" s="133">
        <v>4.5078582165098094E-2</v>
      </c>
      <c r="F15" s="133">
        <v>1.1180664851359177E-2</v>
      </c>
      <c r="G15" s="133">
        <v>0.27588715607666398</v>
      </c>
      <c r="H15" s="133">
        <v>0.27588715607666398</v>
      </c>
      <c r="I15" s="133">
        <v>6.813457177887644E-3</v>
      </c>
      <c r="J15" s="133">
        <v>1.6930508045365575</v>
      </c>
      <c r="K15" s="45">
        <v>899.4852826023897</v>
      </c>
      <c r="L15" s="134">
        <v>79.862551466934008</v>
      </c>
      <c r="M15" s="45" t="s">
        <v>738</v>
      </c>
      <c r="N15" s="133">
        <v>1.1601648623630698</v>
      </c>
      <c r="O15" s="133">
        <v>4.1212263221593902E-2</v>
      </c>
      <c r="P15" s="133">
        <v>1.0221716849013828E-2</v>
      </c>
      <c r="Q15" s="133">
        <v>0.25222474952842594</v>
      </c>
      <c r="R15" s="133">
        <v>0.25222474952842594</v>
      </c>
      <c r="S15" s="133">
        <v>6.2290776944970263E-3</v>
      </c>
      <c r="T15" s="133">
        <v>1.547840505465466</v>
      </c>
      <c r="U15" s="45">
        <v>822.33784760117476</v>
      </c>
      <c r="V15" s="134">
        <v>73.012866299767168</v>
      </c>
      <c r="W15" t="s">
        <v>738</v>
      </c>
    </row>
    <row r="16" spans="1:23" x14ac:dyDescent="0.25">
      <c r="A16" s="812" t="s">
        <v>1996</v>
      </c>
      <c r="B16" s="812">
        <v>2104004000</v>
      </c>
      <c r="C16" s="812" t="s">
        <v>568</v>
      </c>
      <c r="D16" s="133">
        <v>0.10060427432795327</v>
      </c>
      <c r="E16" s="133">
        <v>1.5762854129365484</v>
      </c>
      <c r="F16" s="133">
        <v>4.0781528324817868</v>
      </c>
      <c r="G16" s="133">
        <v>6.44258343162077E-2</v>
      </c>
      <c r="H16" s="133">
        <v>6.44258343162077E-2</v>
      </c>
      <c r="I16" s="133">
        <v>3.4564460110645431E-3</v>
      </c>
      <c r="J16" s="133">
        <v>6.3191005825147056E-2</v>
      </c>
      <c r="K16" s="45">
        <v>37874.238860852653</v>
      </c>
      <c r="L16" s="134">
        <v>282.19992798864871</v>
      </c>
      <c r="M16" s="45" t="s">
        <v>1997</v>
      </c>
      <c r="N16" s="133">
        <v>9.2852626400251909E-2</v>
      </c>
      <c r="O16" s="133">
        <v>1.4548312338146536</v>
      </c>
      <c r="P16" s="133">
        <v>3.7639275655740847</v>
      </c>
      <c r="Q16" s="133">
        <v>5.9461767049645252E-2</v>
      </c>
      <c r="R16" s="133">
        <v>5.9461767049645252E-2</v>
      </c>
      <c r="S16" s="133">
        <v>3.1901238022134675E-3</v>
      </c>
      <c r="T16" s="133">
        <v>5.8322083181193717E-2</v>
      </c>
      <c r="U16" s="45">
        <v>34955.995405093054</v>
      </c>
      <c r="V16" s="134">
        <v>260.45617503576966</v>
      </c>
      <c r="W16" t="s">
        <v>1997</v>
      </c>
    </row>
    <row r="17" spans="1:23" x14ac:dyDescent="0.25">
      <c r="A17" s="812" t="s">
        <v>1996</v>
      </c>
      <c r="B17" s="812">
        <v>2103004001</v>
      </c>
      <c r="C17" s="812" t="s">
        <v>148</v>
      </c>
      <c r="D17" s="133">
        <v>3.2129713399464854E-2</v>
      </c>
      <c r="E17" s="133">
        <v>0.81112880952365685</v>
      </c>
      <c r="F17" s="133">
        <v>0.57334189274063296</v>
      </c>
      <c r="G17" s="133">
        <v>2.057550343590132E-2</v>
      </c>
      <c r="H17" s="133">
        <v>2.057550343590132E-2</v>
      </c>
      <c r="I17" s="133">
        <v>1.103875759336106E-3</v>
      </c>
      <c r="J17" s="133">
        <v>2.0181139620046543E-2</v>
      </c>
      <c r="K17" s="45">
        <v>12482.37112433628</v>
      </c>
      <c r="L17" s="134">
        <v>93.005809182246452</v>
      </c>
      <c r="M17" s="45" t="s">
        <v>1997</v>
      </c>
      <c r="N17" s="133">
        <v>3.1594610082262643E-2</v>
      </c>
      <c r="O17" s="133">
        <v>0.79761988987479349</v>
      </c>
      <c r="P17" s="133">
        <v>0.56379318793638733</v>
      </c>
      <c r="Q17" s="133">
        <v>2.0232829350864522E-2</v>
      </c>
      <c r="R17" s="133">
        <v>2.0232829350864522E-2</v>
      </c>
      <c r="S17" s="133">
        <v>1.0854912946738819E-3</v>
      </c>
      <c r="T17" s="133">
        <v>1.984503345497295E-2</v>
      </c>
      <c r="U17" s="45">
        <v>12274.483860850985</v>
      </c>
      <c r="V17" s="134">
        <v>91.456846812313671</v>
      </c>
      <c r="W17" t="s">
        <v>1997</v>
      </c>
    </row>
    <row r="18" spans="1:23" x14ac:dyDescent="0.25">
      <c r="A18" s="812" t="s">
        <v>1996</v>
      </c>
      <c r="B18" s="812">
        <v>2104004000</v>
      </c>
      <c r="C18" s="812" t="s">
        <v>746</v>
      </c>
      <c r="D18" s="133">
        <v>6.7430969376823676E-4</v>
      </c>
      <c r="E18" s="133">
        <v>1.7023246125986352E-2</v>
      </c>
      <c r="F18" s="133">
        <v>2.7334206284779918E-2</v>
      </c>
      <c r="G18" s="133">
        <v>3.7829435835525226E-4</v>
      </c>
      <c r="H18" s="133">
        <v>3.7829435835525226E-4</v>
      </c>
      <c r="I18" s="133">
        <v>2.3167157328222783E-5</v>
      </c>
      <c r="J18" s="133">
        <v>4.2354371194964596E-4</v>
      </c>
      <c r="K18" s="45">
        <v>259.12217811438893</v>
      </c>
      <c r="L18" s="134">
        <v>1.8914717917762611</v>
      </c>
      <c r="M18" s="45" t="s">
        <v>1997</v>
      </c>
      <c r="N18" s="133">
        <v>6.3613974535155779E-4</v>
      </c>
      <c r="O18" s="133">
        <v>1.6059628914906091E-2</v>
      </c>
      <c r="P18" s="133">
        <v>2.5786927262183634E-2</v>
      </c>
      <c r="Q18" s="133">
        <v>3.5688064255346851E-4</v>
      </c>
      <c r="R18" s="133">
        <v>3.5688064255346851E-4</v>
      </c>
      <c r="S18" s="133">
        <v>2.1855758117516352E-5</v>
      </c>
      <c r="T18" s="133">
        <v>3.9956861299031914E-4</v>
      </c>
      <c r="U18" s="45">
        <v>244.45431813306223</v>
      </c>
      <c r="V18" s="134">
        <v>1.7844032127673428</v>
      </c>
      <c r="W18" t="s">
        <v>1997</v>
      </c>
    </row>
    <row r="19" spans="1:23" x14ac:dyDescent="0.25">
      <c r="A19" s="812" t="s">
        <v>1996</v>
      </c>
      <c r="B19" s="812">
        <v>2104004000</v>
      </c>
      <c r="C19" s="812" t="s">
        <v>747</v>
      </c>
      <c r="D19" s="133">
        <v>2.8814567737648644E-3</v>
      </c>
      <c r="E19" s="133">
        <v>4.5147170046539002E-2</v>
      </c>
      <c r="F19" s="133">
        <v>0.11680439208076422</v>
      </c>
      <c r="G19" s="133">
        <v>1.8452521817386516E-3</v>
      </c>
      <c r="H19" s="133">
        <v>1.8452521817386516E-3</v>
      </c>
      <c r="I19" s="133">
        <v>9.8997779550278646E-5</v>
      </c>
      <c r="J19" s="133">
        <v>1.8098848482553274E-3</v>
      </c>
      <c r="K19" s="45">
        <v>1010.3284620493916</v>
      </c>
      <c r="L19" s="134">
        <v>8.0826276963951322</v>
      </c>
      <c r="M19" s="45" t="s">
        <v>1997</v>
      </c>
      <c r="N19" s="133">
        <v>2.3806803989664905E-3</v>
      </c>
      <c r="O19" s="133">
        <v>3.730091798606771E-2</v>
      </c>
      <c r="P19" s="133">
        <v>9.6504632403888277E-2</v>
      </c>
      <c r="Q19" s="133">
        <v>1.5245606806294704E-3</v>
      </c>
      <c r="R19" s="133">
        <v>1.5245606806294704E-3</v>
      </c>
      <c r="S19" s="133">
        <v>8.1792680515771127E-5</v>
      </c>
      <c r="T19" s="133">
        <v>1.4953399342507387E-3</v>
      </c>
      <c r="U19" s="45">
        <v>834.74067284940031</v>
      </c>
      <c r="V19" s="134">
        <v>6.6779253827952045</v>
      </c>
      <c r="W19" t="s">
        <v>1997</v>
      </c>
    </row>
    <row r="20" spans="1:23" x14ac:dyDescent="0.25">
      <c r="A20" s="812" t="s">
        <v>1996</v>
      </c>
      <c r="B20" s="812">
        <v>2104006010</v>
      </c>
      <c r="C20" s="812" t="s">
        <v>149</v>
      </c>
      <c r="D20" s="133">
        <v>6.6969683938961316E-4</v>
      </c>
      <c r="E20" s="133">
        <v>1.1445727800477036E-2</v>
      </c>
      <c r="F20" s="133">
        <v>7.3057837024321465E-5</v>
      </c>
      <c r="G20" s="133">
        <v>6.0311679724811488E-6</v>
      </c>
      <c r="H20" s="133">
        <v>6.0311679724811488E-6</v>
      </c>
      <c r="I20" s="133">
        <v>2.4352612341440498E-3</v>
      </c>
      <c r="J20" s="133">
        <v>4.8705224682880997E-3</v>
      </c>
      <c r="K20" s="45">
        <v>300.62303278688512</v>
      </c>
      <c r="L20" s="134">
        <v>296.18032786885277</v>
      </c>
      <c r="M20" s="45" t="s">
        <v>1998</v>
      </c>
      <c r="N20" s="133">
        <v>6.6969683938961316E-4</v>
      </c>
      <c r="O20" s="133">
        <v>1.1445727800477036E-2</v>
      </c>
      <c r="P20" s="133">
        <v>7.3057837024321465E-5</v>
      </c>
      <c r="Q20" s="133">
        <v>6.0311679724811488E-6</v>
      </c>
      <c r="R20" s="133">
        <v>6.0311679724811488E-6</v>
      </c>
      <c r="S20" s="133">
        <v>2.4352612341440498E-3</v>
      </c>
      <c r="T20" s="133">
        <v>4.8705224682880997E-3</v>
      </c>
      <c r="U20" s="45">
        <v>300.62303278688512</v>
      </c>
      <c r="V20" s="134">
        <v>296.18032786885277</v>
      </c>
      <c r="W20" t="s">
        <v>1998</v>
      </c>
    </row>
    <row r="21" spans="1:23" x14ac:dyDescent="0.25">
      <c r="A21" s="812" t="s">
        <v>1996</v>
      </c>
      <c r="B21" s="812">
        <v>2103006000</v>
      </c>
      <c r="C21" s="812" t="s">
        <v>150</v>
      </c>
      <c r="D21" s="133">
        <v>5.2612909836065574E-3</v>
      </c>
      <c r="E21" s="133">
        <v>9.5659836065573711E-2</v>
      </c>
      <c r="F21" s="133">
        <v>5.7395901639344278E-4</v>
      </c>
      <c r="G21" s="133">
        <v>7.2701475409835984E-3</v>
      </c>
      <c r="H21" s="133">
        <v>7.2701475409835984E-3</v>
      </c>
      <c r="I21" s="133">
        <v>1.9131967213114744E-2</v>
      </c>
      <c r="J21" s="133">
        <v>3.8263934426229489E-2</v>
      </c>
      <c r="K21" s="45">
        <v>1941.8946721311484</v>
      </c>
      <c r="L21" s="134">
        <v>1913.196721311474</v>
      </c>
      <c r="M21" s="45" t="s">
        <v>1998</v>
      </c>
      <c r="N21" s="133">
        <v>5.2612909836065574E-3</v>
      </c>
      <c r="O21" s="133">
        <v>9.5659836065573711E-2</v>
      </c>
      <c r="P21" s="133">
        <v>5.7395901639344278E-4</v>
      </c>
      <c r="Q21" s="133">
        <v>7.2701475409835984E-3</v>
      </c>
      <c r="R21" s="133">
        <v>7.2701475409835984E-3</v>
      </c>
      <c r="S21" s="133">
        <v>1.9131967213114744E-2</v>
      </c>
      <c r="T21" s="133">
        <v>3.8263934426229489E-2</v>
      </c>
      <c r="U21" s="45">
        <v>1941.8946721311484</v>
      </c>
      <c r="V21" s="134">
        <v>1913.196721311474</v>
      </c>
      <c r="W21" t="s">
        <v>1998</v>
      </c>
    </row>
    <row r="22" spans="1:23" x14ac:dyDescent="0.25">
      <c r="A22" s="812" t="s">
        <v>1996</v>
      </c>
      <c r="B22" s="812">
        <v>2104002000</v>
      </c>
      <c r="C22" s="812" t="s">
        <v>151</v>
      </c>
      <c r="D22" s="133">
        <v>0.15290304603647806</v>
      </c>
      <c r="E22" s="133">
        <v>7.2170237729217643E-2</v>
      </c>
      <c r="F22" s="133">
        <v>0.14219983281392454</v>
      </c>
      <c r="G22" s="133">
        <v>0.12216953378314592</v>
      </c>
      <c r="H22" s="133">
        <v>0.12216953378314592</v>
      </c>
      <c r="I22" s="133">
        <v>1.9356761112987942E-2</v>
      </c>
      <c r="J22" s="133">
        <v>1.9965315236213121</v>
      </c>
      <c r="K22" s="45">
        <v>464.8252599508931</v>
      </c>
      <c r="L22" s="134">
        <v>30.580609207295606</v>
      </c>
      <c r="M22" s="45" t="s">
        <v>738</v>
      </c>
      <c r="N22" s="133">
        <v>0.13386581253347593</v>
      </c>
      <c r="O22" s="133">
        <v>6.3184663515800626E-2</v>
      </c>
      <c r="P22" s="133">
        <v>0.12449520565613256</v>
      </c>
      <c r="Q22" s="133">
        <v>0.10695878421424722</v>
      </c>
      <c r="R22" s="133">
        <v>0.10695878421424722</v>
      </c>
      <c r="S22" s="133">
        <v>1.6946742537675384E-2</v>
      </c>
      <c r="T22" s="133">
        <v>1.7479528471558619</v>
      </c>
      <c r="U22" s="45">
        <v>406.95207010176682</v>
      </c>
      <c r="V22" s="134">
        <v>26.773162506695179</v>
      </c>
      <c r="W22" t="s">
        <v>738</v>
      </c>
    </row>
    <row r="23" spans="1:23" x14ac:dyDescent="0.25">
      <c r="A23" s="812" t="s">
        <v>1996</v>
      </c>
      <c r="B23" s="812">
        <v>2103002000</v>
      </c>
      <c r="C23" s="812" t="s">
        <v>152</v>
      </c>
      <c r="D23" s="133">
        <v>4.0148138126104761E-4</v>
      </c>
      <c r="E23" s="133">
        <v>1.8949921195521454E-4</v>
      </c>
      <c r="F23" s="133">
        <v>3.7337768457277421E-4</v>
      </c>
      <c r="G23" s="133">
        <v>3.2078362362757698E-4</v>
      </c>
      <c r="H23" s="133">
        <v>3.2078362362757698E-4</v>
      </c>
      <c r="I23" s="133">
        <v>5.0825535460742337E-5</v>
      </c>
      <c r="J23" s="133">
        <v>5.2423431358161283E-3</v>
      </c>
      <c r="K23" s="45">
        <v>18.456877950864644</v>
      </c>
      <c r="L23" s="134">
        <v>1.2205033990335847</v>
      </c>
      <c r="M23" s="45" t="s">
        <v>738</v>
      </c>
      <c r="N23" s="133">
        <v>3.7940475162931143E-4</v>
      </c>
      <c r="O23" s="133">
        <v>1.7907904276903499E-4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2" t="s">
        <v>1996</v>
      </c>
      <c r="B24" s="812">
        <v>2103008000</v>
      </c>
      <c r="C24" s="812" t="s">
        <v>153</v>
      </c>
      <c r="D24" s="133">
        <v>1.2267802496122725E-3</v>
      </c>
      <c r="E24" s="133">
        <v>4.8776475754854222E-5</v>
      </c>
      <c r="F24" s="133">
        <v>1.0633485245822149E-5</v>
      </c>
      <c r="G24" s="133">
        <v>3.4500168382878613E-4</v>
      </c>
      <c r="H24" s="133">
        <v>3.4500168382878613E-4</v>
      </c>
      <c r="I24" s="133">
        <v>1.2632663031087651E-5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1.1445738305269712E-5</v>
      </c>
      <c r="T24" s="133">
        <v>2.15893954093954E-3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1.9363248899601761E-2</v>
      </c>
      <c r="G25" s="135">
        <v>2.7260720241086738E-3</v>
      </c>
      <c r="H25" s="135">
        <v>2.7260720241086738E-3</v>
      </c>
      <c r="I25" s="135">
        <v>1.9058091583470184E-5</v>
      </c>
      <c r="J25" s="135">
        <v>6.5100227441401174E-3</v>
      </c>
      <c r="K25" s="88">
        <v>145.09904851683226</v>
      </c>
      <c r="L25" s="136">
        <v>1.0476465596883191</v>
      </c>
      <c r="M25" s="88" t="s">
        <v>1997</v>
      </c>
      <c r="N25" s="135">
        <v>5.2382327984415965E-4</v>
      </c>
      <c r="O25" s="135">
        <v>2.734616428960358E-2</v>
      </c>
      <c r="P25" s="135">
        <v>1.9363248899601761E-2</v>
      </c>
      <c r="Q25" s="135">
        <v>2.7260720241086738E-3</v>
      </c>
      <c r="R25" s="135">
        <v>2.7260720241086738E-3</v>
      </c>
      <c r="S25" s="135">
        <v>1.9058091583470184E-5</v>
      </c>
      <c r="T25" s="135">
        <v>6.5100227441401174E-3</v>
      </c>
      <c r="U25" s="88">
        <v>145.09904851683226</v>
      </c>
      <c r="V25" s="136">
        <v>1.0476465596883191</v>
      </c>
      <c r="W25" s="3" t="s">
        <v>1997</v>
      </c>
    </row>
    <row r="26" spans="1:23" x14ac:dyDescent="0.25">
      <c r="A26" s="810" t="s">
        <v>1996</v>
      </c>
      <c r="B26" s="810" t="s">
        <v>341</v>
      </c>
      <c r="C26" s="810"/>
      <c r="D26" s="137">
        <v>12.283836110010842</v>
      </c>
      <c r="E26" s="137">
        <v>3.2241630531275636</v>
      </c>
      <c r="F26" s="137">
        <v>5.0742648040144678</v>
      </c>
      <c r="G26" s="137">
        <v>3.4990121927804454</v>
      </c>
      <c r="H26" s="137">
        <v>3.4990121927804454</v>
      </c>
      <c r="I26" s="137">
        <v>0.16950066252132845</v>
      </c>
      <c r="J26" s="137">
        <v>37.21205845881672</v>
      </c>
      <c r="K26" s="87">
        <v>63984.815542961551</v>
      </c>
      <c r="L26" s="87"/>
      <c r="M26" s="87"/>
      <c r="N26" s="137">
        <v>11.052248884428675</v>
      </c>
      <c r="O26" s="137">
        <v>3.002578947554027</v>
      </c>
      <c r="P26" s="137">
        <v>4.6967645488845537</v>
      </c>
      <c r="Q26" s="137">
        <v>3.1078078224459307</v>
      </c>
      <c r="R26" s="137">
        <v>3.1078078224459307</v>
      </c>
      <c r="S26" s="137">
        <v>0.15330495376762715</v>
      </c>
      <c r="T26" s="137">
        <v>32.78133387214865</v>
      </c>
      <c r="U26" s="87">
        <v>59450.42262019519</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3.7102317195525925</v>
      </c>
      <c r="E28" s="133">
        <v>4.2124901619374419E-2</v>
      </c>
      <c r="F28" s="133">
        <v>6.4807540952883692E-3</v>
      </c>
      <c r="G28" s="133">
        <v>0.56058522924244403</v>
      </c>
      <c r="H28" s="133">
        <v>0.56058522924244403</v>
      </c>
      <c r="I28" s="133">
        <v>2.9163393428797667E-2</v>
      </c>
      <c r="J28" s="133">
        <v>4.0925962111746053</v>
      </c>
      <c r="K28" s="45">
        <v>518.38801805620994</v>
      </c>
      <c r="L28" s="134">
        <v>46.291483052243791</v>
      </c>
      <c r="M28" s="45" t="s">
        <v>738</v>
      </c>
      <c r="N28" s="133">
        <v>3.4312313336972924</v>
      </c>
      <c r="O28" s="133">
        <v>3.8957211648964901E-2</v>
      </c>
      <c r="P28" s="133">
        <v>5.9934171767638275E-3</v>
      </c>
      <c r="Q28" s="133">
        <v>0.51843058579007129</v>
      </c>
      <c r="R28" s="133">
        <v>0.51843058579007129</v>
      </c>
      <c r="S28" s="133">
        <v>2.6970377295437227E-2</v>
      </c>
      <c r="T28" s="133">
        <v>3.784842947126358</v>
      </c>
      <c r="U28" s="45">
        <v>479.40650207750258</v>
      </c>
      <c r="V28" s="134">
        <v>42.810476309369108</v>
      </c>
      <c r="W28" t="s">
        <v>738</v>
      </c>
    </row>
    <row r="29" spans="1:23" x14ac:dyDescent="0.25">
      <c r="A29" s="812" t="s">
        <v>1999</v>
      </c>
      <c r="B29" s="812">
        <v>2104008210</v>
      </c>
      <c r="C29" s="812" t="s">
        <v>138</v>
      </c>
      <c r="D29" s="133">
        <v>8.7487462966520865E-2</v>
      </c>
      <c r="E29" s="133">
        <v>4.6219791755897814E-3</v>
      </c>
      <c r="F29" s="133">
        <v>6.6028273936996856E-4</v>
      </c>
      <c r="G29" s="133">
        <v>5.0511629561802614E-2</v>
      </c>
      <c r="H29" s="133">
        <v>5.0511629561802614E-2</v>
      </c>
      <c r="I29" s="133">
        <v>2.8062016423223671E-3</v>
      </c>
      <c r="J29" s="133">
        <v>0.38098314061647198</v>
      </c>
      <c r="K29" s="45">
        <v>52.815251988587121</v>
      </c>
      <c r="L29" s="134">
        <v>4.7163442386211925</v>
      </c>
      <c r="M29" s="45" t="s">
        <v>738</v>
      </c>
      <c r="N29" s="133">
        <v>7.6339738608776964E-2</v>
      </c>
      <c r="O29" s="133">
        <v>4.0330427944259518E-3</v>
      </c>
      <c r="P29" s="133">
        <v>5.7614897063227894E-4</v>
      </c>
      <c r="Q29" s="133">
        <v>4.4075396253369356E-2</v>
      </c>
      <c r="R29" s="133">
        <v>4.4075396253369356E-2</v>
      </c>
      <c r="S29" s="133">
        <v>2.4486331251871861E-3</v>
      </c>
      <c r="T29" s="133">
        <v>0.3324379560548249</v>
      </c>
      <c r="U29" s="45">
        <v>46.085489219276255</v>
      </c>
      <c r="V29" s="134">
        <v>4.1153837836528941</v>
      </c>
      <c r="W29" t="s">
        <v>738</v>
      </c>
    </row>
    <row r="30" spans="1:23" x14ac:dyDescent="0.25">
      <c r="A30" s="812" t="s">
        <v>1999</v>
      </c>
      <c r="B30" s="812">
        <v>2104008220</v>
      </c>
      <c r="C30" s="812" t="s">
        <v>139</v>
      </c>
      <c r="D30" s="133">
        <v>4.1705101405932178E-2</v>
      </c>
      <c r="E30" s="133">
        <v>6.9508502343220277E-3</v>
      </c>
      <c r="F30" s="133">
        <v>1.3901700468644054E-3</v>
      </c>
      <c r="G30" s="133">
        <v>4.1705101405932178E-2</v>
      </c>
      <c r="H30" s="133">
        <v>4.1705101405932178E-2</v>
      </c>
      <c r="I30" s="133">
        <v>3.1278826054449115E-3</v>
      </c>
      <c r="J30" s="133">
        <v>0.48933985649627082</v>
      </c>
      <c r="K30" s="45">
        <v>111.19809280822302</v>
      </c>
      <c r="L30" s="134">
        <v>9.929868070591727</v>
      </c>
      <c r="M30" s="45" t="s">
        <v>738</v>
      </c>
      <c r="N30" s="133">
        <v>3.639100314521336E-2</v>
      </c>
      <c r="O30" s="133">
        <v>6.0651671908688943E-3</v>
      </c>
      <c r="P30" s="133">
        <v>1.2130334381737786E-3</v>
      </c>
      <c r="Q30" s="133">
        <v>3.639100314521336E-2</v>
      </c>
      <c r="R30" s="133">
        <v>3.639100314521336E-2</v>
      </c>
      <c r="S30" s="133">
        <v>2.7293252358910015E-3</v>
      </c>
      <c r="T30" s="133">
        <v>0.42698777023717011</v>
      </c>
      <c r="U30" s="45">
        <v>97.029140529800472</v>
      </c>
      <c r="V30" s="134">
        <v>8.6645961286898441</v>
      </c>
      <c r="W30" t="s">
        <v>738</v>
      </c>
    </row>
    <row r="31" spans="1:23" x14ac:dyDescent="0.25">
      <c r="A31" s="812" t="s">
        <v>1999</v>
      </c>
      <c r="B31" s="812">
        <v>2104008230</v>
      </c>
      <c r="C31" s="812" t="s">
        <v>140</v>
      </c>
      <c r="D31" s="133">
        <v>3.1386905763425961E-2</v>
      </c>
      <c r="E31" s="133">
        <v>4.1849207684567938E-3</v>
      </c>
      <c r="F31" s="133">
        <v>8.3698415369135883E-4</v>
      </c>
      <c r="G31" s="133">
        <v>2.7201984994969154E-2</v>
      </c>
      <c r="H31" s="133">
        <v>2.7201984994969154E-2</v>
      </c>
      <c r="I31" s="133">
        <v>1.883214345805557E-3</v>
      </c>
      <c r="J31" s="133">
        <v>0.22389326111243849</v>
      </c>
      <c r="K31" s="45">
        <v>66.949393573189042</v>
      </c>
      <c r="L31" s="134">
        <v>5.978507623637296</v>
      </c>
      <c r="M31" s="45" t="s">
        <v>738</v>
      </c>
      <c r="N31" s="133">
        <v>2.7387560462636393E-2</v>
      </c>
      <c r="O31" s="133">
        <v>3.651674728351519E-3</v>
      </c>
      <c r="P31" s="133">
        <v>7.3033494567030402E-4</v>
      </c>
      <c r="Q31" s="133">
        <v>2.3735885734284867E-2</v>
      </c>
      <c r="R31" s="133">
        <v>2.3735885734284867E-2</v>
      </c>
      <c r="S31" s="133">
        <v>1.6432536277581832E-3</v>
      </c>
      <c r="T31" s="133">
        <v>0.1953645979668063</v>
      </c>
      <c r="U31" s="45">
        <v>58.418646879144156</v>
      </c>
      <c r="V31" s="134">
        <v>5.2167212739235866</v>
      </c>
      <c r="W31" t="s">
        <v>738</v>
      </c>
    </row>
    <row r="32" spans="1:23" x14ac:dyDescent="0.25">
      <c r="A32" s="812" t="s">
        <v>1999</v>
      </c>
      <c r="B32" s="812">
        <v>2104008310</v>
      </c>
      <c r="C32" s="812" t="s">
        <v>141</v>
      </c>
      <c r="D32" s="133">
        <v>1.775489879606909</v>
      </c>
      <c r="E32" s="133">
        <v>4.864650092708523E-2</v>
      </c>
      <c r="F32" s="133">
        <v>1.339992361967478E-2</v>
      </c>
      <c r="G32" s="133">
        <v>0.40675566587961087</v>
      </c>
      <c r="H32" s="133">
        <v>0.40675566587961087</v>
      </c>
      <c r="I32" s="133">
        <v>1.3300380452420832E-2</v>
      </c>
      <c r="J32" s="133">
        <v>4.0591933592729648</v>
      </c>
      <c r="K32" s="45">
        <v>1071.8443787827007</v>
      </c>
      <c r="L32" s="134">
        <v>95.714530750751294</v>
      </c>
      <c r="M32" s="45" t="s">
        <v>738</v>
      </c>
      <c r="N32" s="133">
        <v>1.5492555014835441</v>
      </c>
      <c r="O32" s="133">
        <v>4.2447923840544237E-2</v>
      </c>
      <c r="P32" s="133">
        <v>1.16924943508192E-2</v>
      </c>
      <c r="Q32" s="133">
        <v>0.35492652498988503</v>
      </c>
      <c r="R32" s="133">
        <v>0.35492652498988503</v>
      </c>
      <c r="S32" s="133">
        <v>1.1605635055660941E-2</v>
      </c>
      <c r="T32" s="133">
        <v>3.5419676088671523</v>
      </c>
      <c r="U32" s="45">
        <v>935.26908806202641</v>
      </c>
      <c r="V32" s="134">
        <v>83.51850666157992</v>
      </c>
      <c r="W32" t="s">
        <v>738</v>
      </c>
    </row>
    <row r="33" spans="1:31" x14ac:dyDescent="0.25">
      <c r="A33" s="812" t="s">
        <v>1999</v>
      </c>
      <c r="B33" s="812">
        <v>2104008320</v>
      </c>
      <c r="C33" s="812" t="s">
        <v>142</v>
      </c>
      <c r="D33" s="133">
        <v>0.84637253114252775</v>
      </c>
      <c r="E33" s="133">
        <v>0.11347313959373337</v>
      </c>
      <c r="F33" s="133">
        <v>2.8212417704750928E-2</v>
      </c>
      <c r="G33" s="133">
        <v>0.55896736055489049</v>
      </c>
      <c r="H33" s="133">
        <v>0.55896736055489049</v>
      </c>
      <c r="I33" s="133">
        <v>1.7614545462373992E-2</v>
      </c>
      <c r="J33" s="133">
        <v>8.7205252106778079</v>
      </c>
      <c r="K33" s="45">
        <v>2256.678633921998</v>
      </c>
      <c r="L33" s="134">
        <v>201.51893388329339</v>
      </c>
      <c r="M33" s="45" t="s">
        <v>738</v>
      </c>
      <c r="N33" s="133">
        <v>0.7385270483588573</v>
      </c>
      <c r="O33" s="133">
        <v>9.9014298986104768E-2</v>
      </c>
      <c r="P33" s="133">
        <v>2.4617568278628578E-2</v>
      </c>
      <c r="Q33" s="133">
        <v>0.48774328056498262</v>
      </c>
      <c r="R33" s="133">
        <v>0.48774328056498262</v>
      </c>
      <c r="S33" s="133">
        <v>1.5370085618148815E-2</v>
      </c>
      <c r="T33" s="133">
        <v>7.6093487288475554</v>
      </c>
      <c r="U33" s="45">
        <v>1969.1307896714532</v>
      </c>
      <c r="V33" s="134">
        <v>175.84122588235334</v>
      </c>
      <c r="W33" t="s">
        <v>738</v>
      </c>
    </row>
    <row r="34" spans="1:31" x14ac:dyDescent="0.25">
      <c r="A34" s="812" t="s">
        <v>1999</v>
      </c>
      <c r="B34" s="812">
        <v>2104008330</v>
      </c>
      <c r="C34" s="812" t="s">
        <v>143</v>
      </c>
      <c r="D34" s="133">
        <v>0.63697279182119859</v>
      </c>
      <c r="E34" s="133">
        <v>6.8319138312455674E-2</v>
      </c>
      <c r="F34" s="133">
        <v>1.6985941115231967E-2</v>
      </c>
      <c r="G34" s="133">
        <v>0.37342029424524475</v>
      </c>
      <c r="H34" s="133">
        <v>0.37342029424524475</v>
      </c>
      <c r="I34" s="133">
        <v>1.0605246070246457E-2</v>
      </c>
      <c r="J34" s="133">
        <v>5.250394676296203</v>
      </c>
      <c r="K34" s="45">
        <v>1358.6857671310522</v>
      </c>
      <c r="L34" s="134">
        <v>121.32915301227511</v>
      </c>
      <c r="M34" s="45" t="s">
        <v>738</v>
      </c>
      <c r="N34" s="133">
        <v>0.55580919573746501</v>
      </c>
      <c r="O34" s="133">
        <v>5.9613857619183301E-2</v>
      </c>
      <c r="P34" s="133">
        <v>1.4821578552999069E-2</v>
      </c>
      <c r="Q34" s="133">
        <v>0.32583877377725962</v>
      </c>
      <c r="R34" s="133">
        <v>0.32583877377725962</v>
      </c>
      <c r="S34" s="133">
        <v>9.2539169091483027E-3</v>
      </c>
      <c r="T34" s="133">
        <v>4.5813850761079582</v>
      </c>
      <c r="U34" s="45">
        <v>1185.5609112124059</v>
      </c>
      <c r="V34" s="134">
        <v>105.86929272512793</v>
      </c>
      <c r="W34" t="s">
        <v>738</v>
      </c>
    </row>
    <row r="35" spans="1:31" x14ac:dyDescent="0.25">
      <c r="A35" s="812" t="s">
        <v>1999</v>
      </c>
      <c r="B35" s="812">
        <v>2104008410</v>
      </c>
      <c r="C35" s="812" t="s">
        <v>144</v>
      </c>
      <c r="D35" s="133">
        <v>1.0673074693606743E-2</v>
      </c>
      <c r="E35" s="133">
        <v>1.8638513200180108E-2</v>
      </c>
      <c r="F35" s="133">
        <v>1.4895914645498588E-3</v>
      </c>
      <c r="G35" s="133">
        <v>1.3778721047086193E-2</v>
      </c>
      <c r="H35" s="133">
        <v>1.3778721047086193E-2</v>
      </c>
      <c r="I35" s="133">
        <v>3.3459948272451204E-4</v>
      </c>
      <c r="J35" s="133">
        <v>4.6233195080966252E-2</v>
      </c>
      <c r="K35" s="45">
        <v>142.28781495780805</v>
      </c>
      <c r="L35" s="134">
        <v>12.706146255768509</v>
      </c>
      <c r="M35" s="45" t="s">
        <v>738</v>
      </c>
      <c r="N35" s="133">
        <v>9.3131027536332341E-3</v>
      </c>
      <c r="O35" s="133">
        <v>1.6263578546133847E-2</v>
      </c>
      <c r="P35" s="133">
        <v>1.2997864971935143E-3</v>
      </c>
      <c r="Q35" s="133">
        <v>1.2023025099040007E-2</v>
      </c>
      <c r="R35" s="133">
        <v>1.2023025099040007E-2</v>
      </c>
      <c r="S35" s="133">
        <v>2.9196454193209325E-4</v>
      </c>
      <c r="T35" s="133">
        <v>4.0342123406643712E-2</v>
      </c>
      <c r="U35" s="45">
        <v>124.15738475865707</v>
      </c>
      <c r="V35" s="134">
        <v>11.087118668207868</v>
      </c>
      <c r="W35" t="s">
        <v>738</v>
      </c>
    </row>
    <row r="36" spans="1:31" x14ac:dyDescent="0.25">
      <c r="A36" s="812" t="s">
        <v>1999</v>
      </c>
      <c r="B36" s="812">
        <v>2104008420</v>
      </c>
      <c r="C36" s="812" t="s">
        <v>145</v>
      </c>
      <c r="D36" s="133">
        <v>3.6000612645717793E-2</v>
      </c>
      <c r="E36" s="133">
        <v>6.2868284283039352E-2</v>
      </c>
      <c r="F36" s="133">
        <v>5.0244383043388111E-3</v>
      </c>
      <c r="G36" s="133">
        <v>4.6476054315133998E-2</v>
      </c>
      <c r="H36" s="133">
        <v>4.6476054315133998E-2</v>
      </c>
      <c r="I36" s="133">
        <v>1.1286144541121058E-3</v>
      </c>
      <c r="J36" s="133">
        <v>0.15594600387091584</v>
      </c>
      <c r="K36" s="45">
        <v>479.94122195828044</v>
      </c>
      <c r="L36" s="134">
        <v>42.858226209900252</v>
      </c>
      <c r="M36" s="45" t="s">
        <v>738</v>
      </c>
      <c r="N36" s="133">
        <v>3.1413385026167917E-2</v>
      </c>
      <c r="O36" s="133">
        <v>5.4857555885305401E-2</v>
      </c>
      <c r="P36" s="133">
        <v>4.3842202505738588E-3</v>
      </c>
      <c r="Q36" s="133">
        <v>4.0554037317808191E-2</v>
      </c>
      <c r="R36" s="133">
        <v>4.0554037317808191E-2</v>
      </c>
      <c r="S36" s="133">
        <v>9.8480547378515353E-4</v>
      </c>
      <c r="T36" s="133">
        <v>0.13607523602718616</v>
      </c>
      <c r="U36" s="45">
        <v>418.78671742821882</v>
      </c>
      <c r="V36" s="134">
        <v>37.397195839953035</v>
      </c>
      <c r="W36" t="s">
        <v>738</v>
      </c>
    </row>
    <row r="37" spans="1:31" x14ac:dyDescent="0.25">
      <c r="A37" s="812" t="s">
        <v>1999</v>
      </c>
      <c r="B37" s="812">
        <v>2104008610</v>
      </c>
      <c r="C37" s="812" t="s">
        <v>146</v>
      </c>
      <c r="D37" s="133">
        <v>1.1736421048544925</v>
      </c>
      <c r="E37" s="133">
        <v>4.1691012133129167E-2</v>
      </c>
      <c r="F37" s="133">
        <v>1.0340459073607866E-2</v>
      </c>
      <c r="G37" s="133">
        <v>0.25515475906587159</v>
      </c>
      <c r="H37" s="133">
        <v>0.25515475906587159</v>
      </c>
      <c r="I37" s="133">
        <v>6.3014387815374124E-3</v>
      </c>
      <c r="J37" s="133">
        <v>1.5658212446749913</v>
      </c>
      <c r="K37" s="45">
        <v>827.12135133410197</v>
      </c>
      <c r="L37" s="134">
        <v>73.861032052789128</v>
      </c>
      <c r="M37" s="45" t="s">
        <v>738</v>
      </c>
      <c r="N37" s="133">
        <v>1.0732197233420511</v>
      </c>
      <c r="O37" s="133">
        <v>3.8123731521130334E-2</v>
      </c>
      <c r="P37" s="133">
        <v>9.4556803818682932E-3</v>
      </c>
      <c r="Q37" s="133">
        <v>0.23332250845587418</v>
      </c>
      <c r="R37" s="133">
        <v>0.23332250845587418</v>
      </c>
      <c r="S37" s="133">
        <v>5.7622578107973579E-3</v>
      </c>
      <c r="T37" s="133">
        <v>1.4318421570445814</v>
      </c>
      <c r="U37" s="45">
        <v>756.34892798869271</v>
      </c>
      <c r="V37" s="134">
        <v>67.541132051734337</v>
      </c>
      <c r="W37" t="s">
        <v>738</v>
      </c>
    </row>
    <row r="38" spans="1:31" x14ac:dyDescent="0.25">
      <c r="A38" s="812" t="s">
        <v>1999</v>
      </c>
      <c r="B38" s="812">
        <v>2104004000</v>
      </c>
      <c r="C38" s="812" t="s">
        <v>568</v>
      </c>
      <c r="D38" s="133">
        <v>7.6180430485430592E-2</v>
      </c>
      <c r="E38" s="133">
        <v>1.1936083444522767</v>
      </c>
      <c r="F38" s="133">
        <v>3.088093825428234</v>
      </c>
      <c r="G38" s="133">
        <v>4.878508219832195E-2</v>
      </c>
      <c r="H38" s="133">
        <v>4.878508219832195E-2</v>
      </c>
      <c r="I38" s="133">
        <v>2.6173196599399732E-3</v>
      </c>
      <c r="J38" s="133">
        <v>4.7850034789520768E-2</v>
      </c>
      <c r="K38" s="45">
        <v>28679.455619571996</v>
      </c>
      <c r="L38" s="134">
        <v>213.68984708395681</v>
      </c>
      <c r="M38" s="45" t="s">
        <v>1997</v>
      </c>
      <c r="N38" s="133">
        <v>7.0445346560971581E-2</v>
      </c>
      <c r="O38" s="133">
        <v>1.103750043773895</v>
      </c>
      <c r="P38" s="133">
        <v>2.8556131589029685</v>
      </c>
      <c r="Q38" s="133">
        <v>4.5112399609287264E-2</v>
      </c>
      <c r="R38" s="133">
        <v>4.5112399609287264E-2</v>
      </c>
      <c r="S38" s="133">
        <v>2.4202802390382622E-3</v>
      </c>
      <c r="T38" s="133">
        <v>4.4247745283442601E-2</v>
      </c>
      <c r="U38" s="45">
        <v>26520.382956973961</v>
      </c>
      <c r="V38" s="134">
        <v>197.60265514999048</v>
      </c>
      <c r="W38" t="s">
        <v>1997</v>
      </c>
    </row>
    <row r="39" spans="1:31" x14ac:dyDescent="0.25">
      <c r="A39" s="812" t="s">
        <v>1999</v>
      </c>
      <c r="B39" s="812">
        <v>2103004001</v>
      </c>
      <c r="C39" s="812" t="s">
        <v>148</v>
      </c>
      <c r="D39" s="133">
        <v>2.2833756994563508E-2</v>
      </c>
      <c r="E39" s="133">
        <v>0.57644828317271113</v>
      </c>
      <c r="F39" s="133">
        <v>0.40745926647016895</v>
      </c>
      <c r="G39" s="133">
        <v>1.4622478565401786E-2</v>
      </c>
      <c r="H39" s="133">
        <v>1.4622478565401786E-2</v>
      </c>
      <c r="I39" s="133">
        <v>7.8449597503380594E-4</v>
      </c>
      <c r="J39" s="133">
        <v>1.4342214392898253E-2</v>
      </c>
      <c r="K39" s="45">
        <v>8870.8985799356124</v>
      </c>
      <c r="L39" s="134">
        <v>66.096825064911087</v>
      </c>
      <c r="M39" s="45" t="s">
        <v>1997</v>
      </c>
      <c r="N39" s="133">
        <v>2.2453472895540588E-2</v>
      </c>
      <c r="O39" s="133">
        <v>0.56684784308517611</v>
      </c>
      <c r="P39" s="133">
        <v>0.40067324873007293</v>
      </c>
      <c r="Q39" s="133">
        <v>1.4378948948788552E-2</v>
      </c>
      <c r="R39" s="133">
        <v>1.4378948948788552E-2</v>
      </c>
      <c r="S39" s="133">
        <v>7.7143061110250609E-4</v>
      </c>
      <c r="T39" s="133">
        <v>1.4103352427270106E-2</v>
      </c>
      <c r="U39" s="45">
        <v>8723.1584741441002</v>
      </c>
      <c r="V39" s="134">
        <v>64.996017537964505</v>
      </c>
      <c r="W39" t="s">
        <v>1997</v>
      </c>
    </row>
    <row r="40" spans="1:31" x14ac:dyDescent="0.25">
      <c r="A40" s="812" t="s">
        <v>1999</v>
      </c>
      <c r="B40" s="812">
        <v>2104004000</v>
      </c>
      <c r="C40" s="812" t="s">
        <v>746</v>
      </c>
      <c r="D40" s="133">
        <v>5.0691758186930628E-4</v>
      </c>
      <c r="E40" s="133">
        <v>1.2797358308061038E-2</v>
      </c>
      <c r="F40" s="133">
        <v>2.0548703185275373E-2</v>
      </c>
      <c r="G40" s="133">
        <v>2.8438574017913403E-4</v>
      </c>
      <c r="H40" s="133">
        <v>2.8438574017913403E-4</v>
      </c>
      <c r="I40" s="133">
        <v>1.7416091567630459E-5</v>
      </c>
      <c r="J40" s="133">
        <v>3.1840229535727007E-4</v>
      </c>
      <c r="K40" s="45">
        <v>194.79712237920234</v>
      </c>
      <c r="L40" s="134">
        <v>1.4219287008956709</v>
      </c>
      <c r="M40" s="45" t="s">
        <v>1997</v>
      </c>
      <c r="N40" s="133">
        <v>4.7930267022561511E-4</v>
      </c>
      <c r="O40" s="133">
        <v>1.2100207663479771E-2</v>
      </c>
      <c r="P40" s="133">
        <v>1.9429289215135908E-2</v>
      </c>
      <c r="Q40" s="133">
        <v>2.6889350363288374E-4</v>
      </c>
      <c r="R40" s="133">
        <v>2.6889350363288374E-4</v>
      </c>
      <c r="S40" s="133">
        <v>1.6467330177179129E-5</v>
      </c>
      <c r="T40" s="133">
        <v>3.0105696829046025E-4</v>
      </c>
      <c r="U40" s="45">
        <v>184.18532765093451</v>
      </c>
      <c r="V40" s="134">
        <v>1.3444675181644188</v>
      </c>
      <c r="W40" t="s">
        <v>1997</v>
      </c>
    </row>
    <row r="41" spans="1:31" x14ac:dyDescent="0.25">
      <c r="A41" s="812" t="s">
        <v>1999</v>
      </c>
      <c r="B41" s="812">
        <v>2104004000</v>
      </c>
      <c r="C41" s="812" t="s">
        <v>747</v>
      </c>
      <c r="D41" s="133">
        <v>1.6175484220851189E-3</v>
      </c>
      <c r="E41" s="133">
        <v>2.5344032343393753E-2</v>
      </c>
      <c r="F41" s="133">
        <v>6.5569874871310344E-2</v>
      </c>
      <c r="G41" s="133">
        <v>1.0358596325637773E-3</v>
      </c>
      <c r="H41" s="133">
        <v>1.0358596325637773E-3</v>
      </c>
      <c r="I41" s="133">
        <v>5.5573869287046661E-5</v>
      </c>
      <c r="J41" s="133">
        <v>1.0160056562729715E-3</v>
      </c>
      <c r="K41" s="45">
        <v>567.16284084330971</v>
      </c>
      <c r="L41" s="134">
        <v>4.5373027267464767</v>
      </c>
      <c r="M41" s="45" t="s">
        <v>1997</v>
      </c>
      <c r="N41" s="133">
        <v>1.3502279528604922E-3</v>
      </c>
      <c r="O41" s="133">
        <v>2.1155608352137412E-2</v>
      </c>
      <c r="P41" s="133">
        <v>5.473361830039182E-2</v>
      </c>
      <c r="Q41" s="133">
        <v>8.6467064109553452E-4</v>
      </c>
      <c r="R41" s="133">
        <v>8.6467064109553452E-4</v>
      </c>
      <c r="S41" s="133">
        <v>4.6389579894775454E-5</v>
      </c>
      <c r="T41" s="133">
        <v>8.4809778714120369E-4</v>
      </c>
      <c r="U41" s="45">
        <v>473.43196103102827</v>
      </c>
      <c r="V41" s="134">
        <v>3.7874556882482251</v>
      </c>
      <c r="W41" t="s">
        <v>1997</v>
      </c>
    </row>
    <row r="42" spans="1:31" x14ac:dyDescent="0.25">
      <c r="A42" s="812" t="s">
        <v>1999</v>
      </c>
      <c r="B42" s="812">
        <v>2104006010</v>
      </c>
      <c r="C42" s="812" t="s">
        <v>149</v>
      </c>
      <c r="D42" s="133">
        <v>6.2640334377998927E-4</v>
      </c>
      <c r="E42" s="133">
        <v>1.0705802602785277E-2</v>
      </c>
      <c r="F42" s="133">
        <v>6.8334910230544272E-5</v>
      </c>
      <c r="G42" s="133">
        <v>5.6412746225655276E-6</v>
      </c>
      <c r="H42" s="133">
        <v>5.6412746225655276E-6</v>
      </c>
      <c r="I42" s="133">
        <v>2.2778303410181415E-3</v>
      </c>
      <c r="J42" s="133">
        <v>4.5556606820362829E-3</v>
      </c>
      <c r="K42" s="45">
        <v>281.18883333333321</v>
      </c>
      <c r="L42" s="134">
        <v>277.03333333333364</v>
      </c>
      <c r="M42" s="45" t="s">
        <v>1998</v>
      </c>
      <c r="N42" s="133">
        <v>6.2640334377998927E-4</v>
      </c>
      <c r="O42" s="133">
        <v>1.0705802602785277E-2</v>
      </c>
      <c r="P42" s="133">
        <v>6.8334910230544272E-5</v>
      </c>
      <c r="Q42" s="133">
        <v>5.6412746225655276E-6</v>
      </c>
      <c r="R42" s="133">
        <v>5.6412746225655276E-6</v>
      </c>
      <c r="S42" s="133">
        <v>2.2778303410181415E-3</v>
      </c>
      <c r="T42" s="133">
        <v>4.5556606820362829E-3</v>
      </c>
      <c r="U42" s="45">
        <v>281.18883333333321</v>
      </c>
      <c r="V42" s="134">
        <v>277.03333333333364</v>
      </c>
      <c r="W42" t="s">
        <v>1998</v>
      </c>
    </row>
    <row r="43" spans="1:31" x14ac:dyDescent="0.25">
      <c r="A43" s="812" t="s">
        <v>1999</v>
      </c>
      <c r="B43" s="812">
        <v>2103006000</v>
      </c>
      <c r="C43" s="812" t="s">
        <v>150</v>
      </c>
      <c r="D43" s="133">
        <v>9.7086916666666578E-3</v>
      </c>
      <c r="E43" s="133">
        <v>0.17652166666666658</v>
      </c>
      <c r="F43" s="133">
        <v>1.0591299999999988E-3</v>
      </c>
      <c r="G43" s="133">
        <v>1.341564666666667E-2</v>
      </c>
      <c r="H43" s="133">
        <v>1.341564666666667E-2</v>
      </c>
      <c r="I43" s="133">
        <v>3.5304333333333326E-2</v>
      </c>
      <c r="J43" s="133">
        <v>7.0608666666666653E-2</v>
      </c>
      <c r="K43" s="45">
        <v>3583.3898333333327</v>
      </c>
      <c r="L43" s="134">
        <v>3530.4333333333288</v>
      </c>
      <c r="M43" s="45" t="s">
        <v>1998</v>
      </c>
      <c r="N43" s="133">
        <v>9.7086916666666578E-3</v>
      </c>
      <c r="O43" s="133">
        <v>0.17652166666666658</v>
      </c>
      <c r="P43" s="133">
        <v>1.0591299999999988E-3</v>
      </c>
      <c r="Q43" s="133">
        <v>1.341564666666667E-2</v>
      </c>
      <c r="R43" s="133">
        <v>1.341564666666667E-2</v>
      </c>
      <c r="S43" s="133">
        <v>3.5304333333333326E-2</v>
      </c>
      <c r="T43" s="133">
        <v>7.0608666666666653E-2</v>
      </c>
      <c r="U43" s="45">
        <v>3583.3898333333327</v>
      </c>
      <c r="V43" s="134">
        <v>3530.4333333333288</v>
      </c>
      <c r="W43" t="s">
        <v>1998</v>
      </c>
    </row>
    <row r="44" spans="1:31" x14ac:dyDescent="0.25">
      <c r="A44" s="812" t="s">
        <v>1999</v>
      </c>
      <c r="B44" s="812">
        <v>2104002000</v>
      </c>
      <c r="C44" s="812" t="s">
        <v>151</v>
      </c>
      <c r="D44" s="133">
        <v>0.11351443044240531</v>
      </c>
      <c r="E44" s="133">
        <v>5.3578811168815306E-2</v>
      </c>
      <c r="F44" s="133">
        <v>0.10556842031143694</v>
      </c>
      <c r="G44" s="133">
        <v>9.069802992348186E-2</v>
      </c>
      <c r="H44" s="133">
        <v>9.069802992348186E-2</v>
      </c>
      <c r="I44" s="133">
        <v>1.4370359321856303E-2</v>
      </c>
      <c r="J44" s="133">
        <v>1.4822146755017076</v>
      </c>
      <c r="K44" s="45">
        <v>345.08386854491215</v>
      </c>
      <c r="L44" s="134">
        <v>22.702886088481058</v>
      </c>
      <c r="M44" s="45" t="s">
        <v>738</v>
      </c>
      <c r="N44" s="133">
        <v>9.9736804928091366E-2</v>
      </c>
      <c r="O44" s="133">
        <v>4.7075771926059128E-2</v>
      </c>
      <c r="P44" s="133">
        <v>9.2755228583124974E-2</v>
      </c>
      <c r="Q44" s="133">
        <v>7.9689707137545016E-2</v>
      </c>
      <c r="R44" s="133">
        <v>7.9689707137545016E-2</v>
      </c>
      <c r="S44" s="133">
        <v>1.2626180819871727E-2</v>
      </c>
      <c r="T44" s="133">
        <v>1.3023133303485532</v>
      </c>
      <c r="U44" s="45">
        <v>303.1998869813977</v>
      </c>
      <c r="V44" s="134">
        <v>19.947360985618278</v>
      </c>
      <c r="W44" t="s">
        <v>738</v>
      </c>
    </row>
    <row r="45" spans="1:31" x14ac:dyDescent="0.25">
      <c r="A45" s="812" t="s">
        <v>1999</v>
      </c>
      <c r="B45" s="812">
        <v>2103002000</v>
      </c>
      <c r="C45" s="812" t="s">
        <v>152</v>
      </c>
      <c r="D45" s="133">
        <v>2.8532244230068839E-4</v>
      </c>
      <c r="E45" s="133">
        <v>1.3467219276592487E-4</v>
      </c>
      <c r="F45" s="133">
        <v>2.6534987133964015E-4</v>
      </c>
      <c r="G45" s="133">
        <v>2.279726313982501E-4</v>
      </c>
      <c r="H45" s="133">
        <v>2.279726313982501E-4</v>
      </c>
      <c r="I45" s="133">
        <v>3.6120394583055642E-5</v>
      </c>
      <c r="J45" s="133">
        <v>3.7255977903412375E-3</v>
      </c>
      <c r="K45" s="45">
        <v>13.116826184181894</v>
      </c>
      <c r="L45" s="134">
        <v>0.86738022459409281</v>
      </c>
      <c r="M45" s="45" t="s">
        <v>738</v>
      </c>
      <c r="N45" s="133">
        <v>2.6963315214105558E-4</v>
      </c>
      <c r="O45" s="133">
        <v>1.2726684781057824E-4</v>
      </c>
      <c r="P45" s="133">
        <v>2.5075883149118169E-4</v>
      </c>
      <c r="Q45" s="133">
        <v>2.1543688856070345E-4</v>
      </c>
      <c r="R45" s="133">
        <v>2.1543688856070345E-4</v>
      </c>
      <c r="S45" s="133">
        <v>3.4134208895296937E-5</v>
      </c>
      <c r="T45" s="133">
        <v>3.5207348840818335E-3</v>
      </c>
      <c r="U45" s="45">
        <v>12.391855464485586</v>
      </c>
      <c r="V45" s="134">
        <v>0.81968478250880905</v>
      </c>
      <c r="W45" t="s">
        <v>738</v>
      </c>
    </row>
    <row r="46" spans="1:31" x14ac:dyDescent="0.25">
      <c r="A46" s="812" t="s">
        <v>1999</v>
      </c>
      <c r="B46" s="812">
        <v>2103008000</v>
      </c>
      <c r="C46" s="812" t="s">
        <v>153</v>
      </c>
      <c r="D46" s="133">
        <v>8.7184102008962044E-4</v>
      </c>
      <c r="E46" s="133">
        <v>3.4664180803309314E-5</v>
      </c>
      <c r="F46" s="133">
        <v>7.5569431662724817E-6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2.9083381335906241E-5</v>
      </c>
      <c r="P46" s="133">
        <v>6.1727592489711021E-6</v>
      </c>
      <c r="Q46" s="133">
        <v>2.1102851649953142E-4</v>
      </c>
      <c r="R46" s="133">
        <v>2.1102851649953142E-4</v>
      </c>
      <c r="S46" s="133">
        <v>8.1341904248124647E-6</v>
      </c>
      <c r="T46" s="133">
        <v>1.5343025389261335E-3</v>
      </c>
      <c r="U46" s="45">
        <v>6.466004494494177</v>
      </c>
      <c r="V46" s="134">
        <v>0.53394367503600026</v>
      </c>
      <c r="W46" t="s">
        <v>738</v>
      </c>
    </row>
    <row r="47" spans="1:31" x14ac:dyDescent="0.25">
      <c r="A47" s="813" t="s">
        <v>1999</v>
      </c>
      <c r="B47" s="813">
        <v>2102012000</v>
      </c>
      <c r="C47" s="813" t="s">
        <v>154</v>
      </c>
      <c r="D47" s="135">
        <v>3.7226766797913605E-4</v>
      </c>
      <c r="E47" s="135">
        <v>1.9434212261993555E-2</v>
      </c>
      <c r="F47" s="135">
        <v>1.37609605943799E-2</v>
      </c>
      <c r="G47" s="135">
        <v>1.9373489384817266E-3</v>
      </c>
      <c r="H47" s="135">
        <v>1.9373489384817266E-3</v>
      </c>
      <c r="I47" s="135">
        <v>1.3544093175893139E-5</v>
      </c>
      <c r="J47" s="135">
        <v>4.6265049277175547E-3</v>
      </c>
      <c r="K47" s="88">
        <v>103.11814403022066</v>
      </c>
      <c r="L47" s="136">
        <v>0.74453533595827182</v>
      </c>
      <c r="M47" s="88" t="s">
        <v>1997</v>
      </c>
      <c r="N47" s="135">
        <v>3.7226766797913605E-4</v>
      </c>
      <c r="O47" s="135">
        <v>1.9434212261993555E-2</v>
      </c>
      <c r="P47" s="135">
        <v>1.37609605943799E-2</v>
      </c>
      <c r="Q47" s="135">
        <v>1.9373489384817266E-3</v>
      </c>
      <c r="R47" s="135">
        <v>1.9373489384817266E-3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8.576479794520095</v>
      </c>
      <c r="E48" s="137">
        <v>2.4801270875976384</v>
      </c>
      <c r="F48" s="137">
        <v>3.7872223849029103</v>
      </c>
      <c r="G48" s="137">
        <v>2.5058144296650271</v>
      </c>
      <c r="H48" s="137">
        <v>2.5058144296650271</v>
      </c>
      <c r="I48" s="137">
        <v>0.14175148751273509</v>
      </c>
      <c r="J48" s="137">
        <v>26.615927826871104</v>
      </c>
      <c r="K48" s="87">
        <v>49532.037538602133</v>
      </c>
      <c r="L48" s="87"/>
      <c r="M48" s="87"/>
      <c r="N48" s="137">
        <v>7.7350444795993702</v>
      </c>
      <c r="O48" s="137">
        <v>2.3207755493223527</v>
      </c>
      <c r="P48" s="137">
        <v>3.5131341636703675</v>
      </c>
      <c r="Q48" s="137">
        <v>2.2331407432529695</v>
      </c>
      <c r="R48" s="137">
        <v>2.2331407432529695</v>
      </c>
      <c r="S48" s="137">
        <v>0.13057897944067817</v>
      </c>
      <c r="T48" s="137">
        <v>23.527253654200358</v>
      </c>
      <c r="U48" s="87">
        <v>46261.106875264471</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4.8978264085405963</v>
      </c>
      <c r="E50" s="133">
        <v>5.5608509441945654E-2</v>
      </c>
      <c r="F50" s="133">
        <v>8.5551552987608633E-3</v>
      </c>
      <c r="G50" s="133">
        <v>0.74002093334281505</v>
      </c>
      <c r="H50" s="133">
        <v>0.74002093334281505</v>
      </c>
      <c r="I50" s="133">
        <v>3.8498198844423896E-2</v>
      </c>
      <c r="J50" s="133">
        <v>5.402580571167487</v>
      </c>
      <c r="K50" s="45">
        <v>686.89640209494166</v>
      </c>
      <c r="L50" s="134">
        <v>61.108756897569073</v>
      </c>
      <c r="M50" s="45" t="s">
        <v>738</v>
      </c>
      <c r="N50" s="133">
        <v>4.5187146203678008</v>
      </c>
      <c r="O50" s="133">
        <v>5.1304183462691194E-2</v>
      </c>
      <c r="P50" s="133">
        <v>7.8929513019524947E-3</v>
      </c>
      <c r="Q50" s="133">
        <v>0.68274028761889094</v>
      </c>
      <c r="R50" s="133">
        <v>0.68274028761889094</v>
      </c>
      <c r="S50" s="133">
        <v>3.5518280858786222E-2</v>
      </c>
      <c r="T50" s="133">
        <v>4.9843987471830014</v>
      </c>
      <c r="U50" s="45">
        <v>633.72479717636099</v>
      </c>
      <c r="V50" s="134">
        <v>56.378689278174406</v>
      </c>
      <c r="W50" t="s">
        <v>738</v>
      </c>
      <c r="Y50" s="13">
        <f>N50/$U50*2000</f>
        <v>14.260810498505002</v>
      </c>
      <c r="Z50" s="5">
        <f t="shared" ref="Z50:AE65" si="0">O50/$U50*2000</f>
        <v>0.16191313229743673</v>
      </c>
      <c r="AA50" s="357">
        <f t="shared" si="0"/>
        <v>2.4909712661144123E-2</v>
      </c>
      <c r="AB50" s="5">
        <f t="shared" si="0"/>
        <v>2.1546901451889671</v>
      </c>
      <c r="AC50" s="358">
        <f t="shared" si="0"/>
        <v>2.1546901451889671</v>
      </c>
      <c r="AD50" s="5">
        <f t="shared" si="0"/>
        <v>0.11209370697514853</v>
      </c>
      <c r="AE50" s="13">
        <f t="shared" si="0"/>
        <v>15.730483545512513</v>
      </c>
    </row>
    <row r="51" spans="1:31" x14ac:dyDescent="0.25">
      <c r="A51" s="812" t="s">
        <v>2001</v>
      </c>
      <c r="B51" s="812">
        <v>2104008210</v>
      </c>
      <c r="C51" s="812" t="s">
        <v>138</v>
      </c>
      <c r="D51" s="133">
        <v>0.10603427829539235</v>
      </c>
      <c r="E51" s="133">
        <v>5.6018109288131814E-3</v>
      </c>
      <c r="F51" s="133">
        <v>8.0025870411616845E-4</v>
      </c>
      <c r="G51" s="133">
        <v>6.1219790864886901E-2</v>
      </c>
      <c r="H51" s="133">
        <v>6.1219790864886901E-2</v>
      </c>
      <c r="I51" s="133">
        <v>3.401099492493715E-3</v>
      </c>
      <c r="J51" s="133">
        <v>0.4617492722750291</v>
      </c>
      <c r="K51" s="45">
        <v>64.241650762615038</v>
      </c>
      <c r="L51" s="134">
        <v>5.7161808169726269</v>
      </c>
      <c r="M51" s="45" t="s">
        <v>738</v>
      </c>
      <c r="N51" s="133">
        <v>9.2288983552914705E-2</v>
      </c>
      <c r="O51" s="133">
        <v>4.8756444141162484E-3</v>
      </c>
      <c r="P51" s="133">
        <v>6.9652063058803562E-4</v>
      </c>
      <c r="Q51" s="133">
        <v>5.3283828239984704E-2</v>
      </c>
      <c r="R51" s="133">
        <v>5.3283828239984704E-2</v>
      </c>
      <c r="S51" s="133">
        <v>2.960212679999151E-3</v>
      </c>
      <c r="T51" s="133">
        <v>0.40189240384929653</v>
      </c>
      <c r="U51" s="45">
        <v>55.913654755674415</v>
      </c>
      <c r="V51" s="134">
        <v>4.9751884568256406</v>
      </c>
      <c r="W51" t="s">
        <v>738</v>
      </c>
      <c r="Y51" s="13">
        <f t="shared" ref="Y51:AE70" si="1">N51/$U51*2000</f>
        <v>3.3011250634997609</v>
      </c>
      <c r="Z51" s="5">
        <f t="shared" si="0"/>
        <v>0.17439905995847793</v>
      </c>
      <c r="AA51" s="357">
        <f t="shared" si="0"/>
        <v>2.4914151422639707E-2</v>
      </c>
      <c r="AB51" s="5">
        <f t="shared" si="0"/>
        <v>1.905932583831937</v>
      </c>
      <c r="AC51" s="358">
        <f t="shared" si="0"/>
        <v>1.905932583831937</v>
      </c>
      <c r="AD51" s="5">
        <f t="shared" si="0"/>
        <v>0.10588514354621874</v>
      </c>
      <c r="AE51" s="13">
        <f t="shared" si="0"/>
        <v>14.375465370863111</v>
      </c>
    </row>
    <row r="52" spans="1:31" x14ac:dyDescent="0.25">
      <c r="A52" s="812" t="s">
        <v>2001</v>
      </c>
      <c r="B52" s="812">
        <v>2104008220</v>
      </c>
      <c r="C52" s="812" t="s">
        <v>139</v>
      </c>
      <c r="D52" s="133">
        <v>5.0546331769917886E-2</v>
      </c>
      <c r="E52" s="133">
        <v>8.424388628319646E-3</v>
      </c>
      <c r="F52" s="133">
        <v>1.6848777256639295E-3</v>
      </c>
      <c r="G52" s="133">
        <v>5.0546331769917886E-2</v>
      </c>
      <c r="H52" s="133">
        <v>5.0546331769917886E-2</v>
      </c>
      <c r="I52" s="133">
        <v>3.790974882743841E-3</v>
      </c>
      <c r="J52" s="133">
        <v>0.59307695943370309</v>
      </c>
      <c r="K52" s="45">
        <v>135.25541912018846</v>
      </c>
      <c r="L52" s="134">
        <v>12.034940307236626</v>
      </c>
      <c r="M52" s="45" t="s">
        <v>738</v>
      </c>
      <c r="N52" s="133">
        <v>4.3993976819256868E-2</v>
      </c>
      <c r="O52" s="133">
        <v>7.3323294698761452E-3</v>
      </c>
      <c r="P52" s="133">
        <v>1.466465893975229E-3</v>
      </c>
      <c r="Q52" s="133">
        <v>4.3993976819256868E-2</v>
      </c>
      <c r="R52" s="133">
        <v>4.3993976819256868E-2</v>
      </c>
      <c r="S52" s="133">
        <v>3.2995482614442662E-3</v>
      </c>
      <c r="T52" s="133">
        <v>0.51619599467928046</v>
      </c>
      <c r="U52" s="45">
        <v>117.72152052047326</v>
      </c>
      <c r="V52" s="134">
        <v>10.474842908636418</v>
      </c>
      <c r="W52" t="s">
        <v>738</v>
      </c>
      <c r="Y52" s="13">
        <f t="shared" si="1"/>
        <v>0.74742454267919112</v>
      </c>
      <c r="Z52" s="5">
        <f t="shared" si="0"/>
        <v>0.12457075711319854</v>
      </c>
      <c r="AA52" s="357">
        <f t="shared" si="0"/>
        <v>2.4914151422639703E-2</v>
      </c>
      <c r="AB52" s="5">
        <f t="shared" si="0"/>
        <v>0.74742454267919112</v>
      </c>
      <c r="AC52" s="358">
        <f t="shared" si="0"/>
        <v>0.74742454267919112</v>
      </c>
      <c r="AD52" s="5">
        <f t="shared" si="0"/>
        <v>5.6056840700939352E-2</v>
      </c>
      <c r="AE52" s="13">
        <f t="shared" si="0"/>
        <v>8.7697813007691732</v>
      </c>
    </row>
    <row r="53" spans="1:31" x14ac:dyDescent="0.25">
      <c r="A53" s="812" t="s">
        <v>2001</v>
      </c>
      <c r="B53" s="812">
        <v>2104008230</v>
      </c>
      <c r="C53" s="812" t="s">
        <v>140</v>
      </c>
      <c r="D53" s="133">
        <v>3.8040740783898741E-2</v>
      </c>
      <c r="E53" s="133">
        <v>5.0720987711864963E-3</v>
      </c>
      <c r="F53" s="133">
        <v>1.0144197542372995E-3</v>
      </c>
      <c r="G53" s="133">
        <v>3.296864201271224E-2</v>
      </c>
      <c r="H53" s="133">
        <v>3.296864201271224E-2</v>
      </c>
      <c r="I53" s="133">
        <v>2.2824444470339244E-3</v>
      </c>
      <c r="J53" s="133">
        <v>0.27135728425847766</v>
      </c>
      <c r="K53" s="45">
        <v>81.433665442457141</v>
      </c>
      <c r="L53" s="134">
        <v>7.2459152392894115</v>
      </c>
      <c r="M53" s="45" t="s">
        <v>738</v>
      </c>
      <c r="N53" s="133">
        <v>3.3109493995570317E-2</v>
      </c>
      <c r="O53" s="133">
        <v>4.4145991994093735E-3</v>
      </c>
      <c r="P53" s="133">
        <v>8.8291983988187436E-4</v>
      </c>
      <c r="Q53" s="133">
        <v>2.8694894796160917E-2</v>
      </c>
      <c r="R53" s="133">
        <v>2.8694894796160917E-2</v>
      </c>
      <c r="S53" s="133">
        <v>1.9865696397342175E-3</v>
      </c>
      <c r="T53" s="133">
        <v>0.23618105716840151</v>
      </c>
      <c r="U53" s="45">
        <v>70.87697468833376</v>
      </c>
      <c r="V53" s="134">
        <v>6.3066223781112241</v>
      </c>
      <c r="W53" t="s">
        <v>738</v>
      </c>
      <c r="Y53" s="13">
        <f t="shared" si="1"/>
        <v>0.93428067834898965</v>
      </c>
      <c r="Z53" s="5">
        <f t="shared" si="0"/>
        <v>0.12457075711319857</v>
      </c>
      <c r="AA53" s="357">
        <f t="shared" si="0"/>
        <v>2.4914151422639703E-2</v>
      </c>
      <c r="AB53" s="5">
        <f t="shared" si="0"/>
        <v>0.80970992123579033</v>
      </c>
      <c r="AC53" s="358">
        <f t="shared" si="0"/>
        <v>0.80970992123579033</v>
      </c>
      <c r="AD53" s="5">
        <f t="shared" si="0"/>
        <v>5.6056840700939338E-2</v>
      </c>
      <c r="AE53" s="13">
        <f t="shared" si="0"/>
        <v>6.664535505556124</v>
      </c>
    </row>
    <row r="54" spans="1:31" x14ac:dyDescent="0.25">
      <c r="A54" s="812" t="s">
        <v>2001</v>
      </c>
      <c r="B54" s="812">
        <v>2104008310</v>
      </c>
      <c r="C54" s="812" t="s">
        <v>141</v>
      </c>
      <c r="D54" s="133">
        <v>2.1518830426816096</v>
      </c>
      <c r="E54" s="133">
        <v>5.8959266190785758E-2</v>
      </c>
      <c r="F54" s="133">
        <v>1.6240626737219693E-2</v>
      </c>
      <c r="G54" s="133">
        <v>0.49298541770048804</v>
      </c>
      <c r="H54" s="133">
        <v>0.49298541770048804</v>
      </c>
      <c r="I54" s="133">
        <v>1.6119981017923331E-2</v>
      </c>
      <c r="J54" s="133">
        <v>4.9197179083438032</v>
      </c>
      <c r="K54" s="45">
        <v>1303.7342370061899</v>
      </c>
      <c r="L54" s="134">
        <v>116.00543490924878</v>
      </c>
      <c r="M54" s="45" t="s">
        <v>738</v>
      </c>
      <c r="N54" s="133">
        <v>1.87293299795552</v>
      </c>
      <c r="O54" s="133">
        <v>5.1316336898289579E-2</v>
      </c>
      <c r="P54" s="133">
        <v>1.4135343380796375E-2</v>
      </c>
      <c r="Q54" s="133">
        <v>0.42907938675491686</v>
      </c>
      <c r="R54" s="133">
        <v>0.42907938675491686</v>
      </c>
      <c r="S54" s="133">
        <v>1.4030337047157235E-2</v>
      </c>
      <c r="T54" s="133">
        <v>4.2819715702054344</v>
      </c>
      <c r="U54" s="45">
        <v>1134.7240482733416</v>
      </c>
      <c r="V54" s="134">
        <v>100.96757243505101</v>
      </c>
      <c r="W54" t="s">
        <v>738</v>
      </c>
      <c r="Y54" s="13">
        <f t="shared" si="1"/>
        <v>3.3011250634997604</v>
      </c>
      <c r="Z54" s="5">
        <f t="shared" si="0"/>
        <v>9.0447253632062061E-2</v>
      </c>
      <c r="AA54" s="357">
        <f t="shared" si="0"/>
        <v>2.49141514226397E-2</v>
      </c>
      <c r="AB54" s="5">
        <f t="shared" si="0"/>
        <v>0.75627089671330672</v>
      </c>
      <c r="AC54" s="358">
        <f t="shared" si="0"/>
        <v>0.75627089671330672</v>
      </c>
      <c r="AD54" s="5">
        <f t="shared" si="0"/>
        <v>2.4729073237685525E-2</v>
      </c>
      <c r="AE54" s="13">
        <f t="shared" si="0"/>
        <v>7.5471592881478404</v>
      </c>
    </row>
    <row r="55" spans="1:31" x14ac:dyDescent="0.25">
      <c r="A55" s="812" t="s">
        <v>2001</v>
      </c>
      <c r="B55" s="812">
        <v>2104008320</v>
      </c>
      <c r="C55" s="812" t="s">
        <v>142</v>
      </c>
      <c r="D55" s="133">
        <v>1.0257984111744698</v>
      </c>
      <c r="E55" s="133">
        <v>0.13752876189058275</v>
      </c>
      <c r="F55" s="133">
        <v>3.4193280372482322E-2</v>
      </c>
      <c r="G55" s="133">
        <v>0.67746507507937537</v>
      </c>
      <c r="H55" s="133">
        <v>0.67746507507937537</v>
      </c>
      <c r="I55" s="133">
        <v>2.134872303153814E-2</v>
      </c>
      <c r="J55" s="133">
        <v>10.569224043276273</v>
      </c>
      <c r="K55" s="45">
        <v>2744.9033229113329</v>
      </c>
      <c r="L55" s="134">
        <v>244.23973438741527</v>
      </c>
      <c r="M55" s="45" t="s">
        <v>738</v>
      </c>
      <c r="N55" s="133">
        <v>0.89282347387467897</v>
      </c>
      <c r="O55" s="133">
        <v>0.11970081607774057</v>
      </c>
      <c r="P55" s="133">
        <v>2.9760782462489317E-2</v>
      </c>
      <c r="Q55" s="133">
        <v>0.58964482219134895</v>
      </c>
      <c r="R55" s="133">
        <v>0.58964482219134895</v>
      </c>
      <c r="S55" s="133">
        <v>1.8581273720226495E-2</v>
      </c>
      <c r="T55" s="133">
        <v>9.1991284288241495</v>
      </c>
      <c r="U55" s="45">
        <v>2389.066515462006</v>
      </c>
      <c r="V55" s="134">
        <v>212.57877350807524</v>
      </c>
      <c r="W55" t="s">
        <v>738</v>
      </c>
      <c r="Y55" s="13">
        <f t="shared" si="1"/>
        <v>0.7474245426791909</v>
      </c>
      <c r="Z55" s="5">
        <f t="shared" si="0"/>
        <v>0.1002071857799174</v>
      </c>
      <c r="AA55" s="357">
        <f t="shared" si="0"/>
        <v>2.491415142263971E-2</v>
      </c>
      <c r="AB55" s="5">
        <f t="shared" si="0"/>
        <v>0.49361942698135503</v>
      </c>
      <c r="AC55" s="358">
        <f t="shared" si="0"/>
        <v>0.49361942698135503</v>
      </c>
      <c r="AD55" s="5">
        <f t="shared" si="0"/>
        <v>1.5555258591561805E-2</v>
      </c>
      <c r="AE55" s="13">
        <f t="shared" si="0"/>
        <v>7.7010232819283306</v>
      </c>
    </row>
    <row r="56" spans="1:31" x14ac:dyDescent="0.25">
      <c r="A56" s="812" t="s">
        <v>2001</v>
      </c>
      <c r="B56" s="812">
        <v>2104008330</v>
      </c>
      <c r="C56" s="812" t="s">
        <v>143</v>
      </c>
      <c r="D56" s="133">
        <v>0.77200718805171109</v>
      </c>
      <c r="E56" s="133">
        <v>8.2802384239859347E-2</v>
      </c>
      <c r="F56" s="133">
        <v>2.0586858348045634E-2</v>
      </c>
      <c r="G56" s="133">
        <v>0.45258314801401478</v>
      </c>
      <c r="H56" s="133">
        <v>0.45258314801401478</v>
      </c>
      <c r="I56" s="133">
        <v>1.2853494375919346E-2</v>
      </c>
      <c r="J56" s="133">
        <v>6.363446731562906</v>
      </c>
      <c r="K56" s="45">
        <v>1652.6327767408939</v>
      </c>
      <c r="L56" s="134">
        <v>147.05020284758888</v>
      </c>
      <c r="M56" s="45" t="s">
        <v>738</v>
      </c>
      <c r="N56" s="133">
        <v>0.67193137753390386</v>
      </c>
      <c r="O56" s="133">
        <v>7.2068655533882878E-2</v>
      </c>
      <c r="P56" s="133">
        <v>1.7918170067570769E-2</v>
      </c>
      <c r="Q56" s="133">
        <v>0.39391449043518229</v>
      </c>
      <c r="R56" s="133">
        <v>0.39391449043518229</v>
      </c>
      <c r="S56" s="133">
        <v>1.1187287263389146E-2</v>
      </c>
      <c r="T56" s="133">
        <v>5.5385488559936533</v>
      </c>
      <c r="U56" s="45">
        <v>1438.3929649948554</v>
      </c>
      <c r="V56" s="134">
        <v>127.98798624579906</v>
      </c>
      <c r="W56" t="s">
        <v>738</v>
      </c>
      <c r="Y56" s="13">
        <f t="shared" si="1"/>
        <v>0.93428067834898942</v>
      </c>
      <c r="Z56" s="5">
        <f t="shared" si="0"/>
        <v>0.10020718577991744</v>
      </c>
      <c r="AA56" s="357">
        <f t="shared" si="0"/>
        <v>2.4914151422639714E-2</v>
      </c>
      <c r="AB56" s="5">
        <f t="shared" si="0"/>
        <v>0.54771470665054478</v>
      </c>
      <c r="AC56" s="358">
        <f t="shared" si="0"/>
        <v>0.54771470665054478</v>
      </c>
      <c r="AD56" s="5">
        <f t="shared" si="0"/>
        <v>1.5555258591561812E-2</v>
      </c>
      <c r="AE56" s="13">
        <f t="shared" si="0"/>
        <v>7.7010232819283324</v>
      </c>
    </row>
    <row r="57" spans="1:31" x14ac:dyDescent="0.25">
      <c r="A57" s="812" t="s">
        <v>2001</v>
      </c>
      <c r="B57" s="812">
        <v>2104008410</v>
      </c>
      <c r="C57" s="812" t="s">
        <v>144</v>
      </c>
      <c r="D57" s="133">
        <v>1.2935702258990897E-2</v>
      </c>
      <c r="E57" s="133">
        <v>2.2589765763770364E-2</v>
      </c>
      <c r="F57" s="133">
        <v>1.8053758852164129E-3</v>
      </c>
      <c r="G57" s="133">
        <v>1.6699726938251825E-2</v>
      </c>
      <c r="H57" s="133">
        <v>1.6699726938251825E-2</v>
      </c>
      <c r="I57" s="133">
        <v>4.0553255821673684E-4</v>
      </c>
      <c r="J57" s="133">
        <v>5.6034354037404435E-2</v>
      </c>
      <c r="K57" s="45">
        <v>173.07129611481054</v>
      </c>
      <c r="L57" s="134">
        <v>15.399772749858874</v>
      </c>
      <c r="M57" s="45" t="s">
        <v>738</v>
      </c>
      <c r="N57" s="133">
        <v>1.1258838483340628E-2</v>
      </c>
      <c r="O57" s="133">
        <v>1.9661439249192239E-2</v>
      </c>
      <c r="P57" s="133">
        <v>1.5713437961392396E-3</v>
      </c>
      <c r="Q57" s="133">
        <v>1.4534930114287962E-2</v>
      </c>
      <c r="R57" s="133">
        <v>1.4534930114287962E-2</v>
      </c>
      <c r="S57" s="133">
        <v>3.5296310020777662E-4</v>
      </c>
      <c r="T57" s="133">
        <v>4.8770583072671653E-2</v>
      </c>
      <c r="U57" s="45">
        <v>150.6351188707639</v>
      </c>
      <c r="V57" s="134">
        <v>13.403489860807669</v>
      </c>
      <c r="W57" t="s">
        <v>738</v>
      </c>
      <c r="Y57" s="13">
        <f t="shared" si="1"/>
        <v>0.14948490853583818</v>
      </c>
      <c r="Z57" s="5">
        <f t="shared" si="0"/>
        <v>0.26104721656655111</v>
      </c>
      <c r="AA57" s="357">
        <f t="shared" si="0"/>
        <v>2.0862914410913175E-2</v>
      </c>
      <c r="AB57" s="5">
        <f t="shared" si="0"/>
        <v>0.1929819583009468</v>
      </c>
      <c r="AC57" s="358">
        <f t="shared" si="0"/>
        <v>0.1929819583009468</v>
      </c>
      <c r="AD57" s="5">
        <f t="shared" si="0"/>
        <v>4.6863321495513709E-3</v>
      </c>
      <c r="AE57" s="13">
        <f t="shared" si="0"/>
        <v>0.64753270602871771</v>
      </c>
    </row>
    <row r="58" spans="1:31" x14ac:dyDescent="0.25">
      <c r="A58" s="812" t="s">
        <v>2001</v>
      </c>
      <c r="B58" s="812">
        <v>2104008420</v>
      </c>
      <c r="C58" s="812" t="s">
        <v>145</v>
      </c>
      <c r="D58" s="133">
        <v>4.3632525743047774E-2</v>
      </c>
      <c r="E58" s="133">
        <v>7.6195981979413546E-2</v>
      </c>
      <c r="F58" s="133">
        <v>6.0895889693837017E-3</v>
      </c>
      <c r="G58" s="133">
        <v>5.6328697966799242E-2</v>
      </c>
      <c r="H58" s="133">
        <v>5.6328697966799242E-2</v>
      </c>
      <c r="I58" s="133">
        <v>1.3678739222478138E-3</v>
      </c>
      <c r="J58" s="133">
        <v>0.1890056176372466</v>
      </c>
      <c r="K58" s="45">
        <v>583.7748606082406</v>
      </c>
      <c r="L58" s="134">
        <v>51.943912088598083</v>
      </c>
      <c r="M58" s="45" t="s">
        <v>738</v>
      </c>
      <c r="N58" s="133">
        <v>3.7976412113206674E-2</v>
      </c>
      <c r="O58" s="133">
        <v>6.631864563746323E-2</v>
      </c>
      <c r="P58" s="133">
        <v>5.3001914595375227E-3</v>
      </c>
      <c r="Q58" s="133">
        <v>4.9026771000722072E-2</v>
      </c>
      <c r="R58" s="133">
        <v>4.9026771000722072E-2</v>
      </c>
      <c r="S58" s="133">
        <v>1.1905555065986157E-3</v>
      </c>
      <c r="T58" s="133">
        <v>0.16450469242539587</v>
      </c>
      <c r="U58" s="45">
        <v>508.09693747917066</v>
      </c>
      <c r="V58" s="134">
        <v>45.210387862157873</v>
      </c>
      <c r="W58" t="s">
        <v>738</v>
      </c>
      <c r="Y58" s="13">
        <f t="shared" si="1"/>
        <v>0.14948490853583823</v>
      </c>
      <c r="Z58" s="5">
        <f t="shared" si="0"/>
        <v>0.26104721656655111</v>
      </c>
      <c r="AA58" s="357">
        <f t="shared" si="0"/>
        <v>2.0862914410913185E-2</v>
      </c>
      <c r="AB58" s="5">
        <f t="shared" si="0"/>
        <v>0.19298195830094692</v>
      </c>
      <c r="AC58" s="358">
        <f t="shared" si="0"/>
        <v>0.19298195830094692</v>
      </c>
      <c r="AD58" s="5">
        <f t="shared" si="0"/>
        <v>4.6863321495513735E-3</v>
      </c>
      <c r="AE58" s="13">
        <f t="shared" si="0"/>
        <v>0.64753270602871804</v>
      </c>
    </row>
    <row r="59" spans="1:31" x14ac:dyDescent="0.25">
      <c r="A59" s="812" t="s">
        <v>2001</v>
      </c>
      <c r="B59" s="812">
        <v>2104008610</v>
      </c>
      <c r="C59" s="812" t="s">
        <v>146</v>
      </c>
      <c r="D59" s="133">
        <v>1.2254107837036554</v>
      </c>
      <c r="E59" s="133">
        <v>4.3529978721912291E-2</v>
      </c>
      <c r="F59" s="133">
        <v>1.0796570781530006E-2</v>
      </c>
      <c r="G59" s="133">
        <v>0.26640948887173027</v>
      </c>
      <c r="H59" s="133">
        <v>0.26640948887173027</v>
      </c>
      <c r="I59" s="133">
        <v>6.5793916252703949E-3</v>
      </c>
      <c r="J59" s="133">
        <v>1.6348887200284128</v>
      </c>
      <c r="K59" s="45">
        <v>866.40462830831552</v>
      </c>
      <c r="L59" s="134">
        <v>77.118999734753487</v>
      </c>
      <c r="M59" s="45" t="s">
        <v>738</v>
      </c>
      <c r="N59" s="133">
        <v>1.1204185130963187</v>
      </c>
      <c r="O59" s="133">
        <v>3.9800363015667695E-2</v>
      </c>
      <c r="P59" s="133">
        <v>9.8715287497472982E-3</v>
      </c>
      <c r="Q59" s="133">
        <v>0.24358372503811659</v>
      </c>
      <c r="R59" s="133">
        <v>0.24358372503811659</v>
      </c>
      <c r="S59" s="133">
        <v>6.0156743190914628E-3</v>
      </c>
      <c r="T59" s="133">
        <v>1.4948126890444904</v>
      </c>
      <c r="U59" s="45">
        <v>792.17148434975445</v>
      </c>
      <c r="V59" s="134">
        <v>70.511502072095013</v>
      </c>
      <c r="W59" t="s">
        <v>738</v>
      </c>
      <c r="Y59" s="13">
        <f t="shared" si="1"/>
        <v>2.8287272017017937</v>
      </c>
      <c r="Z59" s="5">
        <f t="shared" si="0"/>
        <v>0.10048421030539215</v>
      </c>
      <c r="AA59" s="357">
        <f t="shared" si="0"/>
        <v>2.4922706622923289E-2</v>
      </c>
      <c r="AB59" s="5">
        <f t="shared" si="0"/>
        <v>0.6149772614904454</v>
      </c>
      <c r="AC59" s="358">
        <f t="shared" si="0"/>
        <v>0.6149772614904454</v>
      </c>
      <c r="AD59" s="5">
        <f t="shared" si="0"/>
        <v>1.5187808291355917E-2</v>
      </c>
      <c r="AE59" s="13">
        <f t="shared" si="0"/>
        <v>3.7739623770262103</v>
      </c>
    </row>
    <row r="60" spans="1:31" x14ac:dyDescent="0.25">
      <c r="A60" s="812" t="s">
        <v>2001</v>
      </c>
      <c r="B60" s="812">
        <v>2104004000</v>
      </c>
      <c r="C60" s="812" t="s">
        <v>568</v>
      </c>
      <c r="D60" s="133">
        <v>8.9439088571371464E-2</v>
      </c>
      <c r="E60" s="133">
        <v>1.4013473244865955</v>
      </c>
      <c r="F60" s="133">
        <v>3.6255544292573063</v>
      </c>
      <c r="G60" s="133">
        <v>5.7275776205174211E-2</v>
      </c>
      <c r="H60" s="133">
        <v>5.7275776205174211E-2</v>
      </c>
      <c r="I60" s="133">
        <v>3.0728453934075976E-3</v>
      </c>
      <c r="J60" s="133">
        <v>5.6177990494575045E-2</v>
      </c>
      <c r="K60" s="45">
        <v>33670.909379124343</v>
      </c>
      <c r="L60" s="134">
        <v>250.88103386078961</v>
      </c>
      <c r="M60" s="45" t="s">
        <v>1997</v>
      </c>
      <c r="N60" s="133">
        <v>8.260929847372378E-2</v>
      </c>
      <c r="O60" s="133">
        <v>1.2943369755103071</v>
      </c>
      <c r="P60" s="133">
        <v>3.3486981225244321</v>
      </c>
      <c r="Q60" s="133">
        <v>5.2902056219767318E-2</v>
      </c>
      <c r="R60" s="133">
        <v>5.2902056219767318E-2</v>
      </c>
      <c r="S60" s="133">
        <v>2.8381953161905173E-3</v>
      </c>
      <c r="T60" s="133">
        <v>5.1888100142221782E-2</v>
      </c>
      <c r="U60" s="45">
        <v>31099.715428810043</v>
      </c>
      <c r="V60" s="134">
        <v>231.72313737369916</v>
      </c>
      <c r="W60" t="s">
        <v>1997</v>
      </c>
      <c r="Y60" s="13">
        <f t="shared" si="1"/>
        <v>5.3125436895281987E-3</v>
      </c>
      <c r="Z60" s="5">
        <f t="shared" si="0"/>
        <v>8.323786617746759E-2</v>
      </c>
      <c r="AA60" s="357">
        <f t="shared" si="0"/>
        <v>0.215352332093835</v>
      </c>
      <c r="AB60" s="5">
        <f t="shared" si="0"/>
        <v>3.4020926230572584E-3</v>
      </c>
      <c r="AC60" s="358">
        <f t="shared" si="0"/>
        <v>3.4020926230572584E-3</v>
      </c>
      <c r="AD60" s="5">
        <f t="shared" si="0"/>
        <v>1.8252226922702193E-4</v>
      </c>
      <c r="AE60" s="13">
        <f t="shared" si="0"/>
        <v>3.3368858477819943E-3</v>
      </c>
    </row>
    <row r="61" spans="1:31" x14ac:dyDescent="0.25">
      <c r="A61" s="812" t="s">
        <v>2001</v>
      </c>
      <c r="B61" s="812">
        <v>2103004001</v>
      </c>
      <c r="C61" s="812" t="s">
        <v>148</v>
      </c>
      <c r="D61" s="133">
        <v>2.7880133328652811E-2</v>
      </c>
      <c r="E61" s="133">
        <v>0.70384628319179587</v>
      </c>
      <c r="F61" s="133">
        <v>0.49750983501699236</v>
      </c>
      <c r="G61" s="133">
        <v>1.7854120637958673E-2</v>
      </c>
      <c r="H61" s="133">
        <v>1.7854120637958673E-2</v>
      </c>
      <c r="I61" s="133">
        <v>9.5787357222648346E-4</v>
      </c>
      <c r="J61" s="133">
        <v>1.7511916659064469E-2</v>
      </c>
      <c r="K61" s="45">
        <v>10831.412246895978</v>
      </c>
      <c r="L61" s="134">
        <v>80.70455930003601</v>
      </c>
      <c r="M61" s="45" t="s">
        <v>1997</v>
      </c>
      <c r="N61" s="133">
        <v>2.7415804511189711E-2</v>
      </c>
      <c r="O61" s="133">
        <v>0.69212409705668243</v>
      </c>
      <c r="P61" s="133">
        <v>0.48922407287064373</v>
      </c>
      <c r="Q61" s="133">
        <v>1.7556769738486938E-2</v>
      </c>
      <c r="R61" s="133">
        <v>1.7556769738486938E-2</v>
      </c>
      <c r="S61" s="133">
        <v>9.4192069646982458E-4</v>
      </c>
      <c r="T61" s="133">
        <v>1.7220264985165934E-2</v>
      </c>
      <c r="U61" s="45">
        <v>10651.020826927837</v>
      </c>
      <c r="V61" s="134">
        <v>79.360467715468317</v>
      </c>
      <c r="W61" t="s">
        <v>1997</v>
      </c>
      <c r="Y61" s="13">
        <f t="shared" si="1"/>
        <v>5.1480144404332144E-3</v>
      </c>
      <c r="Z61" s="5">
        <f t="shared" si="0"/>
        <v>0.12996389891696747</v>
      </c>
      <c r="AA61" s="357">
        <f t="shared" si="0"/>
        <v>9.186425992779787E-2</v>
      </c>
      <c r="AB61" s="5">
        <f t="shared" si="0"/>
        <v>3.2967299611507722E-3</v>
      </c>
      <c r="AC61" s="358">
        <f t="shared" si="0"/>
        <v>3.2967299611507722E-3</v>
      </c>
      <c r="AD61" s="5">
        <f t="shared" si="0"/>
        <v>1.7686956241573902E-4</v>
      </c>
      <c r="AE61" s="13">
        <f t="shared" si="0"/>
        <v>3.2335426368953818E-3</v>
      </c>
    </row>
    <row r="62" spans="1:31" x14ac:dyDescent="0.25">
      <c r="A62" s="812" t="s">
        <v>2001</v>
      </c>
      <c r="B62" s="812">
        <v>2104004000</v>
      </c>
      <c r="C62" s="812" t="s">
        <v>746</v>
      </c>
      <c r="D62" s="133">
        <v>5.977875854715829E-4</v>
      </c>
      <c r="E62" s="133">
        <v>1.5091411694934779E-2</v>
      </c>
      <c r="F62" s="133">
        <v>2.4232262010720689E-2</v>
      </c>
      <c r="G62" s="133">
        <v>3.3536470433188388E-4</v>
      </c>
      <c r="H62" s="133">
        <v>3.3536470433188388E-4</v>
      </c>
      <c r="I62" s="133">
        <v>2.0538098694809146E-5</v>
      </c>
      <c r="J62" s="133">
        <v>3.7547906436455992E-4</v>
      </c>
      <c r="K62" s="45">
        <v>229.71643834973216</v>
      </c>
      <c r="L62" s="134">
        <v>1.6768235216594196</v>
      </c>
      <c r="M62" s="45" t="s">
        <v>1997</v>
      </c>
      <c r="N62" s="133">
        <v>5.6444279672255551E-4</v>
      </c>
      <c r="O62" s="133">
        <v>1.4249607771396916E-2</v>
      </c>
      <c r="P62" s="133">
        <v>2.2880578440676102E-2</v>
      </c>
      <c r="Q62" s="133">
        <v>3.1665795047548697E-4</v>
      </c>
      <c r="R62" s="133">
        <v>3.1665795047548697E-4</v>
      </c>
      <c r="S62" s="133">
        <v>1.9392476773362194E-5</v>
      </c>
      <c r="T62" s="133">
        <v>3.5453471827038359E-4</v>
      </c>
      <c r="U62" s="45">
        <v>216.90277962694668</v>
      </c>
      <c r="V62" s="134">
        <v>1.5832897523774347</v>
      </c>
      <c r="W62" t="s">
        <v>1997</v>
      </c>
      <c r="Y62" s="13">
        <f t="shared" si="1"/>
        <v>5.2045695098361256E-3</v>
      </c>
      <c r="Z62" s="5">
        <f t="shared" si="0"/>
        <v>0.13139165662980404</v>
      </c>
      <c r="AA62" s="357">
        <f t="shared" si="0"/>
        <v>0.21097542853096343</v>
      </c>
      <c r="AB62" s="5">
        <f t="shared" si="0"/>
        <v>2.9198145917734225E-3</v>
      </c>
      <c r="AC62" s="358">
        <f t="shared" si="0"/>
        <v>2.9198145917734225E-3</v>
      </c>
      <c r="AD62" s="5">
        <f t="shared" si="0"/>
        <v>1.7881261647928638E-4</v>
      </c>
      <c r="AE62" s="13">
        <f t="shared" si="0"/>
        <v>3.2690656973612922E-3</v>
      </c>
    </row>
    <row r="63" spans="1:31" x14ac:dyDescent="0.25">
      <c r="A63" s="812" t="s">
        <v>2001</v>
      </c>
      <c r="B63" s="812">
        <v>2104004000</v>
      </c>
      <c r="C63" s="812" t="s">
        <v>747</v>
      </c>
      <c r="D63" s="133">
        <v>2.3036700987112664E-3</v>
      </c>
      <c r="E63" s="133">
        <v>3.6094307096529742E-2</v>
      </c>
      <c r="F63" s="133">
        <v>9.3382898499299566E-2</v>
      </c>
      <c r="G63" s="133">
        <v>1.4752441592587094E-3</v>
      </c>
      <c r="H63" s="133">
        <v>1.4752441592587094E-3</v>
      </c>
      <c r="I63" s="133">
        <v>7.9146849144229734E-5</v>
      </c>
      <c r="J63" s="133">
        <v>1.4469686462062503E-3</v>
      </c>
      <c r="K63" s="45">
        <v>807.7384637837539</v>
      </c>
      <c r="L63" s="134">
        <v>6.4619077102700313</v>
      </c>
      <c r="M63" s="45" t="s">
        <v>1997</v>
      </c>
      <c r="N63" s="133">
        <v>1.9096164236037487E-3</v>
      </c>
      <c r="O63" s="133">
        <v>2.9920205010556714E-2</v>
      </c>
      <c r="P63" s="133">
        <v>7.7409311670861333E-2</v>
      </c>
      <c r="Q63" s="133">
        <v>1.2228966625568143E-3</v>
      </c>
      <c r="R63" s="133">
        <v>1.2228966625568143E-3</v>
      </c>
      <c r="S63" s="133">
        <v>6.560840594617312E-5</v>
      </c>
      <c r="T63" s="133">
        <v>1.1994578098578083E-3</v>
      </c>
      <c r="U63" s="45">
        <v>669.57097601814439</v>
      </c>
      <c r="V63" s="134">
        <v>5.356567808145158</v>
      </c>
      <c r="W63" t="s">
        <v>1997</v>
      </c>
      <c r="Y63" s="13">
        <f t="shared" si="1"/>
        <v>5.7040000000000025E-3</v>
      </c>
      <c r="Z63" s="5">
        <f t="shared" si="0"/>
        <v>8.9371272298833696E-2</v>
      </c>
      <c r="AA63" s="357">
        <f t="shared" si="0"/>
        <v>0.23122063065279477</v>
      </c>
      <c r="AB63" s="5">
        <f t="shared" si="0"/>
        <v>3.652776796955057E-3</v>
      </c>
      <c r="AC63" s="358">
        <f t="shared" si="0"/>
        <v>3.652776796955057E-3</v>
      </c>
      <c r="AD63" s="5">
        <f t="shared" si="0"/>
        <v>1.9597147515663889E-4</v>
      </c>
      <c r="AE63" s="13">
        <f t="shared" si="0"/>
        <v>3.5827652416800838E-3</v>
      </c>
    </row>
    <row r="64" spans="1:31" x14ac:dyDescent="0.25">
      <c r="A64" s="812" t="s">
        <v>2001</v>
      </c>
      <c r="B64" s="812">
        <v>2104006010</v>
      </c>
      <c r="C64" s="812" t="s">
        <v>149</v>
      </c>
      <c r="D64" s="133">
        <v>6.499055271109276E-4</v>
      </c>
      <c r="E64" s="133">
        <v>1.1107476281532223E-2</v>
      </c>
      <c r="F64" s="133">
        <v>7.0898784775737624E-5</v>
      </c>
      <c r="G64" s="133">
        <v>5.8529310125197163E-6</v>
      </c>
      <c r="H64" s="133">
        <v>5.8529310125197163E-6</v>
      </c>
      <c r="I64" s="133">
        <v>2.3632928258579193E-3</v>
      </c>
      <c r="J64" s="133">
        <v>4.7265856517158386E-3</v>
      </c>
      <c r="K64" s="45">
        <v>291.73882732240446</v>
      </c>
      <c r="L64" s="134">
        <v>287.42741608118678</v>
      </c>
      <c r="M64" s="45" t="s">
        <v>1998</v>
      </c>
      <c r="N64" s="133">
        <v>6.499055271109276E-4</v>
      </c>
      <c r="O64" s="133">
        <v>1.1107476281532223E-2</v>
      </c>
      <c r="P64" s="133">
        <v>7.0898784775737624E-5</v>
      </c>
      <c r="Q64" s="133">
        <v>5.8529310125197163E-6</v>
      </c>
      <c r="R64" s="133">
        <v>5.8529310125197163E-6</v>
      </c>
      <c r="S64" s="133">
        <v>2.3632928258579193E-3</v>
      </c>
      <c r="T64" s="133">
        <v>4.7265856517158386E-3</v>
      </c>
      <c r="U64" s="45">
        <v>291.73882732240446</v>
      </c>
      <c r="V64" s="134">
        <v>287.42741608118678</v>
      </c>
      <c r="W64" t="s">
        <v>1998</v>
      </c>
      <c r="Y64" s="13">
        <f t="shared" si="1"/>
        <v>4.4553927434054464E-3</v>
      </c>
      <c r="Z64" s="5">
        <f t="shared" si="0"/>
        <v>7.6146712341838563E-2</v>
      </c>
      <c r="AA64" s="357">
        <f t="shared" si="0"/>
        <v>4.8604284473513997E-4</v>
      </c>
      <c r="AB64" s="5">
        <f t="shared" si="0"/>
        <v>4.0124456975701519E-5</v>
      </c>
      <c r="AC64" s="358">
        <f t="shared" si="0"/>
        <v>4.0124456975701519E-5</v>
      </c>
      <c r="AD64" s="5">
        <f t="shared" si="0"/>
        <v>1.620142815783799E-2</v>
      </c>
      <c r="AE64" s="13">
        <f t="shared" si="0"/>
        <v>3.2402856315675979E-2</v>
      </c>
    </row>
    <row r="65" spans="1:31" x14ac:dyDescent="0.25">
      <c r="A65" s="812" t="s">
        <v>2001</v>
      </c>
      <c r="B65" s="812">
        <v>2103006000</v>
      </c>
      <c r="C65" s="812" t="s">
        <v>150</v>
      </c>
      <c r="D65" s="133">
        <v>7.2943884387197469E-3</v>
      </c>
      <c r="E65" s="133">
        <v>0.13262524434035905</v>
      </c>
      <c r="F65" s="133">
        <v>7.9575146604215412E-4</v>
      </c>
      <c r="G65" s="133">
        <v>1.0079518569867288E-2</v>
      </c>
      <c r="H65" s="133">
        <v>1.0079518569867288E-2</v>
      </c>
      <c r="I65" s="133">
        <v>2.6525048868071797E-2</v>
      </c>
      <c r="J65" s="133">
        <v>5.3050097736143595E-2</v>
      </c>
      <c r="K65" s="45">
        <v>2692.2924601092905</v>
      </c>
      <c r="L65" s="134">
        <v>2652.5048868071799</v>
      </c>
      <c r="M65" s="45" t="s">
        <v>1998</v>
      </c>
      <c r="N65" s="133">
        <v>7.2943884387197469E-3</v>
      </c>
      <c r="O65" s="133">
        <v>0.13262524434035905</v>
      </c>
      <c r="P65" s="133">
        <v>7.9575146604215412E-4</v>
      </c>
      <c r="Q65" s="133">
        <v>1.0079518569867288E-2</v>
      </c>
      <c r="R65" s="133">
        <v>1.0079518569867288E-2</v>
      </c>
      <c r="S65" s="133">
        <v>2.6525048868071797E-2</v>
      </c>
      <c r="T65" s="133">
        <v>5.3050097736143595E-2</v>
      </c>
      <c r="U65" s="45">
        <v>2692.2924601092905</v>
      </c>
      <c r="V65" s="134">
        <v>2652.5048868071799</v>
      </c>
      <c r="W65" t="s">
        <v>1998</v>
      </c>
      <c r="Y65" s="13">
        <f t="shared" si="1"/>
        <v>5.4187192118226556E-3</v>
      </c>
      <c r="Z65" s="5">
        <f t="shared" si="0"/>
        <v>9.8522167487684664E-2</v>
      </c>
      <c r="AA65" s="357">
        <f t="shared" si="0"/>
        <v>5.9113300492610779E-4</v>
      </c>
      <c r="AB65" s="5">
        <f t="shared" si="0"/>
        <v>7.4876847290640345E-3</v>
      </c>
      <c r="AC65" s="358">
        <f t="shared" si="0"/>
        <v>7.4876847290640345E-3</v>
      </c>
      <c r="AD65" s="5">
        <f t="shared" si="0"/>
        <v>1.9704433497536925E-2</v>
      </c>
      <c r="AE65" s="13">
        <f t="shared" si="0"/>
        <v>3.940886699507385E-2</v>
      </c>
    </row>
    <row r="66" spans="1:31" x14ac:dyDescent="0.25">
      <c r="A66" s="812" t="s">
        <v>2001</v>
      </c>
      <c r="B66" s="812">
        <v>2104002000</v>
      </c>
      <c r="C66" s="812" t="s">
        <v>151</v>
      </c>
      <c r="D66" s="133">
        <v>0.13489682176490195</v>
      </c>
      <c r="E66" s="133">
        <v>6.3671299873033715E-2</v>
      </c>
      <c r="F66" s="133">
        <v>0.12545404424135878</v>
      </c>
      <c r="G66" s="133">
        <v>0.10778256059015662</v>
      </c>
      <c r="H66" s="133">
        <v>0.10778256059015662</v>
      </c>
      <c r="I66" s="133">
        <v>1.7077263151327762E-2</v>
      </c>
      <c r="J66" s="133">
        <v>1.7614152501952074</v>
      </c>
      <c r="K66" s="45">
        <v>410.08633816530175</v>
      </c>
      <c r="L66" s="134">
        <v>26.97936435298039</v>
      </c>
      <c r="M66" s="45" t="s">
        <v>738</v>
      </c>
      <c r="N66" s="133">
        <v>0.11826398048530015</v>
      </c>
      <c r="O66" s="133">
        <v>5.5820598789061676E-2</v>
      </c>
      <c r="P66" s="133">
        <v>0.10998550185132909</v>
      </c>
      <c r="Q66" s="133">
        <v>9.4492920407754755E-2</v>
      </c>
      <c r="R66" s="133">
        <v>9.4492920407754755E-2</v>
      </c>
      <c r="S66" s="133">
        <v>1.4971628609536571E-2</v>
      </c>
      <c r="T66" s="133">
        <v>1.5442319251868066</v>
      </c>
      <c r="U66" s="45">
        <v>359.52250067531236</v>
      </c>
      <c r="V66" s="134">
        <v>23.652796097060016</v>
      </c>
      <c r="W66" t="s">
        <v>738</v>
      </c>
      <c r="Y66" s="13">
        <f t="shared" si="1"/>
        <v>0.65789473684210542</v>
      </c>
      <c r="Z66" s="5">
        <f t="shared" si="1"/>
        <v>0.31052631578947382</v>
      </c>
      <c r="AA66" s="357">
        <f t="shared" si="1"/>
        <v>0.61184210526315785</v>
      </c>
      <c r="AB66" s="5">
        <f t="shared" si="1"/>
        <v>0.52565789473684188</v>
      </c>
      <c r="AC66" s="358">
        <f t="shared" si="1"/>
        <v>0.52565789473684188</v>
      </c>
      <c r="AD66" s="5">
        <f t="shared" si="1"/>
        <v>8.3286184210526332E-2</v>
      </c>
      <c r="AE66" s="13">
        <f t="shared" si="1"/>
        <v>8.5904605263157912</v>
      </c>
    </row>
    <row r="67" spans="1:31" x14ac:dyDescent="0.25">
      <c r="A67" s="812" t="s">
        <v>2001</v>
      </c>
      <c r="B67" s="812">
        <v>2103002000</v>
      </c>
      <c r="C67" s="812" t="s">
        <v>152</v>
      </c>
      <c r="D67" s="133">
        <v>3.4838015202202628E-4</v>
      </c>
      <c r="E67" s="133">
        <v>1.6443543175439636E-4</v>
      </c>
      <c r="F67" s="133">
        <v>3.2399354138048429E-4</v>
      </c>
      <c r="G67" s="133">
        <v>2.7835574146559887E-4</v>
      </c>
      <c r="H67" s="133">
        <v>2.7835574146559887E-4</v>
      </c>
      <c r="I67" s="133">
        <v>4.4103185345228465E-5</v>
      </c>
      <c r="J67" s="133">
        <v>4.5489738350276065E-3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4.1678042526928339E-5</v>
      </c>
      <c r="T67" s="133">
        <v>4.2988351853972644E-3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4.2325140919862265E-5</v>
      </c>
      <c r="F68" s="133">
        <v>9.227066009456588E-6</v>
      </c>
      <c r="G68" s="133">
        <v>2.9937064250054862E-4</v>
      </c>
      <c r="H68" s="133">
        <v>2.9937064250054862E-4</v>
      </c>
      <c r="I68" s="133">
        <v>1.09618260587576E-5</v>
      </c>
      <c r="J68" s="133">
        <v>2.1293167390460895E-3</v>
      </c>
      <c r="K68" s="45">
        <v>9.6654102131207296</v>
      </c>
      <c r="L68" s="134">
        <v>0.79814120981799463</v>
      </c>
      <c r="M68" s="45" t="s">
        <v>738</v>
      </c>
      <c r="N68" s="133">
        <v>8.7269646582558802E-4</v>
      </c>
      <c r="O68" s="133">
        <v>3.5510956409239793E-5</v>
      </c>
      <c r="P68" s="133">
        <v>7.5369704121824448E-6</v>
      </c>
      <c r="Q68" s="133">
        <v>2.5766689106639573E-4</v>
      </c>
      <c r="R68" s="133">
        <v>2.5766689106639573E-4</v>
      </c>
      <c r="S68" s="133">
        <v>9.9318878456321123E-6</v>
      </c>
      <c r="T68" s="133">
        <v>1.8733911971619828E-3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2.3729271934124708E-2</v>
      </c>
      <c r="F69" s="135">
        <v>1.6802202817214625E-2</v>
      </c>
      <c r="G69" s="135">
        <v>2.3655128992506407E-3</v>
      </c>
      <c r="H69" s="135">
        <v>2.3655128992506407E-3</v>
      </c>
      <c r="I69" s="135">
        <v>1.6537406597149248E-5</v>
      </c>
      <c r="J69" s="135">
        <v>5.6489860280612321E-3</v>
      </c>
      <c r="K69" s="88">
        <v>125.9077778943812</v>
      </c>
      <c r="L69" s="136">
        <v>0.90908142884029708</v>
      </c>
      <c r="M69" s="88" t="s">
        <v>1997</v>
      </c>
      <c r="N69" s="135">
        <v>4.5454071442014882E-4</v>
      </c>
      <c r="O69" s="135">
        <v>2.3729271934124708E-2</v>
      </c>
      <c r="P69" s="135">
        <v>1.6802202817214625E-2</v>
      </c>
      <c r="Q69" s="135">
        <v>2.3655128992506407E-3</v>
      </c>
      <c r="R69" s="135">
        <v>2.3655128992506407E-3</v>
      </c>
      <c r="S69" s="135">
        <v>1.6537406597149248E-5</v>
      </c>
      <c r="T69" s="135">
        <v>5.6489860280612321E-3</v>
      </c>
      <c r="U69" s="88">
        <v>125.9077778943812</v>
      </c>
      <c r="V69" s="136">
        <v>0.90908142884029708</v>
      </c>
      <c r="W69" s="3" t="s">
        <v>1997</v>
      </c>
      <c r="Y69" s="359">
        <f t="shared" si="1"/>
        <v>7.2202166064981961E-3</v>
      </c>
      <c r="Z69" s="360">
        <f t="shared" si="1"/>
        <v>0.37693099395384783</v>
      </c>
      <c r="AA69" s="361">
        <f t="shared" si="1"/>
        <v>0.26689697964980835</v>
      </c>
      <c r="AB69" s="360">
        <f t="shared" si="1"/>
        <v>3.7575325985579243E-2</v>
      </c>
      <c r="AC69" s="362">
        <f t="shared" si="1"/>
        <v>3.7575325985579243E-2</v>
      </c>
      <c r="AD69" s="360">
        <f t="shared" si="1"/>
        <v>2.6269078644246729E-4</v>
      </c>
      <c r="AE69" s="359">
        <f t="shared" si="1"/>
        <v>8.9732121756607164E-2</v>
      </c>
    </row>
    <row r="70" spans="1:31" x14ac:dyDescent="0.25">
      <c r="A70" s="810" t="s">
        <v>2001</v>
      </c>
      <c r="B70" s="810" t="s">
        <v>341</v>
      </c>
      <c r="C70" s="810"/>
      <c r="D70" s="137">
        <v>10.589044651500791</v>
      </c>
      <c r="E70" s="137">
        <v>2.8840323260281697</v>
      </c>
      <c r="F70" s="137">
        <v>4.4859025552777556</v>
      </c>
      <c r="G70" s="137">
        <v>3.0449789296419683</v>
      </c>
      <c r="H70" s="137">
        <v>3.0449789296419683</v>
      </c>
      <c r="I70" s="137">
        <v>0.15681532537454287</v>
      </c>
      <c r="J70" s="137">
        <v>32.368113027070159</v>
      </c>
      <c r="K70" s="87">
        <v>57377.83131239724</v>
      </c>
      <c r="L70" s="87"/>
      <c r="M70" s="87"/>
      <c r="N70" s="137">
        <v>9.5358125850781317</v>
      </c>
      <c r="O70" s="137">
        <v>2.69089739407669</v>
      </c>
      <c r="P70" s="137">
        <v>4.1556763727866413</v>
      </c>
      <c r="Q70" s="137">
        <v>2.707960014814863</v>
      </c>
      <c r="R70" s="137">
        <v>2.707960014814863</v>
      </c>
      <c r="S70" s="137">
        <v>0.14291593693245044</v>
      </c>
      <c r="T70" s="137">
        <v>28.550897201086578</v>
      </c>
      <c r="U70" s="87">
        <v>53421.021136798277</v>
      </c>
      <c r="Y70" s="13">
        <f t="shared" si="1"/>
        <v>0.35700600183808645</v>
      </c>
      <c r="Z70" s="5">
        <f t="shared" si="1"/>
        <v>0.10074301601932896</v>
      </c>
      <c r="AA70" s="357">
        <f t="shared" si="1"/>
        <v>0.15558206430180216</v>
      </c>
      <c r="AB70" s="5">
        <f t="shared" si="1"/>
        <v>0.10138181401963224</v>
      </c>
      <c r="AC70" s="358">
        <f t="shared" si="1"/>
        <v>0.10138181401963224</v>
      </c>
      <c r="AD70" s="5">
        <f t="shared" si="1"/>
        <v>5.3505505470019896E-3</v>
      </c>
      <c r="AE70" s="13">
        <f t="shared" si="1"/>
        <v>1.0689012150469628</v>
      </c>
    </row>
    <row r="71" spans="1:31" x14ac:dyDescent="0.25">
      <c r="R71" s="133"/>
      <c r="T71" s="1" t="s">
        <v>1452</v>
      </c>
      <c r="U71" s="45">
        <f>SUM(U50:U60,U62:U64,U66)</f>
        <v>39928.774529023576</v>
      </c>
      <c r="V71" t="s">
        <v>2002</v>
      </c>
    </row>
    <row r="72" spans="1:31" x14ac:dyDescent="0.25">
      <c r="L72" s="134"/>
      <c r="U72" s="45">
        <f ca="1">U71/OFFSET(Devices!$BH$41,0,MATCH(VALUE(RIGHT(A2,4)),Devices!$BI$39:$CG$39,0))*10^6</f>
        <v>940408.34230538586</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7.722619095457854</v>
      </c>
      <c r="O74" s="133">
        <f t="shared" si="2"/>
        <v>0.20311712657982639</v>
      </c>
      <c r="P74" s="133">
        <f t="shared" si="2"/>
        <v>0.14258184591441331</v>
      </c>
      <c r="Q74" s="133">
        <f>SUM(Q50,Q51,Q54, Q59,Q66)</f>
        <v>1.5031801480596638</v>
      </c>
      <c r="R74" s="133">
        <f t="shared" ref="R74:U74" si="3">SUM(R50,R51,R54, R59,R66)</f>
        <v>1.5031801480596638</v>
      </c>
      <c r="S74" s="133">
        <f t="shared" si="3"/>
        <v>7.3496133514570641E-2</v>
      </c>
      <c r="T74" s="133">
        <f t="shared" si="3"/>
        <v>12.707307335469029</v>
      </c>
      <c r="U74" s="45">
        <f t="shared" si="3"/>
        <v>2976.0564852304442</v>
      </c>
      <c r="Y74" s="13">
        <f t="shared" ref="Y74:AE80" si="4">N74/$U74*2000</f>
        <v>5.1898336834556895</v>
      </c>
      <c r="Z74" s="5">
        <f t="shared" si="4"/>
        <v>0.13650085446150292</v>
      </c>
      <c r="AA74" s="357">
        <f t="shared" si="4"/>
        <v>9.5819314332249841E-2</v>
      </c>
      <c r="AB74" s="5">
        <f t="shared" si="4"/>
        <v>1.0101825388863668</v>
      </c>
      <c r="AC74" s="358">
        <f t="shared" si="4"/>
        <v>1.0101825388863668</v>
      </c>
      <c r="AD74" s="5">
        <f t="shared" si="4"/>
        <v>4.9391625380309022E-2</v>
      </c>
      <c r="AE74" s="13">
        <f t="shared" si="4"/>
        <v>8.5396949947239094</v>
      </c>
    </row>
    <row r="75" spans="1:31" x14ac:dyDescent="0.25">
      <c r="M75" s="1" t="s">
        <v>2006</v>
      </c>
      <c r="N75" s="133">
        <f t="shared" ref="N75:U75" si="5">SUM(N52:N53,N55:N56)</f>
        <v>1.64185832222341</v>
      </c>
      <c r="O75" s="133">
        <f t="shared" si="5"/>
        <v>0.20351640028090895</v>
      </c>
      <c r="P75" s="133">
        <f t="shared" si="5"/>
        <v>5.0028338263917185E-2</v>
      </c>
      <c r="Q75" s="133">
        <f t="shared" si="5"/>
        <v>1.0562481842419491</v>
      </c>
      <c r="R75" s="133">
        <f t="shared" si="5"/>
        <v>1.0562481842419491</v>
      </c>
      <c r="S75" s="133">
        <f t="shared" si="5"/>
        <v>3.5054678884794126E-2</v>
      </c>
      <c r="T75" s="133">
        <f t="shared" si="5"/>
        <v>15.490054336665485</v>
      </c>
      <c r="U75" s="45">
        <f t="shared" si="5"/>
        <v>4016.0579756656684</v>
      </c>
      <c r="Y75" s="13">
        <f t="shared" si="4"/>
        <v>0.81764672331517785</v>
      </c>
      <c r="Z75" s="5">
        <f t="shared" si="4"/>
        <v>0.10135132585937122</v>
      </c>
      <c r="AA75" s="357">
        <f t="shared" si="4"/>
        <v>2.491415142263971E-2</v>
      </c>
      <c r="AB75" s="5">
        <f t="shared" si="4"/>
        <v>0.52601241846707869</v>
      </c>
      <c r="AC75" s="358">
        <f t="shared" si="4"/>
        <v>0.52601241846707869</v>
      </c>
      <c r="AD75" s="5">
        <f t="shared" si="4"/>
        <v>1.7457257388812347E-2</v>
      </c>
      <c r="AE75" s="13">
        <f t="shared" si="4"/>
        <v>7.7140591249049297</v>
      </c>
    </row>
    <row r="76" spans="1:31" x14ac:dyDescent="0.25">
      <c r="M76" s="1" t="s">
        <v>2007</v>
      </c>
      <c r="N76" s="133">
        <f t="shared" ref="N76:U76" si="6">SUM(N60,N62:N63)</f>
        <v>8.5083357694050094E-2</v>
      </c>
      <c r="O76" s="133">
        <f t="shared" si="6"/>
        <v>1.3385067882922608</v>
      </c>
      <c r="P76" s="133">
        <f t="shared" si="6"/>
        <v>3.4489880126359695</v>
      </c>
      <c r="Q76" s="133">
        <f t="shared" si="6"/>
        <v>5.4441610832799622E-2</v>
      </c>
      <c r="R76" s="133">
        <f t="shared" si="6"/>
        <v>5.4441610832799622E-2</v>
      </c>
      <c r="S76" s="133">
        <f t="shared" si="6"/>
        <v>2.9231961989100524E-3</v>
      </c>
      <c r="T76" s="133">
        <f t="shared" si="6"/>
        <v>5.3442092670349974E-2</v>
      </c>
      <c r="U76" s="45">
        <f t="shared" si="6"/>
        <v>31986.189184455136</v>
      </c>
      <c r="V76" s="134">
        <f t="shared" ref="V76" si="7">SUM(V60,V62:V63)</f>
        <v>238.66299493422173</v>
      </c>
      <c r="W76" t="s">
        <v>1997</v>
      </c>
      <c r="Y76" s="13">
        <f t="shared" si="4"/>
        <v>5.3200059065116444E-3</v>
      </c>
      <c r="Z76" s="5">
        <f t="shared" si="4"/>
        <v>8.3692795073115958E-2</v>
      </c>
      <c r="AA76" s="357">
        <f t="shared" si="4"/>
        <v>0.21565482482121576</v>
      </c>
      <c r="AB76" s="5">
        <f t="shared" si="4"/>
        <v>3.4040698326925126E-3</v>
      </c>
      <c r="AC76" s="358">
        <f t="shared" si="4"/>
        <v>3.4040698326925126E-3</v>
      </c>
      <c r="AD76" s="5">
        <f t="shared" si="4"/>
        <v>1.8277864750019591E-4</v>
      </c>
      <c r="AE76" s="13">
        <f t="shared" si="4"/>
        <v>3.3415729746463282E-3</v>
      </c>
    </row>
    <row r="77" spans="1:31" x14ac:dyDescent="0.25">
      <c r="M77" s="1" t="s">
        <v>2008</v>
      </c>
      <c r="N77" s="133">
        <f t="shared" ref="N77:U77" si="8">N61</f>
        <v>2.7415804511189711E-2</v>
      </c>
      <c r="O77" s="133">
        <f t="shared" si="8"/>
        <v>0.69212409705668243</v>
      </c>
      <c r="P77" s="133">
        <f t="shared" si="8"/>
        <v>0.48922407287064373</v>
      </c>
      <c r="Q77" s="133">
        <f t="shared" si="8"/>
        <v>1.7556769738486938E-2</v>
      </c>
      <c r="R77" s="133">
        <f t="shared" si="8"/>
        <v>1.7556769738486938E-2</v>
      </c>
      <c r="S77" s="133">
        <f t="shared" si="8"/>
        <v>9.4192069646982458E-4</v>
      </c>
      <c r="T77" s="133">
        <f t="shared" si="8"/>
        <v>1.7220264985165934E-2</v>
      </c>
      <c r="U77" s="45">
        <f t="shared" si="8"/>
        <v>10651.020826927837</v>
      </c>
      <c r="Y77" s="13">
        <f t="shared" si="4"/>
        <v>5.1480144404332144E-3</v>
      </c>
      <c r="Z77" s="5">
        <f t="shared" si="4"/>
        <v>0.12996389891696747</v>
      </c>
      <c r="AA77" s="357">
        <f t="shared" si="4"/>
        <v>9.186425992779787E-2</v>
      </c>
      <c r="AB77" s="5">
        <f t="shared" si="4"/>
        <v>3.2967299611507722E-3</v>
      </c>
      <c r="AC77" s="358">
        <f t="shared" si="4"/>
        <v>3.2967299611507722E-3</v>
      </c>
      <c r="AD77" s="5">
        <f t="shared" si="4"/>
        <v>1.7686956241573902E-4</v>
      </c>
      <c r="AE77" s="13">
        <f t="shared" si="4"/>
        <v>3.2335426368953818E-3</v>
      </c>
    </row>
    <row r="78" spans="1:31" x14ac:dyDescent="0.25">
      <c r="M78" s="1" t="s">
        <v>2009</v>
      </c>
      <c r="N78" s="133">
        <f t="shared" ref="N78:U78" si="9">SUM(N50:N59,N68)</f>
        <v>9.2963213842583361</v>
      </c>
      <c r="O78" s="133">
        <f t="shared" si="9"/>
        <v>0.43682852391473831</v>
      </c>
      <c r="P78" s="133">
        <f t="shared" si="9"/>
        <v>8.9503754553090342E-2</v>
      </c>
      <c r="Q78" s="133">
        <f t="shared" si="9"/>
        <v>2.5287547798999346</v>
      </c>
      <c r="R78" s="133">
        <f t="shared" si="9"/>
        <v>2.5287547798999346</v>
      </c>
      <c r="S78" s="133">
        <f t="shared" si="9"/>
        <v>9.5132634284480225E-2</v>
      </c>
      <c r="T78" s="133">
        <f t="shared" si="9"/>
        <v>26.868278413642937</v>
      </c>
      <c r="U78" s="45">
        <f t="shared" si="9"/>
        <v>7299.2190409179366</v>
      </c>
      <c r="V78" s="134">
        <f t="shared" ref="V78" si="10">V61</f>
        <v>79.360467715468317</v>
      </c>
      <c r="W78" t="s">
        <v>1997</v>
      </c>
      <c r="Y78" s="13">
        <f t="shared" si="4"/>
        <v>2.5472098678351891</v>
      </c>
      <c r="Z78" s="5">
        <f t="shared" si="4"/>
        <v>0.11969185236556583</v>
      </c>
      <c r="AA78" s="357">
        <f t="shared" si="4"/>
        <v>2.4524200205898881E-2</v>
      </c>
      <c r="AB78" s="5">
        <f t="shared" si="4"/>
        <v>0.69288365391537088</v>
      </c>
      <c r="AC78" s="358">
        <f t="shared" si="4"/>
        <v>0.69288365391537088</v>
      </c>
      <c r="AD78" s="5">
        <f t="shared" si="4"/>
        <v>2.6066524035293647E-2</v>
      </c>
      <c r="AE78" s="13">
        <f t="shared" si="4"/>
        <v>7.361959755701216</v>
      </c>
    </row>
    <row r="79" spans="1:31" x14ac:dyDescent="0.25">
      <c r="M79" s="1" t="s">
        <v>2010</v>
      </c>
      <c r="N79" s="133">
        <f>SUM(N64,N65,N66,N67,N69)</f>
        <v>0.12699203861455707</v>
      </c>
      <c r="O79" s="133">
        <f t="shared" ref="O79:U79" si="11">SUM(O64,O65,O66,O67,O69)</f>
        <v>0.22343798481300856</v>
      </c>
      <c r="P79" s="133">
        <f t="shared" si="11"/>
        <v>0.12796053272693728</v>
      </c>
      <c r="Q79" s="133">
        <f t="shared" si="11"/>
        <v>0.10720685434364109</v>
      </c>
      <c r="R79" s="133">
        <f t="shared" si="11"/>
        <v>0.10720685434364109</v>
      </c>
      <c r="S79" s="133">
        <f t="shared" si="11"/>
        <v>4.391818575259037E-2</v>
      </c>
      <c r="T79" s="133">
        <f t="shared" si="11"/>
        <v>1.6119564297881246</v>
      </c>
      <c r="U79" s="45">
        <f t="shared" si="11"/>
        <v>3484.5920844973816</v>
      </c>
      <c r="V79" s="134">
        <f t="shared" ref="V79" si="12">SUM(V50:V59,V68)</f>
        <v>649.44700294638744</v>
      </c>
      <c r="W79" t="s">
        <v>2011</v>
      </c>
      <c r="Y79" s="13">
        <f t="shared" si="4"/>
        <v>7.2887750149885591E-2</v>
      </c>
      <c r="Z79" s="5">
        <f t="shared" si="4"/>
        <v>0.12824340949809468</v>
      </c>
      <c r="AA79" s="357">
        <f t="shared" si="4"/>
        <v>7.3443622452235666E-2</v>
      </c>
      <c r="AB79" s="5">
        <f t="shared" si="4"/>
        <v>6.1531939316853863E-2</v>
      </c>
      <c r="AC79" s="358">
        <f t="shared" si="4"/>
        <v>6.1531939316853863E-2</v>
      </c>
      <c r="AD79" s="5">
        <f t="shared" si="4"/>
        <v>2.5207074278781841E-2</v>
      </c>
      <c r="AE79" s="13">
        <f t="shared" si="4"/>
        <v>0.92519089219054662</v>
      </c>
    </row>
    <row r="80" spans="1:31" x14ac:dyDescent="0.25">
      <c r="M80" s="1" t="s">
        <v>2012</v>
      </c>
      <c r="N80" s="133">
        <f>SUM(N76:N79)</f>
        <v>9.5358125850781317</v>
      </c>
      <c r="O80" s="133">
        <f t="shared" ref="O80:U80" si="13">SUM(O76:O79)</f>
        <v>2.69089739407669</v>
      </c>
      <c r="P80" s="133">
        <f t="shared" si="13"/>
        <v>4.1556763727866413</v>
      </c>
      <c r="Q80" s="133">
        <f t="shared" si="13"/>
        <v>2.7079600148148626</v>
      </c>
      <c r="R80" s="133">
        <f t="shared" si="13"/>
        <v>2.7079600148148626</v>
      </c>
      <c r="S80" s="133">
        <f t="shared" si="13"/>
        <v>0.14291593693245047</v>
      </c>
      <c r="T80" s="133">
        <f t="shared" si="13"/>
        <v>28.550897201086578</v>
      </c>
      <c r="U80" s="45">
        <f t="shared" si="13"/>
        <v>53421.021136798292</v>
      </c>
      <c r="Y80" s="13">
        <f t="shared" si="4"/>
        <v>0.3570060018380864</v>
      </c>
      <c r="Z80" s="5">
        <f t="shared" si="4"/>
        <v>0.10074301601932893</v>
      </c>
      <c r="AA80" s="357">
        <f t="shared" si="4"/>
        <v>0.15558206430180213</v>
      </c>
      <c r="AB80" s="5">
        <f t="shared" si="4"/>
        <v>0.1013818140196322</v>
      </c>
      <c r="AC80" s="358">
        <f t="shared" si="4"/>
        <v>0.1013818140196322</v>
      </c>
      <c r="AD80" s="5">
        <f t="shared" si="4"/>
        <v>5.3505505470019888E-3</v>
      </c>
      <c r="AE80" s="13">
        <f t="shared" si="4"/>
        <v>1.0689012150469623</v>
      </c>
    </row>
    <row r="82" spans="20:23" x14ac:dyDescent="0.25">
      <c r="V82" s="38">
        <f>V79/Lookup!B37</f>
        <v>385.94257239223765</v>
      </c>
      <c r="W82" t="s">
        <v>2013</v>
      </c>
    </row>
    <row r="83" spans="20:23" x14ac:dyDescent="0.25">
      <c r="T83" s="1" t="s">
        <v>2014</v>
      </c>
      <c r="U83" s="13">
        <v>1.930282922015446</v>
      </c>
      <c r="V83" s="45">
        <f>V82*365/U83</f>
        <v>72978.441303351865</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5FE5-3B8E-4242-9E49-5988F77EF1B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2021</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5.943160326493464</v>
      </c>
      <c r="E6" s="133">
        <v>6.7476929471104841E-2</v>
      </c>
      <c r="F6" s="133">
        <v>1.0381066072477664E-2</v>
      </c>
      <c r="G6" s="133">
        <v>0.89796221526931841</v>
      </c>
      <c r="H6" s="133">
        <v>0.89796221526931841</v>
      </c>
      <c r="I6" s="133">
        <v>4.6714797326149499E-2</v>
      </c>
      <c r="J6" s="133">
        <v>6.5556432247696463</v>
      </c>
      <c r="K6" s="45">
        <v>835.15750396377587</v>
      </c>
      <c r="L6" s="134">
        <v>74.151084440573854</v>
      </c>
      <c r="M6" s="45" t="s">
        <v>738</v>
      </c>
      <c r="N6" s="133">
        <v>5.4761884432573442</v>
      </c>
      <c r="O6" s="133">
        <v>6.2175065294624861E-2</v>
      </c>
      <c r="P6" s="133">
        <v>9.5653946607115164E-3</v>
      </c>
      <c r="Q6" s="133">
        <v>0.82740663815154614</v>
      </c>
      <c r="R6" s="133">
        <v>0.82740663815154614</v>
      </c>
      <c r="S6" s="133">
        <v>4.3044275973201825E-2</v>
      </c>
      <c r="T6" s="133">
        <v>6.0405467282393221</v>
      </c>
      <c r="U6" s="45">
        <v>769.53668086630387</v>
      </c>
      <c r="V6" s="134">
        <v>68.324811945306095</v>
      </c>
      <c r="W6" t="s">
        <v>738</v>
      </c>
    </row>
    <row r="7" spans="1:23" x14ac:dyDescent="0.25">
      <c r="A7" s="812" t="s">
        <v>1996</v>
      </c>
      <c r="B7" s="812">
        <v>2104008210</v>
      </c>
      <c r="C7" s="812" t="s">
        <v>138</v>
      </c>
      <c r="D7" s="133">
        <v>0.12258608051068291</v>
      </c>
      <c r="E7" s="133">
        <v>6.4762457628285306E-3</v>
      </c>
      <c r="F7" s="133">
        <v>9.2517796611836164E-4</v>
      </c>
      <c r="G7" s="133">
        <v>7.0776114408054674E-2</v>
      </c>
      <c r="H7" s="133">
        <v>7.0776114408054674E-2</v>
      </c>
      <c r="I7" s="133">
        <v>3.932006356003037E-3</v>
      </c>
      <c r="J7" s="133">
        <v>0.53382768645029444</v>
      </c>
      <c r="K7" s="45">
        <v>74.430633184601149</v>
      </c>
      <c r="L7" s="134">
        <v>6.6084686302191518</v>
      </c>
      <c r="M7" s="45" t="s">
        <v>738</v>
      </c>
      <c r="N7" s="133">
        <v>0.10653110752301446</v>
      </c>
      <c r="O7" s="133">
        <v>5.6280585106498202E-3</v>
      </c>
      <c r="P7" s="133">
        <v>8.040083586642599E-4</v>
      </c>
      <c r="Q7" s="133">
        <v>6.1506639437815903E-2</v>
      </c>
      <c r="R7" s="133">
        <v>6.1506639437815903E-2</v>
      </c>
      <c r="S7" s="133">
        <v>3.417035524323105E-3</v>
      </c>
      <c r="T7" s="133">
        <v>0.46391282294927799</v>
      </c>
      <c r="U7" s="45">
        <v>64.682529645801011</v>
      </c>
      <c r="V7" s="134">
        <v>5.7429642849784504</v>
      </c>
      <c r="W7" t="s">
        <v>738</v>
      </c>
    </row>
    <row r="8" spans="1:23" x14ac:dyDescent="0.25">
      <c r="A8" s="812" t="s">
        <v>1996</v>
      </c>
      <c r="B8" s="812">
        <v>2104008220</v>
      </c>
      <c r="C8" s="812" t="s">
        <v>139</v>
      </c>
      <c r="D8" s="133">
        <v>5.8436543309184769E-2</v>
      </c>
      <c r="E8" s="133">
        <v>9.7394238848641287E-3</v>
      </c>
      <c r="F8" s="133">
        <v>1.9478847769728259E-3</v>
      </c>
      <c r="G8" s="133">
        <v>5.8436543309184769E-2</v>
      </c>
      <c r="H8" s="133">
        <v>5.8436543309184769E-2</v>
      </c>
      <c r="I8" s="133">
        <v>4.3827407481888568E-3</v>
      </c>
      <c r="J8" s="133">
        <v>0.68565544149443469</v>
      </c>
      <c r="K8" s="45">
        <v>156.70746886570896</v>
      </c>
      <c r="L8" s="134">
        <v>13.913577620005185</v>
      </c>
      <c r="M8" s="45" t="s">
        <v>738</v>
      </c>
      <c r="N8" s="133">
        <v>5.0783169284880934E-2</v>
      </c>
      <c r="O8" s="133">
        <v>8.4638615474801563E-3</v>
      </c>
      <c r="P8" s="133">
        <v>1.6927723094960318E-3</v>
      </c>
      <c r="Q8" s="133">
        <v>5.0783169284880934E-2</v>
      </c>
      <c r="R8" s="133">
        <v>5.0783169284880934E-2</v>
      </c>
      <c r="S8" s="133">
        <v>3.8087376963660698E-3</v>
      </c>
      <c r="T8" s="133">
        <v>0.59585585294260301</v>
      </c>
      <c r="U8" s="45">
        <v>136.18365271036987</v>
      </c>
      <c r="V8" s="134">
        <v>12.091330657540757</v>
      </c>
      <c r="W8" t="s">
        <v>738</v>
      </c>
    </row>
    <row r="9" spans="1:23" x14ac:dyDescent="0.25">
      <c r="A9" s="812" t="s">
        <v>1996</v>
      </c>
      <c r="B9" s="812">
        <v>2104008230</v>
      </c>
      <c r="C9" s="812" t="s">
        <v>140</v>
      </c>
      <c r="D9" s="133">
        <v>4.3978847099142925E-2</v>
      </c>
      <c r="E9" s="133">
        <v>5.8638462798857247E-3</v>
      </c>
      <c r="F9" s="133">
        <v>1.1727692559771446E-3</v>
      </c>
      <c r="G9" s="133">
        <v>3.8115000819257214E-2</v>
      </c>
      <c r="H9" s="133">
        <v>3.8115000819257214E-2</v>
      </c>
      <c r="I9" s="133">
        <v>2.6387308259485757E-3</v>
      </c>
      <c r="J9" s="133">
        <v>0.31371577597388628</v>
      </c>
      <c r="K9" s="45">
        <v>94.349370065569843</v>
      </c>
      <c r="L9" s="134">
        <v>8.3769924516543242</v>
      </c>
      <c r="M9" s="45" t="s">
        <v>738</v>
      </c>
      <c r="N9" s="133">
        <v>3.8218982689871693E-2</v>
      </c>
      <c r="O9" s="133">
        <v>5.09586435864956E-3</v>
      </c>
      <c r="P9" s="133">
        <v>1.0191728717299118E-3</v>
      </c>
      <c r="Q9" s="133">
        <v>3.3123118331222147E-2</v>
      </c>
      <c r="R9" s="133">
        <v>3.3123118331222147E-2</v>
      </c>
      <c r="S9" s="133">
        <v>2.2931389613923014E-3</v>
      </c>
      <c r="T9" s="133">
        <v>0.27262874318775154</v>
      </c>
      <c r="U9" s="45">
        <v>81.992530027159006</v>
      </c>
      <c r="V9" s="134">
        <v>7.2798663589615105</v>
      </c>
      <c r="W9" t="s">
        <v>738</v>
      </c>
    </row>
    <row r="10" spans="1:23" x14ac:dyDescent="0.25">
      <c r="A10" s="812" t="s">
        <v>1996</v>
      </c>
      <c r="B10" s="812">
        <v>2104008310</v>
      </c>
      <c r="C10" s="812" t="s">
        <v>141</v>
      </c>
      <c r="D10" s="133">
        <v>2.4877889693827813</v>
      </c>
      <c r="E10" s="133">
        <v>6.8162725000869062E-2</v>
      </c>
      <c r="F10" s="133">
        <v>1.8775765806662497E-2</v>
      </c>
      <c r="G10" s="133">
        <v>0.56993975039344202</v>
      </c>
      <c r="H10" s="133">
        <v>0.56993975039344202</v>
      </c>
      <c r="I10" s="133">
        <v>1.863628745969122E-2</v>
      </c>
      <c r="J10" s="133">
        <v>5.6876789779432002</v>
      </c>
      <c r="K10" s="45">
        <v>1510.5116947163513</v>
      </c>
      <c r="L10" s="134">
        <v>134.11372069554514</v>
      </c>
      <c r="M10" s="45" t="s">
        <v>738</v>
      </c>
      <c r="N10" s="133">
        <v>2.1619658046640153</v>
      </c>
      <c r="O10" s="133">
        <v>5.9235522955613559E-2</v>
      </c>
      <c r="P10" s="133">
        <v>1.6316723054068043E-2</v>
      </c>
      <c r="Q10" s="133">
        <v>0.49529532698871653</v>
      </c>
      <c r="R10" s="133">
        <v>0.49529532698871653</v>
      </c>
      <c r="S10" s="133">
        <v>1.6195512042863278E-2</v>
      </c>
      <c r="T10" s="133">
        <v>4.9427695072023541</v>
      </c>
      <c r="U10" s="45">
        <v>1312.6815303518513</v>
      </c>
      <c r="V10" s="134">
        <v>116.54898451936046</v>
      </c>
      <c r="W10" t="s">
        <v>738</v>
      </c>
    </row>
    <row r="11" spans="1:23" x14ac:dyDescent="0.25">
      <c r="A11" s="812" t="s">
        <v>1996</v>
      </c>
      <c r="B11" s="812">
        <v>2104008320</v>
      </c>
      <c r="C11" s="812" t="s">
        <v>142</v>
      </c>
      <c r="D11" s="133">
        <v>1.1859241053129188</v>
      </c>
      <c r="E11" s="133">
        <v>0.15899680884974834</v>
      </c>
      <c r="F11" s="133">
        <v>3.9530803510430611E-2</v>
      </c>
      <c r="G11" s="133">
        <v>0.78321642370686972</v>
      </c>
      <c r="H11" s="133">
        <v>0.78321642370686972</v>
      </c>
      <c r="I11" s="133">
        <v>2.4681228772583896E-2</v>
      </c>
      <c r="J11" s="133">
        <v>12.219065101712607</v>
      </c>
      <c r="K11" s="45">
        <v>3180.255954345746</v>
      </c>
      <c r="L11" s="134">
        <v>282.36521457820425</v>
      </c>
      <c r="M11" s="45" t="s">
        <v>738</v>
      </c>
      <c r="N11" s="133">
        <v>1.0306048439668922</v>
      </c>
      <c r="O11" s="133">
        <v>0.13817316018936285</v>
      </c>
      <c r="P11" s="133">
        <v>3.4353494798896406E-2</v>
      </c>
      <c r="Q11" s="133">
        <v>0.6806393735741979</v>
      </c>
      <c r="R11" s="133">
        <v>0.6806393735741979</v>
      </c>
      <c r="S11" s="133">
        <v>2.1448753604150991E-2</v>
      </c>
      <c r="T11" s="133">
        <v>10.61874670238617</v>
      </c>
      <c r="U11" s="45">
        <v>2763.7411002270273</v>
      </c>
      <c r="V11" s="134">
        <v>245.38413260034312</v>
      </c>
      <c r="W11" t="s">
        <v>738</v>
      </c>
    </row>
    <row r="12" spans="1:23" x14ac:dyDescent="0.25">
      <c r="A12" s="812" t="s">
        <v>1996</v>
      </c>
      <c r="B12" s="812">
        <v>2104008330</v>
      </c>
      <c r="C12" s="812" t="s">
        <v>143</v>
      </c>
      <c r="D12" s="133">
        <v>0.89251642799595832</v>
      </c>
      <c r="E12" s="133">
        <v>9.5727720356870494E-2</v>
      </c>
      <c r="F12" s="133">
        <v>2.3800438079892225E-2</v>
      </c>
      <c r="G12" s="133">
        <v>0.5232307430401516</v>
      </c>
      <c r="H12" s="133">
        <v>0.5232307430401516</v>
      </c>
      <c r="I12" s="133">
        <v>1.4859906831454602E-2</v>
      </c>
      <c r="J12" s="133">
        <v>7.3567718468142758</v>
      </c>
      <c r="K12" s="45">
        <v>1914.7469365160387</v>
      </c>
      <c r="L12" s="134">
        <v>170.00453339408557</v>
      </c>
      <c r="M12" s="45" t="s">
        <v>738</v>
      </c>
      <c r="N12" s="133">
        <v>0.77562446862479106</v>
      </c>
      <c r="O12" s="133">
        <v>8.3190359197283556E-2</v>
      </c>
      <c r="P12" s="133">
        <v>2.0683319163327753E-2</v>
      </c>
      <c r="Q12" s="133">
        <v>0.45470375032750626</v>
      </c>
      <c r="R12" s="133">
        <v>0.45470375032750626</v>
      </c>
      <c r="S12" s="133">
        <v>1.2913720104671362E-2</v>
      </c>
      <c r="T12" s="133">
        <v>6.393262998297419</v>
      </c>
      <c r="U12" s="45">
        <v>1663.9744979494358</v>
      </c>
      <c r="V12" s="134">
        <v>147.73921436232681</v>
      </c>
      <c r="W12" t="s">
        <v>738</v>
      </c>
    </row>
    <row r="13" spans="1:23" x14ac:dyDescent="0.25">
      <c r="A13" s="812" t="s">
        <v>1996</v>
      </c>
      <c r="B13" s="812">
        <v>2104008410</v>
      </c>
      <c r="C13" s="812" t="s">
        <v>144</v>
      </c>
      <c r="D13" s="133">
        <v>1.4954947249844095E-2</v>
      </c>
      <c r="E13" s="133">
        <v>2.6115996535767017E-2</v>
      </c>
      <c r="F13" s="133">
        <v>2.0871925303310307E-3</v>
      </c>
      <c r="G13" s="133">
        <v>1.930653090556203E-2</v>
      </c>
      <c r="H13" s="133">
        <v>1.930653090556203E-2</v>
      </c>
      <c r="I13" s="133">
        <v>4.6883562212560783E-4</v>
      </c>
      <c r="J13" s="133">
        <v>6.4781238160149357E-2</v>
      </c>
      <c r="K13" s="45">
        <v>200.52109500588094</v>
      </c>
      <c r="L13" s="134">
        <v>17.803655690486782</v>
      </c>
      <c r="M13" s="45" t="s">
        <v>738</v>
      </c>
      <c r="N13" s="133">
        <v>1.2996313177133619E-2</v>
      </c>
      <c r="O13" s="133">
        <v>2.2695611307843505E-2</v>
      </c>
      <c r="P13" s="133">
        <v>1.8138350695579232E-3</v>
      </c>
      <c r="Q13" s="133">
        <v>1.6777974393410781E-2</v>
      </c>
      <c r="R13" s="133">
        <v>1.6777974393410781E-2</v>
      </c>
      <c r="S13" s="133">
        <v>4.0743270249944853E-4</v>
      </c>
      <c r="T13" s="133">
        <v>5.6296905971404035E-2</v>
      </c>
      <c r="U13" s="45">
        <v>174.25905326047612</v>
      </c>
      <c r="V13" s="134">
        <v>15.471929200809146</v>
      </c>
      <c r="W13" t="s">
        <v>738</v>
      </c>
    </row>
    <row r="14" spans="1:23" x14ac:dyDescent="0.25">
      <c r="A14" s="812" t="s">
        <v>1996</v>
      </c>
      <c r="B14" s="812">
        <v>2104008420</v>
      </c>
      <c r="C14" s="812" t="s">
        <v>145</v>
      </c>
      <c r="D14" s="133">
        <v>5.0443501852496006E-2</v>
      </c>
      <c r="E14" s="133">
        <v>8.8090067963661728E-2</v>
      </c>
      <c r="F14" s="133">
        <v>7.040165271821117E-3</v>
      </c>
      <c r="G14" s="133">
        <v>6.5121528764345349E-2</v>
      </c>
      <c r="H14" s="133">
        <v>6.5121528764345349E-2</v>
      </c>
      <c r="I14" s="133">
        <v>1.5813971241828183E-3</v>
      </c>
      <c r="J14" s="133">
        <v>0.21850912962414792</v>
      </c>
      <c r="K14" s="45">
        <v>676.36388536904622</v>
      </c>
      <c r="L14" s="134">
        <v>60.052283956644047</v>
      </c>
      <c r="M14" s="45" t="s">
        <v>738</v>
      </c>
      <c r="N14" s="133">
        <v>4.3836968253645442E-2</v>
      </c>
      <c r="O14" s="133">
        <v>7.6553002289103222E-2</v>
      </c>
      <c r="P14" s="133">
        <v>6.1181220610671896E-3</v>
      </c>
      <c r="Q14" s="133">
        <v>5.6592629064871523E-2</v>
      </c>
      <c r="R14" s="133">
        <v>5.6592629064871523E-2</v>
      </c>
      <c r="S14" s="133">
        <v>1.3742831679672178E-3</v>
      </c>
      <c r="T14" s="133">
        <v>0.18989121347037294</v>
      </c>
      <c r="U14" s="45">
        <v>587.78120237439589</v>
      </c>
      <c r="V14" s="134">
        <v>52.187298040174575</v>
      </c>
      <c r="W14" t="s">
        <v>738</v>
      </c>
    </row>
    <row r="15" spans="1:23" x14ac:dyDescent="0.25">
      <c r="A15" s="812" t="s">
        <v>1996</v>
      </c>
      <c r="B15" s="812">
        <v>2104008610</v>
      </c>
      <c r="C15" s="812" t="s">
        <v>146</v>
      </c>
      <c r="D15" s="133">
        <v>1.278742441843945</v>
      </c>
      <c r="E15" s="133">
        <v>4.5424466656019222E-2</v>
      </c>
      <c r="F15" s="133">
        <v>1.1266453232105239E-2</v>
      </c>
      <c r="G15" s="133">
        <v>0.27800401698816674</v>
      </c>
      <c r="H15" s="133">
        <v>0.27800401698816674</v>
      </c>
      <c r="I15" s="133">
        <v>6.8657363103314167E-3</v>
      </c>
      <c r="J15" s="133">
        <v>1.7060414530331327</v>
      </c>
      <c r="K15" s="45">
        <v>906.38696393576686</v>
      </c>
      <c r="L15" s="134">
        <v>80.475330676728944</v>
      </c>
      <c r="M15" s="45" t="s">
        <v>738</v>
      </c>
      <c r="N15" s="133">
        <v>1.169066718045517</v>
      </c>
      <c r="O15" s="133">
        <v>4.1528481744880677E-2</v>
      </c>
      <c r="P15" s="133">
        <v>1.0300147295555215E-2</v>
      </c>
      <c r="Q15" s="133">
        <v>0.25416005061595442</v>
      </c>
      <c r="R15" s="133">
        <v>0.25416005061595442</v>
      </c>
      <c r="S15" s="133">
        <v>6.2768729281487507E-3</v>
      </c>
      <c r="T15" s="133">
        <v>1.5597169665151784</v>
      </c>
      <c r="U15" s="45">
        <v>828.64758260439612</v>
      </c>
      <c r="V15" s="134">
        <v>73.573088402545324</v>
      </c>
      <c r="W15" t="s">
        <v>738</v>
      </c>
    </row>
    <row r="16" spans="1:23" x14ac:dyDescent="0.25">
      <c r="A16" s="812" t="s">
        <v>1996</v>
      </c>
      <c r="B16" s="812">
        <v>2104004000</v>
      </c>
      <c r="C16" s="812" t="s">
        <v>568</v>
      </c>
      <c r="D16" s="133">
        <v>0.10137282227819921</v>
      </c>
      <c r="E16" s="133">
        <v>1.5883271569996866</v>
      </c>
      <c r="F16" s="133">
        <v>4.1093071350313624</v>
      </c>
      <c r="G16" s="133">
        <v>6.4918003692085308E-2</v>
      </c>
      <c r="H16" s="133">
        <v>6.4918003692085308E-2</v>
      </c>
      <c r="I16" s="133">
        <v>3.482850898080377E-3</v>
      </c>
      <c r="J16" s="133">
        <v>6.3673741954653668E-2</v>
      </c>
      <c r="K16" s="45">
        <v>38163.572180317256</v>
      </c>
      <c r="L16" s="134">
        <v>284.3557427158463</v>
      </c>
      <c r="M16" s="45" t="s">
        <v>1997</v>
      </c>
      <c r="N16" s="133">
        <v>9.3561957054158706E-2</v>
      </c>
      <c r="O16" s="133">
        <v>1.4659451508939341</v>
      </c>
      <c r="P16" s="133">
        <v>3.7926814016781676</v>
      </c>
      <c r="Q16" s="133">
        <v>5.9916014341713945E-2</v>
      </c>
      <c r="R16" s="133">
        <v>5.9916014341713945E-2</v>
      </c>
      <c r="S16" s="133">
        <v>3.2144941694329525E-3</v>
      </c>
      <c r="T16" s="133">
        <v>5.8767624066831094E-2</v>
      </c>
      <c r="U16" s="45">
        <v>35223.035337509988</v>
      </c>
      <c r="V16" s="134">
        <v>262.44588233985615</v>
      </c>
      <c r="W16" t="s">
        <v>1997</v>
      </c>
    </row>
    <row r="17" spans="1:23" x14ac:dyDescent="0.25">
      <c r="A17" s="812" t="s">
        <v>1996</v>
      </c>
      <c r="B17" s="812">
        <v>2103004001</v>
      </c>
      <c r="C17" s="812" t="s">
        <v>148</v>
      </c>
      <c r="D17" s="133">
        <v>3.2573029335498604E-2</v>
      </c>
      <c r="E17" s="133">
        <v>0.82232051618369595</v>
      </c>
      <c r="F17" s="133">
        <v>0.58125268841713329</v>
      </c>
      <c r="G17" s="133">
        <v>2.0859397924832702E-2</v>
      </c>
      <c r="H17" s="133">
        <v>2.0859397924832702E-2</v>
      </c>
      <c r="I17" s="133">
        <v>1.1191066986672743E-3</v>
      </c>
      <c r="J17" s="133">
        <v>2.0459592797940077E-2</v>
      </c>
      <c r="K17" s="45">
        <v>12654.599054604654</v>
      </c>
      <c r="L17" s="134">
        <v>94.289074826156323</v>
      </c>
      <c r="M17" s="45" t="s">
        <v>1997</v>
      </c>
      <c r="N17" s="133">
        <v>3.2034537711424595E-2</v>
      </c>
      <c r="O17" s="133">
        <v>0.80872605723091606</v>
      </c>
      <c r="P17" s="133">
        <v>0.57164352063113277</v>
      </c>
      <c r="Q17" s="133">
        <v>2.0514554006569697E-2</v>
      </c>
      <c r="R17" s="133">
        <v>2.0514554006569697E-2</v>
      </c>
      <c r="S17" s="133">
        <v>1.1006058224524641E-3</v>
      </c>
      <c r="T17" s="133">
        <v>2.0121358388110439E-2</v>
      </c>
      <c r="U17" s="45">
        <v>12445.395436275765</v>
      </c>
      <c r="V17" s="134">
        <v>92.730304331935258</v>
      </c>
      <c r="W17" t="s">
        <v>1997</v>
      </c>
    </row>
    <row r="18" spans="1:23" x14ac:dyDescent="0.25">
      <c r="A18" s="812" t="s">
        <v>1996</v>
      </c>
      <c r="B18" s="812">
        <v>2104004000</v>
      </c>
      <c r="C18" s="812" t="s">
        <v>746</v>
      </c>
      <c r="D18" s="133">
        <v>6.7946095932269258E-4</v>
      </c>
      <c r="E18" s="133">
        <v>1.7153292100713136E-2</v>
      </c>
      <c r="F18" s="133">
        <v>2.7543020953461752E-2</v>
      </c>
      <c r="G18" s="133">
        <v>3.8118426890473638E-4</v>
      </c>
      <c r="H18" s="133">
        <v>3.8118426890473638E-4</v>
      </c>
      <c r="I18" s="133">
        <v>2.3344138588676887E-5</v>
      </c>
      <c r="J18" s="133">
        <v>4.2677929665847596E-4</v>
      </c>
      <c r="K18" s="45">
        <v>261.10169459302165</v>
      </c>
      <c r="L18" s="134">
        <v>1.9059213445236818</v>
      </c>
      <c r="M18" s="45" t="s">
        <v>1997</v>
      </c>
      <c r="N18" s="133">
        <v>6.4099941856749062E-4</v>
      </c>
      <c r="O18" s="133">
        <v>1.6182313512222775E-2</v>
      </c>
      <c r="P18" s="133">
        <v>2.5983921775815204E-2</v>
      </c>
      <c r="Q18" s="133">
        <v>3.5960696693828378E-4</v>
      </c>
      <c r="R18" s="133">
        <v>3.5960696693828378E-4</v>
      </c>
      <c r="S18" s="133">
        <v>2.202272118359377E-5</v>
      </c>
      <c r="T18" s="133">
        <v>4.0262104431640046E-4</v>
      </c>
      <c r="U18" s="45">
        <v>246.32178217855088</v>
      </c>
      <c r="V18" s="134">
        <v>1.7980348346914186</v>
      </c>
      <c r="W18" t="s">
        <v>1997</v>
      </c>
    </row>
    <row r="19" spans="1:23" x14ac:dyDescent="0.25">
      <c r="A19" s="812" t="s">
        <v>1996</v>
      </c>
      <c r="B19" s="812">
        <v>2104004000</v>
      </c>
      <c r="C19" s="812" t="s">
        <v>747</v>
      </c>
      <c r="D19" s="133">
        <v>2.9034691356847986E-3</v>
      </c>
      <c r="E19" s="133">
        <v>4.549206359336351E-2</v>
      </c>
      <c r="F19" s="133">
        <v>0.11769669786710447</v>
      </c>
      <c r="G19" s="133">
        <v>1.8593486482301155E-3</v>
      </c>
      <c r="H19" s="133">
        <v>1.8593486482301155E-3</v>
      </c>
      <c r="I19" s="133">
        <v>9.9754054977545757E-5</v>
      </c>
      <c r="J19" s="133">
        <v>1.8237111324723727E-3</v>
      </c>
      <c r="K19" s="45">
        <v>1018.0466815164095</v>
      </c>
      <c r="L19" s="134">
        <v>8.1443734521312745</v>
      </c>
      <c r="M19" s="45" t="s">
        <v>1997</v>
      </c>
      <c r="N19" s="133">
        <v>2.3988671713778887E-3</v>
      </c>
      <c r="O19" s="133">
        <v>3.7585871525586657E-2</v>
      </c>
      <c r="P19" s="133">
        <v>9.7241861889600531E-2</v>
      </c>
      <c r="Q19" s="133">
        <v>1.5362072830621247E-3</v>
      </c>
      <c r="R19" s="133">
        <v>1.5362072830621247E-3</v>
      </c>
      <c r="S19" s="133">
        <v>8.2417520736282986E-5</v>
      </c>
      <c r="T19" s="133">
        <v>1.5067633101367676E-3</v>
      </c>
      <c r="U19" s="45">
        <v>841.11752152099905</v>
      </c>
      <c r="V19" s="134">
        <v>6.7289401721679925</v>
      </c>
      <c r="W19" t="s">
        <v>1997</v>
      </c>
    </row>
    <row r="20" spans="1:23" x14ac:dyDescent="0.25">
      <c r="A20" s="812" t="s">
        <v>1996</v>
      </c>
      <c r="B20" s="812">
        <v>2104006010</v>
      </c>
      <c r="C20" s="812" t="s">
        <v>149</v>
      </c>
      <c r="D20" s="133">
        <v>6.6969683938961381E-4</v>
      </c>
      <c r="E20" s="133">
        <v>1.1445727800477036E-2</v>
      </c>
      <c r="F20" s="133">
        <v>7.3057837024321479E-5</v>
      </c>
      <c r="G20" s="133">
        <v>6.0311679724811497E-6</v>
      </c>
      <c r="H20" s="133">
        <v>6.0311679724811497E-6</v>
      </c>
      <c r="I20" s="133">
        <v>2.4352612341440507E-3</v>
      </c>
      <c r="J20" s="133">
        <v>4.8705224682881014E-3</v>
      </c>
      <c r="K20" s="45">
        <v>300.62303278688512</v>
      </c>
      <c r="L20" s="134">
        <v>296.18032786885294</v>
      </c>
      <c r="M20" s="45" t="s">
        <v>1998</v>
      </c>
      <c r="N20" s="133">
        <v>6.6969683938961381E-4</v>
      </c>
      <c r="O20" s="133">
        <v>1.1445727800477036E-2</v>
      </c>
      <c r="P20" s="133">
        <v>7.3057837024321479E-5</v>
      </c>
      <c r="Q20" s="133">
        <v>6.0311679724811497E-6</v>
      </c>
      <c r="R20" s="133">
        <v>6.0311679724811497E-6</v>
      </c>
      <c r="S20" s="133">
        <v>2.4352612341440507E-3</v>
      </c>
      <c r="T20" s="133">
        <v>4.8705224682881014E-3</v>
      </c>
      <c r="U20" s="45">
        <v>300.62303278688512</v>
      </c>
      <c r="V20" s="134">
        <v>296.18032786885294</v>
      </c>
      <c r="W20" t="s">
        <v>1998</v>
      </c>
    </row>
    <row r="21" spans="1:23" x14ac:dyDescent="0.25">
      <c r="A21" s="812" t="s">
        <v>1996</v>
      </c>
      <c r="B21" s="812">
        <v>2103006000</v>
      </c>
      <c r="C21" s="812" t="s">
        <v>150</v>
      </c>
      <c r="D21" s="133">
        <v>5.2612909836065565E-3</v>
      </c>
      <c r="E21" s="133">
        <v>9.5659836065573697E-2</v>
      </c>
      <c r="F21" s="133">
        <v>5.7395901639344235E-4</v>
      </c>
      <c r="G21" s="133">
        <v>7.2701475409836002E-3</v>
      </c>
      <c r="H21" s="133">
        <v>7.2701475409836002E-3</v>
      </c>
      <c r="I21" s="133">
        <v>1.9131967213114765E-2</v>
      </c>
      <c r="J21" s="133">
        <v>3.826393442622953E-2</v>
      </c>
      <c r="K21" s="45">
        <v>1941.894672131147</v>
      </c>
      <c r="L21" s="134">
        <v>1913.196721311476</v>
      </c>
      <c r="M21" s="45" t="s">
        <v>1998</v>
      </c>
      <c r="N21" s="133">
        <v>5.2612909836065565E-3</v>
      </c>
      <c r="O21" s="133">
        <v>9.5659836065573697E-2</v>
      </c>
      <c r="P21" s="133">
        <v>5.7395901639344235E-4</v>
      </c>
      <c r="Q21" s="133">
        <v>7.2701475409836002E-3</v>
      </c>
      <c r="R21" s="133">
        <v>7.2701475409836002E-3</v>
      </c>
      <c r="S21" s="133">
        <v>1.9131967213114765E-2</v>
      </c>
      <c r="T21" s="133">
        <v>3.826393442622953E-2</v>
      </c>
      <c r="U21" s="45">
        <v>1941.894672131147</v>
      </c>
      <c r="V21" s="134">
        <v>1913.196721311476</v>
      </c>
      <c r="W21" t="s">
        <v>1998</v>
      </c>
    </row>
    <row r="22" spans="1:23" x14ac:dyDescent="0.25">
      <c r="A22" s="812" t="s">
        <v>1996</v>
      </c>
      <c r="B22" s="812">
        <v>2104002000</v>
      </c>
      <c r="C22" s="812" t="s">
        <v>151</v>
      </c>
      <c r="D22" s="133">
        <v>0.15407112088620684</v>
      </c>
      <c r="E22" s="133">
        <v>7.2721569058289637E-2</v>
      </c>
      <c r="F22" s="133">
        <v>0.14328614242417234</v>
      </c>
      <c r="G22" s="133">
        <v>0.12310282558807926</v>
      </c>
      <c r="H22" s="133">
        <v>0.12310282558807926</v>
      </c>
      <c r="I22" s="133">
        <v>1.9504633548589355E-2</v>
      </c>
      <c r="J22" s="133">
        <v>2.0117836609716462</v>
      </c>
      <c r="K22" s="45">
        <v>468.37620749406864</v>
      </c>
      <c r="L22" s="134">
        <v>30.814224177241375</v>
      </c>
      <c r="M22" s="45" t="s">
        <v>738</v>
      </c>
      <c r="N22" s="133">
        <v>0.1348884559203288</v>
      </c>
      <c r="O22" s="133">
        <v>6.3667351194395191E-2</v>
      </c>
      <c r="P22" s="133">
        <v>0.12544626400590578</v>
      </c>
      <c r="Q22" s="133">
        <v>0.10777587628034269</v>
      </c>
      <c r="R22" s="133">
        <v>0.10777587628034269</v>
      </c>
      <c r="S22" s="133">
        <v>1.7076204077234022E-2</v>
      </c>
      <c r="T22" s="133">
        <v>1.7613060131796932</v>
      </c>
      <c r="U22" s="45">
        <v>410.06090599779941</v>
      </c>
      <c r="V22" s="134">
        <v>26.977691184065755</v>
      </c>
      <c r="W22" t="s">
        <v>738</v>
      </c>
    </row>
    <row r="23" spans="1:23" x14ac:dyDescent="0.25">
      <c r="A23" s="812" t="s">
        <v>1996</v>
      </c>
      <c r="B23" s="812">
        <v>2103002000</v>
      </c>
      <c r="C23" s="812" t="s">
        <v>152</v>
      </c>
      <c r="D23" s="133">
        <v>4.0148138126104761E-4</v>
      </c>
      <c r="E23" s="133">
        <v>1.8949921195521448E-4</v>
      </c>
      <c r="F23" s="133">
        <v>3.7337768457277421E-4</v>
      </c>
      <c r="G23" s="133">
        <v>3.2078362362757704E-4</v>
      </c>
      <c r="H23" s="133">
        <v>3.2078362362757704E-4</v>
      </c>
      <c r="I23" s="133">
        <v>5.082553546074233E-5</v>
      </c>
      <c r="J23" s="133">
        <v>5.2423431358161292E-3</v>
      </c>
      <c r="K23" s="45">
        <v>18.456877950864644</v>
      </c>
      <c r="L23" s="134">
        <v>1.2205033990335847</v>
      </c>
      <c r="M23" s="45" t="s">
        <v>738</v>
      </c>
      <c r="N23" s="133">
        <v>3.7940475162931154E-4</v>
      </c>
      <c r="O23" s="133">
        <v>1.7907904276903502E-4</v>
      </c>
      <c r="P23" s="133">
        <v>3.5284641901525953E-4</v>
      </c>
      <c r="Q23" s="133">
        <v>3.0314439655181985E-4</v>
      </c>
      <c r="R23" s="133">
        <v>3.0314439655181985E-4</v>
      </c>
      <c r="S23" s="133">
        <v>4.8030744532512681E-5</v>
      </c>
      <c r="T23" s="133">
        <v>4.9540775443997331E-3</v>
      </c>
      <c r="U23" s="45">
        <v>17.43676104884138</v>
      </c>
      <c r="V23" s="134">
        <v>1.1533904449531067</v>
      </c>
      <c r="W23" t="s">
        <v>738</v>
      </c>
    </row>
    <row r="24" spans="1:23" x14ac:dyDescent="0.25">
      <c r="A24" s="812" t="s">
        <v>1996</v>
      </c>
      <c r="B24" s="812">
        <v>2103008000</v>
      </c>
      <c r="C24" s="812" t="s">
        <v>153</v>
      </c>
      <c r="D24" s="133">
        <v>1.2267802496122725E-3</v>
      </c>
      <c r="E24" s="133">
        <v>4.8776475754854215E-5</v>
      </c>
      <c r="F24" s="133">
        <v>1.0633485245822148E-5</v>
      </c>
      <c r="G24" s="133">
        <v>3.4500168382878608E-4</v>
      </c>
      <c r="H24" s="133">
        <v>3.4500168382878608E-4</v>
      </c>
      <c r="I24" s="133">
        <v>1.2632663031087653E-5</v>
      </c>
      <c r="J24" s="133">
        <v>2.4538740814386119E-3</v>
      </c>
      <c r="K24" s="45">
        <v>11.138643290370357</v>
      </c>
      <c r="L24" s="134">
        <v>0.91979647376361562</v>
      </c>
      <c r="M24" s="45" t="s">
        <v>738</v>
      </c>
      <c r="N24" s="133">
        <v>1.0057156829621555E-3</v>
      </c>
      <c r="O24" s="133">
        <v>4.0923651207836456E-5</v>
      </c>
      <c r="P24" s="133">
        <v>8.6857798127814725E-6</v>
      </c>
      <c r="Q24" s="133">
        <v>2.9694131175428141E-4</v>
      </c>
      <c r="R24" s="133">
        <v>2.9694131175428141E-4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1.9363248899601761E-2</v>
      </c>
      <c r="G25" s="135">
        <v>2.7260720241086733E-3</v>
      </c>
      <c r="H25" s="135">
        <v>2.7260720241086733E-3</v>
      </c>
      <c r="I25" s="135">
        <v>1.9058091583470184E-5</v>
      </c>
      <c r="J25" s="135">
        <v>6.5100227441401166E-3</v>
      </c>
      <c r="K25" s="88">
        <v>145.09904851683226</v>
      </c>
      <c r="L25" s="136">
        <v>1.0476465596883191</v>
      </c>
      <c r="M25" s="88" t="s">
        <v>1997</v>
      </c>
      <c r="N25" s="135">
        <v>5.2382327984415976E-4</v>
      </c>
      <c r="O25" s="135">
        <v>2.7346164289603576E-2</v>
      </c>
      <c r="P25" s="135">
        <v>1.9363248899601761E-2</v>
      </c>
      <c r="Q25" s="135">
        <v>2.7260720241086733E-3</v>
      </c>
      <c r="R25" s="135">
        <v>2.7260720241086733E-3</v>
      </c>
      <c r="S25" s="135">
        <v>1.9058091583470184E-5</v>
      </c>
      <c r="T25" s="135">
        <v>6.5100227441401166E-3</v>
      </c>
      <c r="U25" s="88">
        <v>145.09904851683226</v>
      </c>
      <c r="V25" s="136">
        <v>1.0476465596883191</v>
      </c>
      <c r="W25" s="3" t="s">
        <v>1997</v>
      </c>
    </row>
    <row r="26" spans="1:23" x14ac:dyDescent="0.25">
      <c r="A26" s="810" t="s">
        <v>1996</v>
      </c>
      <c r="B26" s="810" t="s">
        <v>341</v>
      </c>
      <c r="C26" s="810"/>
      <c r="D26" s="137">
        <v>12.378215166379039</v>
      </c>
      <c r="E26" s="137">
        <v>3.2527788325407312</v>
      </c>
      <c r="F26" s="137">
        <v>5.1164076781188621</v>
      </c>
      <c r="G26" s="137">
        <v>3.5258976637670045</v>
      </c>
      <c r="H26" s="137">
        <v>3.5258976637670045</v>
      </c>
      <c r="I26" s="137">
        <v>0.1706411014528969</v>
      </c>
      <c r="J26" s="137">
        <v>37.497198058985063</v>
      </c>
      <c r="K26" s="87">
        <v>64532.33959916998</v>
      </c>
      <c r="L26" s="87"/>
      <c r="M26" s="87"/>
      <c r="N26" s="137">
        <v>11.137181568300397</v>
      </c>
      <c r="O26" s="137">
        <v>3.0295174626021777</v>
      </c>
      <c r="P26" s="137">
        <v>4.7360357575755447</v>
      </c>
      <c r="Q26" s="137">
        <v>3.1316932654901199</v>
      </c>
      <c r="R26" s="137">
        <v>3.1316932654901199</v>
      </c>
      <c r="S26" s="137">
        <v>0.15432127003830373</v>
      </c>
      <c r="T26" s="137">
        <v>33.032490317874931</v>
      </c>
      <c r="U26" s="87">
        <v>59963.563267470345</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3.7387000419327601</v>
      </c>
      <c r="E28" s="133">
        <v>4.2448122746834842E-2</v>
      </c>
      <c r="F28" s="133">
        <v>6.5304804225899751E-3</v>
      </c>
      <c r="G28" s="133">
        <v>0.56488655655403286</v>
      </c>
      <c r="H28" s="133">
        <v>0.56488655655403286</v>
      </c>
      <c r="I28" s="133">
        <v>2.9387161901654881E-2</v>
      </c>
      <c r="J28" s="133">
        <v>4.1239983868655674</v>
      </c>
      <c r="K28" s="45">
        <v>522.36556941459776</v>
      </c>
      <c r="L28" s="134">
        <v>46.646674038306038</v>
      </c>
      <c r="M28" s="45" t="s">
        <v>738</v>
      </c>
      <c r="N28" s="133">
        <v>3.4575589075935151</v>
      </c>
      <c r="O28" s="133">
        <v>3.9256127335122876E-2</v>
      </c>
      <c r="P28" s="133">
        <v>6.0394042054035197E-3</v>
      </c>
      <c r="Q28" s="133">
        <v>0.52240846376740435</v>
      </c>
      <c r="R28" s="133">
        <v>0.52240846376740435</v>
      </c>
      <c r="S28" s="133">
        <v>2.7177318924315838E-2</v>
      </c>
      <c r="T28" s="133">
        <v>3.8138837557123217</v>
      </c>
      <c r="U28" s="45">
        <v>483.08495126448105</v>
      </c>
      <c r="V28" s="134">
        <v>43.1389577986521</v>
      </c>
      <c r="W28" t="s">
        <v>738</v>
      </c>
    </row>
    <row r="29" spans="1:23" x14ac:dyDescent="0.25">
      <c r="A29" s="812" t="s">
        <v>1999</v>
      </c>
      <c r="B29" s="812">
        <v>2104008210</v>
      </c>
      <c r="C29" s="812" t="s">
        <v>138</v>
      </c>
      <c r="D29" s="133">
        <v>8.8158747535306309E-2</v>
      </c>
      <c r="E29" s="133">
        <v>4.6574432660161811E-3</v>
      </c>
      <c r="F29" s="133">
        <v>6.6534903800231178E-4</v>
      </c>
      <c r="G29" s="133">
        <v>5.089920140717686E-2</v>
      </c>
      <c r="H29" s="133">
        <v>5.089920140717686E-2</v>
      </c>
      <c r="I29" s="133">
        <v>2.8277334115098243E-3</v>
      </c>
      <c r="J29" s="133">
        <v>0.38390639492733392</v>
      </c>
      <c r="K29" s="45">
        <v>53.220499351515215</v>
      </c>
      <c r="L29" s="134">
        <v>4.7525323849122572</v>
      </c>
      <c r="M29" s="45" t="s">
        <v>738</v>
      </c>
      <c r="N29" s="133">
        <v>7.6925487546688182E-2</v>
      </c>
      <c r="O29" s="133">
        <v>4.0639880213344699E-3</v>
      </c>
      <c r="P29" s="133">
        <v>5.8056971733349563E-4</v>
      </c>
      <c r="Q29" s="133">
        <v>4.4413583376012422E-2</v>
      </c>
      <c r="R29" s="133">
        <v>4.4413583376012422E-2</v>
      </c>
      <c r="S29" s="133">
        <v>2.4674212986673565E-3</v>
      </c>
      <c r="T29" s="133">
        <v>0.33498872690142706</v>
      </c>
      <c r="U29" s="45">
        <v>46.439099630515024</v>
      </c>
      <c r="V29" s="134">
        <v>4.1469608066333548</v>
      </c>
      <c r="W29" t="s">
        <v>738</v>
      </c>
    </row>
    <row r="30" spans="1:23" x14ac:dyDescent="0.25">
      <c r="A30" s="812" t="s">
        <v>1999</v>
      </c>
      <c r="B30" s="812">
        <v>2104008220</v>
      </c>
      <c r="C30" s="812" t="s">
        <v>139</v>
      </c>
      <c r="D30" s="133">
        <v>4.2025101438669984E-2</v>
      </c>
      <c r="E30" s="133">
        <v>7.0041835731116612E-3</v>
      </c>
      <c r="F30" s="133">
        <v>1.4008367146223324E-3</v>
      </c>
      <c r="G30" s="133">
        <v>4.2025101438669984E-2</v>
      </c>
      <c r="H30" s="133">
        <v>4.2025101438669984E-2</v>
      </c>
      <c r="I30" s="133">
        <v>3.1518826079002483E-3</v>
      </c>
      <c r="J30" s="133">
        <v>0.49309452354706107</v>
      </c>
      <c r="K30" s="45">
        <v>112.05130721460144</v>
      </c>
      <c r="L30" s="134">
        <v>10.006059183922039</v>
      </c>
      <c r="M30" s="45" t="s">
        <v>738</v>
      </c>
      <c r="N30" s="133">
        <v>3.6670228511062095E-2</v>
      </c>
      <c r="O30" s="133">
        <v>6.1117047518436819E-3</v>
      </c>
      <c r="P30" s="133">
        <v>1.2223409503687361E-3</v>
      </c>
      <c r="Q30" s="133">
        <v>3.6670228511062095E-2</v>
      </c>
      <c r="R30" s="133">
        <v>3.6670228511062095E-2</v>
      </c>
      <c r="S30" s="133">
        <v>2.750267138329657E-3</v>
      </c>
      <c r="T30" s="133">
        <v>0.43026401452979529</v>
      </c>
      <c r="U30" s="45">
        <v>97.773637656035561</v>
      </c>
      <c r="V30" s="134">
        <v>8.7310789078072766</v>
      </c>
      <c r="W30" t="s">
        <v>738</v>
      </c>
    </row>
    <row r="31" spans="1:23" x14ac:dyDescent="0.25">
      <c r="A31" s="812" t="s">
        <v>1999</v>
      </c>
      <c r="B31" s="812">
        <v>2104008230</v>
      </c>
      <c r="C31" s="812" t="s">
        <v>140</v>
      </c>
      <c r="D31" s="133">
        <v>3.1627735075266603E-2</v>
      </c>
      <c r="E31" s="133">
        <v>4.2170313433688789E-3</v>
      </c>
      <c r="F31" s="133">
        <v>8.4340626867377582E-4</v>
      </c>
      <c r="G31" s="133">
        <v>2.7410703731897711E-2</v>
      </c>
      <c r="H31" s="133">
        <v>2.7410703731897711E-2</v>
      </c>
      <c r="I31" s="133">
        <v>1.8976641045159958E-3</v>
      </c>
      <c r="J31" s="133">
        <v>0.22561117687023505</v>
      </c>
      <c r="K31" s="45">
        <v>67.463091116486439</v>
      </c>
      <c r="L31" s="134">
        <v>6.0243802524235441</v>
      </c>
      <c r="M31" s="45" t="s">
        <v>738</v>
      </c>
      <c r="N31" s="133">
        <v>2.7597703105843245E-2</v>
      </c>
      <c r="O31" s="133">
        <v>3.6796937474457658E-3</v>
      </c>
      <c r="P31" s="133">
        <v>7.3593874948915325E-4</v>
      </c>
      <c r="Q31" s="133">
        <v>2.3918009358397475E-2</v>
      </c>
      <c r="R31" s="133">
        <v>2.3918009358397475E-2</v>
      </c>
      <c r="S31" s="133">
        <v>1.6558621863505946E-3</v>
      </c>
      <c r="T31" s="133">
        <v>0.19686361548834846</v>
      </c>
      <c r="U31" s="45">
        <v>58.86688865973278</v>
      </c>
      <c r="V31" s="134">
        <v>5.25674877468881</v>
      </c>
      <c r="W31" t="s">
        <v>738</v>
      </c>
    </row>
    <row r="32" spans="1:23" x14ac:dyDescent="0.25">
      <c r="A32" s="812" t="s">
        <v>1999</v>
      </c>
      <c r="B32" s="812">
        <v>2104008310</v>
      </c>
      <c r="C32" s="812" t="s">
        <v>141</v>
      </c>
      <c r="D32" s="133">
        <v>1.7891130767805534</v>
      </c>
      <c r="E32" s="133">
        <v>4.9019761784018026E-2</v>
      </c>
      <c r="F32" s="133">
        <v>1.3502740202117385E-2</v>
      </c>
      <c r="G32" s="133">
        <v>0.40987667079291501</v>
      </c>
      <c r="H32" s="133">
        <v>0.40987667079291501</v>
      </c>
      <c r="I32" s="133">
        <v>1.3402433247803672E-2</v>
      </c>
      <c r="J32" s="133">
        <v>4.0903392374525511</v>
      </c>
      <c r="K32" s="45">
        <v>1080.068558193316</v>
      </c>
      <c r="L32" s="134">
        <v>96.448940977346922</v>
      </c>
      <c r="M32" s="45" t="s">
        <v>738</v>
      </c>
      <c r="N32" s="133">
        <v>1.5611428196887809</v>
      </c>
      <c r="O32" s="133">
        <v>4.2773623492642285E-2</v>
      </c>
      <c r="P32" s="133">
        <v>1.1782209959915323E-2</v>
      </c>
      <c r="Q32" s="133">
        <v>0.35764984889481444</v>
      </c>
      <c r="R32" s="133">
        <v>0.35764984889481444</v>
      </c>
      <c r="S32" s="133">
        <v>1.169468420007152E-2</v>
      </c>
      <c r="T32" s="133">
        <v>3.5691448536785639</v>
      </c>
      <c r="U32" s="45">
        <v>942.44533578015194</v>
      </c>
      <c r="V32" s="134">
        <v>84.159337734157432</v>
      </c>
      <c r="W32" t="s">
        <v>738</v>
      </c>
    </row>
    <row r="33" spans="1:31" x14ac:dyDescent="0.25">
      <c r="A33" s="812" t="s">
        <v>1999</v>
      </c>
      <c r="B33" s="812">
        <v>2104008320</v>
      </c>
      <c r="C33" s="812" t="s">
        <v>142</v>
      </c>
      <c r="D33" s="133">
        <v>0.85286668242243502</v>
      </c>
      <c r="E33" s="133">
        <v>0.11434381025896982</v>
      </c>
      <c r="F33" s="133">
        <v>2.8428889414081154E-2</v>
      </c>
      <c r="G33" s="133">
        <v>0.56325627408457857</v>
      </c>
      <c r="H33" s="133">
        <v>0.56325627408457857</v>
      </c>
      <c r="I33" s="133">
        <v>1.7749700513785039E-2</v>
      </c>
      <c r="J33" s="133">
        <v>8.7874371293360536</v>
      </c>
      <c r="K33" s="45">
        <v>2273.9939553668482</v>
      </c>
      <c r="L33" s="134">
        <v>203.06517315057806</v>
      </c>
      <c r="M33" s="45" t="s">
        <v>738</v>
      </c>
      <c r="N33" s="133">
        <v>0.74419370955102926</v>
      </c>
      <c r="O33" s="133">
        <v>9.9774028080362717E-2</v>
      </c>
      <c r="P33" s="133">
        <v>2.4806456985034309E-2</v>
      </c>
      <c r="Q33" s="133">
        <v>0.49148569721155233</v>
      </c>
      <c r="R33" s="133">
        <v>0.49148569721155233</v>
      </c>
      <c r="S33" s="133">
        <v>1.5488019101947781E-2</v>
      </c>
      <c r="T33" s="133">
        <v>7.6677346758961908</v>
      </c>
      <c r="U33" s="45">
        <v>1984.2397786420515</v>
      </c>
      <c r="V33" s="134">
        <v>177.19044207274987</v>
      </c>
      <c r="W33" t="s">
        <v>738</v>
      </c>
    </row>
    <row r="34" spans="1:31" x14ac:dyDescent="0.25">
      <c r="A34" s="812" t="s">
        <v>1999</v>
      </c>
      <c r="B34" s="812">
        <v>2104008330</v>
      </c>
      <c r="C34" s="812" t="s">
        <v>143</v>
      </c>
      <c r="D34" s="133">
        <v>0.64186023502033895</v>
      </c>
      <c r="E34" s="133">
        <v>6.8843345801698139E-2</v>
      </c>
      <c r="F34" s="133">
        <v>1.7116272933875704E-2</v>
      </c>
      <c r="G34" s="133">
        <v>0.37628551941806831</v>
      </c>
      <c r="H34" s="133">
        <v>0.37628551941806831</v>
      </c>
      <c r="I34" s="133">
        <v>1.0686619306979278E-2</v>
      </c>
      <c r="J34" s="133">
        <v>5.2906805504857397</v>
      </c>
      <c r="K34" s="45">
        <v>1369.1108584341625</v>
      </c>
      <c r="L34" s="134">
        <v>122.26010226373666</v>
      </c>
      <c r="M34" s="45" t="s">
        <v>738</v>
      </c>
      <c r="N34" s="133">
        <v>0.5600738769116167</v>
      </c>
      <c r="O34" s="133">
        <v>6.007127015977605E-2</v>
      </c>
      <c r="P34" s="133">
        <v>1.4935303384309774E-2</v>
      </c>
      <c r="Q34" s="133">
        <v>0.32833890960623358</v>
      </c>
      <c r="R34" s="133">
        <v>0.32833890960623358</v>
      </c>
      <c r="S34" s="133">
        <v>9.3249215012498141E-3</v>
      </c>
      <c r="T34" s="133">
        <v>4.6165376911338614</v>
      </c>
      <c r="U34" s="45">
        <v>1194.6576288227529</v>
      </c>
      <c r="V34" s="134">
        <v>106.68161965866591</v>
      </c>
      <c r="W34" t="s">
        <v>738</v>
      </c>
    </row>
    <row r="35" spans="1:31" x14ac:dyDescent="0.25">
      <c r="A35" s="812" t="s">
        <v>1999</v>
      </c>
      <c r="B35" s="812">
        <v>2104008410</v>
      </c>
      <c r="C35" s="812" t="s">
        <v>144</v>
      </c>
      <c r="D35" s="133">
        <v>1.0754968374145342E-2</v>
      </c>
      <c r="E35" s="133">
        <v>1.8781525077220963E-2</v>
      </c>
      <c r="F35" s="133">
        <v>1.5010209851924851E-3</v>
      </c>
      <c r="G35" s="133">
        <v>1.3884444113030485E-2</v>
      </c>
      <c r="H35" s="133">
        <v>1.3884444113030485E-2</v>
      </c>
      <c r="I35" s="133">
        <v>3.3716683879886198E-4</v>
      </c>
      <c r="J35" s="133">
        <v>4.6587938827911755E-2</v>
      </c>
      <c r="K35" s="45">
        <v>143.37957840903448</v>
      </c>
      <c r="L35" s="134">
        <v>12.803639537903035</v>
      </c>
      <c r="M35" s="45" t="s">
        <v>738</v>
      </c>
      <c r="N35" s="133">
        <v>9.3845614741635084E-3</v>
      </c>
      <c r="O35" s="133">
        <v>1.6388367732390483E-2</v>
      </c>
      <c r="P35" s="133">
        <v>1.3097596589323069E-3</v>
      </c>
      <c r="Q35" s="133">
        <v>1.2115276845123835E-2</v>
      </c>
      <c r="R35" s="133">
        <v>1.2115276845123835E-2</v>
      </c>
      <c r="S35" s="133">
        <v>2.9420476338766938E-4</v>
      </c>
      <c r="T35" s="133">
        <v>4.0651665414111464E-2</v>
      </c>
      <c r="U35" s="45">
        <v>125.11003481459863</v>
      </c>
      <c r="V35" s="134">
        <v>11.17218927629156</v>
      </c>
      <c r="W35" t="s">
        <v>738</v>
      </c>
    </row>
    <row r="36" spans="1:31" x14ac:dyDescent="0.25">
      <c r="A36" s="812" t="s">
        <v>1999</v>
      </c>
      <c r="B36" s="812">
        <v>2104008420</v>
      </c>
      <c r="C36" s="812" t="s">
        <v>145</v>
      </c>
      <c r="D36" s="133">
        <v>3.6276842575315126E-2</v>
      </c>
      <c r="E36" s="133">
        <v>6.3350667788906592E-2</v>
      </c>
      <c r="F36" s="133">
        <v>5.062990432679851E-3</v>
      </c>
      <c r="G36" s="133">
        <v>4.6832661502288604E-2</v>
      </c>
      <c r="H36" s="133">
        <v>4.6832661502288604E-2</v>
      </c>
      <c r="I36" s="133">
        <v>1.1372742259407108E-3</v>
      </c>
      <c r="J36" s="133">
        <v>0.15714256555430078</v>
      </c>
      <c r="K36" s="45">
        <v>483.62377400974293</v>
      </c>
      <c r="L36" s="134">
        <v>43.187074080494369</v>
      </c>
      <c r="M36" s="45" t="s">
        <v>738</v>
      </c>
      <c r="N36" s="133">
        <v>3.1654417511353283E-2</v>
      </c>
      <c r="O36" s="133">
        <v>5.5278473688821807E-2</v>
      </c>
      <c r="P36" s="133">
        <v>4.4178600350706755E-3</v>
      </c>
      <c r="Q36" s="133">
        <v>4.0865205324403742E-2</v>
      </c>
      <c r="R36" s="133">
        <v>4.0865205324403742E-2</v>
      </c>
      <c r="S36" s="133">
        <v>9.9236181037775056E-4</v>
      </c>
      <c r="T36" s="133">
        <v>0.13711933083850605</v>
      </c>
      <c r="U36" s="45">
        <v>422.00003567393651</v>
      </c>
      <c r="V36" s="134">
        <v>37.684141644894417</v>
      </c>
      <c r="W36" t="s">
        <v>738</v>
      </c>
    </row>
    <row r="37" spans="1:31" x14ac:dyDescent="0.25">
      <c r="A37" s="812" t="s">
        <v>1999</v>
      </c>
      <c r="B37" s="812">
        <v>2104008610</v>
      </c>
      <c r="C37" s="812" t="s">
        <v>146</v>
      </c>
      <c r="D37" s="133">
        <v>1.1826473703811342</v>
      </c>
      <c r="E37" s="133">
        <v>4.2010904059961288E-2</v>
      </c>
      <c r="F37" s="133">
        <v>1.0419800620098091E-2</v>
      </c>
      <c r="G37" s="133">
        <v>0.25711254189103627</v>
      </c>
      <c r="H37" s="133">
        <v>0.25711254189103627</v>
      </c>
      <c r="I37" s="133">
        <v>6.3497892362398313E-3</v>
      </c>
      <c r="J37" s="133">
        <v>1.5778356705525471</v>
      </c>
      <c r="K37" s="45">
        <v>833.46778979324495</v>
      </c>
      <c r="L37" s="134">
        <v>74.427762066100641</v>
      </c>
      <c r="M37" s="45" t="s">
        <v>738</v>
      </c>
      <c r="N37" s="133">
        <v>1.0814544556656003</v>
      </c>
      <c r="O37" s="133">
        <v>3.841625197842656E-2</v>
      </c>
      <c r="P37" s="133">
        <v>9.5282330895647555E-3</v>
      </c>
      <c r="Q37" s="133">
        <v>0.23511277410269815</v>
      </c>
      <c r="R37" s="133">
        <v>0.23511277410269815</v>
      </c>
      <c r="S37" s="133">
        <v>5.8064711714160321E-3</v>
      </c>
      <c r="T37" s="133">
        <v>1.4428285716961107</v>
      </c>
      <c r="U37" s="45">
        <v>762.15233509138284</v>
      </c>
      <c r="V37" s="134">
        <v>68.059369958827148</v>
      </c>
      <c r="W37" t="s">
        <v>738</v>
      </c>
    </row>
    <row r="38" spans="1:31" x14ac:dyDescent="0.25">
      <c r="A38" s="812" t="s">
        <v>1999</v>
      </c>
      <c r="B38" s="812">
        <v>2104004000</v>
      </c>
      <c r="C38" s="812" t="s">
        <v>568</v>
      </c>
      <c r="D38" s="133">
        <v>7.6762396948481401E-2</v>
      </c>
      <c r="E38" s="133">
        <v>1.2027266970536274</v>
      </c>
      <c r="F38" s="133">
        <v>3.1116847533043535</v>
      </c>
      <c r="G38" s="133">
        <v>4.9157766909548796E-2</v>
      </c>
      <c r="H38" s="133">
        <v>4.9157766909548796E-2</v>
      </c>
      <c r="I38" s="133">
        <v>2.6373141946972934E-3</v>
      </c>
      <c r="J38" s="133">
        <v>4.82155763771158E-2</v>
      </c>
      <c r="K38" s="45">
        <v>28898.547074461283</v>
      </c>
      <c r="L38" s="134">
        <v>215.322291580593</v>
      </c>
      <c r="M38" s="45" t="s">
        <v>1997</v>
      </c>
      <c r="N38" s="133">
        <v>7.0983500899497134E-2</v>
      </c>
      <c r="O38" s="133">
        <v>1.1121819403249409</v>
      </c>
      <c r="P38" s="133">
        <v>2.8774280932547232</v>
      </c>
      <c r="Q38" s="133">
        <v>4.5457027533716936E-2</v>
      </c>
      <c r="R38" s="133">
        <v>4.5457027533716936E-2</v>
      </c>
      <c r="S38" s="133">
        <v>2.4387695271839132E-3</v>
      </c>
      <c r="T38" s="133">
        <v>4.4585767839320695E-2</v>
      </c>
      <c r="U38" s="45">
        <v>26722.980571215263</v>
      </c>
      <c r="V38" s="134">
        <v>199.11220448666791</v>
      </c>
      <c r="W38" t="s">
        <v>1997</v>
      </c>
    </row>
    <row r="39" spans="1:31" x14ac:dyDescent="0.25">
      <c r="A39" s="812" t="s">
        <v>1999</v>
      </c>
      <c r="B39" s="812">
        <v>2103004001</v>
      </c>
      <c r="C39" s="812" t="s">
        <v>148</v>
      </c>
      <c r="D39" s="133">
        <v>2.3148810173823454E-2</v>
      </c>
      <c r="E39" s="133">
        <v>0.58440193987212108</v>
      </c>
      <c r="F39" s="133">
        <v>0.41308126452116511</v>
      </c>
      <c r="G39" s="133">
        <v>1.4824235042086159E-2</v>
      </c>
      <c r="H39" s="133">
        <v>1.4824235042086159E-2</v>
      </c>
      <c r="I39" s="133">
        <v>7.9532021000792248E-4</v>
      </c>
      <c r="J39" s="133">
        <v>1.4540103870446177E-2</v>
      </c>
      <c r="K39" s="45">
        <v>8993.2965191431958</v>
      </c>
      <c r="L39" s="134">
        <v>67.008808794993115</v>
      </c>
      <c r="M39" s="45" t="s">
        <v>1997</v>
      </c>
      <c r="N39" s="133">
        <v>2.2766118092669742E-2</v>
      </c>
      <c r="O39" s="133">
        <v>0.57474070921185894</v>
      </c>
      <c r="P39" s="133">
        <v>0.40625227730246238</v>
      </c>
      <c r="Q39" s="133">
        <v>1.4579163381073408E-2</v>
      </c>
      <c r="R39" s="133">
        <v>1.4579163381073408E-2</v>
      </c>
      <c r="S39" s="133">
        <v>7.8217211539458845E-4</v>
      </c>
      <c r="T39" s="133">
        <v>1.42997294162695E-2</v>
      </c>
      <c r="U39" s="45">
        <v>8844.6209139824932</v>
      </c>
      <c r="V39" s="134">
        <v>65.90103088758319</v>
      </c>
      <c r="W39" t="s">
        <v>1997</v>
      </c>
    </row>
    <row r="40" spans="1:31" x14ac:dyDescent="0.25">
      <c r="A40" s="812" t="s">
        <v>1999</v>
      </c>
      <c r="B40" s="812">
        <v>2104004000</v>
      </c>
      <c r="C40" s="812" t="s">
        <v>746</v>
      </c>
      <c r="D40" s="133">
        <v>5.1079008600585327E-4</v>
      </c>
      <c r="E40" s="133">
        <v>1.2895121385842017E-2</v>
      </c>
      <c r="F40" s="133">
        <v>2.0705681244296746E-2</v>
      </c>
      <c r="G40" s="133">
        <v>2.8655825301871163E-4</v>
      </c>
      <c r="H40" s="133">
        <v>2.8655825301871163E-4</v>
      </c>
      <c r="I40" s="133">
        <v>1.7549138613245696E-5</v>
      </c>
      <c r="J40" s="133">
        <v>3.2083467144750202E-4</v>
      </c>
      <c r="K40" s="45">
        <v>196.28523936149188</v>
      </c>
      <c r="L40" s="134">
        <v>1.4327912650935581</v>
      </c>
      <c r="M40" s="45" t="s">
        <v>1997</v>
      </c>
      <c r="N40" s="133">
        <v>4.8296421529623999E-4</v>
      </c>
      <c r="O40" s="133">
        <v>1.2192644986440843E-2</v>
      </c>
      <c r="P40" s="133">
        <v>1.9577715715906163E-2</v>
      </c>
      <c r="Q40" s="133">
        <v>2.7094766636535212E-4</v>
      </c>
      <c r="R40" s="133">
        <v>2.7094766636535212E-4</v>
      </c>
      <c r="S40" s="133">
        <v>1.6593129333708391E-5</v>
      </c>
      <c r="T40" s="133">
        <v>3.0335683792753602E-4</v>
      </c>
      <c r="U40" s="45">
        <v>185.59237776860701</v>
      </c>
      <c r="V40" s="134">
        <v>1.3547383318267607</v>
      </c>
      <c r="W40" t="s">
        <v>1997</v>
      </c>
    </row>
    <row r="41" spans="1:31" x14ac:dyDescent="0.25">
      <c r="A41" s="812" t="s">
        <v>1999</v>
      </c>
      <c r="B41" s="812">
        <v>2104004000</v>
      </c>
      <c r="C41" s="812" t="s">
        <v>747</v>
      </c>
      <c r="D41" s="133">
        <v>1.629905387358429E-3</v>
      </c>
      <c r="E41" s="133">
        <v>2.5537643442311742E-2</v>
      </c>
      <c r="F41" s="133">
        <v>6.6070783935729988E-2</v>
      </c>
      <c r="G41" s="133">
        <v>1.0437728927375376E-3</v>
      </c>
      <c r="H41" s="133">
        <v>1.0437728927375376E-3</v>
      </c>
      <c r="I41" s="133">
        <v>5.5998415695368869E-5</v>
      </c>
      <c r="J41" s="133">
        <v>1.0237672456267341E-3</v>
      </c>
      <c r="K41" s="45">
        <v>571.49557761515769</v>
      </c>
      <c r="L41" s="134">
        <v>4.5719646209212614</v>
      </c>
      <c r="M41" s="45" t="s">
        <v>1997</v>
      </c>
      <c r="N41" s="133">
        <v>1.3605427723099414E-3</v>
      </c>
      <c r="O41" s="133">
        <v>2.1317222752160213E-2</v>
      </c>
      <c r="P41" s="133">
        <v>5.5151745765008135E-2</v>
      </c>
      <c r="Q41" s="133">
        <v>8.7127613428447767E-4</v>
      </c>
      <c r="R41" s="133">
        <v>8.7127613428447767E-4</v>
      </c>
      <c r="S41" s="133">
        <v>4.6743964604362223E-5</v>
      </c>
      <c r="T41" s="133">
        <v>8.5457667504402503E-4</v>
      </c>
      <c r="U41" s="45">
        <v>477.04865789268649</v>
      </c>
      <c r="V41" s="134">
        <v>3.8163892631414922</v>
      </c>
      <c r="W41" t="s">
        <v>1997</v>
      </c>
    </row>
    <row r="42" spans="1:31" x14ac:dyDescent="0.25">
      <c r="A42" s="812" t="s">
        <v>1999</v>
      </c>
      <c r="B42" s="812">
        <v>2104006010</v>
      </c>
      <c r="C42" s="812" t="s">
        <v>149</v>
      </c>
      <c r="D42" s="133">
        <v>6.2640334377998938E-4</v>
      </c>
      <c r="E42" s="133">
        <v>1.0705802602785279E-2</v>
      </c>
      <c r="F42" s="133">
        <v>6.8334910230544326E-5</v>
      </c>
      <c r="G42" s="133">
        <v>5.6412746225655285E-6</v>
      </c>
      <c r="H42" s="133">
        <v>5.6412746225655285E-6</v>
      </c>
      <c r="I42" s="133">
        <v>2.2778303410181423E-3</v>
      </c>
      <c r="J42" s="133">
        <v>4.5556606820362847E-3</v>
      </c>
      <c r="K42" s="45">
        <v>281.18883333333326</v>
      </c>
      <c r="L42" s="134">
        <v>277.0333333333337</v>
      </c>
      <c r="M42" s="45" t="s">
        <v>1998</v>
      </c>
      <c r="N42" s="133">
        <v>6.2640334377998938E-4</v>
      </c>
      <c r="O42" s="133">
        <v>1.0705802602785279E-2</v>
      </c>
      <c r="P42" s="133">
        <v>6.8334910230544326E-5</v>
      </c>
      <c r="Q42" s="133">
        <v>5.6412746225655285E-6</v>
      </c>
      <c r="R42" s="133">
        <v>5.6412746225655285E-6</v>
      </c>
      <c r="S42" s="133">
        <v>2.2778303410181423E-3</v>
      </c>
      <c r="T42" s="133">
        <v>4.5556606820362847E-3</v>
      </c>
      <c r="U42" s="45">
        <v>281.18883333333326</v>
      </c>
      <c r="V42" s="134">
        <v>277.0333333333337</v>
      </c>
      <c r="W42" t="s">
        <v>1998</v>
      </c>
    </row>
    <row r="43" spans="1:31" x14ac:dyDescent="0.25">
      <c r="A43" s="812" t="s">
        <v>1999</v>
      </c>
      <c r="B43" s="812">
        <v>2103006000</v>
      </c>
      <c r="C43" s="812" t="s">
        <v>150</v>
      </c>
      <c r="D43" s="133">
        <v>9.7086916666666682E-3</v>
      </c>
      <c r="E43" s="133">
        <v>0.17652166666666674</v>
      </c>
      <c r="F43" s="133">
        <v>1.0591299999999999E-3</v>
      </c>
      <c r="G43" s="133">
        <v>1.341564666666667E-2</v>
      </c>
      <c r="H43" s="133">
        <v>1.341564666666667E-2</v>
      </c>
      <c r="I43" s="133">
        <v>3.5304333333333333E-2</v>
      </c>
      <c r="J43" s="133">
        <v>7.0608666666666667E-2</v>
      </c>
      <c r="K43" s="45">
        <v>3583.389833333335</v>
      </c>
      <c r="L43" s="134">
        <v>3530.4333333333338</v>
      </c>
      <c r="M43" s="45" t="s">
        <v>1998</v>
      </c>
      <c r="N43" s="133">
        <v>9.7086916666666682E-3</v>
      </c>
      <c r="O43" s="133">
        <v>0.17652166666666674</v>
      </c>
      <c r="P43" s="133">
        <v>1.0591299999999999E-3</v>
      </c>
      <c r="Q43" s="133">
        <v>1.341564666666667E-2</v>
      </c>
      <c r="R43" s="133">
        <v>1.341564666666667E-2</v>
      </c>
      <c r="S43" s="133">
        <v>3.5304333333333333E-2</v>
      </c>
      <c r="T43" s="133">
        <v>7.0608666666666667E-2</v>
      </c>
      <c r="U43" s="45">
        <v>3583.389833333335</v>
      </c>
      <c r="V43" s="134">
        <v>3530.4333333333338</v>
      </c>
      <c r="W43" t="s">
        <v>1998</v>
      </c>
    </row>
    <row r="44" spans="1:31" x14ac:dyDescent="0.25">
      <c r="A44" s="812" t="s">
        <v>1999</v>
      </c>
      <c r="B44" s="812">
        <v>2104002000</v>
      </c>
      <c r="C44" s="812" t="s">
        <v>151</v>
      </c>
      <c r="D44" s="133">
        <v>0.11438160316864014</v>
      </c>
      <c r="E44" s="133">
        <v>5.3988116695598151E-2</v>
      </c>
      <c r="F44" s="133">
        <v>0.10637489094683533</v>
      </c>
      <c r="G44" s="133">
        <v>9.1390900931743471E-2</v>
      </c>
      <c r="H44" s="133">
        <v>9.1390900931743471E-2</v>
      </c>
      <c r="I44" s="133">
        <v>1.4480139053133998E-2</v>
      </c>
      <c r="J44" s="133">
        <v>1.4935377833745189</v>
      </c>
      <c r="K44" s="45">
        <v>347.72007363266607</v>
      </c>
      <c r="L44" s="134">
        <v>22.876320633728021</v>
      </c>
      <c r="M44" s="45" t="s">
        <v>738</v>
      </c>
      <c r="N44" s="133">
        <v>0.10049872600454278</v>
      </c>
      <c r="O44" s="133">
        <v>4.7435398674144189E-2</v>
      </c>
      <c r="P44" s="133">
        <v>9.346381518422478E-2</v>
      </c>
      <c r="Q44" s="133">
        <v>8.0298482077629657E-2</v>
      </c>
      <c r="R44" s="133">
        <v>8.0298482077629657E-2</v>
      </c>
      <c r="S44" s="133">
        <v>1.2722636218545092E-2</v>
      </c>
      <c r="T44" s="133">
        <v>1.3122621148043172</v>
      </c>
      <c r="U44" s="45">
        <v>305.51612705381012</v>
      </c>
      <c r="V44" s="134">
        <v>20.099745200908554</v>
      </c>
      <c r="W44" t="s">
        <v>738</v>
      </c>
    </row>
    <row r="45" spans="1:31" x14ac:dyDescent="0.25">
      <c r="A45" s="812" t="s">
        <v>1999</v>
      </c>
      <c r="B45" s="812">
        <v>2103002000</v>
      </c>
      <c r="C45" s="812" t="s">
        <v>152</v>
      </c>
      <c r="D45" s="133">
        <v>2.8532244230068844E-4</v>
      </c>
      <c r="E45" s="133">
        <v>1.346721927659249E-4</v>
      </c>
      <c r="F45" s="133">
        <v>2.6534987133964015E-4</v>
      </c>
      <c r="G45" s="133">
        <v>2.279726313982501E-4</v>
      </c>
      <c r="H45" s="133">
        <v>2.279726313982501E-4</v>
      </c>
      <c r="I45" s="133">
        <v>3.6120394583055649E-5</v>
      </c>
      <c r="J45" s="133">
        <v>3.725597790341238E-3</v>
      </c>
      <c r="K45" s="45">
        <v>13.116826184181894</v>
      </c>
      <c r="L45" s="134">
        <v>0.86738022459409281</v>
      </c>
      <c r="M45" s="45" t="s">
        <v>738</v>
      </c>
      <c r="N45" s="133">
        <v>2.6963315214105569E-4</v>
      </c>
      <c r="O45" s="133">
        <v>1.2726684781057829E-4</v>
      </c>
      <c r="P45" s="133">
        <v>2.5075883149118175E-4</v>
      </c>
      <c r="Q45" s="133">
        <v>2.1543688856070348E-4</v>
      </c>
      <c r="R45" s="133">
        <v>2.1543688856070348E-4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8.7184102008962066E-4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2.9083381335906245E-5</v>
      </c>
      <c r="P46" s="133">
        <v>6.1727592489711029E-6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1.3760960594379906E-2</v>
      </c>
      <c r="G47" s="135">
        <v>1.9373489384817268E-3</v>
      </c>
      <c r="H47" s="135">
        <v>1.9373489384817268E-3</v>
      </c>
      <c r="I47" s="135">
        <v>1.3544093175893139E-5</v>
      </c>
      <c r="J47" s="135">
        <v>4.6265049277175556E-3</v>
      </c>
      <c r="K47" s="88">
        <v>103.11814403022066</v>
      </c>
      <c r="L47" s="136">
        <v>0.74453533595827182</v>
      </c>
      <c r="M47" s="88" t="s">
        <v>1997</v>
      </c>
      <c r="N47" s="135">
        <v>3.72267667979136E-4</v>
      </c>
      <c r="O47" s="135">
        <v>1.9434212261993555E-2</v>
      </c>
      <c r="P47" s="135">
        <v>1.3760960594379906E-2</v>
      </c>
      <c r="Q47" s="135">
        <v>1.9373489384817268E-3</v>
      </c>
      <c r="R47" s="135">
        <v>1.9373489384817268E-3</v>
      </c>
      <c r="S47" s="135">
        <v>1.3544093175893139E-5</v>
      </c>
      <c r="T47" s="135">
        <v>4.6265049277175556E-3</v>
      </c>
      <c r="U47" s="88">
        <v>103.11814403022066</v>
      </c>
      <c r="V47" s="136">
        <v>0.74453533595827182</v>
      </c>
      <c r="W47" s="3" t="s">
        <v>1997</v>
      </c>
    </row>
    <row r="48" spans="1:31" x14ac:dyDescent="0.25">
      <c r="A48" s="810" t="s">
        <v>1999</v>
      </c>
      <c r="B48" s="810" t="s">
        <v>341</v>
      </c>
      <c r="C48" s="810"/>
      <c r="D48" s="137">
        <v>8.6423288334410522</v>
      </c>
      <c r="E48" s="137">
        <v>2.5010573320546219</v>
      </c>
      <c r="F48" s="137">
        <v>3.8185504933034298</v>
      </c>
      <c r="G48" s="137">
        <v>2.5250047022549218</v>
      </c>
      <c r="H48" s="137">
        <v>2.5250047022549218</v>
      </c>
      <c r="I48" s="137">
        <v>0.14255455227654068</v>
      </c>
      <c r="J48" s="137">
        <v>26.819531974920174</v>
      </c>
      <c r="K48" s="87">
        <v>49934.819048332283</v>
      </c>
      <c r="L48" s="87"/>
      <c r="M48" s="87"/>
      <c r="N48" s="137">
        <v>7.7944397515200103</v>
      </c>
      <c r="O48" s="137">
        <v>2.3404994766983043</v>
      </c>
      <c r="P48" s="137">
        <v>3.5423770810530968</v>
      </c>
      <c r="Q48" s="137">
        <v>2.2502399960756034</v>
      </c>
      <c r="R48" s="137">
        <v>2.2502399960756034</v>
      </c>
      <c r="S48" s="137">
        <v>0.13129642321802312</v>
      </c>
      <c r="T48" s="137">
        <v>23.707168316561539</v>
      </c>
      <c r="U48" s="87">
        <v>46639.083044604362</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4.9354070535514287</v>
      </c>
      <c r="E50" s="133">
        <v>5.6035189254295702E-2</v>
      </c>
      <c r="F50" s="133">
        <v>8.62079834681472E-3</v>
      </c>
      <c r="G50" s="133">
        <v>0.7456990569994737</v>
      </c>
      <c r="H50" s="133">
        <v>0.7456990569994737</v>
      </c>
      <c r="I50" s="133">
        <v>3.8793592560666251E-2</v>
      </c>
      <c r="J50" s="133">
        <v>5.4440341560134957</v>
      </c>
      <c r="K50" s="45">
        <v>692.16690531272297</v>
      </c>
      <c r="L50" s="134">
        <v>61.577639685251427</v>
      </c>
      <c r="M50" s="45" t="s">
        <v>738</v>
      </c>
      <c r="N50" s="133">
        <v>4.5533863698110233</v>
      </c>
      <c r="O50" s="133">
        <v>5.1697836513138244E-2</v>
      </c>
      <c r="P50" s="133">
        <v>7.9535133097135731E-3</v>
      </c>
      <c r="Q50" s="133">
        <v>0.68797890129022443</v>
      </c>
      <c r="R50" s="133">
        <v>0.68797890129022443</v>
      </c>
      <c r="S50" s="133">
        <v>3.5790809893711084E-2</v>
      </c>
      <c r="T50" s="133">
        <v>5.0226436550841225</v>
      </c>
      <c r="U50" s="45">
        <v>638.58731876261345</v>
      </c>
      <c r="V50" s="134">
        <v>56.81127862112141</v>
      </c>
      <c r="W50" t="s">
        <v>738</v>
      </c>
      <c r="Y50" s="13">
        <f>N50/$U50*2000</f>
        <v>14.260810498505016</v>
      </c>
      <c r="Z50" s="5">
        <f t="shared" ref="Z50:AE65" si="0">O50/$U50*2000</f>
        <v>0.16191313229743681</v>
      </c>
      <c r="AA50" s="357">
        <f t="shared" si="0"/>
        <v>2.4909712661144116E-2</v>
      </c>
      <c r="AB50" s="5">
        <f t="shared" si="0"/>
        <v>2.1546901451889671</v>
      </c>
      <c r="AC50" s="358">
        <f t="shared" si="0"/>
        <v>2.1546901451889671</v>
      </c>
      <c r="AD50" s="5">
        <f t="shared" si="0"/>
        <v>0.11209370697514855</v>
      </c>
      <c r="AE50" s="13">
        <f t="shared" si="0"/>
        <v>15.730483545512513</v>
      </c>
    </row>
    <row r="51" spans="1:31" x14ac:dyDescent="0.25">
      <c r="A51" s="812" t="s">
        <v>2001</v>
      </c>
      <c r="B51" s="812">
        <v>2104008210</v>
      </c>
      <c r="C51" s="812" t="s">
        <v>138</v>
      </c>
      <c r="D51" s="133">
        <v>0.10684787115051073</v>
      </c>
      <c r="E51" s="133">
        <v>5.6447931928571707E-3</v>
      </c>
      <c r="F51" s="133">
        <v>8.0639902755102447E-4</v>
      </c>
      <c r="G51" s="133">
        <v>6.1689525607653395E-2</v>
      </c>
      <c r="H51" s="133">
        <v>6.1689525607653395E-2</v>
      </c>
      <c r="I51" s="133">
        <v>3.4271958670918537E-3</v>
      </c>
      <c r="J51" s="133">
        <v>0.46529223889694099</v>
      </c>
      <c r="K51" s="45">
        <v>64.734572003761855</v>
      </c>
      <c r="L51" s="134">
        <v>5.7600406323645714</v>
      </c>
      <c r="M51" s="45" t="s">
        <v>738</v>
      </c>
      <c r="N51" s="133">
        <v>9.2997109819551019E-2</v>
      </c>
      <c r="O51" s="133">
        <v>4.9130548583913745E-3</v>
      </c>
      <c r="P51" s="133">
        <v>7.0186497977019603E-4</v>
      </c>
      <c r="Q51" s="133">
        <v>5.369267095242003E-2</v>
      </c>
      <c r="R51" s="133">
        <v>5.369267095242003E-2</v>
      </c>
      <c r="S51" s="133">
        <v>2.9829261640233347E-3</v>
      </c>
      <c r="T51" s="133">
        <v>0.40497609332740325</v>
      </c>
      <c r="U51" s="45">
        <v>56.342675924527434</v>
      </c>
      <c r="V51" s="134">
        <v>5.0133626948778351</v>
      </c>
      <c r="W51" t="s">
        <v>738</v>
      </c>
      <c r="Y51" s="13">
        <f t="shared" ref="Y51:AE70" si="1">N51/$U51*2000</f>
        <v>3.3011250634997604</v>
      </c>
      <c r="Z51" s="5">
        <f t="shared" si="0"/>
        <v>0.1743990599584779</v>
      </c>
      <c r="AA51" s="357">
        <f t="shared" si="0"/>
        <v>2.491415142263969E-2</v>
      </c>
      <c r="AB51" s="5">
        <f t="shared" si="0"/>
        <v>1.9059325838319374</v>
      </c>
      <c r="AC51" s="358">
        <f t="shared" si="0"/>
        <v>1.9059325838319374</v>
      </c>
      <c r="AD51" s="5">
        <f t="shared" si="0"/>
        <v>0.10588514354621872</v>
      </c>
      <c r="AE51" s="13">
        <f t="shared" si="0"/>
        <v>14.375465370863104</v>
      </c>
    </row>
    <row r="52" spans="1:31" x14ac:dyDescent="0.25">
      <c r="A52" s="812" t="s">
        <v>2001</v>
      </c>
      <c r="B52" s="812">
        <v>2104008220</v>
      </c>
      <c r="C52" s="812" t="s">
        <v>139</v>
      </c>
      <c r="D52" s="133">
        <v>5.0934169882663721E-2</v>
      </c>
      <c r="E52" s="133">
        <v>8.4890283137772846E-3</v>
      </c>
      <c r="F52" s="133">
        <v>1.6978056627554572E-3</v>
      </c>
      <c r="G52" s="133">
        <v>5.0934169882663721E-2</v>
      </c>
      <c r="H52" s="133">
        <v>5.0934169882663721E-2</v>
      </c>
      <c r="I52" s="133">
        <v>3.8200627411997781E-3</v>
      </c>
      <c r="J52" s="133">
        <v>0.59762759328992099</v>
      </c>
      <c r="K52" s="45">
        <v>136.29322353948842</v>
      </c>
      <c r="L52" s="134">
        <v>12.12728347779575</v>
      </c>
      <c r="M52" s="45" t="s">
        <v>738</v>
      </c>
      <c r="N52" s="133">
        <v>4.4331539216849465E-2</v>
      </c>
      <c r="O52" s="133">
        <v>7.3885898694749106E-3</v>
      </c>
      <c r="P52" s="133">
        <v>1.4777179738949824E-3</v>
      </c>
      <c r="Q52" s="133">
        <v>4.4331539216849465E-2</v>
      </c>
      <c r="R52" s="133">
        <v>4.4331539216849465E-2</v>
      </c>
      <c r="S52" s="133">
        <v>3.3248654412637094E-3</v>
      </c>
      <c r="T52" s="133">
        <v>0.52015672681103386</v>
      </c>
      <c r="U52" s="45">
        <v>118.62478868553133</v>
      </c>
      <c r="V52" s="134">
        <v>10.55521557194831</v>
      </c>
      <c r="W52" t="s">
        <v>738</v>
      </c>
      <c r="Y52" s="13">
        <f t="shared" si="1"/>
        <v>0.74742454267919112</v>
      </c>
      <c r="Z52" s="5">
        <f t="shared" si="0"/>
        <v>0.12457075711319851</v>
      </c>
      <c r="AA52" s="357">
        <f t="shared" si="0"/>
        <v>2.4914151422639703E-2</v>
      </c>
      <c r="AB52" s="5">
        <f t="shared" si="0"/>
        <v>0.74742454267919112</v>
      </c>
      <c r="AC52" s="358">
        <f t="shared" si="0"/>
        <v>0.74742454267919112</v>
      </c>
      <c r="AD52" s="5">
        <f t="shared" si="0"/>
        <v>5.6056840700939317E-2</v>
      </c>
      <c r="AE52" s="13">
        <f t="shared" si="0"/>
        <v>8.7697813007691785</v>
      </c>
    </row>
    <row r="53" spans="1:31" x14ac:dyDescent="0.25">
      <c r="A53" s="812" t="s">
        <v>2001</v>
      </c>
      <c r="B53" s="812">
        <v>2104008230</v>
      </c>
      <c r="C53" s="812" t="s">
        <v>140</v>
      </c>
      <c r="D53" s="133">
        <v>3.8332624459656593E-2</v>
      </c>
      <c r="E53" s="133">
        <v>5.1110165946208807E-3</v>
      </c>
      <c r="F53" s="133">
        <v>1.0222033189241765E-3</v>
      </c>
      <c r="G53" s="133">
        <v>3.3221607865035724E-2</v>
      </c>
      <c r="H53" s="133">
        <v>3.3221607865035724E-2</v>
      </c>
      <c r="I53" s="133">
        <v>2.2999574675793963E-3</v>
      </c>
      <c r="J53" s="133">
        <v>0.27343938781221722</v>
      </c>
      <c r="K53" s="45">
        <v>82.058499688846013</v>
      </c>
      <c r="L53" s="134">
        <v>7.3015125891488246</v>
      </c>
      <c r="M53" s="45" t="s">
        <v>738</v>
      </c>
      <c r="N53" s="133">
        <v>3.336354059431583E-2</v>
      </c>
      <c r="O53" s="133">
        <v>4.4484720792421113E-3</v>
      </c>
      <c r="P53" s="133">
        <v>8.8969441584842211E-4</v>
      </c>
      <c r="Q53" s="133">
        <v>2.8915068515073722E-2</v>
      </c>
      <c r="R53" s="133">
        <v>2.8915068515073722E-2</v>
      </c>
      <c r="S53" s="133">
        <v>2.0018124356589503E-3</v>
      </c>
      <c r="T53" s="133">
        <v>0.23799325623945303</v>
      </c>
      <c r="U53" s="45">
        <v>71.420808259192725</v>
      </c>
      <c r="V53" s="134">
        <v>6.3550126061511332</v>
      </c>
      <c r="W53" t="s">
        <v>738</v>
      </c>
      <c r="Y53" s="13">
        <f t="shared" si="1"/>
        <v>0.93428067834898909</v>
      </c>
      <c r="Z53" s="5">
        <f t="shared" si="0"/>
        <v>0.12457075711319857</v>
      </c>
      <c r="AA53" s="357">
        <f t="shared" si="0"/>
        <v>2.4914151422639707E-2</v>
      </c>
      <c r="AB53" s="5">
        <f t="shared" si="0"/>
        <v>0.80970992123579055</v>
      </c>
      <c r="AC53" s="358">
        <f t="shared" si="0"/>
        <v>0.80970992123579055</v>
      </c>
      <c r="AD53" s="5">
        <f t="shared" si="0"/>
        <v>5.6056840700939359E-2</v>
      </c>
      <c r="AE53" s="13">
        <f t="shared" si="0"/>
        <v>6.6645355055561248</v>
      </c>
    </row>
    <row r="54" spans="1:31" x14ac:dyDescent="0.25">
      <c r="A54" s="812" t="s">
        <v>2001</v>
      </c>
      <c r="B54" s="812">
        <v>2104008310</v>
      </c>
      <c r="C54" s="812" t="s">
        <v>141</v>
      </c>
      <c r="D54" s="133">
        <v>2.1683942756217629</v>
      </c>
      <c r="E54" s="133">
        <v>5.9411656101737154E-2</v>
      </c>
      <c r="F54" s="133">
        <v>1.6365239816013302E-2</v>
      </c>
      <c r="G54" s="133">
        <v>0.49676805686177261</v>
      </c>
      <c r="H54" s="133">
        <v>0.49676805686177261</v>
      </c>
      <c r="I54" s="133">
        <v>1.6243668391399773E-2</v>
      </c>
      <c r="J54" s="133">
        <v>4.9574665251474768</v>
      </c>
      <c r="K54" s="45">
        <v>1313.7376894486781</v>
      </c>
      <c r="L54" s="134">
        <v>116.89553568151169</v>
      </c>
      <c r="M54" s="45" t="s">
        <v>738</v>
      </c>
      <c r="N54" s="133">
        <v>1.8873038686753372</v>
      </c>
      <c r="O54" s="133">
        <v>5.1710083201112401E-2</v>
      </c>
      <c r="P54" s="133">
        <v>1.4243802782455371E-2</v>
      </c>
      <c r="Q54" s="133">
        <v>0.43237167986007563</v>
      </c>
      <c r="R54" s="133">
        <v>0.43237167986007563</v>
      </c>
      <c r="S54" s="133">
        <v>1.4137990743301328E-2</v>
      </c>
      <c r="T54" s="133">
        <v>4.314826808448621</v>
      </c>
      <c r="U54" s="45">
        <v>1143.4306985476455</v>
      </c>
      <c r="V54" s="134">
        <v>101.74228884612482</v>
      </c>
      <c r="W54" t="s">
        <v>738</v>
      </c>
      <c r="Y54" s="13">
        <f t="shared" si="1"/>
        <v>3.3011250634997626</v>
      </c>
      <c r="Z54" s="5">
        <f t="shared" si="0"/>
        <v>9.0447253632062075E-2</v>
      </c>
      <c r="AA54" s="357">
        <f t="shared" si="0"/>
        <v>2.491415142263971E-2</v>
      </c>
      <c r="AB54" s="5">
        <f t="shared" si="0"/>
        <v>0.75627089671330727</v>
      </c>
      <c r="AC54" s="358">
        <f t="shared" si="0"/>
        <v>0.75627089671330727</v>
      </c>
      <c r="AD54" s="5">
        <f t="shared" si="0"/>
        <v>2.4729073237685532E-2</v>
      </c>
      <c r="AE54" s="13">
        <f t="shared" si="0"/>
        <v>7.5471592881478458</v>
      </c>
    </row>
    <row r="55" spans="1:31" x14ac:dyDescent="0.25">
      <c r="A55" s="812" t="s">
        <v>2001</v>
      </c>
      <c r="B55" s="812">
        <v>2104008320</v>
      </c>
      <c r="C55" s="812" t="s">
        <v>142</v>
      </c>
      <c r="D55" s="133">
        <v>1.033669283420126</v>
      </c>
      <c r="E55" s="133">
        <v>0.13858400949396385</v>
      </c>
      <c r="F55" s="133">
        <v>3.4455642780670856E-2</v>
      </c>
      <c r="G55" s="133">
        <v>0.68266321245096517</v>
      </c>
      <c r="H55" s="133">
        <v>0.68266321245096517</v>
      </c>
      <c r="I55" s="133">
        <v>2.1512530139990133E-2</v>
      </c>
      <c r="J55" s="133">
        <v>10.650320885769037</v>
      </c>
      <c r="K55" s="45">
        <v>2765.9647548125363</v>
      </c>
      <c r="L55" s="134">
        <v>246.11376706843225</v>
      </c>
      <c r="M55" s="45" t="s">
        <v>738</v>
      </c>
      <c r="N55" s="133">
        <v>0.8996740396624977</v>
      </c>
      <c r="O55" s="133">
        <v>0.12061927122524853</v>
      </c>
      <c r="P55" s="133">
        <v>2.9989134655416586E-2</v>
      </c>
      <c r="Q55" s="133">
        <v>0.59416912152270285</v>
      </c>
      <c r="R55" s="133">
        <v>0.59416912152270285</v>
      </c>
      <c r="S55" s="133">
        <v>1.8723846403143809E-2</v>
      </c>
      <c r="T55" s="133">
        <v>9.2697126331336079</v>
      </c>
      <c r="U55" s="45">
        <v>2407.3976389310387</v>
      </c>
      <c r="V55" s="134">
        <v>214.20987407344336</v>
      </c>
      <c r="W55" t="s">
        <v>738</v>
      </c>
      <c r="Y55" s="13">
        <f t="shared" si="1"/>
        <v>0.7474245426791909</v>
      </c>
      <c r="Z55" s="5">
        <f t="shared" si="0"/>
        <v>0.10020718577991738</v>
      </c>
      <c r="AA55" s="357">
        <f t="shared" si="0"/>
        <v>2.4914151422639693E-2</v>
      </c>
      <c r="AB55" s="5">
        <f t="shared" si="0"/>
        <v>0.49361942698135475</v>
      </c>
      <c r="AC55" s="358">
        <f t="shared" si="0"/>
        <v>0.49361942698135475</v>
      </c>
      <c r="AD55" s="5">
        <f t="shared" si="0"/>
        <v>1.5555258591561795E-2</v>
      </c>
      <c r="AE55" s="13">
        <f t="shared" si="0"/>
        <v>7.701023281928328</v>
      </c>
    </row>
    <row r="56" spans="1:31" x14ac:dyDescent="0.25">
      <c r="A56" s="812" t="s">
        <v>2001</v>
      </c>
      <c r="B56" s="812">
        <v>2104008330</v>
      </c>
      <c r="C56" s="812" t="s">
        <v>143</v>
      </c>
      <c r="D56" s="133">
        <v>0.77793073977853255</v>
      </c>
      <c r="E56" s="133">
        <v>8.343772056022028E-2</v>
      </c>
      <c r="F56" s="133">
        <v>2.0744819727427533E-2</v>
      </c>
      <c r="G56" s="133">
        <v>0.45605578367005639</v>
      </c>
      <c r="H56" s="133">
        <v>0.45605578367005639</v>
      </c>
      <c r="I56" s="133">
        <v>1.2952118248837307E-2</v>
      </c>
      <c r="J56" s="133">
        <v>6.41227296849266</v>
      </c>
      <c r="K56" s="45">
        <v>1665.3133008214668</v>
      </c>
      <c r="L56" s="134">
        <v>148.17850773449752</v>
      </c>
      <c r="M56" s="45" t="s">
        <v>738</v>
      </c>
      <c r="N56" s="133">
        <v>0.67708705527019697</v>
      </c>
      <c r="O56" s="133">
        <v>7.2621632780137266E-2</v>
      </c>
      <c r="P56" s="133">
        <v>1.8055654807205244E-2</v>
      </c>
      <c r="Q56" s="133">
        <v>0.39693696599778167</v>
      </c>
      <c r="R56" s="133">
        <v>0.39693696599778167</v>
      </c>
      <c r="S56" s="133">
        <v>1.1273126457392941E-2</v>
      </c>
      <c r="T56" s="133">
        <v>5.5810457150226505</v>
      </c>
      <c r="U56" s="45">
        <v>1449.4296434915236</v>
      </c>
      <c r="V56" s="134">
        <v>128.97002821208184</v>
      </c>
      <c r="W56" t="s">
        <v>738</v>
      </c>
      <c r="Y56" s="13">
        <f t="shared" si="1"/>
        <v>0.93428067834898898</v>
      </c>
      <c r="Z56" s="5">
        <f t="shared" si="0"/>
        <v>0.10020718577991738</v>
      </c>
      <c r="AA56" s="357">
        <f t="shared" si="0"/>
        <v>2.4914151422639697E-2</v>
      </c>
      <c r="AB56" s="5">
        <f t="shared" si="0"/>
        <v>0.54771470665054467</v>
      </c>
      <c r="AC56" s="358">
        <f t="shared" si="0"/>
        <v>0.54771470665054467</v>
      </c>
      <c r="AD56" s="5">
        <f t="shared" si="0"/>
        <v>1.5555258591561802E-2</v>
      </c>
      <c r="AE56" s="13">
        <f t="shared" si="0"/>
        <v>7.7010232819283289</v>
      </c>
    </row>
    <row r="57" spans="1:31" x14ac:dyDescent="0.25">
      <c r="A57" s="812" t="s">
        <v>2001</v>
      </c>
      <c r="B57" s="812">
        <v>2104008410</v>
      </c>
      <c r="C57" s="812" t="s">
        <v>144</v>
      </c>
      <c r="D57" s="133">
        <v>1.3034956906667519E-2</v>
      </c>
      <c r="E57" s="133">
        <v>2.2763095297574532E-2</v>
      </c>
      <c r="F57" s="133">
        <v>1.8192283954105524E-3</v>
      </c>
      <c r="G57" s="133">
        <v>1.6827862657547606E-2</v>
      </c>
      <c r="H57" s="133">
        <v>1.6827862657547606E-2</v>
      </c>
      <c r="I57" s="133">
        <v>4.0864417831909549E-4</v>
      </c>
      <c r="J57" s="133">
        <v>5.6464301322555019E-2</v>
      </c>
      <c r="K57" s="45">
        <v>174.39925884732256</v>
      </c>
      <c r="L57" s="134">
        <v>15.517934020734209</v>
      </c>
      <c r="M57" s="45" t="s">
        <v>738</v>
      </c>
      <c r="N57" s="133">
        <v>1.1345226684347284E-2</v>
      </c>
      <c r="O57" s="133">
        <v>1.9812299959064982E-2</v>
      </c>
      <c r="P57" s="133">
        <v>1.5834005961290702E-3</v>
      </c>
      <c r="Q57" s="133">
        <v>1.4646455514193895E-2</v>
      </c>
      <c r="R57" s="133">
        <v>1.4646455514193895E-2</v>
      </c>
      <c r="S57" s="133">
        <v>3.556713589054923E-4</v>
      </c>
      <c r="T57" s="133">
        <v>4.9144796002356009E-2</v>
      </c>
      <c r="U57" s="45">
        <v>151.79093054236077</v>
      </c>
      <c r="V57" s="134">
        <v>13.506333806743964</v>
      </c>
      <c r="W57" t="s">
        <v>738</v>
      </c>
      <c r="Y57" s="13">
        <f t="shared" si="1"/>
        <v>0.14948490853583818</v>
      </c>
      <c r="Z57" s="5">
        <f t="shared" si="0"/>
        <v>0.26104721656655105</v>
      </c>
      <c r="AA57" s="357">
        <f t="shared" si="0"/>
        <v>2.0862914410913182E-2</v>
      </c>
      <c r="AB57" s="5">
        <f t="shared" si="0"/>
        <v>0.19298195830094686</v>
      </c>
      <c r="AC57" s="358">
        <f t="shared" si="0"/>
        <v>0.19298195830094686</v>
      </c>
      <c r="AD57" s="5">
        <f t="shared" si="0"/>
        <v>4.6863321495513727E-3</v>
      </c>
      <c r="AE57" s="13">
        <f t="shared" si="0"/>
        <v>0.64753270602871782</v>
      </c>
    </row>
    <row r="58" spans="1:31" x14ac:dyDescent="0.25">
      <c r="A58" s="812" t="s">
        <v>2001</v>
      </c>
      <c r="B58" s="812">
        <v>2104008420</v>
      </c>
      <c r="C58" s="812" t="s">
        <v>145</v>
      </c>
      <c r="D58" s="133">
        <v>4.3967314754356175E-2</v>
      </c>
      <c r="E58" s="133">
        <v>7.6780627883773656E-2</v>
      </c>
      <c r="F58" s="133">
        <v>6.1363139167851096E-3</v>
      </c>
      <c r="G58" s="133">
        <v>5.6760903730262262E-2</v>
      </c>
      <c r="H58" s="133">
        <v>5.6760903730262262E-2</v>
      </c>
      <c r="I58" s="133">
        <v>1.3783695135578548E-3</v>
      </c>
      <c r="J58" s="133">
        <v>0.19045584319221784</v>
      </c>
      <c r="K58" s="45">
        <v>588.25412017622193</v>
      </c>
      <c r="L58" s="134">
        <v>52.342473727547038</v>
      </c>
      <c r="M58" s="45" t="s">
        <v>738</v>
      </c>
      <c r="N58" s="133">
        <v>3.8267802200026166E-2</v>
      </c>
      <c r="O58" s="133">
        <v>6.682750350040316E-2</v>
      </c>
      <c r="P58" s="133">
        <v>5.3408594206116426E-3</v>
      </c>
      <c r="Q58" s="133">
        <v>4.9402949640657681E-2</v>
      </c>
      <c r="R58" s="133">
        <v>4.9402949640657681E-2</v>
      </c>
      <c r="S58" s="133">
        <v>1.1996905473548897E-3</v>
      </c>
      <c r="T58" s="133">
        <v>0.16576692426723383</v>
      </c>
      <c r="U58" s="45">
        <v>511.99552616847171</v>
      </c>
      <c r="V58" s="134">
        <v>45.557283688046489</v>
      </c>
      <c r="W58" t="s">
        <v>738</v>
      </c>
      <c r="Y58" s="13">
        <f t="shared" si="1"/>
        <v>0.14948490853583815</v>
      </c>
      <c r="Z58" s="5">
        <f t="shared" si="0"/>
        <v>0.26104721656655111</v>
      </c>
      <c r="AA58" s="357">
        <f t="shared" si="0"/>
        <v>2.0862914410913182E-2</v>
      </c>
      <c r="AB58" s="5">
        <f t="shared" si="0"/>
        <v>0.19298195830094686</v>
      </c>
      <c r="AC58" s="358">
        <f t="shared" si="0"/>
        <v>0.19298195830094686</v>
      </c>
      <c r="AD58" s="5">
        <f t="shared" si="0"/>
        <v>4.6863321495513709E-3</v>
      </c>
      <c r="AE58" s="13">
        <f t="shared" si="0"/>
        <v>0.64753270602871771</v>
      </c>
    </row>
    <row r="59" spans="1:31" x14ac:dyDescent="0.25">
      <c r="A59" s="812" t="s">
        <v>2001</v>
      </c>
      <c r="B59" s="812">
        <v>2104008610</v>
      </c>
      <c r="C59" s="812" t="s">
        <v>146</v>
      </c>
      <c r="D59" s="133">
        <v>1.2348132663180889</v>
      </c>
      <c r="E59" s="133">
        <v>4.3863980897821321E-2</v>
      </c>
      <c r="F59" s="133">
        <v>1.0879412038044829E-2</v>
      </c>
      <c r="G59" s="133">
        <v>0.26845362837233566</v>
      </c>
      <c r="H59" s="133">
        <v>0.26845362837233566</v>
      </c>
      <c r="I59" s="133">
        <v>6.6298747907466904E-3</v>
      </c>
      <c r="J59" s="133">
        <v>1.6474330953277223</v>
      </c>
      <c r="K59" s="45">
        <v>873.05248432775704</v>
      </c>
      <c r="L59" s="134">
        <v>77.710727883298873</v>
      </c>
      <c r="M59" s="45" t="s">
        <v>738</v>
      </c>
      <c r="N59" s="133">
        <v>1.1290153981004121</v>
      </c>
      <c r="O59" s="133">
        <v>4.0105748137358781E-2</v>
      </c>
      <c r="P59" s="133">
        <v>9.9472722299595792E-3</v>
      </c>
      <c r="Q59" s="133">
        <v>0.24545272420989431</v>
      </c>
      <c r="R59" s="133">
        <v>0.24545272420989431</v>
      </c>
      <c r="S59" s="133">
        <v>6.0618321250709368E-3</v>
      </c>
      <c r="T59" s="133">
        <v>1.5062822717407476</v>
      </c>
      <c r="U59" s="45">
        <v>798.2497551698757</v>
      </c>
      <c r="V59" s="134">
        <v>71.052531399702758</v>
      </c>
      <c r="W59" t="s">
        <v>738</v>
      </c>
      <c r="Y59" s="13">
        <f t="shared" si="1"/>
        <v>2.8287272017017933</v>
      </c>
      <c r="Z59" s="5">
        <f t="shared" si="0"/>
        <v>0.10048421030539212</v>
      </c>
      <c r="AA59" s="357">
        <f t="shared" si="0"/>
        <v>2.4922706622923292E-2</v>
      </c>
      <c r="AB59" s="5">
        <f t="shared" si="0"/>
        <v>0.6149772614904454</v>
      </c>
      <c r="AC59" s="358">
        <f t="shared" si="0"/>
        <v>0.6149772614904454</v>
      </c>
      <c r="AD59" s="5">
        <f t="shared" si="0"/>
        <v>1.5187808291355923E-2</v>
      </c>
      <c r="AE59" s="13">
        <f t="shared" si="0"/>
        <v>3.7739623770262112</v>
      </c>
    </row>
    <row r="60" spans="1:31" x14ac:dyDescent="0.25">
      <c r="A60" s="812" t="s">
        <v>2001</v>
      </c>
      <c r="B60" s="812">
        <v>2104004000</v>
      </c>
      <c r="C60" s="812" t="s">
        <v>568</v>
      </c>
      <c r="D60" s="133">
        <v>9.012234212747107E-2</v>
      </c>
      <c r="E60" s="133">
        <v>1.4120526610243456</v>
      </c>
      <c r="F60" s="133">
        <v>3.6532511890990151</v>
      </c>
      <c r="G60" s="133">
        <v>5.7713324020068617E-2</v>
      </c>
      <c r="H60" s="133">
        <v>5.7713324020068617E-2</v>
      </c>
      <c r="I60" s="133">
        <v>3.0963198336766817E-3</v>
      </c>
      <c r="J60" s="133">
        <v>5.6607151976350634E-2</v>
      </c>
      <c r="K60" s="45">
        <v>33928.132131925944</v>
      </c>
      <c r="L60" s="134">
        <v>252.79759362544479</v>
      </c>
      <c r="M60" s="45" t="s">
        <v>1997</v>
      </c>
      <c r="N60" s="133">
        <v>8.3240377097741972E-2</v>
      </c>
      <c r="O60" s="133">
        <v>1.3042248260623939</v>
      </c>
      <c r="P60" s="133">
        <v>3.3742798892560217</v>
      </c>
      <c r="Q60" s="133">
        <v>5.3306191800915316E-2</v>
      </c>
      <c r="R60" s="133">
        <v>5.3306191800915316E-2</v>
      </c>
      <c r="S60" s="133">
        <v>2.8598771901191065E-3</v>
      </c>
      <c r="T60" s="133">
        <v>5.228448979139777E-2</v>
      </c>
      <c r="U60" s="45">
        <v>31337.296015775257</v>
      </c>
      <c r="V60" s="134">
        <v>233.49334389268446</v>
      </c>
      <c r="W60" t="s">
        <v>1997</v>
      </c>
      <c r="Y60" s="13">
        <f t="shared" si="1"/>
        <v>5.312543689528197E-3</v>
      </c>
      <c r="Z60" s="5">
        <f t="shared" si="0"/>
        <v>8.3237866177467548E-2</v>
      </c>
      <c r="AA60" s="357">
        <f t="shared" si="0"/>
        <v>0.21535233209383495</v>
      </c>
      <c r="AB60" s="5">
        <f t="shared" si="0"/>
        <v>3.4020926230572592E-3</v>
      </c>
      <c r="AC60" s="358">
        <f t="shared" si="0"/>
        <v>3.4020926230572592E-3</v>
      </c>
      <c r="AD60" s="5">
        <f t="shared" si="0"/>
        <v>1.8252226922702193E-4</v>
      </c>
      <c r="AE60" s="13">
        <f t="shared" si="0"/>
        <v>3.3368858477819947E-3</v>
      </c>
    </row>
    <row r="61" spans="1:31" x14ac:dyDescent="0.25">
      <c r="A61" s="812" t="s">
        <v>2001</v>
      </c>
      <c r="B61" s="812">
        <v>2103004001</v>
      </c>
      <c r="C61" s="812" t="s">
        <v>148</v>
      </c>
      <c r="D61" s="133">
        <v>2.8264814861589972E-2</v>
      </c>
      <c r="E61" s="133">
        <v>0.71355773844126191</v>
      </c>
      <c r="F61" s="133">
        <v>0.50437432320754783</v>
      </c>
      <c r="G61" s="133">
        <v>1.8100466321291423E-2</v>
      </c>
      <c r="H61" s="133">
        <v>1.8100466321291423E-2</v>
      </c>
      <c r="I61" s="133">
        <v>9.7109001813728494E-4</v>
      </c>
      <c r="J61" s="133">
        <v>1.7753540716800003E-2</v>
      </c>
      <c r="K61" s="45">
        <v>10980.860752679415</v>
      </c>
      <c r="L61" s="134">
        <v>81.818096069053126</v>
      </c>
      <c r="M61" s="45" t="s">
        <v>1997</v>
      </c>
      <c r="N61" s="133">
        <v>2.779754588570809E-2</v>
      </c>
      <c r="O61" s="133">
        <v>0.70176132670791846</v>
      </c>
      <c r="P61" s="133">
        <v>0.49603609510945462</v>
      </c>
      <c r="Q61" s="133">
        <v>1.7801232577771393E-2</v>
      </c>
      <c r="R61" s="133">
        <v>1.7801232577771393E-2</v>
      </c>
      <c r="S61" s="133">
        <v>9.5503612779743532E-4</v>
      </c>
      <c r="T61" s="133">
        <v>1.7460042286697442E-2</v>
      </c>
      <c r="U61" s="45">
        <v>10799.327083227412</v>
      </c>
      <c r="V61" s="134">
        <v>80.465493614517158</v>
      </c>
      <c r="W61" t="s">
        <v>1997</v>
      </c>
      <c r="Y61" s="13">
        <f t="shared" si="1"/>
        <v>5.1480144404332101E-3</v>
      </c>
      <c r="Z61" s="5">
        <f t="shared" si="0"/>
        <v>0.1299638989169675</v>
      </c>
      <c r="AA61" s="357">
        <f t="shared" si="0"/>
        <v>9.1864259927797773E-2</v>
      </c>
      <c r="AB61" s="5">
        <f t="shared" si="0"/>
        <v>3.2967299611507722E-3</v>
      </c>
      <c r="AC61" s="358">
        <f t="shared" si="0"/>
        <v>3.2967299611507722E-3</v>
      </c>
      <c r="AD61" s="5">
        <f t="shared" si="0"/>
        <v>1.7686956241573894E-4</v>
      </c>
      <c r="AE61" s="13">
        <f t="shared" si="0"/>
        <v>3.2335426368953826E-3</v>
      </c>
    </row>
    <row r="62" spans="1:31" x14ac:dyDescent="0.25">
      <c r="A62" s="812" t="s">
        <v>2001</v>
      </c>
      <c r="B62" s="812">
        <v>2104004000</v>
      </c>
      <c r="C62" s="812" t="s">
        <v>746</v>
      </c>
      <c r="D62" s="133">
        <v>6.0235427437785175E-4</v>
      </c>
      <c r="E62" s="133">
        <v>1.5206699773914912E-2</v>
      </c>
      <c r="F62" s="133">
        <v>2.4417379943557752E-2</v>
      </c>
      <c r="G62" s="133">
        <v>3.3792666164255363E-4</v>
      </c>
      <c r="H62" s="133">
        <v>3.3792666164255363E-4</v>
      </c>
      <c r="I62" s="133">
        <v>2.0694995742765479E-5</v>
      </c>
      <c r="J62" s="133">
        <v>3.7834746799060223E-4</v>
      </c>
      <c r="K62" s="45">
        <v>231.47131505860804</v>
      </c>
      <c r="L62" s="134">
        <v>1.6896333082127684</v>
      </c>
      <c r="M62" s="45" t="s">
        <v>1997</v>
      </c>
      <c r="N62" s="133">
        <v>5.6875475421491891E-4</v>
      </c>
      <c r="O62" s="133">
        <v>1.4358465043293894E-2</v>
      </c>
      <c r="P62" s="133">
        <v>2.3055370434142502E-2</v>
      </c>
      <c r="Q62" s="133">
        <v>3.1907700096208639E-4</v>
      </c>
      <c r="R62" s="133">
        <v>3.1907700096208639E-4</v>
      </c>
      <c r="S62" s="133">
        <v>1.9540622052217593E-5</v>
      </c>
      <c r="T62" s="133">
        <v>3.5724312139577677E-4</v>
      </c>
      <c r="U62" s="45">
        <v>218.55976873400519</v>
      </c>
      <c r="V62" s="134">
        <v>1.5953850048104323</v>
      </c>
      <c r="W62" t="s">
        <v>1997</v>
      </c>
      <c r="Y62" s="13">
        <f t="shared" si="1"/>
        <v>5.2045695098361239E-3</v>
      </c>
      <c r="Z62" s="5">
        <f t="shared" si="0"/>
        <v>0.13139165662980401</v>
      </c>
      <c r="AA62" s="357">
        <f t="shared" si="0"/>
        <v>0.21097542853096343</v>
      </c>
      <c r="AB62" s="5">
        <f t="shared" si="0"/>
        <v>2.9198145917734217E-3</v>
      </c>
      <c r="AC62" s="358">
        <f t="shared" si="0"/>
        <v>2.9198145917734217E-3</v>
      </c>
      <c r="AD62" s="5">
        <f t="shared" si="0"/>
        <v>1.7881261647928633E-4</v>
      </c>
      <c r="AE62" s="13">
        <f t="shared" si="0"/>
        <v>3.2690656973612927E-3</v>
      </c>
    </row>
    <row r="63" spans="1:31" x14ac:dyDescent="0.25">
      <c r="A63" s="812" t="s">
        <v>2001</v>
      </c>
      <c r="B63" s="812">
        <v>2104004000</v>
      </c>
      <c r="C63" s="812" t="s">
        <v>747</v>
      </c>
      <c r="D63" s="133">
        <v>2.3212685650213154E-3</v>
      </c>
      <c r="E63" s="133">
        <v>3.6370042952882708E-2</v>
      </c>
      <c r="F63" s="133">
        <v>9.4096280069904698E-2</v>
      </c>
      <c r="G63" s="133">
        <v>1.486514017147794E-3</v>
      </c>
      <c r="H63" s="133">
        <v>1.486514017147794E-3</v>
      </c>
      <c r="I63" s="133">
        <v>7.9751477019979157E-5</v>
      </c>
      <c r="J63" s="133">
        <v>1.4580224984857952E-3</v>
      </c>
      <c r="K63" s="45">
        <v>813.90903401869446</v>
      </c>
      <c r="L63" s="134">
        <v>6.5112722721495544</v>
      </c>
      <c r="M63" s="45" t="s">
        <v>1997</v>
      </c>
      <c r="N63" s="133">
        <v>1.9242045889468274E-3</v>
      </c>
      <c r="O63" s="133">
        <v>3.0148774943448853E-2</v>
      </c>
      <c r="P63" s="133">
        <v>7.8000665946929712E-2</v>
      </c>
      <c r="Q63" s="133">
        <v>1.232238757906629E-3</v>
      </c>
      <c r="R63" s="133">
        <v>1.232238757906629E-3</v>
      </c>
      <c r="S63" s="133">
        <v>6.6109609361690637E-5</v>
      </c>
      <c r="T63" s="133">
        <v>1.2086208483800855E-3</v>
      </c>
      <c r="U63" s="45">
        <v>674.68604100519894</v>
      </c>
      <c r="V63" s="134">
        <v>5.3974883280415922</v>
      </c>
      <c r="W63" t="s">
        <v>1997</v>
      </c>
      <c r="Y63" s="13">
        <f t="shared" si="1"/>
        <v>5.7039999999999999E-3</v>
      </c>
      <c r="Z63" s="5">
        <f t="shared" si="0"/>
        <v>8.9371272298833696E-2</v>
      </c>
      <c r="AA63" s="357">
        <f t="shared" si="0"/>
        <v>0.23122063065279472</v>
      </c>
      <c r="AB63" s="5">
        <f t="shared" si="0"/>
        <v>3.6527767969550561E-3</v>
      </c>
      <c r="AC63" s="358">
        <f t="shared" si="0"/>
        <v>3.6527767969550561E-3</v>
      </c>
      <c r="AD63" s="5">
        <f t="shared" si="0"/>
        <v>1.9597147515663872E-4</v>
      </c>
      <c r="AE63" s="13">
        <f t="shared" si="0"/>
        <v>3.5827652416800843E-3</v>
      </c>
    </row>
    <row r="64" spans="1:31" x14ac:dyDescent="0.25">
      <c r="A64" s="812" t="s">
        <v>2001</v>
      </c>
      <c r="B64" s="812">
        <v>2104006010</v>
      </c>
      <c r="C64" s="812" t="s">
        <v>149</v>
      </c>
      <c r="D64" s="133">
        <v>6.4990552711092803E-4</v>
      </c>
      <c r="E64" s="133">
        <v>1.1107476281532223E-2</v>
      </c>
      <c r="F64" s="133">
        <v>7.0898784775737638E-5</v>
      </c>
      <c r="G64" s="133">
        <v>5.8529310125197222E-6</v>
      </c>
      <c r="H64" s="133">
        <v>5.8529310125197222E-6</v>
      </c>
      <c r="I64" s="133">
        <v>2.3632928258579197E-3</v>
      </c>
      <c r="J64" s="133">
        <v>4.7265856517158394E-3</v>
      </c>
      <c r="K64" s="45">
        <v>291.73882732240446</v>
      </c>
      <c r="L64" s="134">
        <v>287.42741608118689</v>
      </c>
      <c r="M64" s="45" t="s">
        <v>1998</v>
      </c>
      <c r="N64" s="133">
        <v>6.4990552711092803E-4</v>
      </c>
      <c r="O64" s="133">
        <v>1.1107476281532223E-2</v>
      </c>
      <c r="P64" s="133">
        <v>7.0898784775737638E-5</v>
      </c>
      <c r="Q64" s="133">
        <v>5.8529310125197222E-6</v>
      </c>
      <c r="R64" s="133">
        <v>5.8529310125197222E-6</v>
      </c>
      <c r="S64" s="133">
        <v>2.3632928258579197E-3</v>
      </c>
      <c r="T64" s="133">
        <v>4.7265856517158394E-3</v>
      </c>
      <c r="U64" s="45">
        <v>291.73882732240446</v>
      </c>
      <c r="V64" s="134">
        <v>287.42741608118689</v>
      </c>
      <c r="W64" t="s">
        <v>1998</v>
      </c>
      <c r="Y64" s="13">
        <f t="shared" si="1"/>
        <v>4.455392743405449E-3</v>
      </c>
      <c r="Z64" s="5">
        <f t="shared" si="0"/>
        <v>7.6146712341838563E-2</v>
      </c>
      <c r="AA64" s="357">
        <f t="shared" si="0"/>
        <v>4.8604284473514008E-4</v>
      </c>
      <c r="AB64" s="5">
        <f t="shared" si="0"/>
        <v>4.012445697570156E-5</v>
      </c>
      <c r="AC64" s="358">
        <f t="shared" si="0"/>
        <v>4.012445697570156E-5</v>
      </c>
      <c r="AD64" s="5">
        <f t="shared" si="0"/>
        <v>1.6201428157837993E-2</v>
      </c>
      <c r="AE64" s="13">
        <f t="shared" si="0"/>
        <v>3.2402856315675986E-2</v>
      </c>
    </row>
    <row r="65" spans="1:31" x14ac:dyDescent="0.25">
      <c r="A65" s="812" t="s">
        <v>2001</v>
      </c>
      <c r="B65" s="812">
        <v>2103006000</v>
      </c>
      <c r="C65" s="812" t="s">
        <v>150</v>
      </c>
      <c r="D65" s="133">
        <v>7.2943884387197469E-3</v>
      </c>
      <c r="E65" s="133">
        <v>0.13262524434035913</v>
      </c>
      <c r="F65" s="133">
        <v>7.9575146604215401E-4</v>
      </c>
      <c r="G65" s="133">
        <v>1.007951856986729E-2</v>
      </c>
      <c r="H65" s="133">
        <v>1.007951856986729E-2</v>
      </c>
      <c r="I65" s="133">
        <v>2.6525048868071825E-2</v>
      </c>
      <c r="J65" s="133">
        <v>5.305009773614365E-2</v>
      </c>
      <c r="K65" s="45">
        <v>2692.29246010929</v>
      </c>
      <c r="L65" s="134">
        <v>2652.5048868071826</v>
      </c>
      <c r="M65" s="45" t="s">
        <v>1998</v>
      </c>
      <c r="N65" s="133">
        <v>7.2943884387197469E-3</v>
      </c>
      <c r="O65" s="133">
        <v>0.13262524434035913</v>
      </c>
      <c r="P65" s="133">
        <v>7.9575146604215401E-4</v>
      </c>
      <c r="Q65" s="133">
        <v>1.007951856986729E-2</v>
      </c>
      <c r="R65" s="133">
        <v>1.007951856986729E-2</v>
      </c>
      <c r="S65" s="133">
        <v>2.6525048868071825E-2</v>
      </c>
      <c r="T65" s="133">
        <v>5.305009773614365E-2</v>
      </c>
      <c r="U65" s="45">
        <v>2692.29246010929</v>
      </c>
      <c r="V65" s="134">
        <v>2652.5048868071826</v>
      </c>
      <c r="W65" t="s">
        <v>1998</v>
      </c>
      <c r="Y65" s="13">
        <f t="shared" si="1"/>
        <v>5.4187192118226564E-3</v>
      </c>
      <c r="Z65" s="5">
        <f t="shared" si="0"/>
        <v>9.8522167487684748E-2</v>
      </c>
      <c r="AA65" s="357">
        <f t="shared" si="0"/>
        <v>5.9113300492610779E-4</v>
      </c>
      <c r="AB65" s="5">
        <f t="shared" si="0"/>
        <v>7.4876847290640371E-3</v>
      </c>
      <c r="AC65" s="358">
        <f t="shared" si="0"/>
        <v>7.4876847290640371E-3</v>
      </c>
      <c r="AD65" s="5">
        <f t="shared" si="0"/>
        <v>1.970443349753695E-2</v>
      </c>
      <c r="AE65" s="13">
        <f t="shared" si="0"/>
        <v>3.9408866995073899E-2</v>
      </c>
    </row>
    <row r="66" spans="1:31" x14ac:dyDescent="0.25">
      <c r="A66" s="812" t="s">
        <v>2001</v>
      </c>
      <c r="B66" s="812">
        <v>2104002000</v>
      </c>
      <c r="C66" s="812" t="s">
        <v>151</v>
      </c>
      <c r="D66" s="133">
        <v>0.13592734135817633</v>
      </c>
      <c r="E66" s="133">
        <v>6.4157705121059241E-2</v>
      </c>
      <c r="F66" s="133">
        <v>0.12641242746310399</v>
      </c>
      <c r="G66" s="133">
        <v>0.1086059457451829</v>
      </c>
      <c r="H66" s="133">
        <v>0.1086059457451829</v>
      </c>
      <c r="I66" s="133">
        <v>1.7207721779238336E-2</v>
      </c>
      <c r="J66" s="133">
        <v>1.7748712597843879</v>
      </c>
      <c r="K66" s="45">
        <v>413.21911772885596</v>
      </c>
      <c r="L66" s="134">
        <v>27.185468271635262</v>
      </c>
      <c r="M66" s="45" t="s">
        <v>738</v>
      </c>
      <c r="N66" s="133">
        <v>0.11916743653025519</v>
      </c>
      <c r="O66" s="133">
        <v>5.6247030042280453E-2</v>
      </c>
      <c r="P66" s="133">
        <v>0.11082571597313731</v>
      </c>
      <c r="Q66" s="133">
        <v>9.5214781787673869E-2</v>
      </c>
      <c r="R66" s="133">
        <v>9.5214781787673869E-2</v>
      </c>
      <c r="S66" s="133">
        <v>1.5086001627547654E-2</v>
      </c>
      <c r="T66" s="133">
        <v>1.5560288024938074</v>
      </c>
      <c r="U66" s="45">
        <v>362.26900705197573</v>
      </c>
      <c r="V66" s="134">
        <v>23.833487306051037</v>
      </c>
      <c r="W66" t="s">
        <v>738</v>
      </c>
      <c r="Y66" s="13">
        <f t="shared" si="1"/>
        <v>0.65789473684210531</v>
      </c>
      <c r="Z66" s="5">
        <f t="shared" si="1"/>
        <v>0.31052631578947376</v>
      </c>
      <c r="AA66" s="357">
        <f t="shared" si="1"/>
        <v>0.61184210526315796</v>
      </c>
      <c r="AB66" s="5">
        <f t="shared" si="1"/>
        <v>0.52565789473684199</v>
      </c>
      <c r="AC66" s="358">
        <f t="shared" si="1"/>
        <v>0.52565789473684199</v>
      </c>
      <c r="AD66" s="5">
        <f t="shared" si="1"/>
        <v>8.3286184210526318E-2</v>
      </c>
      <c r="AE66" s="13">
        <f t="shared" si="1"/>
        <v>8.5904605263157929</v>
      </c>
    </row>
    <row r="67" spans="1:31" x14ac:dyDescent="0.25">
      <c r="A67" s="812" t="s">
        <v>2001</v>
      </c>
      <c r="B67" s="812">
        <v>2103002000</v>
      </c>
      <c r="C67" s="812" t="s">
        <v>152</v>
      </c>
      <c r="D67" s="133">
        <v>3.4838015202202628E-4</v>
      </c>
      <c r="E67" s="133">
        <v>1.6443543175439639E-4</v>
      </c>
      <c r="F67" s="133">
        <v>3.2399354138048435E-4</v>
      </c>
      <c r="G67" s="133">
        <v>2.7835574146559892E-4</v>
      </c>
      <c r="H67" s="133">
        <v>2.7835574146559892E-4</v>
      </c>
      <c r="I67" s="133">
        <v>4.4103185345228458E-5</v>
      </c>
      <c r="J67" s="133">
        <v>4.5489738350276074E-3</v>
      </c>
      <c r="K67" s="45">
        <v>16.015711428952528</v>
      </c>
      <c r="L67" s="134">
        <v>1.0590756621469597</v>
      </c>
      <c r="M67" s="45" t="s">
        <v>738</v>
      </c>
      <c r="N67" s="133">
        <v>3.2922344900610873E-4</v>
      </c>
      <c r="O67" s="133">
        <v>1.5539346793088337E-4</v>
      </c>
      <c r="P67" s="133">
        <v>3.0617780757568111E-4</v>
      </c>
      <c r="Q67" s="133">
        <v>2.6304953575588091E-4</v>
      </c>
      <c r="R67" s="133">
        <v>2.6304953575588091E-4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4.2325140919862265E-5</v>
      </c>
      <c r="F68" s="133">
        <v>9.227066009456588E-6</v>
      </c>
      <c r="G68" s="133">
        <v>2.9937064250054856E-4</v>
      </c>
      <c r="H68" s="133">
        <v>2.9937064250054856E-4</v>
      </c>
      <c r="I68" s="133">
        <v>1.0961826058757603E-5</v>
      </c>
      <c r="J68" s="133">
        <v>2.12931673904609E-3</v>
      </c>
      <c r="K68" s="45">
        <v>9.6654102131207296</v>
      </c>
      <c r="L68" s="134">
        <v>0.79814120981799463</v>
      </c>
      <c r="M68" s="45" t="s">
        <v>738</v>
      </c>
      <c r="N68" s="133">
        <v>8.7269646582558802E-4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1.6802202817214625E-2</v>
      </c>
      <c r="G69" s="135">
        <v>2.3655128992506411E-3</v>
      </c>
      <c r="H69" s="135">
        <v>2.3655128992506411E-3</v>
      </c>
      <c r="I69" s="135">
        <v>1.6537406597149248E-5</v>
      </c>
      <c r="J69" s="135">
        <v>5.6489860280612321E-3</v>
      </c>
      <c r="K69" s="88">
        <v>125.9077778943812</v>
      </c>
      <c r="L69" s="136">
        <v>0.90908142884029708</v>
      </c>
      <c r="M69" s="88" t="s">
        <v>1997</v>
      </c>
      <c r="N69" s="135">
        <v>4.5454071442014893E-4</v>
      </c>
      <c r="O69" s="135">
        <v>2.3729271934124711E-2</v>
      </c>
      <c r="P69" s="135">
        <v>1.6802202817214625E-2</v>
      </c>
      <c r="Q69" s="135">
        <v>2.3655128992506411E-3</v>
      </c>
      <c r="R69" s="135">
        <v>2.3655128992506411E-3</v>
      </c>
      <c r="S69" s="135">
        <v>1.6537406597149248E-5</v>
      </c>
      <c r="T69" s="135">
        <v>5.6489860280612321E-3</v>
      </c>
      <c r="U69" s="88">
        <v>125.9077778943812</v>
      </c>
      <c r="V69" s="136">
        <v>0.90908142884029708</v>
      </c>
      <c r="W69" s="3" t="s">
        <v>1997</v>
      </c>
      <c r="Y69" s="359">
        <f t="shared" si="1"/>
        <v>7.2202166064981978E-3</v>
      </c>
      <c r="Z69" s="360">
        <f t="shared" si="1"/>
        <v>0.37693099395384788</v>
      </c>
      <c r="AA69" s="361">
        <f t="shared" si="1"/>
        <v>0.26689697964980835</v>
      </c>
      <c r="AB69" s="360">
        <f t="shared" si="1"/>
        <v>3.757532598557925E-2</v>
      </c>
      <c r="AC69" s="362">
        <f t="shared" si="1"/>
        <v>3.757532598557925E-2</v>
      </c>
      <c r="AD69" s="360">
        <f t="shared" si="1"/>
        <v>2.6269078644246729E-4</v>
      </c>
      <c r="AE69" s="359">
        <f t="shared" si="1"/>
        <v>8.9732121756607164E-2</v>
      </c>
    </row>
    <row r="70" spans="1:31" x14ac:dyDescent="0.25">
      <c r="A70" s="810" t="s">
        <v>2001</v>
      </c>
      <c r="B70" s="810" t="s">
        <v>341</v>
      </c>
      <c r="C70" s="810"/>
      <c r="D70" s="137">
        <v>10.670381414178818</v>
      </c>
      <c r="E70" s="137">
        <v>2.9091347180327971</v>
      </c>
      <c r="F70" s="137">
        <v>4.5231015364889497</v>
      </c>
      <c r="G70" s="137">
        <v>3.0683465956471965</v>
      </c>
      <c r="H70" s="137">
        <v>3.0683465956471965</v>
      </c>
      <c r="I70" s="137">
        <v>0.15780153611513409</v>
      </c>
      <c r="J70" s="137">
        <v>32.615979277698258</v>
      </c>
      <c r="K70" s="87">
        <v>57859.187347358478</v>
      </c>
      <c r="L70" s="87"/>
      <c r="M70" s="87"/>
      <c r="N70" s="137">
        <v>9.6090710234865035</v>
      </c>
      <c r="O70" s="137">
        <v>2.7145378119032642</v>
      </c>
      <c r="P70" s="137">
        <v>4.1903632197367111</v>
      </c>
      <c r="Q70" s="137">
        <v>2.7287431994720563</v>
      </c>
      <c r="R70" s="137">
        <v>2.7287431994720563</v>
      </c>
      <c r="S70" s="137">
        <v>0.14379562577760402</v>
      </c>
      <c r="T70" s="137">
        <v>28.769485974417385</v>
      </c>
      <c r="U70" s="87">
        <v>53872.372308445898</v>
      </c>
      <c r="Y70" s="13">
        <f t="shared" si="1"/>
        <v>0.35673465309713237</v>
      </c>
      <c r="Z70" s="5">
        <f t="shared" si="1"/>
        <v>0.10077662057877074</v>
      </c>
      <c r="AA70" s="357">
        <f t="shared" si="1"/>
        <v>0.15556631498404469</v>
      </c>
      <c r="AB70" s="5">
        <f t="shared" si="1"/>
        <v>0.10130399247497979</v>
      </c>
      <c r="AC70" s="358">
        <f t="shared" si="1"/>
        <v>0.10130399247497979</v>
      </c>
      <c r="AD70" s="5">
        <f t="shared" si="1"/>
        <v>5.3383810519537977E-3</v>
      </c>
      <c r="AE70" s="13">
        <f t="shared" si="1"/>
        <v>1.0680608535186789</v>
      </c>
    </row>
    <row r="71" spans="1:31" x14ac:dyDescent="0.25">
      <c r="R71" s="133"/>
      <c r="T71" s="1" t="s">
        <v>1452</v>
      </c>
      <c r="U71" s="45">
        <f>SUM(U50:U60,U62:U64,U66)</f>
        <v>40231.81944437162</v>
      </c>
      <c r="V71" t="s">
        <v>2002</v>
      </c>
    </row>
    <row r="72" spans="1:31" x14ac:dyDescent="0.25">
      <c r="L72" s="134"/>
      <c r="U72" s="45">
        <f ca="1">U71/OFFSET(Devices!$BH$41,0,MATCH(VALUE(RIGHT(A2,4)),Devices!$BI$39:$CG$39,0))*10^6</f>
        <v>940219.72442730423</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7.7818701829365793</v>
      </c>
      <c r="O74" s="133">
        <f t="shared" si="2"/>
        <v>0.20467375275228125</v>
      </c>
      <c r="P74" s="133">
        <f t="shared" si="2"/>
        <v>0.14367216927503604</v>
      </c>
      <c r="Q74" s="133">
        <f>SUM(Q50,Q51,Q54, Q59,Q66)</f>
        <v>1.5147107581002883</v>
      </c>
      <c r="R74" s="133">
        <f t="shared" ref="R74:U74" si="3">SUM(R50,R51,R54, R59,R66)</f>
        <v>1.5147107581002883</v>
      </c>
      <c r="S74" s="133">
        <f t="shared" si="3"/>
        <v>7.4059560553654341E-2</v>
      </c>
      <c r="T74" s="133">
        <f t="shared" si="3"/>
        <v>12.804757631094702</v>
      </c>
      <c r="U74" s="45">
        <f t="shared" si="3"/>
        <v>2998.8794554566375</v>
      </c>
      <c r="Y74" s="13">
        <f t="shared" ref="Y74:AE80" si="4">N74/$U74*2000</f>
        <v>5.1898519420492271</v>
      </c>
      <c r="Z74" s="5">
        <f t="shared" si="4"/>
        <v>0.13650015333551693</v>
      </c>
      <c r="AA74" s="357">
        <f t="shared" si="4"/>
        <v>9.5817235343432075E-2</v>
      </c>
      <c r="AB74" s="5">
        <f t="shared" si="4"/>
        <v>1.010184490973242</v>
      </c>
      <c r="AC74" s="358">
        <f t="shared" si="4"/>
        <v>1.010184490973242</v>
      </c>
      <c r="AD74" s="5">
        <f t="shared" si="4"/>
        <v>4.9391488823532816E-2</v>
      </c>
      <c r="AE74" s="13">
        <f t="shared" si="4"/>
        <v>8.5396947901961795</v>
      </c>
    </row>
    <row r="75" spans="1:31" x14ac:dyDescent="0.25">
      <c r="M75" s="1" t="s">
        <v>2006</v>
      </c>
      <c r="N75" s="133">
        <f t="shared" ref="N75:U75" si="5">SUM(N52:N53,N55:N56)</f>
        <v>1.65445617474386</v>
      </c>
      <c r="O75" s="133">
        <f t="shared" si="5"/>
        <v>0.20507796595410283</v>
      </c>
      <c r="P75" s="133">
        <f t="shared" si="5"/>
        <v>5.0412201852365238E-2</v>
      </c>
      <c r="Q75" s="133">
        <f t="shared" si="5"/>
        <v>1.0643526952524076</v>
      </c>
      <c r="R75" s="133">
        <f t="shared" si="5"/>
        <v>1.0643526952524076</v>
      </c>
      <c r="S75" s="133">
        <f t="shared" si="5"/>
        <v>3.5323650737459411E-2</v>
      </c>
      <c r="T75" s="133">
        <f t="shared" si="5"/>
        <v>15.608908331206745</v>
      </c>
      <c r="U75" s="45">
        <f t="shared" si="5"/>
        <v>4046.8728793672863</v>
      </c>
      <c r="Y75" s="13">
        <f t="shared" si="4"/>
        <v>0.81764672331517774</v>
      </c>
      <c r="Z75" s="5">
        <f t="shared" si="4"/>
        <v>0.10135132585937121</v>
      </c>
      <c r="AA75" s="357">
        <f t="shared" si="4"/>
        <v>2.4914151422639697E-2</v>
      </c>
      <c r="AB75" s="5">
        <f t="shared" si="4"/>
        <v>0.52601241846707836</v>
      </c>
      <c r="AC75" s="358">
        <f t="shared" si="4"/>
        <v>0.52601241846707836</v>
      </c>
      <c r="AD75" s="5">
        <f t="shared" si="4"/>
        <v>1.745725738881234E-2</v>
      </c>
      <c r="AE75" s="13">
        <f t="shared" si="4"/>
        <v>7.7140591249049271</v>
      </c>
    </row>
    <row r="76" spans="1:31" x14ac:dyDescent="0.25">
      <c r="M76" s="1" t="s">
        <v>2007</v>
      </c>
      <c r="N76" s="133">
        <f t="shared" ref="N76:U76" si="6">SUM(N60,N62:N63)</f>
        <v>8.573333644090371E-2</v>
      </c>
      <c r="O76" s="133">
        <f t="shared" si="6"/>
        <v>1.3487320660491366</v>
      </c>
      <c r="P76" s="133">
        <f t="shared" si="6"/>
        <v>3.4753359256370939</v>
      </c>
      <c r="Q76" s="133">
        <f t="shared" si="6"/>
        <v>5.4857507559784031E-2</v>
      </c>
      <c r="R76" s="133">
        <f t="shared" si="6"/>
        <v>5.4857507559784031E-2</v>
      </c>
      <c r="S76" s="133">
        <f t="shared" si="6"/>
        <v>2.945527421533015E-3</v>
      </c>
      <c r="T76" s="133">
        <f t="shared" si="6"/>
        <v>5.3850353761173628E-2</v>
      </c>
      <c r="U76" s="45">
        <f t="shared" si="6"/>
        <v>32230.541825514461</v>
      </c>
      <c r="V76" s="134">
        <f t="shared" ref="V76" si="7">SUM(V60,V62:V63)</f>
        <v>240.48621722553648</v>
      </c>
      <c r="W76" t="s">
        <v>1997</v>
      </c>
      <c r="Y76" s="13">
        <f t="shared" si="4"/>
        <v>5.320005906511641E-3</v>
      </c>
      <c r="Z76" s="5">
        <f t="shared" si="4"/>
        <v>8.3692795073115916E-2</v>
      </c>
      <c r="AA76" s="357">
        <f t="shared" si="4"/>
        <v>0.21565482482121573</v>
      </c>
      <c r="AB76" s="5">
        <f t="shared" si="4"/>
        <v>3.4040698326925135E-3</v>
      </c>
      <c r="AC76" s="358">
        <f t="shared" si="4"/>
        <v>3.4040698326925135E-3</v>
      </c>
      <c r="AD76" s="5">
        <f t="shared" si="4"/>
        <v>1.8277864750019593E-4</v>
      </c>
      <c r="AE76" s="13">
        <f t="shared" si="4"/>
        <v>3.3415729746463282E-3</v>
      </c>
    </row>
    <row r="77" spans="1:31" x14ac:dyDescent="0.25">
      <c r="M77" s="1" t="s">
        <v>2008</v>
      </c>
      <c r="N77" s="133">
        <f t="shared" ref="N77:U77" si="8">N61</f>
        <v>2.779754588570809E-2</v>
      </c>
      <c r="O77" s="133">
        <f t="shared" si="8"/>
        <v>0.70176132670791846</v>
      </c>
      <c r="P77" s="133">
        <f t="shared" si="8"/>
        <v>0.49603609510945462</v>
      </c>
      <c r="Q77" s="133">
        <f t="shared" si="8"/>
        <v>1.7801232577771393E-2</v>
      </c>
      <c r="R77" s="133">
        <f t="shared" si="8"/>
        <v>1.7801232577771393E-2</v>
      </c>
      <c r="S77" s="133">
        <f t="shared" si="8"/>
        <v>9.5503612779743532E-4</v>
      </c>
      <c r="T77" s="133">
        <f t="shared" si="8"/>
        <v>1.7460042286697442E-2</v>
      </c>
      <c r="U77" s="45">
        <f t="shared" si="8"/>
        <v>10799.327083227412</v>
      </c>
      <c r="Y77" s="13">
        <f t="shared" si="4"/>
        <v>5.1480144404332101E-3</v>
      </c>
      <c r="Z77" s="5">
        <f t="shared" si="4"/>
        <v>0.1299638989169675</v>
      </c>
      <c r="AA77" s="357">
        <f t="shared" si="4"/>
        <v>9.1864259927797773E-2</v>
      </c>
      <c r="AB77" s="5">
        <f t="shared" si="4"/>
        <v>3.2967299611507722E-3</v>
      </c>
      <c r="AC77" s="358">
        <f t="shared" si="4"/>
        <v>3.2967299611507722E-3</v>
      </c>
      <c r="AD77" s="5">
        <f t="shared" si="4"/>
        <v>1.7686956241573894E-4</v>
      </c>
      <c r="AE77" s="13">
        <f t="shared" si="4"/>
        <v>3.2335426368953826E-3</v>
      </c>
    </row>
    <row r="78" spans="1:31" x14ac:dyDescent="0.25">
      <c r="M78" s="1" t="s">
        <v>2009</v>
      </c>
      <c r="N78" s="133">
        <f t="shared" ref="N78:U78" si="9">SUM(N50:N59,N68)</f>
        <v>9.3676446465003824</v>
      </c>
      <c r="O78" s="133">
        <f t="shared" si="9"/>
        <v>0.44018000307998101</v>
      </c>
      <c r="P78" s="133">
        <f t="shared" si="9"/>
        <v>9.0190452141416841E-2</v>
      </c>
      <c r="Q78" s="133">
        <f t="shared" si="9"/>
        <v>2.5481557436109403</v>
      </c>
      <c r="R78" s="133">
        <f t="shared" si="9"/>
        <v>2.5481557436109403</v>
      </c>
      <c r="S78" s="133">
        <f t="shared" si="9"/>
        <v>9.586250345767211E-2</v>
      </c>
      <c r="T78" s="133">
        <f t="shared" si="9"/>
        <v>27.07442227127439</v>
      </c>
      <c r="U78" s="45">
        <f t="shared" si="9"/>
        <v>7355.1648088299817</v>
      </c>
      <c r="V78" s="134">
        <f t="shared" ref="V78" si="10">V61</f>
        <v>80.465493614517158</v>
      </c>
      <c r="W78" t="s">
        <v>1997</v>
      </c>
      <c r="Y78" s="13">
        <f t="shared" si="4"/>
        <v>2.5472290261271615</v>
      </c>
      <c r="Z78" s="5">
        <f t="shared" si="4"/>
        <v>0.11969276407009631</v>
      </c>
      <c r="AA78" s="357">
        <f t="shared" si="4"/>
        <v>2.4524386464635544E-2</v>
      </c>
      <c r="AB78" s="5">
        <f t="shared" si="4"/>
        <v>0.6928888229810547</v>
      </c>
      <c r="AC78" s="358">
        <f t="shared" si="4"/>
        <v>0.6928888229810547</v>
      </c>
      <c r="AD78" s="5">
        <f t="shared" si="4"/>
        <v>2.6066718000006685E-2</v>
      </c>
      <c r="AE78" s="13">
        <f t="shared" si="4"/>
        <v>7.3620164809281103</v>
      </c>
    </row>
    <row r="79" spans="1:31" x14ac:dyDescent="0.25">
      <c r="M79" s="1" t="s">
        <v>2010</v>
      </c>
      <c r="N79" s="133">
        <f>SUM(N64,N65,N66,N67,N69)</f>
        <v>0.12789549465951211</v>
      </c>
      <c r="O79" s="133">
        <f t="shared" ref="O79:U79" si="11">SUM(O64,O65,O66,O67,O69)</f>
        <v>0.22386441606622742</v>
      </c>
      <c r="P79" s="133">
        <f t="shared" si="11"/>
        <v>0.12880074684874551</v>
      </c>
      <c r="Q79" s="133">
        <f t="shared" si="11"/>
        <v>0.10792871572356021</v>
      </c>
      <c r="R79" s="133">
        <f t="shared" si="11"/>
        <v>0.10792871572356021</v>
      </c>
      <c r="S79" s="133">
        <f t="shared" si="11"/>
        <v>4.4032558770601478E-2</v>
      </c>
      <c r="T79" s="133">
        <f t="shared" si="11"/>
        <v>1.6237533070951253</v>
      </c>
      <c r="U79" s="45">
        <f t="shared" si="11"/>
        <v>3487.3385908740443</v>
      </c>
      <c r="V79" s="134">
        <f t="shared" ref="V79" si="12">SUM(V50:V59,V68)</f>
        <v>654.42515746089578</v>
      </c>
      <c r="W79" t="s">
        <v>2011</v>
      </c>
      <c r="Y79" s="13">
        <f t="shared" si="4"/>
        <v>7.3348481271190355E-2</v>
      </c>
      <c r="Z79" s="5">
        <f t="shared" si="4"/>
        <v>0.12838696916442488</v>
      </c>
      <c r="AA79" s="357">
        <f t="shared" si="4"/>
        <v>7.386764633970555E-2</v>
      </c>
      <c r="AB79" s="5">
        <f t="shared" si="4"/>
        <v>6.1897468749376384E-2</v>
      </c>
      <c r="AC79" s="358">
        <f t="shared" si="4"/>
        <v>6.1897468749376384E-2</v>
      </c>
      <c r="AD79" s="5">
        <f t="shared" si="4"/>
        <v>2.5252815362310683E-2</v>
      </c>
      <c r="AE79" s="13">
        <f t="shared" si="4"/>
        <v>0.93122779149939561</v>
      </c>
    </row>
    <row r="80" spans="1:31" x14ac:dyDescent="0.25">
      <c r="M80" s="1" t="s">
        <v>2012</v>
      </c>
      <c r="N80" s="133">
        <f>SUM(N76:N79)</f>
        <v>9.6090710234865071</v>
      </c>
      <c r="O80" s="133">
        <f t="shared" ref="O80:U80" si="13">SUM(O76:O79)</f>
        <v>2.7145378119032637</v>
      </c>
      <c r="P80" s="133">
        <f t="shared" si="13"/>
        <v>4.1903632197367111</v>
      </c>
      <c r="Q80" s="133">
        <f t="shared" si="13"/>
        <v>2.7287431994720559</v>
      </c>
      <c r="R80" s="133">
        <f t="shared" si="13"/>
        <v>2.7287431994720559</v>
      </c>
      <c r="S80" s="133">
        <f t="shared" si="13"/>
        <v>0.14379562577760405</v>
      </c>
      <c r="T80" s="133">
        <f t="shared" si="13"/>
        <v>28.769485974417385</v>
      </c>
      <c r="U80" s="45">
        <f t="shared" si="13"/>
        <v>53872.372308445905</v>
      </c>
      <c r="Y80" s="13">
        <f t="shared" si="4"/>
        <v>0.35673465309713248</v>
      </c>
      <c r="Z80" s="5">
        <f t="shared" si="4"/>
        <v>0.10077662057877071</v>
      </c>
      <c r="AA80" s="357">
        <f t="shared" si="4"/>
        <v>0.15556631498404466</v>
      </c>
      <c r="AB80" s="5">
        <f t="shared" si="4"/>
        <v>0.10130399247497975</v>
      </c>
      <c r="AC80" s="358">
        <f t="shared" si="4"/>
        <v>0.10130399247497975</v>
      </c>
      <c r="AD80" s="5">
        <f t="shared" si="4"/>
        <v>5.3383810519537977E-3</v>
      </c>
      <c r="AE80" s="13">
        <f t="shared" si="4"/>
        <v>1.0680608535186786</v>
      </c>
    </row>
    <row r="82" spans="20:23" x14ac:dyDescent="0.25">
      <c r="V82" s="38">
        <f>V79/Lookup!B37</f>
        <v>388.90090733008321</v>
      </c>
      <c r="W82" t="s">
        <v>2013</v>
      </c>
    </row>
    <row r="83" spans="20:23" x14ac:dyDescent="0.25">
      <c r="T83" s="1" t="s">
        <v>2014</v>
      </c>
      <c r="U83" s="13">
        <v>1.930282922015446</v>
      </c>
      <c r="V83" s="45">
        <f>V82*365/U83</f>
        <v>73537.837151493237</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4DD6-7CD4-4C8F-83A0-47AE74EAC4E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2022</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5.9855537852125522</v>
      </c>
      <c r="E6" s="133">
        <v>6.7958252583199291E-2</v>
      </c>
      <c r="F6" s="133">
        <v>1.0455115782030656E-2</v>
      </c>
      <c r="G6" s="133">
        <v>0.90436751514565195</v>
      </c>
      <c r="H6" s="133">
        <v>0.90436751514565195</v>
      </c>
      <c r="I6" s="133">
        <v>4.7048021019137971E-2</v>
      </c>
      <c r="J6" s="133">
        <v>6.6024056163523639</v>
      </c>
      <c r="K6" s="45">
        <v>841.11480836466797</v>
      </c>
      <c r="L6" s="134">
        <v>74.680015306395177</v>
      </c>
      <c r="M6" s="45" t="s">
        <v>738</v>
      </c>
      <c r="N6" s="133">
        <v>5.515250921123247</v>
      </c>
      <c r="O6" s="133">
        <v>6.2618569410132968E-2</v>
      </c>
      <c r="P6" s="133">
        <v>9.6336260630973738E-3</v>
      </c>
      <c r="Q6" s="133">
        <v>0.83330865445792324</v>
      </c>
      <c r="R6" s="133">
        <v>0.83330865445792324</v>
      </c>
      <c r="S6" s="133">
        <v>4.3351317283938207E-2</v>
      </c>
      <c r="T6" s="133">
        <v>6.0836348588459943</v>
      </c>
      <c r="U6" s="45">
        <v>775.02590204172816</v>
      </c>
      <c r="V6" s="134">
        <v>68.812183130932837</v>
      </c>
      <c r="W6" t="s">
        <v>738</v>
      </c>
    </row>
    <row r="7" spans="1:23" x14ac:dyDescent="0.25">
      <c r="A7" s="812" t="s">
        <v>1996</v>
      </c>
      <c r="B7" s="812">
        <v>2104008210</v>
      </c>
      <c r="C7" s="812" t="s">
        <v>138</v>
      </c>
      <c r="D7" s="133">
        <v>0.12346050550650504</v>
      </c>
      <c r="E7" s="133">
        <v>6.5224418003436589E-3</v>
      </c>
      <c r="F7" s="133">
        <v>9.3177740004909417E-4</v>
      </c>
      <c r="G7" s="133">
        <v>7.1280971103755725E-2</v>
      </c>
      <c r="H7" s="133">
        <v>7.1280971103755725E-2</v>
      </c>
      <c r="I7" s="133">
        <v>3.9600539502086512E-3</v>
      </c>
      <c r="J7" s="133">
        <v>0.53763555982832745</v>
      </c>
      <c r="K7" s="45">
        <v>74.961558113764013</v>
      </c>
      <c r="L7" s="134">
        <v>6.6556078333839563</v>
      </c>
      <c r="M7" s="45" t="s">
        <v>738</v>
      </c>
      <c r="N7" s="133">
        <v>0.10729100997574541</v>
      </c>
      <c r="O7" s="133">
        <v>5.668204300605416E-3</v>
      </c>
      <c r="P7" s="133">
        <v>8.0974347151505956E-4</v>
      </c>
      <c r="Q7" s="133">
        <v>6.1945375570902059E-2</v>
      </c>
      <c r="R7" s="133">
        <v>6.1945375570902059E-2</v>
      </c>
      <c r="S7" s="133">
        <v>3.441409753939004E-3</v>
      </c>
      <c r="T7" s="133">
        <v>0.46722198306418944</v>
      </c>
      <c r="U7" s="45">
        <v>65.143919882601722</v>
      </c>
      <c r="V7" s="134">
        <v>5.7839297151478357</v>
      </c>
      <c r="W7" t="s">
        <v>738</v>
      </c>
    </row>
    <row r="8" spans="1:23" x14ac:dyDescent="0.25">
      <c r="A8" s="812" t="s">
        <v>1996</v>
      </c>
      <c r="B8" s="812">
        <v>2104008220</v>
      </c>
      <c r="C8" s="812" t="s">
        <v>139</v>
      </c>
      <c r="D8" s="133">
        <v>5.8853379983676055E-2</v>
      </c>
      <c r="E8" s="133">
        <v>9.8088966639460103E-3</v>
      </c>
      <c r="F8" s="133">
        <v>1.9617793327892014E-3</v>
      </c>
      <c r="G8" s="133">
        <v>5.8853379983676055E-2</v>
      </c>
      <c r="H8" s="133">
        <v>5.8853379983676055E-2</v>
      </c>
      <c r="I8" s="133">
        <v>4.4140034987757053E-3</v>
      </c>
      <c r="J8" s="133">
        <v>0.69054632514179903</v>
      </c>
      <c r="K8" s="45">
        <v>157.82528686949331</v>
      </c>
      <c r="L8" s="134">
        <v>14.012825267059069</v>
      </c>
      <c r="M8" s="45" t="s">
        <v>738</v>
      </c>
      <c r="N8" s="133">
        <v>5.1145413288480504E-2</v>
      </c>
      <c r="O8" s="133">
        <v>8.5242355480800811E-3</v>
      </c>
      <c r="P8" s="133">
        <v>1.7048471096160164E-3</v>
      </c>
      <c r="Q8" s="133">
        <v>5.1145413288480504E-2</v>
      </c>
      <c r="R8" s="133">
        <v>5.1145413288480504E-2</v>
      </c>
      <c r="S8" s="133">
        <v>3.8359059966360382E-3</v>
      </c>
      <c r="T8" s="133">
        <v>0.60010618258483805</v>
      </c>
      <c r="U8" s="45">
        <v>137.15507123893548</v>
      </c>
      <c r="V8" s="134">
        <v>12.177579942252839</v>
      </c>
      <c r="W8" t="s">
        <v>738</v>
      </c>
    </row>
    <row r="9" spans="1:23" x14ac:dyDescent="0.25">
      <c r="A9" s="812" t="s">
        <v>1996</v>
      </c>
      <c r="B9" s="812">
        <v>2104008230</v>
      </c>
      <c r="C9" s="812" t="s">
        <v>140</v>
      </c>
      <c r="D9" s="133">
        <v>4.4292554846635357E-2</v>
      </c>
      <c r="E9" s="133">
        <v>5.9056739795513812E-3</v>
      </c>
      <c r="F9" s="133">
        <v>1.181134795910276E-3</v>
      </c>
      <c r="G9" s="133">
        <v>3.8386880867083965E-2</v>
      </c>
      <c r="H9" s="133">
        <v>3.8386880867083965E-2</v>
      </c>
      <c r="I9" s="133">
        <v>2.6575532907981217E-3</v>
      </c>
      <c r="J9" s="133">
        <v>0.31595355790599888</v>
      </c>
      <c r="K9" s="45">
        <v>95.022378348253426</v>
      </c>
      <c r="L9" s="134">
        <v>8.4367468018956</v>
      </c>
      <c r="M9" s="45" t="s">
        <v>738</v>
      </c>
      <c r="N9" s="133">
        <v>3.8491604456059959E-2</v>
      </c>
      <c r="O9" s="133">
        <v>5.1322139274746605E-3</v>
      </c>
      <c r="P9" s="133">
        <v>1.0264427854949324E-3</v>
      </c>
      <c r="Q9" s="133">
        <v>3.3359390528585289E-2</v>
      </c>
      <c r="R9" s="133">
        <v>3.3359390528585289E-2</v>
      </c>
      <c r="S9" s="133">
        <v>2.3094962673635981E-3</v>
      </c>
      <c r="T9" s="133">
        <v>0.2745734451198944</v>
      </c>
      <c r="U9" s="45">
        <v>82.577395106683284</v>
      </c>
      <c r="V9" s="134">
        <v>7.3317947433588397</v>
      </c>
      <c r="W9" t="s">
        <v>738</v>
      </c>
    </row>
    <row r="10" spans="1:23" x14ac:dyDescent="0.25">
      <c r="A10" s="812" t="s">
        <v>1996</v>
      </c>
      <c r="B10" s="812">
        <v>2104008310</v>
      </c>
      <c r="C10" s="812" t="s">
        <v>141</v>
      </c>
      <c r="D10" s="133">
        <v>2.5055347432104167</v>
      </c>
      <c r="E10" s="133">
        <v>6.8648939995881619E-2</v>
      </c>
      <c r="F10" s="133">
        <v>1.8909696175172956E-2</v>
      </c>
      <c r="G10" s="133">
        <v>0.57400521656856163</v>
      </c>
      <c r="H10" s="133">
        <v>0.57400521656856163</v>
      </c>
      <c r="I10" s="133">
        <v>1.876922290812218E-2</v>
      </c>
      <c r="J10" s="133">
        <v>5.7282500496815816</v>
      </c>
      <c r="K10" s="45">
        <v>1521.2864023898426</v>
      </c>
      <c r="L10" s="134">
        <v>135.07037408694453</v>
      </c>
      <c r="M10" s="45" t="s">
        <v>738</v>
      </c>
      <c r="N10" s="133">
        <v>2.1773874327300686</v>
      </c>
      <c r="O10" s="133">
        <v>5.965805887239304E-2</v>
      </c>
      <c r="P10" s="133">
        <v>1.643311269984957E-2</v>
      </c>
      <c r="Q10" s="133">
        <v>0.49882834323679753</v>
      </c>
      <c r="R10" s="133">
        <v>0.49882834323679753</v>
      </c>
      <c r="S10" s="133">
        <v>1.6311037072225674E-2</v>
      </c>
      <c r="T10" s="133">
        <v>4.9780270273684293</v>
      </c>
      <c r="U10" s="45">
        <v>1322.0450856340819</v>
      </c>
      <c r="V10" s="134">
        <v>117.3803459992027</v>
      </c>
      <c r="W10" t="s">
        <v>738</v>
      </c>
    </row>
    <row r="11" spans="1:23" x14ac:dyDescent="0.25">
      <c r="A11" s="812" t="s">
        <v>1996</v>
      </c>
      <c r="B11" s="812">
        <v>2104008320</v>
      </c>
      <c r="C11" s="812" t="s">
        <v>142</v>
      </c>
      <c r="D11" s="133">
        <v>1.194383480769851</v>
      </c>
      <c r="E11" s="133">
        <v>0.1601309570608257</v>
      </c>
      <c r="F11" s="133">
        <v>3.9812782692328387E-2</v>
      </c>
      <c r="G11" s="133">
        <v>0.78880322455060892</v>
      </c>
      <c r="H11" s="133">
        <v>0.78880322455060892</v>
      </c>
      <c r="I11" s="133">
        <v>2.4857283698856474E-2</v>
      </c>
      <c r="J11" s="133">
        <v>12.306225535474779</v>
      </c>
      <c r="K11" s="45">
        <v>3202.9411995873529</v>
      </c>
      <c r="L11" s="134">
        <v>284.37936822884132</v>
      </c>
      <c r="M11" s="45" t="s">
        <v>738</v>
      </c>
      <c r="N11" s="133">
        <v>1.0379563037135926</v>
      </c>
      <c r="O11" s="133">
        <v>0.13915877017475417</v>
      </c>
      <c r="P11" s="133">
        <v>3.4598543457119747E-2</v>
      </c>
      <c r="Q11" s="133">
        <v>0.68549447685276443</v>
      </c>
      <c r="R11" s="133">
        <v>0.68549447685276443</v>
      </c>
      <c r="S11" s="133">
        <v>2.1601750797654265E-2</v>
      </c>
      <c r="T11" s="133">
        <v>10.694491823709802</v>
      </c>
      <c r="U11" s="45">
        <v>2783.45528221206</v>
      </c>
      <c r="V11" s="134">
        <v>247.13449461722141</v>
      </c>
      <c r="W11" t="s">
        <v>738</v>
      </c>
    </row>
    <row r="12" spans="1:23" x14ac:dyDescent="0.25">
      <c r="A12" s="812" t="s">
        <v>1996</v>
      </c>
      <c r="B12" s="812">
        <v>2104008330</v>
      </c>
      <c r="C12" s="812" t="s">
        <v>143</v>
      </c>
      <c r="D12" s="133">
        <v>0.89888288225055524</v>
      </c>
      <c r="E12" s="133">
        <v>9.6410560620009703E-2</v>
      </c>
      <c r="F12" s="133">
        <v>2.3970210193348135E-2</v>
      </c>
      <c r="G12" s="133">
        <v>0.52696302682303209</v>
      </c>
      <c r="H12" s="133">
        <v>0.52696302682303209</v>
      </c>
      <c r="I12" s="133">
        <v>1.4965904787461366E-2</v>
      </c>
      <c r="J12" s="133">
        <v>7.4092488096522757</v>
      </c>
      <c r="K12" s="45">
        <v>1928.4051151199096</v>
      </c>
      <c r="L12" s="134">
        <v>171.21720136408331</v>
      </c>
      <c r="M12" s="45" t="s">
        <v>738</v>
      </c>
      <c r="N12" s="133">
        <v>0.78115711490821371</v>
      </c>
      <c r="O12" s="133">
        <v>8.3783768572887066E-2</v>
      </c>
      <c r="P12" s="133">
        <v>2.0830856397552361E-2</v>
      </c>
      <c r="Q12" s="133">
        <v>0.4579472207388619</v>
      </c>
      <c r="R12" s="133">
        <v>0.4579472207388619</v>
      </c>
      <c r="S12" s="133">
        <v>1.3005835617309777E-2</v>
      </c>
      <c r="T12" s="133">
        <v>6.438867107241002</v>
      </c>
      <c r="U12" s="45">
        <v>1675.8438789375225</v>
      </c>
      <c r="V12" s="134">
        <v>148.7930604545044</v>
      </c>
      <c r="W12" t="s">
        <v>738</v>
      </c>
    </row>
    <row r="13" spans="1:23" x14ac:dyDescent="0.25">
      <c r="A13" s="812" t="s">
        <v>1996</v>
      </c>
      <c r="B13" s="812">
        <v>2104008410</v>
      </c>
      <c r="C13" s="812" t="s">
        <v>144</v>
      </c>
      <c r="D13" s="133">
        <v>1.5061623143485428E-2</v>
      </c>
      <c r="E13" s="133">
        <v>2.6302285876828781E-2</v>
      </c>
      <c r="F13" s="133">
        <v>2.1020807893569449E-3</v>
      </c>
      <c r="G13" s="133">
        <v>1.9444247301551743E-2</v>
      </c>
      <c r="H13" s="133">
        <v>1.9444247301551743E-2</v>
      </c>
      <c r="I13" s="133">
        <v>4.7217989730930399E-4</v>
      </c>
      <c r="J13" s="133">
        <v>6.5243332499666212E-2</v>
      </c>
      <c r="K13" s="45">
        <v>201.95144221114535</v>
      </c>
      <c r="L13" s="134">
        <v>17.930651850963709</v>
      </c>
      <c r="M13" s="45" t="s">
        <v>738</v>
      </c>
      <c r="N13" s="133">
        <v>1.3089017838611302E-2</v>
      </c>
      <c r="O13" s="133">
        <v>2.2857502525348516E-2</v>
      </c>
      <c r="P13" s="133">
        <v>1.8267734285992827E-3</v>
      </c>
      <c r="Q13" s="133">
        <v>1.6897654214543364E-2</v>
      </c>
      <c r="R13" s="133">
        <v>1.6897654214543364E-2</v>
      </c>
      <c r="S13" s="133">
        <v>4.1033898139911399E-4</v>
      </c>
      <c r="T13" s="133">
        <v>5.6698480290150233E-2</v>
      </c>
      <c r="U13" s="45">
        <v>175.50206936217779</v>
      </c>
      <c r="V13" s="134">
        <v>15.582292804657294</v>
      </c>
      <c r="W13" t="s">
        <v>738</v>
      </c>
    </row>
    <row r="14" spans="1:23" x14ac:dyDescent="0.25">
      <c r="A14" s="812" t="s">
        <v>1996</v>
      </c>
      <c r="B14" s="812">
        <v>2104008420</v>
      </c>
      <c r="C14" s="812" t="s">
        <v>145</v>
      </c>
      <c r="D14" s="133">
        <v>5.0803322957085263E-2</v>
      </c>
      <c r="E14" s="133">
        <v>8.8718427700674327E-2</v>
      </c>
      <c r="F14" s="133">
        <v>7.0903838322217251E-3</v>
      </c>
      <c r="G14" s="133">
        <v>6.558605044805095E-2</v>
      </c>
      <c r="H14" s="133">
        <v>6.558605044805095E-2</v>
      </c>
      <c r="I14" s="133">
        <v>1.5926774683128052E-3</v>
      </c>
      <c r="J14" s="133">
        <v>0.2200677881925818</v>
      </c>
      <c r="K14" s="45">
        <v>681.18849094558641</v>
      </c>
      <c r="L14" s="134">
        <v>60.480645952795172</v>
      </c>
      <c r="M14" s="45" t="s">
        <v>738</v>
      </c>
      <c r="N14" s="133">
        <v>4.414966395794042E-2</v>
      </c>
      <c r="O14" s="133">
        <v>7.7099066397099486E-2</v>
      </c>
      <c r="P14" s="133">
        <v>6.1617635482197385E-3</v>
      </c>
      <c r="Q14" s="133">
        <v>5.699631282103259E-2</v>
      </c>
      <c r="R14" s="133">
        <v>5.699631282103259E-2</v>
      </c>
      <c r="S14" s="133">
        <v>1.384086137018859E-3</v>
      </c>
      <c r="T14" s="133">
        <v>0.19124573612787013</v>
      </c>
      <c r="U14" s="45">
        <v>591.97393431663102</v>
      </c>
      <c r="V14" s="134">
        <v>52.559557905900292</v>
      </c>
      <c r="W14" t="s">
        <v>738</v>
      </c>
    </row>
    <row r="15" spans="1:23" x14ac:dyDescent="0.25">
      <c r="A15" s="812" t="s">
        <v>1996</v>
      </c>
      <c r="B15" s="812">
        <v>2104008610</v>
      </c>
      <c r="C15" s="812" t="s">
        <v>146</v>
      </c>
      <c r="D15" s="133">
        <v>1.28786390449051</v>
      </c>
      <c r="E15" s="133">
        <v>4.5748486225781489E-2</v>
      </c>
      <c r="F15" s="133">
        <v>1.1346818541766607E-2</v>
      </c>
      <c r="G15" s="133">
        <v>0.27998706155881209</v>
      </c>
      <c r="H15" s="133">
        <v>0.27998706155881209</v>
      </c>
      <c r="I15" s="133">
        <v>6.9147106426493046E-3</v>
      </c>
      <c r="J15" s="133">
        <v>1.7182109039546904</v>
      </c>
      <c r="K15" s="45">
        <v>912.85235881462279</v>
      </c>
      <c r="L15" s="134">
        <v>81.049373344523133</v>
      </c>
      <c r="M15" s="45" t="s">
        <v>738</v>
      </c>
      <c r="N15" s="133">
        <v>1.1774058472173135</v>
      </c>
      <c r="O15" s="133">
        <v>4.1824710666834852E-2</v>
      </c>
      <c r="P15" s="133">
        <v>1.0373619799271476E-2</v>
      </c>
      <c r="Q15" s="133">
        <v>0.25597301257927163</v>
      </c>
      <c r="R15" s="133">
        <v>0.25597301257927163</v>
      </c>
      <c r="S15" s="133">
        <v>6.3216468091726622E-3</v>
      </c>
      <c r="T15" s="133">
        <v>1.5708426628115855</v>
      </c>
      <c r="U15" s="45">
        <v>834.55845075466505</v>
      </c>
      <c r="V15" s="134">
        <v>74.097896335477103</v>
      </c>
      <c r="W15" t="s">
        <v>738</v>
      </c>
    </row>
    <row r="16" spans="1:23" x14ac:dyDescent="0.25">
      <c r="A16" s="812" t="s">
        <v>1996</v>
      </c>
      <c r="B16" s="812">
        <v>2104004000</v>
      </c>
      <c r="C16" s="812" t="s">
        <v>568</v>
      </c>
      <c r="D16" s="133">
        <v>0.10208958917447067</v>
      </c>
      <c r="E16" s="133">
        <v>1.5995575864284157</v>
      </c>
      <c r="F16" s="133">
        <v>4.1383624109407133</v>
      </c>
      <c r="G16" s="133">
        <v>6.5377013069281301E-2</v>
      </c>
      <c r="H16" s="133">
        <v>6.5377013069281301E-2</v>
      </c>
      <c r="I16" s="133">
        <v>3.5074767511669427E-3</v>
      </c>
      <c r="J16" s="133">
        <v>6.4123953652120064E-2</v>
      </c>
      <c r="K16" s="45">
        <v>38433.411616248639</v>
      </c>
      <c r="L16" s="134">
        <v>286.36630904479864</v>
      </c>
      <c r="M16" s="45" t="s">
        <v>1997</v>
      </c>
      <c r="N16" s="133">
        <v>9.4223496429897469E-2</v>
      </c>
      <c r="O16" s="133">
        <v>1.4763102658458183</v>
      </c>
      <c r="P16" s="133">
        <v>3.8194979429930287</v>
      </c>
      <c r="Q16" s="133">
        <v>6.033965664219966E-2</v>
      </c>
      <c r="R16" s="133">
        <v>6.033965664219966E-2</v>
      </c>
      <c r="S16" s="133">
        <v>3.237222578854013E-3</v>
      </c>
      <c r="T16" s="133">
        <v>5.9183146556557521E-2</v>
      </c>
      <c r="U16" s="45">
        <v>35472.083407285958</v>
      </c>
      <c r="V16" s="134">
        <v>264.30153276268578</v>
      </c>
      <c r="W16" t="s">
        <v>1997</v>
      </c>
    </row>
    <row r="17" spans="1:23" x14ac:dyDescent="0.25">
      <c r="A17" s="812" t="s">
        <v>1996</v>
      </c>
      <c r="B17" s="812">
        <v>2103004001</v>
      </c>
      <c r="C17" s="812" t="s">
        <v>148</v>
      </c>
      <c r="D17" s="133">
        <v>3.2997829132616882E-2</v>
      </c>
      <c r="E17" s="133">
        <v>0.83304477473647121</v>
      </c>
      <c r="F17" s="133">
        <v>0.58883307099594828</v>
      </c>
      <c r="G17" s="133">
        <v>2.1131434888764112E-2</v>
      </c>
      <c r="H17" s="133">
        <v>2.1131434888764112E-2</v>
      </c>
      <c r="I17" s="133">
        <v>1.1337014817821946E-3</v>
      </c>
      <c r="J17" s="133">
        <v>2.0726415720062803E-2</v>
      </c>
      <c r="K17" s="45">
        <v>12819.633477889029</v>
      </c>
      <c r="L17" s="134">
        <v>95.51874184435313</v>
      </c>
      <c r="M17" s="45" t="s">
        <v>1997</v>
      </c>
      <c r="N17" s="133">
        <v>3.2456597557862732E-2</v>
      </c>
      <c r="O17" s="133">
        <v>0.81938114451827371</v>
      </c>
      <c r="P17" s="133">
        <v>0.57917500988527237</v>
      </c>
      <c r="Q17" s="133">
        <v>2.0784836337214081E-2</v>
      </c>
      <c r="R17" s="133">
        <v>2.0784836337214081E-2</v>
      </c>
      <c r="S17" s="133">
        <v>1.1151064694915353E-3</v>
      </c>
      <c r="T17" s="133">
        <v>2.0386460307417479E-2</v>
      </c>
      <c r="U17" s="45">
        <v>12609.365390642328</v>
      </c>
      <c r="V17" s="134">
        <v>93.952040021054927</v>
      </c>
      <c r="W17" t="s">
        <v>1997</v>
      </c>
    </row>
    <row r="18" spans="1:23" x14ac:dyDescent="0.25">
      <c r="A18" s="812" t="s">
        <v>1996</v>
      </c>
      <c r="B18" s="812">
        <v>2104004000</v>
      </c>
      <c r="C18" s="812" t="s">
        <v>746</v>
      </c>
      <c r="D18" s="133">
        <v>6.8426515745002544E-4</v>
      </c>
      <c r="E18" s="133">
        <v>1.7274576204909482E-2</v>
      </c>
      <c r="F18" s="133">
        <v>2.7737766696937016E-2</v>
      </c>
      <c r="G18" s="133">
        <v>3.8387947122021064E-4</v>
      </c>
      <c r="H18" s="133">
        <v>3.8387947122021064E-4</v>
      </c>
      <c r="I18" s="133">
        <v>2.3509195705429714E-5</v>
      </c>
      <c r="J18" s="133">
        <v>4.2979688327571887E-4</v>
      </c>
      <c r="K18" s="45">
        <v>262.94784079906384</v>
      </c>
      <c r="L18" s="134">
        <v>1.9193973561010531</v>
      </c>
      <c r="M18" s="45" t="s">
        <v>1997</v>
      </c>
      <c r="N18" s="133">
        <v>6.4553167044164271E-4</v>
      </c>
      <c r="O18" s="133">
        <v>1.6296732213113001E-2</v>
      </c>
      <c r="P18" s="133">
        <v>2.6167643749275726E-2</v>
      </c>
      <c r="Q18" s="133">
        <v>3.6214960473584449E-4</v>
      </c>
      <c r="R18" s="133">
        <v>3.6214960473584449E-4</v>
      </c>
      <c r="S18" s="133">
        <v>2.217843508358659E-5</v>
      </c>
      <c r="T18" s="133">
        <v>4.0546781754242651E-4</v>
      </c>
      <c r="U18" s="45">
        <v>248.06342550393515</v>
      </c>
      <c r="V18" s="134">
        <v>1.8107480236792224</v>
      </c>
      <c r="W18" t="s">
        <v>1997</v>
      </c>
    </row>
    <row r="19" spans="1:23" x14ac:dyDescent="0.25">
      <c r="A19" s="812" t="s">
        <v>1996</v>
      </c>
      <c r="B19" s="812">
        <v>2104004000</v>
      </c>
      <c r="C19" s="812" t="s">
        <v>747</v>
      </c>
      <c r="D19" s="133">
        <v>2.9239984108301005E-3</v>
      </c>
      <c r="E19" s="133">
        <v>4.5813719876517146E-2</v>
      </c>
      <c r="F19" s="133">
        <v>0.11852888439339154</v>
      </c>
      <c r="G19" s="133">
        <v>1.8724953628004287E-3</v>
      </c>
      <c r="H19" s="133">
        <v>1.8724953628004287E-3</v>
      </c>
      <c r="I19" s="133">
        <v>1.0045937621424304E-4</v>
      </c>
      <c r="J19" s="133">
        <v>1.8366058683467541E-3</v>
      </c>
      <c r="K19" s="45">
        <v>1025.2448845827842</v>
      </c>
      <c r="L19" s="134">
        <v>8.2019590766622752</v>
      </c>
      <c r="M19" s="45" t="s">
        <v>1997</v>
      </c>
      <c r="N19" s="133">
        <v>2.415828606783894E-3</v>
      </c>
      <c r="O19" s="133">
        <v>3.7851626270020228E-2</v>
      </c>
      <c r="P19" s="133">
        <v>9.7929420408421175E-2</v>
      </c>
      <c r="Q19" s="133">
        <v>1.5470691935975569E-3</v>
      </c>
      <c r="R19" s="133">
        <v>1.5470691935975569E-3</v>
      </c>
      <c r="S19" s="133">
        <v>8.3000262236508968E-5</v>
      </c>
      <c r="T19" s="133">
        <v>1.517417034053604E-3</v>
      </c>
      <c r="U19" s="45">
        <v>847.06472888635858</v>
      </c>
      <c r="V19" s="134">
        <v>6.7765178310908665</v>
      </c>
      <c r="W19" t="s">
        <v>1997</v>
      </c>
    </row>
    <row r="20" spans="1:23" x14ac:dyDescent="0.25">
      <c r="A20" s="812" t="s">
        <v>1996</v>
      </c>
      <c r="B20" s="812">
        <v>2104006010</v>
      </c>
      <c r="C20" s="812" t="s">
        <v>149</v>
      </c>
      <c r="D20" s="133">
        <v>6.696968393896137E-4</v>
      </c>
      <c r="E20" s="133">
        <v>1.1445727800477036E-2</v>
      </c>
      <c r="F20" s="133">
        <v>7.3057837024321479E-5</v>
      </c>
      <c r="G20" s="133">
        <v>6.0311679724811488E-6</v>
      </c>
      <c r="H20" s="133">
        <v>6.0311679724811488E-6</v>
      </c>
      <c r="I20" s="133">
        <v>2.4352612341440507E-3</v>
      </c>
      <c r="J20" s="133">
        <v>4.8705224682881014E-3</v>
      </c>
      <c r="K20" s="45">
        <v>300.62303278688512</v>
      </c>
      <c r="L20" s="134">
        <v>296.18032786885283</v>
      </c>
      <c r="M20" s="45" t="s">
        <v>1998</v>
      </c>
      <c r="N20" s="133">
        <v>6.696968393896137E-4</v>
      </c>
      <c r="O20" s="133">
        <v>1.1445727800477036E-2</v>
      </c>
      <c r="P20" s="133">
        <v>7.3057837024321479E-5</v>
      </c>
      <c r="Q20" s="133">
        <v>6.0311679724811488E-6</v>
      </c>
      <c r="R20" s="133">
        <v>6.0311679724811488E-6</v>
      </c>
      <c r="S20" s="133">
        <v>2.4352612341440507E-3</v>
      </c>
      <c r="T20" s="133">
        <v>4.8705224682881014E-3</v>
      </c>
      <c r="U20" s="45">
        <v>300.62303278688512</v>
      </c>
      <c r="V20" s="134">
        <v>296.18032786885283</v>
      </c>
      <c r="W20" t="s">
        <v>1998</v>
      </c>
    </row>
    <row r="21" spans="1:23" x14ac:dyDescent="0.25">
      <c r="A21" s="812" t="s">
        <v>1996</v>
      </c>
      <c r="B21" s="812">
        <v>2103006000</v>
      </c>
      <c r="C21" s="812" t="s">
        <v>150</v>
      </c>
      <c r="D21" s="133">
        <v>5.2612909836065617E-3</v>
      </c>
      <c r="E21" s="133">
        <v>9.5659836065573808E-2</v>
      </c>
      <c r="F21" s="133">
        <v>5.7395901639344256E-4</v>
      </c>
      <c r="G21" s="133">
        <v>7.2701475409836002E-3</v>
      </c>
      <c r="H21" s="133">
        <v>7.2701475409836002E-3</v>
      </c>
      <c r="I21" s="133">
        <v>1.9131967213114765E-2</v>
      </c>
      <c r="J21" s="133">
        <v>3.826393442622953E-2</v>
      </c>
      <c r="K21" s="45">
        <v>1941.894672131147</v>
      </c>
      <c r="L21" s="134">
        <v>1913.196721311476</v>
      </c>
      <c r="M21" s="45" t="s">
        <v>1998</v>
      </c>
      <c r="N21" s="133">
        <v>5.2612909836065617E-3</v>
      </c>
      <c r="O21" s="133">
        <v>9.5659836065573808E-2</v>
      </c>
      <c r="P21" s="133">
        <v>5.7395901639344256E-4</v>
      </c>
      <c r="Q21" s="133">
        <v>7.2701475409836002E-3</v>
      </c>
      <c r="R21" s="133">
        <v>7.2701475409836002E-3</v>
      </c>
      <c r="S21" s="133">
        <v>1.9131967213114765E-2</v>
      </c>
      <c r="T21" s="133">
        <v>3.826393442622953E-2</v>
      </c>
      <c r="U21" s="45">
        <v>1941.894672131147</v>
      </c>
      <c r="V21" s="134">
        <v>1913.196721311476</v>
      </c>
      <c r="W21" t="s">
        <v>1998</v>
      </c>
    </row>
    <row r="22" spans="1:23" x14ac:dyDescent="0.25">
      <c r="A22" s="812" t="s">
        <v>1996</v>
      </c>
      <c r="B22" s="812">
        <v>2104002000</v>
      </c>
      <c r="C22" s="812" t="s">
        <v>151</v>
      </c>
      <c r="D22" s="133">
        <v>0.15516049648649952</v>
      </c>
      <c r="E22" s="133">
        <v>7.3235754341627754E-2</v>
      </c>
      <c r="F22" s="133">
        <v>0.14429926173244451</v>
      </c>
      <c r="G22" s="133">
        <v>0.12397323669271311</v>
      </c>
      <c r="H22" s="133">
        <v>0.12397323669271311</v>
      </c>
      <c r="I22" s="133">
        <v>1.9642543052708409E-2</v>
      </c>
      <c r="J22" s="133">
        <v>2.026008182872467</v>
      </c>
      <c r="K22" s="45">
        <v>471.68790931895848</v>
      </c>
      <c r="L22" s="134">
        <v>31.032099297299894</v>
      </c>
      <c r="M22" s="45" t="s">
        <v>738</v>
      </c>
      <c r="N22" s="133">
        <v>0.13584219852825913</v>
      </c>
      <c r="O22" s="133">
        <v>6.4117517705338301E-2</v>
      </c>
      <c r="P22" s="133">
        <v>0.12633324463128096</v>
      </c>
      <c r="Q22" s="133">
        <v>0.10853791662407904</v>
      </c>
      <c r="R22" s="133">
        <v>0.10853791662407904</v>
      </c>
      <c r="S22" s="133">
        <v>1.7196943122684966E-2</v>
      </c>
      <c r="T22" s="133">
        <v>1.773759507282743</v>
      </c>
      <c r="U22" s="45">
        <v>412.96028352590764</v>
      </c>
      <c r="V22" s="134">
        <v>27.168439705651821</v>
      </c>
      <c r="W22" t="s">
        <v>738</v>
      </c>
    </row>
    <row r="23" spans="1:23" x14ac:dyDescent="0.25">
      <c r="A23" s="812" t="s">
        <v>1996</v>
      </c>
      <c r="B23" s="812">
        <v>2103002000</v>
      </c>
      <c r="C23" s="812"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3.7940475162931149E-4</v>
      </c>
      <c r="O23" s="133">
        <v>1.7907904276903502E-4</v>
      </c>
      <c r="P23" s="133">
        <v>3.5284641901525964E-4</v>
      </c>
      <c r="Q23" s="133">
        <v>3.0314439655181985E-4</v>
      </c>
      <c r="R23" s="133">
        <v>3.0314439655181985E-4</v>
      </c>
      <c r="S23" s="133">
        <v>4.8030744532512695E-5</v>
      </c>
      <c r="T23" s="133">
        <v>4.9540775443997339E-3</v>
      </c>
      <c r="U23" s="45">
        <v>17.43676104884138</v>
      </c>
      <c r="V23" s="134">
        <v>1.1533904449531067</v>
      </c>
      <c r="W23" t="s">
        <v>738</v>
      </c>
    </row>
    <row r="24" spans="1:23" x14ac:dyDescent="0.25">
      <c r="A24" s="812" t="s">
        <v>1996</v>
      </c>
      <c r="B24" s="812">
        <v>2103008000</v>
      </c>
      <c r="C24" s="812" t="s">
        <v>153</v>
      </c>
      <c r="D24" s="133">
        <v>1.2267802496122727E-3</v>
      </c>
      <c r="E24" s="133">
        <v>4.8776475754854209E-5</v>
      </c>
      <c r="F24" s="133">
        <v>1.0633485245822149E-5</v>
      </c>
      <c r="G24" s="133">
        <v>3.4500168382878608E-4</v>
      </c>
      <c r="H24" s="133">
        <v>3.4500168382878608E-4</v>
      </c>
      <c r="I24" s="133">
        <v>1.2632663031087653E-5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5.2382327984415986E-4</v>
      </c>
      <c r="E25" s="135">
        <v>2.734616428960358E-2</v>
      </c>
      <c r="F25" s="135">
        <v>1.9363248899601764E-2</v>
      </c>
      <c r="G25" s="135">
        <v>2.7260720241086742E-3</v>
      </c>
      <c r="H25" s="135">
        <v>2.7260720241086742E-3</v>
      </c>
      <c r="I25" s="135">
        <v>1.9058091583470187E-5</v>
      </c>
      <c r="J25" s="135">
        <v>6.5100227441401174E-3</v>
      </c>
      <c r="K25" s="88">
        <v>145.09904851683226</v>
      </c>
      <c r="L25" s="136">
        <v>1.0476465596883191</v>
      </c>
      <c r="M25" s="88" t="s">
        <v>1997</v>
      </c>
      <c r="N25" s="135">
        <v>5.2382327984415986E-4</v>
      </c>
      <c r="O25" s="135">
        <v>2.734616428960358E-2</v>
      </c>
      <c r="P25" s="135">
        <v>1.9363248899601764E-2</v>
      </c>
      <c r="Q25" s="135">
        <v>2.7260720241086742E-3</v>
      </c>
      <c r="R25" s="135">
        <v>2.7260720241086742E-3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12.466629433466851</v>
      </c>
      <c r="E26" s="137">
        <v>3.2797713379383473</v>
      </c>
      <c r="F26" s="137">
        <v>5.1559174512172481</v>
      </c>
      <c r="G26" s="137">
        <v>3.551083669876085</v>
      </c>
      <c r="H26" s="137">
        <v>3.551083669876085</v>
      </c>
      <c r="I26" s="137">
        <v>0.17170904575654325</v>
      </c>
      <c r="J26" s="137">
        <v>37.764253130536254</v>
      </c>
      <c r="K26" s="87">
        <v>65047.687044279191</v>
      </c>
      <c r="L26" s="87"/>
      <c r="M26" s="87"/>
      <c r="N26" s="137">
        <v>11.216747913539949</v>
      </c>
      <c r="O26" s="137">
        <v>3.0549541177978043</v>
      </c>
      <c r="P26" s="137">
        <v>4.7728743883794627</v>
      </c>
      <c r="Q26" s="137">
        <v>3.1540698191323582</v>
      </c>
      <c r="R26" s="137">
        <v>3.1540698191323582</v>
      </c>
      <c r="S26" s="137">
        <v>0.1552730386066879</v>
      </c>
      <c r="T26" s="137">
        <v>33.267718802886066</v>
      </c>
      <c r="U26" s="87">
        <v>60446.970149301596</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3.7653687530533699</v>
      </c>
      <c r="E28" s="133">
        <v>4.2750911606719504E-2</v>
      </c>
      <c r="F28" s="133">
        <v>6.5770633241106916E-3</v>
      </c>
      <c r="G28" s="133">
        <v>0.56891597753557488</v>
      </c>
      <c r="H28" s="133">
        <v>0.56891597753557488</v>
      </c>
      <c r="I28" s="133">
        <v>2.9596784958498115E-2</v>
      </c>
      <c r="J28" s="133">
        <v>4.1534154891759005</v>
      </c>
      <c r="K28" s="45">
        <v>526.0916817835564</v>
      </c>
      <c r="L28" s="134">
        <v>46.979411797610666</v>
      </c>
      <c r="M28" s="45" t="s">
        <v>738</v>
      </c>
      <c r="N28" s="133">
        <v>3.482222196612399</v>
      </c>
      <c r="O28" s="133">
        <v>3.9536147210446466E-2</v>
      </c>
      <c r="P28" s="133">
        <v>6.0824841862225313E-3</v>
      </c>
      <c r="Q28" s="133">
        <v>0.52613488210824899</v>
      </c>
      <c r="R28" s="133">
        <v>0.52613488210824899</v>
      </c>
      <c r="S28" s="133">
        <v>2.7371178838001393E-2</v>
      </c>
      <c r="T28" s="133">
        <v>3.841088763599529</v>
      </c>
      <c r="U28" s="45">
        <v>486.53086906144011</v>
      </c>
      <c r="V28" s="134">
        <v>43.446674489125542</v>
      </c>
      <c r="W28" t="s">
        <v>738</v>
      </c>
    </row>
    <row r="29" spans="1:23" x14ac:dyDescent="0.25">
      <c r="A29" s="812" t="s">
        <v>1999</v>
      </c>
      <c r="B29" s="812">
        <v>2104008210</v>
      </c>
      <c r="C29" s="812" t="s">
        <v>138</v>
      </c>
      <c r="D29" s="133">
        <v>8.878759717405893E-2</v>
      </c>
      <c r="E29" s="133">
        <v>4.6906655110823597E-3</v>
      </c>
      <c r="F29" s="133">
        <v>6.7009507301176558E-4</v>
      </c>
      <c r="G29" s="133">
        <v>5.1262273085400087E-2</v>
      </c>
      <c r="H29" s="133">
        <v>5.1262273085400087E-2</v>
      </c>
      <c r="I29" s="133">
        <v>2.8479040603000033E-3</v>
      </c>
      <c r="J29" s="133">
        <v>0.38664485712778873</v>
      </c>
      <c r="K29" s="45">
        <v>53.60012919798092</v>
      </c>
      <c r="L29" s="134">
        <v>4.7864329150010674</v>
      </c>
      <c r="M29" s="45" t="s">
        <v>738</v>
      </c>
      <c r="N29" s="133">
        <v>7.7474208648190129E-2</v>
      </c>
      <c r="O29" s="133">
        <v>4.0929770606591013E-3</v>
      </c>
      <c r="P29" s="133">
        <v>5.8471100866558585E-4</v>
      </c>
      <c r="Q29" s="133">
        <v>4.4730392162917326E-2</v>
      </c>
      <c r="R29" s="133">
        <v>4.4730392162917326E-2</v>
      </c>
      <c r="S29" s="133">
        <v>2.4850217868287402E-3</v>
      </c>
      <c r="T29" s="133">
        <v>0.33737825200004307</v>
      </c>
      <c r="U29" s="45">
        <v>46.770356730270812</v>
      </c>
      <c r="V29" s="134">
        <v>4.1765417033461674</v>
      </c>
      <c r="W29" t="s">
        <v>738</v>
      </c>
    </row>
    <row r="30" spans="1:23" x14ac:dyDescent="0.25">
      <c r="A30" s="812" t="s">
        <v>1999</v>
      </c>
      <c r="B30" s="812">
        <v>2104008220</v>
      </c>
      <c r="C30" s="812" t="s">
        <v>139</v>
      </c>
      <c r="D30" s="133">
        <v>4.2324872823780314E-2</v>
      </c>
      <c r="E30" s="133">
        <v>7.0541454706300501E-3</v>
      </c>
      <c r="F30" s="133">
        <v>1.4108290941260105E-3</v>
      </c>
      <c r="G30" s="133">
        <v>4.2324872823780314E-2</v>
      </c>
      <c r="H30" s="133">
        <v>4.2324872823780314E-2</v>
      </c>
      <c r="I30" s="133">
        <v>3.1743654617835231E-3</v>
      </c>
      <c r="J30" s="133">
        <v>0.49661184113235551</v>
      </c>
      <c r="K30" s="45">
        <v>112.85058608406862</v>
      </c>
      <c r="L30" s="134">
        <v>10.077433912795392</v>
      </c>
      <c r="M30" s="45" t="s">
        <v>738</v>
      </c>
      <c r="N30" s="133">
        <v>3.6931802780171614E-2</v>
      </c>
      <c r="O30" s="133">
        <v>6.1553004633619337E-3</v>
      </c>
      <c r="P30" s="133">
        <v>1.2310600926723873E-3</v>
      </c>
      <c r="Q30" s="133">
        <v>3.6931802780171614E-2</v>
      </c>
      <c r="R30" s="133">
        <v>3.6931802780171614E-2</v>
      </c>
      <c r="S30" s="133">
        <v>2.7698852085128712E-3</v>
      </c>
      <c r="T30" s="133">
        <v>0.43333315262068023</v>
      </c>
      <c r="U30" s="45">
        <v>98.471071755753272</v>
      </c>
      <c r="V30" s="134">
        <v>8.7933590101294712</v>
      </c>
      <c r="W30" t="s">
        <v>738</v>
      </c>
    </row>
    <row r="31" spans="1:23" x14ac:dyDescent="0.25">
      <c r="A31" s="812" t="s">
        <v>1999</v>
      </c>
      <c r="B31" s="812">
        <v>2104008230</v>
      </c>
      <c r="C31" s="812" t="s">
        <v>140</v>
      </c>
      <c r="D31" s="133">
        <v>3.1853340478391008E-2</v>
      </c>
      <c r="E31" s="133">
        <v>4.2471120637854682E-3</v>
      </c>
      <c r="F31" s="133">
        <v>8.4942241275709344E-4</v>
      </c>
      <c r="G31" s="133">
        <v>2.7606228414605534E-2</v>
      </c>
      <c r="H31" s="133">
        <v>2.7606228414605534E-2</v>
      </c>
      <c r="I31" s="133">
        <v>1.9112004287034604E-3</v>
      </c>
      <c r="J31" s="133">
        <v>0.22722049541252254</v>
      </c>
      <c r="K31" s="45">
        <v>67.944315517510859</v>
      </c>
      <c r="L31" s="134">
        <v>6.0673530651206367</v>
      </c>
      <c r="M31" s="45" t="s">
        <v>738</v>
      </c>
      <c r="N31" s="133">
        <v>2.7794561683281205E-2</v>
      </c>
      <c r="O31" s="133">
        <v>3.7059415577708277E-3</v>
      </c>
      <c r="P31" s="133">
        <v>7.4118831155416533E-4</v>
      </c>
      <c r="Q31" s="133">
        <v>2.4088620125510374E-2</v>
      </c>
      <c r="R31" s="133">
        <v>2.4088620125510374E-2</v>
      </c>
      <c r="S31" s="133">
        <v>1.6676737009968723E-3</v>
      </c>
      <c r="T31" s="133">
        <v>0.1982678733407392</v>
      </c>
      <c r="U31" s="45">
        <v>59.286795052497048</v>
      </c>
      <c r="V31" s="134">
        <v>5.2942459563116815</v>
      </c>
      <c r="W31" t="s">
        <v>738</v>
      </c>
    </row>
    <row r="32" spans="1:23" x14ac:dyDescent="0.25">
      <c r="A32" s="812" t="s">
        <v>1999</v>
      </c>
      <c r="B32" s="812">
        <v>2104008310</v>
      </c>
      <c r="C32" s="812" t="s">
        <v>141</v>
      </c>
      <c r="D32" s="133">
        <v>1.8018750901198477</v>
      </c>
      <c r="E32" s="133">
        <v>4.9369427136027176E-2</v>
      </c>
      <c r="F32" s="133">
        <v>1.3599057283923381E-2</v>
      </c>
      <c r="G32" s="133">
        <v>0.41280038288691961</v>
      </c>
      <c r="H32" s="133">
        <v>0.41280038288691961</v>
      </c>
      <c r="I32" s="133">
        <v>1.3498034824980255E-2</v>
      </c>
      <c r="J32" s="133">
        <v>4.1195162439749922</v>
      </c>
      <c r="K32" s="45">
        <v>1087.772850071736</v>
      </c>
      <c r="L32" s="134">
        <v>97.136925815917749</v>
      </c>
      <c r="M32" s="45" t="s">
        <v>738</v>
      </c>
      <c r="N32" s="133">
        <v>1.5722786868108649</v>
      </c>
      <c r="O32" s="133">
        <v>4.3078734198425825E-2</v>
      </c>
      <c r="P32" s="133">
        <v>1.1866254240082001E-2</v>
      </c>
      <c r="Q32" s="133">
        <v>0.36020101919345526</v>
      </c>
      <c r="R32" s="133">
        <v>0.36020101919345526</v>
      </c>
      <c r="S32" s="133">
        <v>1.1778104145796092E-2</v>
      </c>
      <c r="T32" s="133">
        <v>3.5946041020758099</v>
      </c>
      <c r="U32" s="45">
        <v>949.167940462258</v>
      </c>
      <c r="V32" s="134">
        <v>84.759658979767181</v>
      </c>
      <c r="W32" t="s">
        <v>738</v>
      </c>
    </row>
    <row r="33" spans="1:31" x14ac:dyDescent="0.25">
      <c r="A33" s="812" t="s">
        <v>1999</v>
      </c>
      <c r="B33" s="812">
        <v>2104008320</v>
      </c>
      <c r="C33" s="812" t="s">
        <v>142</v>
      </c>
      <c r="D33" s="133">
        <v>0.85895030906346337</v>
      </c>
      <c r="E33" s="133">
        <v>0.11515944189831628</v>
      </c>
      <c r="F33" s="133">
        <v>2.8631676968782122E-2</v>
      </c>
      <c r="G33" s="133">
        <v>0.56727406601545194</v>
      </c>
      <c r="H33" s="133">
        <v>0.56727406601545194</v>
      </c>
      <c r="I33" s="133">
        <v>1.7876311803851193E-2</v>
      </c>
      <c r="J33" s="133">
        <v>8.8501192433501092</v>
      </c>
      <c r="K33" s="45">
        <v>2290.2146971234788</v>
      </c>
      <c r="L33" s="134">
        <v>204.51366764884489</v>
      </c>
      <c r="M33" s="45" t="s">
        <v>738</v>
      </c>
      <c r="N33" s="133">
        <v>0.74950215549084653</v>
      </c>
      <c r="O33" s="133">
        <v>0.10048573126659621</v>
      </c>
      <c r="P33" s="133">
        <v>2.4983405183028218E-2</v>
      </c>
      <c r="Q33" s="133">
        <v>0.49499153879601671</v>
      </c>
      <c r="R33" s="133">
        <v>0.49499153879601671</v>
      </c>
      <c r="S33" s="133">
        <v>1.5598497477486786E-2</v>
      </c>
      <c r="T33" s="133">
        <v>7.7224297834810329</v>
      </c>
      <c r="U33" s="45">
        <v>1998.3936601669441</v>
      </c>
      <c r="V33" s="134">
        <v>178.4543682128444</v>
      </c>
      <c r="W33" t="s">
        <v>738</v>
      </c>
    </row>
    <row r="34" spans="1:31" x14ac:dyDescent="0.25">
      <c r="A34" s="812" t="s">
        <v>1999</v>
      </c>
      <c r="B34" s="812">
        <v>2104008330</v>
      </c>
      <c r="C34" s="812" t="s">
        <v>143</v>
      </c>
      <c r="D34" s="133">
        <v>0.6464387208564788</v>
      </c>
      <c r="E34" s="133">
        <v>6.9334415767507068E-2</v>
      </c>
      <c r="F34" s="133">
        <v>1.7238365889506096E-2</v>
      </c>
      <c r="G34" s="133">
        <v>0.37896962076443946</v>
      </c>
      <c r="H34" s="133">
        <v>0.37896962076443946</v>
      </c>
      <c r="I34" s="133">
        <v>1.0762848573825316E-2</v>
      </c>
      <c r="J34" s="133">
        <v>5.3284197725816105</v>
      </c>
      <c r="K34" s="45">
        <v>1378.8769326220227</v>
      </c>
      <c r="L34" s="134">
        <v>123.13220200757227</v>
      </c>
      <c r="M34" s="45" t="s">
        <v>738</v>
      </c>
      <c r="N34" s="133">
        <v>0.56406896832361308</v>
      </c>
      <c r="O34" s="133">
        <v>6.0499767587376865E-2</v>
      </c>
      <c r="P34" s="133">
        <v>1.5041839155296345E-2</v>
      </c>
      <c r="Q34" s="133">
        <v>0.33068100055542315</v>
      </c>
      <c r="R34" s="133">
        <v>0.33068100055542315</v>
      </c>
      <c r="S34" s="133">
        <v>9.3914375723306749E-3</v>
      </c>
      <c r="T34" s="133">
        <v>4.6494681505666593</v>
      </c>
      <c r="U34" s="45">
        <v>1203.1793018197225</v>
      </c>
      <c r="V34" s="134">
        <v>107.44259573715465</v>
      </c>
      <c r="W34" t="s">
        <v>738</v>
      </c>
    </row>
    <row r="35" spans="1:31" x14ac:dyDescent="0.25">
      <c r="A35" s="812" t="s">
        <v>1999</v>
      </c>
      <c r="B35" s="812">
        <v>2104008410</v>
      </c>
      <c r="C35" s="812" t="s">
        <v>144</v>
      </c>
      <c r="D35" s="133">
        <v>1.0831685185193153E-2</v>
      </c>
      <c r="E35" s="133">
        <v>1.8915496527476702E-2</v>
      </c>
      <c r="F35" s="133">
        <v>1.5117279942039325E-3</v>
      </c>
      <c r="G35" s="133">
        <v>1.3983483946386375E-2</v>
      </c>
      <c r="H35" s="133">
        <v>1.3983483946386375E-2</v>
      </c>
      <c r="I35" s="133">
        <v>3.3957190069805828E-4</v>
      </c>
      <c r="J35" s="133">
        <v>4.6920257620104551E-2</v>
      </c>
      <c r="K35" s="45">
        <v>144.40232656061096</v>
      </c>
      <c r="L35" s="134">
        <v>12.894969829260731</v>
      </c>
      <c r="M35" s="45" t="s">
        <v>738</v>
      </c>
      <c r="N35" s="133">
        <v>9.4515029661636791E-3</v>
      </c>
      <c r="O35" s="133">
        <v>1.6505268430465077E-2</v>
      </c>
      <c r="P35" s="133">
        <v>1.3191023720651417E-3</v>
      </c>
      <c r="Q35" s="133">
        <v>1.2201696941602561E-2</v>
      </c>
      <c r="R35" s="133">
        <v>1.2201696941602561E-2</v>
      </c>
      <c r="S35" s="133">
        <v>2.9630337032513247E-4</v>
      </c>
      <c r="T35" s="133">
        <v>4.0941639872971829E-2</v>
      </c>
      <c r="U35" s="45">
        <v>126.0024635570327</v>
      </c>
      <c r="V35" s="134">
        <v>11.251882186942977</v>
      </c>
      <c r="W35" t="s">
        <v>738</v>
      </c>
    </row>
    <row r="36" spans="1:31" x14ac:dyDescent="0.25">
      <c r="A36" s="812" t="s">
        <v>1999</v>
      </c>
      <c r="B36" s="812">
        <v>2104008420</v>
      </c>
      <c r="C36" s="812" t="s">
        <v>145</v>
      </c>
      <c r="D36" s="133">
        <v>3.6535610763230211E-2</v>
      </c>
      <c r="E36" s="133">
        <v>6.3802557654263847E-2</v>
      </c>
      <c r="F36" s="133">
        <v>5.0991055068342738E-3</v>
      </c>
      <c r="G36" s="133">
        <v>4.7166725938217045E-2</v>
      </c>
      <c r="H36" s="133">
        <v>4.7166725938217045E-2</v>
      </c>
      <c r="I36" s="133">
        <v>1.1453865744726489E-3</v>
      </c>
      <c r="J36" s="133">
        <v>0.1582634871683688</v>
      </c>
      <c r="K36" s="45">
        <v>487.07353531058749</v>
      </c>
      <c r="L36" s="134">
        <v>43.495133991661156</v>
      </c>
      <c r="M36" s="45" t="s">
        <v>738</v>
      </c>
      <c r="N36" s="133">
        <v>3.1880213244317473E-2</v>
      </c>
      <c r="O36" s="133">
        <v>5.5672783376537048E-2</v>
      </c>
      <c r="P36" s="133">
        <v>4.4493732968261378E-3</v>
      </c>
      <c r="Q36" s="133">
        <v>4.1156702995641781E-2</v>
      </c>
      <c r="R36" s="133">
        <v>4.1156702995641781E-2</v>
      </c>
      <c r="S36" s="133">
        <v>9.9944047679957106E-4</v>
      </c>
      <c r="T36" s="133">
        <v>0.13809742370024131</v>
      </c>
      <c r="U36" s="45">
        <v>425.01022555759926</v>
      </c>
      <c r="V36" s="134">
        <v>37.952948309265466</v>
      </c>
      <c r="W36" t="s">
        <v>738</v>
      </c>
    </row>
    <row r="37" spans="1:31" x14ac:dyDescent="0.25">
      <c r="A37" s="812" t="s">
        <v>1999</v>
      </c>
      <c r="B37" s="812">
        <v>2104008610</v>
      </c>
      <c r="C37" s="812" t="s">
        <v>146</v>
      </c>
      <c r="D37" s="133">
        <v>1.1910833723937317</v>
      </c>
      <c r="E37" s="133">
        <v>4.2310574173028616E-2</v>
      </c>
      <c r="F37" s="133">
        <v>1.0494126629019662E-2</v>
      </c>
      <c r="G37" s="133">
        <v>0.25894656441979563</v>
      </c>
      <c r="H37" s="133">
        <v>0.25894656441979563</v>
      </c>
      <c r="I37" s="133">
        <v>6.3950832402836786E-3</v>
      </c>
      <c r="J37" s="133">
        <v>1.589090610296793</v>
      </c>
      <c r="K37" s="45">
        <v>839.41304120818313</v>
      </c>
      <c r="L37" s="134">
        <v>74.958666515142298</v>
      </c>
      <c r="M37" s="45" t="s">
        <v>738</v>
      </c>
      <c r="N37" s="133">
        <v>1.0891686333596562</v>
      </c>
      <c r="O37" s="133">
        <v>3.8690280896194362E-2</v>
      </c>
      <c r="P37" s="133">
        <v>9.5961994128604018E-3</v>
      </c>
      <c r="Q37" s="133">
        <v>0.23678986897069634</v>
      </c>
      <c r="R37" s="133">
        <v>0.23678986897069634</v>
      </c>
      <c r="S37" s="133">
        <v>5.8478896057819509E-3</v>
      </c>
      <c r="T37" s="133">
        <v>1.4531204854478317</v>
      </c>
      <c r="U37" s="45">
        <v>767.58888261498214</v>
      </c>
      <c r="V37" s="134">
        <v>68.544847706740953</v>
      </c>
      <c r="W37" t="s">
        <v>738</v>
      </c>
    </row>
    <row r="38" spans="1:31" x14ac:dyDescent="0.25">
      <c r="A38" s="812" t="s">
        <v>1999</v>
      </c>
      <c r="B38" s="812">
        <v>2104004000</v>
      </c>
      <c r="C38" s="812" t="s">
        <v>568</v>
      </c>
      <c r="D38" s="133">
        <v>7.7305153318232359E-2</v>
      </c>
      <c r="E38" s="133">
        <v>1.2112306990369615</v>
      </c>
      <c r="F38" s="133">
        <v>3.1336862382455588</v>
      </c>
      <c r="G38" s="133">
        <v>4.9505341922491633E-2</v>
      </c>
      <c r="H38" s="133">
        <v>4.9505341922491633E-2</v>
      </c>
      <c r="I38" s="133">
        <v>2.6559615941416756E-3</v>
      </c>
      <c r="J38" s="133">
        <v>4.8556489535643878E-2</v>
      </c>
      <c r="K38" s="45">
        <v>29102.877203857031</v>
      </c>
      <c r="L38" s="134">
        <v>216.844749840764</v>
      </c>
      <c r="M38" s="45" t="s">
        <v>1997</v>
      </c>
      <c r="N38" s="133">
        <v>7.148539699435566E-2</v>
      </c>
      <c r="O38" s="133">
        <v>1.1200457363556777</v>
      </c>
      <c r="P38" s="133">
        <v>2.8977732425491429</v>
      </c>
      <c r="Q38" s="133">
        <v>4.5778436090831529E-2</v>
      </c>
      <c r="R38" s="133">
        <v>4.5778436090831529E-2</v>
      </c>
      <c r="S38" s="133">
        <v>2.456013096273111E-3</v>
      </c>
      <c r="T38" s="133">
        <v>4.4901016065757249E-2</v>
      </c>
      <c r="U38" s="45">
        <v>26911.928135391663</v>
      </c>
      <c r="V38" s="134">
        <v>200.5200476700019</v>
      </c>
      <c r="W38" t="s">
        <v>1997</v>
      </c>
    </row>
    <row r="39" spans="1:31" x14ac:dyDescent="0.25">
      <c r="A39" s="812" t="s">
        <v>1999</v>
      </c>
      <c r="B39" s="812">
        <v>2103004001</v>
      </c>
      <c r="C39" s="812" t="s">
        <v>148</v>
      </c>
      <c r="D39" s="133">
        <v>2.345070441166312E-2</v>
      </c>
      <c r="E39" s="133">
        <v>0.59202339328181774</v>
      </c>
      <c r="F39" s="133">
        <v>0.41846844652240145</v>
      </c>
      <c r="G39" s="133">
        <v>1.5017564682183482E-2</v>
      </c>
      <c r="H39" s="133">
        <v>1.5017564682183482E-2</v>
      </c>
      <c r="I39" s="133">
        <v>8.0569234519914422E-4</v>
      </c>
      <c r="J39" s="133">
        <v>1.472972802577497E-2</v>
      </c>
      <c r="K39" s="45">
        <v>9110.5822188368656</v>
      </c>
      <c r="L39" s="134">
        <v>67.882701366913864</v>
      </c>
      <c r="M39" s="45" t="s">
        <v>1997</v>
      </c>
      <c r="N39" s="133">
        <v>2.3066065118368749E-2</v>
      </c>
      <c r="O39" s="133">
        <v>0.5823130043907957</v>
      </c>
      <c r="P39" s="133">
        <v>0.41160471208138733</v>
      </c>
      <c r="Q39" s="133">
        <v>1.4771246048638097E-2</v>
      </c>
      <c r="R39" s="133">
        <v>1.4771246048638097E-2</v>
      </c>
      <c r="S39" s="133">
        <v>7.9247735050943418E-4</v>
      </c>
      <c r="T39" s="133">
        <v>1.4488130499372535E-2</v>
      </c>
      <c r="U39" s="45">
        <v>8961.1501231250222</v>
      </c>
      <c r="V39" s="134">
        <v>66.769286868895776</v>
      </c>
      <c r="W39" t="s">
        <v>1997</v>
      </c>
    </row>
    <row r="40" spans="1:31" x14ac:dyDescent="0.25">
      <c r="A40" s="812" t="s">
        <v>1999</v>
      </c>
      <c r="B40" s="812">
        <v>2104004000</v>
      </c>
      <c r="C40" s="812" t="s">
        <v>746</v>
      </c>
      <c r="D40" s="133">
        <v>5.1440167949180684E-4</v>
      </c>
      <c r="E40" s="133">
        <v>1.2986297658979693E-2</v>
      </c>
      <c r="F40" s="133">
        <v>2.0852082878848585E-2</v>
      </c>
      <c r="G40" s="133">
        <v>2.8858439242177112E-4</v>
      </c>
      <c r="H40" s="133">
        <v>2.8858439242177112E-4</v>
      </c>
      <c r="I40" s="133">
        <v>1.7673221590648996E-5</v>
      </c>
      <c r="J40" s="133">
        <v>3.23103165768777E-4</v>
      </c>
      <c r="K40" s="45">
        <v>197.67309419910265</v>
      </c>
      <c r="L40" s="134">
        <v>1.4429219621088554</v>
      </c>
      <c r="M40" s="45" t="s">
        <v>1997</v>
      </c>
      <c r="N40" s="133">
        <v>4.8637906312062125E-4</v>
      </c>
      <c r="O40" s="133">
        <v>1.2278854328430828E-2</v>
      </c>
      <c r="P40" s="133">
        <v>1.9716141954955385E-2</v>
      </c>
      <c r="Q40" s="133">
        <v>2.7286342952068522E-4</v>
      </c>
      <c r="R40" s="133">
        <v>2.7286342952068522E-4</v>
      </c>
      <c r="S40" s="133">
        <v>1.6710452749833813E-5</v>
      </c>
      <c r="T40" s="133">
        <v>3.055017534413543E-4</v>
      </c>
      <c r="U40" s="45">
        <v>186.90462763593132</v>
      </c>
      <c r="V40" s="134">
        <v>1.3643171476034257</v>
      </c>
      <c r="W40" t="s">
        <v>1997</v>
      </c>
    </row>
    <row r="41" spans="1:31" x14ac:dyDescent="0.25">
      <c r="A41" s="812" t="s">
        <v>1999</v>
      </c>
      <c r="B41" s="812">
        <v>2104004000</v>
      </c>
      <c r="C41" s="812" t="s">
        <v>747</v>
      </c>
      <c r="D41" s="133">
        <v>1.6414297999125852E-3</v>
      </c>
      <c r="E41" s="133">
        <v>2.5718209959222953E-2</v>
      </c>
      <c r="F41" s="133">
        <v>6.65379441634079E-2</v>
      </c>
      <c r="G41" s="133">
        <v>1.0511529956085677E-3</v>
      </c>
      <c r="H41" s="133">
        <v>1.0511529956085677E-3</v>
      </c>
      <c r="I41" s="133">
        <v>5.639435821439966E-5</v>
      </c>
      <c r="J41" s="133">
        <v>1.0310058965260704E-3</v>
      </c>
      <c r="K41" s="45">
        <v>575.53639548127103</v>
      </c>
      <c r="L41" s="134">
        <v>4.6042911638501689</v>
      </c>
      <c r="M41" s="45" t="s">
        <v>1997</v>
      </c>
      <c r="N41" s="133">
        <v>1.3701626289760308E-3</v>
      </c>
      <c r="O41" s="133">
        <v>2.1467948353419121E-2</v>
      </c>
      <c r="P41" s="133">
        <v>5.5541701817799619E-2</v>
      </c>
      <c r="Q41" s="133">
        <v>8.7743658120241627E-4</v>
      </c>
      <c r="R41" s="133">
        <v>8.7743658120241627E-4</v>
      </c>
      <c r="S41" s="133">
        <v>4.7074472581509648E-5</v>
      </c>
      <c r="T41" s="133">
        <v>8.6061904672937045E-4</v>
      </c>
      <c r="U41" s="45">
        <v>480.42167916410625</v>
      </c>
      <c r="V41" s="134">
        <v>3.8433734333128498</v>
      </c>
      <c r="W41" t="s">
        <v>1997</v>
      </c>
    </row>
    <row r="42" spans="1:31" x14ac:dyDescent="0.25">
      <c r="A42" s="812" t="s">
        <v>1999</v>
      </c>
      <c r="B42" s="812">
        <v>2104006010</v>
      </c>
      <c r="C42" s="812" t="s">
        <v>149</v>
      </c>
      <c r="D42" s="133">
        <v>6.2640334377998938E-4</v>
      </c>
      <c r="E42" s="133">
        <v>1.0705802602785277E-2</v>
      </c>
      <c r="F42" s="133">
        <v>6.8334910230544326E-5</v>
      </c>
      <c r="G42" s="133">
        <v>5.6412746225655285E-6</v>
      </c>
      <c r="H42" s="133">
        <v>5.6412746225655285E-6</v>
      </c>
      <c r="I42" s="133">
        <v>2.2778303410181415E-3</v>
      </c>
      <c r="J42" s="133">
        <v>4.5556606820362829E-3</v>
      </c>
      <c r="K42" s="45">
        <v>281.18883333333326</v>
      </c>
      <c r="L42" s="134">
        <v>277.0333333333337</v>
      </c>
      <c r="M42" s="45" t="s">
        <v>1998</v>
      </c>
      <c r="N42" s="133">
        <v>6.2640334377998938E-4</v>
      </c>
      <c r="O42" s="133">
        <v>1.0705802602785277E-2</v>
      </c>
      <c r="P42" s="133">
        <v>6.8334910230544326E-5</v>
      </c>
      <c r="Q42" s="133">
        <v>5.6412746225655285E-6</v>
      </c>
      <c r="R42" s="133">
        <v>5.6412746225655285E-6</v>
      </c>
      <c r="S42" s="133">
        <v>2.2778303410181415E-3</v>
      </c>
      <c r="T42" s="133">
        <v>4.5556606820362829E-3</v>
      </c>
      <c r="U42" s="45">
        <v>281.18883333333326</v>
      </c>
      <c r="V42" s="134">
        <v>277.0333333333337</v>
      </c>
      <c r="W42" t="s">
        <v>1998</v>
      </c>
    </row>
    <row r="43" spans="1:31" x14ac:dyDescent="0.25">
      <c r="A43" s="812" t="s">
        <v>1999</v>
      </c>
      <c r="B43" s="812">
        <v>2103006000</v>
      </c>
      <c r="C43" s="812" t="s">
        <v>150</v>
      </c>
      <c r="D43" s="133">
        <v>9.7086916666666665E-3</v>
      </c>
      <c r="E43" s="133">
        <v>0.17652166666666677</v>
      </c>
      <c r="F43" s="133">
        <v>1.0591300000000001E-3</v>
      </c>
      <c r="G43" s="133">
        <v>1.3415646666666668E-2</v>
      </c>
      <c r="H43" s="133">
        <v>1.3415646666666668E-2</v>
      </c>
      <c r="I43" s="133">
        <v>3.5304333333333326E-2</v>
      </c>
      <c r="J43" s="133">
        <v>7.0608666666666653E-2</v>
      </c>
      <c r="K43" s="45">
        <v>3583.389833333335</v>
      </c>
      <c r="L43" s="134">
        <v>3530.4333333333325</v>
      </c>
      <c r="M43" s="45" t="s">
        <v>1998</v>
      </c>
      <c r="N43" s="133">
        <v>9.7086916666666665E-3</v>
      </c>
      <c r="O43" s="133">
        <v>0.17652166666666677</v>
      </c>
      <c r="P43" s="133">
        <v>1.0591300000000001E-3</v>
      </c>
      <c r="Q43" s="133">
        <v>1.3415646666666668E-2</v>
      </c>
      <c r="R43" s="133">
        <v>1.3415646666666668E-2</v>
      </c>
      <c r="S43" s="133">
        <v>3.5304333333333326E-2</v>
      </c>
      <c r="T43" s="133">
        <v>7.0608666666666653E-2</v>
      </c>
      <c r="U43" s="45">
        <v>3583.389833333335</v>
      </c>
      <c r="V43" s="134">
        <v>3530.4333333333325</v>
      </c>
      <c r="W43" t="s">
        <v>1998</v>
      </c>
    </row>
    <row r="44" spans="1:31" x14ac:dyDescent="0.25">
      <c r="A44" s="812" t="s">
        <v>1999</v>
      </c>
      <c r="B44" s="812">
        <v>2104002000</v>
      </c>
      <c r="C44" s="812" t="s">
        <v>151</v>
      </c>
      <c r="D44" s="133">
        <v>0.11519034997918816</v>
      </c>
      <c r="E44" s="133">
        <v>5.4369845190176791E-2</v>
      </c>
      <c r="F44" s="133">
        <v>0.10712702548064496</v>
      </c>
      <c r="G44" s="133">
        <v>9.2037089633371316E-2</v>
      </c>
      <c r="H44" s="133">
        <v>9.2037089633371316E-2</v>
      </c>
      <c r="I44" s="133">
        <v>1.4582522355615322E-2</v>
      </c>
      <c r="J44" s="133">
        <v>1.5040979948532494</v>
      </c>
      <c r="K44" s="45">
        <v>350.17866393673199</v>
      </c>
      <c r="L44" s="134">
        <v>23.038069995837628</v>
      </c>
      <c r="M44" s="45" t="s">
        <v>738</v>
      </c>
      <c r="N44" s="133">
        <v>0.10120931251381278</v>
      </c>
      <c r="O44" s="133">
        <v>4.7770795506519623E-2</v>
      </c>
      <c r="P44" s="133">
        <v>9.4124660637845886E-2</v>
      </c>
      <c r="Q44" s="133">
        <v>8.0866240698536401E-2</v>
      </c>
      <c r="R44" s="133">
        <v>8.0866240698536401E-2</v>
      </c>
      <c r="S44" s="133">
        <v>1.2812592917686128E-2</v>
      </c>
      <c r="T44" s="133">
        <v>1.3215405981491102</v>
      </c>
      <c r="U44" s="45">
        <v>307.67631004199086</v>
      </c>
      <c r="V44" s="134">
        <v>20.241862502762554</v>
      </c>
      <c r="W44" t="s">
        <v>738</v>
      </c>
    </row>
    <row r="45" spans="1:31" x14ac:dyDescent="0.25">
      <c r="A45" s="812" t="s">
        <v>1999</v>
      </c>
      <c r="B45" s="812">
        <v>2103002000</v>
      </c>
      <c r="C45" s="812" t="s">
        <v>152</v>
      </c>
      <c r="D45" s="133">
        <v>2.8532244230068839E-4</v>
      </c>
      <c r="E45" s="133">
        <v>1.346721927659249E-4</v>
      </c>
      <c r="F45" s="133">
        <v>2.6534987133964015E-4</v>
      </c>
      <c r="G45" s="133">
        <v>2.2797263139825001E-4</v>
      </c>
      <c r="H45" s="133">
        <v>2.2797263139825001E-4</v>
      </c>
      <c r="I45" s="133">
        <v>3.6120394583055642E-5</v>
      </c>
      <c r="J45" s="133">
        <v>3.7255977903412375E-3</v>
      </c>
      <c r="K45" s="45">
        <v>13.116826184181894</v>
      </c>
      <c r="L45" s="134">
        <v>0.86738022459409281</v>
      </c>
      <c r="M45" s="45" t="s">
        <v>738</v>
      </c>
      <c r="N45" s="133">
        <v>2.6963315214105564E-4</v>
      </c>
      <c r="O45" s="133">
        <v>1.2726684781057826E-4</v>
      </c>
      <c r="P45" s="133">
        <v>2.5075883149118169E-4</v>
      </c>
      <c r="Q45" s="133">
        <v>2.1543688856070343E-4</v>
      </c>
      <c r="R45" s="133">
        <v>2.1543688856070343E-4</v>
      </c>
      <c r="S45" s="133">
        <v>3.4134208895296937E-5</v>
      </c>
      <c r="T45" s="133">
        <v>3.5207348840818335E-3</v>
      </c>
      <c r="U45" s="45">
        <v>12.391855464485586</v>
      </c>
      <c r="V45" s="134">
        <v>0.81968478250880905</v>
      </c>
      <c r="W45" t="s">
        <v>738</v>
      </c>
    </row>
    <row r="46" spans="1:31" x14ac:dyDescent="0.25">
      <c r="A46" s="812" t="s">
        <v>1999</v>
      </c>
      <c r="B46" s="812">
        <v>2103008000</v>
      </c>
      <c r="C46" s="812" t="s">
        <v>153</v>
      </c>
      <c r="D46" s="133">
        <v>8.7184102008962055E-4</v>
      </c>
      <c r="E46" s="133">
        <v>3.4664180803309314E-5</v>
      </c>
      <c r="F46" s="133">
        <v>7.5569431662724826E-6</v>
      </c>
      <c r="G46" s="133">
        <v>2.4518378092326654E-4</v>
      </c>
      <c r="H46" s="133">
        <v>2.4518378092326654E-4</v>
      </c>
      <c r="I46" s="133">
        <v>8.9777071541156657E-6</v>
      </c>
      <c r="J46" s="133">
        <v>1.7439048949549688E-3</v>
      </c>
      <c r="K46" s="45">
        <v>7.9159459338867979</v>
      </c>
      <c r="L46" s="134">
        <v>0.65367558388256952</v>
      </c>
      <c r="M46" s="45" t="s">
        <v>738</v>
      </c>
      <c r="N46" s="133">
        <v>7.1473614547591408E-4</v>
      </c>
      <c r="O46" s="133">
        <v>2.9083381335906241E-5</v>
      </c>
      <c r="P46" s="133">
        <v>6.1727592489711021E-6</v>
      </c>
      <c r="Q46" s="133">
        <v>2.1102851649953144E-4</v>
      </c>
      <c r="R46" s="133">
        <v>2.1102851649953144E-4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3.7226766797913605E-4</v>
      </c>
      <c r="E47" s="135">
        <v>1.9434212261993551E-2</v>
      </c>
      <c r="F47" s="135">
        <v>1.3760960594379906E-2</v>
      </c>
      <c r="G47" s="135">
        <v>1.9373489384817266E-3</v>
      </c>
      <c r="H47" s="135">
        <v>1.9373489384817266E-3</v>
      </c>
      <c r="I47" s="135">
        <v>1.3544093175893139E-5</v>
      </c>
      <c r="J47" s="135">
        <v>4.6265049277175556E-3</v>
      </c>
      <c r="K47" s="88">
        <v>103.11814403022066</v>
      </c>
      <c r="L47" s="136">
        <v>0.74453533595827182</v>
      </c>
      <c r="M47" s="88" t="s">
        <v>1997</v>
      </c>
      <c r="N47" s="135">
        <v>3.7226766797913605E-4</v>
      </c>
      <c r="O47" s="135">
        <v>1.9434212261993551E-2</v>
      </c>
      <c r="P47" s="135">
        <v>1.3760960594379906E-2</v>
      </c>
      <c r="Q47" s="135">
        <v>1.9373489384817266E-3</v>
      </c>
      <c r="R47" s="135">
        <v>1.9373489384817266E-3</v>
      </c>
      <c r="S47" s="135">
        <v>1.3544093175893139E-5</v>
      </c>
      <c r="T47" s="135">
        <v>4.6265049277175556E-3</v>
      </c>
      <c r="U47" s="88">
        <v>103.11814403022066</v>
      </c>
      <c r="V47" s="136">
        <v>0.74453533595827182</v>
      </c>
      <c r="W47" s="3" t="s">
        <v>1997</v>
      </c>
    </row>
    <row r="48" spans="1:31" x14ac:dyDescent="0.25">
      <c r="A48" s="810" t="s">
        <v>1999</v>
      </c>
      <c r="B48" s="810" t="s">
        <v>341</v>
      </c>
      <c r="C48" s="810"/>
      <c r="D48" s="137">
        <v>8.7040159172408487</v>
      </c>
      <c r="E48" s="137">
        <v>2.5207942108410109</v>
      </c>
      <c r="F48" s="137">
        <v>3.8479145397862529</v>
      </c>
      <c r="G48" s="137">
        <v>2.5429817227487397</v>
      </c>
      <c r="H48" s="137">
        <v>2.5429817227487397</v>
      </c>
      <c r="I48" s="137">
        <v>0.14330654157142197</v>
      </c>
      <c r="J48" s="137">
        <v>27.01022095427923</v>
      </c>
      <c r="K48" s="87">
        <v>50313.817254605689</v>
      </c>
      <c r="L48" s="87"/>
      <c r="M48" s="87"/>
      <c r="N48" s="137">
        <v>7.8500819782141793</v>
      </c>
      <c r="O48" s="137">
        <v>2.3591173027432695</v>
      </c>
      <c r="P48" s="137">
        <v>3.5698014333957548</v>
      </c>
      <c r="Q48" s="137">
        <v>2.2662588497632439</v>
      </c>
      <c r="R48" s="137">
        <v>2.2662588497632439</v>
      </c>
      <c r="S48" s="137">
        <v>0.13196827663950758</v>
      </c>
      <c r="T48" s="137">
        <v>23.875671361919377</v>
      </c>
      <c r="U48" s="87">
        <v>46995.037112793085</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4.9706120562254972</v>
      </c>
      <c r="E50" s="133">
        <v>5.6434896708237106E-2</v>
      </c>
      <c r="F50" s="133">
        <v>8.6822918012672435E-3</v>
      </c>
      <c r="G50" s="133">
        <v>0.75101824080961666</v>
      </c>
      <c r="H50" s="133">
        <v>0.75101824080961666</v>
      </c>
      <c r="I50" s="133">
        <v>3.9070313105702609E-2</v>
      </c>
      <c r="J50" s="133">
        <v>5.4828672725002674</v>
      </c>
      <c r="K50" s="45">
        <v>697.10423621330267</v>
      </c>
      <c r="L50" s="134">
        <v>62.01688227380798</v>
      </c>
      <c r="M50" s="45" t="s">
        <v>738</v>
      </c>
      <c r="N50" s="133">
        <v>4.5858663613468602</v>
      </c>
      <c r="O50" s="133">
        <v>5.2066604975990576E-2</v>
      </c>
      <c r="P50" s="133">
        <v>8.010246919383162E-3</v>
      </c>
      <c r="Q50" s="133">
        <v>0.69288635852664349</v>
      </c>
      <c r="R50" s="133">
        <v>0.69288635852664349</v>
      </c>
      <c r="S50" s="133">
        <v>3.6046111137224238E-2</v>
      </c>
      <c r="T50" s="133">
        <v>5.0584709295904666</v>
      </c>
      <c r="U50" s="45">
        <v>643.1424583935966</v>
      </c>
      <c r="V50" s="134">
        <v>57.216522037535206</v>
      </c>
      <c r="W50" t="s">
        <v>738</v>
      </c>
      <c r="Y50" s="13">
        <f>N50/$U50*2000</f>
        <v>14.260810498505005</v>
      </c>
      <c r="Z50" s="5">
        <f t="shared" ref="Z50:AE65" si="0">O50/$U50*2000</f>
        <v>0.16191313229743681</v>
      </c>
      <c r="AA50" s="357">
        <f t="shared" si="0"/>
        <v>2.4909712661144112E-2</v>
      </c>
      <c r="AB50" s="5">
        <f t="shared" si="0"/>
        <v>2.1546901451889657</v>
      </c>
      <c r="AC50" s="358">
        <f t="shared" si="0"/>
        <v>2.1546901451889657</v>
      </c>
      <c r="AD50" s="5">
        <f t="shared" si="0"/>
        <v>0.11209370697514853</v>
      </c>
      <c r="AE50" s="13">
        <f t="shared" si="0"/>
        <v>15.730483545512506</v>
      </c>
    </row>
    <row r="51" spans="1:31" x14ac:dyDescent="0.25">
      <c r="A51" s="812" t="s">
        <v>2001</v>
      </c>
      <c r="B51" s="812">
        <v>2104008210</v>
      </c>
      <c r="C51" s="812" t="s">
        <v>138</v>
      </c>
      <c r="D51" s="133">
        <v>0.10761003312595825</v>
      </c>
      <c r="E51" s="133">
        <v>5.6850583538242084E-3</v>
      </c>
      <c r="F51" s="133">
        <v>8.1215119340345828E-4</v>
      </c>
      <c r="G51" s="133">
        <v>6.212956629536457E-2</v>
      </c>
      <c r="H51" s="133">
        <v>6.212956629536457E-2</v>
      </c>
      <c r="I51" s="133">
        <v>3.4516425719646978E-3</v>
      </c>
      <c r="J51" s="133">
        <v>0.46861123859379544</v>
      </c>
      <c r="K51" s="45">
        <v>65.196333466548893</v>
      </c>
      <c r="L51" s="134">
        <v>5.8011278706946348</v>
      </c>
      <c r="M51" s="45" t="s">
        <v>738</v>
      </c>
      <c r="N51" s="133">
        <v>9.366047222600582E-2</v>
      </c>
      <c r="O51" s="133">
        <v>4.9481004194871017E-3</v>
      </c>
      <c r="P51" s="133">
        <v>7.0687148849815737E-4</v>
      </c>
      <c r="Q51" s="133">
        <v>5.4075668870109034E-2</v>
      </c>
      <c r="R51" s="133">
        <v>5.4075668870109034E-2</v>
      </c>
      <c r="S51" s="133">
        <v>3.004203826117169E-3</v>
      </c>
      <c r="T51" s="133">
        <v>0.40786484886343671</v>
      </c>
      <c r="U51" s="45">
        <v>56.744576727250433</v>
      </c>
      <c r="V51" s="134">
        <v>5.0491237668956446</v>
      </c>
      <c r="W51" t="s">
        <v>738</v>
      </c>
      <c r="Y51" s="13">
        <f t="shared" ref="Y51:AE70" si="1">N51/$U51*2000</f>
        <v>3.3011250634997609</v>
      </c>
      <c r="Z51" s="5">
        <f t="shared" si="0"/>
        <v>0.17439905995847801</v>
      </c>
      <c r="AA51" s="357">
        <f t="shared" si="0"/>
        <v>2.491415142263971E-2</v>
      </c>
      <c r="AB51" s="5">
        <f t="shared" si="0"/>
        <v>1.9059325838319379</v>
      </c>
      <c r="AC51" s="358">
        <f t="shared" si="0"/>
        <v>1.9059325838319379</v>
      </c>
      <c r="AD51" s="5">
        <f t="shared" si="0"/>
        <v>0.10588514354621878</v>
      </c>
      <c r="AE51" s="13">
        <f t="shared" si="0"/>
        <v>14.375465370863111</v>
      </c>
    </row>
    <row r="52" spans="1:31" x14ac:dyDescent="0.25">
      <c r="A52" s="812" t="s">
        <v>2001</v>
      </c>
      <c r="B52" s="812">
        <v>2104008220</v>
      </c>
      <c r="C52" s="812" t="s">
        <v>139</v>
      </c>
      <c r="D52" s="133">
        <v>5.1297490996295138E-2</v>
      </c>
      <c r="E52" s="133">
        <v>8.5495818327158603E-3</v>
      </c>
      <c r="F52" s="133">
        <v>1.7099163665431714E-3</v>
      </c>
      <c r="G52" s="133">
        <v>5.1297490996295138E-2</v>
      </c>
      <c r="H52" s="133">
        <v>5.1297490996295138E-2</v>
      </c>
      <c r="I52" s="133">
        <v>3.8473118247221369E-3</v>
      </c>
      <c r="J52" s="133">
        <v>0.60189056102319627</v>
      </c>
      <c r="K52" s="45">
        <v>137.26542365329919</v>
      </c>
      <c r="L52" s="134">
        <v>12.213789219395677</v>
      </c>
      <c r="M52" s="45" t="s">
        <v>738</v>
      </c>
      <c r="N52" s="133">
        <v>4.4647762770396462E-2</v>
      </c>
      <c r="O52" s="133">
        <v>7.441293795066071E-3</v>
      </c>
      <c r="P52" s="133">
        <v>1.4882587590132144E-3</v>
      </c>
      <c r="Q52" s="133">
        <v>4.4647762770396462E-2</v>
      </c>
      <c r="R52" s="133">
        <v>4.4647762770396462E-2</v>
      </c>
      <c r="S52" s="133">
        <v>3.3485822077797336E-3</v>
      </c>
      <c r="T52" s="133">
        <v>0.52386708317265174</v>
      </c>
      <c r="U52" s="45">
        <v>119.47095718948076</v>
      </c>
      <c r="V52" s="134">
        <v>10.630507516139298</v>
      </c>
      <c r="W52" t="s">
        <v>738</v>
      </c>
      <c r="Y52" s="13">
        <f t="shared" si="1"/>
        <v>0.74742454267919156</v>
      </c>
      <c r="Z52" s="5">
        <f t="shared" si="0"/>
        <v>0.12457075711319848</v>
      </c>
      <c r="AA52" s="357">
        <f t="shared" si="0"/>
        <v>2.4914151422639703E-2</v>
      </c>
      <c r="AB52" s="5">
        <f t="shared" si="0"/>
        <v>0.74742454267919156</v>
      </c>
      <c r="AC52" s="358">
        <f t="shared" si="0"/>
        <v>0.74742454267919156</v>
      </c>
      <c r="AD52" s="5">
        <f t="shared" si="0"/>
        <v>5.6056840700939345E-2</v>
      </c>
      <c r="AE52" s="13">
        <f t="shared" si="0"/>
        <v>8.7697813007691803</v>
      </c>
    </row>
    <row r="53" spans="1:31" x14ac:dyDescent="0.25">
      <c r="A53" s="812" t="s">
        <v>2001</v>
      </c>
      <c r="B53" s="812">
        <v>2104008230</v>
      </c>
      <c r="C53" s="812" t="s">
        <v>140</v>
      </c>
      <c r="D53" s="133">
        <v>3.8606056849723645E-2</v>
      </c>
      <c r="E53" s="133">
        <v>5.1474742466298224E-3</v>
      </c>
      <c r="F53" s="133">
        <v>1.0294948493259641E-3</v>
      </c>
      <c r="G53" s="133">
        <v>3.3458582603093819E-2</v>
      </c>
      <c r="H53" s="133">
        <v>3.3458582603093819E-2</v>
      </c>
      <c r="I53" s="133">
        <v>2.3163634109834197E-3</v>
      </c>
      <c r="J53" s="133">
        <v>0.27538987219469541</v>
      </c>
      <c r="K53" s="45">
        <v>82.643835339913963</v>
      </c>
      <c r="L53" s="134">
        <v>7.3535953793699038</v>
      </c>
      <c r="M53" s="45" t="s">
        <v>738</v>
      </c>
      <c r="N53" s="133">
        <v>3.3601527759932526E-2</v>
      </c>
      <c r="O53" s="133">
        <v>4.4802037013243375E-3</v>
      </c>
      <c r="P53" s="133">
        <v>8.960407402648676E-4</v>
      </c>
      <c r="Q53" s="133">
        <v>2.9121324058608178E-2</v>
      </c>
      <c r="R53" s="133">
        <v>2.9121324058608178E-2</v>
      </c>
      <c r="S53" s="133">
        <v>2.0160916655959527E-3</v>
      </c>
      <c r="T53" s="133">
        <v>0.239690898020852</v>
      </c>
      <c r="U53" s="45">
        <v>71.930263653340987</v>
      </c>
      <c r="V53" s="134">
        <v>6.4003438692801398</v>
      </c>
      <c r="W53" t="s">
        <v>738</v>
      </c>
      <c r="Y53" s="13">
        <f t="shared" si="1"/>
        <v>0.93428067834898909</v>
      </c>
      <c r="Z53" s="5">
        <f t="shared" si="0"/>
        <v>0.12457075711319857</v>
      </c>
      <c r="AA53" s="357">
        <f t="shared" si="0"/>
        <v>2.4914151422639714E-2</v>
      </c>
      <c r="AB53" s="5">
        <f t="shared" si="0"/>
        <v>0.80970992123579022</v>
      </c>
      <c r="AC53" s="358">
        <f t="shared" si="0"/>
        <v>0.80970992123579022</v>
      </c>
      <c r="AD53" s="5">
        <f t="shared" si="0"/>
        <v>5.605684070093938E-2</v>
      </c>
      <c r="AE53" s="13">
        <f t="shared" si="0"/>
        <v>6.6645355055561213</v>
      </c>
    </row>
    <row r="54" spans="1:31" x14ac:dyDescent="0.25">
      <c r="A54" s="812" t="s">
        <v>2001</v>
      </c>
      <c r="B54" s="812">
        <v>2104008310</v>
      </c>
      <c r="C54" s="812" t="s">
        <v>141</v>
      </c>
      <c r="D54" s="133">
        <v>2.1838617589404419</v>
      </c>
      <c r="E54" s="133">
        <v>5.9835448402805295E-2</v>
      </c>
      <c r="F54" s="133">
        <v>1.648197553917315E-2</v>
      </c>
      <c r="G54" s="133">
        <v>0.50031157831409678</v>
      </c>
      <c r="H54" s="133">
        <v>0.50031157831409678</v>
      </c>
      <c r="I54" s="133">
        <v>1.63595369272573E-2</v>
      </c>
      <c r="J54" s="133">
        <v>4.9928288813585686</v>
      </c>
      <c r="K54" s="45">
        <v>1323.1087784729937</v>
      </c>
      <c r="L54" s="134">
        <v>117.72936916304656</v>
      </c>
      <c r="M54" s="45" t="s">
        <v>738</v>
      </c>
      <c r="N54" s="133">
        <v>1.9007662917384327</v>
      </c>
      <c r="O54" s="133">
        <v>5.2078939021436607E-2</v>
      </c>
      <c r="P54" s="133">
        <v>1.4345405975384397E-2</v>
      </c>
      <c r="Q54" s="133">
        <v>0.43545585224555539</v>
      </c>
      <c r="R54" s="133">
        <v>0.43545585224555539</v>
      </c>
      <c r="S54" s="133">
        <v>1.423883916300072E-2</v>
      </c>
      <c r="T54" s="133">
        <v>4.3456051186632338</v>
      </c>
      <c r="U54" s="45">
        <v>1151.5869621269619</v>
      </c>
      <c r="V54" s="134">
        <v>102.468031933175</v>
      </c>
      <c r="W54" t="s">
        <v>738</v>
      </c>
      <c r="Y54" s="13">
        <f t="shared" si="1"/>
        <v>3.3011250634997622</v>
      </c>
      <c r="Z54" s="5">
        <f t="shared" si="0"/>
        <v>9.0447253632062102E-2</v>
      </c>
      <c r="AA54" s="357">
        <f t="shared" si="0"/>
        <v>2.491415142263971E-2</v>
      </c>
      <c r="AB54" s="5">
        <f t="shared" si="0"/>
        <v>0.75627089671330716</v>
      </c>
      <c r="AC54" s="358">
        <f t="shared" si="0"/>
        <v>0.75627089671330716</v>
      </c>
      <c r="AD54" s="5">
        <f t="shared" si="0"/>
        <v>2.4729073237685535E-2</v>
      </c>
      <c r="AE54" s="13">
        <f t="shared" si="0"/>
        <v>7.5471592881478502</v>
      </c>
    </row>
    <row r="55" spans="1:31" x14ac:dyDescent="0.25">
      <c r="A55" s="812" t="s">
        <v>2001</v>
      </c>
      <c r="B55" s="812">
        <v>2104008320</v>
      </c>
      <c r="C55" s="812" t="s">
        <v>142</v>
      </c>
      <c r="D55" s="133">
        <v>1.0410426022755022</v>
      </c>
      <c r="E55" s="133">
        <v>0.13957255012939282</v>
      </c>
      <c r="F55" s="133">
        <v>3.4701420075850101E-2</v>
      </c>
      <c r="G55" s="133">
        <v>0.68753275207739428</v>
      </c>
      <c r="H55" s="133">
        <v>0.68753275207739428</v>
      </c>
      <c r="I55" s="133">
        <v>2.166598226113977E-2</v>
      </c>
      <c r="J55" s="133">
        <v>10.726291230503501</v>
      </c>
      <c r="K55" s="45">
        <v>2785.6947984610101</v>
      </c>
      <c r="L55" s="134">
        <v>247.86933367798588</v>
      </c>
      <c r="M55" s="45" t="s">
        <v>738</v>
      </c>
      <c r="N55" s="133">
        <v>0.90609155024033738</v>
      </c>
      <c r="O55" s="133">
        <v>0.12147966667388191</v>
      </c>
      <c r="P55" s="133">
        <v>3.0203051674677905E-2</v>
      </c>
      <c r="Q55" s="133">
        <v>0.59840741945539389</v>
      </c>
      <c r="R55" s="133">
        <v>0.59840741945539389</v>
      </c>
      <c r="S55" s="133">
        <v>1.8857406422720564E-2</v>
      </c>
      <c r="T55" s="133">
        <v>9.3358348910337927</v>
      </c>
      <c r="U55" s="45">
        <v>2424.5699692771504</v>
      </c>
      <c r="V55" s="134">
        <v>215.73786540379191</v>
      </c>
      <c r="W55" t="s">
        <v>738</v>
      </c>
      <c r="Y55" s="13">
        <f t="shared" si="1"/>
        <v>0.74742454267919123</v>
      </c>
      <c r="Z55" s="5">
        <f t="shared" si="0"/>
        <v>0.10020718577991732</v>
      </c>
      <c r="AA55" s="357">
        <f t="shared" si="0"/>
        <v>2.49141514226397E-2</v>
      </c>
      <c r="AB55" s="5">
        <f t="shared" si="0"/>
        <v>0.49361942698135475</v>
      </c>
      <c r="AC55" s="358">
        <f t="shared" si="0"/>
        <v>0.49361942698135475</v>
      </c>
      <c r="AD55" s="5">
        <f t="shared" si="0"/>
        <v>1.5555258591561802E-2</v>
      </c>
      <c r="AE55" s="13">
        <f t="shared" si="0"/>
        <v>7.7010232819283271</v>
      </c>
    </row>
    <row r="56" spans="1:31" x14ac:dyDescent="0.25">
      <c r="A56" s="812" t="s">
        <v>2001</v>
      </c>
      <c r="B56" s="812">
        <v>2104008330</v>
      </c>
      <c r="C56" s="812" t="s">
        <v>143</v>
      </c>
      <c r="D56" s="133">
        <v>0.78347983704183455</v>
      </c>
      <c r="E56" s="133">
        <v>8.4032894401722777E-2</v>
      </c>
      <c r="F56" s="133">
        <v>2.0892795654448921E-2</v>
      </c>
      <c r="G56" s="133">
        <v>0.45930889833910415</v>
      </c>
      <c r="H56" s="133">
        <v>0.45930889833910415</v>
      </c>
      <c r="I56" s="133">
        <v>1.3044507661227745E-2</v>
      </c>
      <c r="J56" s="133">
        <v>6.458012678419971</v>
      </c>
      <c r="K56" s="45">
        <v>1677.1922316923046</v>
      </c>
      <c r="L56" s="134">
        <v>149.23548737253537</v>
      </c>
      <c r="M56" s="45" t="s">
        <v>738</v>
      </c>
      <c r="N56" s="133">
        <v>0.68191681932668224</v>
      </c>
      <c r="O56" s="133">
        <v>7.3139653836653828E-2</v>
      </c>
      <c r="P56" s="133">
        <v>1.818444851537818E-2</v>
      </c>
      <c r="Q56" s="133">
        <v>0.39976837722643277</v>
      </c>
      <c r="R56" s="133">
        <v>0.39976837722643277</v>
      </c>
      <c r="S56" s="133">
        <v>1.135353936817647E-2</v>
      </c>
      <c r="T56" s="133">
        <v>5.6208561556184451</v>
      </c>
      <c r="U56" s="45">
        <v>1459.7686436836714</v>
      </c>
      <c r="V56" s="134">
        <v>129.88999086943028</v>
      </c>
      <c r="W56" t="s">
        <v>738</v>
      </c>
      <c r="Y56" s="13">
        <f t="shared" si="1"/>
        <v>0.93428067834898931</v>
      </c>
      <c r="Z56" s="5">
        <f t="shared" si="0"/>
        <v>0.10020718577991737</v>
      </c>
      <c r="AA56" s="357">
        <f t="shared" si="0"/>
        <v>2.4914151422639697E-2</v>
      </c>
      <c r="AB56" s="5">
        <f t="shared" si="0"/>
        <v>0.54771470665054467</v>
      </c>
      <c r="AC56" s="358">
        <f t="shared" si="0"/>
        <v>0.54771470665054467</v>
      </c>
      <c r="AD56" s="5">
        <f t="shared" si="0"/>
        <v>1.5555258591561795E-2</v>
      </c>
      <c r="AE56" s="13">
        <f t="shared" si="0"/>
        <v>7.7010232819283271</v>
      </c>
    </row>
    <row r="57" spans="1:31" x14ac:dyDescent="0.25">
      <c r="A57" s="812" t="s">
        <v>2001</v>
      </c>
      <c r="B57" s="812">
        <v>2104008410</v>
      </c>
      <c r="C57" s="812" t="s">
        <v>144</v>
      </c>
      <c r="D57" s="133">
        <v>1.3127937219694677E-2</v>
      </c>
      <c r="E57" s="133">
        <v>2.2925467888553541E-2</v>
      </c>
      <c r="F57" s="133">
        <v>1.832205225858425E-3</v>
      </c>
      <c r="G57" s="133">
        <v>1.6947898339190432E-2</v>
      </c>
      <c r="H57" s="133">
        <v>1.6947898339190432E-2</v>
      </c>
      <c r="I57" s="133">
        <v>4.1155909885844875E-4</v>
      </c>
      <c r="J57" s="133">
        <v>5.6867069697580867E-2</v>
      </c>
      <c r="K57" s="45">
        <v>175.64327505661532</v>
      </c>
      <c r="L57" s="134">
        <v>15.628625783899487</v>
      </c>
      <c r="M57" s="45" t="s">
        <v>738</v>
      </c>
      <c r="N57" s="133">
        <v>1.1426153896920959E-2</v>
      </c>
      <c r="O57" s="133">
        <v>1.9953624081973226E-2</v>
      </c>
      <c r="P57" s="133">
        <v>1.5946952313265327E-3</v>
      </c>
      <c r="Q57" s="133">
        <v>1.4750930889770423E-2</v>
      </c>
      <c r="R57" s="133">
        <v>1.4750930889770423E-2</v>
      </c>
      <c r="S57" s="133">
        <v>3.5820841633672231E-4</v>
      </c>
      <c r="T57" s="133">
        <v>4.9495353242297258E-2</v>
      </c>
      <c r="U57" s="45">
        <v>152.87367813696858</v>
      </c>
      <c r="V57" s="134">
        <v>13.602676522273606</v>
      </c>
      <c r="W57" t="s">
        <v>738</v>
      </c>
      <c r="Y57" s="13">
        <f t="shared" si="1"/>
        <v>0.14948490853583821</v>
      </c>
      <c r="Z57" s="5">
        <f t="shared" si="0"/>
        <v>0.261047216566551</v>
      </c>
      <c r="AA57" s="357">
        <f t="shared" si="0"/>
        <v>2.0862914410913185E-2</v>
      </c>
      <c r="AB57" s="5">
        <f t="shared" si="0"/>
        <v>0.19298195830094689</v>
      </c>
      <c r="AC57" s="358">
        <f t="shared" si="0"/>
        <v>0.19298195830094689</v>
      </c>
      <c r="AD57" s="5">
        <f t="shared" si="0"/>
        <v>4.6863321495513727E-3</v>
      </c>
      <c r="AE57" s="13">
        <f t="shared" si="0"/>
        <v>0.64753270602871793</v>
      </c>
    </row>
    <row r="58" spans="1:31" x14ac:dyDescent="0.25">
      <c r="A58" s="812" t="s">
        <v>2001</v>
      </c>
      <c r="B58" s="812">
        <v>2104008420</v>
      </c>
      <c r="C58" s="812" t="s">
        <v>145</v>
      </c>
      <c r="D58" s="133">
        <v>4.428094023989438E-2</v>
      </c>
      <c r="E58" s="133">
        <v>7.7328315679458082E-2</v>
      </c>
      <c r="F58" s="133">
        <v>6.180085169187461E-3</v>
      </c>
      <c r="G58" s="133">
        <v>5.7165787814984013E-2</v>
      </c>
      <c r="H58" s="133">
        <v>5.7165787814984013E-2</v>
      </c>
      <c r="I58" s="133">
        <v>1.3882016311287338E-3</v>
      </c>
      <c r="J58" s="133">
        <v>0.19181439343865589</v>
      </c>
      <c r="K58" s="45">
        <v>592.45022551244404</v>
      </c>
      <c r="L58" s="134">
        <v>52.715840484848179</v>
      </c>
      <c r="M58" s="45" t="s">
        <v>738</v>
      </c>
      <c r="N58" s="133">
        <v>3.8540772203141352E-2</v>
      </c>
      <c r="O58" s="133">
        <v>6.7304194159128083E-2</v>
      </c>
      <c r="P58" s="133">
        <v>5.3789565761540913E-3</v>
      </c>
      <c r="Q58" s="133">
        <v>4.9755348329425367E-2</v>
      </c>
      <c r="R58" s="133">
        <v>4.9755348329425367E-2</v>
      </c>
      <c r="S58" s="133">
        <v>1.2082481209186131E-3</v>
      </c>
      <c r="T58" s="133">
        <v>0.1669493647323827</v>
      </c>
      <c r="U58" s="45">
        <v>515.64766745535928</v>
      </c>
      <c r="V58" s="134">
        <v>45.88225066172437</v>
      </c>
      <c r="W58" t="s">
        <v>738</v>
      </c>
      <c r="Y58" s="13">
        <f t="shared" si="1"/>
        <v>0.14948490853583821</v>
      </c>
      <c r="Z58" s="5">
        <f t="shared" si="0"/>
        <v>0.26104721656655122</v>
      </c>
      <c r="AA58" s="357">
        <f t="shared" si="0"/>
        <v>2.0862914410913182E-2</v>
      </c>
      <c r="AB58" s="5">
        <f t="shared" si="0"/>
        <v>0.192981958300947</v>
      </c>
      <c r="AC58" s="358">
        <f t="shared" si="0"/>
        <v>0.192981958300947</v>
      </c>
      <c r="AD58" s="5">
        <f t="shared" si="0"/>
        <v>4.6863321495513744E-3</v>
      </c>
      <c r="AE58" s="13">
        <f t="shared" si="0"/>
        <v>0.64753270602871815</v>
      </c>
    </row>
    <row r="59" spans="1:31" x14ac:dyDescent="0.25">
      <c r="A59" s="812" t="s">
        <v>2001</v>
      </c>
      <c r="B59" s="812">
        <v>2104008610</v>
      </c>
      <c r="C59" s="812" t="s">
        <v>146</v>
      </c>
      <c r="D59" s="133">
        <v>1.2436213755319827</v>
      </c>
      <c r="E59" s="133">
        <v>4.4176869287380183E-2</v>
      </c>
      <c r="F59" s="133">
        <v>1.0957016524510858E-2</v>
      </c>
      <c r="G59" s="133">
        <v>0.27036854858097603</v>
      </c>
      <c r="H59" s="133">
        <v>0.27036854858097603</v>
      </c>
      <c r="I59" s="133">
        <v>6.6771666872821626E-3</v>
      </c>
      <c r="J59" s="133">
        <v>1.6591844839967937</v>
      </c>
      <c r="K59" s="45">
        <v>879.28009933739293</v>
      </c>
      <c r="L59" s="134">
        <v>78.265050222520458</v>
      </c>
      <c r="M59" s="45" t="s">
        <v>738</v>
      </c>
      <c r="N59" s="133">
        <v>1.1370688351680986</v>
      </c>
      <c r="O59" s="133">
        <v>4.0391828485970616E-2</v>
      </c>
      <c r="P59" s="133">
        <v>1.0018227622626413E-2</v>
      </c>
      <c r="Q59" s="133">
        <v>0.24720357550106578</v>
      </c>
      <c r="R59" s="133">
        <v>0.24720357550106578</v>
      </c>
      <c r="S59" s="133">
        <v>6.1050720876226205E-3</v>
      </c>
      <c r="T59" s="133">
        <v>1.5170268103024409</v>
      </c>
      <c r="U59" s="45">
        <v>803.94379103366714</v>
      </c>
      <c r="V59" s="134">
        <v>71.559359819483447</v>
      </c>
      <c r="W59" t="s">
        <v>738</v>
      </c>
      <c r="Y59" s="13">
        <f t="shared" si="1"/>
        <v>2.8287272017017941</v>
      </c>
      <c r="Z59" s="5">
        <f t="shared" si="0"/>
        <v>0.10048421030539213</v>
      </c>
      <c r="AA59" s="357">
        <f t="shared" si="0"/>
        <v>2.4922706622923282E-2</v>
      </c>
      <c r="AB59" s="5">
        <f t="shared" si="0"/>
        <v>0.6149772614904454</v>
      </c>
      <c r="AC59" s="358">
        <f t="shared" si="0"/>
        <v>0.6149772614904454</v>
      </c>
      <c r="AD59" s="5">
        <f t="shared" si="0"/>
        <v>1.5187808291355921E-2</v>
      </c>
      <c r="AE59" s="13">
        <f t="shared" si="0"/>
        <v>3.7739623770262112</v>
      </c>
    </row>
    <row r="60" spans="1:31" x14ac:dyDescent="0.25">
      <c r="A60" s="812" t="s">
        <v>2001</v>
      </c>
      <c r="B60" s="812">
        <v>2104004000</v>
      </c>
      <c r="C60" s="812" t="s">
        <v>568</v>
      </c>
      <c r="D60" s="133">
        <v>9.0759561354475993E-2</v>
      </c>
      <c r="E60" s="133">
        <v>1.4220367236208942</v>
      </c>
      <c r="F60" s="133">
        <v>3.6790818748514993</v>
      </c>
      <c r="G60" s="133">
        <v>5.8121391973606024E-2</v>
      </c>
      <c r="H60" s="133">
        <v>5.8121391973606024E-2</v>
      </c>
      <c r="I60" s="133">
        <v>3.1182126793839636E-3</v>
      </c>
      <c r="J60" s="133">
        <v>5.7007398627445235E-2</v>
      </c>
      <c r="K60" s="45">
        <v>34168.024456298182</v>
      </c>
      <c r="L60" s="134">
        <v>254.58502483723996</v>
      </c>
      <c r="M60" s="45" t="s">
        <v>1997</v>
      </c>
      <c r="N60" s="133">
        <v>8.3828936687935493E-2</v>
      </c>
      <c r="O60" s="133">
        <v>1.3134464809360398</v>
      </c>
      <c r="P60" s="133">
        <v>3.3981380799329663</v>
      </c>
      <c r="Q60" s="133">
        <v>5.3683098675859957E-2</v>
      </c>
      <c r="R60" s="133">
        <v>5.3683098675859957E-2</v>
      </c>
      <c r="S60" s="133">
        <v>2.8800982439598859E-3</v>
      </c>
      <c r="T60" s="133">
        <v>5.2654172617905982E-2</v>
      </c>
      <c r="U60" s="45">
        <v>31558.869568705712</v>
      </c>
      <c r="V60" s="134">
        <v>235.14428243460176</v>
      </c>
      <c r="W60" t="s">
        <v>1997</v>
      </c>
      <c r="Y60" s="13">
        <f t="shared" si="1"/>
        <v>5.312543689528197E-3</v>
      </c>
      <c r="Z60" s="5">
        <f t="shared" si="0"/>
        <v>8.3237866177467562E-2</v>
      </c>
      <c r="AA60" s="357">
        <f t="shared" si="0"/>
        <v>0.21535233209383492</v>
      </c>
      <c r="AB60" s="5">
        <f t="shared" si="0"/>
        <v>3.4020926230572588E-3</v>
      </c>
      <c r="AC60" s="358">
        <f t="shared" si="0"/>
        <v>3.4020926230572588E-3</v>
      </c>
      <c r="AD60" s="5">
        <f t="shared" si="0"/>
        <v>1.8252226922702187E-4</v>
      </c>
      <c r="AE60" s="13">
        <f t="shared" si="0"/>
        <v>3.3368858477819952E-3</v>
      </c>
    </row>
    <row r="61" spans="1:31" x14ac:dyDescent="0.25">
      <c r="A61" s="812" t="s">
        <v>2001</v>
      </c>
      <c r="B61" s="812">
        <v>2103004001</v>
      </c>
      <c r="C61" s="812" t="s">
        <v>148</v>
      </c>
      <c r="D61" s="133">
        <v>2.8633429260180879E-2</v>
      </c>
      <c r="E61" s="133">
        <v>0.72286357178577254</v>
      </c>
      <c r="F61" s="133">
        <v>0.51095209980804113</v>
      </c>
      <c r="G61" s="133">
        <v>1.8336522794327254E-2</v>
      </c>
      <c r="H61" s="133">
        <v>1.8336522794327254E-2</v>
      </c>
      <c r="I61" s="133">
        <v>9.8375444791565735E-4</v>
      </c>
      <c r="J61" s="133">
        <v>1.7985072774102651E-2</v>
      </c>
      <c r="K61" s="45">
        <v>11124.067188036614</v>
      </c>
      <c r="L61" s="134">
        <v>82.885123340380915</v>
      </c>
      <c r="M61" s="45" t="s">
        <v>1997</v>
      </c>
      <c r="N61" s="133">
        <v>2.8163782728379771E-2</v>
      </c>
      <c r="O61" s="133">
        <v>0.71100713760285517</v>
      </c>
      <c r="P61" s="133">
        <v>0.50257144517492502</v>
      </c>
      <c r="Q61" s="133">
        <v>1.8035766491007917E-2</v>
      </c>
      <c r="R61" s="133">
        <v>1.8035766491007917E-2</v>
      </c>
      <c r="S61" s="133">
        <v>9.6761887224257499E-4</v>
      </c>
      <c r="T61" s="133">
        <v>1.7690080966596931E-2</v>
      </c>
      <c r="U61" s="45">
        <v>10941.609839777277</v>
      </c>
      <c r="V61" s="134">
        <v>81.525638580067891</v>
      </c>
      <c r="W61" t="s">
        <v>1997</v>
      </c>
      <c r="Y61" s="13">
        <f t="shared" si="1"/>
        <v>5.1480144404332118E-3</v>
      </c>
      <c r="Z61" s="5">
        <f t="shared" si="0"/>
        <v>0.12996389891696744</v>
      </c>
      <c r="AA61" s="357">
        <f t="shared" si="0"/>
        <v>9.1864259927797814E-2</v>
      </c>
      <c r="AB61" s="5">
        <f t="shared" si="0"/>
        <v>3.2967299611507709E-3</v>
      </c>
      <c r="AC61" s="358">
        <f t="shared" si="0"/>
        <v>3.2967299611507709E-3</v>
      </c>
      <c r="AD61" s="5">
        <f t="shared" si="0"/>
        <v>1.7686956241573892E-4</v>
      </c>
      <c r="AE61" s="13">
        <f t="shared" si="0"/>
        <v>3.2335426368953809E-3</v>
      </c>
    </row>
    <row r="62" spans="1:31" x14ac:dyDescent="0.25">
      <c r="A62" s="812" t="s">
        <v>2001</v>
      </c>
      <c r="B62" s="812">
        <v>2104004000</v>
      </c>
      <c r="C62" s="812" t="s">
        <v>746</v>
      </c>
      <c r="D62" s="133">
        <v>6.066132818119827E-4</v>
      </c>
      <c r="E62" s="133">
        <v>1.5314220298198717E-2</v>
      </c>
      <c r="F62" s="133">
        <v>2.4590025522953734E-2</v>
      </c>
      <c r="G62" s="133">
        <v>3.4031600662663832E-4</v>
      </c>
      <c r="H62" s="133">
        <v>3.4031600662663832E-4</v>
      </c>
      <c r="I62" s="133">
        <v>2.0841321824387099E-5</v>
      </c>
      <c r="J62" s="133">
        <v>3.8102261241540253E-4</v>
      </c>
      <c r="K62" s="45">
        <v>233.10795663908152</v>
      </c>
      <c r="L62" s="134">
        <v>1.7015800331331914</v>
      </c>
      <c r="M62" s="45" t="s">
        <v>1997</v>
      </c>
      <c r="N62" s="133">
        <v>5.7277619280917574E-4</v>
      </c>
      <c r="O62" s="133">
        <v>1.4459988037258297E-2</v>
      </c>
      <c r="P62" s="133">
        <v>2.3218385786157855E-2</v>
      </c>
      <c r="Q62" s="133">
        <v>3.2133306749462884E-4</v>
      </c>
      <c r="R62" s="133">
        <v>3.2133306749462884E-4</v>
      </c>
      <c r="S62" s="133">
        <v>1.9678786016728179E-5</v>
      </c>
      <c r="T62" s="133">
        <v>3.597690453819364E-4</v>
      </c>
      <c r="U62" s="45">
        <v>220.10511790713346</v>
      </c>
      <c r="V62" s="134">
        <v>1.6066653374731446</v>
      </c>
      <c r="W62" t="s">
        <v>1997</v>
      </c>
      <c r="Y62" s="13">
        <f t="shared" si="1"/>
        <v>5.2045695098361221E-3</v>
      </c>
      <c r="Z62" s="5">
        <f t="shared" si="0"/>
        <v>0.13139165662980395</v>
      </c>
      <c r="AA62" s="357">
        <f t="shared" si="0"/>
        <v>0.21097542853096343</v>
      </c>
      <c r="AB62" s="5">
        <f t="shared" si="0"/>
        <v>2.9198145917734217E-3</v>
      </c>
      <c r="AC62" s="358">
        <f t="shared" si="0"/>
        <v>2.9198145917734217E-3</v>
      </c>
      <c r="AD62" s="5">
        <f t="shared" si="0"/>
        <v>1.7881261647928636E-4</v>
      </c>
      <c r="AE62" s="13">
        <f t="shared" si="0"/>
        <v>3.2690656973612927E-3</v>
      </c>
    </row>
    <row r="63" spans="1:31" x14ac:dyDescent="0.25">
      <c r="A63" s="812" t="s">
        <v>2001</v>
      </c>
      <c r="B63" s="812">
        <v>2104004000</v>
      </c>
      <c r="C63" s="812" t="s">
        <v>747</v>
      </c>
      <c r="D63" s="133">
        <v>2.3376813315535219E-3</v>
      </c>
      <c r="E63" s="133">
        <v>3.662720105718266E-2</v>
      </c>
      <c r="F63" s="133">
        <v>9.4761597431113301E-2</v>
      </c>
      <c r="G63" s="133">
        <v>1.4970245663698636E-3</v>
      </c>
      <c r="H63" s="133">
        <v>1.4970245663698636E-3</v>
      </c>
      <c r="I63" s="133">
        <v>8.0315367985743215E-5</v>
      </c>
      <c r="J63" s="133">
        <v>1.468331595514442E-3</v>
      </c>
      <c r="K63" s="45">
        <v>819.6638609935211</v>
      </c>
      <c r="L63" s="134">
        <v>6.5573108879481685</v>
      </c>
      <c r="M63" s="45" t="s">
        <v>1997</v>
      </c>
      <c r="N63" s="133">
        <v>1.9378098740717279E-3</v>
      </c>
      <c r="O63" s="133">
        <v>3.0361944936716866E-2</v>
      </c>
      <c r="P63" s="133">
        <v>7.8552177624137048E-2</v>
      </c>
      <c r="Q63" s="133">
        <v>1.2409514279312073E-3</v>
      </c>
      <c r="R63" s="133">
        <v>1.2409514279312073E-3</v>
      </c>
      <c r="S63" s="133">
        <v>6.6577044108509281E-5</v>
      </c>
      <c r="T63" s="133">
        <v>1.2171665255625258E-3</v>
      </c>
      <c r="U63" s="45">
        <v>679.45647758475752</v>
      </c>
      <c r="V63" s="134">
        <v>5.4356518206780597</v>
      </c>
      <c r="W63" t="s">
        <v>1997</v>
      </c>
      <c r="Y63" s="13">
        <f t="shared" si="1"/>
        <v>5.7039999999999981E-3</v>
      </c>
      <c r="Z63" s="5">
        <f t="shared" si="0"/>
        <v>8.9371272298833654E-2</v>
      </c>
      <c r="AA63" s="357">
        <f t="shared" si="0"/>
        <v>0.23122063065279469</v>
      </c>
      <c r="AB63" s="5">
        <f t="shared" si="0"/>
        <v>3.6527767969550548E-3</v>
      </c>
      <c r="AC63" s="358">
        <f t="shared" si="0"/>
        <v>3.6527767969550548E-3</v>
      </c>
      <c r="AD63" s="5">
        <f t="shared" si="0"/>
        <v>1.9597147515663872E-4</v>
      </c>
      <c r="AE63" s="13">
        <f t="shared" si="0"/>
        <v>3.582765241680083E-3</v>
      </c>
    </row>
    <row r="64" spans="1:31" x14ac:dyDescent="0.25">
      <c r="A64" s="812" t="s">
        <v>2001</v>
      </c>
      <c r="B64" s="812">
        <v>2104006010</v>
      </c>
      <c r="C64" s="812" t="s">
        <v>149</v>
      </c>
      <c r="D64" s="133">
        <v>6.4990552711092792E-4</v>
      </c>
      <c r="E64" s="133">
        <v>1.1107476281532223E-2</v>
      </c>
      <c r="F64" s="133">
        <v>7.0898784775737638E-5</v>
      </c>
      <c r="G64" s="133">
        <v>5.8529310125197171E-6</v>
      </c>
      <c r="H64" s="133">
        <v>5.8529310125197171E-6</v>
      </c>
      <c r="I64" s="133">
        <v>2.3632928258579197E-3</v>
      </c>
      <c r="J64" s="133">
        <v>4.7265856517158394E-3</v>
      </c>
      <c r="K64" s="45">
        <v>291.73882732240446</v>
      </c>
      <c r="L64" s="134">
        <v>287.42741608118678</v>
      </c>
      <c r="M64" s="45" t="s">
        <v>1998</v>
      </c>
      <c r="N64" s="133">
        <v>6.4990552711092792E-4</v>
      </c>
      <c r="O64" s="133">
        <v>1.1107476281532223E-2</v>
      </c>
      <c r="P64" s="133">
        <v>7.0898784775737638E-5</v>
      </c>
      <c r="Q64" s="133">
        <v>5.8529310125197171E-6</v>
      </c>
      <c r="R64" s="133">
        <v>5.8529310125197171E-6</v>
      </c>
      <c r="S64" s="133">
        <v>2.3632928258579197E-3</v>
      </c>
      <c r="T64" s="133">
        <v>4.7265856517158394E-3</v>
      </c>
      <c r="U64" s="45">
        <v>291.73882732240446</v>
      </c>
      <c r="V64" s="134">
        <v>287.42741608118678</v>
      </c>
      <c r="W64" t="s">
        <v>1998</v>
      </c>
      <c r="Y64" s="13">
        <f t="shared" si="1"/>
        <v>4.4553927434054482E-3</v>
      </c>
      <c r="Z64" s="5">
        <f t="shared" si="0"/>
        <v>7.6146712341838563E-2</v>
      </c>
      <c r="AA64" s="357">
        <f t="shared" si="0"/>
        <v>4.8604284473514008E-4</v>
      </c>
      <c r="AB64" s="5">
        <f t="shared" si="0"/>
        <v>4.0124456975701526E-5</v>
      </c>
      <c r="AC64" s="358">
        <f t="shared" si="0"/>
        <v>4.0124456975701526E-5</v>
      </c>
      <c r="AD64" s="5">
        <f t="shared" si="0"/>
        <v>1.6201428157837993E-2</v>
      </c>
      <c r="AE64" s="13">
        <f t="shared" si="0"/>
        <v>3.2402856315675986E-2</v>
      </c>
    </row>
    <row r="65" spans="1:31" x14ac:dyDescent="0.25">
      <c r="A65" s="812" t="s">
        <v>2001</v>
      </c>
      <c r="B65" s="812">
        <v>2103006000</v>
      </c>
      <c r="C65" s="812" t="s">
        <v>150</v>
      </c>
      <c r="D65" s="133">
        <v>7.2943884387197504E-3</v>
      </c>
      <c r="E65" s="133">
        <v>0.13262524434035922</v>
      </c>
      <c r="F65" s="133">
        <v>7.9575146604215477E-4</v>
      </c>
      <c r="G65" s="133">
        <v>1.0079518569867288E-2</v>
      </c>
      <c r="H65" s="133">
        <v>1.0079518569867288E-2</v>
      </c>
      <c r="I65" s="133">
        <v>2.6525048868071825E-2</v>
      </c>
      <c r="J65" s="133">
        <v>5.305009773614365E-2</v>
      </c>
      <c r="K65" s="45">
        <v>2692.29246010929</v>
      </c>
      <c r="L65" s="134">
        <v>2652.5048868071826</v>
      </c>
      <c r="M65" s="45" t="s">
        <v>1998</v>
      </c>
      <c r="N65" s="133">
        <v>7.2943884387197504E-3</v>
      </c>
      <c r="O65" s="133">
        <v>0.13262524434035922</v>
      </c>
      <c r="P65" s="133">
        <v>7.9575146604215477E-4</v>
      </c>
      <c r="Q65" s="133">
        <v>1.0079518569867288E-2</v>
      </c>
      <c r="R65" s="133">
        <v>1.0079518569867288E-2</v>
      </c>
      <c r="S65" s="133">
        <v>2.6525048868071825E-2</v>
      </c>
      <c r="T65" s="133">
        <v>5.305009773614365E-2</v>
      </c>
      <c r="U65" s="45">
        <v>2692.29246010929</v>
      </c>
      <c r="V65" s="134">
        <v>2652.5048868071826</v>
      </c>
      <c r="W65" t="s">
        <v>1998</v>
      </c>
      <c r="Y65" s="13">
        <f t="shared" si="1"/>
        <v>5.418719211822659E-3</v>
      </c>
      <c r="Z65" s="5">
        <f t="shared" si="0"/>
        <v>9.8522167487684803E-2</v>
      </c>
      <c r="AA65" s="357">
        <f t="shared" si="0"/>
        <v>5.9113300492610844E-4</v>
      </c>
      <c r="AB65" s="5">
        <f t="shared" si="0"/>
        <v>7.4876847290640362E-3</v>
      </c>
      <c r="AC65" s="358">
        <f t="shared" si="0"/>
        <v>7.4876847290640362E-3</v>
      </c>
      <c r="AD65" s="5">
        <f t="shared" si="0"/>
        <v>1.970443349753695E-2</v>
      </c>
      <c r="AE65" s="13">
        <f t="shared" si="0"/>
        <v>3.9408866995073899E-2</v>
      </c>
    </row>
    <row r="66" spans="1:31" x14ac:dyDescent="0.25">
      <c r="A66" s="812" t="s">
        <v>2001</v>
      </c>
      <c r="B66" s="812">
        <v>2104002000</v>
      </c>
      <c r="C66" s="812" t="s">
        <v>151</v>
      </c>
      <c r="D66" s="133">
        <v>0.13688842951172864</v>
      </c>
      <c r="E66" s="133">
        <v>6.4611338729535894E-2</v>
      </c>
      <c r="F66" s="133">
        <v>0.12730623944590758</v>
      </c>
      <c r="G66" s="133">
        <v>0.10937385517987115</v>
      </c>
      <c r="H66" s="133">
        <v>0.10937385517987115</v>
      </c>
      <c r="I66" s="133">
        <v>1.7329390734037279E-2</v>
      </c>
      <c r="J66" s="133">
        <v>1.7874206683493958</v>
      </c>
      <c r="K66" s="45">
        <v>416.1408257156549</v>
      </c>
      <c r="L66" s="134">
        <v>27.377685902345718</v>
      </c>
      <c r="M66" s="45" t="s">
        <v>738</v>
      </c>
      <c r="N66" s="133">
        <v>0.12001002206451225</v>
      </c>
      <c r="O66" s="133">
        <v>5.6644730414449763E-2</v>
      </c>
      <c r="P66" s="133">
        <v>0.11160932051999635</v>
      </c>
      <c r="Q66" s="133">
        <v>9.5888007629545274E-2</v>
      </c>
      <c r="R66" s="133">
        <v>9.5888007629545274E-2</v>
      </c>
      <c r="S66" s="133">
        <v>1.5192668743256929E-2</v>
      </c>
      <c r="T66" s="133">
        <v>1.5670308631073675</v>
      </c>
      <c r="U66" s="45">
        <v>364.83046707611709</v>
      </c>
      <c r="V66" s="134">
        <v>24.002004412902437</v>
      </c>
      <c r="W66" t="s">
        <v>738</v>
      </c>
      <c r="Y66" s="13">
        <f t="shared" si="1"/>
        <v>0.65789473684210553</v>
      </c>
      <c r="Z66" s="5">
        <f t="shared" si="1"/>
        <v>0.31052631578947371</v>
      </c>
      <c r="AA66" s="357">
        <f t="shared" si="1"/>
        <v>0.61184210526315796</v>
      </c>
      <c r="AB66" s="5">
        <f t="shared" si="1"/>
        <v>0.52565789473684221</v>
      </c>
      <c r="AC66" s="358">
        <f t="shared" si="1"/>
        <v>0.52565789473684221</v>
      </c>
      <c r="AD66" s="5">
        <f t="shared" si="1"/>
        <v>8.3286184210526346E-2</v>
      </c>
      <c r="AE66" s="13">
        <f t="shared" si="1"/>
        <v>8.5904605263157876</v>
      </c>
    </row>
    <row r="67" spans="1:31" x14ac:dyDescent="0.25">
      <c r="A67" s="812" t="s">
        <v>2001</v>
      </c>
      <c r="B67" s="812">
        <v>2103002000</v>
      </c>
      <c r="C67" s="812" t="s">
        <v>152</v>
      </c>
      <c r="D67" s="133">
        <v>3.4838015202202628E-4</v>
      </c>
      <c r="E67" s="133">
        <v>1.6443543175439639E-4</v>
      </c>
      <c r="F67" s="133">
        <v>3.239935413804844E-4</v>
      </c>
      <c r="G67" s="133">
        <v>2.7835574146559892E-4</v>
      </c>
      <c r="H67" s="133">
        <v>2.7835574146559892E-4</v>
      </c>
      <c r="I67" s="133">
        <v>4.4103185345228465E-5</v>
      </c>
      <c r="J67" s="133">
        <v>4.5489738350276082E-3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4.298835185397267E-3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2.9937064250054856E-4</v>
      </c>
      <c r="H68" s="133">
        <v>2.9937064250054856E-4</v>
      </c>
      <c r="I68" s="133">
        <v>1.0961826058757603E-5</v>
      </c>
      <c r="J68" s="133">
        <v>2.1293167390460891E-3</v>
      </c>
      <c r="K68" s="45">
        <v>9.6654102131207296</v>
      </c>
      <c r="L68" s="134">
        <v>0.79814120981799463</v>
      </c>
      <c r="M68" s="45" t="s">
        <v>738</v>
      </c>
      <c r="N68" s="133">
        <v>8.7269646582558823E-4</v>
      </c>
      <c r="O68" s="133">
        <v>3.5510956409239793E-5</v>
      </c>
      <c r="P68" s="133">
        <v>7.5369704121824456E-6</v>
      </c>
      <c r="Q68" s="133">
        <v>2.5766689106639573E-4</v>
      </c>
      <c r="R68" s="133">
        <v>2.5766689106639573E-4</v>
      </c>
      <c r="S68" s="133">
        <v>9.931887845632114E-6</v>
      </c>
      <c r="T68" s="133">
        <v>1.8733911971619836E-3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2.3729271934124715E-2</v>
      </c>
      <c r="F69" s="135">
        <v>1.6802202817214628E-2</v>
      </c>
      <c r="G69" s="135">
        <v>2.3655128992506411E-3</v>
      </c>
      <c r="H69" s="135">
        <v>2.3655128992506411E-3</v>
      </c>
      <c r="I69" s="135">
        <v>1.6537406597149254E-5</v>
      </c>
      <c r="J69" s="135">
        <v>5.648986028061233E-3</v>
      </c>
      <c r="K69" s="88">
        <v>125.9077778943812</v>
      </c>
      <c r="L69" s="136">
        <v>0.90908142884029708</v>
      </c>
      <c r="M69" s="88" t="s">
        <v>1997</v>
      </c>
      <c r="N69" s="135">
        <v>4.5454071442014893E-4</v>
      </c>
      <c r="O69" s="135">
        <v>2.3729271934124715E-2</v>
      </c>
      <c r="P69" s="135">
        <v>1.6802202817214628E-2</v>
      </c>
      <c r="Q69" s="135">
        <v>2.3655128992506411E-3</v>
      </c>
      <c r="R69" s="135">
        <v>2.3655128992506411E-3</v>
      </c>
      <c r="S69" s="135">
        <v>1.6537406597149254E-5</v>
      </c>
      <c r="T69" s="135">
        <v>5.648986028061233E-3</v>
      </c>
      <c r="U69" s="88">
        <v>125.9077778943812</v>
      </c>
      <c r="V69" s="136">
        <v>0.90908142884029708</v>
      </c>
      <c r="W69" s="3" t="s">
        <v>1997</v>
      </c>
      <c r="Y69" s="359">
        <f t="shared" si="1"/>
        <v>7.2202166064981978E-3</v>
      </c>
      <c r="Z69" s="360">
        <f t="shared" si="1"/>
        <v>0.37693099395384794</v>
      </c>
      <c r="AA69" s="361">
        <f t="shared" si="1"/>
        <v>0.26689697964980841</v>
      </c>
      <c r="AB69" s="360">
        <f t="shared" si="1"/>
        <v>3.757532598557925E-2</v>
      </c>
      <c r="AC69" s="362">
        <f t="shared" si="1"/>
        <v>3.757532598557925E-2</v>
      </c>
      <c r="AD69" s="360">
        <f t="shared" si="1"/>
        <v>2.626907864424674E-4</v>
      </c>
      <c r="AE69" s="359">
        <f t="shared" si="1"/>
        <v>8.9732121756607178E-2</v>
      </c>
    </row>
    <row r="70" spans="1:31" x14ac:dyDescent="0.25">
      <c r="A70" s="810" t="s">
        <v>2001</v>
      </c>
      <c r="B70" s="810" t="s">
        <v>341</v>
      </c>
      <c r="C70" s="810"/>
      <c r="D70" s="137">
        <v>10.746577540334965</v>
      </c>
      <c r="E70" s="137">
        <v>2.9328103655509947</v>
      </c>
      <c r="F70" s="137">
        <v>4.5579732631345058</v>
      </c>
      <c r="G70" s="137">
        <v>3.0902370654750135</v>
      </c>
      <c r="H70" s="137">
        <v>3.0902370654750135</v>
      </c>
      <c r="I70" s="137">
        <v>0.15872504384334493</v>
      </c>
      <c r="J70" s="137">
        <v>32.848124135675896</v>
      </c>
      <c r="K70" s="87">
        <v>58312.203711857037</v>
      </c>
      <c r="L70" s="87"/>
      <c r="M70" s="87"/>
      <c r="N70" s="137">
        <v>9.677700628819597</v>
      </c>
      <c r="O70" s="137">
        <v>2.7368572880585886</v>
      </c>
      <c r="P70" s="137">
        <v>4.2228981803869097</v>
      </c>
      <c r="Q70" s="137">
        <v>2.7482133759921927</v>
      </c>
      <c r="R70" s="137">
        <v>2.7482133759921927</v>
      </c>
      <c r="S70" s="137">
        <v>0.14461943313597689</v>
      </c>
      <c r="T70" s="137">
        <v>28.974211401301286</v>
      </c>
      <c r="U70" s="87">
        <v>54297.515046897715</v>
      </c>
      <c r="Y70" s="13">
        <f t="shared" si="1"/>
        <v>0.35646937508874199</v>
      </c>
      <c r="Z70" s="5">
        <f t="shared" si="1"/>
        <v>0.10080967004455792</v>
      </c>
      <c r="AA70" s="357">
        <f t="shared" si="1"/>
        <v>0.15554664616749106</v>
      </c>
      <c r="AB70" s="5">
        <f t="shared" si="1"/>
        <v>0.10122796130240998</v>
      </c>
      <c r="AC70" s="358">
        <f t="shared" si="1"/>
        <v>0.10122796130240998</v>
      </c>
      <c r="AD70" s="5">
        <f t="shared" si="1"/>
        <v>5.3269263984205006E-3</v>
      </c>
      <c r="AE70" s="13">
        <f t="shared" si="1"/>
        <v>1.0672389473542483</v>
      </c>
    </row>
    <row r="71" spans="1:31" x14ac:dyDescent="0.25">
      <c r="R71" s="133"/>
      <c r="T71" s="1" t="s">
        <v>1452</v>
      </c>
      <c r="U71" s="45">
        <f>SUM(U50:U60,U62:U64,U66)</f>
        <v>40514.679426273578</v>
      </c>
      <c r="V71" t="s">
        <v>2002</v>
      </c>
    </row>
    <row r="72" spans="1:31" x14ac:dyDescent="0.25">
      <c r="L72" s="134"/>
      <c r="U72" s="45">
        <f ca="1">U71/OFFSET(Devices!$BH$41,0,MATCH(VALUE(RIGHT(A2,4)),Devices!$BI$39:$CG$39,0))*10^6</f>
        <v>939943.04192082188</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7.8373719825439094</v>
      </c>
      <c r="O74" s="133">
        <f t="shared" si="2"/>
        <v>0.20613020331733464</v>
      </c>
      <c r="P74" s="133">
        <f t="shared" si="2"/>
        <v>0.14469007252588847</v>
      </c>
      <c r="Q74" s="133">
        <f>SUM(Q50,Q51,Q54, Q59,Q66)</f>
        <v>1.5255094627729189</v>
      </c>
      <c r="R74" s="133">
        <f t="shared" ref="R74:U74" si="3">SUM(R50,R51,R54, R59,R66)</f>
        <v>1.5255094627729189</v>
      </c>
      <c r="S74" s="133">
        <f t="shared" si="3"/>
        <v>7.4586894957221678E-2</v>
      </c>
      <c r="T74" s="133">
        <f t="shared" si="3"/>
        <v>12.895998570526945</v>
      </c>
      <c r="U74" s="45">
        <f t="shared" si="3"/>
        <v>3020.2482553575933</v>
      </c>
      <c r="Y74" s="13">
        <f t="shared" ref="Y74:AE80" si="4">N74/$U74*2000</f>
        <v>5.1898859430785267</v>
      </c>
      <c r="Z74" s="5">
        <f t="shared" si="4"/>
        <v>0.13649884770345086</v>
      </c>
      <c r="AA74" s="357">
        <f t="shared" si="4"/>
        <v>9.5813363864526005E-2</v>
      </c>
      <c r="AB74" s="5">
        <f t="shared" si="4"/>
        <v>1.0101881261362078</v>
      </c>
      <c r="AC74" s="358">
        <f t="shared" si="4"/>
        <v>1.0101881261362078</v>
      </c>
      <c r="AD74" s="5">
        <f t="shared" si="4"/>
        <v>4.9391234528428321E-2</v>
      </c>
      <c r="AE74" s="13">
        <f t="shared" si="4"/>
        <v>8.5396944093260139</v>
      </c>
    </row>
    <row r="75" spans="1:31" x14ac:dyDescent="0.25">
      <c r="M75" s="1" t="s">
        <v>2006</v>
      </c>
      <c r="N75" s="133">
        <f t="shared" ref="N75:U75" si="5">SUM(N52:N53,N55:N56)</f>
        <v>1.6662576600973487</v>
      </c>
      <c r="O75" s="133">
        <f t="shared" si="5"/>
        <v>0.20654081800692614</v>
      </c>
      <c r="P75" s="133">
        <f t="shared" si="5"/>
        <v>5.0771799689334166E-2</v>
      </c>
      <c r="Q75" s="133">
        <f t="shared" si="5"/>
        <v>1.0719448835108314</v>
      </c>
      <c r="R75" s="133">
        <f t="shared" si="5"/>
        <v>1.0719448835108314</v>
      </c>
      <c r="S75" s="133">
        <f t="shared" si="5"/>
        <v>3.5575619664272723E-2</v>
      </c>
      <c r="T75" s="133">
        <f t="shared" si="5"/>
        <v>15.720249027845743</v>
      </c>
      <c r="U75" s="45">
        <f t="shared" si="5"/>
        <v>4075.7398338036437</v>
      </c>
      <c r="Y75" s="13">
        <f t="shared" si="4"/>
        <v>0.81764672331517796</v>
      </c>
      <c r="Z75" s="5">
        <f t="shared" si="4"/>
        <v>0.10135132585937114</v>
      </c>
      <c r="AA75" s="357">
        <f t="shared" si="4"/>
        <v>2.49141514226397E-2</v>
      </c>
      <c r="AB75" s="5">
        <f t="shared" si="4"/>
        <v>0.52601241846707847</v>
      </c>
      <c r="AC75" s="358">
        <f t="shared" si="4"/>
        <v>0.52601241846707847</v>
      </c>
      <c r="AD75" s="5">
        <f t="shared" si="4"/>
        <v>1.7457257388812344E-2</v>
      </c>
      <c r="AE75" s="13">
        <f t="shared" si="4"/>
        <v>7.7140591249049262</v>
      </c>
    </row>
    <row r="76" spans="1:31" x14ac:dyDescent="0.25">
      <c r="M76" s="1" t="s">
        <v>2007</v>
      </c>
      <c r="N76" s="133">
        <f t="shared" ref="N76:U76" si="6">SUM(N60,N62:N63)</f>
        <v>8.6339522754816406E-2</v>
      </c>
      <c r="O76" s="133">
        <f t="shared" si="6"/>
        <v>1.358268413910015</v>
      </c>
      <c r="P76" s="133">
        <f t="shared" si="6"/>
        <v>3.4999086433432609</v>
      </c>
      <c r="Q76" s="133">
        <f t="shared" si="6"/>
        <v>5.5245383171285793E-2</v>
      </c>
      <c r="R76" s="133">
        <f t="shared" si="6"/>
        <v>5.5245383171285793E-2</v>
      </c>
      <c r="S76" s="133">
        <f t="shared" si="6"/>
        <v>2.9663540740851235E-3</v>
      </c>
      <c r="T76" s="133">
        <f t="shared" si="6"/>
        <v>5.4231108188850442E-2</v>
      </c>
      <c r="U76" s="45">
        <f t="shared" si="6"/>
        <v>32458.431164197602</v>
      </c>
      <c r="V76" s="134">
        <f t="shared" ref="V76" si="7">SUM(V60,V62:V63)</f>
        <v>242.18659959275297</v>
      </c>
      <c r="W76" t="s">
        <v>1997</v>
      </c>
      <c r="Y76" s="13">
        <f t="shared" si="4"/>
        <v>5.3200059065116427E-3</v>
      </c>
      <c r="Z76" s="5">
        <f t="shared" si="4"/>
        <v>8.3692795073115944E-2</v>
      </c>
      <c r="AA76" s="357">
        <f t="shared" si="4"/>
        <v>0.21565482482121567</v>
      </c>
      <c r="AB76" s="5">
        <f t="shared" si="4"/>
        <v>3.4040698326925135E-3</v>
      </c>
      <c r="AC76" s="358">
        <f t="shared" si="4"/>
        <v>3.4040698326925135E-3</v>
      </c>
      <c r="AD76" s="5">
        <f t="shared" si="4"/>
        <v>1.8277864750019591E-4</v>
      </c>
      <c r="AE76" s="13">
        <f t="shared" si="4"/>
        <v>3.341572974646329E-3</v>
      </c>
    </row>
    <row r="77" spans="1:31" x14ac:dyDescent="0.25">
      <c r="M77" s="1" t="s">
        <v>2008</v>
      </c>
      <c r="N77" s="133">
        <f t="shared" ref="N77:U77" si="8">N61</f>
        <v>2.8163782728379771E-2</v>
      </c>
      <c r="O77" s="133">
        <f t="shared" si="8"/>
        <v>0.71100713760285517</v>
      </c>
      <c r="P77" s="133">
        <f t="shared" si="8"/>
        <v>0.50257144517492502</v>
      </c>
      <c r="Q77" s="133">
        <f t="shared" si="8"/>
        <v>1.8035766491007917E-2</v>
      </c>
      <c r="R77" s="133">
        <f t="shared" si="8"/>
        <v>1.8035766491007917E-2</v>
      </c>
      <c r="S77" s="133">
        <f t="shared" si="8"/>
        <v>9.6761887224257499E-4</v>
      </c>
      <c r="T77" s="133">
        <f t="shared" si="8"/>
        <v>1.7690080966596931E-2</v>
      </c>
      <c r="U77" s="45">
        <f t="shared" si="8"/>
        <v>10941.609839777277</v>
      </c>
      <c r="Y77" s="13">
        <f t="shared" si="4"/>
        <v>5.1480144404332118E-3</v>
      </c>
      <c r="Z77" s="5">
        <f t="shared" si="4"/>
        <v>0.12996389891696744</v>
      </c>
      <c r="AA77" s="357">
        <f t="shared" si="4"/>
        <v>9.1864259927797814E-2</v>
      </c>
      <c r="AB77" s="5">
        <f t="shared" si="4"/>
        <v>3.2967299611507709E-3</v>
      </c>
      <c r="AC77" s="358">
        <f t="shared" si="4"/>
        <v>3.2967299611507709E-3</v>
      </c>
      <c r="AD77" s="5">
        <f t="shared" si="4"/>
        <v>1.7686956241573892E-4</v>
      </c>
      <c r="AE77" s="13">
        <f t="shared" si="4"/>
        <v>3.2335426368953809E-3</v>
      </c>
    </row>
    <row r="78" spans="1:31" x14ac:dyDescent="0.25">
      <c r="M78" s="1" t="s">
        <v>2009</v>
      </c>
      <c r="N78" s="133">
        <f t="shared" ref="N78:U78" si="9">SUM(N50:N59,N68)</f>
        <v>9.4344592431426335</v>
      </c>
      <c r="O78" s="133">
        <f t="shared" si="9"/>
        <v>0.44331962010732157</v>
      </c>
      <c r="P78" s="133">
        <f t="shared" si="9"/>
        <v>9.0833740473119096E-2</v>
      </c>
      <c r="Q78" s="133">
        <f t="shared" si="9"/>
        <v>2.5663302847644673</v>
      </c>
      <c r="R78" s="133">
        <f t="shared" si="9"/>
        <v>2.5663302847644673</v>
      </c>
      <c r="S78" s="133">
        <f t="shared" si="9"/>
        <v>9.6546234303338446E-2</v>
      </c>
      <c r="T78" s="133">
        <f t="shared" si="9"/>
        <v>27.267534844437154</v>
      </c>
      <c r="U78" s="45">
        <f t="shared" si="9"/>
        <v>7407.5739920246497</v>
      </c>
      <c r="V78" s="134">
        <f t="shared" ref="V78" si="10">V61</f>
        <v>81.525638580067891</v>
      </c>
      <c r="W78" t="s">
        <v>1997</v>
      </c>
      <c r="Y78" s="13">
        <f t="shared" si="4"/>
        <v>2.5472467108125345</v>
      </c>
      <c r="Z78" s="5">
        <f t="shared" si="4"/>
        <v>0.11969360564865657</v>
      </c>
      <c r="AA78" s="357">
        <f t="shared" si="4"/>
        <v>2.4524558396828721E-2</v>
      </c>
      <c r="AB78" s="5">
        <f t="shared" si="4"/>
        <v>0.69289359445548626</v>
      </c>
      <c r="AC78" s="358">
        <f t="shared" si="4"/>
        <v>0.69289359445548626</v>
      </c>
      <c r="AD78" s="5">
        <f t="shared" si="4"/>
        <v>2.6066897045452335E-2</v>
      </c>
      <c r="AE78" s="13">
        <f t="shared" si="4"/>
        <v>7.3620688429962886</v>
      </c>
    </row>
    <row r="79" spans="1:31" x14ac:dyDescent="0.25">
      <c r="M79" s="1" t="s">
        <v>2010</v>
      </c>
      <c r="N79" s="133">
        <f>SUM(N64,N65,N66,N67,N69)</f>
        <v>0.12873808019376917</v>
      </c>
      <c r="O79" s="133">
        <f t="shared" ref="O79:U79" si="11">SUM(O64,O65,O66,O67,O69)</f>
        <v>0.2242621164383968</v>
      </c>
      <c r="P79" s="133">
        <f t="shared" si="11"/>
        <v>0.12958435139560454</v>
      </c>
      <c r="Q79" s="133">
        <f t="shared" si="11"/>
        <v>0.10860194156543161</v>
      </c>
      <c r="R79" s="133">
        <f t="shared" si="11"/>
        <v>0.10860194156543161</v>
      </c>
      <c r="S79" s="133">
        <f t="shared" si="11"/>
        <v>4.4139225886310751E-2</v>
      </c>
      <c r="T79" s="133">
        <f t="shared" si="11"/>
        <v>1.6347553677086855</v>
      </c>
      <c r="U79" s="45">
        <f t="shared" si="11"/>
        <v>3489.9000508981858</v>
      </c>
      <c r="V79" s="134">
        <f t="shared" ref="V79" si="12">SUM(V50:V59,V68)</f>
        <v>659.08862034038259</v>
      </c>
      <c r="W79" t="s">
        <v>2011</v>
      </c>
      <c r="Y79" s="13">
        <f t="shared" si="4"/>
        <v>7.3777517015500893E-2</v>
      </c>
      <c r="Z79" s="5">
        <f t="shared" si="4"/>
        <v>0.1285206528368508</v>
      </c>
      <c r="AA79" s="357">
        <f t="shared" si="4"/>
        <v>7.4262500074896862E-2</v>
      </c>
      <c r="AB79" s="5">
        <f t="shared" si="4"/>
        <v>6.223785207687025E-2</v>
      </c>
      <c r="AC79" s="358">
        <f t="shared" si="4"/>
        <v>6.223785207687025E-2</v>
      </c>
      <c r="AD79" s="5">
        <f t="shared" si="4"/>
        <v>2.5295409749600574E-2</v>
      </c>
      <c r="AE79" s="13">
        <f t="shared" si="4"/>
        <v>0.93684939045056781</v>
      </c>
    </row>
    <row r="80" spans="1:31" x14ac:dyDescent="0.25">
      <c r="M80" s="1" t="s">
        <v>2012</v>
      </c>
      <c r="N80" s="133">
        <f>SUM(N76:N79)</f>
        <v>9.6777006288195988</v>
      </c>
      <c r="O80" s="133">
        <f t="shared" ref="O80:U80" si="13">SUM(O76:O79)</f>
        <v>2.7368572880585886</v>
      </c>
      <c r="P80" s="133">
        <f t="shared" si="13"/>
        <v>4.2228981803869097</v>
      </c>
      <c r="Q80" s="133">
        <f t="shared" si="13"/>
        <v>2.7482133759921927</v>
      </c>
      <c r="R80" s="133">
        <f t="shared" si="13"/>
        <v>2.7482133759921927</v>
      </c>
      <c r="S80" s="133">
        <f t="shared" si="13"/>
        <v>0.14461943313597692</v>
      </c>
      <c r="T80" s="133">
        <f t="shared" si="13"/>
        <v>28.974211401301286</v>
      </c>
      <c r="U80" s="45">
        <f t="shared" si="13"/>
        <v>54297.515046897715</v>
      </c>
      <c r="Y80" s="13">
        <f t="shared" si="4"/>
        <v>0.35646937508874205</v>
      </c>
      <c r="Z80" s="5">
        <f t="shared" si="4"/>
        <v>0.10080967004455792</v>
      </c>
      <c r="AA80" s="357">
        <f t="shared" si="4"/>
        <v>0.15554664616749106</v>
      </c>
      <c r="AB80" s="5">
        <f t="shared" si="4"/>
        <v>0.10122796130240998</v>
      </c>
      <c r="AC80" s="358">
        <f t="shared" si="4"/>
        <v>0.10122796130240998</v>
      </c>
      <c r="AD80" s="5">
        <f t="shared" si="4"/>
        <v>5.3269263984205006E-3</v>
      </c>
      <c r="AE80" s="13">
        <f t="shared" si="4"/>
        <v>1.0672389473542483</v>
      </c>
    </row>
    <row r="82" spans="20:23" x14ac:dyDescent="0.25">
      <c r="V82" s="38">
        <f>V79/Lookup!B37</f>
        <v>391.67223255261786</v>
      </c>
      <c r="W82" t="s">
        <v>2013</v>
      </c>
    </row>
    <row r="83" spans="20:23" x14ac:dyDescent="0.25">
      <c r="T83" s="1" t="s">
        <v>2014</v>
      </c>
      <c r="U83" s="13">
        <v>1.930282922015446</v>
      </c>
      <c r="V83" s="45">
        <f>V82*365/U83</f>
        <v>74061.871061076279</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1C5-966B-46CB-8CCF-CC11503EDFA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2023</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6.0279472439316262</v>
      </c>
      <c r="E6" s="133">
        <v>6.8439575695293561E-2</v>
      </c>
      <c r="F6" s="133">
        <v>1.0529165491583628E-2</v>
      </c>
      <c r="G6" s="133">
        <v>0.91077281502198393</v>
      </c>
      <c r="H6" s="133">
        <v>0.91077281502198393</v>
      </c>
      <c r="I6" s="133">
        <v>4.7381244712126333E-2</v>
      </c>
      <c r="J6" s="133">
        <v>6.6491680079350619</v>
      </c>
      <c r="K6" s="45">
        <v>847.0721127655579</v>
      </c>
      <c r="L6" s="134">
        <v>75.208946172216315</v>
      </c>
      <c r="M6" s="45" t="s">
        <v>738</v>
      </c>
      <c r="N6" s="133">
        <v>5.5543133989891418</v>
      </c>
      <c r="O6" s="133">
        <v>6.3062073525640916E-2</v>
      </c>
      <c r="P6" s="133">
        <v>9.7018574654832157E-3</v>
      </c>
      <c r="Q6" s="133">
        <v>0.83921067076429845</v>
      </c>
      <c r="R6" s="133">
        <v>0.83921067076429845</v>
      </c>
      <c r="S6" s="133">
        <v>4.3658358594674485E-2</v>
      </c>
      <c r="T6" s="133">
        <v>6.1267229894526505</v>
      </c>
      <c r="U6" s="45">
        <v>780.51512321715086</v>
      </c>
      <c r="V6" s="134">
        <v>69.29955431655938</v>
      </c>
      <c r="W6" t="s">
        <v>738</v>
      </c>
    </row>
    <row r="7" spans="1:23" x14ac:dyDescent="0.25">
      <c r="A7" s="812" t="s">
        <v>1996</v>
      </c>
      <c r="B7" s="812">
        <v>2104008210</v>
      </c>
      <c r="C7" s="812" t="s">
        <v>138</v>
      </c>
      <c r="D7" s="133">
        <v>0.12433493050232694</v>
      </c>
      <c r="E7" s="133">
        <v>6.5686378378587811E-3</v>
      </c>
      <c r="F7" s="133">
        <v>9.3837683397982573E-4</v>
      </c>
      <c r="G7" s="133">
        <v>7.1785827799456678E-2</v>
      </c>
      <c r="H7" s="133">
        <v>7.1785827799456678E-2</v>
      </c>
      <c r="I7" s="133">
        <v>3.9881015444142576E-3</v>
      </c>
      <c r="J7" s="133">
        <v>0.54144343320635946</v>
      </c>
      <c r="K7" s="45">
        <v>75.492483042926679</v>
      </c>
      <c r="L7" s="134">
        <v>6.7027470365487467</v>
      </c>
      <c r="M7" s="45" t="s">
        <v>738</v>
      </c>
      <c r="N7" s="133">
        <v>0.1080509124284761</v>
      </c>
      <c r="O7" s="133">
        <v>5.7083500905610015E-3</v>
      </c>
      <c r="P7" s="133">
        <v>8.1547858436585715E-4</v>
      </c>
      <c r="Q7" s="133">
        <v>6.2384111703988124E-2</v>
      </c>
      <c r="R7" s="133">
        <v>6.2384111703988124E-2</v>
      </c>
      <c r="S7" s="133">
        <v>3.4657839835548947E-3</v>
      </c>
      <c r="T7" s="133">
        <v>0.47053114317909983</v>
      </c>
      <c r="U7" s="45">
        <v>65.60531011940229</v>
      </c>
      <c r="V7" s="134">
        <v>5.8248951453172086</v>
      </c>
      <c r="W7" t="s">
        <v>738</v>
      </c>
    </row>
    <row r="8" spans="1:23" x14ac:dyDescent="0.25">
      <c r="A8" s="812" t="s">
        <v>1996</v>
      </c>
      <c r="B8" s="812">
        <v>2104008220</v>
      </c>
      <c r="C8" s="812" t="s">
        <v>139</v>
      </c>
      <c r="D8" s="133">
        <v>5.9270216658167223E-2</v>
      </c>
      <c r="E8" s="133">
        <v>9.8783694430278676E-3</v>
      </c>
      <c r="F8" s="133">
        <v>1.9756738886055739E-3</v>
      </c>
      <c r="G8" s="133">
        <v>5.9270216658167223E-2</v>
      </c>
      <c r="H8" s="133">
        <v>5.9270216658167223E-2</v>
      </c>
      <c r="I8" s="133">
        <v>4.4452662493625408E-3</v>
      </c>
      <c r="J8" s="133">
        <v>0.69543720878916171</v>
      </c>
      <c r="K8" s="45">
        <v>158.94310487327721</v>
      </c>
      <c r="L8" s="134">
        <v>14.112072914112936</v>
      </c>
      <c r="M8" s="45" t="s">
        <v>738</v>
      </c>
      <c r="N8" s="133">
        <v>5.1507657292079942E-2</v>
      </c>
      <c r="O8" s="133">
        <v>8.5846095486799921E-3</v>
      </c>
      <c r="P8" s="133">
        <v>1.7169219097359987E-3</v>
      </c>
      <c r="Q8" s="133">
        <v>5.1507657292079942E-2</v>
      </c>
      <c r="R8" s="133">
        <v>5.1507657292079942E-2</v>
      </c>
      <c r="S8" s="133">
        <v>3.8630742969059961E-3</v>
      </c>
      <c r="T8" s="133">
        <v>0.6043565122270711</v>
      </c>
      <c r="U8" s="45">
        <v>138.12648976750074</v>
      </c>
      <c r="V8" s="134">
        <v>12.2638292269649</v>
      </c>
      <c r="W8" t="s">
        <v>738</v>
      </c>
    </row>
    <row r="9" spans="1:23" x14ac:dyDescent="0.25">
      <c r="A9" s="812" t="s">
        <v>1996</v>
      </c>
      <c r="B9" s="812">
        <v>2104008230</v>
      </c>
      <c r="C9" s="812" t="s">
        <v>140</v>
      </c>
      <c r="D9" s="133">
        <v>4.4606262594127678E-2</v>
      </c>
      <c r="E9" s="133">
        <v>5.9475016792170212E-3</v>
      </c>
      <c r="F9" s="133">
        <v>1.1895003358434045E-3</v>
      </c>
      <c r="G9" s="133">
        <v>3.8658760914910648E-2</v>
      </c>
      <c r="H9" s="133">
        <v>3.8658760914910648E-2</v>
      </c>
      <c r="I9" s="133">
        <v>2.6763757556476607E-3</v>
      </c>
      <c r="J9" s="133">
        <v>0.31819133983811076</v>
      </c>
      <c r="K9" s="45">
        <v>95.69538663093681</v>
      </c>
      <c r="L9" s="134">
        <v>8.4965011521368528</v>
      </c>
      <c r="M9" s="45" t="s">
        <v>738</v>
      </c>
      <c r="N9" s="133">
        <v>3.8764226222248122E-2</v>
      </c>
      <c r="O9" s="133">
        <v>5.1685634962997497E-3</v>
      </c>
      <c r="P9" s="133">
        <v>1.0337126992599499E-3</v>
      </c>
      <c r="Q9" s="133">
        <v>3.3595662725948369E-2</v>
      </c>
      <c r="R9" s="133">
        <v>3.3595662725948369E-2</v>
      </c>
      <c r="S9" s="133">
        <v>2.3258535733348879E-3</v>
      </c>
      <c r="T9" s="133">
        <v>0.2765181470520367</v>
      </c>
      <c r="U9" s="45">
        <v>83.162260186207348</v>
      </c>
      <c r="V9" s="134">
        <v>7.3837231277561512</v>
      </c>
      <c r="W9" t="s">
        <v>738</v>
      </c>
    </row>
    <row r="10" spans="1:23" x14ac:dyDescent="0.25">
      <c r="A10" s="812" t="s">
        <v>1996</v>
      </c>
      <c r="B10" s="812">
        <v>2104008310</v>
      </c>
      <c r="C10" s="812" t="s">
        <v>141</v>
      </c>
      <c r="D10" s="133">
        <v>2.5232805170380468</v>
      </c>
      <c r="E10" s="133">
        <v>6.9135154990894052E-2</v>
      </c>
      <c r="F10" s="133">
        <v>1.904362654368337E-2</v>
      </c>
      <c r="G10" s="133">
        <v>0.57807068274367968</v>
      </c>
      <c r="H10" s="133">
        <v>0.57807068274367968</v>
      </c>
      <c r="I10" s="133">
        <v>1.8902158356553088E-2</v>
      </c>
      <c r="J10" s="133">
        <v>5.7688211214199479</v>
      </c>
      <c r="K10" s="45">
        <v>1532.0611100633307</v>
      </c>
      <c r="L10" s="134">
        <v>136.02702747834351</v>
      </c>
      <c r="M10" s="45" t="s">
        <v>738</v>
      </c>
      <c r="N10" s="133">
        <v>2.1928090607961166</v>
      </c>
      <c r="O10" s="133">
        <v>6.0080594789172402E-2</v>
      </c>
      <c r="P10" s="133">
        <v>1.6549502345631063E-2</v>
      </c>
      <c r="Q10" s="133">
        <v>0.5023613594848777</v>
      </c>
      <c r="R10" s="133">
        <v>0.5023613594848777</v>
      </c>
      <c r="S10" s="133">
        <v>1.6426562101588039E-2</v>
      </c>
      <c r="T10" s="133">
        <v>5.0132845475344894</v>
      </c>
      <c r="U10" s="45">
        <v>1331.4086409163097</v>
      </c>
      <c r="V10" s="134">
        <v>118.21170747904462</v>
      </c>
      <c r="W10" t="s">
        <v>738</v>
      </c>
    </row>
    <row r="11" spans="1:23" x14ac:dyDescent="0.25">
      <c r="A11" s="812" t="s">
        <v>1996</v>
      </c>
      <c r="B11" s="812">
        <v>2104008320</v>
      </c>
      <c r="C11" s="812" t="s">
        <v>142</v>
      </c>
      <c r="D11" s="133">
        <v>1.2028428562267812</v>
      </c>
      <c r="E11" s="133">
        <v>0.16126510527190271</v>
      </c>
      <c r="F11" s="133">
        <v>4.0094761874226031E-2</v>
      </c>
      <c r="G11" s="133">
        <v>0.79439002539434578</v>
      </c>
      <c r="H11" s="133">
        <v>0.79439002539434578</v>
      </c>
      <c r="I11" s="133">
        <v>2.5033338625128999E-2</v>
      </c>
      <c r="J11" s="133">
        <v>12.393385969236922</v>
      </c>
      <c r="K11" s="45">
        <v>3225.6264448289512</v>
      </c>
      <c r="L11" s="134">
        <v>286.39352187947765</v>
      </c>
      <c r="M11" s="45" t="s">
        <v>738</v>
      </c>
      <c r="N11" s="133">
        <v>1.0453077634602908</v>
      </c>
      <c r="O11" s="133">
        <v>0.14014438016014527</v>
      </c>
      <c r="P11" s="133">
        <v>3.4843592115343019E-2</v>
      </c>
      <c r="Q11" s="133">
        <v>0.69034958013132908</v>
      </c>
      <c r="R11" s="133">
        <v>0.69034958013132908</v>
      </c>
      <c r="S11" s="133">
        <v>2.1754747991157487E-2</v>
      </c>
      <c r="T11" s="133">
        <v>10.770236945033416</v>
      </c>
      <c r="U11" s="45">
        <v>2803.1694641970876</v>
      </c>
      <c r="V11" s="134">
        <v>248.88485663409904</v>
      </c>
      <c r="W11" t="s">
        <v>738</v>
      </c>
    </row>
    <row r="12" spans="1:23" x14ac:dyDescent="0.25">
      <c r="A12" s="812" t="s">
        <v>1996</v>
      </c>
      <c r="B12" s="812">
        <v>2104008330</v>
      </c>
      <c r="C12" s="812" t="s">
        <v>143</v>
      </c>
      <c r="D12" s="133">
        <v>0.90524933650515005</v>
      </c>
      <c r="E12" s="133">
        <v>9.7093400883148689E-2</v>
      </c>
      <c r="F12" s="133">
        <v>2.4139982306803993E-2</v>
      </c>
      <c r="G12" s="133">
        <v>0.53069531060591146</v>
      </c>
      <c r="H12" s="133">
        <v>0.53069531060591146</v>
      </c>
      <c r="I12" s="133">
        <v>1.5071902743468087E-2</v>
      </c>
      <c r="J12" s="133">
        <v>7.4617257724902579</v>
      </c>
      <c r="K12" s="45">
        <v>1942.0632937237779</v>
      </c>
      <c r="L12" s="134">
        <v>172.42986933408059</v>
      </c>
      <c r="M12" s="45" t="s">
        <v>738</v>
      </c>
      <c r="N12" s="133">
        <v>0.78668976119163492</v>
      </c>
      <c r="O12" s="133">
        <v>8.4377177948490409E-2</v>
      </c>
      <c r="P12" s="133">
        <v>2.0978393631776927E-2</v>
      </c>
      <c r="Q12" s="133">
        <v>0.46119069115021621</v>
      </c>
      <c r="R12" s="133">
        <v>0.46119069115021621</v>
      </c>
      <c r="S12" s="133">
        <v>1.3097951129948162E-2</v>
      </c>
      <c r="T12" s="133">
        <v>6.4844712161845708</v>
      </c>
      <c r="U12" s="45">
        <v>1687.7132599256056</v>
      </c>
      <c r="V12" s="134">
        <v>149.84690654668157</v>
      </c>
      <c r="W12" t="s">
        <v>738</v>
      </c>
    </row>
    <row r="13" spans="1:23" x14ac:dyDescent="0.25">
      <c r="A13" s="812" t="s">
        <v>1996</v>
      </c>
      <c r="B13" s="812">
        <v>2104008410</v>
      </c>
      <c r="C13" s="812" t="s">
        <v>144</v>
      </c>
      <c r="D13" s="133">
        <v>1.516829903712673E-2</v>
      </c>
      <c r="E13" s="133">
        <v>2.6488575217890487E-2</v>
      </c>
      <c r="F13" s="133">
        <v>2.1169690483828557E-3</v>
      </c>
      <c r="G13" s="133">
        <v>1.9581963697541421E-2</v>
      </c>
      <c r="H13" s="133">
        <v>1.9581963697541421E-2</v>
      </c>
      <c r="I13" s="133">
        <v>4.7552417249299917E-4</v>
      </c>
      <c r="J13" s="133">
        <v>6.5705426839182901E-2</v>
      </c>
      <c r="K13" s="45">
        <v>203.38178941640936</v>
      </c>
      <c r="L13" s="134">
        <v>18.057648011440605</v>
      </c>
      <c r="M13" s="45" t="s">
        <v>738</v>
      </c>
      <c r="N13" s="133">
        <v>1.3181722500088955E-2</v>
      </c>
      <c r="O13" s="133">
        <v>2.301939374285349E-2</v>
      </c>
      <c r="P13" s="133">
        <v>1.8397117876406384E-3</v>
      </c>
      <c r="Q13" s="133">
        <v>1.7017334035675909E-2</v>
      </c>
      <c r="R13" s="133">
        <v>1.7017334035675909E-2</v>
      </c>
      <c r="S13" s="133">
        <v>4.1324526029877848E-4</v>
      </c>
      <c r="T13" s="133">
        <v>5.7100054608896313E-2</v>
      </c>
      <c r="U13" s="45">
        <v>176.74508546387892</v>
      </c>
      <c r="V13" s="134">
        <v>15.692656408505405</v>
      </c>
      <c r="W13" t="s">
        <v>738</v>
      </c>
    </row>
    <row r="14" spans="1:23" x14ac:dyDescent="0.25">
      <c r="A14" s="812" t="s">
        <v>1996</v>
      </c>
      <c r="B14" s="812">
        <v>2104008420</v>
      </c>
      <c r="C14" s="812" t="s">
        <v>145</v>
      </c>
      <c r="D14" s="133">
        <v>5.1163144061674437E-2</v>
      </c>
      <c r="E14" s="133">
        <v>8.9346787437686703E-2</v>
      </c>
      <c r="F14" s="133">
        <v>7.1406023926223168E-3</v>
      </c>
      <c r="G14" s="133">
        <v>6.6050572131756427E-2</v>
      </c>
      <c r="H14" s="133">
        <v>6.6050572131756427E-2</v>
      </c>
      <c r="I14" s="133">
        <v>1.603957812442788E-3</v>
      </c>
      <c r="J14" s="133">
        <v>0.2216264467610152</v>
      </c>
      <c r="K14" s="45">
        <v>686.01309652212558</v>
      </c>
      <c r="L14" s="134">
        <v>60.90900794894619</v>
      </c>
      <c r="M14" s="45" t="s">
        <v>738</v>
      </c>
      <c r="N14" s="133">
        <v>4.4462359662235315E-2</v>
      </c>
      <c r="O14" s="133">
        <v>7.7645130505095541E-2</v>
      </c>
      <c r="P14" s="133">
        <v>6.2054050353722726E-3</v>
      </c>
      <c r="Q14" s="133">
        <v>5.7399996577193517E-2</v>
      </c>
      <c r="R14" s="133">
        <v>5.7399996577193517E-2</v>
      </c>
      <c r="S14" s="133">
        <v>1.3938891060704967E-3</v>
      </c>
      <c r="T14" s="133">
        <v>0.19260025878536693</v>
      </c>
      <c r="U14" s="45">
        <v>596.16666625886501</v>
      </c>
      <c r="V14" s="134">
        <v>52.931817771625902</v>
      </c>
      <c r="W14" t="s">
        <v>738</v>
      </c>
    </row>
    <row r="15" spans="1:23" x14ac:dyDescent="0.25">
      <c r="A15" s="812" t="s">
        <v>1996</v>
      </c>
      <c r="B15" s="812">
        <v>2104008610</v>
      </c>
      <c r="C15" s="812" t="s">
        <v>146</v>
      </c>
      <c r="D15" s="133">
        <v>1.2969853671370719</v>
      </c>
      <c r="E15" s="133">
        <v>4.6072505795543638E-2</v>
      </c>
      <c r="F15" s="133">
        <v>1.1427183851427949E-2</v>
      </c>
      <c r="G15" s="133">
        <v>0.28197010612945689</v>
      </c>
      <c r="H15" s="133">
        <v>0.28197010612945689</v>
      </c>
      <c r="I15" s="133">
        <v>6.9636849749671768E-3</v>
      </c>
      <c r="J15" s="133">
        <v>1.7303803548762453</v>
      </c>
      <c r="K15" s="45">
        <v>919.31775369347645</v>
      </c>
      <c r="L15" s="134">
        <v>81.623416012317151</v>
      </c>
      <c r="M15" s="45" t="s">
        <v>738</v>
      </c>
      <c r="N15" s="133">
        <v>1.1857449763891064</v>
      </c>
      <c r="O15" s="133">
        <v>4.2120939588788944E-2</v>
      </c>
      <c r="P15" s="133">
        <v>1.044709230298772E-2</v>
      </c>
      <c r="Q15" s="133">
        <v>0.25778597454258834</v>
      </c>
      <c r="R15" s="133">
        <v>0.25778597454258834</v>
      </c>
      <c r="S15" s="133">
        <v>6.3664206901965547E-3</v>
      </c>
      <c r="T15" s="133">
        <v>1.5819683591079894</v>
      </c>
      <c r="U15" s="45">
        <v>840.46931890493181</v>
      </c>
      <c r="V15" s="134">
        <v>74.622704268408668</v>
      </c>
      <c r="W15" t="s">
        <v>738</v>
      </c>
    </row>
    <row r="16" spans="1:23" x14ac:dyDescent="0.25">
      <c r="A16" s="812" t="s">
        <v>1996</v>
      </c>
      <c r="B16" s="812">
        <v>2104004000</v>
      </c>
      <c r="C16" s="812" t="s">
        <v>568</v>
      </c>
      <c r="D16" s="133">
        <v>0.10280635607074208</v>
      </c>
      <c r="E16" s="133">
        <v>1.610788015857143</v>
      </c>
      <c r="F16" s="133">
        <v>4.1674176868500608</v>
      </c>
      <c r="G16" s="133">
        <v>6.5836022446477252E-2</v>
      </c>
      <c r="H16" s="133">
        <v>6.5836022446477252E-2</v>
      </c>
      <c r="I16" s="133">
        <v>3.5321026042535045E-3</v>
      </c>
      <c r="J16" s="133">
        <v>6.4574165349586404E-2</v>
      </c>
      <c r="K16" s="45">
        <v>38703.251052179949</v>
      </c>
      <c r="L16" s="134">
        <v>288.37687537375069</v>
      </c>
      <c r="M16" s="45" t="s">
        <v>1997</v>
      </c>
      <c r="N16" s="133">
        <v>9.4885035805636148E-2</v>
      </c>
      <c r="O16" s="133">
        <v>1.4866753807977009</v>
      </c>
      <c r="P16" s="133">
        <v>3.8463144843078858</v>
      </c>
      <c r="Q16" s="133">
        <v>6.0763298942685347E-2</v>
      </c>
      <c r="R16" s="133">
        <v>6.0763298942685347E-2</v>
      </c>
      <c r="S16" s="133">
        <v>3.2599509882750683E-3</v>
      </c>
      <c r="T16" s="133">
        <v>5.9598669046283879E-2</v>
      </c>
      <c r="U16" s="45">
        <v>35721.131477061892</v>
      </c>
      <c r="V16" s="134">
        <v>266.15718318551512</v>
      </c>
      <c r="W16" t="s">
        <v>1997</v>
      </c>
    </row>
    <row r="17" spans="1:23" x14ac:dyDescent="0.25">
      <c r="A17" s="812" t="s">
        <v>1996</v>
      </c>
      <c r="B17" s="812">
        <v>2103004001</v>
      </c>
      <c r="C17" s="812" t="s">
        <v>148</v>
      </c>
      <c r="D17" s="133">
        <v>3.3422628929735132E-2</v>
      </c>
      <c r="E17" s="133">
        <v>0.84376903328924591</v>
      </c>
      <c r="F17" s="133">
        <v>0.59641345357476327</v>
      </c>
      <c r="G17" s="133">
        <v>2.1403471852695522E-2</v>
      </c>
      <c r="H17" s="133">
        <v>2.1403471852695522E-2</v>
      </c>
      <c r="I17" s="133">
        <v>1.1482962648971149E-3</v>
      </c>
      <c r="J17" s="133">
        <v>2.0993238642185535E-2</v>
      </c>
      <c r="K17" s="45">
        <v>12984.667901173398</v>
      </c>
      <c r="L17" s="134">
        <v>96.748408862549951</v>
      </c>
      <c r="M17" s="45" t="s">
        <v>1997</v>
      </c>
      <c r="N17" s="133">
        <v>3.2878657404300848E-2</v>
      </c>
      <c r="O17" s="133">
        <v>0.83003623180563169</v>
      </c>
      <c r="P17" s="133">
        <v>0.58670649913941186</v>
      </c>
      <c r="Q17" s="133">
        <v>2.1055118667858468E-2</v>
      </c>
      <c r="R17" s="133">
        <v>2.1055118667858468E-2</v>
      </c>
      <c r="S17" s="133">
        <v>1.1296071165306069E-3</v>
      </c>
      <c r="T17" s="133">
        <v>2.0651562226724516E-2</v>
      </c>
      <c r="U17" s="45">
        <v>12773.335345008891</v>
      </c>
      <c r="V17" s="134">
        <v>95.173775710174581</v>
      </c>
      <c r="W17" t="s">
        <v>1997</v>
      </c>
    </row>
    <row r="18" spans="1:23" x14ac:dyDescent="0.25">
      <c r="A18" s="812" t="s">
        <v>1996</v>
      </c>
      <c r="B18" s="812">
        <v>2104004000</v>
      </c>
      <c r="C18" s="812" t="s">
        <v>746</v>
      </c>
      <c r="D18" s="133">
        <v>6.8906935557735732E-4</v>
      </c>
      <c r="E18" s="133">
        <v>1.7395860309105799E-2</v>
      </c>
      <c r="F18" s="133">
        <v>2.7932512440412248E-2</v>
      </c>
      <c r="G18" s="133">
        <v>3.8657467353568457E-4</v>
      </c>
      <c r="H18" s="133">
        <v>3.8657467353568457E-4</v>
      </c>
      <c r="I18" s="133">
        <v>2.3674252822182539E-5</v>
      </c>
      <c r="J18" s="133">
        <v>4.328144698929613E-4</v>
      </c>
      <c r="K18" s="45">
        <v>264.79398700510546</v>
      </c>
      <c r="L18" s="134">
        <v>1.9328733676784227</v>
      </c>
      <c r="M18" s="45" t="s">
        <v>1997</v>
      </c>
      <c r="N18" s="133">
        <v>6.5006392231579415E-4</v>
      </c>
      <c r="O18" s="133">
        <v>1.641115091400322E-2</v>
      </c>
      <c r="P18" s="133">
        <v>2.6351365722736202E-2</v>
      </c>
      <c r="Q18" s="133">
        <v>3.6469224253340499E-4</v>
      </c>
      <c r="R18" s="133">
        <v>3.6469224253340499E-4</v>
      </c>
      <c r="S18" s="133">
        <v>2.2334148983579383E-5</v>
      </c>
      <c r="T18" s="133">
        <v>4.0831459076845196E-4</v>
      </c>
      <c r="U18" s="45">
        <v>249.805068829319</v>
      </c>
      <c r="V18" s="134">
        <v>1.8234612126670244</v>
      </c>
      <c r="W18" t="s">
        <v>1997</v>
      </c>
    </row>
    <row r="19" spans="1:23" x14ac:dyDescent="0.25">
      <c r="A19" s="812" t="s">
        <v>1996</v>
      </c>
      <c r="B19" s="812">
        <v>2104004000</v>
      </c>
      <c r="C19" s="812" t="s">
        <v>747</v>
      </c>
      <c r="D19" s="133">
        <v>2.9445276859753982E-3</v>
      </c>
      <c r="E19" s="133">
        <v>4.6135376159670748E-2</v>
      </c>
      <c r="F19" s="133">
        <v>0.11936107091967846</v>
      </c>
      <c r="G19" s="133">
        <v>1.885642077370739E-3</v>
      </c>
      <c r="H19" s="133">
        <v>1.885642077370739E-3</v>
      </c>
      <c r="I19" s="133">
        <v>1.0116469745094015E-4</v>
      </c>
      <c r="J19" s="133">
        <v>1.8495006042211336E-3</v>
      </c>
      <c r="K19" s="45">
        <v>1032.4430876491579</v>
      </c>
      <c r="L19" s="134">
        <v>8.2595447011932634</v>
      </c>
      <c r="M19" s="45" t="s">
        <v>1997</v>
      </c>
      <c r="N19" s="133">
        <v>2.4327900421898968E-3</v>
      </c>
      <c r="O19" s="133">
        <v>3.811738101445377E-2</v>
      </c>
      <c r="P19" s="133">
        <v>9.8616978927241791E-2</v>
      </c>
      <c r="Q19" s="133">
        <v>1.5579311041329883E-3</v>
      </c>
      <c r="R19" s="133">
        <v>1.5579311041329883E-3</v>
      </c>
      <c r="S19" s="133">
        <v>8.3583003736734828E-5</v>
      </c>
      <c r="T19" s="133">
        <v>1.5280707579704395E-3</v>
      </c>
      <c r="U19" s="45">
        <v>853.01193625171709</v>
      </c>
      <c r="V19" s="134">
        <v>6.8240954900137378</v>
      </c>
      <c r="W19" t="s">
        <v>1997</v>
      </c>
    </row>
    <row r="20" spans="1:23" x14ac:dyDescent="0.25">
      <c r="A20" s="812" t="s">
        <v>1996</v>
      </c>
      <c r="B20" s="812">
        <v>2104006010</v>
      </c>
      <c r="C20" s="812" t="s">
        <v>149</v>
      </c>
      <c r="D20" s="133">
        <v>6.6969683938961381E-4</v>
      </c>
      <c r="E20" s="133">
        <v>1.1445727800477038E-2</v>
      </c>
      <c r="F20" s="133">
        <v>7.3057837024321479E-5</v>
      </c>
      <c r="G20" s="133">
        <v>6.0311679724811497E-6</v>
      </c>
      <c r="H20" s="133">
        <v>6.0311679724811497E-6</v>
      </c>
      <c r="I20" s="133">
        <v>2.4352612341440511E-3</v>
      </c>
      <c r="J20" s="133">
        <v>4.8705224682881023E-3</v>
      </c>
      <c r="K20" s="45">
        <v>300.62303278688512</v>
      </c>
      <c r="L20" s="134">
        <v>296.18032786885294</v>
      </c>
      <c r="M20" s="45" t="s">
        <v>1998</v>
      </c>
      <c r="N20" s="133">
        <v>6.6969683938961381E-4</v>
      </c>
      <c r="O20" s="133">
        <v>1.1445727800477038E-2</v>
      </c>
      <c r="P20" s="133">
        <v>7.3057837024321479E-5</v>
      </c>
      <c r="Q20" s="133">
        <v>6.0311679724811497E-6</v>
      </c>
      <c r="R20" s="133">
        <v>6.0311679724811497E-6</v>
      </c>
      <c r="S20" s="133">
        <v>2.4352612341440511E-3</v>
      </c>
      <c r="T20" s="133">
        <v>4.8705224682881023E-3</v>
      </c>
      <c r="U20" s="45">
        <v>300.62303278688512</v>
      </c>
      <c r="V20" s="134">
        <v>296.18032786885294</v>
      </c>
      <c r="W20" t="s">
        <v>1998</v>
      </c>
    </row>
    <row r="21" spans="1:23" x14ac:dyDescent="0.25">
      <c r="A21" s="812" t="s">
        <v>1996</v>
      </c>
      <c r="B21" s="812">
        <v>2103006000</v>
      </c>
      <c r="C21" s="812" t="s">
        <v>150</v>
      </c>
      <c r="D21" s="133">
        <v>5.2612909836065565E-3</v>
      </c>
      <c r="E21" s="133">
        <v>9.5659836065573767E-2</v>
      </c>
      <c r="F21" s="133">
        <v>5.7395901639344278E-4</v>
      </c>
      <c r="G21" s="133">
        <v>7.2701475409836071E-3</v>
      </c>
      <c r="H21" s="133">
        <v>7.2701475409836071E-3</v>
      </c>
      <c r="I21" s="133">
        <v>1.9131967213114762E-2</v>
      </c>
      <c r="J21" s="133">
        <v>3.8263934426229523E-2</v>
      </c>
      <c r="K21" s="45">
        <v>1941.8946721311484</v>
      </c>
      <c r="L21" s="134">
        <v>1913.1967213114738</v>
      </c>
      <c r="M21" s="45" t="s">
        <v>1998</v>
      </c>
      <c r="N21" s="133">
        <v>5.2612909836065565E-3</v>
      </c>
      <c r="O21" s="133">
        <v>9.5659836065573767E-2</v>
      </c>
      <c r="P21" s="133">
        <v>5.7395901639344278E-4</v>
      </c>
      <c r="Q21" s="133">
        <v>7.2701475409836071E-3</v>
      </c>
      <c r="R21" s="133">
        <v>7.2701475409836071E-3</v>
      </c>
      <c r="S21" s="133">
        <v>1.9131967213114762E-2</v>
      </c>
      <c r="T21" s="133">
        <v>3.8263934426229523E-2</v>
      </c>
      <c r="U21" s="45">
        <v>1941.8946721311484</v>
      </c>
      <c r="V21" s="134">
        <v>1913.1967213114738</v>
      </c>
      <c r="W21" t="s">
        <v>1998</v>
      </c>
    </row>
    <row r="22" spans="1:23" x14ac:dyDescent="0.25">
      <c r="A22" s="812" t="s">
        <v>1996</v>
      </c>
      <c r="B22" s="812">
        <v>2104002000</v>
      </c>
      <c r="C22" s="812" t="s">
        <v>151</v>
      </c>
      <c r="D22" s="133">
        <v>0.15624987208679203</v>
      </c>
      <c r="E22" s="133">
        <v>7.374993962496583E-2</v>
      </c>
      <c r="F22" s="133">
        <v>0.14531238104071656</v>
      </c>
      <c r="G22" s="133">
        <v>0.12484364779734683</v>
      </c>
      <c r="H22" s="133">
        <v>0.12484364779734683</v>
      </c>
      <c r="I22" s="133">
        <v>1.9780452556827439E-2</v>
      </c>
      <c r="J22" s="133">
        <v>2.0402327047732869</v>
      </c>
      <c r="K22" s="45">
        <v>474.99961114384774</v>
      </c>
      <c r="L22" s="134">
        <v>31.249974417358402</v>
      </c>
      <c r="M22" s="45" t="s">
        <v>738</v>
      </c>
      <c r="N22" s="133">
        <v>0.13679594113618931</v>
      </c>
      <c r="O22" s="133">
        <v>6.456768421628134E-2</v>
      </c>
      <c r="P22" s="133">
        <v>0.12722022525665602</v>
      </c>
      <c r="Q22" s="133">
        <v>0.10929995696781525</v>
      </c>
      <c r="R22" s="133">
        <v>0.10929995696781525</v>
      </c>
      <c r="S22" s="133">
        <v>1.7317682168135888E-2</v>
      </c>
      <c r="T22" s="133">
        <v>1.7862130013857915</v>
      </c>
      <c r="U22" s="45">
        <v>415.85966105401548</v>
      </c>
      <c r="V22" s="134">
        <v>27.359188227237862</v>
      </c>
      <c r="W22" t="s">
        <v>738</v>
      </c>
    </row>
    <row r="23" spans="1:23" x14ac:dyDescent="0.25">
      <c r="A23" s="812" t="s">
        <v>1996</v>
      </c>
      <c r="B23" s="812">
        <v>2103002000</v>
      </c>
      <c r="C23" s="812" t="s">
        <v>152</v>
      </c>
      <c r="D23" s="133">
        <v>4.0148138126104761E-4</v>
      </c>
      <c r="E23" s="133">
        <v>1.8949921195521454E-4</v>
      </c>
      <c r="F23" s="133">
        <v>3.7337768457277421E-4</v>
      </c>
      <c r="G23" s="133">
        <v>3.2078362362757698E-4</v>
      </c>
      <c r="H23" s="133">
        <v>3.2078362362757698E-4</v>
      </c>
      <c r="I23" s="133">
        <v>5.0825535460742344E-5</v>
      </c>
      <c r="J23" s="133">
        <v>5.24234313581613E-3</v>
      </c>
      <c r="K23" s="45">
        <v>18.456877950864644</v>
      </c>
      <c r="L23" s="134">
        <v>1.2205033990335847</v>
      </c>
      <c r="M23" s="45" t="s">
        <v>738</v>
      </c>
      <c r="N23" s="133">
        <v>3.7940475162931143E-4</v>
      </c>
      <c r="O23" s="133">
        <v>1.7907904276903499E-4</v>
      </c>
      <c r="P23" s="133">
        <v>3.5284641901525964E-4</v>
      </c>
      <c r="Q23" s="133">
        <v>3.0314439655181979E-4</v>
      </c>
      <c r="R23" s="133">
        <v>3.0314439655181979E-4</v>
      </c>
      <c r="S23" s="133">
        <v>4.8030744532512695E-5</v>
      </c>
      <c r="T23" s="133">
        <v>4.9540775443997348E-3</v>
      </c>
      <c r="U23" s="45">
        <v>17.43676104884138</v>
      </c>
      <c r="V23" s="134">
        <v>1.1533904449531067</v>
      </c>
      <c r="W23" t="s">
        <v>738</v>
      </c>
    </row>
    <row r="24" spans="1:23" x14ac:dyDescent="0.25">
      <c r="A24" s="812" t="s">
        <v>1996</v>
      </c>
      <c r="B24" s="812">
        <v>2103008000</v>
      </c>
      <c r="C24" s="812" t="s">
        <v>153</v>
      </c>
      <c r="D24" s="133">
        <v>1.2267802496122725E-3</v>
      </c>
      <c r="E24" s="133">
        <v>4.8776475754854209E-5</v>
      </c>
      <c r="F24" s="133">
        <v>1.0633485245822149E-5</v>
      </c>
      <c r="G24" s="133">
        <v>3.4500168382878608E-4</v>
      </c>
      <c r="H24" s="133">
        <v>3.4500168382878608E-4</v>
      </c>
      <c r="I24" s="133">
        <v>1.2632663031087651E-5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1.9363248899601761E-2</v>
      </c>
      <c r="G25" s="135">
        <v>2.7260720241086733E-3</v>
      </c>
      <c r="H25" s="135">
        <v>2.7260720241086733E-3</v>
      </c>
      <c r="I25" s="135">
        <v>1.9058091583470191E-5</v>
      </c>
      <c r="J25" s="135">
        <v>6.5100227441401174E-3</v>
      </c>
      <c r="K25" s="88">
        <v>145.09904851683226</v>
      </c>
      <c r="L25" s="136">
        <v>1.0476465596883191</v>
      </c>
      <c r="M25" s="88" t="s">
        <v>1997</v>
      </c>
      <c r="N25" s="135">
        <v>5.2382327984415965E-4</v>
      </c>
      <c r="O25" s="135">
        <v>2.734616428960358E-2</v>
      </c>
      <c r="P25" s="135">
        <v>1.9363248899601761E-2</v>
      </c>
      <c r="Q25" s="135">
        <v>2.7260720241086733E-3</v>
      </c>
      <c r="R25" s="135">
        <v>2.7260720241086733E-3</v>
      </c>
      <c r="S25" s="135">
        <v>1.9058091583470191E-5</v>
      </c>
      <c r="T25" s="135">
        <v>6.5100227441401174E-3</v>
      </c>
      <c r="U25" s="88">
        <v>145.09904851683226</v>
      </c>
      <c r="V25" s="136">
        <v>1.0476465596883191</v>
      </c>
      <c r="W25" s="3" t="s">
        <v>1997</v>
      </c>
    </row>
    <row r="26" spans="1:23" x14ac:dyDescent="0.25">
      <c r="A26" s="810" t="s">
        <v>1996</v>
      </c>
      <c r="B26" s="810" t="s">
        <v>341</v>
      </c>
      <c r="C26" s="810"/>
      <c r="D26" s="137">
        <v>12.555043700554632</v>
      </c>
      <c r="E26" s="137">
        <v>3.306763843335959</v>
      </c>
      <c r="F26" s="137">
        <v>5.1954272243156305</v>
      </c>
      <c r="G26" s="137">
        <v>3.5762696759851567</v>
      </c>
      <c r="H26" s="137">
        <v>3.5762696759851567</v>
      </c>
      <c r="I26" s="137">
        <v>0.17277699006018926</v>
      </c>
      <c r="J26" s="137">
        <v>38.031308202087359</v>
      </c>
      <c r="K26" s="87">
        <v>65563.03448938833</v>
      </c>
      <c r="L26" s="87"/>
      <c r="M26" s="87"/>
      <c r="N26" s="137">
        <v>11.296314258779484</v>
      </c>
      <c r="O26" s="137">
        <v>3.0803907729934297</v>
      </c>
      <c r="P26" s="137">
        <v>4.809713019183377</v>
      </c>
      <c r="Q26" s="137">
        <v>3.1764463727745915</v>
      </c>
      <c r="R26" s="137">
        <v>3.1764463727745915</v>
      </c>
      <c r="S26" s="137">
        <v>0.15622480717507173</v>
      </c>
      <c r="T26" s="137">
        <v>33.502947287897115</v>
      </c>
      <c r="U26" s="87">
        <v>60930.377031132804</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3.7920374641739736</v>
      </c>
      <c r="E28" s="133">
        <v>4.3053700466604068E-2</v>
      </c>
      <c r="F28" s="133">
        <v>6.623646225631395E-3</v>
      </c>
      <c r="G28" s="133">
        <v>0.57294539851711557</v>
      </c>
      <c r="H28" s="133">
        <v>0.57294539851711557</v>
      </c>
      <c r="I28" s="133">
        <v>2.9806408015341283E-2</v>
      </c>
      <c r="J28" s="133">
        <v>4.1828325914862257</v>
      </c>
      <c r="K28" s="45">
        <v>529.81779415251367</v>
      </c>
      <c r="L28" s="134">
        <v>47.31214955691523</v>
      </c>
      <c r="M28" s="45" t="s">
        <v>738</v>
      </c>
      <c r="N28" s="133">
        <v>3.5068854856312774</v>
      </c>
      <c r="O28" s="133">
        <v>3.9816167085769953E-2</v>
      </c>
      <c r="P28" s="133">
        <v>6.1255641670415334E-3</v>
      </c>
      <c r="Q28" s="133">
        <v>0.52986130044909241</v>
      </c>
      <c r="R28" s="133">
        <v>0.52986130044909241</v>
      </c>
      <c r="S28" s="133">
        <v>2.7565038751686893E-2</v>
      </c>
      <c r="T28" s="133">
        <v>3.8682937714867274</v>
      </c>
      <c r="U28" s="45">
        <v>489.97678685839787</v>
      </c>
      <c r="V28" s="134">
        <v>43.754391179598898</v>
      </c>
      <c r="W28" t="s">
        <v>738</v>
      </c>
    </row>
    <row r="29" spans="1:23" x14ac:dyDescent="0.25">
      <c r="A29" s="812" t="s">
        <v>1999</v>
      </c>
      <c r="B29" s="812">
        <v>2104008210</v>
      </c>
      <c r="C29" s="812" t="s">
        <v>138</v>
      </c>
      <c r="D29" s="133">
        <v>8.9416446812811426E-2</v>
      </c>
      <c r="E29" s="133">
        <v>4.7238877561485296E-3</v>
      </c>
      <c r="F29" s="133">
        <v>6.7484110802121852E-4</v>
      </c>
      <c r="G29" s="133">
        <v>5.162534476362321E-2</v>
      </c>
      <c r="H29" s="133">
        <v>5.162534476362321E-2</v>
      </c>
      <c r="I29" s="133">
        <v>2.8680747090901767E-3</v>
      </c>
      <c r="J29" s="133">
        <v>0.38938331932824299</v>
      </c>
      <c r="K29" s="45">
        <v>53.979759044446482</v>
      </c>
      <c r="L29" s="134">
        <v>4.8203334450898634</v>
      </c>
      <c r="M29" s="45" t="s">
        <v>738</v>
      </c>
      <c r="N29" s="133">
        <v>7.8022929749691924E-2</v>
      </c>
      <c r="O29" s="133">
        <v>4.1219660999837248E-3</v>
      </c>
      <c r="P29" s="133">
        <v>5.8885229999767487E-4</v>
      </c>
      <c r="Q29" s="133">
        <v>4.504720094982214E-2</v>
      </c>
      <c r="R29" s="133">
        <v>4.504720094982214E-2</v>
      </c>
      <c r="S29" s="133">
        <v>2.5026222749901178E-3</v>
      </c>
      <c r="T29" s="133">
        <v>0.33976777709865846</v>
      </c>
      <c r="U29" s="45">
        <v>47.101613830026473</v>
      </c>
      <c r="V29" s="134">
        <v>4.2061226000589702</v>
      </c>
      <c r="W29" t="s">
        <v>738</v>
      </c>
    </row>
    <row r="30" spans="1:23" x14ac:dyDescent="0.25">
      <c r="A30" s="812" t="s">
        <v>1999</v>
      </c>
      <c r="B30" s="812">
        <v>2104008220</v>
      </c>
      <c r="C30" s="812" t="s">
        <v>139</v>
      </c>
      <c r="D30" s="133">
        <v>4.262464420889054E-2</v>
      </c>
      <c r="E30" s="133">
        <v>7.1041073681484251E-3</v>
      </c>
      <c r="F30" s="133">
        <v>1.4208214736296852E-3</v>
      </c>
      <c r="G30" s="133">
        <v>4.262464420889054E-2</v>
      </c>
      <c r="H30" s="133">
        <v>4.262464420889054E-2</v>
      </c>
      <c r="I30" s="133">
        <v>3.1968483156667921E-3</v>
      </c>
      <c r="J30" s="133">
        <v>0.50012915871764929</v>
      </c>
      <c r="K30" s="45">
        <v>113.6498649535356</v>
      </c>
      <c r="L30" s="134">
        <v>10.148808641668726</v>
      </c>
      <c r="M30" s="45" t="s">
        <v>738</v>
      </c>
      <c r="N30" s="133">
        <v>3.7193377049281044E-2</v>
      </c>
      <c r="O30" s="133">
        <v>6.1988961748801761E-3</v>
      </c>
      <c r="P30" s="133">
        <v>1.2397792349760353E-3</v>
      </c>
      <c r="Q30" s="133">
        <v>3.7193377049281044E-2</v>
      </c>
      <c r="R30" s="133">
        <v>3.7193377049281044E-2</v>
      </c>
      <c r="S30" s="133">
        <v>2.7895032786960797E-3</v>
      </c>
      <c r="T30" s="133">
        <v>0.43640229071156444</v>
      </c>
      <c r="U30" s="45">
        <v>99.168505855470784</v>
      </c>
      <c r="V30" s="134">
        <v>8.8556391124516516</v>
      </c>
      <c r="W30" t="s">
        <v>738</v>
      </c>
    </row>
    <row r="31" spans="1:23" x14ac:dyDescent="0.25">
      <c r="A31" s="812" t="s">
        <v>1999</v>
      </c>
      <c r="B31" s="812">
        <v>2104008230</v>
      </c>
      <c r="C31" s="812" t="s">
        <v>140</v>
      </c>
      <c r="D31" s="133">
        <v>3.2078945881515358E-2</v>
      </c>
      <c r="E31" s="133">
        <v>4.2771927842020479E-3</v>
      </c>
      <c r="F31" s="133">
        <v>8.554385568404091E-4</v>
      </c>
      <c r="G31" s="133">
        <v>2.7801753097313291E-2</v>
      </c>
      <c r="H31" s="133">
        <v>2.7801753097313291E-2</v>
      </c>
      <c r="I31" s="133">
        <v>1.9247367528909206E-3</v>
      </c>
      <c r="J31" s="133">
        <v>0.22882981395480945</v>
      </c>
      <c r="K31" s="45">
        <v>68.425539918535108</v>
      </c>
      <c r="L31" s="134">
        <v>6.1103258778177176</v>
      </c>
      <c r="M31" s="45" t="s">
        <v>738</v>
      </c>
      <c r="N31" s="133">
        <v>2.7991420260719106E-2</v>
      </c>
      <c r="O31" s="133">
        <v>3.7321893680958796E-3</v>
      </c>
      <c r="P31" s="133">
        <v>7.4643787361917578E-4</v>
      </c>
      <c r="Q31" s="133">
        <v>2.4259230892623218E-2</v>
      </c>
      <c r="R31" s="133">
        <v>2.4259230892623218E-2</v>
      </c>
      <c r="S31" s="133">
        <v>1.679485215643146E-3</v>
      </c>
      <c r="T31" s="133">
        <v>0.19967213119312957</v>
      </c>
      <c r="U31" s="45">
        <v>59.70670144526116</v>
      </c>
      <c r="V31" s="134">
        <v>5.3317431379345441</v>
      </c>
      <c r="W31" t="s">
        <v>738</v>
      </c>
    </row>
    <row r="32" spans="1:23" x14ac:dyDescent="0.25">
      <c r="A32" s="812" t="s">
        <v>1999</v>
      </c>
      <c r="B32" s="812">
        <v>2104008310</v>
      </c>
      <c r="C32" s="812" t="s">
        <v>141</v>
      </c>
      <c r="D32" s="133">
        <v>1.8146371034591389</v>
      </c>
      <c r="E32" s="133">
        <v>4.971909248803625E-2</v>
      </c>
      <c r="F32" s="133">
        <v>1.3695374365729349E-2</v>
      </c>
      <c r="G32" s="133">
        <v>0.41572409498092316</v>
      </c>
      <c r="H32" s="133">
        <v>0.41572409498092316</v>
      </c>
      <c r="I32" s="133">
        <v>1.3593636402156812E-2</v>
      </c>
      <c r="J32" s="133">
        <v>4.1486932504974208</v>
      </c>
      <c r="K32" s="45">
        <v>1095.4771419501544</v>
      </c>
      <c r="L32" s="134">
        <v>97.824910654488278</v>
      </c>
      <c r="M32" s="45" t="s">
        <v>738</v>
      </c>
      <c r="N32" s="133">
        <v>1.5834145539329465</v>
      </c>
      <c r="O32" s="133">
        <v>4.3383844904209268E-2</v>
      </c>
      <c r="P32" s="133">
        <v>1.1950298520248653E-2</v>
      </c>
      <c r="Q32" s="133">
        <v>0.3627521894920952</v>
      </c>
      <c r="R32" s="133">
        <v>0.3627521894920952</v>
      </c>
      <c r="S32" s="133">
        <v>1.1861524091520631E-2</v>
      </c>
      <c r="T32" s="133">
        <v>3.6200633504730515</v>
      </c>
      <c r="U32" s="45">
        <v>955.89054514436225</v>
      </c>
      <c r="V32" s="134">
        <v>85.359980225376688</v>
      </c>
      <c r="W32" t="s">
        <v>738</v>
      </c>
    </row>
    <row r="33" spans="1:31" x14ac:dyDescent="0.25">
      <c r="A33" s="812" t="s">
        <v>1999</v>
      </c>
      <c r="B33" s="812">
        <v>2104008320</v>
      </c>
      <c r="C33" s="812" t="s">
        <v>142</v>
      </c>
      <c r="D33" s="133">
        <v>0.86503393570449072</v>
      </c>
      <c r="E33" s="133">
        <v>0.11597507353766255</v>
      </c>
      <c r="F33" s="133">
        <v>2.8834464523483008E-2</v>
      </c>
      <c r="G33" s="133">
        <v>0.57129185794632398</v>
      </c>
      <c r="H33" s="133">
        <v>0.57129185794632398</v>
      </c>
      <c r="I33" s="133">
        <v>1.8002923093917312E-2</v>
      </c>
      <c r="J33" s="133">
        <v>8.9128013573641507</v>
      </c>
      <c r="K33" s="45">
        <v>2306.435438880103</v>
      </c>
      <c r="L33" s="134">
        <v>205.9621621471112</v>
      </c>
      <c r="M33" s="45" t="s">
        <v>738</v>
      </c>
      <c r="N33" s="133">
        <v>0.75481060143066181</v>
      </c>
      <c r="O33" s="133">
        <v>0.1011974344528295</v>
      </c>
      <c r="P33" s="133">
        <v>2.5160353381022064E-2</v>
      </c>
      <c r="Q33" s="133">
        <v>0.49849738038048008</v>
      </c>
      <c r="R33" s="133">
        <v>0.49849738038048008</v>
      </c>
      <c r="S33" s="133">
        <v>1.5708975853025758E-2</v>
      </c>
      <c r="T33" s="133">
        <v>7.7771248910658572</v>
      </c>
      <c r="U33" s="45">
        <v>2012.547541691833</v>
      </c>
      <c r="V33" s="134">
        <v>179.71829435293856</v>
      </c>
      <c r="W33" t="s">
        <v>738</v>
      </c>
    </row>
    <row r="34" spans="1:31" x14ac:dyDescent="0.25">
      <c r="A34" s="812" t="s">
        <v>1999</v>
      </c>
      <c r="B34" s="812">
        <v>2104008330</v>
      </c>
      <c r="C34" s="812" t="s">
        <v>143</v>
      </c>
      <c r="D34" s="133">
        <v>0.65101720669261731</v>
      </c>
      <c r="E34" s="133">
        <v>6.9825485733315831E-2</v>
      </c>
      <c r="F34" s="133">
        <v>1.7360458845136463E-2</v>
      </c>
      <c r="G34" s="133">
        <v>0.38165372211080978</v>
      </c>
      <c r="H34" s="133">
        <v>0.38165372211080978</v>
      </c>
      <c r="I34" s="133">
        <v>1.0839077840671322E-2</v>
      </c>
      <c r="J34" s="133">
        <v>5.366158994677467</v>
      </c>
      <c r="K34" s="45">
        <v>1388.6430068098807</v>
      </c>
      <c r="L34" s="134">
        <v>124.00430175140768</v>
      </c>
      <c r="M34" s="45" t="s">
        <v>738</v>
      </c>
      <c r="N34" s="133">
        <v>0.56806405973560825</v>
      </c>
      <c r="O34" s="133">
        <v>6.0928265014977522E-2</v>
      </c>
      <c r="P34" s="133">
        <v>1.5148374926282886E-2</v>
      </c>
      <c r="Q34" s="133">
        <v>0.33302309150461179</v>
      </c>
      <c r="R34" s="133">
        <v>0.33302309150461179</v>
      </c>
      <c r="S34" s="133">
        <v>9.4579536434115097E-3</v>
      </c>
      <c r="T34" s="133">
        <v>4.6823986099994457</v>
      </c>
      <c r="U34" s="45">
        <v>1211.7009748166899</v>
      </c>
      <c r="V34" s="134">
        <v>108.2035718156432</v>
      </c>
      <c r="W34" t="s">
        <v>738</v>
      </c>
    </row>
    <row r="35" spans="1:31" x14ac:dyDescent="0.25">
      <c r="A35" s="812" t="s">
        <v>1999</v>
      </c>
      <c r="B35" s="812">
        <v>2104008410</v>
      </c>
      <c r="C35" s="812" t="s">
        <v>144</v>
      </c>
      <c r="D35" s="133">
        <v>1.0908401996240935E-2</v>
      </c>
      <c r="E35" s="133">
        <v>1.9049467977732396E-2</v>
      </c>
      <c r="F35" s="133">
        <v>1.5224350032153763E-3</v>
      </c>
      <c r="G35" s="133">
        <v>1.4082523779742232E-2</v>
      </c>
      <c r="H35" s="133">
        <v>1.4082523779742232E-2</v>
      </c>
      <c r="I35" s="133">
        <v>3.4197696259725404E-4</v>
      </c>
      <c r="J35" s="133">
        <v>4.7252576412297263E-2</v>
      </c>
      <c r="K35" s="45">
        <v>145.42507471218713</v>
      </c>
      <c r="L35" s="134">
        <v>12.986300120618401</v>
      </c>
      <c r="M35" s="45" t="s">
        <v>738</v>
      </c>
      <c r="N35" s="133">
        <v>9.5184444581638307E-3</v>
      </c>
      <c r="O35" s="133">
        <v>1.6622169128539643E-2</v>
      </c>
      <c r="P35" s="133">
        <v>1.3284450851979734E-3</v>
      </c>
      <c r="Q35" s="133">
        <v>1.2288117038081255E-2</v>
      </c>
      <c r="R35" s="133">
        <v>1.2288117038081255E-2</v>
      </c>
      <c r="S35" s="133">
        <v>2.984019772625948E-4</v>
      </c>
      <c r="T35" s="133">
        <v>4.123161433183211E-2</v>
      </c>
      <c r="U35" s="45">
        <v>126.89489229946645</v>
      </c>
      <c r="V35" s="134">
        <v>11.331575097594369</v>
      </c>
      <c r="W35" t="s">
        <v>738</v>
      </c>
    </row>
    <row r="36" spans="1:31" x14ac:dyDescent="0.25">
      <c r="A36" s="812" t="s">
        <v>1999</v>
      </c>
      <c r="B36" s="812">
        <v>2104008420</v>
      </c>
      <c r="C36" s="812" t="s">
        <v>145</v>
      </c>
      <c r="D36" s="133">
        <v>3.6794378951145214E-2</v>
      </c>
      <c r="E36" s="133">
        <v>6.4254447519620964E-2</v>
      </c>
      <c r="F36" s="133">
        <v>5.135220580988688E-3</v>
      </c>
      <c r="G36" s="133">
        <v>4.7500790374145362E-2</v>
      </c>
      <c r="H36" s="133">
        <v>4.7500790374145362E-2</v>
      </c>
      <c r="I36" s="133">
        <v>1.1534989230045842E-3</v>
      </c>
      <c r="J36" s="133">
        <v>0.15938440878243643</v>
      </c>
      <c r="K36" s="45">
        <v>490.52329661143096</v>
      </c>
      <c r="L36" s="134">
        <v>43.803193902827864</v>
      </c>
      <c r="M36" s="45" t="s">
        <v>738</v>
      </c>
      <c r="N36" s="133">
        <v>3.2106008977281594E-2</v>
      </c>
      <c r="O36" s="133">
        <v>5.6067093064252171E-2</v>
      </c>
      <c r="P36" s="133">
        <v>4.4808865585815923E-3</v>
      </c>
      <c r="Q36" s="133">
        <v>4.1448200666879723E-2</v>
      </c>
      <c r="R36" s="133">
        <v>4.1448200666879723E-2</v>
      </c>
      <c r="S36" s="133">
        <v>1.0065191432213907E-3</v>
      </c>
      <c r="T36" s="133">
        <v>0.13907551656197614</v>
      </c>
      <c r="U36" s="45">
        <v>428.02041544126115</v>
      </c>
      <c r="V36" s="134">
        <v>38.221754973636436</v>
      </c>
      <c r="W36" t="s">
        <v>738</v>
      </c>
    </row>
    <row r="37" spans="1:31" x14ac:dyDescent="0.25">
      <c r="A37" s="812" t="s">
        <v>1999</v>
      </c>
      <c r="B37" s="812">
        <v>2104008610</v>
      </c>
      <c r="C37" s="812" t="s">
        <v>146</v>
      </c>
      <c r="D37" s="133">
        <v>1.1995193744063268</v>
      </c>
      <c r="E37" s="133">
        <v>4.2610244286095861E-2</v>
      </c>
      <c r="F37" s="133">
        <v>1.0568452637941206E-2</v>
      </c>
      <c r="G37" s="133">
        <v>0.26078058694855433</v>
      </c>
      <c r="H37" s="133">
        <v>0.26078058694855433</v>
      </c>
      <c r="I37" s="133">
        <v>6.4403772443275163E-3</v>
      </c>
      <c r="J37" s="133">
        <v>1.6003455500410346</v>
      </c>
      <c r="K37" s="45">
        <v>845.35829262311893</v>
      </c>
      <c r="L37" s="134">
        <v>75.489570964183798</v>
      </c>
      <c r="M37" s="45" t="s">
        <v>738</v>
      </c>
      <c r="N37" s="133">
        <v>1.0968828110537092</v>
      </c>
      <c r="O37" s="133">
        <v>3.8964309813962067E-2</v>
      </c>
      <c r="P37" s="133">
        <v>9.6641657361560308E-3</v>
      </c>
      <c r="Q37" s="133">
        <v>0.23846696383869409</v>
      </c>
      <c r="R37" s="133">
        <v>0.23846696383869409</v>
      </c>
      <c r="S37" s="133">
        <v>5.8893080401478557E-3</v>
      </c>
      <c r="T37" s="133">
        <v>1.4634123991995489</v>
      </c>
      <c r="U37" s="45">
        <v>773.02543013858008</v>
      </c>
      <c r="V37" s="134">
        <v>69.030325454654573</v>
      </c>
      <c r="W37" t="s">
        <v>738</v>
      </c>
    </row>
    <row r="38" spans="1:31" x14ac:dyDescent="0.25">
      <c r="A38" s="812" t="s">
        <v>1999</v>
      </c>
      <c r="B38" s="812">
        <v>2104004000</v>
      </c>
      <c r="C38" s="812" t="s">
        <v>568</v>
      </c>
      <c r="D38" s="133">
        <v>7.7847909687983205E-2</v>
      </c>
      <c r="E38" s="133">
        <v>1.2197347010202948</v>
      </c>
      <c r="F38" s="133">
        <v>3.1556877231867611</v>
      </c>
      <c r="G38" s="133">
        <v>4.9852916935434394E-2</v>
      </c>
      <c r="H38" s="133">
        <v>4.9852916935434394E-2</v>
      </c>
      <c r="I38" s="133">
        <v>2.6746089935860543E-3</v>
      </c>
      <c r="J38" s="133">
        <v>4.8897402694171907E-2</v>
      </c>
      <c r="K38" s="45">
        <v>29307.207333252754</v>
      </c>
      <c r="L38" s="134">
        <v>218.3672081009347</v>
      </c>
      <c r="M38" s="45" t="s">
        <v>1997</v>
      </c>
      <c r="N38" s="133">
        <v>7.1987293089214116E-2</v>
      </c>
      <c r="O38" s="133">
        <v>1.1279095323864139</v>
      </c>
      <c r="P38" s="133">
        <v>2.9181183918435587</v>
      </c>
      <c r="Q38" s="133">
        <v>4.6099844647946066E-2</v>
      </c>
      <c r="R38" s="133">
        <v>4.6099844647946066E-2</v>
      </c>
      <c r="S38" s="133">
        <v>2.473256665362307E-3</v>
      </c>
      <c r="T38" s="133">
        <v>4.5216264292193768E-2</v>
      </c>
      <c r="U38" s="45">
        <v>27100.875699568041</v>
      </c>
      <c r="V38" s="134">
        <v>201.92789085333564</v>
      </c>
      <c r="W38" t="s">
        <v>1997</v>
      </c>
    </row>
    <row r="39" spans="1:31" x14ac:dyDescent="0.25">
      <c r="A39" s="812" t="s">
        <v>1999</v>
      </c>
      <c r="B39" s="812">
        <v>2103004001</v>
      </c>
      <c r="C39" s="812" t="s">
        <v>148</v>
      </c>
      <c r="D39" s="133">
        <v>2.3752598649502778E-2</v>
      </c>
      <c r="E39" s="133">
        <v>0.59964484669151485</v>
      </c>
      <c r="F39" s="133">
        <v>0.42385562852363795</v>
      </c>
      <c r="G39" s="133">
        <v>1.5210894322280805E-2</v>
      </c>
      <c r="H39" s="133">
        <v>1.5210894322280805E-2</v>
      </c>
      <c r="I39" s="133">
        <v>8.1606448039036575E-4</v>
      </c>
      <c r="J39" s="133">
        <v>1.4919352181103761E-2</v>
      </c>
      <c r="K39" s="45">
        <v>9227.8679185305318</v>
      </c>
      <c r="L39" s="134">
        <v>68.756593938834641</v>
      </c>
      <c r="M39" s="45" t="s">
        <v>1997</v>
      </c>
      <c r="N39" s="133">
        <v>2.3366012144067742E-2</v>
      </c>
      <c r="O39" s="133">
        <v>0.58988529956973268</v>
      </c>
      <c r="P39" s="133">
        <v>0.41695714686031238</v>
      </c>
      <c r="Q39" s="133">
        <v>1.4963328716202788E-2</v>
      </c>
      <c r="R39" s="133">
        <v>1.4963328716202788E-2</v>
      </c>
      <c r="S39" s="133">
        <v>8.0278258562427969E-4</v>
      </c>
      <c r="T39" s="133">
        <v>1.4676531582475566E-2</v>
      </c>
      <c r="U39" s="45">
        <v>9077.6793322675549</v>
      </c>
      <c r="V39" s="134">
        <v>67.637542850208334</v>
      </c>
      <c r="W39" t="s">
        <v>1997</v>
      </c>
    </row>
    <row r="40" spans="1:31" x14ac:dyDescent="0.25">
      <c r="A40" s="812" t="s">
        <v>1999</v>
      </c>
      <c r="B40" s="812">
        <v>2104004000</v>
      </c>
      <c r="C40" s="812" t="s">
        <v>746</v>
      </c>
      <c r="D40" s="133">
        <v>5.1801327297775986E-4</v>
      </c>
      <c r="E40" s="133">
        <v>1.3077473932117356E-2</v>
      </c>
      <c r="F40" s="133">
        <v>2.0998484513400403E-2</v>
      </c>
      <c r="G40" s="133">
        <v>2.9061053182483023E-4</v>
      </c>
      <c r="H40" s="133">
        <v>2.9061053182483023E-4</v>
      </c>
      <c r="I40" s="133">
        <v>1.7797304568052269E-5</v>
      </c>
      <c r="J40" s="133">
        <v>3.253716600900516E-4</v>
      </c>
      <c r="K40" s="45">
        <v>199.06094903671308</v>
      </c>
      <c r="L40" s="134">
        <v>1.453052659124151</v>
      </c>
      <c r="M40" s="45" t="s">
        <v>1997</v>
      </c>
      <c r="N40" s="133">
        <v>4.8979391094500213E-4</v>
      </c>
      <c r="O40" s="133">
        <v>1.2365063670420808E-2</v>
      </c>
      <c r="P40" s="133">
        <v>1.9854568194004583E-2</v>
      </c>
      <c r="Q40" s="133">
        <v>2.7477919267601789E-4</v>
      </c>
      <c r="R40" s="133">
        <v>2.7477919267601789E-4</v>
      </c>
      <c r="S40" s="133">
        <v>1.6827776165959212E-5</v>
      </c>
      <c r="T40" s="133">
        <v>3.0764666895517225E-4</v>
      </c>
      <c r="U40" s="45">
        <v>188.21687750325538</v>
      </c>
      <c r="V40" s="134">
        <v>1.3738959633800893</v>
      </c>
      <c r="W40" t="s">
        <v>1997</v>
      </c>
    </row>
    <row r="41" spans="1:31" x14ac:dyDescent="0.25">
      <c r="A41" s="812" t="s">
        <v>1999</v>
      </c>
      <c r="B41" s="812">
        <v>2104004000</v>
      </c>
      <c r="C41" s="812" t="s">
        <v>747</v>
      </c>
      <c r="D41" s="133">
        <v>1.6529542124667396E-3</v>
      </c>
      <c r="E41" s="133">
        <v>2.5898776476134141E-2</v>
      </c>
      <c r="F41" s="133">
        <v>6.7005104391085743E-2</v>
      </c>
      <c r="G41" s="133">
        <v>1.0585330984795973E-3</v>
      </c>
      <c r="H41" s="133">
        <v>1.0585330984795973E-3</v>
      </c>
      <c r="I41" s="133">
        <v>5.6790300733430376E-5</v>
      </c>
      <c r="J41" s="133">
        <v>1.0382445474254047E-3</v>
      </c>
      <c r="K41" s="45">
        <v>579.57721334738414</v>
      </c>
      <c r="L41" s="134">
        <v>4.6366177067790737</v>
      </c>
      <c r="M41" s="45" t="s">
        <v>1997</v>
      </c>
      <c r="N41" s="133">
        <v>1.3797824856421185E-3</v>
      </c>
      <c r="O41" s="133">
        <v>2.1618673954678008E-2</v>
      </c>
      <c r="P41" s="133">
        <v>5.5931657870591046E-2</v>
      </c>
      <c r="Q41" s="133">
        <v>8.8359702812035475E-4</v>
      </c>
      <c r="R41" s="133">
        <v>8.8359702812035475E-4</v>
      </c>
      <c r="S41" s="133">
        <v>4.7404980558657039E-5</v>
      </c>
      <c r="T41" s="133">
        <v>8.6666141841471435E-4</v>
      </c>
      <c r="U41" s="45">
        <v>483.79470043552573</v>
      </c>
      <c r="V41" s="134">
        <v>3.8703576034842051</v>
      </c>
      <c r="W41" t="s">
        <v>1997</v>
      </c>
    </row>
    <row r="42" spans="1:31" x14ac:dyDescent="0.25">
      <c r="A42" s="812" t="s">
        <v>1999</v>
      </c>
      <c r="B42" s="812">
        <v>2104006010</v>
      </c>
      <c r="C42" s="812" t="s">
        <v>149</v>
      </c>
      <c r="D42" s="133">
        <v>6.264033437799896E-4</v>
      </c>
      <c r="E42" s="133">
        <v>1.0705802602785279E-2</v>
      </c>
      <c r="F42" s="133">
        <v>6.8334910230544326E-5</v>
      </c>
      <c r="G42" s="133">
        <v>5.6412746225655285E-6</v>
      </c>
      <c r="H42" s="133">
        <v>5.6412746225655285E-6</v>
      </c>
      <c r="I42" s="133">
        <v>2.2778303410181423E-3</v>
      </c>
      <c r="J42" s="133">
        <v>4.5556606820362847E-3</v>
      </c>
      <c r="K42" s="45">
        <v>281.18883333333326</v>
      </c>
      <c r="L42" s="134">
        <v>277.0333333333337</v>
      </c>
      <c r="M42" s="45" t="s">
        <v>1998</v>
      </c>
      <c r="N42" s="133">
        <v>6.264033437799896E-4</v>
      </c>
      <c r="O42" s="133">
        <v>1.0705802602785279E-2</v>
      </c>
      <c r="P42" s="133">
        <v>6.8334910230544326E-5</v>
      </c>
      <c r="Q42" s="133">
        <v>5.6412746225655285E-6</v>
      </c>
      <c r="R42" s="133">
        <v>5.6412746225655285E-6</v>
      </c>
      <c r="S42" s="133">
        <v>2.2778303410181423E-3</v>
      </c>
      <c r="T42" s="133">
        <v>4.5556606820362847E-3</v>
      </c>
      <c r="U42" s="45">
        <v>281.18883333333326</v>
      </c>
      <c r="V42" s="134">
        <v>277.0333333333337</v>
      </c>
      <c r="W42" t="s">
        <v>1998</v>
      </c>
    </row>
    <row r="43" spans="1:31" x14ac:dyDescent="0.25">
      <c r="A43" s="812" t="s">
        <v>1999</v>
      </c>
      <c r="B43" s="812">
        <v>2103006000</v>
      </c>
      <c r="C43" s="812" t="s">
        <v>150</v>
      </c>
      <c r="D43" s="133">
        <v>9.7086916666666665E-3</v>
      </c>
      <c r="E43" s="133">
        <v>0.17652166666666663</v>
      </c>
      <c r="F43" s="133">
        <v>1.0591299999999999E-3</v>
      </c>
      <c r="G43" s="133">
        <v>1.341564666666667E-2</v>
      </c>
      <c r="H43" s="133">
        <v>1.341564666666667E-2</v>
      </c>
      <c r="I43" s="133">
        <v>3.5304333333333313E-2</v>
      </c>
      <c r="J43" s="133">
        <v>7.0608666666666625E-2</v>
      </c>
      <c r="K43" s="45">
        <v>3583.3898333333341</v>
      </c>
      <c r="L43" s="134">
        <v>3530.4333333333325</v>
      </c>
      <c r="M43" s="45" t="s">
        <v>1998</v>
      </c>
      <c r="N43" s="133">
        <v>9.7086916666666665E-3</v>
      </c>
      <c r="O43" s="133">
        <v>0.17652166666666663</v>
      </c>
      <c r="P43" s="133">
        <v>1.0591299999999999E-3</v>
      </c>
      <c r="Q43" s="133">
        <v>1.341564666666667E-2</v>
      </c>
      <c r="R43" s="133">
        <v>1.341564666666667E-2</v>
      </c>
      <c r="S43" s="133">
        <v>3.5304333333333313E-2</v>
      </c>
      <c r="T43" s="133">
        <v>7.0608666666666625E-2</v>
      </c>
      <c r="U43" s="45">
        <v>3583.3898333333341</v>
      </c>
      <c r="V43" s="134">
        <v>3530.4333333333325</v>
      </c>
      <c r="W43" t="s">
        <v>1998</v>
      </c>
    </row>
    <row r="44" spans="1:31" x14ac:dyDescent="0.25">
      <c r="A44" s="812" t="s">
        <v>1999</v>
      </c>
      <c r="B44" s="812">
        <v>2104002000</v>
      </c>
      <c r="C44" s="812" t="s">
        <v>151</v>
      </c>
      <c r="D44" s="133">
        <v>0.11599909678973605</v>
      </c>
      <c r="E44" s="133">
        <v>5.475157368475541E-2</v>
      </c>
      <c r="F44" s="133">
        <v>0.10787916001445448</v>
      </c>
      <c r="G44" s="133">
        <v>9.2683278334999092E-2</v>
      </c>
      <c r="H44" s="133">
        <v>9.2683278334999092E-2</v>
      </c>
      <c r="I44" s="133">
        <v>1.4684905658096638E-2</v>
      </c>
      <c r="J44" s="133">
        <v>1.514658206331978</v>
      </c>
      <c r="K44" s="45">
        <v>352.63725424079746</v>
      </c>
      <c r="L44" s="134">
        <v>23.199819357947213</v>
      </c>
      <c r="M44" s="45" t="s">
        <v>738</v>
      </c>
      <c r="N44" s="133">
        <v>0.1019198990230827</v>
      </c>
      <c r="O44" s="133">
        <v>4.8106192338895036E-2</v>
      </c>
      <c r="P44" s="133">
        <v>9.4785506091466895E-2</v>
      </c>
      <c r="Q44" s="133">
        <v>8.1433999319443076E-2</v>
      </c>
      <c r="R44" s="133">
        <v>8.1433999319443076E-2</v>
      </c>
      <c r="S44" s="133">
        <v>1.2902549616827158E-2</v>
      </c>
      <c r="T44" s="133">
        <v>1.330819081493902</v>
      </c>
      <c r="U44" s="45">
        <v>309.83649303017143</v>
      </c>
      <c r="V44" s="134">
        <v>20.383979804616541</v>
      </c>
      <c r="W44" t="s">
        <v>738</v>
      </c>
    </row>
    <row r="45" spans="1:31" x14ac:dyDescent="0.25">
      <c r="A45" s="812" t="s">
        <v>1999</v>
      </c>
      <c r="B45" s="812">
        <v>2103002000</v>
      </c>
      <c r="C45" s="812" t="s">
        <v>152</v>
      </c>
      <c r="D45" s="133">
        <v>2.8532244230068833E-4</v>
      </c>
      <c r="E45" s="133">
        <v>1.346721927659249E-4</v>
      </c>
      <c r="F45" s="133">
        <v>2.6534987133964015E-4</v>
      </c>
      <c r="G45" s="133">
        <v>2.2797263139825007E-4</v>
      </c>
      <c r="H45" s="133">
        <v>2.2797263139825007E-4</v>
      </c>
      <c r="I45" s="133">
        <v>3.6120394583055649E-5</v>
      </c>
      <c r="J45" s="133">
        <v>3.7255977903412375E-3</v>
      </c>
      <c r="K45" s="45">
        <v>13.116826184181894</v>
      </c>
      <c r="L45" s="134">
        <v>0.86738022459409281</v>
      </c>
      <c r="M45" s="45" t="s">
        <v>738</v>
      </c>
      <c r="N45" s="133">
        <v>2.6963315214105564E-4</v>
      </c>
      <c r="O45" s="133">
        <v>1.2726684781057826E-4</v>
      </c>
      <c r="P45" s="133">
        <v>2.5075883149118169E-4</v>
      </c>
      <c r="Q45" s="133">
        <v>2.1543688856070348E-4</v>
      </c>
      <c r="R45" s="133">
        <v>2.1543688856070348E-4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8.7184102008962044E-4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2.9083381335906241E-5</v>
      </c>
      <c r="P46" s="133">
        <v>6.1727592489711029E-6</v>
      </c>
      <c r="Q46" s="133">
        <v>2.1102851649953142E-4</v>
      </c>
      <c r="R46" s="133">
        <v>2.1102851649953142E-4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1.3760960594379904E-2</v>
      </c>
      <c r="G47" s="135">
        <v>1.9373489384817268E-3</v>
      </c>
      <c r="H47" s="135">
        <v>1.9373489384817268E-3</v>
      </c>
      <c r="I47" s="135">
        <v>1.3544093175893139E-5</v>
      </c>
      <c r="J47" s="135">
        <v>4.6265049277175547E-3</v>
      </c>
      <c r="K47" s="88">
        <v>103.11814403022066</v>
      </c>
      <c r="L47" s="136">
        <v>0.74453533595827182</v>
      </c>
      <c r="M47" s="88" t="s">
        <v>1997</v>
      </c>
      <c r="N47" s="135">
        <v>3.72267667979136E-4</v>
      </c>
      <c r="O47" s="135">
        <v>1.9434212261993555E-2</v>
      </c>
      <c r="P47" s="135">
        <v>1.3760960594379904E-2</v>
      </c>
      <c r="Q47" s="135">
        <v>1.9373489384817268E-3</v>
      </c>
      <c r="R47" s="135">
        <v>1.9373489384817268E-3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8.7657030010406345</v>
      </c>
      <c r="E48" s="137">
        <v>2.540531089627398</v>
      </c>
      <c r="F48" s="137">
        <v>3.8772785862690728</v>
      </c>
      <c r="G48" s="137">
        <v>2.5609587432425527</v>
      </c>
      <c r="H48" s="137">
        <v>2.5609587432425527</v>
      </c>
      <c r="I48" s="137">
        <v>0.14405853086630302</v>
      </c>
      <c r="J48" s="137">
        <v>27.200909933638222</v>
      </c>
      <c r="K48" s="87">
        <v>50692.815460879043</v>
      </c>
      <c r="L48" s="87"/>
      <c r="M48" s="87"/>
      <c r="N48" s="137">
        <v>7.9057242049083341</v>
      </c>
      <c r="O48" s="137">
        <v>2.3777351287882329</v>
      </c>
      <c r="P48" s="137">
        <v>3.597225785738408</v>
      </c>
      <c r="Q48" s="137">
        <v>2.2822777034508803</v>
      </c>
      <c r="R48" s="137">
        <v>2.2822777034508803</v>
      </c>
      <c r="S48" s="137">
        <v>0.13264013006099176</v>
      </c>
      <c r="T48" s="137">
        <v>24.044174407277158</v>
      </c>
      <c r="U48" s="87">
        <v>47350.991180981757</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5.0058170588995567</v>
      </c>
      <c r="E50" s="133">
        <v>5.6834604162178365E-2</v>
      </c>
      <c r="F50" s="133">
        <v>8.7437852557197496E-3</v>
      </c>
      <c r="G50" s="133">
        <v>0.75633742461975839</v>
      </c>
      <c r="H50" s="133">
        <v>0.75633742461975839</v>
      </c>
      <c r="I50" s="133">
        <v>3.9347033650738876E-2</v>
      </c>
      <c r="J50" s="133">
        <v>5.5217003889870222</v>
      </c>
      <c r="K50" s="45">
        <v>702.04156711388055</v>
      </c>
      <c r="L50" s="134">
        <v>62.456124862364391</v>
      </c>
      <c r="M50" s="45" t="s">
        <v>738</v>
      </c>
      <c r="N50" s="133">
        <v>4.6183463528826909</v>
      </c>
      <c r="O50" s="133">
        <v>5.2435373438842775E-2</v>
      </c>
      <c r="P50" s="133">
        <v>8.0669805290527318E-3</v>
      </c>
      <c r="Q50" s="133">
        <v>0.69779381576306154</v>
      </c>
      <c r="R50" s="133">
        <v>0.69779381576306154</v>
      </c>
      <c r="S50" s="133">
        <v>3.6301412380737294E-2</v>
      </c>
      <c r="T50" s="133">
        <v>5.0942982040967992</v>
      </c>
      <c r="U50" s="45">
        <v>647.69759802457781</v>
      </c>
      <c r="V50" s="134">
        <v>57.621765453948875</v>
      </c>
      <c r="W50" t="s">
        <v>738</v>
      </c>
      <c r="Y50" s="13">
        <f>N50/$U50*2000</f>
        <v>14.260810498505018</v>
      </c>
      <c r="Z50" s="5">
        <f t="shared" ref="Z50:AE65" si="0">O50/$U50*2000</f>
        <v>0.16191313229743687</v>
      </c>
      <c r="AA50" s="357">
        <f t="shared" si="0"/>
        <v>2.4909712661144126E-2</v>
      </c>
      <c r="AB50" s="5">
        <f t="shared" si="0"/>
        <v>2.1546901451889675</v>
      </c>
      <c r="AC50" s="358">
        <f t="shared" si="0"/>
        <v>2.1546901451889675</v>
      </c>
      <c r="AD50" s="5">
        <f t="shared" si="0"/>
        <v>0.11209370697514856</v>
      </c>
      <c r="AE50" s="13">
        <f t="shared" si="0"/>
        <v>15.730483545512509</v>
      </c>
    </row>
    <row r="51" spans="1:31" x14ac:dyDescent="0.25">
      <c r="A51" s="812" t="s">
        <v>2001</v>
      </c>
      <c r="B51" s="812">
        <v>2104008210</v>
      </c>
      <c r="C51" s="812" t="s">
        <v>138</v>
      </c>
      <c r="D51" s="133">
        <v>0.10837219510140556</v>
      </c>
      <c r="E51" s="133">
        <v>5.7253235147912383E-3</v>
      </c>
      <c r="F51" s="133">
        <v>8.1790335925589091E-4</v>
      </c>
      <c r="G51" s="133">
        <v>6.2569606983075662E-2</v>
      </c>
      <c r="H51" s="133">
        <v>6.2569606983075662E-2</v>
      </c>
      <c r="I51" s="133">
        <v>3.476089276837535E-3</v>
      </c>
      <c r="J51" s="133">
        <v>0.47193023829064901</v>
      </c>
      <c r="K51" s="45">
        <v>65.658094929335732</v>
      </c>
      <c r="L51" s="134">
        <v>5.8422151090246857</v>
      </c>
      <c r="M51" s="45" t="s">
        <v>738</v>
      </c>
      <c r="N51" s="133">
        <v>9.4323834632460468E-2</v>
      </c>
      <c r="O51" s="133">
        <v>4.9831459805828177E-3</v>
      </c>
      <c r="P51" s="133">
        <v>7.1187799722611654E-4</v>
      </c>
      <c r="Q51" s="133">
        <v>5.4458666787797955E-2</v>
      </c>
      <c r="R51" s="133">
        <v>5.4458666787797955E-2</v>
      </c>
      <c r="S51" s="133">
        <v>3.0254814882109968E-3</v>
      </c>
      <c r="T51" s="133">
        <v>0.41075360439946945</v>
      </c>
      <c r="U51" s="45">
        <v>57.146477529973339</v>
      </c>
      <c r="V51" s="134">
        <v>5.0848848389134433</v>
      </c>
      <c r="W51" t="s">
        <v>738</v>
      </c>
      <c r="Y51" s="13">
        <f t="shared" ref="Y51:AE70" si="1">N51/$U51*2000</f>
        <v>3.3011250634997618</v>
      </c>
      <c r="Z51" s="5">
        <f t="shared" si="0"/>
        <v>0.17439905995847799</v>
      </c>
      <c r="AA51" s="357">
        <f t="shared" si="0"/>
        <v>2.4914151422639703E-2</v>
      </c>
      <c r="AB51" s="5">
        <f t="shared" si="0"/>
        <v>1.9059325838319388</v>
      </c>
      <c r="AC51" s="358">
        <f t="shared" si="0"/>
        <v>1.9059325838319388</v>
      </c>
      <c r="AD51" s="5">
        <f t="shared" si="0"/>
        <v>0.10588514354621879</v>
      </c>
      <c r="AE51" s="13">
        <f t="shared" si="0"/>
        <v>14.375465370863116</v>
      </c>
    </row>
    <row r="52" spans="1:31" x14ac:dyDescent="0.25">
      <c r="A52" s="812" t="s">
        <v>2001</v>
      </c>
      <c r="B52" s="812">
        <v>2104008220</v>
      </c>
      <c r="C52" s="812" t="s">
        <v>139</v>
      </c>
      <c r="D52" s="133">
        <v>5.166081210992645E-2</v>
      </c>
      <c r="E52" s="133">
        <v>8.6101353516544101E-3</v>
      </c>
      <c r="F52" s="133">
        <v>1.7220270703308821E-3</v>
      </c>
      <c r="G52" s="133">
        <v>5.166081210992645E-2</v>
      </c>
      <c r="H52" s="133">
        <v>5.166081210992645E-2</v>
      </c>
      <c r="I52" s="133">
        <v>3.8745609082444852E-3</v>
      </c>
      <c r="J52" s="133">
        <v>0.60615352875647044</v>
      </c>
      <c r="K52" s="45">
        <v>138.2376237671096</v>
      </c>
      <c r="L52" s="134">
        <v>12.300294960995583</v>
      </c>
      <c r="M52" s="45" t="s">
        <v>738</v>
      </c>
      <c r="N52" s="133">
        <v>4.4963986323943307E-2</v>
      </c>
      <c r="O52" s="133">
        <v>7.4939977206572193E-3</v>
      </c>
      <c r="P52" s="133">
        <v>1.4987995441314442E-3</v>
      </c>
      <c r="Q52" s="133">
        <v>4.4963986323943307E-2</v>
      </c>
      <c r="R52" s="133">
        <v>4.4963986323943307E-2</v>
      </c>
      <c r="S52" s="133">
        <v>3.3722989742957479E-3</v>
      </c>
      <c r="T52" s="133">
        <v>0.52757743953426806</v>
      </c>
      <c r="U52" s="45">
        <v>120.31712569342992</v>
      </c>
      <c r="V52" s="134">
        <v>10.705799460330271</v>
      </c>
      <c r="W52" t="s">
        <v>738</v>
      </c>
      <c r="Y52" s="13">
        <f t="shared" si="1"/>
        <v>0.74742454267919123</v>
      </c>
      <c r="Z52" s="5">
        <f t="shared" si="0"/>
        <v>0.12457075711319857</v>
      </c>
      <c r="AA52" s="357">
        <f t="shared" si="0"/>
        <v>2.4914151422639714E-2</v>
      </c>
      <c r="AB52" s="5">
        <f t="shared" si="0"/>
        <v>0.74742454267919123</v>
      </c>
      <c r="AC52" s="358">
        <f t="shared" si="0"/>
        <v>0.74742454267919123</v>
      </c>
      <c r="AD52" s="5">
        <f t="shared" si="0"/>
        <v>5.6056840700939338E-2</v>
      </c>
      <c r="AE52" s="13">
        <f t="shared" si="0"/>
        <v>8.7697813007691749</v>
      </c>
    </row>
    <row r="53" spans="1:31" x14ac:dyDescent="0.25">
      <c r="A53" s="812" t="s">
        <v>2001</v>
      </c>
      <c r="B53" s="812">
        <v>2104008230</v>
      </c>
      <c r="C53" s="812" t="s">
        <v>140</v>
      </c>
      <c r="D53" s="133">
        <v>3.8879489239790614E-2</v>
      </c>
      <c r="E53" s="133">
        <v>5.1839318986387477E-3</v>
      </c>
      <c r="F53" s="133">
        <v>1.0367863797277497E-3</v>
      </c>
      <c r="G53" s="133">
        <v>3.3695557341151858E-2</v>
      </c>
      <c r="H53" s="133">
        <v>3.3695557341151858E-2</v>
      </c>
      <c r="I53" s="133">
        <v>2.3327693543874367E-3</v>
      </c>
      <c r="J53" s="133">
        <v>0.27734035657717304</v>
      </c>
      <c r="K53" s="45">
        <v>83.229170990981771</v>
      </c>
      <c r="L53" s="134">
        <v>7.4056781695909617</v>
      </c>
      <c r="M53" s="45" t="s">
        <v>738</v>
      </c>
      <c r="N53" s="133">
        <v>3.3839514925549145E-2</v>
      </c>
      <c r="O53" s="133">
        <v>4.5119353234065514E-3</v>
      </c>
      <c r="P53" s="133">
        <v>9.0238706468131048E-4</v>
      </c>
      <c r="Q53" s="133">
        <v>2.9327579602142582E-2</v>
      </c>
      <c r="R53" s="133">
        <v>2.9327579602142582E-2</v>
      </c>
      <c r="S53" s="133">
        <v>2.0303708955329491E-3</v>
      </c>
      <c r="T53" s="133">
        <v>0.24138853980225064</v>
      </c>
      <c r="U53" s="45">
        <v>72.439719047489106</v>
      </c>
      <c r="V53" s="134">
        <v>6.4456751324091304</v>
      </c>
      <c r="W53" t="s">
        <v>738</v>
      </c>
      <c r="Y53" s="13">
        <f t="shared" si="1"/>
        <v>0.93428067834898887</v>
      </c>
      <c r="Z53" s="5">
        <f t="shared" si="0"/>
        <v>0.12457075711319848</v>
      </c>
      <c r="AA53" s="357">
        <f t="shared" si="0"/>
        <v>2.4914151422639703E-2</v>
      </c>
      <c r="AB53" s="5">
        <f t="shared" si="0"/>
        <v>0.80970992123579011</v>
      </c>
      <c r="AC53" s="358">
        <f t="shared" si="0"/>
        <v>0.80970992123579011</v>
      </c>
      <c r="AD53" s="5">
        <f t="shared" si="0"/>
        <v>5.6056840700939345E-2</v>
      </c>
      <c r="AE53" s="13">
        <f t="shared" si="0"/>
        <v>6.6645355055561222</v>
      </c>
    </row>
    <row r="54" spans="1:31" x14ac:dyDescent="0.25">
      <c r="A54" s="812" t="s">
        <v>2001</v>
      </c>
      <c r="B54" s="812">
        <v>2104008310</v>
      </c>
      <c r="C54" s="812" t="s">
        <v>141</v>
      </c>
      <c r="D54" s="133">
        <v>2.1993292422591173</v>
      </c>
      <c r="E54" s="133">
        <v>6.0259240703873347E-2</v>
      </c>
      <c r="F54" s="133">
        <v>1.659871126233296E-2</v>
      </c>
      <c r="G54" s="133">
        <v>0.50385509976641962</v>
      </c>
      <c r="H54" s="133">
        <v>0.50385509976641962</v>
      </c>
      <c r="I54" s="133">
        <v>1.6475405463114795E-2</v>
      </c>
      <c r="J54" s="133">
        <v>5.0281912375696507</v>
      </c>
      <c r="K54" s="45">
        <v>1332.4798674973072</v>
      </c>
      <c r="L54" s="134">
        <v>118.56320264458115</v>
      </c>
      <c r="M54" s="45" t="s">
        <v>738</v>
      </c>
      <c r="N54" s="133">
        <v>1.9142287148015242</v>
      </c>
      <c r="O54" s="133">
        <v>5.2447794841760667E-2</v>
      </c>
      <c r="P54" s="133">
        <v>1.4447009168313388E-2</v>
      </c>
      <c r="Q54" s="133">
        <v>0.43854002463103442</v>
      </c>
      <c r="R54" s="133">
        <v>0.43854002463103442</v>
      </c>
      <c r="S54" s="133">
        <v>1.4339687582700081E-2</v>
      </c>
      <c r="T54" s="133">
        <v>4.3763834288778325</v>
      </c>
      <c r="U54" s="45">
        <v>1159.7432257062767</v>
      </c>
      <c r="V54" s="134">
        <v>103.193775020225</v>
      </c>
      <c r="W54" t="s">
        <v>738</v>
      </c>
      <c r="Y54" s="13">
        <f t="shared" si="1"/>
        <v>3.3011250634997595</v>
      </c>
      <c r="Z54" s="5">
        <f t="shared" si="0"/>
        <v>9.0447253632062005E-2</v>
      </c>
      <c r="AA54" s="357">
        <f t="shared" si="0"/>
        <v>2.491415142263969E-2</v>
      </c>
      <c r="AB54" s="5">
        <f t="shared" si="0"/>
        <v>0.75627089671330672</v>
      </c>
      <c r="AC54" s="358">
        <f t="shared" si="0"/>
        <v>0.75627089671330672</v>
      </c>
      <c r="AD54" s="5">
        <f t="shared" si="0"/>
        <v>2.4729073237685518E-2</v>
      </c>
      <c r="AE54" s="13">
        <f t="shared" si="0"/>
        <v>7.5471592881478422</v>
      </c>
    </row>
    <row r="55" spans="1:31" x14ac:dyDescent="0.25">
      <c r="A55" s="812" t="s">
        <v>2001</v>
      </c>
      <c r="B55" s="812">
        <v>2104008320</v>
      </c>
      <c r="C55" s="812" t="s">
        <v>142</v>
      </c>
      <c r="D55" s="133">
        <v>1.048415921130877</v>
      </c>
      <c r="E55" s="133">
        <v>0.14056109076482151</v>
      </c>
      <c r="F55" s="133">
        <v>3.4947197371029221E-2</v>
      </c>
      <c r="G55" s="133">
        <v>0.69240229170382162</v>
      </c>
      <c r="H55" s="133">
        <v>0.69240229170382162</v>
      </c>
      <c r="I55" s="133">
        <v>2.1819434382289372E-2</v>
      </c>
      <c r="J55" s="133">
        <v>10.802261575237942</v>
      </c>
      <c r="K55" s="45">
        <v>2805.4248421094785</v>
      </c>
      <c r="L55" s="134">
        <v>249.62490028753871</v>
      </c>
      <c r="M55" s="45" t="s">
        <v>738</v>
      </c>
      <c r="N55" s="133">
        <v>0.91250906081817484</v>
      </c>
      <c r="O55" s="133">
        <v>0.12234006212251519</v>
      </c>
      <c r="P55" s="133">
        <v>3.0416968693939152E-2</v>
      </c>
      <c r="Q55" s="133">
        <v>0.60264571738808392</v>
      </c>
      <c r="R55" s="133">
        <v>0.60264571738808392</v>
      </c>
      <c r="S55" s="133">
        <v>1.899096644229727E-2</v>
      </c>
      <c r="T55" s="133">
        <v>9.4019571489339597</v>
      </c>
      <c r="U55" s="45">
        <v>2441.7422996232572</v>
      </c>
      <c r="V55" s="134">
        <v>217.26585673414002</v>
      </c>
      <c r="W55" t="s">
        <v>738</v>
      </c>
      <c r="Y55" s="13">
        <f t="shared" si="1"/>
        <v>0.74742454267919123</v>
      </c>
      <c r="Z55" s="5">
        <f t="shared" si="0"/>
        <v>0.10020718577991737</v>
      </c>
      <c r="AA55" s="357">
        <f t="shared" si="0"/>
        <v>2.49141514226397E-2</v>
      </c>
      <c r="AB55" s="5">
        <f t="shared" si="0"/>
        <v>0.49361942698135486</v>
      </c>
      <c r="AC55" s="358">
        <f t="shared" si="0"/>
        <v>0.49361942698135486</v>
      </c>
      <c r="AD55" s="5">
        <f t="shared" si="0"/>
        <v>1.5555258591561802E-2</v>
      </c>
      <c r="AE55" s="13">
        <f t="shared" si="0"/>
        <v>7.701023281928328</v>
      </c>
    </row>
    <row r="56" spans="1:31" x14ac:dyDescent="0.25">
      <c r="A56" s="812" t="s">
        <v>2001</v>
      </c>
      <c r="B56" s="812">
        <v>2104008330</v>
      </c>
      <c r="C56" s="812" t="s">
        <v>143</v>
      </c>
      <c r="D56" s="133">
        <v>0.78902893430513499</v>
      </c>
      <c r="E56" s="133">
        <v>8.4628068243225094E-2</v>
      </c>
      <c r="F56" s="133">
        <v>2.1040771581470264E-2</v>
      </c>
      <c r="G56" s="133">
        <v>0.46256201300815086</v>
      </c>
      <c r="H56" s="133">
        <v>0.46256201300815086</v>
      </c>
      <c r="I56" s="133">
        <v>1.3136897073618139E-2</v>
      </c>
      <c r="J56" s="133">
        <v>6.5037523883472685</v>
      </c>
      <c r="K56" s="45">
        <v>1689.0711625631393</v>
      </c>
      <c r="L56" s="134">
        <v>150.29246701057298</v>
      </c>
      <c r="M56" s="45" t="s">
        <v>738</v>
      </c>
      <c r="N56" s="133">
        <v>0.68674658338316574</v>
      </c>
      <c r="O56" s="133">
        <v>7.3657674893170239E-2</v>
      </c>
      <c r="P56" s="133">
        <v>1.8313242223551081E-2</v>
      </c>
      <c r="Q56" s="133">
        <v>0.40259978845508276</v>
      </c>
      <c r="R56" s="133">
        <v>0.40259978845508276</v>
      </c>
      <c r="S56" s="133">
        <v>1.1433952278959977E-2</v>
      </c>
      <c r="T56" s="133">
        <v>5.6606665962142273</v>
      </c>
      <c r="U56" s="45">
        <v>1470.1076438758159</v>
      </c>
      <c r="V56" s="134">
        <v>130.80995352677832</v>
      </c>
      <c r="W56" t="s">
        <v>738</v>
      </c>
      <c r="Y56" s="13">
        <f t="shared" si="1"/>
        <v>0.9342806783489892</v>
      </c>
      <c r="Z56" s="5">
        <f t="shared" si="0"/>
        <v>0.10020718577991736</v>
      </c>
      <c r="AA56" s="357">
        <f t="shared" si="0"/>
        <v>2.4914151422639703E-2</v>
      </c>
      <c r="AB56" s="5">
        <f t="shared" si="0"/>
        <v>0.54771470665054445</v>
      </c>
      <c r="AC56" s="358">
        <f t="shared" si="0"/>
        <v>0.54771470665054445</v>
      </c>
      <c r="AD56" s="5">
        <f t="shared" si="0"/>
        <v>1.5555258591561795E-2</v>
      </c>
      <c r="AE56" s="13">
        <f t="shared" si="0"/>
        <v>7.7010232819283253</v>
      </c>
    </row>
    <row r="57" spans="1:31" x14ac:dyDescent="0.25">
      <c r="A57" s="812" t="s">
        <v>2001</v>
      </c>
      <c r="B57" s="812">
        <v>2104008410</v>
      </c>
      <c r="C57" s="812" t="s">
        <v>144</v>
      </c>
      <c r="D57" s="133">
        <v>1.3220917532721798E-2</v>
      </c>
      <c r="E57" s="133">
        <v>2.3087840479532506E-2</v>
      </c>
      <c r="F57" s="133">
        <v>1.8451820563062933E-3</v>
      </c>
      <c r="G57" s="133">
        <v>1.706793402083322E-2</v>
      </c>
      <c r="H57" s="133">
        <v>1.706793402083322E-2</v>
      </c>
      <c r="I57" s="133">
        <v>4.1447401939780152E-4</v>
      </c>
      <c r="J57" s="133">
        <v>5.7269838072606598E-2</v>
      </c>
      <c r="K57" s="45">
        <v>176.88729126590781</v>
      </c>
      <c r="L57" s="134">
        <v>15.739317547064742</v>
      </c>
      <c r="M57" s="45" t="s">
        <v>738</v>
      </c>
      <c r="N57" s="133">
        <v>1.1507081109494608E-2</v>
      </c>
      <c r="O57" s="133">
        <v>2.009494820488145E-2</v>
      </c>
      <c r="P57" s="133">
        <v>1.6059898665239918E-3</v>
      </c>
      <c r="Q57" s="133">
        <v>1.4855406265346921E-2</v>
      </c>
      <c r="R57" s="133">
        <v>1.4855406265346921E-2</v>
      </c>
      <c r="S57" s="133">
        <v>3.6074547376795178E-4</v>
      </c>
      <c r="T57" s="133">
        <v>4.9845910482238381E-2</v>
      </c>
      <c r="U57" s="45">
        <v>153.95642573157608</v>
      </c>
      <c r="V57" s="134">
        <v>13.699019237803219</v>
      </c>
      <c r="W57" t="s">
        <v>738</v>
      </c>
      <c r="Y57" s="13">
        <f t="shared" si="1"/>
        <v>0.14948490853583818</v>
      </c>
      <c r="Z57" s="5">
        <f t="shared" si="0"/>
        <v>0.26104721656655122</v>
      </c>
      <c r="AA57" s="357">
        <f t="shared" si="0"/>
        <v>2.0862914410913185E-2</v>
      </c>
      <c r="AB57" s="5">
        <f t="shared" si="0"/>
        <v>0.19298195830094689</v>
      </c>
      <c r="AC57" s="358">
        <f t="shared" si="0"/>
        <v>0.19298195830094689</v>
      </c>
      <c r="AD57" s="5">
        <f t="shared" si="0"/>
        <v>4.6863321495513753E-3</v>
      </c>
      <c r="AE57" s="13">
        <f t="shared" si="0"/>
        <v>0.64753270602871771</v>
      </c>
    </row>
    <row r="58" spans="1:31" x14ac:dyDescent="0.25">
      <c r="A58" s="812" t="s">
        <v>2001</v>
      </c>
      <c r="B58" s="812">
        <v>2104008420</v>
      </c>
      <c r="C58" s="812" t="s">
        <v>145</v>
      </c>
      <c r="D58" s="133">
        <v>4.4594565725432508E-2</v>
      </c>
      <c r="E58" s="133">
        <v>7.7876003475142355E-2</v>
      </c>
      <c r="F58" s="133">
        <v>6.223856421589802E-3</v>
      </c>
      <c r="G58" s="133">
        <v>5.7570671899705647E-2</v>
      </c>
      <c r="H58" s="133">
        <v>5.7570671899705647E-2</v>
      </c>
      <c r="I58" s="133">
        <v>1.3980337486996094E-3</v>
      </c>
      <c r="J58" s="133">
        <v>0.19317294368509355</v>
      </c>
      <c r="K58" s="45">
        <v>596.64633084866523</v>
      </c>
      <c r="L58" s="134">
        <v>53.089207242149243</v>
      </c>
      <c r="M58" s="45" t="s">
        <v>738</v>
      </c>
      <c r="N58" s="133">
        <v>3.8813742206256475E-2</v>
      </c>
      <c r="O58" s="133">
        <v>6.7780884817852882E-2</v>
      </c>
      <c r="P58" s="133">
        <v>5.417053731696533E-3</v>
      </c>
      <c r="Q58" s="133">
        <v>5.0107747018192914E-2</v>
      </c>
      <c r="R58" s="133">
        <v>5.0107747018192914E-2</v>
      </c>
      <c r="S58" s="133">
        <v>1.2168056944823337E-3</v>
      </c>
      <c r="T58" s="133">
        <v>0.16813180519753113</v>
      </c>
      <c r="U58" s="45">
        <v>519.29980874224611</v>
      </c>
      <c r="V58" s="134">
        <v>46.207217635402145</v>
      </c>
      <c r="W58" t="s">
        <v>738</v>
      </c>
      <c r="Y58" s="13">
        <f t="shared" si="1"/>
        <v>0.14948490853583823</v>
      </c>
      <c r="Z58" s="5">
        <f t="shared" si="0"/>
        <v>0.26104721656655122</v>
      </c>
      <c r="AA58" s="357">
        <f t="shared" si="0"/>
        <v>2.0862914410913185E-2</v>
      </c>
      <c r="AB58" s="5">
        <f t="shared" si="0"/>
        <v>0.19298195830094686</v>
      </c>
      <c r="AC58" s="358">
        <f t="shared" si="0"/>
        <v>0.19298195830094686</v>
      </c>
      <c r="AD58" s="5">
        <f t="shared" si="0"/>
        <v>4.6863321495513735E-3</v>
      </c>
      <c r="AE58" s="13">
        <f t="shared" si="0"/>
        <v>0.64753270602871782</v>
      </c>
    </row>
    <row r="59" spans="1:31" x14ac:dyDescent="0.25">
      <c r="A59" s="812" t="s">
        <v>2001</v>
      </c>
      <c r="B59" s="812">
        <v>2104008610</v>
      </c>
      <c r="C59" s="812" t="s">
        <v>146</v>
      </c>
      <c r="D59" s="133">
        <v>1.2524294847458737</v>
      </c>
      <c r="E59" s="133">
        <v>4.4489757676938933E-2</v>
      </c>
      <c r="F59" s="133">
        <v>1.1034621010976868E-2</v>
      </c>
      <c r="G59" s="133">
        <v>0.27228346878961568</v>
      </c>
      <c r="H59" s="133">
        <v>0.27228346878961568</v>
      </c>
      <c r="I59" s="133">
        <v>6.7244585838176158E-3</v>
      </c>
      <c r="J59" s="133">
        <v>1.6709358726658627</v>
      </c>
      <c r="K59" s="45">
        <v>885.50771434702722</v>
      </c>
      <c r="L59" s="134">
        <v>78.819372561741901</v>
      </c>
      <c r="M59" s="45" t="s">
        <v>738</v>
      </c>
      <c r="N59" s="133">
        <v>1.1451222722357819</v>
      </c>
      <c r="O59" s="133">
        <v>4.0677908834582367E-2</v>
      </c>
      <c r="P59" s="133">
        <v>1.0089183015293234E-2</v>
      </c>
      <c r="Q59" s="133">
        <v>0.2489544267922367</v>
      </c>
      <c r="R59" s="133">
        <v>0.2489544267922367</v>
      </c>
      <c r="S59" s="133">
        <v>6.1483120501742913E-3</v>
      </c>
      <c r="T59" s="133">
        <v>1.5277713488641309</v>
      </c>
      <c r="U59" s="45">
        <v>809.63782689745676</v>
      </c>
      <c r="V59" s="134">
        <v>72.066188239263965</v>
      </c>
      <c r="W59" t="s">
        <v>738</v>
      </c>
      <c r="Y59" s="13">
        <f t="shared" si="1"/>
        <v>2.8287272017017933</v>
      </c>
      <c r="Z59" s="5">
        <f t="shared" si="0"/>
        <v>0.10048421030539216</v>
      </c>
      <c r="AA59" s="357">
        <f t="shared" si="0"/>
        <v>2.4922706622923292E-2</v>
      </c>
      <c r="AB59" s="5">
        <f t="shared" si="0"/>
        <v>0.61497726149044551</v>
      </c>
      <c r="AC59" s="358">
        <f t="shared" si="0"/>
        <v>0.61497726149044551</v>
      </c>
      <c r="AD59" s="5">
        <f t="shared" si="0"/>
        <v>1.5187808291355919E-2</v>
      </c>
      <c r="AE59" s="13">
        <f t="shared" si="0"/>
        <v>3.7739623770262112</v>
      </c>
    </row>
    <row r="60" spans="1:31" x14ac:dyDescent="0.25">
      <c r="A60" s="812" t="s">
        <v>2001</v>
      </c>
      <c r="B60" s="812">
        <v>2104004000</v>
      </c>
      <c r="C60" s="812" t="s">
        <v>568</v>
      </c>
      <c r="D60" s="133">
        <v>9.1396780581480888E-2</v>
      </c>
      <c r="E60" s="133">
        <v>1.432020786217441</v>
      </c>
      <c r="F60" s="133">
        <v>3.7049125606039799</v>
      </c>
      <c r="G60" s="133">
        <v>5.8529459927143368E-2</v>
      </c>
      <c r="H60" s="133">
        <v>5.8529459927143368E-2</v>
      </c>
      <c r="I60" s="133">
        <v>3.1401055250912407E-3</v>
      </c>
      <c r="J60" s="133">
        <v>5.7407645278539768E-2</v>
      </c>
      <c r="K60" s="45">
        <v>34407.91678067037</v>
      </c>
      <c r="L60" s="134">
        <v>256.37245604903489</v>
      </c>
      <c r="M60" s="45" t="s">
        <v>1997</v>
      </c>
      <c r="N60" s="133">
        <v>8.4417496278128945E-2</v>
      </c>
      <c r="O60" s="133">
        <v>1.3226681358096837</v>
      </c>
      <c r="P60" s="133">
        <v>3.4219962706099079</v>
      </c>
      <c r="Q60" s="133">
        <v>5.4060005550804521E-2</v>
      </c>
      <c r="R60" s="133">
        <v>5.4060005550804521E-2</v>
      </c>
      <c r="S60" s="133">
        <v>2.9003192978006632E-3</v>
      </c>
      <c r="T60" s="133">
        <v>5.3023855444414111E-2</v>
      </c>
      <c r="U60" s="45">
        <v>31780.443121636126</v>
      </c>
      <c r="V60" s="134">
        <v>236.79522097651883</v>
      </c>
      <c r="W60" t="s">
        <v>1997</v>
      </c>
      <c r="Y60" s="13">
        <f t="shared" si="1"/>
        <v>5.3125436895281996E-3</v>
      </c>
      <c r="Z60" s="5">
        <f t="shared" si="0"/>
        <v>8.3237866177467562E-2</v>
      </c>
      <c r="AA60" s="357">
        <f t="shared" si="0"/>
        <v>0.21535233209383495</v>
      </c>
      <c r="AB60" s="5">
        <f t="shared" si="0"/>
        <v>3.4020926230572584E-3</v>
      </c>
      <c r="AC60" s="358">
        <f t="shared" si="0"/>
        <v>3.4020926230572584E-3</v>
      </c>
      <c r="AD60" s="5">
        <f t="shared" si="0"/>
        <v>1.8252226922702193E-4</v>
      </c>
      <c r="AE60" s="13">
        <f t="shared" si="0"/>
        <v>3.3368858477819947E-3</v>
      </c>
    </row>
    <row r="61" spans="1:31" x14ac:dyDescent="0.25">
      <c r="A61" s="812" t="s">
        <v>2001</v>
      </c>
      <c r="B61" s="812">
        <v>2103004001</v>
      </c>
      <c r="C61" s="812" t="s">
        <v>148</v>
      </c>
      <c r="D61" s="133">
        <v>2.9002043658771775E-2</v>
      </c>
      <c r="E61" s="133">
        <v>0.73216940513028284</v>
      </c>
      <c r="F61" s="133">
        <v>0.51752987640853465</v>
      </c>
      <c r="G61" s="133">
        <v>1.8572579267363082E-2</v>
      </c>
      <c r="H61" s="133">
        <v>1.8572579267363082E-2</v>
      </c>
      <c r="I61" s="133">
        <v>9.9641887769402965E-4</v>
      </c>
      <c r="J61" s="133">
        <v>1.8216604831405293E-2</v>
      </c>
      <c r="K61" s="45">
        <v>11267.273623393803</v>
      </c>
      <c r="L61" s="134">
        <v>83.952150611708632</v>
      </c>
      <c r="M61" s="45" t="s">
        <v>1997</v>
      </c>
      <c r="N61" s="133">
        <v>2.8530019571051432E-2</v>
      </c>
      <c r="O61" s="133">
        <v>0.72025294849779187</v>
      </c>
      <c r="P61" s="133">
        <v>0.50910679524039493</v>
      </c>
      <c r="Q61" s="133">
        <v>1.8270300404244443E-2</v>
      </c>
      <c r="R61" s="133">
        <v>1.8270300404244443E-2</v>
      </c>
      <c r="S61" s="133">
        <v>9.8020161668771477E-4</v>
      </c>
      <c r="T61" s="133">
        <v>1.7920119646496428E-2</v>
      </c>
      <c r="U61" s="45">
        <v>11083.892596327138</v>
      </c>
      <c r="V61" s="134">
        <v>82.585783545618582</v>
      </c>
      <c r="W61" t="s">
        <v>1997</v>
      </c>
      <c r="Y61" s="13">
        <f t="shared" si="1"/>
        <v>5.148014440433211E-3</v>
      </c>
      <c r="Z61" s="5">
        <f t="shared" si="0"/>
        <v>0.12996389891696741</v>
      </c>
      <c r="AA61" s="357">
        <f t="shared" si="0"/>
        <v>9.1864259927797801E-2</v>
      </c>
      <c r="AB61" s="5">
        <f t="shared" si="0"/>
        <v>3.2967299611507714E-3</v>
      </c>
      <c r="AC61" s="358">
        <f t="shared" si="0"/>
        <v>3.2967299611507714E-3</v>
      </c>
      <c r="AD61" s="5">
        <f t="shared" si="0"/>
        <v>1.7686956241573897E-4</v>
      </c>
      <c r="AE61" s="13">
        <f t="shared" si="0"/>
        <v>3.2335426368953822E-3</v>
      </c>
    </row>
    <row r="62" spans="1:31" x14ac:dyDescent="0.25">
      <c r="A62" s="812" t="s">
        <v>2001</v>
      </c>
      <c r="B62" s="812">
        <v>2104004000</v>
      </c>
      <c r="C62" s="812" t="s">
        <v>746</v>
      </c>
      <c r="D62" s="133">
        <v>6.1087228924611267E-4</v>
      </c>
      <c r="E62" s="133">
        <v>1.5421740822482514E-2</v>
      </c>
      <c r="F62" s="133">
        <v>2.4762671102349695E-2</v>
      </c>
      <c r="G62" s="133">
        <v>3.4270535161072259E-4</v>
      </c>
      <c r="H62" s="133">
        <v>3.4270535161072259E-4</v>
      </c>
      <c r="I62" s="133">
        <v>2.0987647906008694E-5</v>
      </c>
      <c r="J62" s="133">
        <v>3.8369775684020255E-4</v>
      </c>
      <c r="K62" s="45">
        <v>234.74459821955466</v>
      </c>
      <c r="L62" s="134">
        <v>1.7135267580536127</v>
      </c>
      <c r="M62" s="45" t="s">
        <v>1997</v>
      </c>
      <c r="N62" s="133">
        <v>5.7679763140343202E-4</v>
      </c>
      <c r="O62" s="133">
        <v>1.4561511031222687E-2</v>
      </c>
      <c r="P62" s="133">
        <v>2.338140113817317E-2</v>
      </c>
      <c r="Q62" s="133">
        <v>3.2358913402717087E-4</v>
      </c>
      <c r="R62" s="133">
        <v>3.2358913402717087E-4</v>
      </c>
      <c r="S62" s="133">
        <v>1.9816949981238735E-5</v>
      </c>
      <c r="T62" s="133">
        <v>3.6229496936809549E-4</v>
      </c>
      <c r="U62" s="45">
        <v>221.65046708026134</v>
      </c>
      <c r="V62" s="134">
        <v>1.6179456701358543</v>
      </c>
      <c r="W62" t="s">
        <v>1997</v>
      </c>
      <c r="Y62" s="13">
        <f t="shared" si="1"/>
        <v>5.2045695098361256E-3</v>
      </c>
      <c r="Z62" s="5">
        <f t="shared" si="0"/>
        <v>0.13139165662980401</v>
      </c>
      <c r="AA62" s="357">
        <f t="shared" si="0"/>
        <v>0.21097542853096343</v>
      </c>
      <c r="AB62" s="5">
        <f t="shared" si="0"/>
        <v>2.919814591773423E-3</v>
      </c>
      <c r="AC62" s="358">
        <f t="shared" si="0"/>
        <v>2.919814591773423E-3</v>
      </c>
      <c r="AD62" s="5">
        <f t="shared" si="0"/>
        <v>1.7881261647928644E-4</v>
      </c>
      <c r="AE62" s="13">
        <f t="shared" si="0"/>
        <v>3.2690656973612935E-3</v>
      </c>
    </row>
    <row r="63" spans="1:31" x14ac:dyDescent="0.25">
      <c r="A63" s="812" t="s">
        <v>2001</v>
      </c>
      <c r="B63" s="812">
        <v>2104004000</v>
      </c>
      <c r="C63" s="812" t="s">
        <v>747</v>
      </c>
      <c r="D63" s="133">
        <v>2.3540940980857255E-3</v>
      </c>
      <c r="E63" s="133">
        <v>3.6884359161482583E-2</v>
      </c>
      <c r="F63" s="133">
        <v>9.5426914792321779E-2</v>
      </c>
      <c r="G63" s="133">
        <v>1.5075351155919309E-3</v>
      </c>
      <c r="H63" s="133">
        <v>1.5075351155919309E-3</v>
      </c>
      <c r="I63" s="133">
        <v>8.0879258951507124E-5</v>
      </c>
      <c r="J63" s="133">
        <v>1.4786406925430863E-3</v>
      </c>
      <c r="K63" s="45">
        <v>825.41868796834694</v>
      </c>
      <c r="L63" s="134">
        <v>6.6033495037467773</v>
      </c>
      <c r="M63" s="45" t="s">
        <v>1997</v>
      </c>
      <c r="N63" s="133">
        <v>1.9514151591966265E-3</v>
      </c>
      <c r="O63" s="133">
        <v>3.057511492998485E-2</v>
      </c>
      <c r="P63" s="133">
        <v>7.9103689301344288E-2</v>
      </c>
      <c r="Q63" s="133">
        <v>1.2496640979557847E-3</v>
      </c>
      <c r="R63" s="133">
        <v>1.2496640979557847E-3</v>
      </c>
      <c r="S63" s="133">
        <v>6.704447885532783E-5</v>
      </c>
      <c r="T63" s="133">
        <v>1.225712202744965E-3</v>
      </c>
      <c r="U63" s="45">
        <v>684.22691416431519</v>
      </c>
      <c r="V63" s="134">
        <v>5.4738153133145229</v>
      </c>
      <c r="W63" t="s">
        <v>1997</v>
      </c>
      <c r="Y63" s="13">
        <f t="shared" si="1"/>
        <v>5.703999999999999E-3</v>
      </c>
      <c r="Z63" s="5">
        <f t="shared" si="0"/>
        <v>8.9371272298833668E-2</v>
      </c>
      <c r="AA63" s="357">
        <f t="shared" si="0"/>
        <v>0.23122063065279469</v>
      </c>
      <c r="AB63" s="5">
        <f t="shared" si="0"/>
        <v>3.6527767969550561E-3</v>
      </c>
      <c r="AC63" s="358">
        <f t="shared" si="0"/>
        <v>3.6527767969550561E-3</v>
      </c>
      <c r="AD63" s="5">
        <f t="shared" si="0"/>
        <v>1.9597147515663872E-4</v>
      </c>
      <c r="AE63" s="13">
        <f t="shared" si="0"/>
        <v>3.582765241680083E-3</v>
      </c>
    </row>
    <row r="64" spans="1:31" x14ac:dyDescent="0.25">
      <c r="A64" s="812" t="s">
        <v>2001</v>
      </c>
      <c r="B64" s="812">
        <v>2104006010</v>
      </c>
      <c r="C64" s="812" t="s">
        <v>149</v>
      </c>
      <c r="D64" s="133">
        <v>6.4990552711092803E-4</v>
      </c>
      <c r="E64" s="133">
        <v>1.1107476281532224E-2</v>
      </c>
      <c r="F64" s="133">
        <v>7.0898784775737638E-5</v>
      </c>
      <c r="G64" s="133">
        <v>5.8529310125197205E-6</v>
      </c>
      <c r="H64" s="133">
        <v>5.8529310125197205E-6</v>
      </c>
      <c r="I64" s="133">
        <v>2.3632928258579197E-3</v>
      </c>
      <c r="J64" s="133">
        <v>4.7265856517158394E-3</v>
      </c>
      <c r="K64" s="45">
        <v>291.73882732240446</v>
      </c>
      <c r="L64" s="134">
        <v>287.42741608118689</v>
      </c>
      <c r="M64" s="45" t="s">
        <v>1998</v>
      </c>
      <c r="N64" s="133">
        <v>6.4990552711092803E-4</v>
      </c>
      <c r="O64" s="133">
        <v>1.1107476281532224E-2</v>
      </c>
      <c r="P64" s="133">
        <v>7.0898784775737638E-5</v>
      </c>
      <c r="Q64" s="133">
        <v>5.8529310125197205E-6</v>
      </c>
      <c r="R64" s="133">
        <v>5.8529310125197205E-6</v>
      </c>
      <c r="S64" s="133">
        <v>2.3632928258579197E-3</v>
      </c>
      <c r="T64" s="133">
        <v>4.7265856517158394E-3</v>
      </c>
      <c r="U64" s="45">
        <v>291.73882732240446</v>
      </c>
      <c r="V64" s="134">
        <v>287.42741608118689</v>
      </c>
      <c r="W64" t="s">
        <v>1998</v>
      </c>
      <c r="Y64" s="13">
        <f t="shared" si="1"/>
        <v>4.455392743405449E-3</v>
      </c>
      <c r="Z64" s="5">
        <f t="shared" si="0"/>
        <v>7.6146712341838577E-2</v>
      </c>
      <c r="AA64" s="357">
        <f t="shared" si="0"/>
        <v>4.8604284473514008E-4</v>
      </c>
      <c r="AB64" s="5">
        <f t="shared" si="0"/>
        <v>4.0124456975701546E-5</v>
      </c>
      <c r="AC64" s="358">
        <f t="shared" si="0"/>
        <v>4.0124456975701546E-5</v>
      </c>
      <c r="AD64" s="5">
        <f t="shared" si="0"/>
        <v>1.6201428157837993E-2</v>
      </c>
      <c r="AE64" s="13">
        <f t="shared" si="0"/>
        <v>3.2402856315675986E-2</v>
      </c>
    </row>
    <row r="65" spans="1:31" x14ac:dyDescent="0.25">
      <c r="A65" s="812" t="s">
        <v>2001</v>
      </c>
      <c r="B65" s="812">
        <v>2103006000</v>
      </c>
      <c r="C65" s="812" t="s">
        <v>150</v>
      </c>
      <c r="D65" s="133">
        <v>7.2943884387197469E-3</v>
      </c>
      <c r="E65" s="133">
        <v>0.13262524434035905</v>
      </c>
      <c r="F65" s="133">
        <v>7.9575146604215412E-4</v>
      </c>
      <c r="G65" s="133">
        <v>1.0079518569867293E-2</v>
      </c>
      <c r="H65" s="133">
        <v>1.0079518569867293E-2</v>
      </c>
      <c r="I65" s="133">
        <v>2.6525048868071801E-2</v>
      </c>
      <c r="J65" s="133">
        <v>5.3050097736143602E-2</v>
      </c>
      <c r="K65" s="45">
        <v>2692.2924601092905</v>
      </c>
      <c r="L65" s="134">
        <v>2652.5048868071813</v>
      </c>
      <c r="M65" s="45" t="s">
        <v>1998</v>
      </c>
      <c r="N65" s="133">
        <v>7.2943884387197469E-3</v>
      </c>
      <c r="O65" s="133">
        <v>0.13262524434035905</v>
      </c>
      <c r="P65" s="133">
        <v>7.9575146604215412E-4</v>
      </c>
      <c r="Q65" s="133">
        <v>1.0079518569867293E-2</v>
      </c>
      <c r="R65" s="133">
        <v>1.0079518569867293E-2</v>
      </c>
      <c r="S65" s="133">
        <v>2.6525048868071801E-2</v>
      </c>
      <c r="T65" s="133">
        <v>5.3050097736143602E-2</v>
      </c>
      <c r="U65" s="45">
        <v>2692.2924601092905</v>
      </c>
      <c r="V65" s="134">
        <v>2652.5048868071813</v>
      </c>
      <c r="W65" t="s">
        <v>1998</v>
      </c>
      <c r="Y65" s="13">
        <f t="shared" si="1"/>
        <v>5.4187192118226556E-3</v>
      </c>
      <c r="Z65" s="5">
        <f t="shared" si="0"/>
        <v>9.8522167487684664E-2</v>
      </c>
      <c r="AA65" s="357">
        <f t="shared" si="0"/>
        <v>5.9113300492610779E-4</v>
      </c>
      <c r="AB65" s="5">
        <f t="shared" si="0"/>
        <v>7.4876847290640388E-3</v>
      </c>
      <c r="AC65" s="358">
        <f t="shared" si="0"/>
        <v>7.4876847290640388E-3</v>
      </c>
      <c r="AD65" s="5">
        <f t="shared" si="0"/>
        <v>1.9704433497536925E-2</v>
      </c>
      <c r="AE65" s="13">
        <f t="shared" si="0"/>
        <v>3.940886699507385E-2</v>
      </c>
    </row>
    <row r="66" spans="1:31" x14ac:dyDescent="0.25">
      <c r="A66" s="812" t="s">
        <v>2001</v>
      </c>
      <c r="B66" s="812">
        <v>2104002000</v>
      </c>
      <c r="C66" s="812" t="s">
        <v>151</v>
      </c>
      <c r="D66" s="133">
        <v>0.13784951766528067</v>
      </c>
      <c r="E66" s="133">
        <v>6.5064972338012506E-2</v>
      </c>
      <c r="F66" s="133">
        <v>0.12820005142871108</v>
      </c>
      <c r="G66" s="133">
        <v>0.1101417646145593</v>
      </c>
      <c r="H66" s="133">
        <v>0.1101417646145593</v>
      </c>
      <c r="I66" s="133">
        <v>1.7451059688836219E-2</v>
      </c>
      <c r="J66" s="133">
        <v>1.7999700769144029</v>
      </c>
      <c r="K66" s="45">
        <v>419.06253370245332</v>
      </c>
      <c r="L66" s="134">
        <v>27.569903533056145</v>
      </c>
      <c r="M66" s="45" t="s">
        <v>738</v>
      </c>
      <c r="N66" s="133">
        <v>0.12085260759876917</v>
      </c>
      <c r="O66" s="133">
        <v>5.7042430786619039E-2</v>
      </c>
      <c r="P66" s="133">
        <v>0.11239292506685528</v>
      </c>
      <c r="Q66" s="133">
        <v>9.6561233471416555E-2</v>
      </c>
      <c r="R66" s="133">
        <v>9.6561233471416555E-2</v>
      </c>
      <c r="S66" s="133">
        <v>1.5299335858966184E-2</v>
      </c>
      <c r="T66" s="133">
        <v>1.5780329237209278</v>
      </c>
      <c r="U66" s="45">
        <v>367.3919271002581</v>
      </c>
      <c r="V66" s="134">
        <v>24.170521519753827</v>
      </c>
      <c r="W66" t="s">
        <v>738</v>
      </c>
      <c r="Y66" s="13">
        <f t="shared" si="1"/>
        <v>0.65789473684210553</v>
      </c>
      <c r="Z66" s="5">
        <f t="shared" si="1"/>
        <v>0.31052631578947376</v>
      </c>
      <c r="AA66" s="357">
        <f t="shared" si="1"/>
        <v>0.61184210526315796</v>
      </c>
      <c r="AB66" s="5">
        <f t="shared" si="1"/>
        <v>0.52565789473684221</v>
      </c>
      <c r="AC66" s="358">
        <f t="shared" si="1"/>
        <v>0.52565789473684221</v>
      </c>
      <c r="AD66" s="5">
        <f t="shared" si="1"/>
        <v>8.3286184210526359E-2</v>
      </c>
      <c r="AE66" s="13">
        <f t="shared" si="1"/>
        <v>8.5904605263157912</v>
      </c>
    </row>
    <row r="67" spans="1:31" x14ac:dyDescent="0.25">
      <c r="A67" s="812" t="s">
        <v>2001</v>
      </c>
      <c r="B67" s="812">
        <v>2103002000</v>
      </c>
      <c r="C67" s="812" t="s">
        <v>152</v>
      </c>
      <c r="D67" s="133">
        <v>3.4838015202202628E-4</v>
      </c>
      <c r="E67" s="133">
        <v>1.6443543175439639E-4</v>
      </c>
      <c r="F67" s="133">
        <v>3.2399354138048429E-4</v>
      </c>
      <c r="G67" s="133">
        <v>2.7835574146559887E-4</v>
      </c>
      <c r="H67" s="133">
        <v>2.7835574146559887E-4</v>
      </c>
      <c r="I67" s="133">
        <v>4.4103185345228465E-5</v>
      </c>
      <c r="J67" s="133">
        <v>4.5489738350276074E-3</v>
      </c>
      <c r="K67" s="45">
        <v>16.015711428952528</v>
      </c>
      <c r="L67" s="134">
        <v>1.0590756621469597</v>
      </c>
      <c r="M67" s="45" t="s">
        <v>738</v>
      </c>
      <c r="N67" s="133">
        <v>3.2922344900610862E-4</v>
      </c>
      <c r="O67" s="133">
        <v>1.5539346793088334E-4</v>
      </c>
      <c r="P67" s="133">
        <v>3.0617780757568117E-4</v>
      </c>
      <c r="Q67" s="133">
        <v>2.6304953575588086E-4</v>
      </c>
      <c r="R67" s="133">
        <v>2.6304953575588086E-4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1.0645223161162029E-3</v>
      </c>
      <c r="E68" s="133">
        <v>4.2325140919862258E-5</v>
      </c>
      <c r="F68" s="133">
        <v>9.227066009456588E-6</v>
      </c>
      <c r="G68" s="133">
        <v>2.9937064250054856E-4</v>
      </c>
      <c r="H68" s="133">
        <v>2.9937064250054856E-4</v>
      </c>
      <c r="I68" s="133">
        <v>1.09618260587576E-5</v>
      </c>
      <c r="J68" s="133">
        <v>2.1293167390460895E-3</v>
      </c>
      <c r="K68" s="45">
        <v>9.6654102131207296</v>
      </c>
      <c r="L68" s="134">
        <v>0.79814120981799463</v>
      </c>
      <c r="M68" s="45" t="s">
        <v>738</v>
      </c>
      <c r="N68" s="133">
        <v>8.7269646582558813E-4</v>
      </c>
      <c r="O68" s="133">
        <v>3.5510956409239786E-5</v>
      </c>
      <c r="P68" s="133">
        <v>7.5369704121824456E-6</v>
      </c>
      <c r="Q68" s="133">
        <v>2.5766689106639573E-4</v>
      </c>
      <c r="R68" s="133">
        <v>2.5766689106639573E-4</v>
      </c>
      <c r="S68" s="133">
        <v>9.931887845632114E-6</v>
      </c>
      <c r="T68" s="133">
        <v>1.8733911971619828E-3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1.6802202817214625E-2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1.6802202817214625E-2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0.26689697964980835</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10.82277366649109</v>
      </c>
      <c r="E70" s="137">
        <v>2.9564860130691883</v>
      </c>
      <c r="F70" s="137">
        <v>4.5928449897800583</v>
      </c>
      <c r="G70" s="137">
        <v>3.1121275353028244</v>
      </c>
      <c r="H70" s="137">
        <v>3.1121275353028244</v>
      </c>
      <c r="I70" s="137">
        <v>0.15964855157155552</v>
      </c>
      <c r="J70" s="137">
        <v>33.080268993653469</v>
      </c>
      <c r="K70" s="87">
        <v>58765.220076355523</v>
      </c>
      <c r="L70" s="87"/>
      <c r="M70" s="87"/>
      <c r="N70" s="137">
        <v>9.7463302341526692</v>
      </c>
      <c r="O70" s="137">
        <v>2.7591767642139109</v>
      </c>
      <c r="P70" s="137">
        <v>4.2554331410371038</v>
      </c>
      <c r="Q70" s="137">
        <v>2.7676835525123242</v>
      </c>
      <c r="R70" s="137">
        <v>2.7676835525123242</v>
      </c>
      <c r="S70" s="137">
        <v>0.14544324049434942</v>
      </c>
      <c r="T70" s="137">
        <v>29.178936828185144</v>
      </c>
      <c r="U70" s="87">
        <v>54722.657785349467</v>
      </c>
      <c r="Y70" s="13">
        <f t="shared" si="1"/>
        <v>0.3562082189934126</v>
      </c>
      <c r="Z70" s="5">
        <f t="shared" si="1"/>
        <v>0.10084220598483455</v>
      </c>
      <c r="AA70" s="357">
        <f t="shared" si="1"/>
        <v>0.15552728296674151</v>
      </c>
      <c r="AB70" s="5">
        <f t="shared" si="1"/>
        <v>0.10115311150889669</v>
      </c>
      <c r="AC70" s="358">
        <f t="shared" si="1"/>
        <v>0.10115311150889669</v>
      </c>
      <c r="AD70" s="5">
        <f t="shared" si="1"/>
        <v>5.3156497283027787E-3</v>
      </c>
      <c r="AE70" s="13">
        <f t="shared" si="1"/>
        <v>1.0664298120401974</v>
      </c>
    </row>
    <row r="71" spans="1:31" x14ac:dyDescent="0.25">
      <c r="R71" s="133"/>
      <c r="T71" s="1" t="s">
        <v>1452</v>
      </c>
      <c r="U71" s="45">
        <f>SUM(U50:U60,U62:U64,U66)</f>
        <v>40797.539408175464</v>
      </c>
      <c r="V71" t="s">
        <v>2002</v>
      </c>
    </row>
    <row r="72" spans="1:31" x14ac:dyDescent="0.25">
      <c r="L72" s="134"/>
      <c r="U72" s="45">
        <f ca="1">U71/OFFSET(Devices!$BH$41,0,MATCH(VALUE(RIGHT(A2,4)),Devices!$BI$39:$CG$39,0))*10^6</f>
        <v>939670.35546174471</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7.8928737821512263</v>
      </c>
      <c r="O74" s="133">
        <f t="shared" si="2"/>
        <v>0.20758665388238767</v>
      </c>
      <c r="P74" s="133">
        <f t="shared" si="2"/>
        <v>0.14570797577674074</v>
      </c>
      <c r="Q74" s="133">
        <f>SUM(Q50,Q51,Q54, Q59,Q66)</f>
        <v>1.5363081674455472</v>
      </c>
      <c r="R74" s="133">
        <f t="shared" ref="R74:U74" si="3">SUM(R50,R51,R54, R59,R66)</f>
        <v>1.5363081674455472</v>
      </c>
      <c r="S74" s="133">
        <f t="shared" si="3"/>
        <v>7.5114229360788848E-2</v>
      </c>
      <c r="T74" s="133">
        <f t="shared" si="3"/>
        <v>12.987239509959162</v>
      </c>
      <c r="U74" s="45">
        <f t="shared" si="3"/>
        <v>3041.6170552585431</v>
      </c>
      <c r="Y74" s="13">
        <f t="shared" ref="Y74:AE80" si="4">N74/$U74*2000</f>
        <v>5.1899194663611707</v>
      </c>
      <c r="Z74" s="5">
        <f t="shared" si="4"/>
        <v>0.13649756041675168</v>
      </c>
      <c r="AA74" s="357">
        <f t="shared" si="4"/>
        <v>9.5809546783564639E-2</v>
      </c>
      <c r="AB74" s="5">
        <f t="shared" si="4"/>
        <v>1.0101917102216922</v>
      </c>
      <c r="AC74" s="358">
        <f t="shared" si="4"/>
        <v>1.0101917102216922</v>
      </c>
      <c r="AD74" s="5">
        <f t="shared" si="4"/>
        <v>4.9390983806410826E-2</v>
      </c>
      <c r="AE74" s="13">
        <f t="shared" si="4"/>
        <v>8.5396940338074359</v>
      </c>
    </row>
    <row r="75" spans="1:31" x14ac:dyDescent="0.25">
      <c r="M75" s="1" t="s">
        <v>2006</v>
      </c>
      <c r="N75" s="133">
        <f t="shared" ref="N75:U75" si="5">SUM(N52:N53,N55:N56)</f>
        <v>1.6780591454508329</v>
      </c>
      <c r="O75" s="133">
        <f t="shared" si="5"/>
        <v>0.20800367005974921</v>
      </c>
      <c r="P75" s="133">
        <f t="shared" si="5"/>
        <v>5.1131397526302989E-2</v>
      </c>
      <c r="Q75" s="133">
        <f t="shared" si="5"/>
        <v>1.0795370717692525</v>
      </c>
      <c r="R75" s="133">
        <f t="shared" si="5"/>
        <v>1.0795370717692525</v>
      </c>
      <c r="S75" s="133">
        <f t="shared" si="5"/>
        <v>3.5827588591085945E-2</v>
      </c>
      <c r="T75" s="133">
        <f t="shared" si="5"/>
        <v>15.831589724484706</v>
      </c>
      <c r="U75" s="45">
        <f t="shared" si="5"/>
        <v>4104.6067882399921</v>
      </c>
      <c r="Y75" s="13">
        <f t="shared" si="4"/>
        <v>0.81764672331517796</v>
      </c>
      <c r="Z75" s="5">
        <f t="shared" si="4"/>
        <v>0.10135132585937118</v>
      </c>
      <c r="AA75" s="357">
        <f t="shared" si="4"/>
        <v>2.4914151422639703E-2</v>
      </c>
      <c r="AB75" s="5">
        <f t="shared" si="4"/>
        <v>0.52601241846707836</v>
      </c>
      <c r="AC75" s="358">
        <f t="shared" si="4"/>
        <v>0.52601241846707836</v>
      </c>
      <c r="AD75" s="5">
        <f t="shared" si="4"/>
        <v>1.745725738881234E-2</v>
      </c>
      <c r="AE75" s="13">
        <f t="shared" si="4"/>
        <v>7.7140591249049262</v>
      </c>
    </row>
    <row r="76" spans="1:31" x14ac:dyDescent="0.25">
      <c r="M76" s="1" t="s">
        <v>2007</v>
      </c>
      <c r="N76" s="133">
        <f t="shared" ref="N76:U76" si="6">SUM(N60,N62:N63)</f>
        <v>8.6945709068729005E-2</v>
      </c>
      <c r="O76" s="133">
        <f t="shared" si="6"/>
        <v>1.3678047617708913</v>
      </c>
      <c r="P76" s="133">
        <f t="shared" si="6"/>
        <v>3.5244813610494252</v>
      </c>
      <c r="Q76" s="133">
        <f t="shared" si="6"/>
        <v>5.5633258782787479E-2</v>
      </c>
      <c r="R76" s="133">
        <f t="shared" si="6"/>
        <v>5.5633258782787479E-2</v>
      </c>
      <c r="S76" s="133">
        <f t="shared" si="6"/>
        <v>2.9871807266372299E-3</v>
      </c>
      <c r="T76" s="133">
        <f t="shared" si="6"/>
        <v>5.4611862616527174E-2</v>
      </c>
      <c r="U76" s="45">
        <f t="shared" si="6"/>
        <v>32686.320502880702</v>
      </c>
      <c r="V76" s="134">
        <f t="shared" ref="V76" si="7">SUM(V60,V62:V63)</f>
        <v>243.88698195996923</v>
      </c>
      <c r="W76" t="s">
        <v>1997</v>
      </c>
      <c r="Y76" s="13">
        <f t="shared" si="4"/>
        <v>5.3200059065116453E-3</v>
      </c>
      <c r="Z76" s="5">
        <f t="shared" si="4"/>
        <v>8.3692795073115944E-2</v>
      </c>
      <c r="AA76" s="357">
        <f t="shared" si="4"/>
        <v>0.21565482482121573</v>
      </c>
      <c r="AB76" s="5">
        <f t="shared" si="4"/>
        <v>3.4040698326925126E-3</v>
      </c>
      <c r="AC76" s="358">
        <f t="shared" si="4"/>
        <v>3.4040698326925126E-3</v>
      </c>
      <c r="AD76" s="5">
        <f t="shared" si="4"/>
        <v>1.8277864750019593E-4</v>
      </c>
      <c r="AE76" s="13">
        <f t="shared" si="4"/>
        <v>3.3415729746463286E-3</v>
      </c>
    </row>
    <row r="77" spans="1:31" x14ac:dyDescent="0.25">
      <c r="M77" s="1" t="s">
        <v>2008</v>
      </c>
      <c r="N77" s="133">
        <f t="shared" ref="N77:U77" si="8">N61</f>
        <v>2.8530019571051432E-2</v>
      </c>
      <c r="O77" s="133">
        <f t="shared" si="8"/>
        <v>0.72025294849779187</v>
      </c>
      <c r="P77" s="133">
        <f t="shared" si="8"/>
        <v>0.50910679524039493</v>
      </c>
      <c r="Q77" s="133">
        <f t="shared" si="8"/>
        <v>1.8270300404244443E-2</v>
      </c>
      <c r="R77" s="133">
        <f t="shared" si="8"/>
        <v>1.8270300404244443E-2</v>
      </c>
      <c r="S77" s="133">
        <f t="shared" si="8"/>
        <v>9.8020161668771477E-4</v>
      </c>
      <c r="T77" s="133">
        <f t="shared" si="8"/>
        <v>1.7920119646496428E-2</v>
      </c>
      <c r="U77" s="45">
        <f t="shared" si="8"/>
        <v>11083.892596327138</v>
      </c>
      <c r="Y77" s="13">
        <f t="shared" si="4"/>
        <v>5.148014440433211E-3</v>
      </c>
      <c r="Z77" s="5">
        <f t="shared" si="4"/>
        <v>0.12996389891696741</v>
      </c>
      <c r="AA77" s="357">
        <f t="shared" si="4"/>
        <v>9.1864259927797801E-2</v>
      </c>
      <c r="AB77" s="5">
        <f t="shared" si="4"/>
        <v>3.2967299611507714E-3</v>
      </c>
      <c r="AC77" s="358">
        <f t="shared" si="4"/>
        <v>3.2967299611507714E-3</v>
      </c>
      <c r="AD77" s="5">
        <f t="shared" si="4"/>
        <v>1.7686956241573897E-4</v>
      </c>
      <c r="AE77" s="13">
        <f t="shared" si="4"/>
        <v>3.2335426368953822E-3</v>
      </c>
    </row>
    <row r="78" spans="1:31" x14ac:dyDescent="0.25">
      <c r="M78" s="1" t="s">
        <v>2009</v>
      </c>
      <c r="N78" s="133">
        <f t="shared" ref="N78:U78" si="9">SUM(N50:N59,N68)</f>
        <v>9.5012738397848651</v>
      </c>
      <c r="O78" s="133">
        <f t="shared" si="9"/>
        <v>0.44645923713466146</v>
      </c>
      <c r="P78" s="133">
        <f t="shared" si="9"/>
        <v>9.1477028804821156E-2</v>
      </c>
      <c r="Q78" s="133">
        <f t="shared" si="9"/>
        <v>2.584504825917989</v>
      </c>
      <c r="R78" s="133">
        <f t="shared" si="9"/>
        <v>2.584504825917989</v>
      </c>
      <c r="S78" s="133">
        <f t="shared" si="9"/>
        <v>9.7229965149004519E-2</v>
      </c>
      <c r="T78" s="133">
        <f t="shared" si="9"/>
        <v>27.460647417599869</v>
      </c>
      <c r="U78" s="45">
        <f t="shared" si="9"/>
        <v>7459.9831752192995</v>
      </c>
      <c r="V78" s="134">
        <f t="shared" ref="V78" si="10">V61</f>
        <v>82.585783545618582</v>
      </c>
      <c r="W78" t="s">
        <v>1997</v>
      </c>
      <c r="Y78" s="13">
        <f t="shared" si="4"/>
        <v>2.5472641470147974</v>
      </c>
      <c r="Z78" s="5">
        <f t="shared" si="4"/>
        <v>0.11969443540240611</v>
      </c>
      <c r="AA78" s="357">
        <f t="shared" si="4"/>
        <v>2.4524727913245468E-2</v>
      </c>
      <c r="AB78" s="5">
        <f t="shared" si="4"/>
        <v>0.69289829888711851</v>
      </c>
      <c r="AC78" s="358">
        <f t="shared" si="4"/>
        <v>0.69289829888711851</v>
      </c>
      <c r="AD78" s="5">
        <f t="shared" si="4"/>
        <v>2.6067073575174991E-2</v>
      </c>
      <c r="AE78" s="13">
        <f t="shared" si="4"/>
        <v>7.3621204693380866</v>
      </c>
    </row>
    <row r="79" spans="1:31" x14ac:dyDescent="0.25">
      <c r="M79" s="1" t="s">
        <v>2010</v>
      </c>
      <c r="N79" s="133">
        <f>SUM(N64,N65,N66,N67,N69)</f>
        <v>0.1295806657280261</v>
      </c>
      <c r="O79" s="133">
        <f t="shared" ref="O79:U79" si="11">SUM(O64,O65,O66,O67,O69)</f>
        <v>0.22465981681056593</v>
      </c>
      <c r="P79" s="133">
        <f t="shared" si="11"/>
        <v>0.13036795594246348</v>
      </c>
      <c r="Q79" s="133">
        <f t="shared" si="11"/>
        <v>0.10927516740730289</v>
      </c>
      <c r="R79" s="133">
        <f t="shared" si="11"/>
        <v>0.10927516740730289</v>
      </c>
      <c r="S79" s="133">
        <f t="shared" si="11"/>
        <v>4.4245893002019983E-2</v>
      </c>
      <c r="T79" s="133">
        <f t="shared" si="11"/>
        <v>1.6457574283222458</v>
      </c>
      <c r="U79" s="45">
        <f t="shared" si="11"/>
        <v>3492.4615109223273</v>
      </c>
      <c r="V79" s="134">
        <f t="shared" ref="V79" si="12">SUM(V50:V59,V68)</f>
        <v>663.75208321986827</v>
      </c>
      <c r="W79" t="s">
        <v>2011</v>
      </c>
      <c r="Y79" s="13">
        <f t="shared" si="4"/>
        <v>7.4205923428375897E-2</v>
      </c>
      <c r="Z79" s="5">
        <f t="shared" si="4"/>
        <v>0.12865414041527137</v>
      </c>
      <c r="AA79" s="357">
        <f t="shared" si="4"/>
        <v>7.4656774618560934E-2</v>
      </c>
      <c r="AB79" s="5">
        <f t="shared" si="4"/>
        <v>6.257773611279932E-2</v>
      </c>
      <c r="AC79" s="358">
        <f t="shared" si="4"/>
        <v>6.257773611279932E-2</v>
      </c>
      <c r="AD79" s="5">
        <f t="shared" si="4"/>
        <v>2.5337941657278304E-2</v>
      </c>
      <c r="AE79" s="13">
        <f t="shared" si="4"/>
        <v>0.94246274335468128</v>
      </c>
    </row>
    <row r="80" spans="1:31" x14ac:dyDescent="0.25">
      <c r="M80" s="1" t="s">
        <v>2012</v>
      </c>
      <c r="N80" s="133">
        <f>SUM(N76:N79)</f>
        <v>9.746330234152671</v>
      </c>
      <c r="O80" s="133">
        <f t="shared" ref="O80:U80" si="13">SUM(O76:O79)</f>
        <v>2.7591767642139104</v>
      </c>
      <c r="P80" s="133">
        <f t="shared" si="13"/>
        <v>4.2554331410371047</v>
      </c>
      <c r="Q80" s="133">
        <f t="shared" si="13"/>
        <v>2.7676835525123238</v>
      </c>
      <c r="R80" s="133">
        <f t="shared" si="13"/>
        <v>2.7676835525123238</v>
      </c>
      <c r="S80" s="133">
        <f t="shared" si="13"/>
        <v>0.14544324049434945</v>
      </c>
      <c r="T80" s="133">
        <f t="shared" si="13"/>
        <v>29.178936828185137</v>
      </c>
      <c r="U80" s="45">
        <f t="shared" si="13"/>
        <v>54722.657785349467</v>
      </c>
      <c r="Y80" s="13">
        <f t="shared" si="4"/>
        <v>0.35620821899341265</v>
      </c>
      <c r="Z80" s="5">
        <f t="shared" si="4"/>
        <v>0.10084220598483454</v>
      </c>
      <c r="AA80" s="357">
        <f t="shared" si="4"/>
        <v>0.15552728296674156</v>
      </c>
      <c r="AB80" s="5">
        <f t="shared" si="4"/>
        <v>0.10115311150889668</v>
      </c>
      <c r="AC80" s="358">
        <f t="shared" si="4"/>
        <v>0.10115311150889668</v>
      </c>
      <c r="AD80" s="5">
        <f t="shared" si="4"/>
        <v>5.3156497283027796E-3</v>
      </c>
      <c r="AE80" s="13">
        <f t="shared" si="4"/>
        <v>1.0664298120401974</v>
      </c>
    </row>
    <row r="82" spans="20:23" x14ac:dyDescent="0.25">
      <c r="V82" s="38">
        <f>V79/Lookup!B37</f>
        <v>394.44355777515182</v>
      </c>
      <c r="W82" t="s">
        <v>2013</v>
      </c>
    </row>
    <row r="83" spans="20:23" x14ac:dyDescent="0.25">
      <c r="T83" s="1" t="s">
        <v>2014</v>
      </c>
      <c r="U83" s="13">
        <v>1.930282922015446</v>
      </c>
      <c r="V83" s="45">
        <f>V82*365/U83</f>
        <v>74585.904970659205</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57B7-A078-4BDF-AEF6-136492D63F3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2024</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6.0703407026507179</v>
      </c>
      <c r="E6" s="133">
        <v>6.8920898807388054E-2</v>
      </c>
      <c r="F6" s="133">
        <v>1.0603215201136619E-2</v>
      </c>
      <c r="G6" s="133">
        <v>0.91717811489831791</v>
      </c>
      <c r="H6" s="133">
        <v>0.91717811489831791</v>
      </c>
      <c r="I6" s="133">
        <v>4.7714468405114813E-2</v>
      </c>
      <c r="J6" s="133">
        <v>6.6959303995177768</v>
      </c>
      <c r="K6" s="45">
        <v>853.02941716645</v>
      </c>
      <c r="L6" s="134">
        <v>75.737877038037638</v>
      </c>
      <c r="M6" s="45" t="s">
        <v>738</v>
      </c>
      <c r="N6" s="133">
        <v>5.593375876855049</v>
      </c>
      <c r="O6" s="133">
        <v>6.3505577641149016E-2</v>
      </c>
      <c r="P6" s="133">
        <v>9.7700888678690784E-3</v>
      </c>
      <c r="Q6" s="133">
        <v>0.84511268707067522</v>
      </c>
      <c r="R6" s="133">
        <v>0.84511268707067522</v>
      </c>
      <c r="S6" s="133">
        <v>4.3965399905410853E-2</v>
      </c>
      <c r="T6" s="133">
        <v>6.1698111200593244</v>
      </c>
      <c r="U6" s="45">
        <v>786.00434439257549</v>
      </c>
      <c r="V6" s="134">
        <v>69.786925502186094</v>
      </c>
      <c r="W6" t="s">
        <v>738</v>
      </c>
    </row>
    <row r="7" spans="1:23" x14ac:dyDescent="0.25">
      <c r="A7" s="812" t="s">
        <v>1996</v>
      </c>
      <c r="B7" s="812">
        <v>2104008210</v>
      </c>
      <c r="C7" s="812" t="s">
        <v>138</v>
      </c>
      <c r="D7" s="133">
        <v>0.12520935549814913</v>
      </c>
      <c r="E7" s="133">
        <v>6.6148338753739154E-3</v>
      </c>
      <c r="F7" s="133">
        <v>9.4497626791055923E-4</v>
      </c>
      <c r="G7" s="133">
        <v>7.229068449515777E-2</v>
      </c>
      <c r="H7" s="133">
        <v>7.229068449515777E-2</v>
      </c>
      <c r="I7" s="133">
        <v>4.016149138619877E-3</v>
      </c>
      <c r="J7" s="133">
        <v>0.54525130658439269</v>
      </c>
      <c r="K7" s="45">
        <v>76.023407972089544</v>
      </c>
      <c r="L7" s="134">
        <v>6.7498862397135566</v>
      </c>
      <c r="M7" s="45" t="s">
        <v>738</v>
      </c>
      <c r="N7" s="133">
        <v>0.10881081488120713</v>
      </c>
      <c r="O7" s="133">
        <v>5.7484958805166008E-3</v>
      </c>
      <c r="P7" s="133">
        <v>8.2121369721665713E-4</v>
      </c>
      <c r="Q7" s="133">
        <v>6.2822847837074272E-2</v>
      </c>
      <c r="R7" s="133">
        <v>6.2822847837074272E-2</v>
      </c>
      <c r="S7" s="133">
        <v>3.4901582131707945E-3</v>
      </c>
      <c r="T7" s="133">
        <v>0.47384030329401128</v>
      </c>
      <c r="U7" s="45">
        <v>66.066700356203029</v>
      </c>
      <c r="V7" s="134">
        <v>5.865860575486594</v>
      </c>
      <c r="W7" t="s">
        <v>738</v>
      </c>
    </row>
    <row r="8" spans="1:23" x14ac:dyDescent="0.25">
      <c r="A8" s="812" t="s">
        <v>1996</v>
      </c>
      <c r="B8" s="812">
        <v>2104008220</v>
      </c>
      <c r="C8" s="812" t="s">
        <v>139</v>
      </c>
      <c r="D8" s="133">
        <v>5.9687053332658536E-2</v>
      </c>
      <c r="E8" s="133">
        <v>9.9478422221097543E-3</v>
      </c>
      <c r="F8" s="133">
        <v>1.9895684444219512E-3</v>
      </c>
      <c r="G8" s="133">
        <v>5.9687053332658536E-2</v>
      </c>
      <c r="H8" s="133">
        <v>5.9687053332658536E-2</v>
      </c>
      <c r="I8" s="133">
        <v>4.4765289999493876E-3</v>
      </c>
      <c r="J8" s="133">
        <v>0.70032809243652683</v>
      </c>
      <c r="K8" s="45">
        <v>160.06092287706161</v>
      </c>
      <c r="L8" s="134">
        <v>14.211320561166827</v>
      </c>
      <c r="M8" s="45" t="s">
        <v>738</v>
      </c>
      <c r="N8" s="133">
        <v>5.1869901295679519E-2</v>
      </c>
      <c r="O8" s="133">
        <v>8.6449835492799169E-3</v>
      </c>
      <c r="P8" s="133">
        <v>1.7289967098559835E-3</v>
      </c>
      <c r="Q8" s="133">
        <v>5.1869901295679519E-2</v>
      </c>
      <c r="R8" s="133">
        <v>5.1869901295679519E-2</v>
      </c>
      <c r="S8" s="133">
        <v>3.8902425971759644E-3</v>
      </c>
      <c r="T8" s="133">
        <v>0.60860684186930636</v>
      </c>
      <c r="U8" s="45">
        <v>139.09790829606635</v>
      </c>
      <c r="V8" s="134">
        <v>12.350078511676985</v>
      </c>
      <c r="W8" t="s">
        <v>738</v>
      </c>
    </row>
    <row r="9" spans="1:23" x14ac:dyDescent="0.25">
      <c r="A9" s="812" t="s">
        <v>1996</v>
      </c>
      <c r="B9" s="812">
        <v>2104008230</v>
      </c>
      <c r="C9" s="812" t="s">
        <v>140</v>
      </c>
      <c r="D9" s="133">
        <v>4.4919970341620118E-2</v>
      </c>
      <c r="E9" s="133">
        <v>5.9893293788826811E-3</v>
      </c>
      <c r="F9" s="133">
        <v>1.1978658757765361E-3</v>
      </c>
      <c r="G9" s="133">
        <v>3.893064096273742E-2</v>
      </c>
      <c r="H9" s="133">
        <v>3.893064096273742E-2</v>
      </c>
      <c r="I9" s="133">
        <v>2.6951982204972071E-3</v>
      </c>
      <c r="J9" s="133">
        <v>0.32042912177022342</v>
      </c>
      <c r="K9" s="45">
        <v>96.368394913620435</v>
      </c>
      <c r="L9" s="134">
        <v>8.5562555023781233</v>
      </c>
      <c r="M9" s="45" t="s">
        <v>738</v>
      </c>
      <c r="N9" s="133">
        <v>3.9036847988436388E-2</v>
      </c>
      <c r="O9" s="133">
        <v>5.2049130651248519E-3</v>
      </c>
      <c r="P9" s="133">
        <v>1.0409826130249702E-3</v>
      </c>
      <c r="Q9" s="133">
        <v>3.3831934923311532E-2</v>
      </c>
      <c r="R9" s="133">
        <v>3.3831934923311532E-2</v>
      </c>
      <c r="S9" s="133">
        <v>2.3422108793061838E-3</v>
      </c>
      <c r="T9" s="133">
        <v>0.2784628489841795</v>
      </c>
      <c r="U9" s="45">
        <v>83.747125265731597</v>
      </c>
      <c r="V9" s="134">
        <v>7.435651512153485</v>
      </c>
      <c r="W9" t="s">
        <v>738</v>
      </c>
    </row>
    <row r="10" spans="1:23" x14ac:dyDescent="0.25">
      <c r="A10" s="812" t="s">
        <v>1996</v>
      </c>
      <c r="B10" s="812">
        <v>2104008310</v>
      </c>
      <c r="C10" s="812" t="s">
        <v>141</v>
      </c>
      <c r="D10" s="133">
        <v>2.5410262908656831</v>
      </c>
      <c r="E10" s="133">
        <v>6.9621369985906623E-2</v>
      </c>
      <c r="F10" s="133">
        <v>1.917755691219384E-2</v>
      </c>
      <c r="G10" s="133">
        <v>0.58213614891879939</v>
      </c>
      <c r="H10" s="133">
        <v>0.58213614891879939</v>
      </c>
      <c r="I10" s="133">
        <v>1.9035093804984055E-2</v>
      </c>
      <c r="J10" s="133">
        <v>5.8093921931583283</v>
      </c>
      <c r="K10" s="45">
        <v>1542.8358177368225</v>
      </c>
      <c r="L10" s="134">
        <v>136.98368086974287</v>
      </c>
      <c r="M10" s="45" t="s">
        <v>738</v>
      </c>
      <c r="N10" s="133">
        <v>2.2082306888621694</v>
      </c>
      <c r="O10" s="133">
        <v>6.0503130705951917E-2</v>
      </c>
      <c r="P10" s="133">
        <v>1.666589199141261E-2</v>
      </c>
      <c r="Q10" s="133">
        <v>0.50589437573295926</v>
      </c>
      <c r="R10" s="133">
        <v>0.50589437573295926</v>
      </c>
      <c r="S10" s="133">
        <v>1.6542087130950445E-2</v>
      </c>
      <c r="T10" s="133">
        <v>5.0485420677005628</v>
      </c>
      <c r="U10" s="45">
        <v>1340.7721961985405</v>
      </c>
      <c r="V10" s="134">
        <v>119.04306895888689</v>
      </c>
      <c r="W10" t="s">
        <v>738</v>
      </c>
    </row>
    <row r="11" spans="1:23" x14ac:dyDescent="0.25">
      <c r="A11" s="812" t="s">
        <v>1996</v>
      </c>
      <c r="B11" s="812">
        <v>2104008320</v>
      </c>
      <c r="C11" s="812" t="s">
        <v>142</v>
      </c>
      <c r="D11" s="133">
        <v>1.2113022316837143</v>
      </c>
      <c r="E11" s="133">
        <v>0.16239925348298018</v>
      </c>
      <c r="F11" s="133">
        <v>4.0376741056123801E-2</v>
      </c>
      <c r="G11" s="133">
        <v>0.79997682623808464</v>
      </c>
      <c r="H11" s="133">
        <v>0.79997682623808464</v>
      </c>
      <c r="I11" s="133">
        <v>2.5209393551401577E-2</v>
      </c>
      <c r="J11" s="133">
        <v>12.480546402999101</v>
      </c>
      <c r="K11" s="45">
        <v>3248.3116900705586</v>
      </c>
      <c r="L11" s="134">
        <v>288.40767553011472</v>
      </c>
      <c r="M11" s="45" t="s">
        <v>738</v>
      </c>
      <c r="N11" s="133">
        <v>1.0526592232069911</v>
      </c>
      <c r="O11" s="133">
        <v>0.14112999014553665</v>
      </c>
      <c r="P11" s="133">
        <v>3.5088640773566382E-2</v>
      </c>
      <c r="Q11" s="133">
        <v>0.69520468340989539</v>
      </c>
      <c r="R11" s="133">
        <v>0.69520468340989539</v>
      </c>
      <c r="S11" s="133">
        <v>2.1907745184660765E-2</v>
      </c>
      <c r="T11" s="133">
        <v>10.845982066357053</v>
      </c>
      <c r="U11" s="45">
        <v>2822.8836461821215</v>
      </c>
      <c r="V11" s="134">
        <v>250.63521865097735</v>
      </c>
      <c r="W11" t="s">
        <v>738</v>
      </c>
    </row>
    <row r="12" spans="1:23" x14ac:dyDescent="0.25">
      <c r="A12" s="812" t="s">
        <v>1996</v>
      </c>
      <c r="B12" s="812">
        <v>2104008330</v>
      </c>
      <c r="C12" s="812" t="s">
        <v>143</v>
      </c>
      <c r="D12" s="133">
        <v>0.91161579075974686</v>
      </c>
      <c r="E12" s="133">
        <v>9.7776241146287954E-2</v>
      </c>
      <c r="F12" s="133">
        <v>2.430975442025992E-2</v>
      </c>
      <c r="G12" s="133">
        <v>0.53442759438879206</v>
      </c>
      <c r="H12" s="133">
        <v>0.53442759438879206</v>
      </c>
      <c r="I12" s="133">
        <v>1.5177900699474845E-2</v>
      </c>
      <c r="J12" s="133">
        <v>7.514202735328257</v>
      </c>
      <c r="K12" s="45">
        <v>1955.7214723276502</v>
      </c>
      <c r="L12" s="134">
        <v>173.6425373040785</v>
      </c>
      <c r="M12" s="45" t="s">
        <v>738</v>
      </c>
      <c r="N12" s="133">
        <v>0.7922224074750579</v>
      </c>
      <c r="O12" s="133">
        <v>8.4970587324093974E-2</v>
      </c>
      <c r="P12" s="133">
        <v>2.1125930866001532E-2</v>
      </c>
      <c r="Q12" s="133">
        <v>0.46443416156157202</v>
      </c>
      <c r="R12" s="133">
        <v>0.46443416156157202</v>
      </c>
      <c r="S12" s="133">
        <v>1.3190066642586583E-2</v>
      </c>
      <c r="T12" s="133">
        <v>6.5300753251281574</v>
      </c>
      <c r="U12" s="45">
        <v>1699.5826409136941</v>
      </c>
      <c r="V12" s="134">
        <v>150.90075263885916</v>
      </c>
      <c r="W12" t="s">
        <v>738</v>
      </c>
    </row>
    <row r="13" spans="1:23" x14ac:dyDescent="0.25">
      <c r="A13" s="812" t="s">
        <v>1996</v>
      </c>
      <c r="B13" s="812">
        <v>2104008410</v>
      </c>
      <c r="C13" s="812" t="s">
        <v>144</v>
      </c>
      <c r="D13" s="133">
        <v>1.5274974930768065E-2</v>
      </c>
      <c r="E13" s="133">
        <v>2.6674864558952266E-2</v>
      </c>
      <c r="F13" s="133">
        <v>2.1318573074087716E-3</v>
      </c>
      <c r="G13" s="133">
        <v>1.9719680093531144E-2</v>
      </c>
      <c r="H13" s="133">
        <v>1.9719680093531144E-2</v>
      </c>
      <c r="I13" s="133">
        <v>4.788684476766956E-4</v>
      </c>
      <c r="J13" s="133">
        <v>6.616752117869977E-2</v>
      </c>
      <c r="K13" s="45">
        <v>204.8121366216738</v>
      </c>
      <c r="L13" s="134">
        <v>18.184644171917544</v>
      </c>
      <c r="M13" s="45" t="s">
        <v>738</v>
      </c>
      <c r="N13" s="133">
        <v>1.3274427161566639E-2</v>
      </c>
      <c r="O13" s="133">
        <v>2.3181284960358511E-2</v>
      </c>
      <c r="P13" s="133">
        <v>1.852650146681999E-3</v>
      </c>
      <c r="Q13" s="133">
        <v>1.7137013856808488E-2</v>
      </c>
      <c r="R13" s="133">
        <v>1.7137013856808488E-2</v>
      </c>
      <c r="S13" s="133">
        <v>4.1615153919844405E-4</v>
      </c>
      <c r="T13" s="133">
        <v>5.7501628927642552E-2</v>
      </c>
      <c r="U13" s="45">
        <v>177.98810156558056</v>
      </c>
      <c r="V13" s="134">
        <v>15.803020012353556</v>
      </c>
      <c r="W13" t="s">
        <v>738</v>
      </c>
    </row>
    <row r="14" spans="1:23" x14ac:dyDescent="0.25">
      <c r="A14" s="812" t="s">
        <v>1996</v>
      </c>
      <c r="B14" s="812">
        <v>2104008420</v>
      </c>
      <c r="C14" s="812" t="s">
        <v>145</v>
      </c>
      <c r="D14" s="133">
        <v>5.1522965166263722E-2</v>
      </c>
      <c r="E14" s="133">
        <v>8.9975147174699344E-2</v>
      </c>
      <c r="F14" s="133">
        <v>7.1908209530229267E-3</v>
      </c>
      <c r="G14" s="133">
        <v>6.6515093815462084E-2</v>
      </c>
      <c r="H14" s="133">
        <v>6.6515093815462084E-2</v>
      </c>
      <c r="I14" s="133">
        <v>1.6152381565727753E-3</v>
      </c>
      <c r="J14" s="133">
        <v>0.22318510532944905</v>
      </c>
      <c r="K14" s="45">
        <v>690.83770209866634</v>
      </c>
      <c r="L14" s="134">
        <v>61.337369945097322</v>
      </c>
      <c r="M14" s="45" t="s">
        <v>738</v>
      </c>
      <c r="N14" s="133">
        <v>4.4775055366530321E-2</v>
      </c>
      <c r="O14" s="133">
        <v>7.8191194613091805E-2</v>
      </c>
      <c r="P14" s="133">
        <v>6.2490465225248206E-3</v>
      </c>
      <c r="Q14" s="133">
        <v>5.780368033335459E-2</v>
      </c>
      <c r="R14" s="133">
        <v>5.780368033335459E-2</v>
      </c>
      <c r="S14" s="133">
        <v>1.4036920751221381E-3</v>
      </c>
      <c r="T14" s="133">
        <v>0.19395478144286413</v>
      </c>
      <c r="U14" s="45">
        <v>600.35939820110059</v>
      </c>
      <c r="V14" s="134">
        <v>53.304077637351632</v>
      </c>
      <c r="W14" t="s">
        <v>738</v>
      </c>
    </row>
    <row r="15" spans="1:23" x14ac:dyDescent="0.25">
      <c r="A15" s="812" t="s">
        <v>1996</v>
      </c>
      <c r="B15" s="812">
        <v>2104008610</v>
      </c>
      <c r="C15" s="812" t="s">
        <v>146</v>
      </c>
      <c r="D15" s="133">
        <v>1.3061068297836378</v>
      </c>
      <c r="E15" s="133">
        <v>4.6396525365305911E-2</v>
      </c>
      <c r="F15" s="133">
        <v>1.1507549161089314E-2</v>
      </c>
      <c r="G15" s="133">
        <v>0.28395315070010269</v>
      </c>
      <c r="H15" s="133">
        <v>0.28395315070010269</v>
      </c>
      <c r="I15" s="133">
        <v>7.0126593072850655E-3</v>
      </c>
      <c r="J15" s="133">
        <v>1.7425498057978033</v>
      </c>
      <c r="K15" s="45">
        <v>925.78314857233329</v>
      </c>
      <c r="L15" s="134">
        <v>82.197458680111353</v>
      </c>
      <c r="M15" s="45" t="s">
        <v>738</v>
      </c>
      <c r="N15" s="133">
        <v>1.1940841055609026</v>
      </c>
      <c r="O15" s="133">
        <v>4.241716851074312E-2</v>
      </c>
      <c r="P15" s="133">
        <v>1.0520564806703984E-2</v>
      </c>
      <c r="Q15" s="133">
        <v>0.25959893650590576</v>
      </c>
      <c r="R15" s="133">
        <v>0.25959893650590576</v>
      </c>
      <c r="S15" s="133">
        <v>6.4111945712204662E-3</v>
      </c>
      <c r="T15" s="133">
        <v>1.5930940554043964</v>
      </c>
      <c r="U15" s="45">
        <v>846.38018705520085</v>
      </c>
      <c r="V15" s="134">
        <v>75.147512201340476</v>
      </c>
      <c r="W15" t="s">
        <v>738</v>
      </c>
    </row>
    <row r="16" spans="1:23" x14ac:dyDescent="0.25">
      <c r="A16" s="812" t="s">
        <v>1996</v>
      </c>
      <c r="B16" s="812">
        <v>2104004000</v>
      </c>
      <c r="C16" s="812" t="s">
        <v>568</v>
      </c>
      <c r="D16" s="133">
        <v>0.10352312296701367</v>
      </c>
      <c r="E16" s="133">
        <v>1.6220184452858737</v>
      </c>
      <c r="F16" s="133">
        <v>4.1964729627594188</v>
      </c>
      <c r="G16" s="133">
        <v>6.6295031823673314E-2</v>
      </c>
      <c r="H16" s="133">
        <v>6.6295031823673314E-2</v>
      </c>
      <c r="I16" s="133">
        <v>3.5567284573400733E-3</v>
      </c>
      <c r="J16" s="133">
        <v>6.502437704705287E-2</v>
      </c>
      <c r="K16" s="45">
        <v>38973.090488111338</v>
      </c>
      <c r="L16" s="134">
        <v>290.3874417027032</v>
      </c>
      <c r="M16" s="45" t="s">
        <v>1997</v>
      </c>
      <c r="N16" s="133">
        <v>9.5546575181374951E-2</v>
      </c>
      <c r="O16" s="133">
        <v>1.4970404957495878</v>
      </c>
      <c r="P16" s="133">
        <v>3.8731310256227531</v>
      </c>
      <c r="Q16" s="133">
        <v>6.1186941243171158E-2</v>
      </c>
      <c r="R16" s="133">
        <v>6.1186941243171158E-2</v>
      </c>
      <c r="S16" s="133">
        <v>3.2826793976961327E-3</v>
      </c>
      <c r="T16" s="133">
        <v>6.0014191536010376E-2</v>
      </c>
      <c r="U16" s="45">
        <v>35970.179546837906</v>
      </c>
      <c r="V16" s="134">
        <v>268.01283360834498</v>
      </c>
      <c r="W16" t="s">
        <v>1997</v>
      </c>
    </row>
    <row r="17" spans="1:23" x14ac:dyDescent="0.25">
      <c r="A17" s="812" t="s">
        <v>1996</v>
      </c>
      <c r="B17" s="812">
        <v>2103004001</v>
      </c>
      <c r="C17" s="812" t="s">
        <v>148</v>
      </c>
      <c r="D17" s="133">
        <v>3.3847428726853382E-2</v>
      </c>
      <c r="E17" s="133">
        <v>0.85449329184202139</v>
      </c>
      <c r="F17" s="133">
        <v>0.60399383615357793</v>
      </c>
      <c r="G17" s="133">
        <v>2.1675508816626946E-2</v>
      </c>
      <c r="H17" s="133">
        <v>2.1675508816626946E-2</v>
      </c>
      <c r="I17" s="133">
        <v>1.1628910480120356E-3</v>
      </c>
      <c r="J17" s="133">
        <v>2.1260061564308257E-2</v>
      </c>
      <c r="K17" s="45">
        <v>13149.702324457772</v>
      </c>
      <c r="L17" s="134">
        <v>97.978075880746744</v>
      </c>
      <c r="M17" s="45" t="s">
        <v>1997</v>
      </c>
      <c r="N17" s="133">
        <v>3.3300717250738972E-2</v>
      </c>
      <c r="O17" s="133">
        <v>0.84069131909298978</v>
      </c>
      <c r="P17" s="133">
        <v>0.59423798839355157</v>
      </c>
      <c r="Q17" s="133">
        <v>2.1325400998502851E-2</v>
      </c>
      <c r="R17" s="133">
        <v>2.1325400998502851E-2</v>
      </c>
      <c r="S17" s="133">
        <v>1.1441077635696785E-3</v>
      </c>
      <c r="T17" s="133">
        <v>2.0916664146031549E-2</v>
      </c>
      <c r="U17" s="45">
        <v>12937.305299375454</v>
      </c>
      <c r="V17" s="134">
        <v>96.39551139929425</v>
      </c>
      <c r="W17" t="s">
        <v>1997</v>
      </c>
    </row>
    <row r="18" spans="1:23" x14ac:dyDescent="0.25">
      <c r="A18" s="812" t="s">
        <v>1996</v>
      </c>
      <c r="B18" s="812">
        <v>2104004000</v>
      </c>
      <c r="C18" s="812" t="s">
        <v>746</v>
      </c>
      <c r="D18" s="133">
        <v>6.9387355370469116E-4</v>
      </c>
      <c r="E18" s="133">
        <v>1.7517144413302158E-2</v>
      </c>
      <c r="F18" s="133">
        <v>2.8127258183887539E-2</v>
      </c>
      <c r="G18" s="133">
        <v>3.8926987585115915E-4</v>
      </c>
      <c r="H18" s="133">
        <v>3.8926987585115915E-4</v>
      </c>
      <c r="I18" s="133">
        <v>2.3839309938935401E-5</v>
      </c>
      <c r="J18" s="133">
        <v>4.3583205651020443E-4</v>
      </c>
      <c r="K18" s="45">
        <v>266.64013321114777</v>
      </c>
      <c r="L18" s="134">
        <v>1.9463493792557964</v>
      </c>
      <c r="M18" s="45" t="s">
        <v>1997</v>
      </c>
      <c r="N18" s="133">
        <v>6.5459617418994699E-4</v>
      </c>
      <c r="O18" s="133">
        <v>1.652556961489347E-2</v>
      </c>
      <c r="P18" s="133">
        <v>2.6535087696196735E-2</v>
      </c>
      <c r="Q18" s="133">
        <v>3.6723488033096608E-4</v>
      </c>
      <c r="R18" s="133">
        <v>3.6723488033096608E-4</v>
      </c>
      <c r="S18" s="133">
        <v>2.2489862883572216E-5</v>
      </c>
      <c r="T18" s="133">
        <v>4.1116136399447806E-4</v>
      </c>
      <c r="U18" s="45">
        <v>251.54671215470353</v>
      </c>
      <c r="V18" s="134">
        <v>1.8361744016548305</v>
      </c>
      <c r="W18" t="s">
        <v>1997</v>
      </c>
    </row>
    <row r="19" spans="1:23" x14ac:dyDescent="0.25">
      <c r="A19" s="812" t="s">
        <v>1996</v>
      </c>
      <c r="B19" s="812">
        <v>2104004000</v>
      </c>
      <c r="C19" s="812" t="s">
        <v>747</v>
      </c>
      <c r="D19" s="133">
        <v>2.9650569611207023E-3</v>
      </c>
      <c r="E19" s="133">
        <v>4.6457032442824439E-2</v>
      </c>
      <c r="F19" s="133">
        <v>0.12019325744596561</v>
      </c>
      <c r="G19" s="133">
        <v>1.898788791941054E-3</v>
      </c>
      <c r="H19" s="133">
        <v>1.898788791941054E-3</v>
      </c>
      <c r="I19" s="133">
        <v>1.0187001868763752E-4</v>
      </c>
      <c r="J19" s="133">
        <v>1.8623953400955166E-3</v>
      </c>
      <c r="K19" s="45">
        <v>1039.6412907155341</v>
      </c>
      <c r="L19" s="134">
        <v>8.317130325724273</v>
      </c>
      <c r="M19" s="45" t="s">
        <v>1997</v>
      </c>
      <c r="N19" s="133">
        <v>2.4497514775959042E-3</v>
      </c>
      <c r="O19" s="133">
        <v>3.8383135758887396E-2</v>
      </c>
      <c r="P19" s="133">
        <v>9.9304537446062519E-2</v>
      </c>
      <c r="Q19" s="133">
        <v>1.5687930146684223E-3</v>
      </c>
      <c r="R19" s="133">
        <v>1.5687930146684223E-3</v>
      </c>
      <c r="S19" s="133">
        <v>8.4165745236960892E-5</v>
      </c>
      <c r="T19" s="133">
        <v>1.5387244818872775E-3</v>
      </c>
      <c r="U19" s="45">
        <v>858.95914361707753</v>
      </c>
      <c r="V19" s="134">
        <v>6.8716731489366198</v>
      </c>
      <c r="W19" t="s">
        <v>1997</v>
      </c>
    </row>
    <row r="20" spans="1:23" x14ac:dyDescent="0.25">
      <c r="A20" s="812" t="s">
        <v>1996</v>
      </c>
      <c r="B20" s="812">
        <v>2104006010</v>
      </c>
      <c r="C20" s="812" t="s">
        <v>149</v>
      </c>
      <c r="D20" s="133">
        <v>6.6969683938961338E-4</v>
      </c>
      <c r="E20" s="133">
        <v>1.1445727800477036E-2</v>
      </c>
      <c r="F20" s="133">
        <v>7.3057837024321479E-5</v>
      </c>
      <c r="G20" s="133">
        <v>6.0311679724811488E-6</v>
      </c>
      <c r="H20" s="133">
        <v>6.0311679724811488E-6</v>
      </c>
      <c r="I20" s="133">
        <v>2.4352612341440498E-3</v>
      </c>
      <c r="J20" s="133">
        <v>4.8705224682880997E-3</v>
      </c>
      <c r="K20" s="45">
        <v>300.62303278688512</v>
      </c>
      <c r="L20" s="134">
        <v>296.18032786885277</v>
      </c>
      <c r="M20" s="45" t="s">
        <v>1998</v>
      </c>
      <c r="N20" s="133">
        <v>6.6969683938961338E-4</v>
      </c>
      <c r="O20" s="133">
        <v>1.1445727800477036E-2</v>
      </c>
      <c r="P20" s="133">
        <v>7.3057837024321479E-5</v>
      </c>
      <c r="Q20" s="133">
        <v>6.0311679724811488E-6</v>
      </c>
      <c r="R20" s="133">
        <v>6.0311679724811488E-6</v>
      </c>
      <c r="S20" s="133">
        <v>2.4352612341440498E-3</v>
      </c>
      <c r="T20" s="133">
        <v>4.8705224682880997E-3</v>
      </c>
      <c r="U20" s="45">
        <v>300.62303278688512</v>
      </c>
      <c r="V20" s="134">
        <v>296.18032786885277</v>
      </c>
      <c r="W20" t="s">
        <v>1998</v>
      </c>
    </row>
    <row r="21" spans="1:23" x14ac:dyDescent="0.25">
      <c r="A21" s="812" t="s">
        <v>1996</v>
      </c>
      <c r="B21" s="812">
        <v>2103006000</v>
      </c>
      <c r="C21" s="812" t="s">
        <v>150</v>
      </c>
      <c r="D21" s="133">
        <v>5.2612909836065591E-3</v>
      </c>
      <c r="E21" s="133">
        <v>9.5659836065573781E-2</v>
      </c>
      <c r="F21" s="133">
        <v>5.7395901639344224E-4</v>
      </c>
      <c r="G21" s="133">
        <v>7.2701475409836062E-3</v>
      </c>
      <c r="H21" s="133">
        <v>7.2701475409836062E-3</v>
      </c>
      <c r="I21" s="133">
        <v>1.9131967213114755E-2</v>
      </c>
      <c r="J21" s="133">
        <v>3.8263934426229509E-2</v>
      </c>
      <c r="K21" s="45">
        <v>1941.8946721311484</v>
      </c>
      <c r="L21" s="134">
        <v>1913.1967213114763</v>
      </c>
      <c r="M21" s="45" t="s">
        <v>1998</v>
      </c>
      <c r="N21" s="133">
        <v>5.2612909836065591E-3</v>
      </c>
      <c r="O21" s="133">
        <v>9.5659836065573781E-2</v>
      </c>
      <c r="P21" s="133">
        <v>5.7395901639344224E-4</v>
      </c>
      <c r="Q21" s="133">
        <v>7.2701475409836062E-3</v>
      </c>
      <c r="R21" s="133">
        <v>7.2701475409836062E-3</v>
      </c>
      <c r="S21" s="133">
        <v>1.9131967213114755E-2</v>
      </c>
      <c r="T21" s="133">
        <v>3.8263934426229509E-2</v>
      </c>
      <c r="U21" s="45">
        <v>1941.8946721311484</v>
      </c>
      <c r="V21" s="134">
        <v>1913.1967213114763</v>
      </c>
      <c r="W21" t="s">
        <v>1998</v>
      </c>
    </row>
    <row r="22" spans="1:23" x14ac:dyDescent="0.25">
      <c r="A22" s="812" t="s">
        <v>1996</v>
      </c>
      <c r="B22" s="812">
        <v>2104002000</v>
      </c>
      <c r="C22" s="812" t="s">
        <v>151</v>
      </c>
      <c r="D22" s="133">
        <v>0.15733924768708488</v>
      </c>
      <c r="E22" s="133">
        <v>7.4264124908304086E-2</v>
      </c>
      <c r="F22" s="133">
        <v>0.14632550034898889</v>
      </c>
      <c r="G22" s="133">
        <v>0.12571405890198081</v>
      </c>
      <c r="H22" s="133">
        <v>0.12571405890198081</v>
      </c>
      <c r="I22" s="133">
        <v>1.9918362060946517E-2</v>
      </c>
      <c r="J22" s="133">
        <v>2.0544572266741108</v>
      </c>
      <c r="K22" s="45">
        <v>478.31131296873804</v>
      </c>
      <c r="L22" s="134">
        <v>31.467849537416981</v>
      </c>
      <c r="M22" s="45" t="s">
        <v>738</v>
      </c>
      <c r="N22" s="133">
        <v>0.13774968374411981</v>
      </c>
      <c r="O22" s="133">
        <v>6.5017850727224547E-2</v>
      </c>
      <c r="P22" s="133">
        <v>0.12810720588203134</v>
      </c>
      <c r="Q22" s="133">
        <v>0.1100619973115517</v>
      </c>
      <c r="R22" s="133">
        <v>0.1100619973115517</v>
      </c>
      <c r="S22" s="133">
        <v>1.7438421213586849E-2</v>
      </c>
      <c r="T22" s="133">
        <v>1.7986664954888438</v>
      </c>
      <c r="U22" s="45">
        <v>418.75903858212416</v>
      </c>
      <c r="V22" s="134">
        <v>27.549936748823956</v>
      </c>
      <c r="W22" t="s">
        <v>738</v>
      </c>
    </row>
    <row r="23" spans="1:23" x14ac:dyDescent="0.25">
      <c r="A23" s="812" t="s">
        <v>1996</v>
      </c>
      <c r="B23" s="812">
        <v>2103002000</v>
      </c>
      <c r="C23" s="812"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4.8030744532512702E-5</v>
      </c>
      <c r="T23" s="133">
        <v>4.9540775443997339E-3</v>
      </c>
      <c r="U23" s="45">
        <v>17.43676104884138</v>
      </c>
      <c r="V23" s="134">
        <v>1.1533904449531067</v>
      </c>
      <c r="W23" t="s">
        <v>738</v>
      </c>
    </row>
    <row r="24" spans="1:23" x14ac:dyDescent="0.25">
      <c r="A24" s="812" t="s">
        <v>1996</v>
      </c>
      <c r="B24" s="812">
        <v>2103008000</v>
      </c>
      <c r="C24" s="812" t="s">
        <v>153</v>
      </c>
      <c r="D24" s="133">
        <v>1.2267802496122727E-3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4.0923651207836456E-5</v>
      </c>
      <c r="P24" s="133">
        <v>8.6857798127814725E-6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1.9363248899601768E-2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2.7346164289603576E-2</v>
      </c>
      <c r="P25" s="135">
        <v>1.9363248899601768E-2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12.643457967642446</v>
      </c>
      <c r="E26" s="137">
        <v>3.3337563487335768</v>
      </c>
      <c r="F26" s="137">
        <v>5.2349369974140219</v>
      </c>
      <c r="G26" s="137">
        <v>3.6014556820942381</v>
      </c>
      <c r="H26" s="137">
        <v>3.6014556820942381</v>
      </c>
      <c r="I26" s="137">
        <v>0.17384493436383561</v>
      </c>
      <c r="J26" s="137">
        <v>38.298363273638543</v>
      </c>
      <c r="K26" s="87">
        <v>66078.381934497549</v>
      </c>
      <c r="L26" s="87"/>
      <c r="M26" s="87"/>
      <c r="N26" s="137">
        <v>11.375880604019043</v>
      </c>
      <c r="O26" s="137">
        <v>3.1058274281890603</v>
      </c>
      <c r="P26" s="137">
        <v>4.846551649987302</v>
      </c>
      <c r="Q26" s="137">
        <v>3.1988229264168311</v>
      </c>
      <c r="R26" s="137">
        <v>3.1988229264168311</v>
      </c>
      <c r="S26" s="137">
        <v>0.15717657574345592</v>
      </c>
      <c r="T26" s="137">
        <v>33.738175772908264</v>
      </c>
      <c r="U26" s="87">
        <v>61413.783912964107</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3.8187061752945852</v>
      </c>
      <c r="E28" s="133">
        <v>4.3356489326488751E-2</v>
      </c>
      <c r="F28" s="133">
        <v>6.670229127152115E-3</v>
      </c>
      <c r="G28" s="133">
        <v>0.57697481949865781</v>
      </c>
      <c r="H28" s="133">
        <v>0.57697481949865781</v>
      </c>
      <c r="I28" s="133">
        <v>3.0016031072184514E-2</v>
      </c>
      <c r="J28" s="133">
        <v>4.2122496937965597</v>
      </c>
      <c r="K28" s="45">
        <v>533.54390652147254</v>
      </c>
      <c r="L28" s="134">
        <v>47.644887316219879</v>
      </c>
      <c r="M28" s="45" t="s">
        <v>738</v>
      </c>
      <c r="N28" s="133">
        <v>3.5315487746501626</v>
      </c>
      <c r="O28" s="133">
        <v>4.0096186961093565E-2</v>
      </c>
      <c r="P28" s="133">
        <v>6.1686441478605468E-3</v>
      </c>
      <c r="Q28" s="133">
        <v>0.53358771878993727</v>
      </c>
      <c r="R28" s="133">
        <v>0.53358771878993727</v>
      </c>
      <c r="S28" s="133">
        <v>2.7758898665372466E-2</v>
      </c>
      <c r="T28" s="133">
        <v>3.8954987793739355</v>
      </c>
      <c r="U28" s="45">
        <v>493.42270465535671</v>
      </c>
      <c r="V28" s="134">
        <v>44.062107870072346</v>
      </c>
      <c r="W28" t="s">
        <v>738</v>
      </c>
    </row>
    <row r="29" spans="1:23" x14ac:dyDescent="0.25">
      <c r="A29" s="812" t="s">
        <v>1999</v>
      </c>
      <c r="B29" s="812">
        <v>2104008210</v>
      </c>
      <c r="C29" s="812" t="s">
        <v>138</v>
      </c>
      <c r="D29" s="133">
        <v>9.0045296451564116E-2</v>
      </c>
      <c r="E29" s="133">
        <v>4.7571100012147056E-3</v>
      </c>
      <c r="F29" s="133">
        <v>6.7958714303067232E-4</v>
      </c>
      <c r="G29" s="133">
        <v>5.1988416441846465E-2</v>
      </c>
      <c r="H29" s="133">
        <v>5.1988416441846465E-2</v>
      </c>
      <c r="I29" s="133">
        <v>2.8882453578803584E-3</v>
      </c>
      <c r="J29" s="133">
        <v>0.39212178152869798</v>
      </c>
      <c r="K29" s="45">
        <v>54.359388890912193</v>
      </c>
      <c r="L29" s="134">
        <v>4.8542339751786754</v>
      </c>
      <c r="M29" s="45" t="s">
        <v>738</v>
      </c>
      <c r="N29" s="133">
        <v>7.8571650851193914E-2</v>
      </c>
      <c r="O29" s="133">
        <v>4.1509551393083578E-3</v>
      </c>
      <c r="P29" s="133">
        <v>5.9299359132976553E-4</v>
      </c>
      <c r="Q29" s="133">
        <v>4.5364009736727072E-2</v>
      </c>
      <c r="R29" s="133">
        <v>4.5364009736727072E-2</v>
      </c>
      <c r="S29" s="133">
        <v>2.5202227631515028E-3</v>
      </c>
      <c r="T29" s="133">
        <v>0.34215730219727464</v>
      </c>
      <c r="U29" s="45">
        <v>47.432870929782275</v>
      </c>
      <c r="V29" s="134">
        <v>4.2357034967717828</v>
      </c>
      <c r="W29" t="s">
        <v>738</v>
      </c>
    </row>
    <row r="30" spans="1:23" x14ac:dyDescent="0.25">
      <c r="A30" s="812" t="s">
        <v>1999</v>
      </c>
      <c r="B30" s="812">
        <v>2104008220</v>
      </c>
      <c r="C30" s="812" t="s">
        <v>139</v>
      </c>
      <c r="D30" s="133">
        <v>4.2924415594000898E-2</v>
      </c>
      <c r="E30" s="133">
        <v>7.1540692656668174E-3</v>
      </c>
      <c r="F30" s="133">
        <v>1.4308138531333634E-3</v>
      </c>
      <c r="G30" s="133">
        <v>4.2924415594000898E-2</v>
      </c>
      <c r="H30" s="133">
        <v>4.2924415594000898E-2</v>
      </c>
      <c r="I30" s="133">
        <v>3.2193311695500673E-3</v>
      </c>
      <c r="J30" s="133">
        <v>0.5036464763029439</v>
      </c>
      <c r="K30" s="45">
        <v>114.44914382300284</v>
      </c>
      <c r="L30" s="134">
        <v>10.220183370542083</v>
      </c>
      <c r="M30" s="45" t="s">
        <v>738</v>
      </c>
      <c r="N30" s="133">
        <v>3.7454951318390585E-2</v>
      </c>
      <c r="O30" s="133">
        <v>6.2424918863984305E-3</v>
      </c>
      <c r="P30" s="133">
        <v>1.2484983772796862E-3</v>
      </c>
      <c r="Q30" s="133">
        <v>3.7454951318390585E-2</v>
      </c>
      <c r="R30" s="133">
        <v>3.7454951318390585E-2</v>
      </c>
      <c r="S30" s="133">
        <v>2.8091213488792939E-3</v>
      </c>
      <c r="T30" s="133">
        <v>0.43947142880244955</v>
      </c>
      <c r="U30" s="45">
        <v>99.865939955188566</v>
      </c>
      <c r="V30" s="134">
        <v>8.9179192147738444</v>
      </c>
      <c r="W30" t="s">
        <v>738</v>
      </c>
    </row>
    <row r="31" spans="1:23" x14ac:dyDescent="0.25">
      <c r="A31" s="812" t="s">
        <v>1999</v>
      </c>
      <c r="B31" s="812">
        <v>2104008230</v>
      </c>
      <c r="C31" s="812" t="s">
        <v>140</v>
      </c>
      <c r="D31" s="133">
        <v>3.2304551284639771E-2</v>
      </c>
      <c r="E31" s="133">
        <v>4.3072735046186337E-3</v>
      </c>
      <c r="F31" s="133">
        <v>8.6145470092372726E-4</v>
      </c>
      <c r="G31" s="133">
        <v>2.7997277780021129E-2</v>
      </c>
      <c r="H31" s="133">
        <v>2.7997277780021129E-2</v>
      </c>
      <c r="I31" s="133">
        <v>1.9382730770783859E-3</v>
      </c>
      <c r="J31" s="133">
        <v>0.23043913249709702</v>
      </c>
      <c r="K31" s="45">
        <v>68.906764319559528</v>
      </c>
      <c r="L31" s="134">
        <v>6.1532986905148155</v>
      </c>
      <c r="M31" s="45" t="s">
        <v>738</v>
      </c>
      <c r="N31" s="133">
        <v>2.8188278838157065E-2</v>
      </c>
      <c r="O31" s="133">
        <v>3.7584371784209428E-3</v>
      </c>
      <c r="P31" s="133">
        <v>7.5168743568418839E-4</v>
      </c>
      <c r="Q31" s="133">
        <v>2.4429841659736124E-2</v>
      </c>
      <c r="R31" s="133">
        <v>2.4429841659736124E-2</v>
      </c>
      <c r="S31" s="133">
        <v>1.6912967302894241E-3</v>
      </c>
      <c r="T31" s="133">
        <v>0.20107638904552036</v>
      </c>
      <c r="U31" s="45">
        <v>60.126607838025421</v>
      </c>
      <c r="V31" s="134">
        <v>5.369240319557421</v>
      </c>
      <c r="W31" t="s">
        <v>738</v>
      </c>
    </row>
    <row r="32" spans="1:23" x14ac:dyDescent="0.25">
      <c r="A32" s="812" t="s">
        <v>1999</v>
      </c>
      <c r="B32" s="812">
        <v>2104008310</v>
      </c>
      <c r="C32" s="812" t="s">
        <v>141</v>
      </c>
      <c r="D32" s="133">
        <v>1.8273991167984336</v>
      </c>
      <c r="E32" s="133">
        <v>5.0068757840045428E-2</v>
      </c>
      <c r="F32" s="133">
        <v>1.3791691447535353E-2</v>
      </c>
      <c r="G32" s="133">
        <v>0.41864780707492782</v>
      </c>
      <c r="H32" s="133">
        <v>0.41864780707492782</v>
      </c>
      <c r="I32" s="133">
        <v>1.3689237979333404E-2</v>
      </c>
      <c r="J32" s="133">
        <v>4.1778702570198645</v>
      </c>
      <c r="K32" s="45">
        <v>1103.1814338285747</v>
      </c>
      <c r="L32" s="134">
        <v>98.512895493059148</v>
      </c>
      <c r="M32" s="45" t="s">
        <v>738</v>
      </c>
      <c r="N32" s="133">
        <v>1.5945504210550314</v>
      </c>
      <c r="O32" s="133">
        <v>4.3688955609992822E-2</v>
      </c>
      <c r="P32" s="133">
        <v>1.2034342800415331E-2</v>
      </c>
      <c r="Q32" s="133">
        <v>0.36530335979073614</v>
      </c>
      <c r="R32" s="133">
        <v>0.36530335979073614</v>
      </c>
      <c r="S32" s="133">
        <v>1.1944944037245202E-2</v>
      </c>
      <c r="T32" s="133">
        <v>3.6455225988703015</v>
      </c>
      <c r="U32" s="45">
        <v>962.61314982646843</v>
      </c>
      <c r="V32" s="134">
        <v>85.960301470986437</v>
      </c>
      <c r="W32" t="s">
        <v>738</v>
      </c>
    </row>
    <row r="33" spans="1:31" x14ac:dyDescent="0.25">
      <c r="A33" s="812" t="s">
        <v>1999</v>
      </c>
      <c r="B33" s="812">
        <v>2104008320</v>
      </c>
      <c r="C33" s="812" t="s">
        <v>142</v>
      </c>
      <c r="D33" s="133">
        <v>0.87111756234551951</v>
      </c>
      <c r="E33" s="133">
        <v>0.11679070517700904</v>
      </c>
      <c r="F33" s="133">
        <v>2.9037252078183987E-2</v>
      </c>
      <c r="G33" s="133">
        <v>0.57530964987719735</v>
      </c>
      <c r="H33" s="133">
        <v>0.57530964987719735</v>
      </c>
      <c r="I33" s="133">
        <v>1.8129534383983473E-2</v>
      </c>
      <c r="J33" s="133">
        <v>8.9754834713782117</v>
      </c>
      <c r="K33" s="45">
        <v>2322.6561806367345</v>
      </c>
      <c r="L33" s="134">
        <v>207.41065664537808</v>
      </c>
      <c r="M33" s="45" t="s">
        <v>738</v>
      </c>
      <c r="N33" s="133">
        <v>0.76011904737047942</v>
      </c>
      <c r="O33" s="133">
        <v>0.10190913763906301</v>
      </c>
      <c r="P33" s="133">
        <v>2.5337301579015974E-2</v>
      </c>
      <c r="Q33" s="133">
        <v>0.50200322196494473</v>
      </c>
      <c r="R33" s="133">
        <v>0.50200322196494473</v>
      </c>
      <c r="S33" s="133">
        <v>1.5819454228564771E-2</v>
      </c>
      <c r="T33" s="133">
        <v>7.8318199986507011</v>
      </c>
      <c r="U33" s="45">
        <v>2026.7014232167271</v>
      </c>
      <c r="V33" s="134">
        <v>180.9822204930332</v>
      </c>
      <c r="W33" t="s">
        <v>738</v>
      </c>
    </row>
    <row r="34" spans="1:31" x14ac:dyDescent="0.25">
      <c r="A34" s="812" t="s">
        <v>1999</v>
      </c>
      <c r="B34" s="812">
        <v>2104008330</v>
      </c>
      <c r="C34" s="812" t="s">
        <v>143</v>
      </c>
      <c r="D34" s="133">
        <v>0.65559569252875716</v>
      </c>
      <c r="E34" s="133">
        <v>7.0316555699124803E-2</v>
      </c>
      <c r="F34" s="133">
        <v>1.7482551800766865E-2</v>
      </c>
      <c r="G34" s="133">
        <v>0.38433782345718098</v>
      </c>
      <c r="H34" s="133">
        <v>0.38433782345718098</v>
      </c>
      <c r="I34" s="133">
        <v>1.0915307107517362E-2</v>
      </c>
      <c r="J34" s="133">
        <v>5.4038982167733387</v>
      </c>
      <c r="K34" s="45">
        <v>1398.4090809977411</v>
      </c>
      <c r="L34" s="134">
        <v>124.87640149524339</v>
      </c>
      <c r="M34" s="45" t="s">
        <v>738</v>
      </c>
      <c r="N34" s="133">
        <v>0.57205915114760497</v>
      </c>
      <c r="O34" s="133">
        <v>6.1356762442578365E-2</v>
      </c>
      <c r="P34" s="133">
        <v>1.5254910697269468E-2</v>
      </c>
      <c r="Q34" s="133">
        <v>0.3353651824538012</v>
      </c>
      <c r="R34" s="133">
        <v>0.3353651824538012</v>
      </c>
      <c r="S34" s="133">
        <v>9.5244697144923687E-3</v>
      </c>
      <c r="T34" s="133">
        <v>4.7153290694322427</v>
      </c>
      <c r="U34" s="45">
        <v>1220.2226478136595</v>
      </c>
      <c r="V34" s="134">
        <v>108.96454789413201</v>
      </c>
      <c r="W34" t="s">
        <v>738</v>
      </c>
    </row>
    <row r="35" spans="1:31" x14ac:dyDescent="0.25">
      <c r="A35" s="812" t="s">
        <v>1999</v>
      </c>
      <c r="B35" s="812">
        <v>2104008410</v>
      </c>
      <c r="C35" s="812" t="s">
        <v>144</v>
      </c>
      <c r="D35" s="133">
        <v>1.0985118807288743E-2</v>
      </c>
      <c r="E35" s="133">
        <v>1.9183439427988131E-2</v>
      </c>
      <c r="F35" s="133">
        <v>1.5331420122268239E-3</v>
      </c>
      <c r="G35" s="133">
        <v>1.4181563613098126E-2</v>
      </c>
      <c r="H35" s="133">
        <v>1.4181563613098126E-2</v>
      </c>
      <c r="I35" s="133">
        <v>3.4438202449645056E-4</v>
      </c>
      <c r="J35" s="133">
        <v>4.7584895204490066E-2</v>
      </c>
      <c r="K35" s="45">
        <v>146.44782286376358</v>
      </c>
      <c r="L35" s="134">
        <v>13.077630411976109</v>
      </c>
      <c r="M35" s="45" t="s">
        <v>738</v>
      </c>
      <c r="N35" s="133">
        <v>9.5853859501639996E-3</v>
      </c>
      <c r="O35" s="133">
        <v>1.6739069826614245E-2</v>
      </c>
      <c r="P35" s="133">
        <v>1.3377877983308084E-3</v>
      </c>
      <c r="Q35" s="133">
        <v>1.2374537134559979E-2</v>
      </c>
      <c r="R35" s="133">
        <v>1.2374537134559979E-2</v>
      </c>
      <c r="S35" s="133">
        <v>3.0050058420005794E-4</v>
      </c>
      <c r="T35" s="133">
        <v>4.1521588790692475E-2</v>
      </c>
      <c r="U35" s="45">
        <v>127.78732104190054</v>
      </c>
      <c r="V35" s="134">
        <v>11.411268008245795</v>
      </c>
      <c r="W35" t="s">
        <v>738</v>
      </c>
    </row>
    <row r="36" spans="1:31" x14ac:dyDescent="0.25">
      <c r="A36" s="812" t="s">
        <v>1999</v>
      </c>
      <c r="B36" s="812">
        <v>2104008420</v>
      </c>
      <c r="C36" s="812" t="s">
        <v>145</v>
      </c>
      <c r="D36" s="133">
        <v>3.70531471390603E-2</v>
      </c>
      <c r="E36" s="133">
        <v>6.4706337384978219E-2</v>
      </c>
      <c r="F36" s="133">
        <v>5.1713356551431151E-3</v>
      </c>
      <c r="G36" s="133">
        <v>4.7834854810073824E-2</v>
      </c>
      <c r="H36" s="133">
        <v>4.7834854810073824E-2</v>
      </c>
      <c r="I36" s="133">
        <v>1.1616112715365221E-3</v>
      </c>
      <c r="J36" s="133">
        <v>0.16050533039650444</v>
      </c>
      <c r="K36" s="45">
        <v>493.97305791227552</v>
      </c>
      <c r="L36" s="134">
        <v>44.111253813994701</v>
      </c>
      <c r="M36" s="45" t="s">
        <v>738</v>
      </c>
      <c r="N36" s="133">
        <v>3.2331804710245812E-2</v>
      </c>
      <c r="O36" s="133">
        <v>5.6461402751967434E-2</v>
      </c>
      <c r="P36" s="133">
        <v>4.5123998203370581E-3</v>
      </c>
      <c r="Q36" s="133">
        <v>4.1739698338117789E-2</v>
      </c>
      <c r="R36" s="133">
        <v>4.1739698338117789E-2</v>
      </c>
      <c r="S36" s="133">
        <v>1.0135978096432118E-3</v>
      </c>
      <c r="T36" s="133">
        <v>0.14005360942371139</v>
      </c>
      <c r="U36" s="45">
        <v>431.03060532492401</v>
      </c>
      <c r="V36" s="134">
        <v>38.490561638007506</v>
      </c>
      <c r="W36" t="s">
        <v>738</v>
      </c>
    </row>
    <row r="37" spans="1:31" x14ac:dyDescent="0.25">
      <c r="A37" s="812" t="s">
        <v>1999</v>
      </c>
      <c r="B37" s="812">
        <v>2104008610</v>
      </c>
      <c r="C37" s="812" t="s">
        <v>146</v>
      </c>
      <c r="D37" s="133">
        <v>1.207955376418925</v>
      </c>
      <c r="E37" s="133">
        <v>4.2909914399163203E-2</v>
      </c>
      <c r="F37" s="133">
        <v>1.0642778646862781E-2</v>
      </c>
      <c r="G37" s="133">
        <v>0.26261460947731363</v>
      </c>
      <c r="H37" s="133">
        <v>0.26261460947731363</v>
      </c>
      <c r="I37" s="133">
        <v>6.4856712483713653E-3</v>
      </c>
      <c r="J37" s="133">
        <v>1.6116004897852809</v>
      </c>
      <c r="K37" s="45">
        <v>851.30354403805768</v>
      </c>
      <c r="L37" s="134">
        <v>76.020475413225498</v>
      </c>
      <c r="M37" s="45" t="s">
        <v>738</v>
      </c>
      <c r="N37" s="133">
        <v>1.1045969887477651</v>
      </c>
      <c r="O37" s="133">
        <v>3.9238338731729883E-2</v>
      </c>
      <c r="P37" s="133">
        <v>9.7321320594516755E-3</v>
      </c>
      <c r="Q37" s="133">
        <v>0.24014405870669248</v>
      </c>
      <c r="R37" s="133">
        <v>0.24014405870669248</v>
      </c>
      <c r="S37" s="133">
        <v>5.9307264745137771E-3</v>
      </c>
      <c r="T37" s="133">
        <v>1.4737043129512697</v>
      </c>
      <c r="U37" s="45">
        <v>778.46197766217972</v>
      </c>
      <c r="V37" s="134">
        <v>69.515803202568407</v>
      </c>
      <c r="W37" t="s">
        <v>738</v>
      </c>
    </row>
    <row r="38" spans="1:31" x14ac:dyDescent="0.25">
      <c r="A38" s="812" t="s">
        <v>1999</v>
      </c>
      <c r="B38" s="812">
        <v>2104004000</v>
      </c>
      <c r="C38" s="812" t="s">
        <v>568</v>
      </c>
      <c r="D38" s="133">
        <v>7.8390666057734232E-2</v>
      </c>
      <c r="E38" s="133">
        <v>1.2282387030036295</v>
      </c>
      <c r="F38" s="133">
        <v>3.17768920812797</v>
      </c>
      <c r="G38" s="133">
        <v>5.0200491948377265E-2</v>
      </c>
      <c r="H38" s="133">
        <v>5.0200491948377265E-2</v>
      </c>
      <c r="I38" s="133">
        <v>2.6932563930304409E-3</v>
      </c>
      <c r="J38" s="133">
        <v>4.9238315852700026E-2</v>
      </c>
      <c r="K38" s="45">
        <v>29511.537462648539</v>
      </c>
      <c r="L38" s="134">
        <v>219.8896663611059</v>
      </c>
      <c r="M38" s="45" t="s">
        <v>1997</v>
      </c>
      <c r="N38" s="133">
        <v>7.2489189184072753E-2</v>
      </c>
      <c r="O38" s="133">
        <v>1.1357733284171518</v>
      </c>
      <c r="P38" s="133">
        <v>2.9384635411379816</v>
      </c>
      <c r="Q38" s="133">
        <v>4.6421253205060714E-2</v>
      </c>
      <c r="R38" s="133">
        <v>4.6421253205060714E-2</v>
      </c>
      <c r="S38" s="133">
        <v>2.4905002344515069E-3</v>
      </c>
      <c r="T38" s="133">
        <v>4.5531512518630385E-2</v>
      </c>
      <c r="U38" s="45">
        <v>27289.823263744474</v>
      </c>
      <c r="V38" s="134">
        <v>203.33573403666969</v>
      </c>
      <c r="W38" t="s">
        <v>1997</v>
      </c>
    </row>
    <row r="39" spans="1:31" x14ac:dyDescent="0.25">
      <c r="A39" s="812" t="s">
        <v>1999</v>
      </c>
      <c r="B39" s="812">
        <v>2103004001</v>
      </c>
      <c r="C39" s="812" t="s">
        <v>148</v>
      </c>
      <c r="D39" s="133">
        <v>2.4054492887342439E-2</v>
      </c>
      <c r="E39" s="133">
        <v>0.60726630010121163</v>
      </c>
      <c r="F39" s="133">
        <v>0.42924281052487434</v>
      </c>
      <c r="G39" s="133">
        <v>1.540422396237813E-2</v>
      </c>
      <c r="H39" s="133">
        <v>1.540422396237813E-2</v>
      </c>
      <c r="I39" s="133">
        <v>8.2643661558158728E-4</v>
      </c>
      <c r="J39" s="133">
        <v>1.5108976336432552E-2</v>
      </c>
      <c r="K39" s="45">
        <v>9345.1536182242053</v>
      </c>
      <c r="L39" s="134">
        <v>69.630486510755375</v>
      </c>
      <c r="M39" s="45" t="s">
        <v>1997</v>
      </c>
      <c r="N39" s="133">
        <v>2.366595916976675E-2</v>
      </c>
      <c r="O39" s="133">
        <v>0.59745759474866977</v>
      </c>
      <c r="P39" s="133">
        <v>0.42230958163923749</v>
      </c>
      <c r="Q39" s="133">
        <v>1.5155411383767477E-2</v>
      </c>
      <c r="R39" s="133">
        <v>1.5155411383767477E-2</v>
      </c>
      <c r="S39" s="133">
        <v>8.1308782073912531E-4</v>
      </c>
      <c r="T39" s="133">
        <v>1.48649326655786E-2</v>
      </c>
      <c r="U39" s="45">
        <v>9194.2085414100857</v>
      </c>
      <c r="V39" s="134">
        <v>68.505798831520892</v>
      </c>
      <c r="W39" t="s">
        <v>1997</v>
      </c>
    </row>
    <row r="40" spans="1:31" x14ac:dyDescent="0.25">
      <c r="A40" s="812" t="s">
        <v>1999</v>
      </c>
      <c r="B40" s="812">
        <v>2104004000</v>
      </c>
      <c r="C40" s="812" t="s">
        <v>746</v>
      </c>
      <c r="D40" s="133">
        <v>5.2162486646371376E-4</v>
      </c>
      <c r="E40" s="133">
        <v>1.3168650205255046E-2</v>
      </c>
      <c r="F40" s="133">
        <v>2.1144886147952267E-2</v>
      </c>
      <c r="G40" s="133">
        <v>2.9263667122788998E-4</v>
      </c>
      <c r="H40" s="133">
        <v>2.9263667122788998E-4</v>
      </c>
      <c r="I40" s="133">
        <v>1.7921387545455593E-5</v>
      </c>
      <c r="J40" s="133">
        <v>3.2764015441132685E-4</v>
      </c>
      <c r="K40" s="45">
        <v>200.44880387432389</v>
      </c>
      <c r="L40" s="134">
        <v>1.4631833561394496</v>
      </c>
      <c r="M40" s="45" t="s">
        <v>1997</v>
      </c>
      <c r="N40" s="133">
        <v>4.9320875876938367E-4</v>
      </c>
      <c r="O40" s="133">
        <v>1.2451273012410806E-2</v>
      </c>
      <c r="P40" s="133">
        <v>1.9992994433053815E-2</v>
      </c>
      <c r="Q40" s="133">
        <v>2.7669495583135126E-4</v>
      </c>
      <c r="R40" s="133">
        <v>2.7669495583135126E-4</v>
      </c>
      <c r="S40" s="133">
        <v>1.6945099582084652E-5</v>
      </c>
      <c r="T40" s="133">
        <v>3.0979158446899085E-4</v>
      </c>
      <c r="U40" s="45">
        <v>189.5291273705798</v>
      </c>
      <c r="V40" s="134">
        <v>1.3834747791567559</v>
      </c>
      <c r="W40" t="s">
        <v>1997</v>
      </c>
    </row>
    <row r="41" spans="1:31" x14ac:dyDescent="0.25">
      <c r="A41" s="812" t="s">
        <v>1999</v>
      </c>
      <c r="B41" s="812">
        <v>2104004000</v>
      </c>
      <c r="C41" s="812" t="s">
        <v>747</v>
      </c>
      <c r="D41" s="133">
        <v>1.6644786250208969E-3</v>
      </c>
      <c r="E41" s="133">
        <v>2.6079342993045374E-2</v>
      </c>
      <c r="F41" s="133">
        <v>6.7472264618763739E-2</v>
      </c>
      <c r="G41" s="133">
        <v>1.0659132013506288E-3</v>
      </c>
      <c r="H41" s="133">
        <v>1.0659132013506288E-3</v>
      </c>
      <c r="I41" s="133">
        <v>5.7186243252461235E-5</v>
      </c>
      <c r="J41" s="133">
        <v>1.0454831983247414E-3</v>
      </c>
      <c r="K41" s="45">
        <v>583.6180312134984</v>
      </c>
      <c r="L41" s="134">
        <v>4.6689442497079856</v>
      </c>
      <c r="M41" s="45" t="s">
        <v>1997</v>
      </c>
      <c r="N41" s="133">
        <v>1.3894023423082092E-3</v>
      </c>
      <c r="O41" s="133">
        <v>2.1769399555936937E-2</v>
      </c>
      <c r="P41" s="133">
        <v>5.6321613923382592E-2</v>
      </c>
      <c r="Q41" s="133">
        <v>8.8975747503829453E-4</v>
      </c>
      <c r="R41" s="133">
        <v>8.8975747503829453E-4</v>
      </c>
      <c r="S41" s="133">
        <v>4.7735488535804505E-5</v>
      </c>
      <c r="T41" s="133">
        <v>8.7270379010006053E-4</v>
      </c>
      <c r="U41" s="45">
        <v>487.16772170694583</v>
      </c>
      <c r="V41" s="134">
        <v>3.8973417736555667</v>
      </c>
      <c r="W41" t="s">
        <v>1997</v>
      </c>
    </row>
    <row r="42" spans="1:31" x14ac:dyDescent="0.25">
      <c r="A42" s="812" t="s">
        <v>1999</v>
      </c>
      <c r="B42" s="812">
        <v>2104006010</v>
      </c>
      <c r="C42" s="812" t="s">
        <v>149</v>
      </c>
      <c r="D42" s="133">
        <v>6.2640334377998927E-4</v>
      </c>
      <c r="E42" s="133">
        <v>1.0705802602785277E-2</v>
      </c>
      <c r="F42" s="133">
        <v>6.8334910230544285E-5</v>
      </c>
      <c r="G42" s="133">
        <v>5.6412746225655276E-6</v>
      </c>
      <c r="H42" s="133">
        <v>5.6412746225655276E-6</v>
      </c>
      <c r="I42" s="133">
        <v>2.2778303410181415E-3</v>
      </c>
      <c r="J42" s="133">
        <v>4.5556606820362829E-3</v>
      </c>
      <c r="K42" s="45">
        <v>281.18883333333321</v>
      </c>
      <c r="L42" s="134">
        <v>277.03333333333364</v>
      </c>
      <c r="M42" s="45" t="s">
        <v>1998</v>
      </c>
      <c r="N42" s="133">
        <v>6.2640334377998927E-4</v>
      </c>
      <c r="O42" s="133">
        <v>1.0705802602785277E-2</v>
      </c>
      <c r="P42" s="133">
        <v>6.8334910230544285E-5</v>
      </c>
      <c r="Q42" s="133">
        <v>5.6412746225655276E-6</v>
      </c>
      <c r="R42" s="133">
        <v>5.6412746225655276E-6</v>
      </c>
      <c r="S42" s="133">
        <v>2.2778303410181415E-3</v>
      </c>
      <c r="T42" s="133">
        <v>4.5556606820362829E-3</v>
      </c>
      <c r="U42" s="45">
        <v>281.18883333333321</v>
      </c>
      <c r="V42" s="134">
        <v>277.03333333333364</v>
      </c>
      <c r="W42" t="s">
        <v>1998</v>
      </c>
    </row>
    <row r="43" spans="1:31" x14ac:dyDescent="0.25">
      <c r="A43" s="812" t="s">
        <v>1999</v>
      </c>
      <c r="B43" s="812">
        <v>2103006000</v>
      </c>
      <c r="C43" s="812" t="s">
        <v>150</v>
      </c>
      <c r="D43" s="133">
        <v>9.7086916666666596E-3</v>
      </c>
      <c r="E43" s="133">
        <v>0.17652166666666669</v>
      </c>
      <c r="F43" s="133">
        <v>1.0591299999999997E-3</v>
      </c>
      <c r="G43" s="133">
        <v>1.3415646666666664E-2</v>
      </c>
      <c r="H43" s="133">
        <v>1.3415646666666664E-2</v>
      </c>
      <c r="I43" s="133">
        <v>3.5304333333333347E-2</v>
      </c>
      <c r="J43" s="133">
        <v>7.0608666666666695E-2</v>
      </c>
      <c r="K43" s="45">
        <v>3583.389833333335</v>
      </c>
      <c r="L43" s="134">
        <v>3530.4333333333338</v>
      </c>
      <c r="M43" s="45" t="s">
        <v>1998</v>
      </c>
      <c r="N43" s="133">
        <v>9.7086916666666596E-3</v>
      </c>
      <c r="O43" s="133">
        <v>0.17652166666666669</v>
      </c>
      <c r="P43" s="133">
        <v>1.0591299999999997E-3</v>
      </c>
      <c r="Q43" s="133">
        <v>1.3415646666666664E-2</v>
      </c>
      <c r="R43" s="133">
        <v>1.3415646666666664E-2</v>
      </c>
      <c r="S43" s="133">
        <v>3.5304333333333347E-2</v>
      </c>
      <c r="T43" s="133">
        <v>7.0608666666666695E-2</v>
      </c>
      <c r="U43" s="45">
        <v>3583.389833333335</v>
      </c>
      <c r="V43" s="134">
        <v>3530.4333333333338</v>
      </c>
      <c r="W43" t="s">
        <v>1998</v>
      </c>
    </row>
    <row r="44" spans="1:31" x14ac:dyDescent="0.25">
      <c r="A44" s="812" t="s">
        <v>1999</v>
      </c>
      <c r="B44" s="812">
        <v>2104002000</v>
      </c>
      <c r="C44" s="812" t="s">
        <v>151</v>
      </c>
      <c r="D44" s="133">
        <v>0.11680784360028415</v>
      </c>
      <c r="E44" s="133">
        <v>5.5133302179334147E-2</v>
      </c>
      <c r="F44" s="133">
        <v>0.10863129454826426</v>
      </c>
      <c r="G44" s="133">
        <v>9.3329467036627062E-2</v>
      </c>
      <c r="H44" s="133">
        <v>9.3329467036627062E-2</v>
      </c>
      <c r="I44" s="133">
        <v>1.4787288960577972E-2</v>
      </c>
      <c r="J44" s="133">
        <v>1.5252184178107104</v>
      </c>
      <c r="K44" s="45">
        <v>355.09584454486389</v>
      </c>
      <c r="L44" s="134">
        <v>23.361568720056841</v>
      </c>
      <c r="M44" s="45" t="s">
        <v>738</v>
      </c>
      <c r="N44" s="133">
        <v>0.10263048553235284</v>
      </c>
      <c r="O44" s="133">
        <v>4.8441589171270519E-2</v>
      </c>
      <c r="P44" s="133">
        <v>9.5446351545088085E-2</v>
      </c>
      <c r="Q44" s="133">
        <v>8.2001757940349904E-2</v>
      </c>
      <c r="R44" s="133">
        <v>8.2001757940349904E-2</v>
      </c>
      <c r="S44" s="133">
        <v>1.2992506315968206E-2</v>
      </c>
      <c r="T44" s="133">
        <v>1.340097564838697</v>
      </c>
      <c r="U44" s="45">
        <v>311.99667601835256</v>
      </c>
      <c r="V44" s="134">
        <v>20.526097106470569</v>
      </c>
      <c r="W44" t="s">
        <v>738</v>
      </c>
    </row>
    <row r="45" spans="1:31" x14ac:dyDescent="0.25">
      <c r="A45" s="812" t="s">
        <v>1999</v>
      </c>
      <c r="B45" s="812">
        <v>2103002000</v>
      </c>
      <c r="C45" s="812" t="s">
        <v>152</v>
      </c>
      <c r="D45" s="133">
        <v>2.8532244230068839E-4</v>
      </c>
      <c r="E45" s="133">
        <v>1.3467219276592487E-4</v>
      </c>
      <c r="F45" s="133">
        <v>2.6534987133964015E-4</v>
      </c>
      <c r="G45" s="133">
        <v>2.279726313982501E-4</v>
      </c>
      <c r="H45" s="133">
        <v>2.279726313982501E-4</v>
      </c>
      <c r="I45" s="133">
        <v>3.6120394583055649E-5</v>
      </c>
      <c r="J45" s="133">
        <v>3.7255977903412375E-3</v>
      </c>
      <c r="K45" s="45">
        <v>13.116826184181894</v>
      </c>
      <c r="L45" s="134">
        <v>0.86738022459409281</v>
      </c>
      <c r="M45" s="45" t="s">
        <v>738</v>
      </c>
      <c r="N45" s="133">
        <v>2.6963315214105558E-4</v>
      </c>
      <c r="O45" s="133">
        <v>1.2726684781057826E-4</v>
      </c>
      <c r="P45" s="133">
        <v>2.5075883149118169E-4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8.7184102008962055E-4</v>
      </c>
      <c r="E46" s="133">
        <v>3.4664180803309314E-5</v>
      </c>
      <c r="F46" s="133">
        <v>7.5569431662724817E-6</v>
      </c>
      <c r="G46" s="133">
        <v>2.4518378092326654E-4</v>
      </c>
      <c r="H46" s="133">
        <v>2.4518378092326654E-4</v>
      </c>
      <c r="I46" s="133">
        <v>8.977707154115664E-6</v>
      </c>
      <c r="J46" s="133">
        <v>1.7439048949549685E-3</v>
      </c>
      <c r="K46" s="45">
        <v>7.9159459338867979</v>
      </c>
      <c r="L46" s="134">
        <v>0.65367558388256952</v>
      </c>
      <c r="M46" s="45" t="s">
        <v>738</v>
      </c>
      <c r="N46" s="133">
        <v>7.1473614547591408E-4</v>
      </c>
      <c r="O46" s="133">
        <v>2.9083381335906238E-5</v>
      </c>
      <c r="P46" s="133">
        <v>6.1727592489711029E-6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1.3760960594379902E-2</v>
      </c>
      <c r="G47" s="135">
        <v>1.9373489384817268E-3</v>
      </c>
      <c r="H47" s="135">
        <v>1.9373489384817268E-3</v>
      </c>
      <c r="I47" s="135">
        <v>1.3544093175893139E-5</v>
      </c>
      <c r="J47" s="135">
        <v>4.6265049277175547E-3</v>
      </c>
      <c r="K47" s="88">
        <v>103.11814403022066</v>
      </c>
      <c r="L47" s="136">
        <v>0.74453533595827182</v>
      </c>
      <c r="M47" s="88" t="s">
        <v>1997</v>
      </c>
      <c r="N47" s="135">
        <v>3.72267667979136E-4</v>
      </c>
      <c r="O47" s="135">
        <v>1.9434212261993551E-2</v>
      </c>
      <c r="P47" s="135">
        <v>1.3760960594379902E-2</v>
      </c>
      <c r="Q47" s="135">
        <v>1.9373489384817268E-3</v>
      </c>
      <c r="R47" s="135">
        <v>1.9373489384817268E-3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8.8273900848404345</v>
      </c>
      <c r="E48" s="137">
        <v>2.5602679684137883</v>
      </c>
      <c r="F48" s="137">
        <v>3.9066426327518999</v>
      </c>
      <c r="G48" s="137">
        <v>2.5789357637363715</v>
      </c>
      <c r="H48" s="137">
        <v>2.5789357637363715</v>
      </c>
      <c r="I48" s="137">
        <v>0.14481052016118437</v>
      </c>
      <c r="J48" s="137">
        <v>27.391598912997285</v>
      </c>
      <c r="K48" s="87">
        <v>51071.81366715247</v>
      </c>
      <c r="L48" s="87"/>
      <c r="M48" s="87"/>
      <c r="N48" s="137">
        <v>7.9613664316025075</v>
      </c>
      <c r="O48" s="137">
        <v>2.396352954833199</v>
      </c>
      <c r="P48" s="137">
        <v>3.6246501380810687</v>
      </c>
      <c r="Q48" s="137">
        <v>2.2982965571385225</v>
      </c>
      <c r="R48" s="137">
        <v>2.2982965571385225</v>
      </c>
      <c r="S48" s="137">
        <v>0.1333119834824763</v>
      </c>
      <c r="T48" s="137">
        <v>24.212677452635003</v>
      </c>
      <c r="U48" s="87">
        <v>47706.945249170516</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5.0410220615736279</v>
      </c>
      <c r="E50" s="133">
        <v>5.7234311616119804E-2</v>
      </c>
      <c r="F50" s="133">
        <v>8.8052787101722731E-3</v>
      </c>
      <c r="G50" s="133">
        <v>0.76165660842990179</v>
      </c>
      <c r="H50" s="133">
        <v>0.76165660842990179</v>
      </c>
      <c r="I50" s="133">
        <v>3.962375419577524E-2</v>
      </c>
      <c r="J50" s="133">
        <v>5.5605335054737921</v>
      </c>
      <c r="K50" s="45">
        <v>706.97889801446036</v>
      </c>
      <c r="L50" s="134">
        <v>62.895367450920936</v>
      </c>
      <c r="M50" s="45" t="s">
        <v>738</v>
      </c>
      <c r="N50" s="133">
        <v>4.6508263444185296</v>
      </c>
      <c r="O50" s="133">
        <v>5.2804141901695092E-2</v>
      </c>
      <c r="P50" s="133">
        <v>8.1237141387223225E-3</v>
      </c>
      <c r="Q50" s="133">
        <v>0.70270127299948071</v>
      </c>
      <c r="R50" s="133">
        <v>0.70270127299948071</v>
      </c>
      <c r="S50" s="133">
        <v>3.6556713624250455E-2</v>
      </c>
      <c r="T50" s="133">
        <v>5.1301254786031469</v>
      </c>
      <c r="U50" s="45">
        <v>652.25273765556108</v>
      </c>
      <c r="V50" s="134">
        <v>58.027008870362664</v>
      </c>
      <c r="W50" t="s">
        <v>738</v>
      </c>
      <c r="Y50" s="13">
        <f>N50/$U50*2000</f>
        <v>14.260810498505011</v>
      </c>
      <c r="Z50" s="5">
        <f t="shared" ref="Z50:AE65" si="0">O50/$U50*2000</f>
        <v>0.16191313229743678</v>
      </c>
      <c r="AA50" s="357">
        <f t="shared" si="0"/>
        <v>2.4909712661144123E-2</v>
      </c>
      <c r="AB50" s="5">
        <f t="shared" si="0"/>
        <v>2.1546901451889657</v>
      </c>
      <c r="AC50" s="358">
        <f t="shared" si="0"/>
        <v>2.1546901451889657</v>
      </c>
      <c r="AD50" s="5">
        <f t="shared" si="0"/>
        <v>0.11209370697514856</v>
      </c>
      <c r="AE50" s="13">
        <f t="shared" si="0"/>
        <v>15.730483545512513</v>
      </c>
    </row>
    <row r="51" spans="1:31" x14ac:dyDescent="0.25">
      <c r="A51" s="812" t="s">
        <v>2001</v>
      </c>
      <c r="B51" s="812">
        <v>2104008210</v>
      </c>
      <c r="C51" s="812" t="s">
        <v>138</v>
      </c>
      <c r="D51" s="133">
        <v>0.10913435707685312</v>
      </c>
      <c r="E51" s="133">
        <v>5.7655886757582752E-3</v>
      </c>
      <c r="F51" s="133">
        <v>8.2365552510832516E-4</v>
      </c>
      <c r="G51" s="133">
        <v>6.3009647670786886E-2</v>
      </c>
      <c r="H51" s="133">
        <v>6.3009647670786886E-2</v>
      </c>
      <c r="I51" s="133">
        <v>3.5005359817103822E-3</v>
      </c>
      <c r="J51" s="133">
        <v>0.47524923798750363</v>
      </c>
      <c r="K51" s="45">
        <v>66.119856392122756</v>
      </c>
      <c r="L51" s="134">
        <v>5.8833023473547534</v>
      </c>
      <c r="M51" s="45" t="s">
        <v>738</v>
      </c>
      <c r="N51" s="133">
        <v>9.4987197038915408E-2</v>
      </c>
      <c r="O51" s="133">
        <v>5.0181915416785466E-3</v>
      </c>
      <c r="P51" s="133">
        <v>7.1688450595407821E-4</v>
      </c>
      <c r="Q51" s="133">
        <v>5.484166470548698E-2</v>
      </c>
      <c r="R51" s="133">
        <v>5.484166470548698E-2</v>
      </c>
      <c r="S51" s="133">
        <v>3.0467591503048328E-3</v>
      </c>
      <c r="T51" s="133">
        <v>0.41364235993550297</v>
      </c>
      <c r="U51" s="45">
        <v>57.548378332696409</v>
      </c>
      <c r="V51" s="134">
        <v>5.1206459109312519</v>
      </c>
      <c r="W51" t="s">
        <v>738</v>
      </c>
      <c r="Y51" s="13">
        <f t="shared" ref="Y51:AE70" si="1">N51/$U51*2000</f>
        <v>3.3011250634997631</v>
      </c>
      <c r="Z51" s="5">
        <f t="shared" si="0"/>
        <v>0.17439905995847793</v>
      </c>
      <c r="AA51" s="357">
        <f t="shared" si="0"/>
        <v>2.4914151422639707E-2</v>
      </c>
      <c r="AB51" s="5">
        <f t="shared" si="0"/>
        <v>1.9059325838319376</v>
      </c>
      <c r="AC51" s="358">
        <f t="shared" si="0"/>
        <v>1.9059325838319376</v>
      </c>
      <c r="AD51" s="5">
        <f t="shared" si="0"/>
        <v>0.10588514354621878</v>
      </c>
      <c r="AE51" s="13">
        <f t="shared" si="0"/>
        <v>14.375465370863106</v>
      </c>
    </row>
    <row r="52" spans="1:31" x14ac:dyDescent="0.25">
      <c r="A52" s="812" t="s">
        <v>2001</v>
      </c>
      <c r="B52" s="812">
        <v>2104008220</v>
      </c>
      <c r="C52" s="812" t="s">
        <v>139</v>
      </c>
      <c r="D52" s="133">
        <v>5.2024133223557915E-2</v>
      </c>
      <c r="E52" s="133">
        <v>8.6706888705929807E-3</v>
      </c>
      <c r="F52" s="133">
        <v>1.7341377741185973E-3</v>
      </c>
      <c r="G52" s="133">
        <v>5.2024133223557915E-2</v>
      </c>
      <c r="H52" s="133">
        <v>5.2024133223557915E-2</v>
      </c>
      <c r="I52" s="133">
        <v>3.9018099917668405E-3</v>
      </c>
      <c r="J52" s="133">
        <v>0.61041649648974605</v>
      </c>
      <c r="K52" s="45">
        <v>139.20982388092048</v>
      </c>
      <c r="L52" s="134">
        <v>12.386800702595517</v>
      </c>
      <c r="M52" s="45" t="s">
        <v>738</v>
      </c>
      <c r="N52" s="133">
        <v>4.5280209877490284E-2</v>
      </c>
      <c r="O52" s="133">
        <v>7.5467016462483789E-3</v>
      </c>
      <c r="P52" s="133">
        <v>1.5093403292496762E-3</v>
      </c>
      <c r="Q52" s="133">
        <v>4.5280209877490284E-2</v>
      </c>
      <c r="R52" s="133">
        <v>4.5280209877490284E-2</v>
      </c>
      <c r="S52" s="133">
        <v>3.3960157408117731E-3</v>
      </c>
      <c r="T52" s="133">
        <v>0.53128779589588604</v>
      </c>
      <c r="U52" s="45">
        <v>121.16329419737937</v>
      </c>
      <c r="V52" s="134">
        <v>10.781091404521268</v>
      </c>
      <c r="W52" t="s">
        <v>738</v>
      </c>
      <c r="Y52" s="13">
        <f t="shared" si="1"/>
        <v>0.74742454267919112</v>
      </c>
      <c r="Z52" s="5">
        <f t="shared" si="0"/>
        <v>0.12457075711319848</v>
      </c>
      <c r="AA52" s="357">
        <f t="shared" si="0"/>
        <v>2.4914151422639703E-2</v>
      </c>
      <c r="AB52" s="5">
        <f t="shared" si="0"/>
        <v>0.74742454267919112</v>
      </c>
      <c r="AC52" s="358">
        <f t="shared" si="0"/>
        <v>0.74742454267919112</v>
      </c>
      <c r="AD52" s="5">
        <f t="shared" si="0"/>
        <v>5.6056840700939366E-2</v>
      </c>
      <c r="AE52" s="13">
        <f t="shared" si="0"/>
        <v>8.7697813007691767</v>
      </c>
    </row>
    <row r="53" spans="1:31" x14ac:dyDescent="0.25">
      <c r="A53" s="812" t="s">
        <v>2001</v>
      </c>
      <c r="B53" s="812">
        <v>2104008230</v>
      </c>
      <c r="C53" s="812" t="s">
        <v>140</v>
      </c>
      <c r="D53" s="133">
        <v>3.9152921629857666E-2</v>
      </c>
      <c r="E53" s="133">
        <v>5.2203895506476887E-3</v>
      </c>
      <c r="F53" s="133">
        <v>1.0440779101295377E-3</v>
      </c>
      <c r="G53" s="133">
        <v>3.3932532079209966E-2</v>
      </c>
      <c r="H53" s="133">
        <v>3.3932532079209966E-2</v>
      </c>
      <c r="I53" s="133">
        <v>2.3491752977914601E-3</v>
      </c>
      <c r="J53" s="133">
        <v>0.2792908409596514</v>
      </c>
      <c r="K53" s="45">
        <v>83.814506642049736</v>
      </c>
      <c r="L53" s="134">
        <v>7.4577609598120391</v>
      </c>
      <c r="M53" s="45" t="s">
        <v>738</v>
      </c>
      <c r="N53" s="133">
        <v>3.4077502091165848E-2</v>
      </c>
      <c r="O53" s="133">
        <v>4.5436669454887802E-3</v>
      </c>
      <c r="P53" s="133">
        <v>9.0873338909775564E-4</v>
      </c>
      <c r="Q53" s="133">
        <v>2.9533835145677052E-2</v>
      </c>
      <c r="R53" s="133">
        <v>2.9533835145677052E-2</v>
      </c>
      <c r="S53" s="133">
        <v>2.0446501254699511E-3</v>
      </c>
      <c r="T53" s="133">
        <v>0.24308618158364961</v>
      </c>
      <c r="U53" s="45">
        <v>72.949174441637368</v>
      </c>
      <c r="V53" s="134">
        <v>6.4910063955381405</v>
      </c>
      <c r="W53" t="s">
        <v>738</v>
      </c>
      <c r="Y53" s="13">
        <f t="shared" si="1"/>
        <v>0.93428067834898909</v>
      </c>
      <c r="Z53" s="5">
        <f t="shared" si="0"/>
        <v>0.12457075711319857</v>
      </c>
      <c r="AA53" s="357">
        <f t="shared" si="0"/>
        <v>2.4914151422639703E-2</v>
      </c>
      <c r="AB53" s="5">
        <f t="shared" si="0"/>
        <v>0.80970992123579011</v>
      </c>
      <c r="AC53" s="358">
        <f t="shared" si="0"/>
        <v>0.80970992123579011</v>
      </c>
      <c r="AD53" s="5">
        <f t="shared" si="0"/>
        <v>5.6056840700939352E-2</v>
      </c>
      <c r="AE53" s="13">
        <f t="shared" si="0"/>
        <v>6.6645355055561195</v>
      </c>
    </row>
    <row r="54" spans="1:31" x14ac:dyDescent="0.25">
      <c r="A54" s="812" t="s">
        <v>2001</v>
      </c>
      <c r="B54" s="812">
        <v>2104008310</v>
      </c>
      <c r="C54" s="812" t="s">
        <v>141</v>
      </c>
      <c r="D54" s="133">
        <v>2.2147967255777972</v>
      </c>
      <c r="E54" s="133">
        <v>6.0683033004941517E-2</v>
      </c>
      <c r="F54" s="133">
        <v>1.6715446985492821E-2</v>
      </c>
      <c r="G54" s="133">
        <v>0.50739862121874379</v>
      </c>
      <c r="H54" s="133">
        <v>0.50739862121874379</v>
      </c>
      <c r="I54" s="133">
        <v>1.6591273998972329E-2</v>
      </c>
      <c r="J54" s="133">
        <v>5.0635535937807443</v>
      </c>
      <c r="K54" s="45">
        <v>1341.8509565216236</v>
      </c>
      <c r="L54" s="134">
        <v>119.39703612611603</v>
      </c>
      <c r="M54" s="45" t="s">
        <v>738</v>
      </c>
      <c r="N54" s="133">
        <v>1.9276911378646207</v>
      </c>
      <c r="O54" s="133">
        <v>5.2816650662084894E-2</v>
      </c>
      <c r="P54" s="133">
        <v>1.4548612361242427E-2</v>
      </c>
      <c r="Q54" s="133">
        <v>0.4416241970165144</v>
      </c>
      <c r="R54" s="133">
        <v>0.4416241970165144</v>
      </c>
      <c r="S54" s="133">
        <v>1.444053600239948E-2</v>
      </c>
      <c r="T54" s="133">
        <v>4.4071617390924427</v>
      </c>
      <c r="U54" s="45">
        <v>1167.8994892855937</v>
      </c>
      <c r="V54" s="134">
        <v>103.91951810727525</v>
      </c>
      <c r="W54" t="s">
        <v>738</v>
      </c>
      <c r="Y54" s="13">
        <f t="shared" si="1"/>
        <v>3.3011250634997586</v>
      </c>
      <c r="Z54" s="5">
        <f t="shared" si="0"/>
        <v>9.0447253632062019E-2</v>
      </c>
      <c r="AA54" s="357">
        <f t="shared" si="0"/>
        <v>2.4914151422639703E-2</v>
      </c>
      <c r="AB54" s="5">
        <f t="shared" si="0"/>
        <v>0.7562708967133065</v>
      </c>
      <c r="AC54" s="358">
        <f t="shared" si="0"/>
        <v>0.7562708967133065</v>
      </c>
      <c r="AD54" s="5">
        <f t="shared" si="0"/>
        <v>2.4729073237685518E-2</v>
      </c>
      <c r="AE54" s="13">
        <f t="shared" si="0"/>
        <v>7.5471592881478387</v>
      </c>
    </row>
    <row r="55" spans="1:31" x14ac:dyDescent="0.25">
      <c r="A55" s="812" t="s">
        <v>2001</v>
      </c>
      <c r="B55" s="812">
        <v>2104008320</v>
      </c>
      <c r="C55" s="812" t="s">
        <v>142</v>
      </c>
      <c r="D55" s="133">
        <v>1.0557892399862538</v>
      </c>
      <c r="E55" s="133">
        <v>0.14154963140025051</v>
      </c>
      <c r="F55" s="133">
        <v>3.5192974666208444E-2</v>
      </c>
      <c r="G55" s="133">
        <v>0.69727183133025061</v>
      </c>
      <c r="H55" s="133">
        <v>0.69727183133025061</v>
      </c>
      <c r="I55" s="133">
        <v>2.1972886503439017E-2</v>
      </c>
      <c r="J55" s="133">
        <v>10.878231919972411</v>
      </c>
      <c r="K55" s="45">
        <v>2825.1548857579528</v>
      </c>
      <c r="L55" s="134">
        <v>251.3804668970923</v>
      </c>
      <c r="M55" s="45" t="s">
        <v>738</v>
      </c>
      <c r="N55" s="133">
        <v>0.91892657139601441</v>
      </c>
      <c r="O55" s="133">
        <v>0.1232004575711487</v>
      </c>
      <c r="P55" s="133">
        <v>3.0630885713200481E-2</v>
      </c>
      <c r="Q55" s="133">
        <v>0.60688401532077529</v>
      </c>
      <c r="R55" s="133">
        <v>0.60688401532077529</v>
      </c>
      <c r="S55" s="133">
        <v>1.9124526461874021E-2</v>
      </c>
      <c r="T55" s="133">
        <v>9.4680794068341481</v>
      </c>
      <c r="U55" s="45">
        <v>2458.9146299693693</v>
      </c>
      <c r="V55" s="134">
        <v>218.79384806448857</v>
      </c>
      <c r="W55" t="s">
        <v>738</v>
      </c>
      <c r="Y55" s="13">
        <f t="shared" si="1"/>
        <v>0.74742454267919134</v>
      </c>
      <c r="Z55" s="5">
        <f t="shared" si="0"/>
        <v>0.10020718577991738</v>
      </c>
      <c r="AA55" s="357">
        <f t="shared" si="0"/>
        <v>2.491415142263971E-2</v>
      </c>
      <c r="AB55" s="5">
        <f t="shared" si="0"/>
        <v>0.49361942698135491</v>
      </c>
      <c r="AC55" s="358">
        <f t="shared" si="0"/>
        <v>0.49361942698135491</v>
      </c>
      <c r="AD55" s="5">
        <f t="shared" si="0"/>
        <v>1.5555258591561802E-2</v>
      </c>
      <c r="AE55" s="13">
        <f t="shared" si="0"/>
        <v>7.7010232819283289</v>
      </c>
    </row>
    <row r="56" spans="1:31" x14ac:dyDescent="0.25">
      <c r="A56" s="812" t="s">
        <v>2001</v>
      </c>
      <c r="B56" s="812">
        <v>2104008330</v>
      </c>
      <c r="C56" s="812" t="s">
        <v>143</v>
      </c>
      <c r="D56" s="133">
        <v>0.79457803156843743</v>
      </c>
      <c r="E56" s="133">
        <v>8.522324208472766E-2</v>
      </c>
      <c r="F56" s="133">
        <v>2.1188747508491659E-2</v>
      </c>
      <c r="G56" s="133">
        <v>0.46581512767719857</v>
      </c>
      <c r="H56" s="133">
        <v>0.46581512767719857</v>
      </c>
      <c r="I56" s="133">
        <v>1.3229286486008565E-2</v>
      </c>
      <c r="J56" s="133">
        <v>6.5494920982745803</v>
      </c>
      <c r="K56" s="45">
        <v>1700.9500934339774</v>
      </c>
      <c r="L56" s="134">
        <v>151.34944664861101</v>
      </c>
      <c r="M56" s="45" t="s">
        <v>738</v>
      </c>
      <c r="N56" s="133">
        <v>0.69157634743965068</v>
      </c>
      <c r="O56" s="133">
        <v>7.4175695949686857E-2</v>
      </c>
      <c r="P56" s="133">
        <v>1.8442035931724016E-2</v>
      </c>
      <c r="Q56" s="133">
        <v>0.40543119968373398</v>
      </c>
      <c r="R56" s="133">
        <v>0.40543119968373398</v>
      </c>
      <c r="S56" s="133">
        <v>1.1514365189743511E-2</v>
      </c>
      <c r="T56" s="133">
        <v>5.7004770368100237</v>
      </c>
      <c r="U56" s="45">
        <v>1480.4466440679639</v>
      </c>
      <c r="V56" s="134">
        <v>131.72991618412672</v>
      </c>
      <c r="W56" t="s">
        <v>738</v>
      </c>
      <c r="Y56" s="13">
        <f t="shared" si="1"/>
        <v>0.93428067834898887</v>
      </c>
      <c r="Z56" s="5">
        <f t="shared" si="0"/>
        <v>0.10020718577991741</v>
      </c>
      <c r="AA56" s="357">
        <f t="shared" si="0"/>
        <v>2.49141514226397E-2</v>
      </c>
      <c r="AB56" s="5">
        <f t="shared" si="0"/>
        <v>0.54771470665054456</v>
      </c>
      <c r="AC56" s="358">
        <f t="shared" si="0"/>
        <v>0.54771470665054456</v>
      </c>
      <c r="AD56" s="5">
        <f t="shared" si="0"/>
        <v>1.5555258591561795E-2</v>
      </c>
      <c r="AE56" s="13">
        <f t="shared" si="0"/>
        <v>7.7010232819283253</v>
      </c>
    </row>
    <row r="57" spans="1:31" x14ac:dyDescent="0.25">
      <c r="A57" s="812" t="s">
        <v>2001</v>
      </c>
      <c r="B57" s="812">
        <v>2104008410</v>
      </c>
      <c r="C57" s="812" t="s">
        <v>144</v>
      </c>
      <c r="D57" s="133">
        <v>1.3313897845748943E-2</v>
      </c>
      <c r="E57" s="133">
        <v>2.3250213070511522E-2</v>
      </c>
      <c r="F57" s="133">
        <v>1.8581588867541672E-3</v>
      </c>
      <c r="G57" s="133">
        <v>1.7187969702476054E-2</v>
      </c>
      <c r="H57" s="133">
        <v>1.7187969702476054E-2</v>
      </c>
      <c r="I57" s="133">
        <v>4.1738893993715489E-4</v>
      </c>
      <c r="J57" s="133">
        <v>5.7672606447632481E-2</v>
      </c>
      <c r="K57" s="45">
        <v>178.13130747520049</v>
      </c>
      <c r="L57" s="134">
        <v>15.850009310230034</v>
      </c>
      <c r="M57" s="45" t="s">
        <v>738</v>
      </c>
      <c r="N57" s="133">
        <v>1.1588008322068293E-2</v>
      </c>
      <c r="O57" s="133">
        <v>2.0236272327789701E-2</v>
      </c>
      <c r="P57" s="133">
        <v>1.6172845017214546E-3</v>
      </c>
      <c r="Q57" s="133">
        <v>1.4959881640923456E-2</v>
      </c>
      <c r="R57" s="133">
        <v>1.4959881640923456E-2</v>
      </c>
      <c r="S57" s="133">
        <v>3.6328253119918179E-4</v>
      </c>
      <c r="T57" s="133">
        <v>5.0196467722179672E-2</v>
      </c>
      <c r="U57" s="45">
        <v>155.039173326184</v>
      </c>
      <c r="V57" s="134">
        <v>13.795361953332865</v>
      </c>
      <c r="W57" t="s">
        <v>738</v>
      </c>
      <c r="Y57" s="13">
        <f t="shared" si="1"/>
        <v>0.14948490853583821</v>
      </c>
      <c r="Z57" s="5">
        <f t="shared" si="0"/>
        <v>0.26104721656655105</v>
      </c>
      <c r="AA57" s="357">
        <f t="shared" si="0"/>
        <v>2.0862914410913175E-2</v>
      </c>
      <c r="AB57" s="5">
        <f t="shared" si="0"/>
        <v>0.19298195830094683</v>
      </c>
      <c r="AC57" s="358">
        <f t="shared" si="0"/>
        <v>0.19298195830094683</v>
      </c>
      <c r="AD57" s="5">
        <f t="shared" si="0"/>
        <v>4.6863321495513718E-3</v>
      </c>
      <c r="AE57" s="13">
        <f t="shared" si="0"/>
        <v>0.64753270602871793</v>
      </c>
    </row>
    <row r="58" spans="1:31" x14ac:dyDescent="0.25">
      <c r="A58" s="812" t="s">
        <v>2001</v>
      </c>
      <c r="B58" s="812">
        <v>2104008420</v>
      </c>
      <c r="C58" s="812" t="s">
        <v>145</v>
      </c>
      <c r="D58" s="133">
        <v>4.4908191210970748E-2</v>
      </c>
      <c r="E58" s="133">
        <v>7.8423691270826809E-2</v>
      </c>
      <c r="F58" s="133">
        <v>6.2676276739921551E-3</v>
      </c>
      <c r="G58" s="133">
        <v>5.7975555984427454E-2</v>
      </c>
      <c r="H58" s="133">
        <v>5.7975555984427454E-2</v>
      </c>
      <c r="I58" s="133">
        <v>1.4078658662704882E-3</v>
      </c>
      <c r="J58" s="133">
        <v>0.19453149393153149</v>
      </c>
      <c r="K58" s="45">
        <v>600.84243618488779</v>
      </c>
      <c r="L58" s="134">
        <v>53.462573999450399</v>
      </c>
      <c r="M58" s="45" t="s">
        <v>738</v>
      </c>
      <c r="N58" s="133">
        <v>3.9086712209371689E-2</v>
      </c>
      <c r="O58" s="133">
        <v>6.8257575476577834E-2</v>
      </c>
      <c r="P58" s="133">
        <v>5.455150887238986E-3</v>
      </c>
      <c r="Q58" s="133">
        <v>5.0460145706960634E-2</v>
      </c>
      <c r="R58" s="133">
        <v>5.0460145706960634E-2</v>
      </c>
      <c r="S58" s="133">
        <v>1.2253632680460575E-3</v>
      </c>
      <c r="T58" s="133">
        <v>0.16931424566268002</v>
      </c>
      <c r="U58" s="45">
        <v>522.9519500291342</v>
      </c>
      <c r="V58" s="134">
        <v>46.532184609080048</v>
      </c>
      <c r="W58" t="s">
        <v>738</v>
      </c>
      <c r="Y58" s="13">
        <f t="shared" si="1"/>
        <v>0.14948490853583823</v>
      </c>
      <c r="Z58" s="5">
        <f t="shared" si="0"/>
        <v>0.26104721656655122</v>
      </c>
      <c r="AA58" s="357">
        <f t="shared" si="0"/>
        <v>2.0862914410913178E-2</v>
      </c>
      <c r="AB58" s="5">
        <f t="shared" si="0"/>
        <v>0.19298195830094694</v>
      </c>
      <c r="AC58" s="358">
        <f t="shared" si="0"/>
        <v>0.19298195830094694</v>
      </c>
      <c r="AD58" s="5">
        <f t="shared" si="0"/>
        <v>4.6863321495513735E-3</v>
      </c>
      <c r="AE58" s="13">
        <f t="shared" si="0"/>
        <v>0.64753270602871771</v>
      </c>
    </row>
    <row r="59" spans="1:31" x14ac:dyDescent="0.25">
      <c r="A59" s="812" t="s">
        <v>2001</v>
      </c>
      <c r="B59" s="812">
        <v>2104008610</v>
      </c>
      <c r="C59" s="812" t="s">
        <v>146</v>
      </c>
      <c r="D59" s="133">
        <v>1.2612375939597689</v>
      </c>
      <c r="E59" s="133">
        <v>4.4802646066497809E-2</v>
      </c>
      <c r="F59" s="133">
        <v>1.1112225497442899E-2</v>
      </c>
      <c r="G59" s="133">
        <v>0.27419838899825633</v>
      </c>
      <c r="H59" s="133">
        <v>0.27419838899825633</v>
      </c>
      <c r="I59" s="133">
        <v>6.7717504803530889E-3</v>
      </c>
      <c r="J59" s="133">
        <v>1.682687261334936</v>
      </c>
      <c r="K59" s="45">
        <v>891.73532935666424</v>
      </c>
      <c r="L59" s="134">
        <v>79.373694900963528</v>
      </c>
      <c r="M59" s="45" t="s">
        <v>738</v>
      </c>
      <c r="N59" s="133">
        <v>1.1531757093034687</v>
      </c>
      <c r="O59" s="133">
        <v>4.0963989183194216E-2</v>
      </c>
      <c r="P59" s="133">
        <v>1.0160138407960075E-2</v>
      </c>
      <c r="Q59" s="133">
        <v>0.25070527808340831</v>
      </c>
      <c r="R59" s="133">
        <v>0.25070527808340831</v>
      </c>
      <c r="S59" s="133">
        <v>6.1915520127259786E-3</v>
      </c>
      <c r="T59" s="133">
        <v>1.5385158874258245</v>
      </c>
      <c r="U59" s="45">
        <v>815.33186276124832</v>
      </c>
      <c r="V59" s="134">
        <v>72.573016659044683</v>
      </c>
      <c r="W59" t="s">
        <v>738</v>
      </c>
      <c r="Y59" s="13">
        <f t="shared" si="1"/>
        <v>2.8287272017017941</v>
      </c>
      <c r="Z59" s="5">
        <f t="shared" si="0"/>
        <v>0.10048421030539219</v>
      </c>
      <c r="AA59" s="357">
        <f t="shared" si="0"/>
        <v>2.4922706622923292E-2</v>
      </c>
      <c r="AB59" s="5">
        <f t="shared" si="0"/>
        <v>0.61497726149044596</v>
      </c>
      <c r="AC59" s="358">
        <f t="shared" si="0"/>
        <v>0.61497726149044596</v>
      </c>
      <c r="AD59" s="5">
        <f t="shared" si="0"/>
        <v>1.5187808291355924E-2</v>
      </c>
      <c r="AE59" s="13">
        <f t="shared" si="0"/>
        <v>3.7739623770262107</v>
      </c>
    </row>
    <row r="60" spans="1:31" x14ac:dyDescent="0.25">
      <c r="A60" s="812" t="s">
        <v>2001</v>
      </c>
      <c r="B60" s="812">
        <v>2104004000</v>
      </c>
      <c r="C60" s="812" t="s">
        <v>568</v>
      </c>
      <c r="D60" s="133">
        <v>9.2033999808485964E-2</v>
      </c>
      <c r="E60" s="133">
        <v>1.4420048488139905</v>
      </c>
      <c r="F60" s="133">
        <v>3.7307432463564711</v>
      </c>
      <c r="G60" s="133">
        <v>5.8937527880680844E-2</v>
      </c>
      <c r="H60" s="133">
        <v>5.8937527880680844E-2</v>
      </c>
      <c r="I60" s="133">
        <v>3.1619983707985269E-3</v>
      </c>
      <c r="J60" s="133">
        <v>5.7807891929634425E-2</v>
      </c>
      <c r="K60" s="45">
        <v>34647.809105042623</v>
      </c>
      <c r="L60" s="134">
        <v>258.15988726083015</v>
      </c>
      <c r="M60" s="45" t="s">
        <v>1997</v>
      </c>
      <c r="N60" s="133">
        <v>8.5006055868322522E-2</v>
      </c>
      <c r="O60" s="133">
        <v>1.3318897906833314</v>
      </c>
      <c r="P60" s="133">
        <v>3.4458544612868578</v>
      </c>
      <c r="Q60" s="133">
        <v>5.4436912425749232E-2</v>
      </c>
      <c r="R60" s="133">
        <v>5.4436912425749232E-2</v>
      </c>
      <c r="S60" s="133">
        <v>2.9205403516414474E-3</v>
      </c>
      <c r="T60" s="133">
        <v>5.3393538270922386E-2</v>
      </c>
      <c r="U60" s="45">
        <v>32002.016674566621</v>
      </c>
      <c r="V60" s="134">
        <v>238.44615951843625</v>
      </c>
      <c r="W60" t="s">
        <v>1997</v>
      </c>
      <c r="Y60" s="13">
        <f t="shared" si="1"/>
        <v>5.312543689528197E-3</v>
      </c>
      <c r="Z60" s="5">
        <f t="shared" si="0"/>
        <v>8.323786617746759E-2</v>
      </c>
      <c r="AA60" s="357">
        <f t="shared" si="0"/>
        <v>0.21535233209383497</v>
      </c>
      <c r="AB60" s="5">
        <f t="shared" si="0"/>
        <v>3.4020926230572579E-3</v>
      </c>
      <c r="AC60" s="358">
        <f t="shared" si="0"/>
        <v>3.4020926230572579E-3</v>
      </c>
      <c r="AD60" s="5">
        <f t="shared" si="0"/>
        <v>1.8252226922702195E-4</v>
      </c>
      <c r="AE60" s="13">
        <f t="shared" si="0"/>
        <v>3.3368858477819947E-3</v>
      </c>
    </row>
    <row r="61" spans="1:31" x14ac:dyDescent="0.25">
      <c r="A61" s="812" t="s">
        <v>2001</v>
      </c>
      <c r="B61" s="812">
        <v>2103004001</v>
      </c>
      <c r="C61" s="812" t="s">
        <v>148</v>
      </c>
      <c r="D61" s="133">
        <v>2.9370658057362664E-2</v>
      </c>
      <c r="E61" s="133">
        <v>0.74147523847479424</v>
      </c>
      <c r="F61" s="133">
        <v>0.52410765300902773</v>
      </c>
      <c r="G61" s="133">
        <v>1.8808635740398913E-2</v>
      </c>
      <c r="H61" s="133">
        <v>1.8808635740398913E-2</v>
      </c>
      <c r="I61" s="133">
        <v>1.009083307472402E-3</v>
      </c>
      <c r="J61" s="133">
        <v>1.8448136888707937E-2</v>
      </c>
      <c r="K61" s="45">
        <v>11410.480058751004</v>
      </c>
      <c r="L61" s="134">
        <v>85.019177883036406</v>
      </c>
      <c r="M61" s="45" t="s">
        <v>1997</v>
      </c>
      <c r="N61" s="133">
        <v>2.88962564137231E-2</v>
      </c>
      <c r="O61" s="133">
        <v>0.72949875939272923</v>
      </c>
      <c r="P61" s="133">
        <v>0.51564214530586516</v>
      </c>
      <c r="Q61" s="133">
        <v>1.8504834317480963E-2</v>
      </c>
      <c r="R61" s="133">
        <v>1.8504834317480963E-2</v>
      </c>
      <c r="S61" s="133">
        <v>9.9278436113285433E-4</v>
      </c>
      <c r="T61" s="133">
        <v>1.8150158326395913E-2</v>
      </c>
      <c r="U61" s="45">
        <v>11226.175352876997</v>
      </c>
      <c r="V61" s="134">
        <v>83.645928511169259</v>
      </c>
      <c r="W61" t="s">
        <v>1997</v>
      </c>
      <c r="Y61" s="13">
        <f t="shared" si="1"/>
        <v>5.1480144404332127E-3</v>
      </c>
      <c r="Z61" s="5">
        <f t="shared" si="0"/>
        <v>0.12996389891696755</v>
      </c>
      <c r="AA61" s="357">
        <f t="shared" si="0"/>
        <v>9.1864259927797856E-2</v>
      </c>
      <c r="AB61" s="5">
        <f t="shared" si="0"/>
        <v>3.2967299611507714E-3</v>
      </c>
      <c r="AC61" s="358">
        <f t="shared" si="0"/>
        <v>3.2967299611507714E-3</v>
      </c>
      <c r="AD61" s="5">
        <f t="shared" si="0"/>
        <v>1.76869562415739E-4</v>
      </c>
      <c r="AE61" s="13">
        <f t="shared" si="0"/>
        <v>3.2335426368953818E-3</v>
      </c>
    </row>
    <row r="62" spans="1:31" x14ac:dyDescent="0.25">
      <c r="A62" s="812" t="s">
        <v>2001</v>
      </c>
      <c r="B62" s="812">
        <v>2104004000</v>
      </c>
      <c r="C62" s="812" t="s">
        <v>746</v>
      </c>
      <c r="D62" s="133">
        <v>6.151312966802446E-4</v>
      </c>
      <c r="E62" s="133">
        <v>1.5529261346766342E-2</v>
      </c>
      <c r="F62" s="133">
        <v>2.4935316681745701E-2</v>
      </c>
      <c r="G62" s="133">
        <v>3.4509469659480761E-4</v>
      </c>
      <c r="H62" s="133">
        <v>3.4509469659480761E-4</v>
      </c>
      <c r="I62" s="133">
        <v>2.1133973987630344E-5</v>
      </c>
      <c r="J62" s="133">
        <v>3.8637290126500328E-4</v>
      </c>
      <c r="K62" s="45">
        <v>236.38123980002831</v>
      </c>
      <c r="L62" s="134">
        <v>1.7254734829740381</v>
      </c>
      <c r="M62" s="45" t="s">
        <v>1997</v>
      </c>
      <c r="N62" s="133">
        <v>5.8081906999768972E-4</v>
      </c>
      <c r="O62" s="133">
        <v>1.4663034025187113E-2</v>
      </c>
      <c r="P62" s="133">
        <v>2.3544416490188541E-2</v>
      </c>
      <c r="Q62" s="133">
        <v>3.2584520055971365E-4</v>
      </c>
      <c r="R62" s="133">
        <v>3.2584520055971365E-4</v>
      </c>
      <c r="S62" s="133">
        <v>1.9955113945749332E-5</v>
      </c>
      <c r="T62" s="133">
        <v>3.6482089335425534E-4</v>
      </c>
      <c r="U62" s="45">
        <v>223.19581625338978</v>
      </c>
      <c r="V62" s="134">
        <v>1.6292260027985677</v>
      </c>
      <c r="W62" t="s">
        <v>1997</v>
      </c>
      <c r="Y62" s="13">
        <f t="shared" si="1"/>
        <v>5.2045695098361282E-3</v>
      </c>
      <c r="Z62" s="5">
        <f t="shared" si="0"/>
        <v>0.13139165662980404</v>
      </c>
      <c r="AA62" s="357">
        <f t="shared" si="0"/>
        <v>0.21097542853096343</v>
      </c>
      <c r="AB62" s="5">
        <f t="shared" si="0"/>
        <v>2.9198145917734234E-3</v>
      </c>
      <c r="AC62" s="358">
        <f t="shared" si="0"/>
        <v>2.9198145917734234E-3</v>
      </c>
      <c r="AD62" s="5">
        <f t="shared" si="0"/>
        <v>1.7881261647928641E-4</v>
      </c>
      <c r="AE62" s="13">
        <f t="shared" si="0"/>
        <v>3.2690656973612931E-3</v>
      </c>
    </row>
    <row r="63" spans="1:31" x14ac:dyDescent="0.25">
      <c r="A63" s="812" t="s">
        <v>2001</v>
      </c>
      <c r="B63" s="812">
        <v>2104004000</v>
      </c>
      <c r="C63" s="812" t="s">
        <v>747</v>
      </c>
      <c r="D63" s="133">
        <v>2.3705068646179342E-3</v>
      </c>
      <c r="E63" s="133">
        <v>3.7141517265782575E-2</v>
      </c>
      <c r="F63" s="133">
        <v>9.6092232153530466E-2</v>
      </c>
      <c r="G63" s="133">
        <v>1.5180456648140024E-3</v>
      </c>
      <c r="H63" s="133">
        <v>1.5180456648140024E-3</v>
      </c>
      <c r="I63" s="133">
        <v>8.1443149917271223E-5</v>
      </c>
      <c r="J63" s="133">
        <v>1.488949789571734E-3</v>
      </c>
      <c r="K63" s="45">
        <v>831.17351494317495</v>
      </c>
      <c r="L63" s="134">
        <v>6.6493881195454003</v>
      </c>
      <c r="M63" s="45" t="s">
        <v>1997</v>
      </c>
      <c r="N63" s="133">
        <v>1.9650204443215293E-3</v>
      </c>
      <c r="O63" s="133">
        <v>3.0788284923252897E-2</v>
      </c>
      <c r="P63" s="133">
        <v>7.9655200978551707E-2</v>
      </c>
      <c r="Q63" s="133">
        <v>1.2583767679803641E-3</v>
      </c>
      <c r="R63" s="133">
        <v>1.2583767679803641E-3</v>
      </c>
      <c r="S63" s="133">
        <v>6.7511913602146556E-5</v>
      </c>
      <c r="T63" s="133">
        <v>1.2342578799274067E-3</v>
      </c>
      <c r="U63" s="45">
        <v>688.99735074387445</v>
      </c>
      <c r="V63" s="134">
        <v>5.5119788059509958</v>
      </c>
      <c r="W63" t="s">
        <v>1997</v>
      </c>
      <c r="Y63" s="13">
        <f t="shared" si="1"/>
        <v>5.7039999999999981E-3</v>
      </c>
      <c r="Z63" s="5">
        <f t="shared" si="0"/>
        <v>8.937127229883364E-2</v>
      </c>
      <c r="AA63" s="357">
        <f t="shared" si="0"/>
        <v>0.23122063065279466</v>
      </c>
      <c r="AB63" s="5">
        <f t="shared" si="0"/>
        <v>3.6527767969550548E-3</v>
      </c>
      <c r="AC63" s="358">
        <f t="shared" si="0"/>
        <v>3.6527767969550548E-3</v>
      </c>
      <c r="AD63" s="5">
        <f t="shared" si="0"/>
        <v>1.9597147515663875E-4</v>
      </c>
      <c r="AE63" s="13">
        <f t="shared" si="0"/>
        <v>3.5827652416800817E-3</v>
      </c>
    </row>
    <row r="64" spans="1:31" x14ac:dyDescent="0.25">
      <c r="A64" s="812" t="s">
        <v>2001</v>
      </c>
      <c r="B64" s="812">
        <v>2104006010</v>
      </c>
      <c r="C64" s="812" t="s">
        <v>149</v>
      </c>
      <c r="D64" s="133">
        <v>6.4990552711092771E-4</v>
      </c>
      <c r="E64" s="133">
        <v>1.1107476281532223E-2</v>
      </c>
      <c r="F64" s="133">
        <v>7.0898784775737638E-5</v>
      </c>
      <c r="G64" s="133">
        <v>5.8529310125197163E-6</v>
      </c>
      <c r="H64" s="133">
        <v>5.8529310125197163E-6</v>
      </c>
      <c r="I64" s="133">
        <v>2.3632928258579193E-3</v>
      </c>
      <c r="J64" s="133">
        <v>4.7265856517158386E-3</v>
      </c>
      <c r="K64" s="45">
        <v>291.73882732240446</v>
      </c>
      <c r="L64" s="134">
        <v>287.42741608118678</v>
      </c>
      <c r="M64" s="45" t="s">
        <v>1998</v>
      </c>
      <c r="N64" s="133">
        <v>6.4990552711092771E-4</v>
      </c>
      <c r="O64" s="133">
        <v>1.1107476281532223E-2</v>
      </c>
      <c r="P64" s="133">
        <v>7.0898784775737638E-5</v>
      </c>
      <c r="Q64" s="133">
        <v>5.8529310125197163E-6</v>
      </c>
      <c r="R64" s="133">
        <v>5.8529310125197163E-6</v>
      </c>
      <c r="S64" s="133">
        <v>2.3632928258579193E-3</v>
      </c>
      <c r="T64" s="133">
        <v>4.7265856517158386E-3</v>
      </c>
      <c r="U64" s="45">
        <v>291.73882732240446</v>
      </c>
      <c r="V64" s="134">
        <v>287.42741608118678</v>
      </c>
      <c r="W64" t="s">
        <v>1998</v>
      </c>
      <c r="Y64" s="13">
        <f t="shared" si="1"/>
        <v>4.4553927434054464E-3</v>
      </c>
      <c r="Z64" s="5">
        <f t="shared" si="0"/>
        <v>7.6146712341838563E-2</v>
      </c>
      <c r="AA64" s="357">
        <f t="shared" si="0"/>
        <v>4.8604284473514008E-4</v>
      </c>
      <c r="AB64" s="5">
        <f t="shared" si="0"/>
        <v>4.0124456975701519E-5</v>
      </c>
      <c r="AC64" s="358">
        <f t="shared" si="0"/>
        <v>4.0124456975701519E-5</v>
      </c>
      <c r="AD64" s="5">
        <f t="shared" si="0"/>
        <v>1.620142815783799E-2</v>
      </c>
      <c r="AE64" s="13">
        <f t="shared" si="0"/>
        <v>3.2402856315675979E-2</v>
      </c>
    </row>
    <row r="65" spans="1:31" x14ac:dyDescent="0.25">
      <c r="A65" s="812" t="s">
        <v>2001</v>
      </c>
      <c r="B65" s="812">
        <v>2103006000</v>
      </c>
      <c r="C65" s="812" t="s">
        <v>150</v>
      </c>
      <c r="D65" s="133">
        <v>7.2943884387197469E-3</v>
      </c>
      <c r="E65" s="133">
        <v>0.13262524434035913</v>
      </c>
      <c r="F65" s="133">
        <v>7.9575146604215401E-4</v>
      </c>
      <c r="G65" s="133">
        <v>1.0079518569867291E-2</v>
      </c>
      <c r="H65" s="133">
        <v>1.0079518569867291E-2</v>
      </c>
      <c r="I65" s="133">
        <v>2.6525048868071843E-2</v>
      </c>
      <c r="J65" s="133">
        <v>5.3050097736143685E-2</v>
      </c>
      <c r="K65" s="45">
        <v>2692.2924601092905</v>
      </c>
      <c r="L65" s="134">
        <v>2652.5048868071826</v>
      </c>
      <c r="M65" s="45" t="s">
        <v>1998</v>
      </c>
      <c r="N65" s="133">
        <v>7.2943884387197469E-3</v>
      </c>
      <c r="O65" s="133">
        <v>0.13262524434035913</v>
      </c>
      <c r="P65" s="133">
        <v>7.9575146604215401E-4</v>
      </c>
      <c r="Q65" s="133">
        <v>1.0079518569867291E-2</v>
      </c>
      <c r="R65" s="133">
        <v>1.0079518569867291E-2</v>
      </c>
      <c r="S65" s="133">
        <v>2.6525048868071843E-2</v>
      </c>
      <c r="T65" s="133">
        <v>5.3050097736143685E-2</v>
      </c>
      <c r="U65" s="45">
        <v>2692.2924601092905</v>
      </c>
      <c r="V65" s="134">
        <v>2652.5048868071826</v>
      </c>
      <c r="W65" t="s">
        <v>1998</v>
      </c>
      <c r="Y65" s="13">
        <f t="shared" si="1"/>
        <v>5.4187192118226556E-3</v>
      </c>
      <c r="Z65" s="5">
        <f t="shared" si="0"/>
        <v>9.852216748768472E-2</v>
      </c>
      <c r="AA65" s="357">
        <f t="shared" si="0"/>
        <v>5.9113300492610768E-4</v>
      </c>
      <c r="AB65" s="5">
        <f t="shared" si="0"/>
        <v>7.4876847290640371E-3</v>
      </c>
      <c r="AC65" s="358">
        <f t="shared" si="0"/>
        <v>7.4876847290640371E-3</v>
      </c>
      <c r="AD65" s="5">
        <f t="shared" si="0"/>
        <v>1.9704433497536956E-2</v>
      </c>
      <c r="AE65" s="13">
        <f t="shared" si="0"/>
        <v>3.9408866995073913E-2</v>
      </c>
    </row>
    <row r="66" spans="1:31" x14ac:dyDescent="0.25">
      <c r="A66" s="812" t="s">
        <v>2001</v>
      </c>
      <c r="B66" s="812">
        <v>2104002000</v>
      </c>
      <c r="C66" s="812" t="s">
        <v>151</v>
      </c>
      <c r="D66" s="133">
        <v>0.13881060581883317</v>
      </c>
      <c r="E66" s="133">
        <v>6.5518605946489256E-2</v>
      </c>
      <c r="F66" s="133">
        <v>0.12909386341151474</v>
      </c>
      <c r="G66" s="133">
        <v>0.11090967404924768</v>
      </c>
      <c r="H66" s="133">
        <v>0.11090967404924768</v>
      </c>
      <c r="I66" s="133">
        <v>1.757272864363519E-2</v>
      </c>
      <c r="J66" s="133">
        <v>1.8125194854794136</v>
      </c>
      <c r="K66" s="45">
        <v>421.98424168925277</v>
      </c>
      <c r="L66" s="134">
        <v>27.762121163766626</v>
      </c>
      <c r="M66" s="45" t="s">
        <v>738</v>
      </c>
      <c r="N66" s="133">
        <v>0.12169519313302633</v>
      </c>
      <c r="O66" s="133">
        <v>5.7440131158788418E-2</v>
      </c>
      <c r="P66" s="133">
        <v>0.11317652961371445</v>
      </c>
      <c r="Q66" s="133">
        <v>9.7234459313288044E-2</v>
      </c>
      <c r="R66" s="133">
        <v>9.7234459313288044E-2</v>
      </c>
      <c r="S66" s="133">
        <v>1.5406002974675473E-2</v>
      </c>
      <c r="T66" s="133">
        <v>1.5890349843344911</v>
      </c>
      <c r="U66" s="45">
        <v>369.95338712439997</v>
      </c>
      <c r="V66" s="134">
        <v>24.339038626605269</v>
      </c>
      <c r="W66" t="s">
        <v>738</v>
      </c>
      <c r="Y66" s="13">
        <f t="shared" si="1"/>
        <v>0.65789473684210542</v>
      </c>
      <c r="Z66" s="5">
        <f t="shared" si="1"/>
        <v>0.31052631578947371</v>
      </c>
      <c r="AA66" s="357">
        <f t="shared" si="1"/>
        <v>0.61184210526315785</v>
      </c>
      <c r="AB66" s="5">
        <f t="shared" si="1"/>
        <v>0.52565789473684221</v>
      </c>
      <c r="AC66" s="358">
        <f t="shared" si="1"/>
        <v>0.52565789473684221</v>
      </c>
      <c r="AD66" s="5">
        <f t="shared" si="1"/>
        <v>8.3286184210526346E-2</v>
      </c>
      <c r="AE66" s="13">
        <f t="shared" si="1"/>
        <v>8.5904605263157912</v>
      </c>
    </row>
    <row r="67" spans="1:31" x14ac:dyDescent="0.25">
      <c r="A67" s="812" t="s">
        <v>2001</v>
      </c>
      <c r="B67" s="812">
        <v>2103002000</v>
      </c>
      <c r="C67" s="812" t="s">
        <v>152</v>
      </c>
      <c r="D67" s="133">
        <v>3.4838015202202628E-4</v>
      </c>
      <c r="E67" s="133">
        <v>1.6443543175439636E-4</v>
      </c>
      <c r="F67" s="133">
        <v>3.2399354138048429E-4</v>
      </c>
      <c r="G67" s="133">
        <v>2.7835574146559892E-4</v>
      </c>
      <c r="H67" s="133">
        <v>2.7835574146559892E-4</v>
      </c>
      <c r="I67" s="133">
        <v>4.4103185345228465E-5</v>
      </c>
      <c r="J67" s="133">
        <v>4.5489738350276074E-3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4.1678042526928359E-5</v>
      </c>
      <c r="T67" s="133">
        <v>4.2988351853972644E-3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1.0645223161162031E-3</v>
      </c>
      <c r="E68" s="133">
        <v>4.2325140919862258E-5</v>
      </c>
      <c r="F68" s="133">
        <v>9.227066009456588E-6</v>
      </c>
      <c r="G68" s="133">
        <v>2.9937064250054856E-4</v>
      </c>
      <c r="H68" s="133">
        <v>2.9937064250054856E-4</v>
      </c>
      <c r="I68" s="133">
        <v>1.0961826058757603E-5</v>
      </c>
      <c r="J68" s="133">
        <v>2.1293167390460895E-3</v>
      </c>
      <c r="K68" s="45">
        <v>9.6654102131207296</v>
      </c>
      <c r="L68" s="134">
        <v>0.79814120981799463</v>
      </c>
      <c r="M68" s="45" t="s">
        <v>738</v>
      </c>
      <c r="N68" s="133">
        <v>8.7269646582558823E-4</v>
      </c>
      <c r="O68" s="133">
        <v>3.5510956409239786E-5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1.6802202817214628E-2</v>
      </c>
      <c r="G69" s="135">
        <v>2.3655128992506411E-3</v>
      </c>
      <c r="H69" s="135">
        <v>2.3655128992506411E-3</v>
      </c>
      <c r="I69" s="135">
        <v>1.6537406597149251E-5</v>
      </c>
      <c r="J69" s="135">
        <v>5.6489860280612312E-3</v>
      </c>
      <c r="K69" s="88">
        <v>125.9077778943812</v>
      </c>
      <c r="L69" s="136">
        <v>0.90908142884029708</v>
      </c>
      <c r="M69" s="88" t="s">
        <v>1997</v>
      </c>
      <c r="N69" s="135">
        <v>4.5454071442014893E-4</v>
      </c>
      <c r="O69" s="135">
        <v>2.3729271934124711E-2</v>
      </c>
      <c r="P69" s="135">
        <v>1.6802202817214628E-2</v>
      </c>
      <c r="Q69" s="135">
        <v>2.3655128992506411E-3</v>
      </c>
      <c r="R69" s="135">
        <v>2.3655128992506411E-3</v>
      </c>
      <c r="S69" s="135">
        <v>1.6537406597149251E-5</v>
      </c>
      <c r="T69" s="135">
        <v>5.6489860280612312E-3</v>
      </c>
      <c r="U69" s="88">
        <v>125.9077778943812</v>
      </c>
      <c r="V69" s="136">
        <v>0.90908142884029708</v>
      </c>
      <c r="W69" s="3" t="s">
        <v>1997</v>
      </c>
      <c r="Y69" s="359">
        <f t="shared" si="1"/>
        <v>7.2202166064981978E-3</v>
      </c>
      <c r="Z69" s="360">
        <f t="shared" si="1"/>
        <v>0.37693099395384788</v>
      </c>
      <c r="AA69" s="361">
        <f t="shared" si="1"/>
        <v>0.26689697964980841</v>
      </c>
      <c r="AB69" s="360">
        <f t="shared" si="1"/>
        <v>3.757532598557925E-2</v>
      </c>
      <c r="AC69" s="362">
        <f t="shared" si="1"/>
        <v>3.757532598557925E-2</v>
      </c>
      <c r="AD69" s="360">
        <f t="shared" si="1"/>
        <v>2.6269078644246735E-4</v>
      </c>
      <c r="AE69" s="359">
        <f t="shared" si="1"/>
        <v>8.973212175660715E-2</v>
      </c>
    </row>
    <row r="70" spans="1:31" x14ac:dyDescent="0.25">
      <c r="A70" s="810" t="s">
        <v>2001</v>
      </c>
      <c r="B70" s="810" t="s">
        <v>341</v>
      </c>
      <c r="C70" s="810"/>
      <c r="D70" s="137">
        <v>10.898969792647243</v>
      </c>
      <c r="E70" s="137">
        <v>2.9801616605873886</v>
      </c>
      <c r="F70" s="137">
        <v>4.6277167164256232</v>
      </c>
      <c r="G70" s="137">
        <v>3.1340180051306423</v>
      </c>
      <c r="H70" s="137">
        <v>3.1340180051306423</v>
      </c>
      <c r="I70" s="137">
        <v>0.16057205929976648</v>
      </c>
      <c r="J70" s="137">
        <v>33.312413851631121</v>
      </c>
      <c r="K70" s="87">
        <v>59218.236440854096</v>
      </c>
      <c r="L70" s="87"/>
      <c r="M70" s="87"/>
      <c r="N70" s="137">
        <v>9.814959839485768</v>
      </c>
      <c r="O70" s="137">
        <v>2.7814962403692385</v>
      </c>
      <c r="P70" s="137">
        <v>4.2879681016873104</v>
      </c>
      <c r="Q70" s="137">
        <v>2.7871537290324624</v>
      </c>
      <c r="R70" s="137">
        <v>2.7871537290324624</v>
      </c>
      <c r="S70" s="137">
        <v>0.14626704785272238</v>
      </c>
      <c r="T70" s="137">
        <v>29.383662255069058</v>
      </c>
      <c r="U70" s="87">
        <v>55147.800523801328</v>
      </c>
      <c r="Y70" s="13">
        <f t="shared" si="1"/>
        <v>0.35595108948179044</v>
      </c>
      <c r="Z70" s="5">
        <f t="shared" si="1"/>
        <v>0.10087424027613823</v>
      </c>
      <c r="AA70" s="357">
        <f t="shared" si="1"/>
        <v>0.15550821831368086</v>
      </c>
      <c r="AB70" s="5">
        <f t="shared" si="1"/>
        <v>0.10107941577215034</v>
      </c>
      <c r="AC70" s="358">
        <f t="shared" si="1"/>
        <v>0.10107941577215034</v>
      </c>
      <c r="AD70" s="5">
        <f t="shared" si="1"/>
        <v>5.3045469252974015E-3</v>
      </c>
      <c r="AE70" s="13">
        <f t="shared" si="1"/>
        <v>1.0656331522192735</v>
      </c>
    </row>
    <row r="71" spans="1:31" x14ac:dyDescent="0.25">
      <c r="R71" s="133"/>
      <c r="T71" s="1" t="s">
        <v>1452</v>
      </c>
      <c r="U71" s="45">
        <f>SUM(U50:U60,U62:U64,U66)</f>
        <v>41080.399390077466</v>
      </c>
      <c r="V71" t="s">
        <v>2002</v>
      </c>
    </row>
    <row r="72" spans="1:31" x14ac:dyDescent="0.25">
      <c r="L72" s="134"/>
      <c r="U72" s="45">
        <f ca="1">U71/OFFSET(Devices!$BH$41,0,MATCH(VALUE(RIGHT(A2,4)),Devices!$BI$39:$CG$39,0))*10^6</f>
        <v>939401.57910007215</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7.94837558175856</v>
      </c>
      <c r="O74" s="133">
        <f t="shared" si="2"/>
        <v>0.20904310444744117</v>
      </c>
      <c r="P74" s="133">
        <f t="shared" si="2"/>
        <v>0.14672587902759335</v>
      </c>
      <c r="Q74" s="133">
        <f>SUM(Q50,Q51,Q54, Q59,Q66)</f>
        <v>1.5471068721181784</v>
      </c>
      <c r="R74" s="133">
        <f t="shared" ref="R74:U74" si="3">SUM(R50,R51,R54, R59,R66)</f>
        <v>1.5471068721181784</v>
      </c>
      <c r="S74" s="133">
        <f t="shared" si="3"/>
        <v>7.5641563764356212E-2</v>
      </c>
      <c r="T74" s="133">
        <f t="shared" si="3"/>
        <v>13.078480449391408</v>
      </c>
      <c r="U74" s="45">
        <f t="shared" si="3"/>
        <v>3062.9858551594994</v>
      </c>
      <c r="Y74" s="13">
        <f t="shared" ref="Y74:AE80" si="4">N74/$U74*2000</f>
        <v>5.1899525218960978</v>
      </c>
      <c r="Z74" s="5">
        <f t="shared" si="4"/>
        <v>0.13649629109146222</v>
      </c>
      <c r="AA74" s="357">
        <f t="shared" si="4"/>
        <v>9.5805782962032571E-2</v>
      </c>
      <c r="AB74" s="5">
        <f t="shared" si="4"/>
        <v>1.0101952442987143</v>
      </c>
      <c r="AC74" s="358">
        <f t="shared" si="4"/>
        <v>1.0101952442987143</v>
      </c>
      <c r="AD74" s="5">
        <f t="shared" si="4"/>
        <v>4.9390736582697881E-2</v>
      </c>
      <c r="AE74" s="13">
        <f t="shared" si="4"/>
        <v>8.5396936635284391</v>
      </c>
    </row>
    <row r="75" spans="1:31" x14ac:dyDescent="0.25">
      <c r="M75" s="1" t="s">
        <v>2006</v>
      </c>
      <c r="N75" s="133">
        <f t="shared" ref="N75:U75" si="5">SUM(N52:N53,N55:N56)</f>
        <v>1.6898606308043211</v>
      </c>
      <c r="O75" s="133">
        <f t="shared" si="5"/>
        <v>0.20946652211257272</v>
      </c>
      <c r="P75" s="133">
        <f t="shared" si="5"/>
        <v>5.1490995363271924E-2</v>
      </c>
      <c r="Q75" s="133">
        <f t="shared" si="5"/>
        <v>1.0871292600276767</v>
      </c>
      <c r="R75" s="133">
        <f t="shared" si="5"/>
        <v>1.0871292600276767</v>
      </c>
      <c r="S75" s="133">
        <f t="shared" si="5"/>
        <v>3.6079557517899256E-2</v>
      </c>
      <c r="T75" s="133">
        <f t="shared" si="5"/>
        <v>15.942930421123709</v>
      </c>
      <c r="U75" s="45">
        <f t="shared" si="5"/>
        <v>4133.4737426763495</v>
      </c>
      <c r="Y75" s="13">
        <f t="shared" si="4"/>
        <v>0.81764672331517796</v>
      </c>
      <c r="Z75" s="5">
        <f t="shared" si="4"/>
        <v>0.10135132585937122</v>
      </c>
      <c r="AA75" s="357">
        <f t="shared" si="4"/>
        <v>2.4914151422639707E-2</v>
      </c>
      <c r="AB75" s="5">
        <f t="shared" si="4"/>
        <v>0.52601241846707858</v>
      </c>
      <c r="AC75" s="358">
        <f t="shared" si="4"/>
        <v>0.52601241846707858</v>
      </c>
      <c r="AD75" s="5">
        <f t="shared" si="4"/>
        <v>1.7457257388812344E-2</v>
      </c>
      <c r="AE75" s="13">
        <f t="shared" si="4"/>
        <v>7.714059124904928</v>
      </c>
    </row>
    <row r="76" spans="1:31" x14ac:dyDescent="0.25">
      <c r="M76" s="1" t="s">
        <v>2007</v>
      </c>
      <c r="N76" s="133">
        <f t="shared" ref="N76:U76" si="6">SUM(N60,N62:N63)</f>
        <v>8.7551895382641742E-2</v>
      </c>
      <c r="O76" s="133">
        <f t="shared" si="6"/>
        <v>1.3773411096317714</v>
      </c>
      <c r="P76" s="133">
        <f t="shared" si="6"/>
        <v>3.549054078755598</v>
      </c>
      <c r="Q76" s="133">
        <f t="shared" si="6"/>
        <v>5.602113439428931E-2</v>
      </c>
      <c r="R76" s="133">
        <f t="shared" si="6"/>
        <v>5.602113439428931E-2</v>
      </c>
      <c r="S76" s="133">
        <f t="shared" si="6"/>
        <v>3.0080073791893436E-3</v>
      </c>
      <c r="T76" s="133">
        <f t="shared" si="6"/>
        <v>5.4992617044204044E-2</v>
      </c>
      <c r="U76" s="45">
        <f t="shared" si="6"/>
        <v>32914.209841563883</v>
      </c>
      <c r="V76" s="134">
        <f t="shared" ref="V76" si="7">SUM(V60,V62:V63)</f>
        <v>245.58736432718581</v>
      </c>
      <c r="W76" t="s">
        <v>1997</v>
      </c>
      <c r="Y76" s="13">
        <f t="shared" si="4"/>
        <v>5.3200059065116427E-3</v>
      </c>
      <c r="Z76" s="5">
        <f t="shared" si="4"/>
        <v>8.3692795073115972E-2</v>
      </c>
      <c r="AA76" s="357">
        <f t="shared" si="4"/>
        <v>0.21565482482121578</v>
      </c>
      <c r="AB76" s="5">
        <f t="shared" si="4"/>
        <v>3.4040698326925126E-3</v>
      </c>
      <c r="AC76" s="358">
        <f t="shared" si="4"/>
        <v>3.4040698326925126E-3</v>
      </c>
      <c r="AD76" s="5">
        <f t="shared" si="4"/>
        <v>1.8277864750019599E-4</v>
      </c>
      <c r="AE76" s="13">
        <f t="shared" si="4"/>
        <v>3.3415729746463286E-3</v>
      </c>
    </row>
    <row r="77" spans="1:31" x14ac:dyDescent="0.25">
      <c r="M77" s="1" t="s">
        <v>2008</v>
      </c>
      <c r="N77" s="133">
        <f t="shared" ref="N77:U77" si="8">N61</f>
        <v>2.88962564137231E-2</v>
      </c>
      <c r="O77" s="133">
        <f t="shared" si="8"/>
        <v>0.72949875939272923</v>
      </c>
      <c r="P77" s="133">
        <f t="shared" si="8"/>
        <v>0.51564214530586516</v>
      </c>
      <c r="Q77" s="133">
        <f t="shared" si="8"/>
        <v>1.8504834317480963E-2</v>
      </c>
      <c r="R77" s="133">
        <f t="shared" si="8"/>
        <v>1.8504834317480963E-2</v>
      </c>
      <c r="S77" s="133">
        <f t="shared" si="8"/>
        <v>9.9278436113285433E-4</v>
      </c>
      <c r="T77" s="133">
        <f t="shared" si="8"/>
        <v>1.8150158326395913E-2</v>
      </c>
      <c r="U77" s="45">
        <f t="shared" si="8"/>
        <v>11226.175352876997</v>
      </c>
      <c r="Y77" s="13">
        <f t="shared" si="4"/>
        <v>5.1480144404332127E-3</v>
      </c>
      <c r="Z77" s="5">
        <f t="shared" si="4"/>
        <v>0.12996389891696755</v>
      </c>
      <c r="AA77" s="357">
        <f t="shared" si="4"/>
        <v>9.1864259927797856E-2</v>
      </c>
      <c r="AB77" s="5">
        <f t="shared" si="4"/>
        <v>3.2967299611507714E-3</v>
      </c>
      <c r="AC77" s="358">
        <f t="shared" si="4"/>
        <v>3.2967299611507714E-3</v>
      </c>
      <c r="AD77" s="5">
        <f t="shared" si="4"/>
        <v>1.76869562415739E-4</v>
      </c>
      <c r="AE77" s="13">
        <f t="shared" si="4"/>
        <v>3.2335426368953818E-3</v>
      </c>
    </row>
    <row r="78" spans="1:31" x14ac:dyDescent="0.25">
      <c r="M78" s="1" t="s">
        <v>2009</v>
      </c>
      <c r="N78" s="133">
        <f t="shared" ref="N78:U78" si="9">SUM(N50:N59,N68)</f>
        <v>9.5680884364271197</v>
      </c>
      <c r="O78" s="133">
        <f t="shared" si="9"/>
        <v>0.44959885416200224</v>
      </c>
      <c r="P78" s="133">
        <f t="shared" si="9"/>
        <v>9.2120317136523452E-2</v>
      </c>
      <c r="Q78" s="133">
        <f t="shared" si="9"/>
        <v>2.6026793670715174</v>
      </c>
      <c r="R78" s="133">
        <f t="shared" si="9"/>
        <v>2.6026793670715174</v>
      </c>
      <c r="S78" s="133">
        <f t="shared" si="9"/>
        <v>9.7913695994670882E-2</v>
      </c>
      <c r="T78" s="133">
        <f t="shared" si="9"/>
        <v>27.653759990762648</v>
      </c>
      <c r="U78" s="45">
        <f t="shared" si="9"/>
        <v>7512.3923584139702</v>
      </c>
      <c r="V78" s="134">
        <f t="shared" ref="V78" si="10">V61</f>
        <v>83.645928511169259</v>
      </c>
      <c r="W78" t="s">
        <v>1997</v>
      </c>
      <c r="Y78" s="13">
        <f t="shared" si="4"/>
        <v>2.5472813399344734</v>
      </c>
      <c r="Z78" s="5">
        <f t="shared" si="4"/>
        <v>0.11969525357882728</v>
      </c>
      <c r="AA78" s="357">
        <f t="shared" si="4"/>
        <v>2.4524895064445773E-2</v>
      </c>
      <c r="AB78" s="5">
        <f t="shared" si="4"/>
        <v>0.69290293767909639</v>
      </c>
      <c r="AC78" s="358">
        <f t="shared" si="4"/>
        <v>0.69290293767909639</v>
      </c>
      <c r="AD78" s="5">
        <f t="shared" si="4"/>
        <v>2.6067247641826472E-2</v>
      </c>
      <c r="AE78" s="13">
        <f t="shared" si="4"/>
        <v>7.3621713753515818</v>
      </c>
    </row>
    <row r="79" spans="1:31" x14ac:dyDescent="0.25">
      <c r="M79" s="1" t="s">
        <v>2010</v>
      </c>
      <c r="N79" s="133">
        <f>SUM(N64,N65,N66,N67,N69)</f>
        <v>0.13042325126228324</v>
      </c>
      <c r="O79" s="133">
        <f t="shared" ref="O79:U79" si="11">SUM(O64,O65,O66,O67,O69)</f>
        <v>0.22505751718273539</v>
      </c>
      <c r="P79" s="133">
        <f t="shared" si="11"/>
        <v>0.13115156048932264</v>
      </c>
      <c r="Q79" s="133">
        <f t="shared" si="11"/>
        <v>0.10994839324917438</v>
      </c>
      <c r="R79" s="133">
        <f t="shared" si="11"/>
        <v>0.10994839324917438</v>
      </c>
      <c r="S79" s="133">
        <f t="shared" si="11"/>
        <v>4.4352560117729312E-2</v>
      </c>
      <c r="T79" s="133">
        <f t="shared" si="11"/>
        <v>1.656759488935809</v>
      </c>
      <c r="U79" s="45">
        <f t="shared" si="11"/>
        <v>3495.0229709464688</v>
      </c>
      <c r="V79" s="134">
        <f t="shared" ref="V79" si="12">SUM(V50:V59,V68)</f>
        <v>668.41554609935542</v>
      </c>
      <c r="W79" t="s">
        <v>2011</v>
      </c>
      <c r="Y79" s="13">
        <f t="shared" si="4"/>
        <v>7.4633701893503726E-2</v>
      </c>
      <c r="Z79" s="5">
        <f t="shared" si="4"/>
        <v>0.12878743233083173</v>
      </c>
      <c r="AA79" s="357">
        <f t="shared" si="4"/>
        <v>7.5050471244145323E-2</v>
      </c>
      <c r="AB79" s="5">
        <f t="shared" si="4"/>
        <v>6.2917121954938024E-2</v>
      </c>
      <c r="AC79" s="358">
        <f t="shared" si="4"/>
        <v>6.2917121954938024E-2</v>
      </c>
      <c r="AD79" s="5">
        <f t="shared" si="4"/>
        <v>2.5380411222715612E-2</v>
      </c>
      <c r="AE79" s="13">
        <f t="shared" si="4"/>
        <v>0.94806786834202161</v>
      </c>
    </row>
    <row r="80" spans="1:31" x14ac:dyDescent="0.25">
      <c r="M80" s="1" t="s">
        <v>2012</v>
      </c>
      <c r="N80" s="133">
        <f>SUM(N76:N79)</f>
        <v>9.8149598394857662</v>
      </c>
      <c r="O80" s="133">
        <f t="shared" ref="O80:U80" si="13">SUM(O76:O79)</f>
        <v>2.7814962403692385</v>
      </c>
      <c r="P80" s="133">
        <f t="shared" si="13"/>
        <v>4.2879681016873095</v>
      </c>
      <c r="Q80" s="133">
        <f t="shared" si="13"/>
        <v>2.7871537290324619</v>
      </c>
      <c r="R80" s="133">
        <f t="shared" si="13"/>
        <v>2.7871537290324619</v>
      </c>
      <c r="S80" s="133">
        <f t="shared" si="13"/>
        <v>0.14626704785272238</v>
      </c>
      <c r="T80" s="133">
        <f t="shared" si="13"/>
        <v>29.383662255069055</v>
      </c>
      <c r="U80" s="45">
        <f t="shared" si="13"/>
        <v>55147.800523801321</v>
      </c>
      <c r="Y80" s="13">
        <f t="shared" si="4"/>
        <v>0.35595108948179044</v>
      </c>
      <c r="Z80" s="5">
        <f t="shared" si="4"/>
        <v>0.10087424027613824</v>
      </c>
      <c r="AA80" s="357">
        <f t="shared" si="4"/>
        <v>0.15550821831368086</v>
      </c>
      <c r="AB80" s="5">
        <f t="shared" si="4"/>
        <v>0.10107941577215034</v>
      </c>
      <c r="AC80" s="358">
        <f t="shared" si="4"/>
        <v>0.10107941577215034</v>
      </c>
      <c r="AD80" s="5">
        <f t="shared" si="4"/>
        <v>5.3045469252974023E-3</v>
      </c>
      <c r="AE80" s="13">
        <f t="shared" si="4"/>
        <v>1.0656331522192735</v>
      </c>
    </row>
    <row r="82" spans="20:23" x14ac:dyDescent="0.25">
      <c r="V82" s="38">
        <f>V79/Lookup!B37</f>
        <v>397.21488299768669</v>
      </c>
      <c r="W82" t="s">
        <v>2013</v>
      </c>
    </row>
    <row r="83" spans="20:23" x14ac:dyDescent="0.25">
      <c r="T83" s="1" t="s">
        <v>2014</v>
      </c>
      <c r="U83" s="13">
        <v>1.930282922015446</v>
      </c>
      <c r="V83" s="45">
        <f>V82*365/U83</f>
        <v>75109.938880242291</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1320-AD4F-41AD-9E00-677370140B08}">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2021</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0.1</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0.3</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2021BSR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0.65165628507835227</v>
      </c>
      <c r="D9" s="5">
        <f ca="1">INDIRECT("'DevSumOut-"&amp;$B$2&amp;"BSR'!P50")</f>
        <v>7.5335986714260388E-3</v>
      </c>
      <c r="E9" s="5">
        <f ca="1">OFFSET('WSCOReductions-5PctSIP'!$U$81,0,MATCH($B$2,'WSCOReductions-5PctSIP'!$X$78:$AQ$78,1)+2)</f>
        <v>0.18626152135269536</v>
      </c>
      <c r="F9" s="5">
        <f ca="1">OFFSET('WSCOReductions-5PctSIP'!$U$84,0,MATCH($B$2,'WSCOReductions-5PctSIP'!$X$78:$AQ$78,1)+2)</f>
        <v>3.8304675565768677E-4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9.5875139353400224E-2</v>
      </c>
      <c r="N9" s="5">
        <f ca="1">'BACM-R8'!O153*($B$2-$M$3+1)*$M$4/SCCRedFacsFull!$M$4</f>
        <v>9.5875139353400238E-2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0.36636182392372196</v>
      </c>
      <c r="Z9" s="510">
        <f ca="1">1-(1-F9)*(1-H9)*(1-J9)*(1-L9)*(1-N9)*(1-P9)*(1-R9)*(1-T9)*(1-X9)</f>
        <v>0.22162281906395975</v>
      </c>
      <c r="AA9" s="617">
        <f ca="1">VLOOKUP($B9,INDIRECT("'CurtailCalcs"&amp;$B$2&amp;"-2Stage'!$AS$91:$BE$109"),10,FALSE)</f>
        <v>0</v>
      </c>
      <c r="AB9" s="617">
        <f ca="1">VLOOKUP($B9,INDIRECT("'CurtailCalcs"&amp;$B$2&amp;"-2Stage'!$AS$91:$BE$109"),11,FALSE)</f>
        <v>0.28795766284735747</v>
      </c>
      <c r="AC9" s="617">
        <f ca="1">VLOOKUP($B9,INDIRECT("'CurtailCalcs"&amp;$B$2&amp;"-2Stage'!$AS$91:$BE$109"),12,FALSE)</f>
        <v>0</v>
      </c>
      <c r="AD9" s="617">
        <f ca="1">VLOOKUP($B9,INDIRECT("'CurtailCalcs"&amp;$B$2&amp;"-2Stage'!$AS$91:$BE$109"),13,FALSE)</f>
        <v>5.6185178519436274E-2</v>
      </c>
      <c r="AE9" s="510">
        <f ca="1">1-(1-$Y9)*(1-AA9)</f>
        <v>0.36636182392372196</v>
      </c>
      <c r="AF9" s="510">
        <f ca="1">1-(1-$Y9)*(1-AB9)</f>
        <v>0.54882279219750929</v>
      </c>
      <c r="AG9" s="510">
        <f ca="1">1-(1-$Z9)*(1-AC9)</f>
        <v>0.22162281906395975</v>
      </c>
      <c r="AH9" s="510">
        <f ca="1">1-(1-$Z9)*(1-AD9)</f>
        <v>0.26535607993030674</v>
      </c>
      <c r="AI9" s="530">
        <f ca="1">(Y9*$AJ$3+AE9*$AJ$4+AF9*$AJ$5)/35</f>
        <v>0.46019889332166963</v>
      </c>
      <c r="AJ9" s="530">
        <f ca="1">(Z9*$AJ$3+AG9*$AJ$4+AH9*$AJ$5)/35</f>
        <v>0.24411421036665248</v>
      </c>
    </row>
    <row r="10" spans="1:36" x14ac:dyDescent="0.25">
      <c r="A10" s="812" t="s">
        <v>138</v>
      </c>
      <c r="B10" s="812">
        <v>2104008210</v>
      </c>
      <c r="C10" s="5">
        <f ca="1">INDIRECT("'DevSumOut-"&amp;$B$2&amp;"BSR'!R51")</f>
        <v>5.085938902969421E-2</v>
      </c>
      <c r="D10" s="5">
        <f ca="1">INDIRECT("'DevSumOut-"&amp;$B$2&amp;"BSR'!P51")</f>
        <v>6.6482861476724472E-4</v>
      </c>
      <c r="E10" s="5">
        <f ca="1">OFFSET('WSCOReductions-5PctSIP'!$U$81,0,MATCH($B$2,'WSCOReductions-5PctSIP'!$X$78:$AQ$78,1)+2)</f>
        <v>0.18626152135269536</v>
      </c>
      <c r="F10" s="5">
        <f ca="1">OFFSET('WSCOReductions-5PctSIP'!$U$84,0,MATCH($B$2,'WSCOReductions-5PctSIP'!$X$78:$AQ$78,1)+2)</f>
        <v>3.8304675565768677E-4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0.16216216216216217</v>
      </c>
      <c r="N10" s="5">
        <f ca="1">'BACM-R8'!O154*($B$2-$M$3+1)*$M$4/SCCRedFacsFull!$M$4</f>
        <v>0.16216216216216217</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0.41249632736012809</v>
      </c>
      <c r="Z10" s="510">
        <f t="shared" ca="1" si="0"/>
        <v>0.27829561133648695</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-1.0366561227460789</v>
      </c>
      <c r="AD10" s="617">
        <f ca="1">VLOOKUP($B10,INDIRECT("'CurtailCalcs"&amp;$B$2&amp;"-2Stage'!$AS$91:$BE$109"),13,FALSE)</f>
        <v>-1.0366561227460789</v>
      </c>
      <c r="AE10" s="510">
        <f t="shared" ref="AE10:AF26" ca="1" si="1">1-(1-$Y10)*(1-AA10)</f>
        <v>0.58153667287681388</v>
      </c>
      <c r="AF10" s="510">
        <f t="shared" ca="1" si="1"/>
        <v>0.58153667287681388</v>
      </c>
      <c r="AG10" s="510">
        <f t="shared" ref="AG10:AH26" ca="1" si="2">1-(1-$Z10)*(1-AC10)</f>
        <v>-0.46986366198425955</v>
      </c>
      <c r="AH10" s="510">
        <f t="shared" ca="1" si="2"/>
        <v>-0.46986366198425955</v>
      </c>
      <c r="AI10" s="530">
        <f t="shared" ref="AI10:AI26" ca="1" si="3">(Y10*$AJ$3+AE10*$AJ$4+AF10*$AJ$5)/35</f>
        <v>0.53806915545823752</v>
      </c>
      <c r="AJ10" s="530">
        <f t="shared" ref="AJ10:AJ26" ca="1" si="4">(Z10*$AJ$3+AG10*$AJ$4+AH10*$AJ$5)/35</f>
        <v>-0.277479848844639</v>
      </c>
    </row>
    <row r="11" spans="1:36" x14ac:dyDescent="0.25">
      <c r="A11" s="812" t="s">
        <v>139</v>
      </c>
      <c r="B11" s="812">
        <v>2104008220</v>
      </c>
      <c r="C11" s="5">
        <f ca="1">INDIRECT("'DevSumOut-"&amp;$B$2&amp;"BSR'!R52")</f>
        <v>4.1992230211696527E-2</v>
      </c>
      <c r="D11" s="5">
        <f ca="1">INDIRECT("'DevSumOut-"&amp;$B$2&amp;"BSR'!P52")</f>
        <v>1.399741007056551E-3</v>
      </c>
      <c r="E11" s="5">
        <f ca="1">OFFSET('WSCOReductions-5PctSIP'!$U$81,0,MATCH($B$2,'WSCOReductions-5PctSIP'!$X$78:$AQ$78,1)+2)</f>
        <v>0.18626152135269536</v>
      </c>
      <c r="F11" s="5">
        <f ca="1">OFFSET('WSCOReductions-5PctSIP'!$U$84,0,MATCH($B$2,'WSCOReductions-5PctSIP'!$X$78:$AQ$78,1)+2)</f>
        <v>3.8304675565768677E-4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6.6892322060090686E-2</v>
      </c>
      <c r="N11" s="5">
        <f ca="1">'BACM-R8'!O155*($B$2-$M$3+1)*$M$4/SCCRedFacsFull!$M$4</f>
        <v>2.2191079758707887E-2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0.87431077236000165</v>
      </c>
      <c r="Z11" s="510">
        <f t="shared" ca="1" si="0"/>
        <v>0.82866273737622476</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0.91128906319692038</v>
      </c>
      <c r="AF11" s="510">
        <f t="shared" ca="1" si="1"/>
        <v>0.91036460592599744</v>
      </c>
      <c r="AG11" s="510">
        <f t="shared" ca="1" si="2"/>
        <v>0.49518197589270863</v>
      </c>
      <c r="AH11" s="510">
        <f t="shared" ca="1" si="2"/>
        <v>0.50351899492979646</v>
      </c>
      <c r="AI11" s="530">
        <f t="shared" ca="1" si="3"/>
        <v>0.90130492467095236</v>
      </c>
      <c r="AJ11" s="530">
        <f t="shared" ca="1" si="4"/>
        <v>0.58522178149325799</v>
      </c>
    </row>
    <row r="12" spans="1:36" x14ac:dyDescent="0.25">
      <c r="A12" s="812" t="s">
        <v>140</v>
      </c>
      <c r="B12" s="812">
        <v>2104008230</v>
      </c>
      <c r="C12" s="5">
        <f ca="1">INDIRECT("'DevSumOut-"&amp;$B$2&amp;"BSR'!R53")</f>
        <v>2.7389263606043691E-2</v>
      </c>
      <c r="D12" s="5">
        <f ca="1">INDIRECT("'DevSumOut-"&amp;$B$2&amp;"BSR'!P53")</f>
        <v>8.4274657249365211E-4</v>
      </c>
      <c r="E12" s="5">
        <f ca="1">OFFSET('WSCOReductions-5PctSIP'!$U$81,0,MATCH($B$2,'WSCOReductions-5PctSIP'!$X$78:$AQ$78,1)+2)</f>
        <v>0.18626152135269536</v>
      </c>
      <c r="F12" s="5">
        <f ca="1">OFFSET('WSCOReductions-5PctSIP'!$U$84,0,MATCH($B$2,'WSCOReductions-5PctSIP'!$X$78:$AQ$78,1)+2)</f>
        <v>3.8304675565768677E-4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6.6892322060090714E-2</v>
      </c>
      <c r="N12" s="5">
        <f ca="1">'BACM-R8'!O156*($B$2-$M$3+1)*$M$4/SCCRedFacsFull!$M$4</f>
        <v>2.4040336405266892E-2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1.9672510559509311E-3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0.87455803462579795</v>
      </c>
      <c r="Z12" s="510">
        <f t="shared" ca="1" si="0"/>
        <v>0.8960344913605196</v>
      </c>
      <c r="AA12" s="617">
        <f t="shared" ca="1" si="5"/>
        <v>0.29422890297323068</v>
      </c>
      <c r="AB12" s="617">
        <f t="shared" ca="1" si="6"/>
        <v>0.28687318039889997</v>
      </c>
      <c r="AC12" s="617">
        <f t="shared" ca="1" si="7"/>
        <v>-2.0822032972365507</v>
      </c>
      <c r="AD12" s="617">
        <f t="shared" ca="1" si="8"/>
        <v>-2.0301482148056373</v>
      </c>
      <c r="AE12" s="510">
        <f t="shared" ca="1" si="1"/>
        <v>0.91146668648465545</v>
      </c>
      <c r="AF12" s="510">
        <f t="shared" ca="1" si="1"/>
        <v>0.910543970188184</v>
      </c>
      <c r="AG12" s="510">
        <f t="shared" ca="1" si="2"/>
        <v>0.6795571664725184</v>
      </c>
      <c r="AH12" s="510">
        <f t="shared" ca="1" si="2"/>
        <v>0.68496909959471841</v>
      </c>
      <c r="AI12" s="530">
        <f t="shared" ca="1" si="3"/>
        <v>0.90150135048276392</v>
      </c>
      <c r="AJ12" s="530">
        <f t="shared" ca="1" si="4"/>
        <v>0.73800604419227878</v>
      </c>
    </row>
    <row r="13" spans="1:36" x14ac:dyDescent="0.25">
      <c r="A13" s="812" t="s">
        <v>141</v>
      </c>
      <c r="B13" s="812">
        <v>2104008310</v>
      </c>
      <c r="C13" s="5">
        <f ca="1">INDIRECT("'DevSumOut-"&amp;$B$2&amp;"BSR'!R54")</f>
        <v>0.4095560731354313</v>
      </c>
      <c r="D13" s="5">
        <f ca="1">INDIRECT("'DevSumOut-"&amp;$B$2&amp;"BSR'!P54")</f>
        <v>1.3492178618141309E-2</v>
      </c>
      <c r="E13" s="5">
        <f ca="1">OFFSET('WSCOReductions-5PctSIP'!$U$81,0,MATCH($B$2,'WSCOReductions-5PctSIP'!$X$78:$AQ$78,1)+2)</f>
        <v>0.18626152135269536</v>
      </c>
      <c r="F13" s="5">
        <f ca="1">OFFSET('WSCOReductions-5PctSIP'!$U$84,0,MATCH($B$2,'WSCOReductions-5PctSIP'!$X$78:$AQ$78,1)+2)</f>
        <v>3.8304675565768677E-4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0.15450643776824033</v>
      </c>
      <c r="N13" s="5">
        <f ca="1">'BACM-R8'!O157*($B$2-$M$3+1)*$M$4/SCCRedFacsFull!$M$4</f>
        <v>0.15450643776824033</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0.32805821700411564</v>
      </c>
      <c r="Z13" s="510">
        <f t="shared" ca="1" si="0"/>
        <v>0.17419682054161045</v>
      </c>
      <c r="AA13" s="617">
        <f t="shared" ca="1" si="5"/>
        <v>0.28706931613340037</v>
      </c>
      <c r="AB13" s="617">
        <f t="shared" ca="1" si="6"/>
        <v>0.28706931613340037</v>
      </c>
      <c r="AC13" s="617">
        <f t="shared" ca="1" si="7"/>
        <v>-1.500285765707206</v>
      </c>
      <c r="AD13" s="617">
        <f t="shared" ca="1" si="8"/>
        <v>-1.500285765707206</v>
      </c>
      <c r="AE13" s="510">
        <f t="shared" ca="1" si="1"/>
        <v>0.52095208513020186</v>
      </c>
      <c r="AF13" s="510">
        <f t="shared" ca="1" si="1"/>
        <v>0.52095208513020186</v>
      </c>
      <c r="AG13" s="510">
        <f t="shared" ca="1" si="2"/>
        <v>-1.0647439348755645</v>
      </c>
      <c r="AH13" s="510">
        <f t="shared" ca="1" si="2"/>
        <v>-1.0647439348755645</v>
      </c>
      <c r="AI13" s="530">
        <f t="shared" ca="1" si="3"/>
        <v>0.47135080475492258</v>
      </c>
      <c r="AJ13" s="530">
        <f t="shared" ca="1" si="4"/>
        <v>-0.74615916919686243</v>
      </c>
    </row>
    <row r="14" spans="1:36" x14ac:dyDescent="0.25">
      <c r="A14" s="812" t="s">
        <v>142</v>
      </c>
      <c r="B14" s="812">
        <v>2104008320</v>
      </c>
      <c r="C14" s="5">
        <f ca="1">INDIRECT("'DevSumOut-"&amp;$B$2&amp;"BSR'!R55")</f>
        <v>0.56281570584807661</v>
      </c>
      <c r="D14" s="5">
        <f ca="1">INDIRECT("'DevSumOut-"&amp;$B$2&amp;"BSR'!P55")</f>
        <v>2.8406652882947556E-2</v>
      </c>
      <c r="E14" s="5">
        <f ca="1">OFFSET('WSCOReductions-5PctSIP'!$U$81,0,MATCH($B$2,'WSCOReductions-5PctSIP'!$X$78:$AQ$78,1)+2)</f>
        <v>0.18626152135269536</v>
      </c>
      <c r="F14" s="5">
        <f ca="1">OFFSET('WSCOReductions-5PctSIP'!$U$84,0,MATCH($B$2,'WSCOReductions-5PctSIP'!$X$78:$AQ$78,1)+2)</f>
        <v>3.8304675565768677E-4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3.4540910642295558E-2</v>
      </c>
      <c r="N14" s="5">
        <f ca="1">'BACM-R8'!O158*($B$2-$M$3+1)*$M$4/SCCRedFacsFull!$M$4</f>
        <v>-9.6883947794498861E-3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0.32428875321471384</v>
      </c>
      <c r="Z14" s="510">
        <f t="shared" ca="1" si="0"/>
        <v>0.12632691373452642</v>
      </c>
      <c r="AA14" s="617">
        <f t="shared" ca="1" si="5"/>
        <v>0.2935430045257772</v>
      </c>
      <c r="AB14" s="617">
        <f t="shared" ca="1" si="6"/>
        <v>0.28620442941263291</v>
      </c>
      <c r="AC14" s="617">
        <f t="shared" ca="1" si="7"/>
        <v>-2.0142722140188036</v>
      </c>
      <c r="AD14" s="617">
        <f t="shared" ca="1" si="8"/>
        <v>-1.9639154086683339</v>
      </c>
      <c r="AE14" s="510">
        <f t="shared" ca="1" si="1"/>
        <v>0.5226390627879256</v>
      </c>
      <c r="AF14" s="510">
        <f t="shared" ca="1" si="1"/>
        <v>0.51768030504859541</v>
      </c>
      <c r="AG14" s="510">
        <f t="shared" ca="1" si="2"/>
        <v>-1.6334885080660704</v>
      </c>
      <c r="AH14" s="510">
        <f t="shared" ca="1" si="2"/>
        <v>-1.5894931225210556</v>
      </c>
      <c r="AI14" s="530">
        <f t="shared" ca="1" si="3"/>
        <v>0.46908447920315849</v>
      </c>
      <c r="AJ14" s="530">
        <f t="shared" ca="1" si="4"/>
        <v>-1.1583383441799091</v>
      </c>
    </row>
    <row r="15" spans="1:36" x14ac:dyDescent="0.25">
      <c r="A15" s="812" t="s">
        <v>143</v>
      </c>
      <c r="B15" s="812">
        <v>2104008330</v>
      </c>
      <c r="C15" s="5">
        <f ca="1">INDIRECT("'DevSumOut-"&amp;$B$2&amp;"BSR'!R56")</f>
        <v>0.37599119611384829</v>
      </c>
      <c r="D15" s="5">
        <f ca="1">INDIRECT("'DevSumOut-"&amp;$B$2&amp;"BSR'!P56")</f>
        <v>1.7102884914018811E-2</v>
      </c>
      <c r="E15" s="5">
        <f ca="1">OFFSET('WSCOReductions-5PctSIP'!$U$81,0,MATCH($B$2,'WSCOReductions-5PctSIP'!$X$78:$AQ$78,1)+2)</f>
        <v>0.18626152135269536</v>
      </c>
      <c r="F15" s="5">
        <f ca="1">OFFSET('WSCOReductions-5PctSIP'!$U$84,0,MATCH($B$2,'WSCOReductions-5PctSIP'!$X$78:$AQ$78,1)+2)</f>
        <v>3.8304675565768677E-4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3.4540910642295544E-2</v>
      </c>
      <c r="N15" s="5">
        <f ca="1">'BACM-R8'!O159*($B$2-$M$3+1)*$M$4/SCCRedFacsFull!$M$4</f>
        <v>-1.0750136673088231E-2</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0.32428875321471384</v>
      </c>
      <c r="Z15" s="510">
        <f t="shared" ca="1" si="0"/>
        <v>0.14028723176776015</v>
      </c>
      <c r="AA15" s="617">
        <f t="shared" ca="1" si="5"/>
        <v>0.29362726123173721</v>
      </c>
      <c r="AB15" s="617">
        <f t="shared" ca="1" si="6"/>
        <v>0.28628657970094373</v>
      </c>
      <c r="AC15" s="617">
        <f t="shared" ca="1" si="7"/>
        <v>-2.1501343804542983</v>
      </c>
      <c r="AD15" s="617">
        <f t="shared" ca="1" si="8"/>
        <v>-2.0963810209429412</v>
      </c>
      <c r="AE15" s="510">
        <f t="shared" ca="1" si="1"/>
        <v>0.52269599599175987</v>
      </c>
      <c r="AF15" s="510">
        <f t="shared" ca="1" si="1"/>
        <v>0.51773581492233367</v>
      </c>
      <c r="AG15" s="510">
        <f t="shared" ca="1" si="2"/>
        <v>-1.7082107485239164</v>
      </c>
      <c r="AH15" s="510">
        <f t="shared" ca="1" si="2"/>
        <v>-1.6619982990166249</v>
      </c>
      <c r="AI15" s="530">
        <f t="shared" ca="1" si="3"/>
        <v>0.46912604044195744</v>
      </c>
      <c r="AJ15" s="530">
        <f t="shared" ca="1" si="4"/>
        <v>-1.2091162938451641</v>
      </c>
    </row>
    <row r="16" spans="1:36" x14ac:dyDescent="0.25">
      <c r="A16" s="812" t="s">
        <v>144</v>
      </c>
      <c r="B16" s="812">
        <v>2104008410</v>
      </c>
      <c r="C16" s="5">
        <f ca="1">INDIRECT("'DevSumOut-"&amp;$B$2&amp;"BSR'!R57")</f>
        <v>1.3873583967588464E-2</v>
      </c>
      <c r="D16" s="5">
        <f ca="1">INDIRECT("'DevSumOut-"&amp;$B$2&amp;"BSR'!P57")</f>
        <v>1.4998469154149686E-3</v>
      </c>
      <c r="E16" s="5">
        <f ca="1">OFFSET('WSCOReductions-5PctSIP'!$U$81,0,MATCH($B$2,'WSCOReductions-5PctSIP'!$X$78:$AQ$78,1)+2)</f>
        <v>0.18626152135269536</v>
      </c>
      <c r="F16" s="5">
        <f ca="1">OFFSET('WSCOReductions-5PctSIP'!$U$84,0,MATCH($B$2,'WSCOReductions-5PctSIP'!$X$78:$AQ$78,1)+2)</f>
        <v>3.8304675565768677E-4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0.29553943036175634</v>
      </c>
      <c r="Z16" s="510">
        <f t="shared" ca="1" si="0"/>
        <v>0.13462279739659511</v>
      </c>
      <c r="AA16" s="617">
        <f t="shared" ca="1" si="5"/>
        <v>0.28421768990847995</v>
      </c>
      <c r="AB16" s="617">
        <f t="shared" ca="1" si="6"/>
        <v>0.28421768990847995</v>
      </c>
      <c r="AC16" s="617">
        <f t="shared" ca="1" si="7"/>
        <v>-1.9266357697207885</v>
      </c>
      <c r="AD16" s="617">
        <f t="shared" ca="1" si="8"/>
        <v>-1.9266357697207885</v>
      </c>
      <c r="AE16" s="510">
        <f t="shared" ca="1" si="1"/>
        <v>0.49575958609594983</v>
      </c>
      <c r="AF16" s="510">
        <f t="shared" ca="1" si="1"/>
        <v>0.49575958609594983</v>
      </c>
      <c r="AG16" s="510">
        <f t="shared" ca="1" si="2"/>
        <v>-1.5326438754400384</v>
      </c>
      <c r="AH16" s="510">
        <f t="shared" ca="1" si="2"/>
        <v>-1.5326438754400384</v>
      </c>
      <c r="AI16" s="530">
        <f t="shared" ca="1" si="3"/>
        <v>0.44427440319287148</v>
      </c>
      <c r="AJ16" s="530">
        <f t="shared" ca="1" si="4"/>
        <v>-1.1039181595677612</v>
      </c>
    </row>
    <row r="17" spans="1:40" x14ac:dyDescent="0.25">
      <c r="A17" s="812" t="s">
        <v>145</v>
      </c>
      <c r="B17" s="812">
        <v>2104008420</v>
      </c>
      <c r="C17" s="5">
        <f ca="1">INDIRECT("'DevSumOut-"&amp;$B$2&amp;"BSR'!R58")</f>
        <v>4.6796029894194582E-2</v>
      </c>
      <c r="D17" s="5">
        <f ca="1">INDIRECT("'DevSumOut-"&amp;$B$2&amp;"BSR'!P58")</f>
        <v>5.0590302588318474E-3</v>
      </c>
      <c r="E17" s="5">
        <f ca="1">OFFSET('WSCOReductions-5PctSIP'!$U$81,0,MATCH($B$2,'WSCOReductions-5PctSIP'!$X$78:$AQ$78,1)+2)</f>
        <v>0.18626152135269536</v>
      </c>
      <c r="F17" s="5">
        <f ca="1">OFFSET('WSCOReductions-5PctSIP'!$U$84,0,MATCH($B$2,'WSCOReductions-5PctSIP'!$X$78:$AQ$78,1)+2)</f>
        <v>3.8304675565768677E-4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0.30732684651943054</v>
      </c>
      <c r="Z17" s="510">
        <f t="shared" ca="1" si="0"/>
        <v>0.14910275789415495</v>
      </c>
      <c r="AA17" s="617">
        <f t="shared" ca="1" si="5"/>
        <v>0.28273178237252561</v>
      </c>
      <c r="AB17" s="617">
        <f t="shared" ca="1" si="6"/>
        <v>0.28273178237252561</v>
      </c>
      <c r="AC17" s="617">
        <f t="shared" ca="1" si="7"/>
        <v>-2.7966712506825271</v>
      </c>
      <c r="AD17" s="617">
        <f t="shared" ca="1" si="8"/>
        <v>-2.7966712506825271</v>
      </c>
      <c r="AE17" s="510">
        <f t="shared" ca="1" si="1"/>
        <v>0.50316756180458988</v>
      </c>
      <c r="AF17" s="510">
        <f t="shared" ca="1" si="1"/>
        <v>0.50316756180458988</v>
      </c>
      <c r="AG17" s="510">
        <f t="shared" ca="1" si="2"/>
        <v>-2.2305770963883118</v>
      </c>
      <c r="AH17" s="510">
        <f t="shared" ca="1" si="2"/>
        <v>-2.2305770963883118</v>
      </c>
      <c r="AI17" s="530">
        <f t="shared" ca="1" si="3"/>
        <v>0.45280852073126321</v>
      </c>
      <c r="AJ17" s="530">
        <f t="shared" ca="1" si="4"/>
        <v>-1.6186594195728203</v>
      </c>
    </row>
    <row r="18" spans="1:40" x14ac:dyDescent="0.25">
      <c r="A18" s="812" t="s">
        <v>146</v>
      </c>
      <c r="B18" s="812">
        <v>2104008610</v>
      </c>
      <c r="C18" s="5">
        <f ca="1">INDIRECT("'DevSumOut-"&amp;$B$2&amp;"BSR'!R59")</f>
        <v>0.23249892936764927</v>
      </c>
      <c r="D18" s="5">
        <f ca="1">INDIRECT("'DevSumOut-"&amp;$B$2&amp;"BSR'!P59")</f>
        <v>9.4223038307631977E-3</v>
      </c>
      <c r="E18" s="5">
        <f ca="1">OFFSET('WSCOReductions-5PctSIP'!$U$81,0,MATCH($B$2,'WSCOReductions-5PctSIP'!$X$78:$AQ$78,1)+2)</f>
        <v>0.18626152135269536</v>
      </c>
      <c r="F18" s="5">
        <f ca="1">OFFSET('WSCOReductions-5PctSIP'!$U$84,0,MATCH($B$2,'WSCOReductions-5PctSIP'!$X$78:$AQ$78,1)+2)</f>
        <v>3.8304675565768677E-4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0.13255395636430173</v>
      </c>
      <c r="N18" s="5">
        <f ca="1">'BACM-R8'!O162*($B$2-$M$3+1)*$M$4/SCCRedFacsFull!$M$4</f>
        <v>5.3205478477612651E-2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0.37283086676720578</v>
      </c>
      <c r="Z18" s="510">
        <f t="shared" ca="1" si="0"/>
        <v>0.15909545061525565</v>
      </c>
      <c r="AA18" s="617">
        <f t="shared" ca="1" si="5"/>
        <v>0.26509857267883641</v>
      </c>
      <c r="AB18" s="617">
        <f t="shared" ca="1" si="6"/>
        <v>0.28708831603468465</v>
      </c>
      <c r="AC18" s="617">
        <f t="shared" ca="1" si="7"/>
        <v>-1.0489921575897507</v>
      </c>
      <c r="AD18" s="617">
        <f t="shared" ca="1" si="8"/>
        <v>-1.1360053319520338</v>
      </c>
      <c r="AE18" s="510">
        <f t="shared" ca="1" si="1"/>
        <v>0.53909250881544257</v>
      </c>
      <c r="AF18" s="510">
        <f t="shared" ca="1" si="1"/>
        <v>0.55288379709594149</v>
      </c>
      <c r="AG18" s="510">
        <f t="shared" ca="1" si="2"/>
        <v>-0.72300682697088448</v>
      </c>
      <c r="AH18" s="510">
        <f t="shared" ca="1" si="2"/>
        <v>-0.79617660114853628</v>
      </c>
      <c r="AI18" s="530">
        <f t="shared" ca="1" si="3"/>
        <v>0.50343217769015247</v>
      </c>
      <c r="AJ18" s="530">
        <f t="shared" ca="1" si="4"/>
        <v>-0.5338106965972409</v>
      </c>
    </row>
    <row r="19" spans="1:40" x14ac:dyDescent="0.25">
      <c r="A19" s="812" t="s">
        <v>147</v>
      </c>
      <c r="B19" s="812">
        <v>2104004000</v>
      </c>
      <c r="C19" s="5">
        <f ca="1">INDIRECT("'DevSumOut-"&amp;$B$2&amp;"BSR'!R60")+INDIRECT("'DevSumOut-"&amp;$B$2&amp;"BSR'!R62")+INDIRECT("'DevSumOut-"&amp;$B$2&amp;"BSR'!R63")</f>
        <v>5.3237060407153529E-2</v>
      </c>
      <c r="D19" s="5">
        <f ca="1">INDIRECT("'DevSumOut-"&amp;$B$2&amp;"BSR'!P60")+INDIRECT("'DevSumOut-"&amp;$B$2&amp;"BSR'!P62")+INDIRECT("'DevSumOut-"&amp;$B$2&amp;"BSR'!P63")</f>
        <v>3.3726635738979742</v>
      </c>
      <c r="E19" s="5">
        <f ca="1">OFFSET('WSCOReductions-5PctSIP'!$U$81,0,MATCH($B$2,'WSCOReductions-5PctSIP'!$X$78:$AQ$78,1)+2)</f>
        <v>0.18626152135269536</v>
      </c>
      <c r="F19" s="5">
        <f ca="1">OFFSET('WSCOReductions-5PctSIP'!$U$84,0,MATCH($B$2,'WSCOReductions-5PctSIP'!$X$78:$AQ$78,1)+2)</f>
        <v>3.8304675565768677E-4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0.18448095591991631</v>
      </c>
      <c r="Z19" s="510">
        <f t="shared" ca="1" si="0"/>
        <v>-1.8060450259891336E-3</v>
      </c>
      <c r="AA19" s="617">
        <f t="shared" ca="1" si="5"/>
        <v>0</v>
      </c>
      <c r="AB19" s="617">
        <f t="shared" ca="1" si="6"/>
        <v>0</v>
      </c>
      <c r="AC19" s="617">
        <f t="shared" ca="1" si="7"/>
        <v>0</v>
      </c>
      <c r="AD19" s="617">
        <f t="shared" ca="1" si="8"/>
        <v>0</v>
      </c>
      <c r="AE19" s="510">
        <f t="shared" ca="1" si="1"/>
        <v>0.18448095591991631</v>
      </c>
      <c r="AF19" s="510">
        <f t="shared" ca="1" si="1"/>
        <v>0.18448095591991631</v>
      </c>
      <c r="AG19" s="510">
        <f t="shared" ca="1" si="2"/>
        <v>-1.8060450259891336E-3</v>
      </c>
      <c r="AH19" s="510">
        <f t="shared" ca="1" si="2"/>
        <v>-1.8060450259891336E-3</v>
      </c>
      <c r="AI19" s="530">
        <f t="shared" ca="1" si="3"/>
        <v>0.18448095591991631</v>
      </c>
      <c r="AJ19" s="530">
        <f t="shared" ca="1" si="4"/>
        <v>-1.8060450259891336E-3</v>
      </c>
    </row>
    <row r="20" spans="1:40" x14ac:dyDescent="0.25">
      <c r="A20" s="812" t="s">
        <v>148</v>
      </c>
      <c r="B20" s="812">
        <v>2103004001</v>
      </c>
      <c r="C20" s="5">
        <f ca="1">INDIRECT("'DevSumOut-"&amp;$B$2&amp;"BSR'!R61")</f>
        <v>1.6668606649109026E-2</v>
      </c>
      <c r="D20" s="5">
        <f ca="1">INDIRECT("'DevSumOut-"&amp;$B$2&amp;"BSR'!P61")</f>
        <v>0.4644751714251617</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5.8529310125197163E-6</v>
      </c>
      <c r="D21" s="5">
        <f ca="1">INDIRECT("'DevSumOut-"&amp;$B$2&amp;"BSR'!P64")</f>
        <v>7.0898784775737584E-5</v>
      </c>
      <c r="E21" s="5">
        <f ca="1">OFFSET('WSCOReductions-5PctSIP'!$U$81,0,MATCH($B$2,'WSCOReductions-5PctSIP'!$X$78:$AQ$78,1)+2)</f>
        <v>0.18626152135269536</v>
      </c>
      <c r="F21" s="5">
        <f ca="1">OFFSET('WSCOReductions-5PctSIP'!$U$84,0,MATCH($B$2,'WSCOReductions-5PctSIP'!$X$78:$AQ$78,1)+2)</f>
        <v>3.8304675565768677E-4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0.18626152135269536</v>
      </c>
      <c r="Z21" s="510">
        <f t="shared" ca="1" si="0"/>
        <v>3.8304675565770108E-4</v>
      </c>
      <c r="AA21" s="617">
        <f t="shared" ca="1" si="5"/>
        <v>0</v>
      </c>
      <c r="AB21" s="617">
        <f t="shared" ca="1" si="6"/>
        <v>0</v>
      </c>
      <c r="AC21" s="617">
        <f t="shared" ca="1" si="7"/>
        <v>0</v>
      </c>
      <c r="AD21" s="617">
        <f t="shared" ca="1" si="8"/>
        <v>0</v>
      </c>
      <c r="AE21" s="510">
        <f t="shared" ca="1" si="1"/>
        <v>0.18626152135269536</v>
      </c>
      <c r="AF21" s="510">
        <f t="shared" ca="1" si="1"/>
        <v>0.18626152135269536</v>
      </c>
      <c r="AG21" s="510">
        <f t="shared" ca="1" si="2"/>
        <v>3.8304675565770108E-4</v>
      </c>
      <c r="AH21" s="510">
        <f t="shared" ca="1" si="2"/>
        <v>3.8304675565770108E-4</v>
      </c>
      <c r="AI21" s="530">
        <f t="shared" ca="1" si="3"/>
        <v>0.18626152135269536</v>
      </c>
      <c r="AJ21" s="530">
        <f t="shared" ca="1" si="4"/>
        <v>3.8304675565770108E-4</v>
      </c>
    </row>
    <row r="22" spans="1:40" x14ac:dyDescent="0.25">
      <c r="A22" s="812" t="s">
        <v>150</v>
      </c>
      <c r="B22" s="812">
        <v>2103006000</v>
      </c>
      <c r="C22" s="5">
        <f ca="1">INDIRECT("'DevSumOut-"&amp;$B$2&amp;"BSR'!R65")</f>
        <v>1.0079518569867293E-2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9.1944691416765034E-2</v>
      </c>
      <c r="D23" s="5">
        <f ca="1">INDIRECT("'DevSumOut-"&amp;$B$2&amp;"BSR'!P66")</f>
        <v>0.10701947811963887</v>
      </c>
      <c r="E23" s="5">
        <f ca="1">OFFSET('WSCOReductions-5PctSIP'!$U$81,0,MATCH($B$2,'WSCOReductions-5PctSIP'!$X$78:$AQ$78,1)+2)</f>
        <v>0.18626152135269536</v>
      </c>
      <c r="F23" s="5">
        <f ca="1">OFFSET('WSCOReductions-5PctSIP'!$U$84,0,MATCH($B$2,'WSCOReductions-5PctSIP'!$X$78:$AQ$78,1)+2)</f>
        <v>3.8304675565768677E-4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0.18626152135269536</v>
      </c>
      <c r="Z23" s="510">
        <f t="shared" ca="1" si="0"/>
        <v>3.8304675565770108E-4</v>
      </c>
      <c r="AA23" s="617">
        <f t="shared" ca="1" si="5"/>
        <v>0.29896926355238951</v>
      </c>
      <c r="AB23" s="617">
        <f t="shared" ca="1" si="6"/>
        <v>0.29896926355238951</v>
      </c>
      <c r="AC23" s="617">
        <f t="shared" ca="1" si="7"/>
        <v>0.24618713146703741</v>
      </c>
      <c r="AD23" s="617">
        <f t="shared" ca="1" si="8"/>
        <v>0.24618713146703741</v>
      </c>
      <c r="AE23" s="510">
        <f t="shared" ca="1" si="1"/>
        <v>0.42954431503812185</v>
      </c>
      <c r="AF23" s="510">
        <f t="shared" ca="1" si="1"/>
        <v>0.42954431503812185</v>
      </c>
      <c r="AG23" s="510">
        <f t="shared" ca="1" si="2"/>
        <v>0.24647587704070195</v>
      </c>
      <c r="AH23" s="510">
        <f t="shared" ca="1" si="2"/>
        <v>0.24647587704070195</v>
      </c>
      <c r="AI23" s="530">
        <f t="shared" ca="1" si="3"/>
        <v>0.36698588237615498</v>
      </c>
      <c r="AJ23" s="530">
        <f t="shared" ca="1" si="4"/>
        <v>0.18319486353883344</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2.5882506455525549</v>
      </c>
      <c r="D27" s="450">
        <f ca="1">INDIRECT("'DevSumOut-"&amp;$B$2&amp;"BSR'!P70")</f>
        <v>4.0475646035746573</v>
      </c>
      <c r="E27" s="450">
        <f ca="1">$C27-E28</f>
        <v>2.1116788826317059</v>
      </c>
      <c r="F27" s="450">
        <f ca="1">$D27-F28</f>
        <v>4.0461989737991635</v>
      </c>
      <c r="G27" s="450">
        <f ca="1">$C27-G28</f>
        <v>2.5882506455525549</v>
      </c>
      <c r="H27" s="450">
        <f ca="1">$D27-H28</f>
        <v>4.0475646035746573</v>
      </c>
      <c r="I27" s="450">
        <f ca="1">$C27-I28</f>
        <v>2.5882506455525549</v>
      </c>
      <c r="J27" s="450">
        <f ca="1">$D27-J28</f>
        <v>4.0475646035746573</v>
      </c>
      <c r="K27" s="450">
        <f ca="1">$C27-K28</f>
        <v>2.5882506455525549</v>
      </c>
      <c r="L27" s="450">
        <f ca="1">$D27-L28</f>
        <v>4.0475646035746573</v>
      </c>
      <c r="M27" s="450">
        <f ca="1">$C27-M28</f>
        <v>2.3863595025136926</v>
      </c>
      <c r="N27" s="450">
        <f ca="1">$D27-N28</f>
        <v>4.0445563136092515</v>
      </c>
      <c r="O27" s="450">
        <f ca="1">$C27-O28</f>
        <v>2.5882506455525549</v>
      </c>
      <c r="P27" s="450">
        <f ca="1">$D27-P28</f>
        <v>4.0475646035746573</v>
      </c>
      <c r="Q27" s="450">
        <f ca="1">$C27-Q28</f>
        <v>2.2573532390080691</v>
      </c>
      <c r="R27" s="450">
        <f ca="1">$D27-R28</f>
        <v>4.0432247440311295</v>
      </c>
      <c r="S27" s="450">
        <f ca="1">$C27-S28</f>
        <v>2.5881967639948043</v>
      </c>
      <c r="T27" s="450">
        <f ca="1">$D27-T28</f>
        <v>4.0475646035746573</v>
      </c>
      <c r="U27" s="786">
        <f ca="1">$C27-U28</f>
        <v>2.5882506455525549</v>
      </c>
      <c r="V27" s="786">
        <f ca="1">$D27-V28</f>
        <v>4.0475646035746573</v>
      </c>
      <c r="W27" s="450">
        <f ca="1">$C27-W28</f>
        <v>2.5882506455525549</v>
      </c>
      <c r="X27" s="450">
        <f ca="1">$D27-X28</f>
        <v>4.0475646035746573</v>
      </c>
      <c r="Y27" s="450">
        <f ca="1">$C27-Y28</f>
        <v>1.6969461177199292</v>
      </c>
      <c r="Z27" s="450">
        <f ca="1">$D27-Z28</f>
        <v>4.03905167534261</v>
      </c>
      <c r="AA27" s="450">
        <f ca="1">$C27-AA28</f>
        <v>2.0537235790681994</v>
      </c>
      <c r="AB27" s="450">
        <f ca="1">$C27-AB28</f>
        <v>1.8683621884328161</v>
      </c>
      <c r="AC27" s="450">
        <f ca="1">$D27-AC28</f>
        <v>4.1675425090914535</v>
      </c>
      <c r="AD27" s="450">
        <f ca="1">$D27-AD28</f>
        <v>4.1654773126803146</v>
      </c>
      <c r="AE27" s="450">
        <f ca="1">$C27-AE28</f>
        <v>1.3475836718770655</v>
      </c>
      <c r="AF27" s="450">
        <f ca="1">$C27-AF28</f>
        <v>1.2301953190529982</v>
      </c>
      <c r="AG27" s="450">
        <f ca="1">$D27-AG28</f>
        <v>4.1350336458403678</v>
      </c>
      <c r="AH27" s="450">
        <f ca="1">$D27-AH28</f>
        <v>4.133337246441279</v>
      </c>
      <c r="AI27" s="787">
        <f ca="1">$C27-AI28</f>
        <v>1.3770485764985674</v>
      </c>
      <c r="AJ27" s="787">
        <f ca="1">$D27-AJ28</f>
        <v>4.1094801337356985</v>
      </c>
    </row>
    <row r="28" spans="1:40" x14ac:dyDescent="0.25">
      <c r="B28" s="244" t="s">
        <v>156</v>
      </c>
      <c r="E28" s="450">
        <f ca="1">SUMPRODUCT($C9:$C26,E9:E26)</f>
        <v>0.47657176292084891</v>
      </c>
      <c r="F28" s="450">
        <f ca="1">SUMPRODUCT($D9:$D26,F9:F26)</f>
        <v>1.365629775493883E-3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0.20189114303886221</v>
      </c>
      <c r="N28" s="450">
        <f ca="1">SUMPRODUCT($D9:$D26,N9:N26)</f>
        <v>3.0082899654061894E-3</v>
      </c>
      <c r="O28" s="450">
        <f ca="1">SUMPRODUCT($C9:$C26,O9:O26)</f>
        <v>0</v>
      </c>
      <c r="P28" s="450">
        <f ca="1">SUMPRODUCT($D9:$D26,P9:P26)</f>
        <v>0</v>
      </c>
      <c r="Q28" s="450">
        <f ca="1">SUMPRODUCT($C9:$C26,Q9:Q26)</f>
        <v>0.33089740654448585</v>
      </c>
      <c r="R28" s="450">
        <f ca="1">SUMPRODUCT($D9:$D26,R9:R26)</f>
        <v>4.3398595435279108E-3</v>
      </c>
      <c r="S28" s="450">
        <f ca="1">SUMPRODUCT($C9:$C26,S9:S26)</f>
        <v>5.3881557750707857E-5</v>
      </c>
      <c r="T28" s="450">
        <f ca="1">SUMPRODUCT($D9:$D26,T9:T26)</f>
        <v>0</v>
      </c>
      <c r="U28" s="786">
        <f ca="1">SUMPRODUCT($C9:$C26,U9:U26)</f>
        <v>0</v>
      </c>
      <c r="V28" s="786">
        <f ca="1">SUMPRODUCT($D9:$D26,V9:V26)</f>
        <v>0</v>
      </c>
      <c r="W28" s="450">
        <f ca="1">SUMPRODUCT($C9:$C26,W9:W26)</f>
        <v>0</v>
      </c>
      <c r="X28" s="450">
        <f ca="1">SUMPRODUCT($D9:$D26,X9:X26)</f>
        <v>0</v>
      </c>
      <c r="Y28" s="450">
        <f ca="1">SUMPRODUCT($C9:$C26,Y9:Y26)</f>
        <v>0.8913045278326257</v>
      </c>
      <c r="Z28" s="450">
        <f ca="1">SUMPRODUCT($D9:$D26,Z9:Z26)</f>
        <v>8.5129282320477121E-3</v>
      </c>
      <c r="AA28" s="450">
        <f ca="1">SUMPRODUCT($C9:$C26,AA9:AA26)</f>
        <v>0.53452706648435555</v>
      </c>
      <c r="AB28" s="450">
        <f ca="1">SUMPRODUCT($C9:$C26,AB9:AB26)</f>
        <v>0.71988845711973881</v>
      </c>
      <c r="AC28" s="450">
        <f ca="1">SUMPRODUCT($D9:$D26,AC9:AC26)</f>
        <v>-0.11997790551679641</v>
      </c>
      <c r="AD28" s="450">
        <f ca="1">SUMPRODUCT($D9:$D26,AD9:AD26)</f>
        <v>-0.11791270910565746</v>
      </c>
      <c r="AE28" s="450">
        <f ca="1">SUMPRODUCT($C9:$C26,AE9:AE26)</f>
        <v>1.2406669736754894</v>
      </c>
      <c r="AF28" s="450">
        <f ca="1">SUMPRODUCT($C9:$C26,AF9:AF26)</f>
        <v>1.3580553264995567</v>
      </c>
      <c r="AG28" s="450">
        <f ca="1">SUMPRODUCT($D9:$D26,AG9:AG26)</f>
        <v>-8.746904226571027E-2</v>
      </c>
      <c r="AH28" s="450">
        <f ca="1">SUMPRODUCT($D9:$D26,AH9:AH26)</f>
        <v>-8.5772642866621673E-2</v>
      </c>
      <c r="AI28" s="450">
        <f ca="1">SUMPRODUCT($C9:$C26,AI9:AI26)</f>
        <v>1.2112020690539875</v>
      </c>
      <c r="AJ28" s="450">
        <f ca="1">SUMPRODUCT($D9:$D26,AJ9:AJ26)</f>
        <v>-6.1915530161041218E-2</v>
      </c>
    </row>
    <row r="29" spans="1:40" x14ac:dyDescent="0.25">
      <c r="E29" s="659">
        <f ca="1">E28/$C27</f>
        <v>0.18412890719828551</v>
      </c>
      <c r="F29" s="693">
        <f ca="1">F28/$D27</f>
        <v>3.3739542397613864E-4</v>
      </c>
      <c r="G29" s="659">
        <f ca="1">G28/$C27</f>
        <v>0</v>
      </c>
      <c r="H29" s="693">
        <f ca="1">H28/$D27</f>
        <v>0</v>
      </c>
      <c r="I29" s="659">
        <f ca="1">I28/$C27</f>
        <v>0</v>
      </c>
      <c r="J29" s="693">
        <f ca="1">J28/$D27</f>
        <v>0</v>
      </c>
      <c r="K29" s="659">
        <f ca="1">K28/$C27</f>
        <v>0</v>
      </c>
      <c r="L29" s="693">
        <f ca="1">L28/$D27</f>
        <v>0</v>
      </c>
      <c r="M29" s="659">
        <f ca="1">M28/$C27</f>
        <v>7.8002933520281731E-2</v>
      </c>
      <c r="N29" s="693">
        <f ca="1">N28/$D27</f>
        <v>7.4323457684884891E-4</v>
      </c>
      <c r="O29" s="659">
        <f ca="1">O28/$C27</f>
        <v>0</v>
      </c>
      <c r="P29" s="693">
        <f ca="1">P28/$D27</f>
        <v>0</v>
      </c>
      <c r="Q29" s="659">
        <f ca="1">Q28/$C27</f>
        <v>0.12784596697119491</v>
      </c>
      <c r="R29" s="693">
        <f ca="1">R28/$D27</f>
        <v>1.0722150153440687E-3</v>
      </c>
      <c r="S29" s="659">
        <f ca="1">S28/$C27</f>
        <v>2.0817751110501474E-5</v>
      </c>
      <c r="T29" s="693">
        <f ca="1">T28/$D27</f>
        <v>0</v>
      </c>
      <c r="U29" s="700">
        <f ca="1">U28/$C27</f>
        <v>0</v>
      </c>
      <c r="V29" s="700">
        <f ca="1">V28/$D27</f>
        <v>0</v>
      </c>
      <c r="W29" s="659">
        <f ca="1">W28/$C27</f>
        <v>0</v>
      </c>
      <c r="X29" s="693">
        <f ca="1">X28/$D27</f>
        <v>0</v>
      </c>
      <c r="Y29" s="659">
        <f ca="1">Y28/$C27</f>
        <v>0.34436561596697479</v>
      </c>
      <c r="Z29" s="693">
        <f t="shared" ref="Z29" ca="1" si="9">Z28/$D27</f>
        <v>2.1032223239943874E-3</v>
      </c>
      <c r="AA29" s="838">
        <f ca="1">(AA28*$AJ$4+AB28*$AJ$5)/SUM($AJ$4:$AJ$5)</f>
        <v>0.66285418307808242</v>
      </c>
      <c r="AB29" s="838"/>
      <c r="AC29" s="838">
        <f ca="1">(AC28*$AJ$4+AD28*$AJ$5)/SUM($AJ$4:$AJ$5)</f>
        <v>-0.11854815415523869</v>
      </c>
      <c r="AD29" s="838"/>
      <c r="AE29" s="659">
        <f ca="1">AE28/$C27</f>
        <v>0.47934576035259696</v>
      </c>
      <c r="AF29" s="659">
        <f ca="1">AF28/$C27</f>
        <v>0.52470008220924491</v>
      </c>
      <c r="AG29" s="693">
        <f t="shared" ref="AG29:AH29" ca="1" si="10">AG28/$D27</f>
        <v>-2.1610289354853259E-2</v>
      </c>
      <c r="AH29" s="693">
        <f t="shared" ca="1" si="10"/>
        <v>-2.1191173277597716E-2</v>
      </c>
      <c r="AI29" s="659">
        <f ca="1">AI28/$C27</f>
        <v>0.46796166017971302</v>
      </c>
      <c r="AJ29" s="693">
        <f t="shared" ref="AJ29" ca="1" si="11">AJ28/$D27</f>
        <v>-1.529698379770387E-2</v>
      </c>
      <c r="AK29" s="5"/>
      <c r="AL29" s="5"/>
      <c r="AN29" s="5"/>
    </row>
    <row r="30" spans="1:40" x14ac:dyDescent="0.25">
      <c r="B30" s="244" t="s">
        <v>157</v>
      </c>
      <c r="E30" s="450">
        <f ca="1">E28*($Y28/$Y30)</f>
        <v>0.42080899260909455</v>
      </c>
      <c r="F30" s="450">
        <f ca="1">F28*($Z28/$Z30)</f>
        <v>1.3341522536727891E-3</v>
      </c>
      <c r="G30" s="450">
        <f ca="1">G28*($Y28/$Y30)</f>
        <v>0</v>
      </c>
      <c r="H30" s="450">
        <f ca="1">H28*($Z28/$Z30)</f>
        <v>0</v>
      </c>
      <c r="I30" s="450">
        <f ca="1">I28*($Y28/$Y30)</f>
        <v>0</v>
      </c>
      <c r="J30" s="450">
        <f ca="1">J28*($Z28/$Z30)</f>
        <v>0</v>
      </c>
      <c r="K30" s="450">
        <f ca="1">K28*($Y28/$Y30)</f>
        <v>0</v>
      </c>
      <c r="L30" s="450">
        <f ca="1">L28*($Z28/$Z30)</f>
        <v>0</v>
      </c>
      <c r="M30" s="450">
        <f ca="1">M28*($Y28/$Y30)</f>
        <v>0.17826823813099549</v>
      </c>
      <c r="N30" s="450">
        <f ca="1">N28*($Z28/$Z30)</f>
        <v>2.938949420311524E-3</v>
      </c>
      <c r="O30" s="450">
        <f ca="1">O28*($Y28/$Y30)</f>
        <v>0</v>
      </c>
      <c r="P30" s="450">
        <f ca="1">P28*($Z28/$Z30)</f>
        <v>0</v>
      </c>
      <c r="Q30" s="450">
        <f ca="1">Q28*($Y28/$Y30)</f>
        <v>0.29217972011504478</v>
      </c>
      <c r="R30" s="450">
        <f ca="1">R28*($Z28/$Z30)</f>
        <v>4.2398265580633997E-3</v>
      </c>
      <c r="S30" s="450">
        <f ca="1">S28*($Y28/$Y30)</f>
        <v>4.7576977490900763E-5</v>
      </c>
      <c r="T30" s="450">
        <f ca="1">T28*($Z28/$Z30)</f>
        <v>0</v>
      </c>
      <c r="U30" s="786">
        <f ca="1">U28*($Y28/$Y30)</f>
        <v>0</v>
      </c>
      <c r="V30" s="786">
        <f ca="1">V28*($Z28/$Z30)</f>
        <v>0</v>
      </c>
      <c r="W30" s="450">
        <f ca="1">W28*($Y28/$Y30)</f>
        <v>0</v>
      </c>
      <c r="X30" s="450">
        <f ca="1">X28*($Z28/$Z30)</f>
        <v>0</v>
      </c>
      <c r="Y30" s="450">
        <f ca="1">SUM($E28,$G28,$I28,$K28,$M28,$O28,$Q28,$S28,$W28)</f>
        <v>1.0094141940619477</v>
      </c>
      <c r="Z30" s="450">
        <f ca="1">SUM($F28,$H28,$J28,$L28,$N28,$P28,$R28,$T28,$X28)</f>
        <v>8.7137792844279825E-3</v>
      </c>
      <c r="AA30" s="450">
        <f ca="1">AE28-$Y28</f>
        <v>0.34936244584286369</v>
      </c>
      <c r="AB30" s="450">
        <f ca="1">AF28-$Y28</f>
        <v>0.46675079866693103</v>
      </c>
      <c r="AC30" s="450">
        <f ca="1">AG28-$Z28</f>
        <v>-9.5981970497757987E-2</v>
      </c>
      <c r="AD30" s="450">
        <f ca="1">AH28-$Z28</f>
        <v>-9.4285571098669391E-2</v>
      </c>
      <c r="AE30" s="450">
        <f ca="1">SUM($E28,$G28,$I28,$K28,$M28,$O28,$Q28,$S28,$W28,AA28)</f>
        <v>1.5439412605463032</v>
      </c>
      <c r="AF30" s="450">
        <f ca="1">SUM($E28,$G28,$I28,$K28,$M28,$O28,$Q28,$S28,$W28,AB28)</f>
        <v>1.7293026511816865</v>
      </c>
      <c r="AG30" s="450">
        <f ca="1">SUM($F28,$H28,$J28,$L28,$N28,$P28,$R28,$T28,$X28,AC28)</f>
        <v>-0.11126412623236842</v>
      </c>
      <c r="AH30" s="450">
        <f ca="1">SUM($F28,$H28,$J28,$L28,$N28,$P28,$R28,$T28,$X28,AD28)</f>
        <v>-0.10919892982122947</v>
      </c>
    </row>
    <row r="31" spans="1:40" x14ac:dyDescent="0.25">
      <c r="Y31" s="659">
        <f ca="1">Y30/$C27</f>
        <v>0.38999862544087266</v>
      </c>
      <c r="Z31" s="659">
        <f ca="1">Z30/$C27</f>
        <v>3.3666674823016277E-3</v>
      </c>
      <c r="AA31" s="839" t="s">
        <v>158</v>
      </c>
      <c r="AB31" s="839"/>
      <c r="AC31" s="839"/>
      <c r="AD31" s="839"/>
      <c r="AE31" s="659">
        <f ca="1">AE30/$C27</f>
        <v>0.59651922166011617</v>
      </c>
      <c r="AF31" s="659">
        <f ca="1">AF30/$C27</f>
        <v>0.66813569781318638</v>
      </c>
      <c r="AG31" s="693">
        <f ca="1">AG30/$D27</f>
        <v>-2.7489153881349815E-2</v>
      </c>
      <c r="AH31" s="693">
        <f ca="1">AH30/$D27</f>
        <v>-2.6978922022588368E-2</v>
      </c>
    </row>
    <row r="32" spans="1:40" x14ac:dyDescent="0.25">
      <c r="Y32" s="698">
        <f ca="1">SUM($E30,$G30,$I30,$K30,$M30,$O30,$Q30,$S30,$W30)</f>
        <v>0.8913045278326257</v>
      </c>
      <c r="Z32" s="698">
        <f ca="1">SUM($F30,$H30,$J30,$L30,$N30,$P30,$R30,$T30,$X30)</f>
        <v>8.5129282320477138E-3</v>
      </c>
      <c r="AA32" s="838">
        <f ca="1">(AA30*$AJ$4+AB30*$AJ$5)/SUM($AJ$4:$AJ$5)</f>
        <v>0.43063130549029494</v>
      </c>
      <c r="AB32" s="838"/>
      <c r="AC32" s="838">
        <f ca="1">(AC30*$AJ$4+AD30*$AJ$5)/SUM($AJ$4:$AJ$5)</f>
        <v>-9.4807540144542804E-2</v>
      </c>
      <c r="AD32" s="838"/>
    </row>
    <row r="33" spans="2:34" x14ac:dyDescent="0.25">
      <c r="C33" s="450">
        <f ca="1">SUM(C9:C18)</f>
        <v>2.4134286862525749</v>
      </c>
      <c r="D33" s="450">
        <f ca="1">SUM(D9:D18)</f>
        <v>8.542381228586117E-2</v>
      </c>
      <c r="Z33" s="616"/>
      <c r="AA33" s="616"/>
    </row>
    <row r="34" spans="2:34" x14ac:dyDescent="0.25">
      <c r="B34" s="244" t="s">
        <v>159</v>
      </c>
      <c r="E34" s="450">
        <f ca="1">SUMPRODUCT($C9:$C18,E9:E18)</f>
        <v>0.44952889877764163</v>
      </c>
      <c r="F34" s="450">
        <f ca="1">SUMPRODUCT($D9:$D18,F9:F18)</f>
        <v>3.2721314152010369E-5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0.20189114303886221</v>
      </c>
      <c r="N34" s="450">
        <f ca="1">SUMPRODUCT($D9:$D18,N9:N18)</f>
        <v>3.0082899654061894E-3</v>
      </c>
      <c r="O34" s="450">
        <f ca="1">SUMPRODUCT($C9:$C18,O9:O18)</f>
        <v>0</v>
      </c>
      <c r="P34" s="450">
        <f ca="1">SUMPRODUCT($D9:$D18,P9:P18)</f>
        <v>0</v>
      </c>
      <c r="Q34" s="450">
        <f ca="1">SUMPRODUCT($C9:$C18,Q9:Q18)</f>
        <v>0.33101389614402071</v>
      </c>
      <c r="R34" s="450">
        <f ca="1">SUMPRODUCT($D9:$D18,R9:R18)</f>
        <v>1.1725758800155653E-2</v>
      </c>
      <c r="S34" s="450"/>
      <c r="T34" s="450"/>
      <c r="U34" s="450">
        <f ca="1">SUMPRODUCT($C9:$C18,U9:U18)</f>
        <v>0</v>
      </c>
      <c r="V34" s="450">
        <f ca="1">SUMPRODUCT($D9:$D18,V9:V18)</f>
        <v>0</v>
      </c>
      <c r="W34" s="450">
        <f ca="1">SUMPRODUCT($C9:$C18,W9:W18)</f>
        <v>0</v>
      </c>
      <c r="X34" s="450">
        <f ca="1">SUMPRODUCT($D9:$D18,X9:X18)</f>
        <v>0</v>
      </c>
      <c r="Y34" s="450">
        <f ca="1">SUMPRODUCT($C9:$C18,Y9:Y18)</f>
        <v>0.86435645575892228</v>
      </c>
      <c r="Z34" s="450">
        <f ca="1">SUMPRODUCT($D9:$D18,Z9:Z18)</f>
        <v>1.4563089882585487E-2</v>
      </c>
      <c r="AE34" s="450">
        <f ca="1">SUMPRODUCT($C9:$C18,AE9:AE18)</f>
        <v>1.1913503402093708</v>
      </c>
      <c r="AF34" s="450">
        <f ca="1">SUMPRODUCT($C9:$C18,AF9:AF18)</f>
        <v>1.3087386930334381</v>
      </c>
      <c r="AG34" s="450">
        <f ca="1">SUMPRODUCT($D9:$D18,AG9:AG18)</f>
        <v>-0.10775560688126279</v>
      </c>
      <c r="AH34" s="450">
        <f ca="1">SUMPRODUCT($D9:$D18,AH9:AH18)</f>
        <v>-0.10605920748217419</v>
      </c>
    </row>
    <row r="35" spans="2:34" x14ac:dyDescent="0.25">
      <c r="C35" s="450">
        <f ca="1">SUM(C19:C20)</f>
        <v>6.9905667056262555E-2</v>
      </c>
      <c r="D35" s="450">
        <f ca="1">SUM(D19:D20)</f>
        <v>3.837138745323136</v>
      </c>
      <c r="AD35" s="244" t="s">
        <v>160</v>
      </c>
      <c r="AE35" s="604">
        <f ca="1">AE34/$C33</f>
        <v>0.4936339519769391</v>
      </c>
      <c r="AF35" s="604">
        <f ca="1">AF34/$C33</f>
        <v>0.54227361284313225</v>
      </c>
      <c r="AG35" s="604">
        <f t="shared" ref="AG35:AH37" ca="1" si="12">AG34/$D33</f>
        <v>-1.2614235304866843</v>
      </c>
      <c r="AH35" s="604">
        <f t="shared" ca="1" si="12"/>
        <v>-1.2415649061324845</v>
      </c>
    </row>
    <row r="36" spans="2:34" x14ac:dyDescent="0.25">
      <c r="B36" s="244" t="s">
        <v>161</v>
      </c>
      <c r="E36" s="450">
        <f ca="1">SUMPRODUCT($C19:$C20,E19:E20)</f>
        <v>9.9160158637817599E-3</v>
      </c>
      <c r="F36" s="450">
        <f ca="1">SUMPRODUCT($D19:$D20,F19:F20)</f>
        <v>1.2918878399064779E-3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-1.1648959953487608E-4</v>
      </c>
      <c r="R36" s="450">
        <f ca="1">SUMPRODUCT($D19:$D20,R19:R20)</f>
        <v>-7.3858992566277421E-3</v>
      </c>
      <c r="S36" s="450"/>
      <c r="T36" s="450"/>
      <c r="U36" s="450">
        <f ca="1">SUMPRODUCT($C19:$C20,U19:U20)</f>
        <v>0</v>
      </c>
      <c r="V36" s="450">
        <f ca="1">SUMPRODUCT($D19:$D20,V19:V20)</f>
        <v>0</v>
      </c>
      <c r="W36" s="450">
        <f ca="1">SUMPRODUCT($C19:$C20,W19:W20)</f>
        <v>0</v>
      </c>
      <c r="X36" s="450">
        <f ca="1">SUMPRODUCT($D19:$D20,X19:X20)</f>
        <v>0</v>
      </c>
      <c r="Y36" s="450">
        <f ca="1">SUMPRODUCT($C19:$C20,Y19:Y20)</f>
        <v>9.8212237942780119E-3</v>
      </c>
      <c r="Z36" s="450">
        <f ca="1">SUMPRODUCT($D19:$D20,Z19:Z20)</f>
        <v>-6.0911822719731711E-3</v>
      </c>
      <c r="AE36" s="450">
        <f ca="1">SUMPRODUCT($C19:$C20,AE19:AE20)</f>
        <v>9.8212237942780119E-3</v>
      </c>
      <c r="AF36" s="450">
        <f ca="1">SUMPRODUCT($C19:$C20,AF19:AF20)</f>
        <v>9.8212237942780119E-3</v>
      </c>
      <c r="AG36" s="450">
        <f ca="1">SUMPRODUCT($D19:$D20,AG19:AG20)</f>
        <v>-6.0911822719731711E-3</v>
      </c>
      <c r="AH36" s="450">
        <f ca="1">SUMPRODUCT($D19:$D20,AH19:AH20)</f>
        <v>-6.0911822719731711E-3</v>
      </c>
    </row>
    <row r="37" spans="2:34" x14ac:dyDescent="0.25">
      <c r="AD37" s="244" t="s">
        <v>162</v>
      </c>
      <c r="AE37" s="694">
        <f ca="1">AE36/$C35</f>
        <v>0.14049252668418918</v>
      </c>
      <c r="AF37" s="694">
        <f ca="1">AF36/$C35</f>
        <v>0.14049252668418918</v>
      </c>
      <c r="AG37" s="694">
        <f t="shared" ca="1" si="12"/>
        <v>-1.5874282052994193E-3</v>
      </c>
      <c r="AH37" s="694">
        <f t="shared" ca="1" si="12"/>
        <v>-1.5874282052994193E-3</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A0F3-667C-42BB-A4EB-7ECF1E9EB66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2025</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8"/>
      <c r="M3" s="808"/>
      <c r="N3" s="829" t="s">
        <v>1990</v>
      </c>
      <c r="O3" s="829"/>
      <c r="P3" s="829"/>
      <c r="Q3" s="829"/>
      <c r="R3" s="829"/>
      <c r="S3" s="829"/>
      <c r="T3" s="829"/>
      <c r="U3" s="829"/>
    </row>
    <row r="4" spans="1:23" x14ac:dyDescent="0.25">
      <c r="B4" s="812"/>
      <c r="C4" s="812"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2" t="s">
        <v>1996</v>
      </c>
      <c r="B6" s="812">
        <v>2104008100</v>
      </c>
      <c r="C6" s="812" t="s">
        <v>137</v>
      </c>
      <c r="D6" s="133">
        <v>6.1127341613698079</v>
      </c>
      <c r="E6" s="133">
        <v>6.940222191948256E-2</v>
      </c>
      <c r="F6" s="133">
        <v>1.0677264910689621E-2</v>
      </c>
      <c r="G6" s="133">
        <v>0.92358341477465278</v>
      </c>
      <c r="H6" s="133">
        <v>0.92358341477465278</v>
      </c>
      <c r="I6" s="133">
        <v>4.8047692098103306E-2</v>
      </c>
      <c r="J6" s="133">
        <v>6.742692791100497</v>
      </c>
      <c r="K6" s="45">
        <v>858.98672156734176</v>
      </c>
      <c r="L6" s="134">
        <v>76.266807903859032</v>
      </c>
      <c r="M6" s="45" t="s">
        <v>738</v>
      </c>
      <c r="N6" s="133">
        <v>5.6324383547209571</v>
      </c>
      <c r="O6" s="133">
        <v>6.3949081756657186E-2</v>
      </c>
      <c r="P6" s="133">
        <v>9.838320270254948E-3</v>
      </c>
      <c r="Q6" s="133">
        <v>0.85101470337705287</v>
      </c>
      <c r="R6" s="133">
        <v>0.85101470337705287</v>
      </c>
      <c r="S6" s="133">
        <v>4.4272441216147262E-2</v>
      </c>
      <c r="T6" s="133">
        <v>6.2128992506659966</v>
      </c>
      <c r="U6" s="45">
        <v>791.49356556799978</v>
      </c>
      <c r="V6" s="134">
        <v>70.274296687812878</v>
      </c>
      <c r="W6" t="s">
        <v>738</v>
      </c>
    </row>
    <row r="7" spans="1:23" x14ac:dyDescent="0.25">
      <c r="A7" s="812" t="s">
        <v>1996</v>
      </c>
      <c r="B7" s="812">
        <v>2104008210</v>
      </c>
      <c r="C7" s="812" t="s">
        <v>138</v>
      </c>
      <c r="D7" s="133">
        <v>0.12608378049397129</v>
      </c>
      <c r="E7" s="133">
        <v>6.6610299128890505E-3</v>
      </c>
      <c r="F7" s="133">
        <v>9.5157570184129306E-4</v>
      </c>
      <c r="G7" s="133">
        <v>7.2795541190858917E-2</v>
      </c>
      <c r="H7" s="133">
        <v>7.2795541190858917E-2</v>
      </c>
      <c r="I7" s="133">
        <v>4.0441967328254964E-3</v>
      </c>
      <c r="J7" s="133">
        <v>0.54905917996242604</v>
      </c>
      <c r="K7" s="45">
        <v>76.554332901252465</v>
      </c>
      <c r="L7" s="134">
        <v>6.7970254428783621</v>
      </c>
      <c r="M7" s="45" t="s">
        <v>738</v>
      </c>
      <c r="N7" s="133">
        <v>0.1095707173339381</v>
      </c>
      <c r="O7" s="133">
        <v>5.7886416704722001E-3</v>
      </c>
      <c r="P7" s="133">
        <v>8.2694881006745722E-4</v>
      </c>
      <c r="Q7" s="133">
        <v>6.3261583970160504E-2</v>
      </c>
      <c r="R7" s="133">
        <v>6.3261583970160504E-2</v>
      </c>
      <c r="S7" s="133">
        <v>3.5145324427866935E-3</v>
      </c>
      <c r="T7" s="133">
        <v>0.47714946340892289</v>
      </c>
      <c r="U7" s="45">
        <v>66.52809059300381</v>
      </c>
      <c r="V7" s="134">
        <v>5.9068260056559838</v>
      </c>
      <c r="W7" t="s">
        <v>738</v>
      </c>
    </row>
    <row r="8" spans="1:23" x14ac:dyDescent="0.25">
      <c r="A8" s="812" t="s">
        <v>1996</v>
      </c>
      <c r="B8" s="812">
        <v>2104008220</v>
      </c>
      <c r="C8" s="812" t="s">
        <v>139</v>
      </c>
      <c r="D8" s="133">
        <v>6.0103890007149843E-2</v>
      </c>
      <c r="E8" s="133">
        <v>1.0017315001191643E-2</v>
      </c>
      <c r="F8" s="133">
        <v>2.0034630002383281E-3</v>
      </c>
      <c r="G8" s="133">
        <v>6.0103890007149843E-2</v>
      </c>
      <c r="H8" s="133">
        <v>6.0103890007149843E-2</v>
      </c>
      <c r="I8" s="133">
        <v>4.5077917505362414E-3</v>
      </c>
      <c r="J8" s="133">
        <v>0.70521897608389161</v>
      </c>
      <c r="K8" s="45">
        <v>161.17874088084611</v>
      </c>
      <c r="L8" s="134">
        <v>14.31056820822073</v>
      </c>
      <c r="M8" s="45" t="s">
        <v>738</v>
      </c>
      <c r="N8" s="133">
        <v>5.2232145299279109E-2</v>
      </c>
      <c r="O8" s="133">
        <v>8.7053575498798538E-3</v>
      </c>
      <c r="P8" s="133">
        <v>1.7410715099759706E-3</v>
      </c>
      <c r="Q8" s="133">
        <v>5.2232145299279109E-2</v>
      </c>
      <c r="R8" s="133">
        <v>5.2232145299279109E-2</v>
      </c>
      <c r="S8" s="133">
        <v>3.917410897445934E-3</v>
      </c>
      <c r="T8" s="133">
        <v>0.61285717151154151</v>
      </c>
      <c r="U8" s="45">
        <v>140.06932682463204</v>
      </c>
      <c r="V8" s="134">
        <v>12.436327796389079</v>
      </c>
      <c r="W8" t="s">
        <v>738</v>
      </c>
    </row>
    <row r="9" spans="1:23" x14ac:dyDescent="0.25">
      <c r="A9" s="812" t="s">
        <v>1996</v>
      </c>
      <c r="B9" s="812">
        <v>2104008230</v>
      </c>
      <c r="C9" s="812" t="s">
        <v>140</v>
      </c>
      <c r="D9" s="133">
        <v>4.5233678089112564E-2</v>
      </c>
      <c r="E9" s="133">
        <v>6.0311570785483402E-3</v>
      </c>
      <c r="F9" s="133">
        <v>1.2062314157096682E-3</v>
      </c>
      <c r="G9" s="133">
        <v>3.9202521010564206E-2</v>
      </c>
      <c r="H9" s="133">
        <v>3.9202521010564206E-2</v>
      </c>
      <c r="I9" s="133">
        <v>2.7140206853467526E-3</v>
      </c>
      <c r="J9" s="133">
        <v>0.32266690370233636</v>
      </c>
      <c r="K9" s="45">
        <v>97.041403196304103</v>
      </c>
      <c r="L9" s="134">
        <v>8.6160098526194009</v>
      </c>
      <c r="M9" s="45" t="s">
        <v>738</v>
      </c>
      <c r="N9" s="133">
        <v>3.9309469754624668E-2</v>
      </c>
      <c r="O9" s="133">
        <v>5.2412626339499559E-3</v>
      </c>
      <c r="P9" s="133">
        <v>1.0482525267899911E-3</v>
      </c>
      <c r="Q9" s="133">
        <v>3.4068207120674716E-2</v>
      </c>
      <c r="R9" s="133">
        <v>3.4068207120674716E-2</v>
      </c>
      <c r="S9" s="133">
        <v>2.3585681852774805E-3</v>
      </c>
      <c r="T9" s="133">
        <v>0.28040755091632269</v>
      </c>
      <c r="U9" s="45">
        <v>84.331990345255932</v>
      </c>
      <c r="V9" s="134">
        <v>7.4875798965508196</v>
      </c>
      <c r="W9" t="s">
        <v>738</v>
      </c>
    </row>
    <row r="10" spans="1:23" x14ac:dyDescent="0.25">
      <c r="A10" s="812" t="s">
        <v>1996</v>
      </c>
      <c r="B10" s="812">
        <v>2104008310</v>
      </c>
      <c r="C10" s="812" t="s">
        <v>141</v>
      </c>
      <c r="D10" s="133">
        <v>2.5587720646933207</v>
      </c>
      <c r="E10" s="133">
        <v>7.0107584980919235E-2</v>
      </c>
      <c r="F10" s="133">
        <v>1.9311487280704309E-2</v>
      </c>
      <c r="G10" s="133">
        <v>0.58620161509391966</v>
      </c>
      <c r="H10" s="133">
        <v>0.58620161509391966</v>
      </c>
      <c r="I10" s="133">
        <v>1.9168029253415021E-2</v>
      </c>
      <c r="J10" s="133">
        <v>5.8499632648967124</v>
      </c>
      <c r="K10" s="45">
        <v>1553.6105254103145</v>
      </c>
      <c r="L10" s="134">
        <v>137.94033426114234</v>
      </c>
      <c r="M10" s="45" t="s">
        <v>738</v>
      </c>
      <c r="N10" s="133">
        <v>2.2236523169282245</v>
      </c>
      <c r="O10" s="133">
        <v>6.0925666622731439E-2</v>
      </c>
      <c r="P10" s="133">
        <v>1.6782281637194148E-2</v>
      </c>
      <c r="Q10" s="133">
        <v>0.50942739198104081</v>
      </c>
      <c r="R10" s="133">
        <v>0.50942739198104081</v>
      </c>
      <c r="S10" s="133">
        <v>1.6657612160312859E-2</v>
      </c>
      <c r="T10" s="133">
        <v>5.0837995878666415</v>
      </c>
      <c r="U10" s="45">
        <v>1350.1357514807719</v>
      </c>
      <c r="V10" s="134">
        <v>119.87443043872915</v>
      </c>
      <c r="W10" t="s">
        <v>738</v>
      </c>
    </row>
    <row r="11" spans="1:23" x14ac:dyDescent="0.25">
      <c r="A11" s="812" t="s">
        <v>1996</v>
      </c>
      <c r="B11" s="812">
        <v>2104008320</v>
      </c>
      <c r="C11" s="812" t="s">
        <v>142</v>
      </c>
      <c r="D11" s="133">
        <v>1.2197616071406479</v>
      </c>
      <c r="E11" s="133">
        <v>0.16353340169405758</v>
      </c>
      <c r="F11" s="133">
        <v>4.0658720238021591E-2</v>
      </c>
      <c r="G11" s="133">
        <v>0.80556362708182427</v>
      </c>
      <c r="H11" s="133">
        <v>0.80556362708182427</v>
      </c>
      <c r="I11" s="133">
        <v>2.5385448477674169E-2</v>
      </c>
      <c r="J11" s="133">
        <v>12.567706836761275</v>
      </c>
      <c r="K11" s="45">
        <v>3270.9969353121678</v>
      </c>
      <c r="L11" s="134">
        <v>290.42182918075184</v>
      </c>
      <c r="M11" s="45" t="s">
        <v>738</v>
      </c>
      <c r="N11" s="133">
        <v>1.0600106829536924</v>
      </c>
      <c r="O11" s="133">
        <v>0.14211560013092808</v>
      </c>
      <c r="P11" s="133">
        <v>3.5333689431789737E-2</v>
      </c>
      <c r="Q11" s="133">
        <v>0.70005978668846225</v>
      </c>
      <c r="R11" s="133">
        <v>0.70005978668846225</v>
      </c>
      <c r="S11" s="133">
        <v>2.206074237816404E-2</v>
      </c>
      <c r="T11" s="133">
        <v>10.921727187680693</v>
      </c>
      <c r="U11" s="45">
        <v>2842.597828167156</v>
      </c>
      <c r="V11" s="134">
        <v>252.38558066785581</v>
      </c>
      <c r="W11" t="s">
        <v>738</v>
      </c>
    </row>
    <row r="12" spans="1:23" x14ac:dyDescent="0.25">
      <c r="A12" s="812" t="s">
        <v>1996</v>
      </c>
      <c r="B12" s="812">
        <v>2104008330</v>
      </c>
      <c r="C12" s="812" t="s">
        <v>143</v>
      </c>
      <c r="D12" s="133">
        <v>0.91798224501434411</v>
      </c>
      <c r="E12" s="133">
        <v>9.8459081409427274E-2</v>
      </c>
      <c r="F12" s="133">
        <v>2.447952653371584E-2</v>
      </c>
      <c r="G12" s="133">
        <v>0.53815987817167288</v>
      </c>
      <c r="H12" s="133">
        <v>0.53815987817167288</v>
      </c>
      <c r="I12" s="133">
        <v>1.5283898655481611E-2</v>
      </c>
      <c r="J12" s="133">
        <v>7.5666796981662623</v>
      </c>
      <c r="K12" s="45">
        <v>1969.3796509315234</v>
      </c>
      <c r="L12" s="134">
        <v>174.85520527407633</v>
      </c>
      <c r="M12" s="45" t="s">
        <v>738</v>
      </c>
      <c r="N12" s="133">
        <v>0.79775505375848077</v>
      </c>
      <c r="O12" s="133">
        <v>8.5563996699697567E-2</v>
      </c>
      <c r="P12" s="133">
        <v>2.1273468100226157E-2</v>
      </c>
      <c r="Q12" s="133">
        <v>0.46767763197292783</v>
      </c>
      <c r="R12" s="133">
        <v>0.46767763197292783</v>
      </c>
      <c r="S12" s="133">
        <v>1.3282182155225008E-2</v>
      </c>
      <c r="T12" s="133">
        <v>6.5756794340717457</v>
      </c>
      <c r="U12" s="45">
        <v>1711.4520219017816</v>
      </c>
      <c r="V12" s="134">
        <v>151.95459873103681</v>
      </c>
      <c r="W12" t="s">
        <v>738</v>
      </c>
    </row>
    <row r="13" spans="1:23" x14ac:dyDescent="0.25">
      <c r="A13" s="812" t="s">
        <v>1996</v>
      </c>
      <c r="B13" s="812">
        <v>2104008410</v>
      </c>
      <c r="C13" s="812" t="s">
        <v>144</v>
      </c>
      <c r="D13" s="133">
        <v>1.5381650824409402E-2</v>
      </c>
      <c r="E13" s="133">
        <v>2.6861153900014038E-2</v>
      </c>
      <c r="F13" s="133">
        <v>2.1467455664346885E-3</v>
      </c>
      <c r="G13" s="133">
        <v>1.9857396489520871E-2</v>
      </c>
      <c r="H13" s="133">
        <v>1.9857396489520871E-2</v>
      </c>
      <c r="I13" s="133">
        <v>4.8221272286039202E-4</v>
      </c>
      <c r="J13" s="133">
        <v>6.6629615518216667E-2</v>
      </c>
      <c r="K13" s="45">
        <v>206.24248382693833</v>
      </c>
      <c r="L13" s="134">
        <v>18.311640332394493</v>
      </c>
      <c r="M13" s="45" t="s">
        <v>738</v>
      </c>
      <c r="N13" s="133">
        <v>1.3367131823044319E-2</v>
      </c>
      <c r="O13" s="133">
        <v>2.3343176177863537E-2</v>
      </c>
      <c r="P13" s="133">
        <v>1.8655885057233604E-3</v>
      </c>
      <c r="Q13" s="133">
        <v>1.7256693677941078E-2</v>
      </c>
      <c r="R13" s="133">
        <v>1.7256693677941078E-2</v>
      </c>
      <c r="S13" s="133">
        <v>4.1905781809810984E-4</v>
      </c>
      <c r="T13" s="133">
        <v>5.7903203246388812E-2</v>
      </c>
      <c r="U13" s="45">
        <v>179.23111766728223</v>
      </c>
      <c r="V13" s="134">
        <v>15.913383616201717</v>
      </c>
      <c r="W13" t="s">
        <v>738</v>
      </c>
    </row>
    <row r="14" spans="1:23" x14ac:dyDescent="0.25">
      <c r="A14" s="812" t="s">
        <v>1996</v>
      </c>
      <c r="B14" s="812">
        <v>2104008420</v>
      </c>
      <c r="C14" s="812" t="s">
        <v>145</v>
      </c>
      <c r="D14" s="133">
        <v>5.1882786270853021E-2</v>
      </c>
      <c r="E14" s="133">
        <v>9.0603506911711998E-2</v>
      </c>
      <c r="F14" s="133">
        <v>7.2410395134235375E-3</v>
      </c>
      <c r="G14" s="133">
        <v>6.6979615499167713E-2</v>
      </c>
      <c r="H14" s="133">
        <v>6.6979615499167713E-2</v>
      </c>
      <c r="I14" s="133">
        <v>1.6265185007027622E-3</v>
      </c>
      <c r="J14" s="133">
        <v>0.224743763897883</v>
      </c>
      <c r="K14" s="45">
        <v>695.66230767520722</v>
      </c>
      <c r="L14" s="134">
        <v>61.765731941248461</v>
      </c>
      <c r="M14" s="45" t="s">
        <v>738</v>
      </c>
      <c r="N14" s="133">
        <v>4.5087751070825327E-2</v>
      </c>
      <c r="O14" s="133">
        <v>7.8737258721088138E-2</v>
      </c>
      <c r="P14" s="133">
        <v>6.2926880096773729E-3</v>
      </c>
      <c r="Q14" s="133">
        <v>5.8207364089515698E-2</v>
      </c>
      <c r="R14" s="133">
        <v>5.8207364089515698E-2</v>
      </c>
      <c r="S14" s="133">
        <v>1.4134950441737802E-3</v>
      </c>
      <c r="T14" s="133">
        <v>0.19530930410036146</v>
      </c>
      <c r="U14" s="45">
        <v>604.55213014333617</v>
      </c>
      <c r="V14" s="134">
        <v>53.676337503077384</v>
      </c>
      <c r="W14" t="s">
        <v>738</v>
      </c>
    </row>
    <row r="15" spans="1:23" x14ac:dyDescent="0.25">
      <c r="A15" s="812" t="s">
        <v>1996</v>
      </c>
      <c r="B15" s="812">
        <v>2104008610</v>
      </c>
      <c r="C15" s="812" t="s">
        <v>146</v>
      </c>
      <c r="D15" s="133">
        <v>1.3152282924302032</v>
      </c>
      <c r="E15" s="133">
        <v>4.6720544935068185E-2</v>
      </c>
      <c r="F15" s="133">
        <v>1.1587914470750688E-2</v>
      </c>
      <c r="G15" s="133">
        <v>0.28593619527074826</v>
      </c>
      <c r="H15" s="133">
        <v>0.28593619527074826</v>
      </c>
      <c r="I15" s="133">
        <v>7.0616336396029595E-3</v>
      </c>
      <c r="J15" s="133">
        <v>1.7547192567193626</v>
      </c>
      <c r="K15" s="45">
        <v>932.24854345118945</v>
      </c>
      <c r="L15" s="134">
        <v>82.77150134790557</v>
      </c>
      <c r="M15" s="45" t="s">
        <v>738</v>
      </c>
      <c r="N15" s="133">
        <v>1.2024232347326995</v>
      </c>
      <c r="O15" s="133">
        <v>4.271339743269733E-2</v>
      </c>
      <c r="P15" s="133">
        <v>1.0594037310420261E-2</v>
      </c>
      <c r="Q15" s="133">
        <v>0.26141189846922297</v>
      </c>
      <c r="R15" s="133">
        <v>0.26141189846922297</v>
      </c>
      <c r="S15" s="133">
        <v>6.4559684522443803E-3</v>
      </c>
      <c r="T15" s="133">
        <v>1.6042197517008052</v>
      </c>
      <c r="U15" s="45">
        <v>852.29105520547046</v>
      </c>
      <c r="V15" s="134">
        <v>75.672320134272283</v>
      </c>
      <c r="W15" t="s">
        <v>738</v>
      </c>
    </row>
    <row r="16" spans="1:23" x14ac:dyDescent="0.25">
      <c r="A16" s="812" t="s">
        <v>1996</v>
      </c>
      <c r="B16" s="812">
        <v>2104004000</v>
      </c>
      <c r="C16" s="812" t="s">
        <v>568</v>
      </c>
      <c r="D16" s="133">
        <v>0.10423988986328517</v>
      </c>
      <c r="E16" s="133">
        <v>1.6332488747146015</v>
      </c>
      <c r="F16" s="133">
        <v>4.225528238668768</v>
      </c>
      <c r="G16" s="133">
        <v>6.6754041200869266E-2</v>
      </c>
      <c r="H16" s="133">
        <v>6.6754041200869266E-2</v>
      </c>
      <c r="I16" s="133">
        <v>3.5813543104266377E-3</v>
      </c>
      <c r="J16" s="133">
        <v>6.5474588744519294E-2</v>
      </c>
      <c r="K16" s="45">
        <v>39242.929924042684</v>
      </c>
      <c r="L16" s="134">
        <v>292.39800803165548</v>
      </c>
      <c r="M16" s="45" t="s">
        <v>1997</v>
      </c>
      <c r="N16" s="133">
        <v>9.62081145571137E-2</v>
      </c>
      <c r="O16" s="133">
        <v>1.5074056107014713</v>
      </c>
      <c r="P16" s="133">
        <v>3.8999475669376138</v>
      </c>
      <c r="Q16" s="133">
        <v>6.1610583543656873E-2</v>
      </c>
      <c r="R16" s="133">
        <v>6.1610583543656873E-2</v>
      </c>
      <c r="S16" s="133">
        <v>3.3054078071171919E-3</v>
      </c>
      <c r="T16" s="133">
        <v>6.0429714025736804E-2</v>
      </c>
      <c r="U16" s="45">
        <v>36219.227616613869</v>
      </c>
      <c r="V16" s="134">
        <v>269.86848403117455</v>
      </c>
      <c r="W16" t="s">
        <v>1997</v>
      </c>
    </row>
    <row r="17" spans="1:23" x14ac:dyDescent="0.25">
      <c r="A17" s="812" t="s">
        <v>1996</v>
      </c>
      <c r="B17" s="812">
        <v>2103004001</v>
      </c>
      <c r="C17" s="812" t="s">
        <v>148</v>
      </c>
      <c r="D17" s="133">
        <v>3.4272228523971653E-2</v>
      </c>
      <c r="E17" s="133">
        <v>0.86521755039479642</v>
      </c>
      <c r="F17" s="133">
        <v>0.61157421873239304</v>
      </c>
      <c r="G17" s="133">
        <v>2.1947545780558356E-2</v>
      </c>
      <c r="H17" s="133">
        <v>2.1947545780558356E-2</v>
      </c>
      <c r="I17" s="133">
        <v>1.1774858311269557E-3</v>
      </c>
      <c r="J17" s="133">
        <v>2.1526884486430989E-2</v>
      </c>
      <c r="K17" s="45">
        <v>13314.736747742141</v>
      </c>
      <c r="L17" s="134">
        <v>99.207742898943522</v>
      </c>
      <c r="M17" s="45" t="s">
        <v>1997</v>
      </c>
      <c r="N17" s="133">
        <v>3.3722777097177102E-2</v>
      </c>
      <c r="O17" s="133">
        <v>0.85134640638034775</v>
      </c>
      <c r="P17" s="133">
        <v>0.60176947764769106</v>
      </c>
      <c r="Q17" s="133">
        <v>2.1595683329147249E-2</v>
      </c>
      <c r="R17" s="133">
        <v>2.1595683329147249E-2</v>
      </c>
      <c r="S17" s="133">
        <v>1.1586084106087497E-3</v>
      </c>
      <c r="T17" s="133">
        <v>2.118176606533859E-2</v>
      </c>
      <c r="U17" s="45">
        <v>13101.275253742017</v>
      </c>
      <c r="V17" s="134">
        <v>97.61724708841389</v>
      </c>
      <c r="W17" t="s">
        <v>1997</v>
      </c>
    </row>
    <row r="18" spans="1:23" x14ac:dyDescent="0.25">
      <c r="A18" s="812" t="s">
        <v>1996</v>
      </c>
      <c r="B18" s="812">
        <v>2104004000</v>
      </c>
      <c r="C18" s="812" t="s">
        <v>746</v>
      </c>
      <c r="D18" s="133">
        <v>6.9867775183202413E-4</v>
      </c>
      <c r="E18" s="133">
        <v>1.76384285174985E-2</v>
      </c>
      <c r="F18" s="133">
        <v>2.8322003927362793E-2</v>
      </c>
      <c r="G18" s="133">
        <v>3.9196507816663341E-4</v>
      </c>
      <c r="H18" s="133">
        <v>3.9196507816663341E-4</v>
      </c>
      <c r="I18" s="133">
        <v>2.4004367055688235E-5</v>
      </c>
      <c r="J18" s="133">
        <v>4.3884964312744724E-4</v>
      </c>
      <c r="K18" s="45">
        <v>268.48627941718979</v>
      </c>
      <c r="L18" s="134">
        <v>1.9598253908331666</v>
      </c>
      <c r="M18" s="45" t="s">
        <v>1997</v>
      </c>
      <c r="N18" s="133">
        <v>6.5912842606409897E-4</v>
      </c>
      <c r="O18" s="133">
        <v>1.6639988315783706E-2</v>
      </c>
      <c r="P18" s="133">
        <v>2.6718809669657236E-2</v>
      </c>
      <c r="Q18" s="133">
        <v>3.6977751812852674E-4</v>
      </c>
      <c r="R18" s="133">
        <v>3.6977751812852674E-4</v>
      </c>
      <c r="S18" s="133">
        <v>2.2645576783565026E-5</v>
      </c>
      <c r="T18" s="133">
        <v>4.1400813722050384E-4</v>
      </c>
      <c r="U18" s="45">
        <v>253.2883554800876</v>
      </c>
      <c r="V18" s="134">
        <v>1.8488875906426334</v>
      </c>
      <c r="W18" t="s">
        <v>1997</v>
      </c>
    </row>
    <row r="19" spans="1:23" x14ac:dyDescent="0.25">
      <c r="A19" s="812" t="s">
        <v>1996</v>
      </c>
      <c r="B19" s="812">
        <v>2104004000</v>
      </c>
      <c r="C19" s="812" t="s">
        <v>747</v>
      </c>
      <c r="D19" s="133">
        <v>2.985586236266003E-3</v>
      </c>
      <c r="E19" s="133">
        <v>4.6778688725978068E-2</v>
      </c>
      <c r="F19" s="133">
        <v>0.12102544397225265</v>
      </c>
      <c r="G19" s="133">
        <v>1.9119355065113656E-3</v>
      </c>
      <c r="H19" s="133">
        <v>1.9119355065113656E-3</v>
      </c>
      <c r="I19" s="133">
        <v>1.0257533992433475E-4</v>
      </c>
      <c r="J19" s="133">
        <v>1.8752900759698987E-3</v>
      </c>
      <c r="K19" s="45">
        <v>1046.8394937819085</v>
      </c>
      <c r="L19" s="134">
        <v>8.3747159502552684</v>
      </c>
      <c r="M19" s="45" t="s">
        <v>1997</v>
      </c>
      <c r="N19" s="133">
        <v>2.4667129130019083E-3</v>
      </c>
      <c r="O19" s="133">
        <v>3.864889050332096E-2</v>
      </c>
      <c r="P19" s="133">
        <v>9.999209596488319E-2</v>
      </c>
      <c r="Q19" s="133">
        <v>1.5796549252038545E-3</v>
      </c>
      <c r="R19" s="133">
        <v>1.5796549252038545E-3</v>
      </c>
      <c r="S19" s="133">
        <v>8.4748486737186793E-5</v>
      </c>
      <c r="T19" s="133">
        <v>1.5493782058041141E-3</v>
      </c>
      <c r="U19" s="45">
        <v>864.90635098243672</v>
      </c>
      <c r="V19" s="134">
        <v>6.9192508078594939</v>
      </c>
      <c r="W19" t="s">
        <v>1997</v>
      </c>
    </row>
    <row r="20" spans="1:23" x14ac:dyDescent="0.25">
      <c r="A20" s="812" t="s">
        <v>1996</v>
      </c>
      <c r="B20" s="812">
        <v>2104006010</v>
      </c>
      <c r="C20" s="812" t="s">
        <v>149</v>
      </c>
      <c r="D20" s="133">
        <v>6.6969683938961414E-4</v>
      </c>
      <c r="E20" s="133">
        <v>1.1445727800477043E-2</v>
      </c>
      <c r="F20" s="133">
        <v>7.3057837024321519E-5</v>
      </c>
      <c r="G20" s="133">
        <v>6.0311679724811522E-6</v>
      </c>
      <c r="H20" s="133">
        <v>6.0311679724811522E-6</v>
      </c>
      <c r="I20" s="133">
        <v>2.435261234144052E-3</v>
      </c>
      <c r="J20" s="133">
        <v>4.870522468288104E-3</v>
      </c>
      <c r="K20" s="45">
        <v>300.62303278688523</v>
      </c>
      <c r="L20" s="134">
        <v>296.180327868853</v>
      </c>
      <c r="M20" s="45" t="s">
        <v>1998</v>
      </c>
      <c r="N20" s="133">
        <v>6.6969683938961414E-4</v>
      </c>
      <c r="O20" s="133">
        <v>1.1445727800477043E-2</v>
      </c>
      <c r="P20" s="133">
        <v>7.3057837024321519E-5</v>
      </c>
      <c r="Q20" s="133">
        <v>6.0311679724811522E-6</v>
      </c>
      <c r="R20" s="133">
        <v>6.0311679724811522E-6</v>
      </c>
      <c r="S20" s="133">
        <v>2.435261234144052E-3</v>
      </c>
      <c r="T20" s="133">
        <v>4.870522468288104E-3</v>
      </c>
      <c r="U20" s="45">
        <v>300.62303278688523</v>
      </c>
      <c r="V20" s="134">
        <v>296.180327868853</v>
      </c>
      <c r="W20" t="s">
        <v>1998</v>
      </c>
    </row>
    <row r="21" spans="1:23" x14ac:dyDescent="0.25">
      <c r="A21" s="812" t="s">
        <v>1996</v>
      </c>
      <c r="B21" s="812">
        <v>2103006000</v>
      </c>
      <c r="C21" s="812" t="s">
        <v>150</v>
      </c>
      <c r="D21" s="133">
        <v>5.2612909836065591E-3</v>
      </c>
      <c r="E21" s="133">
        <v>9.5659836065573781E-2</v>
      </c>
      <c r="F21" s="133">
        <v>5.7395901639344191E-4</v>
      </c>
      <c r="G21" s="133">
        <v>7.2701475409836045E-3</v>
      </c>
      <c r="H21" s="133">
        <v>7.2701475409836045E-3</v>
      </c>
      <c r="I21" s="133">
        <v>1.9131967213114748E-2</v>
      </c>
      <c r="J21" s="133">
        <v>3.8263934426229496E-2</v>
      </c>
      <c r="K21" s="45">
        <v>1941.8946721311463</v>
      </c>
      <c r="L21" s="134">
        <v>1913.196721311476</v>
      </c>
      <c r="M21" s="45" t="s">
        <v>1998</v>
      </c>
      <c r="N21" s="133">
        <v>5.2612909836065591E-3</v>
      </c>
      <c r="O21" s="133">
        <v>9.5659836065573781E-2</v>
      </c>
      <c r="P21" s="133">
        <v>5.7395901639344191E-4</v>
      </c>
      <c r="Q21" s="133">
        <v>7.2701475409836045E-3</v>
      </c>
      <c r="R21" s="133">
        <v>7.2701475409836045E-3</v>
      </c>
      <c r="S21" s="133">
        <v>1.9131967213114748E-2</v>
      </c>
      <c r="T21" s="133">
        <v>3.8263934426229496E-2</v>
      </c>
      <c r="U21" s="45">
        <v>1941.8946721311463</v>
      </c>
      <c r="V21" s="134">
        <v>1913.196721311476</v>
      </c>
      <c r="W21" t="s">
        <v>1998</v>
      </c>
    </row>
    <row r="22" spans="1:23" x14ac:dyDescent="0.25">
      <c r="A22" s="812" t="s">
        <v>1996</v>
      </c>
      <c r="B22" s="812">
        <v>2104002000</v>
      </c>
      <c r="C22" s="812" t="s">
        <v>151</v>
      </c>
      <c r="D22" s="133">
        <v>0.1584286232873775</v>
      </c>
      <c r="E22" s="133">
        <v>7.4778310191642175E-2</v>
      </c>
      <c r="F22" s="133">
        <v>0.14733861965726106</v>
      </c>
      <c r="G22" s="133">
        <v>0.12658447000661457</v>
      </c>
      <c r="H22" s="133">
        <v>0.12658447000661457</v>
      </c>
      <c r="I22" s="133">
        <v>2.0056271565065554E-2</v>
      </c>
      <c r="J22" s="133">
        <v>2.0686817485749311</v>
      </c>
      <c r="K22" s="45">
        <v>481.6230147936277</v>
      </c>
      <c r="L22" s="134">
        <v>31.685724657475493</v>
      </c>
      <c r="M22" s="45" t="s">
        <v>738</v>
      </c>
      <c r="N22" s="133">
        <v>0.13870342635205007</v>
      </c>
      <c r="O22" s="133">
        <v>6.5468017238167628E-2</v>
      </c>
      <c r="P22" s="133">
        <v>0.12899418650740652</v>
      </c>
      <c r="Q22" s="133">
        <v>0.11082403765528798</v>
      </c>
      <c r="R22" s="133">
        <v>0.11082403765528798</v>
      </c>
      <c r="S22" s="133">
        <v>1.7559160259037782E-2</v>
      </c>
      <c r="T22" s="133">
        <v>1.8111199895918939</v>
      </c>
      <c r="U22" s="45">
        <v>421.65841611023222</v>
      </c>
      <c r="V22" s="134">
        <v>27.740685270410012</v>
      </c>
      <c r="W22" t="s">
        <v>738</v>
      </c>
    </row>
    <row r="23" spans="1:23" x14ac:dyDescent="0.25">
      <c r="A23" s="812" t="s">
        <v>1996</v>
      </c>
      <c r="B23" s="812">
        <v>2103002000</v>
      </c>
      <c r="C23" s="812" t="s">
        <v>152</v>
      </c>
      <c r="D23" s="133">
        <v>4.0148138126104761E-4</v>
      </c>
      <c r="E23" s="133">
        <v>1.8949921195521454E-4</v>
      </c>
      <c r="F23" s="133">
        <v>3.7337768457277427E-4</v>
      </c>
      <c r="G23" s="133">
        <v>3.2078362362757709E-4</v>
      </c>
      <c r="H23" s="133">
        <v>3.2078362362757709E-4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4.8030744532512695E-5</v>
      </c>
      <c r="T23" s="133">
        <v>4.9540775443997348E-3</v>
      </c>
      <c r="U23" s="45">
        <v>17.43676104884138</v>
      </c>
      <c r="V23" s="134">
        <v>1.1533904449531067</v>
      </c>
      <c r="W23" t="s">
        <v>738</v>
      </c>
    </row>
    <row r="24" spans="1:23" x14ac:dyDescent="0.25">
      <c r="A24" s="812" t="s">
        <v>1996</v>
      </c>
      <c r="B24" s="812">
        <v>2103008000</v>
      </c>
      <c r="C24" s="812" t="s">
        <v>153</v>
      </c>
      <c r="D24" s="133">
        <v>1.2267802496122725E-3</v>
      </c>
      <c r="E24" s="133">
        <v>4.8776475754854222E-5</v>
      </c>
      <c r="F24" s="133">
        <v>1.0633485245822149E-5</v>
      </c>
      <c r="G24" s="133">
        <v>3.4500168382878608E-4</v>
      </c>
      <c r="H24" s="133">
        <v>3.4500168382878608E-4</v>
      </c>
      <c r="I24" s="133">
        <v>1.2632663031087653E-5</v>
      </c>
      <c r="J24" s="133">
        <v>2.4538740814386119E-3</v>
      </c>
      <c r="K24" s="45">
        <v>11.138643290370357</v>
      </c>
      <c r="L24" s="134">
        <v>0.91979647376361562</v>
      </c>
      <c r="M24" s="45" t="s">
        <v>738</v>
      </c>
      <c r="N24" s="133">
        <v>1.0057156829621557E-3</v>
      </c>
      <c r="O24" s="133">
        <v>4.0923651207836456E-5</v>
      </c>
      <c r="P24" s="133">
        <v>8.6857798127814725E-6</v>
      </c>
      <c r="Q24" s="133">
        <v>2.9694131175428141E-4</v>
      </c>
      <c r="R24" s="133">
        <v>2.9694131175428141E-4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2.7346164289603587E-2</v>
      </c>
      <c r="F25" s="135">
        <v>1.9363248899601768E-2</v>
      </c>
      <c r="G25" s="135">
        <v>2.7260720241086738E-3</v>
      </c>
      <c r="H25" s="135">
        <v>2.7260720241086738E-3</v>
      </c>
      <c r="I25" s="135">
        <v>1.9058091583470187E-5</v>
      </c>
      <c r="J25" s="135">
        <v>6.5100227441401174E-3</v>
      </c>
      <c r="K25" s="88">
        <v>145.09904851683226</v>
      </c>
      <c r="L25" s="136">
        <v>1.0476465596883191</v>
      </c>
      <c r="M25" s="88" t="s">
        <v>1997</v>
      </c>
      <c r="N25" s="135">
        <v>5.2382327984415965E-4</v>
      </c>
      <c r="O25" s="135">
        <v>2.7346164289603587E-2</v>
      </c>
      <c r="P25" s="135">
        <v>1.9363248899601768E-2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12.731872234730261</v>
      </c>
      <c r="E26" s="137">
        <v>3.3607488541311912</v>
      </c>
      <c r="F26" s="137">
        <v>5.2744467705124052</v>
      </c>
      <c r="G26" s="137">
        <v>3.6266416882033212</v>
      </c>
      <c r="H26" s="137">
        <v>3.6266416882033212</v>
      </c>
      <c r="I26" s="137">
        <v>0.17491287866748198</v>
      </c>
      <c r="J26" s="137">
        <v>38.565418345189762</v>
      </c>
      <c r="K26" s="87">
        <v>66593.729379606739</v>
      </c>
      <c r="L26" s="87"/>
      <c r="M26" s="87"/>
      <c r="N26" s="137">
        <v>11.455446949258604</v>
      </c>
      <c r="O26" s="137">
        <v>3.131264083384687</v>
      </c>
      <c r="P26" s="137">
        <v>4.8833902807912191</v>
      </c>
      <c r="Q26" s="137">
        <v>3.2211994800590729</v>
      </c>
      <c r="R26" s="137">
        <v>3.2211994800590729</v>
      </c>
      <c r="S26" s="137">
        <v>0.15812834431184009</v>
      </c>
      <c r="T26" s="137">
        <v>33.973404257919405</v>
      </c>
      <c r="U26" s="87">
        <v>61897.190794795344</v>
      </c>
    </row>
    <row r="27" spans="1:23" x14ac:dyDescent="0.25">
      <c r="A27" s="812"/>
      <c r="B27" s="812"/>
      <c r="C27" s="812"/>
      <c r="D27" s="133"/>
      <c r="E27" s="133"/>
      <c r="F27" s="133"/>
      <c r="G27" s="133"/>
      <c r="H27" s="133"/>
      <c r="I27" s="133"/>
      <c r="J27" s="133"/>
      <c r="K27" s="133"/>
      <c r="L27" s="133"/>
      <c r="M27" s="133"/>
      <c r="N27" s="133"/>
      <c r="O27" s="133"/>
      <c r="P27" s="133"/>
      <c r="Q27" s="133"/>
      <c r="R27" s="133"/>
      <c r="S27" s="133"/>
      <c r="T27" s="133"/>
    </row>
    <row r="28" spans="1:23" x14ac:dyDescent="0.25">
      <c r="A28" s="812" t="s">
        <v>1999</v>
      </c>
      <c r="B28" s="812">
        <v>2104008100</v>
      </c>
      <c r="C28" s="812" t="s">
        <v>137</v>
      </c>
      <c r="D28" s="133">
        <v>3.8453748864151986</v>
      </c>
      <c r="E28" s="133">
        <v>4.365927818637344E-2</v>
      </c>
      <c r="F28" s="133">
        <v>6.7168120286728366E-3</v>
      </c>
      <c r="G28" s="133">
        <v>0.58100424048020038</v>
      </c>
      <c r="H28" s="133">
        <v>0.58100424048020038</v>
      </c>
      <c r="I28" s="133">
        <v>3.0225654129027758E-2</v>
      </c>
      <c r="J28" s="133">
        <v>4.2416667961068955</v>
      </c>
      <c r="K28" s="45">
        <v>537.27001889043129</v>
      </c>
      <c r="L28" s="134">
        <v>47.977625075524564</v>
      </c>
      <c r="M28" s="45" t="s">
        <v>738</v>
      </c>
      <c r="N28" s="133">
        <v>3.5562120636690513</v>
      </c>
      <c r="O28" s="133">
        <v>4.0376206836417169E-2</v>
      </c>
      <c r="P28" s="133">
        <v>6.2117241286795645E-3</v>
      </c>
      <c r="Q28" s="133">
        <v>0.53731413713078235</v>
      </c>
      <c r="R28" s="133">
        <v>0.53731413713078235</v>
      </c>
      <c r="S28" s="133">
        <v>2.7952758579058042E-2</v>
      </c>
      <c r="T28" s="133">
        <v>3.9227037872611445</v>
      </c>
      <c r="U28" s="45">
        <v>496.86862245231595</v>
      </c>
      <c r="V28" s="134">
        <v>44.36982456054583</v>
      </c>
      <c r="W28" t="s">
        <v>738</v>
      </c>
    </row>
    <row r="29" spans="1:23" x14ac:dyDescent="0.25">
      <c r="A29" s="812" t="s">
        <v>1999</v>
      </c>
      <c r="B29" s="812">
        <v>2104008210</v>
      </c>
      <c r="C29" s="812" t="s">
        <v>138</v>
      </c>
      <c r="D29" s="133">
        <v>9.0674146090316807E-2</v>
      </c>
      <c r="E29" s="133">
        <v>4.7903322462808859E-3</v>
      </c>
      <c r="F29" s="133">
        <v>6.8433317804012688E-4</v>
      </c>
      <c r="G29" s="133">
        <v>5.2351488120069706E-2</v>
      </c>
      <c r="H29" s="133">
        <v>5.2351488120069706E-2</v>
      </c>
      <c r="I29" s="133">
        <v>2.90841600667054E-3</v>
      </c>
      <c r="J29" s="133">
        <v>0.39486024372915318</v>
      </c>
      <c r="K29" s="45">
        <v>54.73901873737794</v>
      </c>
      <c r="L29" s="134">
        <v>4.8881345052674856</v>
      </c>
      <c r="M29" s="45" t="s">
        <v>738</v>
      </c>
      <c r="N29" s="133">
        <v>7.9120371952695917E-2</v>
      </c>
      <c r="O29" s="133">
        <v>4.1799441786329909E-3</v>
      </c>
      <c r="P29" s="133">
        <v>5.9713488266185618E-4</v>
      </c>
      <c r="Q29" s="133">
        <v>4.5680818523631983E-2</v>
      </c>
      <c r="R29" s="133">
        <v>4.5680818523631983E-2</v>
      </c>
      <c r="S29" s="133">
        <v>2.5378232513128883E-3</v>
      </c>
      <c r="T29" s="133">
        <v>0.34454682729589098</v>
      </c>
      <c r="U29" s="45">
        <v>47.764128029538085</v>
      </c>
      <c r="V29" s="134">
        <v>4.2652843934845981</v>
      </c>
      <c r="W29" t="s">
        <v>738</v>
      </c>
    </row>
    <row r="30" spans="1:23" x14ac:dyDescent="0.25">
      <c r="A30" s="812" t="s">
        <v>1999</v>
      </c>
      <c r="B30" s="812">
        <v>2104008220</v>
      </c>
      <c r="C30" s="812" t="s">
        <v>139</v>
      </c>
      <c r="D30" s="133">
        <v>4.3224186979111269E-2</v>
      </c>
      <c r="E30" s="133">
        <v>7.2040311631852098E-3</v>
      </c>
      <c r="F30" s="133">
        <v>1.4408062326370422E-3</v>
      </c>
      <c r="G30" s="133">
        <v>4.3224186979111269E-2</v>
      </c>
      <c r="H30" s="133">
        <v>4.3224186979111269E-2</v>
      </c>
      <c r="I30" s="133">
        <v>3.2418140234333455E-3</v>
      </c>
      <c r="J30" s="133">
        <v>0.50716379388823885</v>
      </c>
      <c r="K30" s="45">
        <v>115.2484226924701</v>
      </c>
      <c r="L30" s="134">
        <v>10.291558099415449</v>
      </c>
      <c r="M30" s="45" t="s">
        <v>738</v>
      </c>
      <c r="N30" s="133">
        <v>3.7716525587500126E-2</v>
      </c>
      <c r="O30" s="133">
        <v>6.2860875979166876E-3</v>
      </c>
      <c r="P30" s="133">
        <v>1.2572175195833379E-3</v>
      </c>
      <c r="Q30" s="133">
        <v>3.7716525587500126E-2</v>
      </c>
      <c r="R30" s="133">
        <v>3.7716525587500126E-2</v>
      </c>
      <c r="S30" s="133">
        <v>2.8287394190625098E-3</v>
      </c>
      <c r="T30" s="133">
        <v>0.44254056689333487</v>
      </c>
      <c r="U30" s="45">
        <v>100.56337405490639</v>
      </c>
      <c r="V30" s="134">
        <v>8.9801993170960497</v>
      </c>
      <c r="W30" t="s">
        <v>738</v>
      </c>
    </row>
    <row r="31" spans="1:23" x14ac:dyDescent="0.25">
      <c r="A31" s="812" t="s">
        <v>1999</v>
      </c>
      <c r="B31" s="812">
        <v>2104008230</v>
      </c>
      <c r="C31" s="812" t="s">
        <v>140</v>
      </c>
      <c r="D31" s="133">
        <v>3.2530156687764204E-2</v>
      </c>
      <c r="E31" s="133">
        <v>4.3373542250352256E-3</v>
      </c>
      <c r="F31" s="133">
        <v>8.6747084500704531E-4</v>
      </c>
      <c r="G31" s="133">
        <v>2.8192802462728976E-2</v>
      </c>
      <c r="H31" s="133">
        <v>2.8192802462728976E-2</v>
      </c>
      <c r="I31" s="133">
        <v>1.9518094012658518E-3</v>
      </c>
      <c r="J31" s="133">
        <v>0.23204845103938465</v>
      </c>
      <c r="K31" s="45">
        <v>69.387988720583976</v>
      </c>
      <c r="L31" s="134">
        <v>6.1962715032119133</v>
      </c>
      <c r="M31" s="45" t="s">
        <v>738</v>
      </c>
      <c r="N31" s="133">
        <v>2.8385137415595046E-2</v>
      </c>
      <c r="O31" s="133">
        <v>3.7846849887460052E-3</v>
      </c>
      <c r="P31" s="133">
        <v>7.5693699774920101E-4</v>
      </c>
      <c r="Q31" s="133">
        <v>2.4600452426849037E-2</v>
      </c>
      <c r="R31" s="133">
        <v>2.4600452426849037E-2</v>
      </c>
      <c r="S31" s="133">
        <v>1.7031082449357024E-3</v>
      </c>
      <c r="T31" s="133">
        <v>0.20248064689791131</v>
      </c>
      <c r="U31" s="45">
        <v>60.546514230789747</v>
      </c>
      <c r="V31" s="134">
        <v>5.4067375011802987</v>
      </c>
      <c r="W31" t="s">
        <v>738</v>
      </c>
    </row>
    <row r="32" spans="1:23" x14ac:dyDescent="0.25">
      <c r="A32" s="812" t="s">
        <v>1999</v>
      </c>
      <c r="B32" s="812">
        <v>2104008310</v>
      </c>
      <c r="C32" s="812" t="s">
        <v>141</v>
      </c>
      <c r="D32" s="133">
        <v>1.8401611301377299</v>
      </c>
      <c r="E32" s="133">
        <v>5.0418423192054633E-2</v>
      </c>
      <c r="F32" s="133">
        <v>1.3888008529341359E-2</v>
      </c>
      <c r="G32" s="133">
        <v>0.42157151916893248</v>
      </c>
      <c r="H32" s="133">
        <v>0.42157151916893248</v>
      </c>
      <c r="I32" s="133">
        <v>1.3784839556510003E-2</v>
      </c>
      <c r="J32" s="133">
        <v>4.2070472635423091</v>
      </c>
      <c r="K32" s="45">
        <v>1110.8857257069958</v>
      </c>
      <c r="L32" s="134">
        <v>99.200880331629989</v>
      </c>
      <c r="M32" s="45" t="s">
        <v>738</v>
      </c>
      <c r="N32" s="133">
        <v>1.6056862881771179</v>
      </c>
      <c r="O32" s="133">
        <v>4.3994066315776389E-2</v>
      </c>
      <c r="P32" s="133">
        <v>1.2118387080582013E-2</v>
      </c>
      <c r="Q32" s="133">
        <v>0.36785453008937713</v>
      </c>
      <c r="R32" s="133">
        <v>0.36785453008937713</v>
      </c>
      <c r="S32" s="133">
        <v>1.2028363982969784E-2</v>
      </c>
      <c r="T32" s="133">
        <v>3.6709818472675511</v>
      </c>
      <c r="U32" s="45">
        <v>969.33575450857541</v>
      </c>
      <c r="V32" s="134">
        <v>86.560622716596214</v>
      </c>
      <c r="W32" t="s">
        <v>738</v>
      </c>
    </row>
    <row r="33" spans="1:31" x14ac:dyDescent="0.25">
      <c r="A33" s="812" t="s">
        <v>1999</v>
      </c>
      <c r="B33" s="812">
        <v>2104008320</v>
      </c>
      <c r="C33" s="812" t="s">
        <v>142</v>
      </c>
      <c r="D33" s="133">
        <v>0.87720118898654897</v>
      </c>
      <c r="E33" s="133">
        <v>0.11760633681635566</v>
      </c>
      <c r="F33" s="133">
        <v>2.9240039632884959E-2</v>
      </c>
      <c r="G33" s="133">
        <v>0.57932744180807116</v>
      </c>
      <c r="H33" s="133">
        <v>0.57932744180807116</v>
      </c>
      <c r="I33" s="133">
        <v>1.825614567404963E-2</v>
      </c>
      <c r="J33" s="133">
        <v>9.038165585392278</v>
      </c>
      <c r="K33" s="45">
        <v>2338.876922393365</v>
      </c>
      <c r="L33" s="134">
        <v>208.85915114364508</v>
      </c>
      <c r="M33" s="45" t="s">
        <v>738</v>
      </c>
      <c r="N33" s="133">
        <v>0.76542749331029702</v>
      </c>
      <c r="O33" s="133">
        <v>0.10262084082529661</v>
      </c>
      <c r="P33" s="133">
        <v>2.5514249777009897E-2</v>
      </c>
      <c r="Q33" s="133">
        <v>0.50550906354940939</v>
      </c>
      <c r="R33" s="133">
        <v>0.50550906354940939</v>
      </c>
      <c r="S33" s="133">
        <v>1.5929932604103789E-2</v>
      </c>
      <c r="T33" s="133">
        <v>7.8865151062355467</v>
      </c>
      <c r="U33" s="45">
        <v>2040.8553047416217</v>
      </c>
      <c r="V33" s="134">
        <v>182.24614663312781</v>
      </c>
      <c r="W33" t="s">
        <v>738</v>
      </c>
    </row>
    <row r="34" spans="1:31" x14ac:dyDescent="0.25">
      <c r="A34" s="812" t="s">
        <v>1999</v>
      </c>
      <c r="B34" s="812">
        <v>2104008330</v>
      </c>
      <c r="C34" s="812" t="s">
        <v>143</v>
      </c>
      <c r="D34" s="133">
        <v>0.66017417836489767</v>
      </c>
      <c r="E34" s="133">
        <v>7.080762566493376E-2</v>
      </c>
      <c r="F34" s="133">
        <v>1.7604644756397267E-2</v>
      </c>
      <c r="G34" s="133">
        <v>0.38702192480355224</v>
      </c>
      <c r="H34" s="133">
        <v>0.38702192480355224</v>
      </c>
      <c r="I34" s="133">
        <v>1.0991536374363403E-2</v>
      </c>
      <c r="J34" s="133">
        <v>5.4416374388692104</v>
      </c>
      <c r="K34" s="45">
        <v>1408.1751551856023</v>
      </c>
      <c r="L34" s="134">
        <v>125.74850123907906</v>
      </c>
      <c r="M34" s="45" t="s">
        <v>738</v>
      </c>
      <c r="N34" s="133">
        <v>0.5760542425596018</v>
      </c>
      <c r="O34" s="133">
        <v>6.1785259870179222E-2</v>
      </c>
      <c r="P34" s="133">
        <v>1.5361446468256044E-2</v>
      </c>
      <c r="Q34" s="133">
        <v>0.33770727340299095</v>
      </c>
      <c r="R34" s="133">
        <v>0.33770727340299095</v>
      </c>
      <c r="S34" s="133">
        <v>9.590985785573233E-3</v>
      </c>
      <c r="T34" s="133">
        <v>4.7482595288650415</v>
      </c>
      <c r="U34" s="45">
        <v>1228.7443208106301</v>
      </c>
      <c r="V34" s="134">
        <v>109.72552397262083</v>
      </c>
      <c r="W34" t="s">
        <v>738</v>
      </c>
    </row>
    <row r="35" spans="1:31" x14ac:dyDescent="0.25">
      <c r="A35" s="812" t="s">
        <v>1999</v>
      </c>
      <c r="B35" s="812">
        <v>2104008410</v>
      </c>
      <c r="C35" s="812" t="s">
        <v>144</v>
      </c>
      <c r="D35" s="133">
        <v>1.1061835618336562E-2</v>
      </c>
      <c r="E35" s="133">
        <v>1.9317410878243887E-2</v>
      </c>
      <c r="F35" s="133">
        <v>1.5438490212382728E-3</v>
      </c>
      <c r="G35" s="133">
        <v>1.4280603446454026E-2</v>
      </c>
      <c r="H35" s="133">
        <v>1.4280603446454026E-2</v>
      </c>
      <c r="I35" s="133">
        <v>3.4678708639564702E-4</v>
      </c>
      <c r="J35" s="133">
        <v>4.7917213996682882E-2</v>
      </c>
      <c r="K35" s="45">
        <v>147.47057101534011</v>
      </c>
      <c r="L35" s="134">
        <v>13.168960703333815</v>
      </c>
      <c r="M35" s="45" t="s">
        <v>738</v>
      </c>
      <c r="N35" s="133">
        <v>9.6523274421641825E-3</v>
      </c>
      <c r="O35" s="133">
        <v>1.6855970524688849E-2</v>
      </c>
      <c r="P35" s="133">
        <v>1.3471305114636446E-3</v>
      </c>
      <c r="Q35" s="133">
        <v>1.2460957231038711E-2</v>
      </c>
      <c r="R35" s="133">
        <v>1.2460957231038711E-2</v>
      </c>
      <c r="S35" s="133">
        <v>3.025991911375212E-4</v>
      </c>
      <c r="T35" s="133">
        <v>4.1811563249552854E-2</v>
      </c>
      <c r="U35" s="45">
        <v>128.67974978433463</v>
      </c>
      <c r="V35" s="134">
        <v>11.490960918897221</v>
      </c>
      <c r="W35" t="s">
        <v>738</v>
      </c>
    </row>
    <row r="36" spans="1:31" x14ac:dyDescent="0.25">
      <c r="A36" s="812" t="s">
        <v>1999</v>
      </c>
      <c r="B36" s="812">
        <v>2104008420</v>
      </c>
      <c r="C36" s="812" t="s">
        <v>145</v>
      </c>
      <c r="D36" s="133">
        <v>3.7311915326975392E-2</v>
      </c>
      <c r="E36" s="133">
        <v>6.5158227250335515E-2</v>
      </c>
      <c r="F36" s="133">
        <v>5.207450729297544E-3</v>
      </c>
      <c r="G36" s="133">
        <v>4.8168919246002292E-2</v>
      </c>
      <c r="H36" s="133">
        <v>4.8168919246002292E-2</v>
      </c>
      <c r="I36" s="133">
        <v>1.1697236200684609E-3</v>
      </c>
      <c r="J36" s="133">
        <v>0.16162625201057249</v>
      </c>
      <c r="K36" s="45">
        <v>497.42281921312036</v>
      </c>
      <c r="L36" s="134">
        <v>44.419313725161508</v>
      </c>
      <c r="M36" s="45" t="s">
        <v>738</v>
      </c>
      <c r="N36" s="133">
        <v>3.255760044321003E-2</v>
      </c>
      <c r="O36" s="133">
        <v>5.685571243968271E-2</v>
      </c>
      <c r="P36" s="133">
        <v>4.5439130820925265E-3</v>
      </c>
      <c r="Q36" s="133">
        <v>4.2031196009355856E-2</v>
      </c>
      <c r="R36" s="133">
        <v>4.2031196009355856E-2</v>
      </c>
      <c r="S36" s="133">
        <v>1.0206764760650334E-3</v>
      </c>
      <c r="T36" s="133">
        <v>0.14103170228544676</v>
      </c>
      <c r="U36" s="45">
        <v>434.04079520858716</v>
      </c>
      <c r="V36" s="134">
        <v>38.759368302378583</v>
      </c>
      <c r="W36" t="s">
        <v>738</v>
      </c>
    </row>
    <row r="37" spans="1:31" x14ac:dyDescent="0.25">
      <c r="A37" s="812" t="s">
        <v>1999</v>
      </c>
      <c r="B37" s="812">
        <v>2104008610</v>
      </c>
      <c r="C37" s="812" t="s">
        <v>146</v>
      </c>
      <c r="D37" s="133">
        <v>1.2163913784315235</v>
      </c>
      <c r="E37" s="133">
        <v>4.3209584512230531E-2</v>
      </c>
      <c r="F37" s="133">
        <v>1.0717104655784349E-2</v>
      </c>
      <c r="G37" s="133">
        <v>0.26444863200607316</v>
      </c>
      <c r="H37" s="133">
        <v>0.26444863200607316</v>
      </c>
      <c r="I37" s="133">
        <v>6.5309652524152221E-3</v>
      </c>
      <c r="J37" s="133">
        <v>1.622855429529527</v>
      </c>
      <c r="K37" s="45">
        <v>857.24879545299598</v>
      </c>
      <c r="L37" s="134">
        <v>76.551379862267225</v>
      </c>
      <c r="M37" s="45" t="s">
        <v>738</v>
      </c>
      <c r="N37" s="133">
        <v>1.1123111664418219</v>
      </c>
      <c r="O37" s="133">
        <v>3.9512367649497698E-2</v>
      </c>
      <c r="P37" s="133">
        <v>9.8000983827473288E-3</v>
      </c>
      <c r="Q37" s="133">
        <v>0.24182115357469078</v>
      </c>
      <c r="R37" s="133">
        <v>0.24182115357469078</v>
      </c>
      <c r="S37" s="133">
        <v>5.9721449088796993E-3</v>
      </c>
      <c r="T37" s="133">
        <v>1.4839962267029916</v>
      </c>
      <c r="U37" s="45">
        <v>783.8985251857797</v>
      </c>
      <c r="V37" s="134">
        <v>70.00128095048224</v>
      </c>
      <c r="W37" t="s">
        <v>738</v>
      </c>
    </row>
    <row r="38" spans="1:31" x14ac:dyDescent="0.25">
      <c r="A38" s="812" t="s">
        <v>1999</v>
      </c>
      <c r="B38" s="812">
        <v>2104004000</v>
      </c>
      <c r="C38" s="812" t="s">
        <v>568</v>
      </c>
      <c r="D38" s="133">
        <v>7.8933422427485161E-2</v>
      </c>
      <c r="E38" s="133">
        <v>1.2367427049869637</v>
      </c>
      <c r="F38" s="133">
        <v>3.1996906930691744</v>
      </c>
      <c r="G38" s="133">
        <v>5.054806696132004E-2</v>
      </c>
      <c r="H38" s="133">
        <v>5.054806696132004E-2</v>
      </c>
      <c r="I38" s="133">
        <v>2.7119037924748205E-3</v>
      </c>
      <c r="J38" s="133">
        <v>4.957922901122809E-2</v>
      </c>
      <c r="K38" s="45">
        <v>29715.867592044284</v>
      </c>
      <c r="L38" s="134">
        <v>221.41212462127677</v>
      </c>
      <c r="M38" s="45" t="s">
        <v>1997</v>
      </c>
      <c r="N38" s="133">
        <v>7.2991085278931278E-2</v>
      </c>
      <c r="O38" s="133">
        <v>1.1436371244478882</v>
      </c>
      <c r="P38" s="133">
        <v>2.9588086904324</v>
      </c>
      <c r="Q38" s="133">
        <v>4.6742661762175279E-2</v>
      </c>
      <c r="R38" s="133">
        <v>4.6742661762175279E-2</v>
      </c>
      <c r="S38" s="133">
        <v>2.5077438035407042E-3</v>
      </c>
      <c r="T38" s="133">
        <v>4.5846760745066939E-2</v>
      </c>
      <c r="U38" s="45">
        <v>27478.770827920864</v>
      </c>
      <c r="V38" s="134">
        <v>204.7435772200036</v>
      </c>
      <c r="W38" t="s">
        <v>1997</v>
      </c>
    </row>
    <row r="39" spans="1:31" x14ac:dyDescent="0.25">
      <c r="A39" s="812" t="s">
        <v>1999</v>
      </c>
      <c r="B39" s="812">
        <v>2103004001</v>
      </c>
      <c r="C39" s="812" t="s">
        <v>148</v>
      </c>
      <c r="D39" s="133">
        <v>2.4356387125182094E-2</v>
      </c>
      <c r="E39" s="133">
        <v>0.61488775351090863</v>
      </c>
      <c r="F39" s="133">
        <v>0.43462999252611062</v>
      </c>
      <c r="G39" s="133">
        <v>1.5597553602475457E-2</v>
      </c>
      <c r="H39" s="133">
        <v>1.5597553602475457E-2</v>
      </c>
      <c r="I39" s="133">
        <v>8.3680875077280837E-4</v>
      </c>
      <c r="J39" s="133">
        <v>1.5298600491761349E-2</v>
      </c>
      <c r="K39" s="45">
        <v>9462.4393179178751</v>
      </c>
      <c r="L39" s="134">
        <v>70.504379082676166</v>
      </c>
      <c r="M39" s="45" t="s">
        <v>1997</v>
      </c>
      <c r="N39" s="133">
        <v>2.3965906195465746E-2</v>
      </c>
      <c r="O39" s="133">
        <v>0.60502988992760653</v>
      </c>
      <c r="P39" s="133">
        <v>0.42766201641816243</v>
      </c>
      <c r="Q39" s="133">
        <v>1.5347494051332166E-2</v>
      </c>
      <c r="R39" s="133">
        <v>1.5347494051332166E-2</v>
      </c>
      <c r="S39" s="133">
        <v>8.2339305585397103E-4</v>
      </c>
      <c r="T39" s="133">
        <v>1.505333374868164E-2</v>
      </c>
      <c r="U39" s="45">
        <v>9310.7377505526147</v>
      </c>
      <c r="V39" s="134">
        <v>69.374054812833492</v>
      </c>
      <c r="W39" t="s">
        <v>1997</v>
      </c>
    </row>
    <row r="40" spans="1:31" x14ac:dyDescent="0.25">
      <c r="A40" s="812" t="s">
        <v>1999</v>
      </c>
      <c r="B40" s="812">
        <v>2104004000</v>
      </c>
      <c r="C40" s="812" t="s">
        <v>746</v>
      </c>
      <c r="D40" s="133">
        <v>5.25236459949667E-4</v>
      </c>
      <c r="E40" s="133">
        <v>1.3259826478392724E-2</v>
      </c>
      <c r="F40" s="133">
        <v>2.1291287782504102E-2</v>
      </c>
      <c r="G40" s="133">
        <v>2.9466281063094925E-4</v>
      </c>
      <c r="H40" s="133">
        <v>2.9466281063094925E-4</v>
      </c>
      <c r="I40" s="133">
        <v>1.804547052285889E-5</v>
      </c>
      <c r="J40" s="133">
        <v>3.2990864873260178E-4</v>
      </c>
      <c r="K40" s="45">
        <v>201.83665871193443</v>
      </c>
      <c r="L40" s="134">
        <v>1.473314053154746</v>
      </c>
      <c r="M40" s="45" t="s">
        <v>1997</v>
      </c>
      <c r="N40" s="133">
        <v>4.9662360659376455E-4</v>
      </c>
      <c r="O40" s="133">
        <v>1.2537482354400786E-2</v>
      </c>
      <c r="P40" s="133">
        <v>2.013142067210303E-2</v>
      </c>
      <c r="Q40" s="133">
        <v>2.7861071898668414E-4</v>
      </c>
      <c r="R40" s="133">
        <v>2.7861071898668414E-4</v>
      </c>
      <c r="S40" s="133">
        <v>1.7062422998210074E-5</v>
      </c>
      <c r="T40" s="133">
        <v>3.1193649998280908E-4</v>
      </c>
      <c r="U40" s="45">
        <v>190.84137723790394</v>
      </c>
      <c r="V40" s="134">
        <v>1.3930535949334206</v>
      </c>
      <c r="W40" t="s">
        <v>1997</v>
      </c>
    </row>
    <row r="41" spans="1:31" x14ac:dyDescent="0.25">
      <c r="A41" s="812" t="s">
        <v>1999</v>
      </c>
      <c r="B41" s="812">
        <v>2104004000</v>
      </c>
      <c r="C41" s="812" t="s">
        <v>747</v>
      </c>
      <c r="D41" s="133">
        <v>1.6760030375750524E-3</v>
      </c>
      <c r="E41" s="133">
        <v>2.6259909509956575E-2</v>
      </c>
      <c r="F41" s="133">
        <v>6.7939424846441665E-2</v>
      </c>
      <c r="G41" s="133">
        <v>1.0732933042216593E-3</v>
      </c>
      <c r="H41" s="133">
        <v>1.0732933042216593E-3</v>
      </c>
      <c r="I41" s="133">
        <v>5.7582185771492013E-5</v>
      </c>
      <c r="J41" s="133">
        <v>1.0527218492240771E-3</v>
      </c>
      <c r="K41" s="45">
        <v>587.65884907961163</v>
      </c>
      <c r="L41" s="134">
        <v>4.701270792636894</v>
      </c>
      <c r="M41" s="45" t="s">
        <v>1997</v>
      </c>
      <c r="N41" s="133">
        <v>1.3990221989742977E-3</v>
      </c>
      <c r="O41" s="133">
        <v>2.1920125157195838E-2</v>
      </c>
      <c r="P41" s="133">
        <v>5.6711569976174062E-2</v>
      </c>
      <c r="Q41" s="133">
        <v>8.9591792195623345E-4</v>
      </c>
      <c r="R41" s="133">
        <v>8.9591792195623345E-4</v>
      </c>
      <c r="S41" s="133">
        <v>4.8065996512951917E-5</v>
      </c>
      <c r="T41" s="133">
        <v>8.787461617854053E-4</v>
      </c>
      <c r="U41" s="45">
        <v>490.54074297836536</v>
      </c>
      <c r="V41" s="134">
        <v>3.9243259438269229</v>
      </c>
      <c r="W41" t="s">
        <v>1997</v>
      </c>
    </row>
    <row r="42" spans="1:31" x14ac:dyDescent="0.25">
      <c r="A42" s="812" t="s">
        <v>1999</v>
      </c>
      <c r="B42" s="812">
        <v>2104006010</v>
      </c>
      <c r="C42" s="812" t="s">
        <v>149</v>
      </c>
      <c r="D42" s="133">
        <v>6.264033437799897E-4</v>
      </c>
      <c r="E42" s="133">
        <v>1.0705802602785282E-2</v>
      </c>
      <c r="F42" s="133">
        <v>6.8334910230544353E-5</v>
      </c>
      <c r="G42" s="133">
        <v>5.6412746225655293E-6</v>
      </c>
      <c r="H42" s="133">
        <v>5.6412746225655293E-6</v>
      </c>
      <c r="I42" s="133">
        <v>2.2778303410181432E-3</v>
      </c>
      <c r="J42" s="133">
        <v>4.5556606820362864E-3</v>
      </c>
      <c r="K42" s="45">
        <v>281.18883333333349</v>
      </c>
      <c r="L42" s="134">
        <v>277.03333333333376</v>
      </c>
      <c r="M42" s="45" t="s">
        <v>1998</v>
      </c>
      <c r="N42" s="133">
        <v>6.264033437799897E-4</v>
      </c>
      <c r="O42" s="133">
        <v>1.0705802602785282E-2</v>
      </c>
      <c r="P42" s="133">
        <v>6.8334910230544353E-5</v>
      </c>
      <c r="Q42" s="133">
        <v>5.6412746225655293E-6</v>
      </c>
      <c r="R42" s="133">
        <v>5.6412746225655293E-6</v>
      </c>
      <c r="S42" s="133">
        <v>2.2778303410181432E-3</v>
      </c>
      <c r="T42" s="133">
        <v>4.5556606820362864E-3</v>
      </c>
      <c r="U42" s="45">
        <v>281.18883333333349</v>
      </c>
      <c r="V42" s="134">
        <v>277.03333333333376</v>
      </c>
      <c r="W42" t="s">
        <v>1998</v>
      </c>
    </row>
    <row r="43" spans="1:31" x14ac:dyDescent="0.25">
      <c r="A43" s="812" t="s">
        <v>1999</v>
      </c>
      <c r="B43" s="812">
        <v>2103006000</v>
      </c>
      <c r="C43" s="812" t="s">
        <v>150</v>
      </c>
      <c r="D43" s="133">
        <v>9.7086916666666596E-3</v>
      </c>
      <c r="E43" s="133">
        <v>0.17652166666666663</v>
      </c>
      <c r="F43" s="133">
        <v>1.0591299999999988E-3</v>
      </c>
      <c r="G43" s="133">
        <v>1.3415646666666668E-2</v>
      </c>
      <c r="H43" s="133">
        <v>1.3415646666666668E-2</v>
      </c>
      <c r="I43" s="133">
        <v>3.5304333333333313E-2</v>
      </c>
      <c r="J43" s="133">
        <v>7.0608666666666625E-2</v>
      </c>
      <c r="K43" s="45">
        <v>3583.3898333333345</v>
      </c>
      <c r="L43" s="134">
        <v>3530.4333333333338</v>
      </c>
      <c r="M43" s="45" t="s">
        <v>1998</v>
      </c>
      <c r="N43" s="133">
        <v>9.7086916666666596E-3</v>
      </c>
      <c r="O43" s="133">
        <v>0.17652166666666663</v>
      </c>
      <c r="P43" s="133">
        <v>1.0591299999999988E-3</v>
      </c>
      <c r="Q43" s="133">
        <v>1.3415646666666668E-2</v>
      </c>
      <c r="R43" s="133">
        <v>1.3415646666666668E-2</v>
      </c>
      <c r="S43" s="133">
        <v>3.5304333333333313E-2</v>
      </c>
      <c r="T43" s="133">
        <v>7.0608666666666625E-2</v>
      </c>
      <c r="U43" s="45">
        <v>3583.3898333333345</v>
      </c>
      <c r="V43" s="134">
        <v>3530.4333333333338</v>
      </c>
      <c r="W43" t="s">
        <v>1998</v>
      </c>
    </row>
    <row r="44" spans="1:31" x14ac:dyDescent="0.25">
      <c r="A44" s="812" t="s">
        <v>1999</v>
      </c>
      <c r="B44" s="812">
        <v>2104002000</v>
      </c>
      <c r="C44" s="812" t="s">
        <v>151</v>
      </c>
      <c r="D44" s="133">
        <v>0.11761659041083214</v>
      </c>
      <c r="E44" s="133">
        <v>5.5515030673912766E-2</v>
      </c>
      <c r="F44" s="133">
        <v>0.10938342908207389</v>
      </c>
      <c r="G44" s="133">
        <v>9.3975655738254865E-2</v>
      </c>
      <c r="H44" s="133">
        <v>9.3975655738254865E-2</v>
      </c>
      <c r="I44" s="133">
        <v>1.4889672263059298E-2</v>
      </c>
      <c r="J44" s="133">
        <v>1.5357786292894409</v>
      </c>
      <c r="K44" s="45">
        <v>357.55443484892987</v>
      </c>
      <c r="L44" s="134">
        <v>23.523318082166437</v>
      </c>
      <c r="M44" s="45" t="s">
        <v>738</v>
      </c>
      <c r="N44" s="133">
        <v>0.10334107204162281</v>
      </c>
      <c r="O44" s="133">
        <v>4.8776986003645967E-2</v>
      </c>
      <c r="P44" s="133">
        <v>9.6107196998709205E-2</v>
      </c>
      <c r="Q44" s="133">
        <v>8.2569516561256592E-2</v>
      </c>
      <c r="R44" s="133">
        <v>8.2569516561256592E-2</v>
      </c>
      <c r="S44" s="133">
        <v>1.3082463015109244E-2</v>
      </c>
      <c r="T44" s="133">
        <v>1.3493760481834902</v>
      </c>
      <c r="U44" s="45">
        <v>314.15685900653347</v>
      </c>
      <c r="V44" s="134">
        <v>20.668214408324562</v>
      </c>
      <c r="W44" t="s">
        <v>738</v>
      </c>
    </row>
    <row r="45" spans="1:31" x14ac:dyDescent="0.25">
      <c r="A45" s="812" t="s">
        <v>1999</v>
      </c>
      <c r="B45" s="812">
        <v>2103002000</v>
      </c>
      <c r="C45" s="812" t="s">
        <v>152</v>
      </c>
      <c r="D45" s="133">
        <v>2.8532244230068844E-4</v>
      </c>
      <c r="E45" s="133">
        <v>1.3467219276592493E-4</v>
      </c>
      <c r="F45" s="133">
        <v>2.6534987133964015E-4</v>
      </c>
      <c r="G45" s="133">
        <v>2.2797263139825004E-4</v>
      </c>
      <c r="H45" s="133">
        <v>2.2797263139825004E-4</v>
      </c>
      <c r="I45" s="133">
        <v>3.6120394583055642E-5</v>
      </c>
      <c r="J45" s="133">
        <v>3.7255977903412375E-3</v>
      </c>
      <c r="K45" s="45">
        <v>13.116826184181894</v>
      </c>
      <c r="L45" s="134">
        <v>0.86738022459409281</v>
      </c>
      <c r="M45" s="45" t="s">
        <v>738</v>
      </c>
      <c r="N45" s="133">
        <v>2.6963315214105558E-4</v>
      </c>
      <c r="O45" s="133">
        <v>1.2726684781057824E-4</v>
      </c>
      <c r="P45" s="133">
        <v>2.5075883149118169E-4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2" t="s">
        <v>1999</v>
      </c>
      <c r="B46" s="812">
        <v>2103008000</v>
      </c>
      <c r="C46" s="812" t="s">
        <v>153</v>
      </c>
      <c r="D46" s="133">
        <v>8.7184102008962066E-4</v>
      </c>
      <c r="E46" s="133">
        <v>3.4664180803309314E-5</v>
      </c>
      <c r="F46" s="133">
        <v>7.5569431662724817E-6</v>
      </c>
      <c r="G46" s="133">
        <v>2.4518378092326654E-4</v>
      </c>
      <c r="H46" s="133">
        <v>2.4518378092326654E-4</v>
      </c>
      <c r="I46" s="133">
        <v>8.977707154115664E-6</v>
      </c>
      <c r="J46" s="133">
        <v>1.7439048949549685E-3</v>
      </c>
      <c r="K46" s="45">
        <v>7.9159459338867979</v>
      </c>
      <c r="L46" s="134">
        <v>0.65367558388256952</v>
      </c>
      <c r="M46" s="45" t="s">
        <v>738</v>
      </c>
      <c r="N46" s="133">
        <v>7.1473614547591408E-4</v>
      </c>
      <c r="O46" s="133">
        <v>2.9083381335906241E-5</v>
      </c>
      <c r="P46" s="133">
        <v>6.1727592489711029E-6</v>
      </c>
      <c r="Q46" s="133">
        <v>2.1102851649953144E-4</v>
      </c>
      <c r="R46" s="133">
        <v>2.1102851649953144E-4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3.7226766797913594E-4</v>
      </c>
      <c r="E47" s="135">
        <v>1.9434212261993551E-2</v>
      </c>
      <c r="F47" s="135">
        <v>1.37609605943799E-2</v>
      </c>
      <c r="G47" s="135">
        <v>1.9373489384817266E-3</v>
      </c>
      <c r="H47" s="135">
        <v>1.9373489384817266E-3</v>
      </c>
      <c r="I47" s="135">
        <v>1.3544093175893141E-5</v>
      </c>
      <c r="J47" s="135">
        <v>4.6265049277175547E-3</v>
      </c>
      <c r="K47" s="88">
        <v>103.11814403022066</v>
      </c>
      <c r="L47" s="136">
        <v>0.74453533595827182</v>
      </c>
      <c r="M47" s="88" t="s">
        <v>1997</v>
      </c>
      <c r="N47" s="135">
        <v>3.7226766797913594E-4</v>
      </c>
      <c r="O47" s="135">
        <v>1.9434212261993551E-2</v>
      </c>
      <c r="P47" s="135">
        <v>1.37609605943799E-2</v>
      </c>
      <c r="Q47" s="135">
        <v>1.9373489384817266E-3</v>
      </c>
      <c r="R47" s="135">
        <v>1.9373489384817266E-3</v>
      </c>
      <c r="S47" s="135">
        <v>1.3544093175893141E-5</v>
      </c>
      <c r="T47" s="135">
        <v>4.6265049277175547E-3</v>
      </c>
      <c r="U47" s="88">
        <v>103.11814403022066</v>
      </c>
      <c r="V47" s="136">
        <v>0.74453533595827182</v>
      </c>
      <c r="W47" s="3" t="s">
        <v>1997</v>
      </c>
    </row>
    <row r="48" spans="1:31" x14ac:dyDescent="0.25">
      <c r="A48" s="810" t="s">
        <v>1999</v>
      </c>
      <c r="B48" s="810" t="s">
        <v>341</v>
      </c>
      <c r="C48" s="810"/>
      <c r="D48" s="137">
        <v>8.8890771686402434</v>
      </c>
      <c r="E48" s="137">
        <v>2.5800048472001778</v>
      </c>
      <c r="F48" s="137">
        <v>3.9360066792347221</v>
      </c>
      <c r="G48" s="137">
        <v>2.5969127842301911</v>
      </c>
      <c r="H48" s="137">
        <v>2.5969127842301911</v>
      </c>
      <c r="I48" s="137">
        <v>0.14556250945606566</v>
      </c>
      <c r="J48" s="137">
        <v>27.582287892356362</v>
      </c>
      <c r="K48" s="87">
        <v>51450.811873425868</v>
      </c>
      <c r="L48" s="87"/>
      <c r="M48" s="87"/>
      <c r="N48" s="137">
        <v>8.0170086582966888</v>
      </c>
      <c r="O48" s="137">
        <v>2.4149707808781642</v>
      </c>
      <c r="P48" s="137">
        <v>3.652074490423725</v>
      </c>
      <c r="Q48" s="137">
        <v>2.3143154108261643</v>
      </c>
      <c r="R48" s="137">
        <v>2.3143154108261643</v>
      </c>
      <c r="S48" s="137">
        <v>0.13398383690396073</v>
      </c>
      <c r="T48" s="137">
        <v>24.381180497992844</v>
      </c>
      <c r="U48" s="87">
        <v>48062.899317359232</v>
      </c>
      <c r="Y48" s="840" t="s">
        <v>2000</v>
      </c>
      <c r="Z48" s="840"/>
      <c r="AA48" s="840"/>
      <c r="AB48" s="840"/>
      <c r="AC48" s="840"/>
      <c r="AD48" s="840"/>
      <c r="AE48" s="840"/>
    </row>
    <row r="49" spans="1:31" ht="15.75" thickBot="1" x14ac:dyDescent="0.3">
      <c r="A49" s="812"/>
      <c r="B49" s="812"/>
      <c r="C49" s="812"/>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2" t="s">
        <v>2001</v>
      </c>
      <c r="B50" s="812">
        <v>2104008100</v>
      </c>
      <c r="C50" s="812" t="s">
        <v>137</v>
      </c>
      <c r="D50" s="133">
        <v>5.0762270642477008</v>
      </c>
      <c r="E50" s="133">
        <v>5.7634019070061243E-2</v>
      </c>
      <c r="F50" s="133">
        <v>8.866772164624807E-3</v>
      </c>
      <c r="G50" s="133">
        <v>0.76697579224004586</v>
      </c>
      <c r="H50" s="133">
        <v>0.76697579224004586</v>
      </c>
      <c r="I50" s="133">
        <v>3.9900474740811626E-2</v>
      </c>
      <c r="J50" s="133">
        <v>5.5993666219605656</v>
      </c>
      <c r="K50" s="45">
        <v>711.91622891504005</v>
      </c>
      <c r="L50" s="134">
        <v>63.334610039477568</v>
      </c>
      <c r="M50" s="45" t="s">
        <v>738</v>
      </c>
      <c r="N50" s="133">
        <v>4.6833063359543701</v>
      </c>
      <c r="O50" s="133">
        <v>5.3172910364547465E-2</v>
      </c>
      <c r="P50" s="133">
        <v>8.1804477483919183E-3</v>
      </c>
      <c r="Q50" s="133">
        <v>0.70760873023590076</v>
      </c>
      <c r="R50" s="133">
        <v>0.70760873023590076</v>
      </c>
      <c r="S50" s="133">
        <v>3.6812014867763615E-2</v>
      </c>
      <c r="T50" s="133">
        <v>5.1659527531094938</v>
      </c>
      <c r="U50" s="45">
        <v>656.80787728654434</v>
      </c>
      <c r="V50" s="134">
        <v>58.43225228677651</v>
      </c>
      <c r="W50" t="s">
        <v>738</v>
      </c>
      <c r="Y50" s="13">
        <f>N50/$U50*2000</f>
        <v>14.260810498505007</v>
      </c>
      <c r="Z50" s="5">
        <f t="shared" ref="Z50:AE65" si="0">O50/$U50*2000</f>
        <v>0.16191313229743687</v>
      </c>
      <c r="AA50" s="357">
        <f t="shared" si="0"/>
        <v>2.4909712661144136E-2</v>
      </c>
      <c r="AB50" s="5">
        <f t="shared" si="0"/>
        <v>2.1546901451889671</v>
      </c>
      <c r="AC50" s="358">
        <f t="shared" si="0"/>
        <v>2.1546901451889671</v>
      </c>
      <c r="AD50" s="5">
        <f t="shared" si="0"/>
        <v>0.11209370697514855</v>
      </c>
      <c r="AE50" s="13">
        <f t="shared" si="0"/>
        <v>15.730483545512513</v>
      </c>
    </row>
    <row r="51" spans="1:31" x14ac:dyDescent="0.25">
      <c r="A51" s="812" t="s">
        <v>2001</v>
      </c>
      <c r="B51" s="812">
        <v>2104008210</v>
      </c>
      <c r="C51" s="812" t="s">
        <v>138</v>
      </c>
      <c r="D51" s="133">
        <v>0.10989651905230065</v>
      </c>
      <c r="E51" s="133">
        <v>5.8058538367253189E-3</v>
      </c>
      <c r="F51" s="133">
        <v>8.2940769096075985E-4</v>
      </c>
      <c r="G51" s="133">
        <v>6.3449688358498138E-2</v>
      </c>
      <c r="H51" s="133">
        <v>6.3449688358498138E-2</v>
      </c>
      <c r="I51" s="133">
        <v>3.5249826865832307E-3</v>
      </c>
      <c r="J51" s="133">
        <v>0.47856823768435847</v>
      </c>
      <c r="K51" s="45">
        <v>66.581617854909823</v>
      </c>
      <c r="L51" s="134">
        <v>5.9243895856848194</v>
      </c>
      <c r="M51" s="45" t="s">
        <v>738</v>
      </c>
      <c r="N51" s="133">
        <v>9.5650559445370237E-2</v>
      </c>
      <c r="O51" s="133">
        <v>5.0532371027742747E-3</v>
      </c>
      <c r="P51" s="133">
        <v>7.2189101468203944E-4</v>
      </c>
      <c r="Q51" s="133">
        <v>5.5224662623176032E-2</v>
      </c>
      <c r="R51" s="133">
        <v>5.5224662623176032E-2</v>
      </c>
      <c r="S51" s="133">
        <v>3.068036812398668E-3</v>
      </c>
      <c r="T51" s="133">
        <v>0.41653111547153687</v>
      </c>
      <c r="U51" s="45">
        <v>57.950279135419493</v>
      </c>
      <c r="V51" s="134">
        <v>5.1564069829490649</v>
      </c>
      <c r="W51" t="s">
        <v>738</v>
      </c>
      <c r="Y51" s="13">
        <f t="shared" ref="Y51:AE70" si="1">N51/$U51*2000</f>
        <v>3.3011250634997595</v>
      </c>
      <c r="Z51" s="5">
        <f t="shared" si="0"/>
        <v>0.17439905995847779</v>
      </c>
      <c r="AA51" s="357">
        <f t="shared" si="0"/>
        <v>2.4914151422639693E-2</v>
      </c>
      <c r="AB51" s="5">
        <f t="shared" si="0"/>
        <v>1.905932583831937</v>
      </c>
      <c r="AC51" s="358">
        <f t="shared" si="0"/>
        <v>1.905932583831937</v>
      </c>
      <c r="AD51" s="5">
        <f t="shared" si="0"/>
        <v>0.10588514354621871</v>
      </c>
      <c r="AE51" s="13">
        <f t="shared" si="0"/>
        <v>14.375465370863106</v>
      </c>
    </row>
    <row r="52" spans="1:31" x14ac:dyDescent="0.25">
      <c r="A52" s="812" t="s">
        <v>2001</v>
      </c>
      <c r="B52" s="812">
        <v>2104008220</v>
      </c>
      <c r="C52" s="812" t="s">
        <v>139</v>
      </c>
      <c r="D52" s="133">
        <v>5.2387454337189339E-2</v>
      </c>
      <c r="E52" s="133">
        <v>8.7312423895315617E-3</v>
      </c>
      <c r="F52" s="133">
        <v>1.7462484779063117E-3</v>
      </c>
      <c r="G52" s="133">
        <v>5.2387454337189339E-2</v>
      </c>
      <c r="H52" s="133">
        <v>5.2387454337189339E-2</v>
      </c>
      <c r="I52" s="133">
        <v>3.9290590752892023E-3</v>
      </c>
      <c r="J52" s="133">
        <v>0.61467946422302155</v>
      </c>
      <c r="K52" s="45">
        <v>140.18202399473137</v>
      </c>
      <c r="L52" s="134">
        <v>12.473306444195458</v>
      </c>
      <c r="M52" s="45" t="s">
        <v>738</v>
      </c>
      <c r="N52" s="133">
        <v>4.5596433431037281E-2</v>
      </c>
      <c r="O52" s="133">
        <v>7.5994055718395506E-3</v>
      </c>
      <c r="P52" s="133">
        <v>1.5198811143679099E-3</v>
      </c>
      <c r="Q52" s="133">
        <v>4.5596433431037281E-2</v>
      </c>
      <c r="R52" s="133">
        <v>4.5596433431037281E-2</v>
      </c>
      <c r="S52" s="133">
        <v>3.4197325073277969E-3</v>
      </c>
      <c r="T52" s="133">
        <v>0.53499815225750413</v>
      </c>
      <c r="U52" s="45">
        <v>122.00946270132886</v>
      </c>
      <c r="V52" s="134">
        <v>10.856383348712265</v>
      </c>
      <c r="W52" t="s">
        <v>738</v>
      </c>
      <c r="Y52" s="13">
        <f t="shared" si="1"/>
        <v>0.74742454267919123</v>
      </c>
      <c r="Z52" s="5">
        <f t="shared" si="0"/>
        <v>0.12457075711319861</v>
      </c>
      <c r="AA52" s="357">
        <f t="shared" si="0"/>
        <v>2.4914151422639717E-2</v>
      </c>
      <c r="AB52" s="5">
        <f t="shared" si="0"/>
        <v>0.74742454267919123</v>
      </c>
      <c r="AC52" s="358">
        <f t="shared" si="0"/>
        <v>0.74742454267919123</v>
      </c>
      <c r="AD52" s="5">
        <f t="shared" si="0"/>
        <v>5.6056840700939359E-2</v>
      </c>
      <c r="AE52" s="13">
        <f t="shared" si="0"/>
        <v>8.7697813007691785</v>
      </c>
    </row>
    <row r="53" spans="1:31" x14ac:dyDescent="0.25">
      <c r="A53" s="812" t="s">
        <v>2001</v>
      </c>
      <c r="B53" s="812">
        <v>2104008230</v>
      </c>
      <c r="C53" s="812" t="s">
        <v>140</v>
      </c>
      <c r="D53" s="133">
        <v>3.9426354019924746E-2</v>
      </c>
      <c r="E53" s="133">
        <v>5.2568472026566304E-3</v>
      </c>
      <c r="F53" s="133">
        <v>1.0513694405313264E-3</v>
      </c>
      <c r="G53" s="133">
        <v>3.4169506817268117E-2</v>
      </c>
      <c r="H53" s="133">
        <v>3.4169506817268117E-2</v>
      </c>
      <c r="I53" s="133">
        <v>2.365581241195484E-3</v>
      </c>
      <c r="J53" s="133">
        <v>0.28124132534212992</v>
      </c>
      <c r="K53" s="45">
        <v>84.399842293117743</v>
      </c>
      <c r="L53" s="134">
        <v>7.5098437500331219</v>
      </c>
      <c r="M53" s="45" t="s">
        <v>738</v>
      </c>
      <c r="N53" s="133">
        <v>3.4315489256782551E-2</v>
      </c>
      <c r="O53" s="133">
        <v>4.5753985675710072E-3</v>
      </c>
      <c r="P53" s="133">
        <v>9.1507971351420146E-4</v>
      </c>
      <c r="Q53" s="133">
        <v>2.9740090689211549E-2</v>
      </c>
      <c r="R53" s="133">
        <v>2.9740090689211549E-2</v>
      </c>
      <c r="S53" s="133">
        <v>2.058929355406954E-3</v>
      </c>
      <c r="T53" s="133">
        <v>0.24478382336504889</v>
      </c>
      <c r="U53" s="45">
        <v>73.458629835785672</v>
      </c>
      <c r="V53" s="134">
        <v>6.5363376586671524</v>
      </c>
      <c r="W53" t="s">
        <v>738</v>
      </c>
      <c r="Y53" s="13">
        <f t="shared" si="1"/>
        <v>0.93428067834898876</v>
      </c>
      <c r="Z53" s="5">
        <f t="shared" si="0"/>
        <v>0.12457075711319851</v>
      </c>
      <c r="AA53" s="357">
        <f t="shared" si="0"/>
        <v>2.4914151422639703E-2</v>
      </c>
      <c r="AB53" s="5">
        <f t="shared" si="0"/>
        <v>0.80970992123579033</v>
      </c>
      <c r="AC53" s="358">
        <f t="shared" si="0"/>
        <v>0.80970992123579033</v>
      </c>
      <c r="AD53" s="5">
        <f t="shared" si="0"/>
        <v>5.6056840700939352E-2</v>
      </c>
      <c r="AE53" s="13">
        <f t="shared" si="0"/>
        <v>6.6645355055561204</v>
      </c>
    </row>
    <row r="54" spans="1:31" x14ac:dyDescent="0.25">
      <c r="A54" s="812" t="s">
        <v>2001</v>
      </c>
      <c r="B54" s="812">
        <v>2104008310</v>
      </c>
      <c r="C54" s="812" t="s">
        <v>141</v>
      </c>
      <c r="D54" s="133">
        <v>2.2302642088964788</v>
      </c>
      <c r="E54" s="133">
        <v>6.1106825306009693E-2</v>
      </c>
      <c r="F54" s="133">
        <v>1.6832182708652676E-2</v>
      </c>
      <c r="G54" s="133">
        <v>0.5109421426710683</v>
      </c>
      <c r="H54" s="133">
        <v>0.5109421426710683</v>
      </c>
      <c r="I54" s="133">
        <v>1.6707142534829869E-2</v>
      </c>
      <c r="J54" s="133">
        <v>5.0989159499918424</v>
      </c>
      <c r="K54" s="45">
        <v>1351.2220455459403</v>
      </c>
      <c r="L54" s="134">
        <v>120.23086960765093</v>
      </c>
      <c r="M54" s="45" t="s">
        <v>738</v>
      </c>
      <c r="N54" s="133">
        <v>1.9411535609277177</v>
      </c>
      <c r="O54" s="133">
        <v>5.3185506482409127E-2</v>
      </c>
      <c r="P54" s="133">
        <v>1.465021555417146E-2</v>
      </c>
      <c r="Q54" s="133">
        <v>0.44470836940199449</v>
      </c>
      <c r="R54" s="133">
        <v>0.44470836940199449</v>
      </c>
      <c r="S54" s="133">
        <v>1.4541384422098881E-2</v>
      </c>
      <c r="T54" s="133">
        <v>4.4379400493070564</v>
      </c>
      <c r="U54" s="45">
        <v>1176.0557528649106</v>
      </c>
      <c r="V54" s="134">
        <v>104.64526119432551</v>
      </c>
      <c r="W54" t="s">
        <v>738</v>
      </c>
      <c r="Y54" s="13">
        <f t="shared" si="1"/>
        <v>3.3011250634997595</v>
      </c>
      <c r="Z54" s="5">
        <f t="shared" si="0"/>
        <v>9.0447253632062061E-2</v>
      </c>
      <c r="AA54" s="357">
        <f t="shared" si="0"/>
        <v>2.4914151422639703E-2</v>
      </c>
      <c r="AB54" s="5">
        <f t="shared" si="0"/>
        <v>0.75627089671330672</v>
      </c>
      <c r="AC54" s="358">
        <f t="shared" si="0"/>
        <v>0.75627089671330672</v>
      </c>
      <c r="AD54" s="5">
        <f t="shared" si="0"/>
        <v>2.4729073237685525E-2</v>
      </c>
      <c r="AE54" s="13">
        <f t="shared" si="0"/>
        <v>7.5471592881478422</v>
      </c>
    </row>
    <row r="55" spans="1:31" x14ac:dyDescent="0.25">
      <c r="A55" s="812" t="s">
        <v>2001</v>
      </c>
      <c r="B55" s="812">
        <v>2104008320</v>
      </c>
      <c r="C55" s="812" t="s">
        <v>142</v>
      </c>
      <c r="D55" s="133">
        <v>1.0631625588416311</v>
      </c>
      <c r="E55" s="133">
        <v>0.14253817203567956</v>
      </c>
      <c r="F55" s="133">
        <v>3.5438751961387696E-2</v>
      </c>
      <c r="G55" s="133">
        <v>0.70214137095667983</v>
      </c>
      <c r="H55" s="133">
        <v>0.70214137095667983</v>
      </c>
      <c r="I55" s="133">
        <v>2.2126338624588664E-2</v>
      </c>
      <c r="J55" s="133">
        <v>10.954202264706874</v>
      </c>
      <c r="K55" s="45">
        <v>2844.8849294064285</v>
      </c>
      <c r="L55" s="134">
        <v>253.13603350664593</v>
      </c>
      <c r="M55" s="45" t="s">
        <v>738</v>
      </c>
      <c r="N55" s="133">
        <v>0.92534408197385454</v>
      </c>
      <c r="O55" s="133">
        <v>0.12406085301978226</v>
      </c>
      <c r="P55" s="133">
        <v>3.0844802732461808E-2</v>
      </c>
      <c r="Q55" s="133">
        <v>0.61112231325346655</v>
      </c>
      <c r="R55" s="133">
        <v>0.61112231325346655</v>
      </c>
      <c r="S55" s="133">
        <v>1.9258086481450783E-2</v>
      </c>
      <c r="T55" s="133">
        <v>9.5342016647343435</v>
      </c>
      <c r="U55" s="45">
        <v>2476.0869603154833</v>
      </c>
      <c r="V55" s="134">
        <v>220.32183939483735</v>
      </c>
      <c r="W55" t="s">
        <v>738</v>
      </c>
      <c r="Y55" s="13">
        <f t="shared" si="1"/>
        <v>0.74742454267919134</v>
      </c>
      <c r="Z55" s="5">
        <f t="shared" si="0"/>
        <v>0.10020718577991737</v>
      </c>
      <c r="AA55" s="357">
        <f t="shared" si="0"/>
        <v>2.4914151422639703E-2</v>
      </c>
      <c r="AB55" s="5">
        <f t="shared" si="0"/>
        <v>0.49361942698135464</v>
      </c>
      <c r="AC55" s="358">
        <f t="shared" si="0"/>
        <v>0.49361942698135464</v>
      </c>
      <c r="AD55" s="5">
        <f t="shared" si="0"/>
        <v>1.5555258591561802E-2</v>
      </c>
      <c r="AE55" s="13">
        <f t="shared" si="0"/>
        <v>7.7010232819283297</v>
      </c>
    </row>
    <row r="56" spans="1:31" x14ac:dyDescent="0.25">
      <c r="A56" s="812" t="s">
        <v>2001</v>
      </c>
      <c r="B56" s="812">
        <v>2104008330</v>
      </c>
      <c r="C56" s="812" t="s">
        <v>143</v>
      </c>
      <c r="D56" s="133">
        <v>0.80012712883173998</v>
      </c>
      <c r="E56" s="133">
        <v>8.5818415926230254E-2</v>
      </c>
      <c r="F56" s="133">
        <v>2.1336723435513065E-2</v>
      </c>
      <c r="G56" s="133">
        <v>0.46906824234624633</v>
      </c>
      <c r="H56" s="133">
        <v>0.46906824234624633</v>
      </c>
      <c r="I56" s="133">
        <v>1.3321675898399001E-2</v>
      </c>
      <c r="J56" s="133">
        <v>6.5952318082018975</v>
      </c>
      <c r="K56" s="45">
        <v>1712.8290243048166</v>
      </c>
      <c r="L56" s="134">
        <v>152.40642628664901</v>
      </c>
      <c r="M56" s="45" t="s">
        <v>738</v>
      </c>
      <c r="N56" s="133">
        <v>0.69640611149613585</v>
      </c>
      <c r="O56" s="133">
        <v>7.4693717006203461E-2</v>
      </c>
      <c r="P56" s="133">
        <v>1.8570829639896966E-2</v>
      </c>
      <c r="Q56" s="133">
        <v>0.4082626109123853</v>
      </c>
      <c r="R56" s="133">
        <v>0.4082626109123853</v>
      </c>
      <c r="S56" s="133">
        <v>1.1594778100527052E-2</v>
      </c>
      <c r="T56" s="133">
        <v>5.7402874774058228</v>
      </c>
      <c r="U56" s="45">
        <v>1490.7856442601123</v>
      </c>
      <c r="V56" s="134">
        <v>132.64987884147524</v>
      </c>
      <c r="W56" t="s">
        <v>738</v>
      </c>
      <c r="Y56" s="13">
        <f t="shared" si="1"/>
        <v>0.93428067834898854</v>
      </c>
      <c r="Z56" s="5">
        <f t="shared" si="0"/>
        <v>0.1002071857799174</v>
      </c>
      <c r="AA56" s="357">
        <f t="shared" si="0"/>
        <v>2.4914151422639707E-2</v>
      </c>
      <c r="AB56" s="5">
        <f t="shared" si="0"/>
        <v>0.54771470665054467</v>
      </c>
      <c r="AC56" s="358">
        <f t="shared" si="0"/>
        <v>0.54771470665054467</v>
      </c>
      <c r="AD56" s="5">
        <f t="shared" si="0"/>
        <v>1.5555258591561798E-2</v>
      </c>
      <c r="AE56" s="13">
        <f t="shared" si="0"/>
        <v>7.7010232819283262</v>
      </c>
    </row>
    <row r="57" spans="1:31" x14ac:dyDescent="0.25">
      <c r="A57" s="812" t="s">
        <v>2001</v>
      </c>
      <c r="B57" s="812">
        <v>2104008410</v>
      </c>
      <c r="C57" s="812" t="s">
        <v>144</v>
      </c>
      <c r="D57" s="133">
        <v>1.3406878158776104E-2</v>
      </c>
      <c r="E57" s="133">
        <v>2.3412585661490536E-2</v>
      </c>
      <c r="F57" s="133">
        <v>1.8711357172020418E-3</v>
      </c>
      <c r="G57" s="133">
        <v>1.7308005384118887E-2</v>
      </c>
      <c r="H57" s="133">
        <v>1.7308005384118887E-2</v>
      </c>
      <c r="I57" s="133">
        <v>4.2030386047650869E-4</v>
      </c>
      <c r="J57" s="133">
        <v>5.8075374822658357E-2</v>
      </c>
      <c r="K57" s="45">
        <v>179.37532368449342</v>
      </c>
      <c r="L57" s="134">
        <v>15.960701073395333</v>
      </c>
      <c r="M57" s="45" t="s">
        <v>738</v>
      </c>
      <c r="N57" s="133">
        <v>1.1668935534641968E-2</v>
      </c>
      <c r="O57" s="133">
        <v>2.037759645069797E-2</v>
      </c>
      <c r="P57" s="133">
        <v>1.6285791369189189E-3</v>
      </c>
      <c r="Q57" s="133">
        <v>1.50643570165E-2</v>
      </c>
      <c r="R57" s="133">
        <v>1.50643570165E-2</v>
      </c>
      <c r="S57" s="133">
        <v>3.6581958863041197E-4</v>
      </c>
      <c r="T57" s="133">
        <v>5.0547024962120948E-2</v>
      </c>
      <c r="U57" s="45">
        <v>156.12192092079189</v>
      </c>
      <c r="V57" s="134">
        <v>13.891704668862518</v>
      </c>
      <c r="W57" t="s">
        <v>738</v>
      </c>
      <c r="Y57" s="13">
        <f t="shared" si="1"/>
        <v>0.14948490853583815</v>
      </c>
      <c r="Z57" s="5">
        <f t="shared" si="0"/>
        <v>0.26104721656655117</v>
      </c>
      <c r="AA57" s="357">
        <f t="shared" si="0"/>
        <v>2.0862914410913185E-2</v>
      </c>
      <c r="AB57" s="5">
        <f t="shared" si="0"/>
        <v>0.19298195830094694</v>
      </c>
      <c r="AC57" s="358">
        <f t="shared" si="0"/>
        <v>0.19298195830094694</v>
      </c>
      <c r="AD57" s="5">
        <f t="shared" si="0"/>
        <v>4.6863321495513718E-3</v>
      </c>
      <c r="AE57" s="13">
        <f t="shared" si="0"/>
        <v>0.64753270602871804</v>
      </c>
    </row>
    <row r="58" spans="1:31" x14ac:dyDescent="0.25">
      <c r="A58" s="812" t="s">
        <v>2001</v>
      </c>
      <c r="B58" s="812">
        <v>2104008420</v>
      </c>
      <c r="C58" s="812" t="s">
        <v>145</v>
      </c>
      <c r="D58" s="133">
        <v>4.522181669650896E-2</v>
      </c>
      <c r="E58" s="133">
        <v>7.8971379066511319E-2</v>
      </c>
      <c r="F58" s="133">
        <v>6.3113989263945125E-3</v>
      </c>
      <c r="G58" s="133">
        <v>5.838044006914922E-2</v>
      </c>
      <c r="H58" s="133">
        <v>5.838044006914922E-2</v>
      </c>
      <c r="I58" s="133">
        <v>1.4176979838413674E-3</v>
      </c>
      <c r="J58" s="133">
        <v>0.19589004417796965</v>
      </c>
      <c r="K58" s="45">
        <v>605.03854152111046</v>
      </c>
      <c r="L58" s="134">
        <v>53.835940756751562</v>
      </c>
      <c r="M58" s="45" t="s">
        <v>738</v>
      </c>
      <c r="N58" s="133">
        <v>3.9359682212486903E-2</v>
      </c>
      <c r="O58" s="133">
        <v>6.8734266135302813E-2</v>
      </c>
      <c r="P58" s="133">
        <v>5.4932480427814434E-3</v>
      </c>
      <c r="Q58" s="133">
        <v>5.0812544395728347E-2</v>
      </c>
      <c r="R58" s="133">
        <v>5.0812544395728347E-2</v>
      </c>
      <c r="S58" s="133">
        <v>1.233920841609782E-3</v>
      </c>
      <c r="T58" s="133">
        <v>0.17049668612782903</v>
      </c>
      <c r="U58" s="45">
        <v>526.60409131602216</v>
      </c>
      <c r="V58" s="134">
        <v>46.857151582757936</v>
      </c>
      <c r="W58" t="s">
        <v>738</v>
      </c>
      <c r="Y58" s="13">
        <f t="shared" si="1"/>
        <v>0.14948490853583829</v>
      </c>
      <c r="Z58" s="5">
        <f t="shared" si="0"/>
        <v>0.26104721656655133</v>
      </c>
      <c r="AA58" s="357">
        <f t="shared" si="0"/>
        <v>2.0862914410913196E-2</v>
      </c>
      <c r="AB58" s="5">
        <f t="shared" si="0"/>
        <v>0.19298195830094703</v>
      </c>
      <c r="AC58" s="358">
        <f t="shared" si="0"/>
        <v>0.19298195830094703</v>
      </c>
      <c r="AD58" s="5">
        <f t="shared" si="0"/>
        <v>4.6863321495513779E-3</v>
      </c>
      <c r="AE58" s="13">
        <f t="shared" si="0"/>
        <v>0.64753270602871826</v>
      </c>
    </row>
    <row r="59" spans="1:31" x14ac:dyDescent="0.25">
      <c r="A59" s="812" t="s">
        <v>2001</v>
      </c>
      <c r="B59" s="812">
        <v>2104008610</v>
      </c>
      <c r="C59" s="812" t="s">
        <v>146</v>
      </c>
      <c r="D59" s="133">
        <v>1.2700457031736638</v>
      </c>
      <c r="E59" s="133">
        <v>4.5115534456056684E-2</v>
      </c>
      <c r="F59" s="133">
        <v>1.1189829983908934E-2</v>
      </c>
      <c r="G59" s="133">
        <v>0.27611330920689675</v>
      </c>
      <c r="H59" s="133">
        <v>0.27611330920689675</v>
      </c>
      <c r="I59" s="133">
        <v>6.8190423768885655E-3</v>
      </c>
      <c r="J59" s="133">
        <v>1.6944386500040094</v>
      </c>
      <c r="K59" s="45">
        <v>897.9629443663008</v>
      </c>
      <c r="L59" s="134">
        <v>79.928017240185184</v>
      </c>
      <c r="M59" s="45" t="s">
        <v>738</v>
      </c>
      <c r="N59" s="133">
        <v>1.1612291463711555</v>
      </c>
      <c r="O59" s="133">
        <v>4.1250069531806065E-2</v>
      </c>
      <c r="P59" s="133">
        <v>1.0231093800626926E-2</v>
      </c>
      <c r="Q59" s="133">
        <v>0.25245612937457973</v>
      </c>
      <c r="R59" s="133">
        <v>0.25245612937457973</v>
      </c>
      <c r="S59" s="133">
        <v>6.2347919752776693E-3</v>
      </c>
      <c r="T59" s="133">
        <v>1.5492604259875196</v>
      </c>
      <c r="U59" s="45">
        <v>821.02589862504044</v>
      </c>
      <c r="V59" s="134">
        <v>73.0798450788254</v>
      </c>
      <c r="W59" t="s">
        <v>738</v>
      </c>
      <c r="Y59" s="13">
        <f t="shared" si="1"/>
        <v>2.8287272017017933</v>
      </c>
      <c r="Z59" s="5">
        <f t="shared" si="0"/>
        <v>0.10048421030539215</v>
      </c>
      <c r="AA59" s="357">
        <f t="shared" si="0"/>
        <v>2.4922706622923303E-2</v>
      </c>
      <c r="AB59" s="5">
        <f t="shared" si="0"/>
        <v>0.6149772614904454</v>
      </c>
      <c r="AC59" s="358">
        <f t="shared" si="0"/>
        <v>0.6149772614904454</v>
      </c>
      <c r="AD59" s="5">
        <f t="shared" si="0"/>
        <v>1.5187808291355926E-2</v>
      </c>
      <c r="AE59" s="13">
        <f t="shared" si="0"/>
        <v>3.7739623770262116</v>
      </c>
    </row>
    <row r="60" spans="1:31" x14ac:dyDescent="0.25">
      <c r="A60" s="812" t="s">
        <v>2001</v>
      </c>
      <c r="B60" s="812">
        <v>2104004000</v>
      </c>
      <c r="C60" s="812" t="s">
        <v>568</v>
      </c>
      <c r="D60" s="133">
        <v>9.2671219035490873E-2</v>
      </c>
      <c r="E60" s="133">
        <v>1.4519889114105387</v>
      </c>
      <c r="F60" s="133">
        <v>3.7565739321089544</v>
      </c>
      <c r="G60" s="133">
        <v>5.9345595834218202E-2</v>
      </c>
      <c r="H60" s="133">
        <v>5.9345595834218202E-2</v>
      </c>
      <c r="I60" s="133">
        <v>3.1838912165058075E-3</v>
      </c>
      <c r="J60" s="133">
        <v>5.8208138580729041E-2</v>
      </c>
      <c r="K60" s="45">
        <v>34887.701429414847</v>
      </c>
      <c r="L60" s="134">
        <v>259.94731847262523</v>
      </c>
      <c r="M60" s="45" t="s">
        <v>1997</v>
      </c>
      <c r="N60" s="133">
        <v>8.559461545851603E-2</v>
      </c>
      <c r="O60" s="133">
        <v>1.3411114455569759</v>
      </c>
      <c r="P60" s="133">
        <v>3.4697126519638024</v>
      </c>
      <c r="Q60" s="133">
        <v>5.4813819300693851E-2</v>
      </c>
      <c r="R60" s="133">
        <v>5.4813819300693851E-2</v>
      </c>
      <c r="S60" s="133">
        <v>2.9407614054822256E-3</v>
      </c>
      <c r="T60" s="133">
        <v>5.3763221097430564E-2</v>
      </c>
      <c r="U60" s="45">
        <v>32223.590227497069</v>
      </c>
      <c r="V60" s="134">
        <v>240.09709806035363</v>
      </c>
      <c r="W60" t="s">
        <v>1997</v>
      </c>
      <c r="Y60" s="13">
        <f t="shared" si="1"/>
        <v>5.3125436895281979E-3</v>
      </c>
      <c r="Z60" s="5">
        <f t="shared" si="0"/>
        <v>8.3237866177467534E-2</v>
      </c>
      <c r="AA60" s="357">
        <f t="shared" si="0"/>
        <v>0.215352332093835</v>
      </c>
      <c r="AB60" s="5">
        <f t="shared" si="0"/>
        <v>3.4020926230572575E-3</v>
      </c>
      <c r="AC60" s="358">
        <f t="shared" si="0"/>
        <v>3.4020926230572575E-3</v>
      </c>
      <c r="AD60" s="5">
        <f t="shared" si="0"/>
        <v>1.8252226922702187E-4</v>
      </c>
      <c r="AE60" s="13">
        <f t="shared" si="0"/>
        <v>3.3368858477819939E-3</v>
      </c>
    </row>
    <row r="61" spans="1:31" x14ac:dyDescent="0.25">
      <c r="A61" s="812" t="s">
        <v>2001</v>
      </c>
      <c r="B61" s="812">
        <v>2103004001</v>
      </c>
      <c r="C61" s="812" t="s">
        <v>148</v>
      </c>
      <c r="D61" s="133">
        <v>2.9739272455953567E-2</v>
      </c>
      <c r="E61" s="133">
        <v>0.75078107181930476</v>
      </c>
      <c r="F61" s="133">
        <v>0.53068542960952125</v>
      </c>
      <c r="G61" s="133">
        <v>1.9044692213434751E-2</v>
      </c>
      <c r="H61" s="133">
        <v>1.9044692213434751E-2</v>
      </c>
      <c r="I61" s="133">
        <v>1.0217477372507743E-3</v>
      </c>
      <c r="J61" s="133">
        <v>1.8679668946010586E-2</v>
      </c>
      <c r="K61" s="45">
        <v>11553.686494108188</v>
      </c>
      <c r="L61" s="134">
        <v>86.086205154364151</v>
      </c>
      <c r="M61" s="45" t="s">
        <v>1997</v>
      </c>
      <c r="N61" s="133">
        <v>2.9262493256394771E-2</v>
      </c>
      <c r="O61" s="133">
        <v>0.73874457028766605</v>
      </c>
      <c r="P61" s="133">
        <v>0.52217749537133507</v>
      </c>
      <c r="Q61" s="133">
        <v>1.8739368230717493E-2</v>
      </c>
      <c r="R61" s="133">
        <v>1.8739368230717493E-2</v>
      </c>
      <c r="S61" s="133">
        <v>1.0053671055779935E-3</v>
      </c>
      <c r="T61" s="133">
        <v>1.8380197006295413E-2</v>
      </c>
      <c r="U61" s="45">
        <v>11368.458109426863</v>
      </c>
      <c r="V61" s="134">
        <v>84.706073476719965</v>
      </c>
      <c r="W61" t="s">
        <v>1997</v>
      </c>
      <c r="Y61" s="13">
        <f t="shared" si="1"/>
        <v>5.1480144404332118E-3</v>
      </c>
      <c r="Z61" s="5">
        <f t="shared" si="0"/>
        <v>0.12996389891696747</v>
      </c>
      <c r="AA61" s="357">
        <f t="shared" si="0"/>
        <v>9.1864259927797801E-2</v>
      </c>
      <c r="AB61" s="5">
        <f t="shared" si="0"/>
        <v>3.2967299611507705E-3</v>
      </c>
      <c r="AC61" s="358">
        <f t="shared" si="0"/>
        <v>3.2967299611507705E-3</v>
      </c>
      <c r="AD61" s="5">
        <f t="shared" si="0"/>
        <v>1.7686956241573883E-4</v>
      </c>
      <c r="AE61" s="13">
        <f t="shared" si="0"/>
        <v>3.2335426368953818E-3</v>
      </c>
    </row>
    <row r="62" spans="1:31" x14ac:dyDescent="0.25">
      <c r="A62" s="812" t="s">
        <v>2001</v>
      </c>
      <c r="B62" s="812">
        <v>2104004000</v>
      </c>
      <c r="C62" s="812" t="s">
        <v>746</v>
      </c>
      <c r="D62" s="133">
        <v>6.1939030411437522E-4</v>
      </c>
      <c r="E62" s="133">
        <v>1.5636781871050148E-2</v>
      </c>
      <c r="F62" s="133">
        <v>2.5107962261141672E-2</v>
      </c>
      <c r="G62" s="133">
        <v>3.4748404157889209E-4</v>
      </c>
      <c r="H62" s="133">
        <v>3.4748404157889209E-4</v>
      </c>
      <c r="I62" s="133">
        <v>2.1280300069251957E-5</v>
      </c>
      <c r="J62" s="133">
        <v>3.8904804568980347E-4</v>
      </c>
      <c r="K62" s="45">
        <v>238.01788138050168</v>
      </c>
      <c r="L62" s="134">
        <v>1.7374202078944603</v>
      </c>
      <c r="M62" s="45" t="s">
        <v>1997</v>
      </c>
      <c r="N62" s="133">
        <v>5.8484050859194589E-4</v>
      </c>
      <c r="O62" s="133">
        <v>1.4764557019151517E-2</v>
      </c>
      <c r="P62" s="133">
        <v>2.3707431842203888E-2</v>
      </c>
      <c r="Q62" s="133">
        <v>3.2810126709225578E-4</v>
      </c>
      <c r="R62" s="133">
        <v>3.2810126709225578E-4</v>
      </c>
      <c r="S62" s="133">
        <v>2.0093277910259905E-5</v>
      </c>
      <c r="T62" s="133">
        <v>3.6734681734041481E-4</v>
      </c>
      <c r="U62" s="45">
        <v>224.74116542651797</v>
      </c>
      <c r="V62" s="134">
        <v>1.6405063354612792</v>
      </c>
      <c r="W62" t="s">
        <v>1997</v>
      </c>
      <c r="Y62" s="13">
        <f t="shared" si="1"/>
        <v>5.2045695098361239E-3</v>
      </c>
      <c r="Z62" s="5">
        <f t="shared" si="0"/>
        <v>0.13139165662980404</v>
      </c>
      <c r="AA62" s="357">
        <f t="shared" si="0"/>
        <v>0.21097542853096343</v>
      </c>
      <c r="AB62" s="5">
        <f t="shared" si="0"/>
        <v>2.9198145917734217E-3</v>
      </c>
      <c r="AC62" s="358">
        <f t="shared" si="0"/>
        <v>2.9198145917734217E-3</v>
      </c>
      <c r="AD62" s="5">
        <f t="shared" si="0"/>
        <v>1.7881261647928636E-4</v>
      </c>
      <c r="AE62" s="13">
        <f t="shared" si="0"/>
        <v>3.2690656973612927E-3</v>
      </c>
    </row>
    <row r="63" spans="1:31" x14ac:dyDescent="0.25">
      <c r="A63" s="812" t="s">
        <v>2001</v>
      </c>
      <c r="B63" s="812">
        <v>2104004000</v>
      </c>
      <c r="C63" s="812" t="s">
        <v>747</v>
      </c>
      <c r="D63" s="133">
        <v>2.3869196311501403E-3</v>
      </c>
      <c r="E63" s="133">
        <v>3.7398675370082526E-2</v>
      </c>
      <c r="F63" s="133">
        <v>9.6757549514739055E-2</v>
      </c>
      <c r="G63" s="133">
        <v>1.5285562140360709E-3</v>
      </c>
      <c r="H63" s="133">
        <v>1.5285562140360709E-3</v>
      </c>
      <c r="I63" s="133">
        <v>8.2007040883035228E-5</v>
      </c>
      <c r="J63" s="133">
        <v>1.4992588866003804E-3</v>
      </c>
      <c r="K63" s="45">
        <v>836.92834191800125</v>
      </c>
      <c r="L63" s="134">
        <v>6.6954267353440118</v>
      </c>
      <c r="M63" s="45" t="s">
        <v>1997</v>
      </c>
      <c r="N63" s="133">
        <v>1.9786257294464294E-3</v>
      </c>
      <c r="O63" s="133">
        <v>3.1001454916520902E-2</v>
      </c>
      <c r="P63" s="133">
        <v>8.020671265575903E-2</v>
      </c>
      <c r="Q63" s="133">
        <v>1.2670894380049421E-3</v>
      </c>
      <c r="R63" s="133">
        <v>1.2670894380049421E-3</v>
      </c>
      <c r="S63" s="133">
        <v>6.7979348348965132E-5</v>
      </c>
      <c r="T63" s="133">
        <v>1.242803557109847E-3</v>
      </c>
      <c r="U63" s="45">
        <v>693.76778732343269</v>
      </c>
      <c r="V63" s="134">
        <v>5.5501422985874616</v>
      </c>
      <c r="W63" t="s">
        <v>1997</v>
      </c>
      <c r="Y63" s="13">
        <f t="shared" si="1"/>
        <v>5.7039999999999981E-3</v>
      </c>
      <c r="Z63" s="5">
        <f t="shared" si="0"/>
        <v>8.937127229883364E-2</v>
      </c>
      <c r="AA63" s="357">
        <f t="shared" si="0"/>
        <v>0.23122063065279472</v>
      </c>
      <c r="AB63" s="5">
        <f t="shared" si="0"/>
        <v>3.6527767969550548E-3</v>
      </c>
      <c r="AC63" s="358">
        <f t="shared" si="0"/>
        <v>3.6527767969550548E-3</v>
      </c>
      <c r="AD63" s="5">
        <f t="shared" si="0"/>
        <v>1.9597147515663867E-4</v>
      </c>
      <c r="AE63" s="13">
        <f t="shared" si="0"/>
        <v>3.5827652416800817E-3</v>
      </c>
    </row>
    <row r="64" spans="1:31" x14ac:dyDescent="0.25">
      <c r="A64" s="812" t="s">
        <v>2001</v>
      </c>
      <c r="B64" s="812">
        <v>2104006010</v>
      </c>
      <c r="C64" s="812" t="s">
        <v>149</v>
      </c>
      <c r="D64" s="133">
        <v>6.4990552711092825E-4</v>
      </c>
      <c r="E64" s="133">
        <v>1.1107476281532245E-2</v>
      </c>
      <c r="F64" s="133">
        <v>7.0898784775737665E-5</v>
      </c>
      <c r="G64" s="133">
        <v>5.8529310125197298E-6</v>
      </c>
      <c r="H64" s="133">
        <v>5.8529310125197298E-6</v>
      </c>
      <c r="I64" s="133">
        <v>2.3632928258579219E-3</v>
      </c>
      <c r="J64" s="133">
        <v>4.7265856517158438E-3</v>
      </c>
      <c r="K64" s="45">
        <v>291.73882732240446</v>
      </c>
      <c r="L64" s="134">
        <v>287.42741608118689</v>
      </c>
      <c r="M64" s="45" t="s">
        <v>1998</v>
      </c>
      <c r="N64" s="133">
        <v>6.4990552711092825E-4</v>
      </c>
      <c r="O64" s="133">
        <v>1.1107476281532245E-2</v>
      </c>
      <c r="P64" s="133">
        <v>7.0898784775737665E-5</v>
      </c>
      <c r="Q64" s="133">
        <v>5.8529310125197298E-6</v>
      </c>
      <c r="R64" s="133">
        <v>5.8529310125197298E-6</v>
      </c>
      <c r="S64" s="133">
        <v>2.3632928258579219E-3</v>
      </c>
      <c r="T64" s="133">
        <v>4.7265856517158438E-3</v>
      </c>
      <c r="U64" s="45">
        <v>291.73882732240446</v>
      </c>
      <c r="V64" s="134">
        <v>287.42741608118689</v>
      </c>
      <c r="W64" t="s">
        <v>1998</v>
      </c>
      <c r="Y64" s="13">
        <f t="shared" si="1"/>
        <v>4.4553927434054499E-3</v>
      </c>
      <c r="Z64" s="5">
        <f t="shared" si="0"/>
        <v>7.6146712341838715E-2</v>
      </c>
      <c r="AA64" s="357">
        <f t="shared" si="0"/>
        <v>4.860428447351403E-4</v>
      </c>
      <c r="AB64" s="5">
        <f t="shared" si="0"/>
        <v>4.0124456975701614E-5</v>
      </c>
      <c r="AC64" s="358">
        <f t="shared" si="0"/>
        <v>4.0124456975701614E-5</v>
      </c>
      <c r="AD64" s="5">
        <f t="shared" si="0"/>
        <v>1.6201428157838007E-2</v>
      </c>
      <c r="AE64" s="13">
        <f t="shared" si="0"/>
        <v>3.2402856315676014E-2</v>
      </c>
    </row>
    <row r="65" spans="1:31" x14ac:dyDescent="0.25">
      <c r="A65" s="812" t="s">
        <v>2001</v>
      </c>
      <c r="B65" s="812">
        <v>2103006000</v>
      </c>
      <c r="C65" s="812" t="s">
        <v>150</v>
      </c>
      <c r="D65" s="133">
        <v>7.2943884387197469E-3</v>
      </c>
      <c r="E65" s="133">
        <v>0.13262524434035908</v>
      </c>
      <c r="F65" s="133">
        <v>7.9575146604215358E-4</v>
      </c>
      <c r="G65" s="133">
        <v>1.0079518569867291E-2</v>
      </c>
      <c r="H65" s="133">
        <v>1.0079518569867291E-2</v>
      </c>
      <c r="I65" s="133">
        <v>2.6525048868071794E-2</v>
      </c>
      <c r="J65" s="133">
        <v>5.3050097736143588E-2</v>
      </c>
      <c r="K65" s="45">
        <v>2692.2924601092891</v>
      </c>
      <c r="L65" s="134">
        <v>2652.5048868071826</v>
      </c>
      <c r="M65" s="45" t="s">
        <v>1998</v>
      </c>
      <c r="N65" s="133">
        <v>7.2943884387197469E-3</v>
      </c>
      <c r="O65" s="133">
        <v>0.13262524434035908</v>
      </c>
      <c r="P65" s="133">
        <v>7.9575146604215358E-4</v>
      </c>
      <c r="Q65" s="133">
        <v>1.0079518569867291E-2</v>
      </c>
      <c r="R65" s="133">
        <v>1.0079518569867291E-2</v>
      </c>
      <c r="S65" s="133">
        <v>2.6525048868071794E-2</v>
      </c>
      <c r="T65" s="133">
        <v>5.3050097736143588E-2</v>
      </c>
      <c r="U65" s="45">
        <v>2692.2924601092891</v>
      </c>
      <c r="V65" s="134">
        <v>2652.5048868071826</v>
      </c>
      <c r="W65" t="s">
        <v>1998</v>
      </c>
      <c r="Y65" s="13">
        <f t="shared" si="1"/>
        <v>5.4187192118226582E-3</v>
      </c>
      <c r="Z65" s="5">
        <f t="shared" si="0"/>
        <v>9.8522167487684734E-2</v>
      </c>
      <c r="AA65" s="357">
        <f t="shared" si="0"/>
        <v>5.9113300492610768E-4</v>
      </c>
      <c r="AB65" s="5">
        <f t="shared" si="0"/>
        <v>7.4876847290640414E-3</v>
      </c>
      <c r="AC65" s="358">
        <f t="shared" si="0"/>
        <v>7.4876847290640414E-3</v>
      </c>
      <c r="AD65" s="5">
        <f t="shared" si="0"/>
        <v>1.9704433497536932E-2</v>
      </c>
      <c r="AE65" s="13">
        <f t="shared" si="0"/>
        <v>3.9408866995073864E-2</v>
      </c>
    </row>
    <row r="66" spans="1:31" x14ac:dyDescent="0.25">
      <c r="A66" s="812" t="s">
        <v>2001</v>
      </c>
      <c r="B66" s="812">
        <v>2104002000</v>
      </c>
      <c r="C66" s="812" t="s">
        <v>151</v>
      </c>
      <c r="D66" s="133">
        <v>0.13977169397238534</v>
      </c>
      <c r="E66" s="133">
        <v>6.5972239554965895E-2</v>
      </c>
      <c r="F66" s="133">
        <v>0.12998767539431832</v>
      </c>
      <c r="G66" s="133">
        <v>0.11167758348393585</v>
      </c>
      <c r="H66" s="133">
        <v>0.11167758348393585</v>
      </c>
      <c r="I66" s="133">
        <v>1.7694397598434126E-2</v>
      </c>
      <c r="J66" s="133">
        <v>1.8250688940444211</v>
      </c>
      <c r="K66" s="45">
        <v>424.90594967605148</v>
      </c>
      <c r="L66" s="134">
        <v>27.954338794477067</v>
      </c>
      <c r="M66" s="45" t="s">
        <v>738</v>
      </c>
      <c r="N66" s="133">
        <v>0.12253777866728335</v>
      </c>
      <c r="O66" s="133">
        <v>5.7837831530957728E-2</v>
      </c>
      <c r="P66" s="133">
        <v>0.11396013416057345</v>
      </c>
      <c r="Q66" s="133">
        <v>9.7907685155159352E-2</v>
      </c>
      <c r="R66" s="133">
        <v>9.7907685155159352E-2</v>
      </c>
      <c r="S66" s="133">
        <v>1.5512670090384732E-2</v>
      </c>
      <c r="T66" s="133">
        <v>1.6000370449480519</v>
      </c>
      <c r="U66" s="45">
        <v>372.51484714854132</v>
      </c>
      <c r="V66" s="134">
        <v>24.507555733456662</v>
      </c>
      <c r="W66" t="s">
        <v>738</v>
      </c>
      <c r="Y66" s="13">
        <f t="shared" si="1"/>
        <v>0.65789473684210531</v>
      </c>
      <c r="Z66" s="5">
        <f t="shared" si="1"/>
        <v>0.31052631578947365</v>
      </c>
      <c r="AA66" s="357">
        <f t="shared" si="1"/>
        <v>0.61184210526315763</v>
      </c>
      <c r="AB66" s="5">
        <f t="shared" si="1"/>
        <v>0.52565789473684188</v>
      </c>
      <c r="AC66" s="358">
        <f t="shared" si="1"/>
        <v>0.52565789473684188</v>
      </c>
      <c r="AD66" s="5">
        <f t="shared" si="1"/>
        <v>8.3286184210526304E-2</v>
      </c>
      <c r="AE66" s="13">
        <f t="shared" si="1"/>
        <v>8.5904605263157894</v>
      </c>
    </row>
    <row r="67" spans="1:31" x14ac:dyDescent="0.25">
      <c r="A67" s="812" t="s">
        <v>2001</v>
      </c>
      <c r="B67" s="812">
        <v>2103002000</v>
      </c>
      <c r="C67" s="812" t="s">
        <v>152</v>
      </c>
      <c r="D67" s="133">
        <v>3.4838015202202628E-4</v>
      </c>
      <c r="E67" s="133">
        <v>1.6443543175439639E-4</v>
      </c>
      <c r="F67" s="133">
        <v>3.239935413804844E-4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1.5539346793088337E-4</v>
      </c>
      <c r="P67" s="133">
        <v>3.0617780757568117E-4</v>
      </c>
      <c r="Q67" s="133">
        <v>2.6304953575588091E-4</v>
      </c>
      <c r="R67" s="133">
        <v>2.6304953575588091E-4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2" t="s">
        <v>2001</v>
      </c>
      <c r="B68" s="812">
        <v>2103008000</v>
      </c>
      <c r="C68" s="812" t="s">
        <v>153</v>
      </c>
      <c r="D68" s="133">
        <v>1.0645223161162029E-3</v>
      </c>
      <c r="E68" s="133">
        <v>4.2325140919862265E-5</v>
      </c>
      <c r="F68" s="133">
        <v>9.227066009456588E-6</v>
      </c>
      <c r="G68" s="133">
        <v>2.9937064250054856E-4</v>
      </c>
      <c r="H68" s="133">
        <v>2.9937064250054856E-4</v>
      </c>
      <c r="I68" s="133">
        <v>1.0961826058757602E-5</v>
      </c>
      <c r="J68" s="133">
        <v>2.1293167390460895E-3</v>
      </c>
      <c r="K68" s="45">
        <v>9.6654102131207296</v>
      </c>
      <c r="L68" s="134">
        <v>0.79814120981799463</v>
      </c>
      <c r="M68" s="45" t="s">
        <v>738</v>
      </c>
      <c r="N68" s="133">
        <v>8.7269646582558823E-4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1.6802202817214628E-2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1.6802202817214628E-2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0.26689697964980841</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10.975165918803398</v>
      </c>
      <c r="E70" s="137">
        <v>3.0038373081055858</v>
      </c>
      <c r="F70" s="137">
        <v>4.6625884430711793</v>
      </c>
      <c r="G70" s="137">
        <v>3.1559084749584612</v>
      </c>
      <c r="H70" s="137">
        <v>3.1559084749584612</v>
      </c>
      <c r="I70" s="137">
        <v>0.16149556702797738</v>
      </c>
      <c r="J70" s="137">
        <v>33.544558709608772</v>
      </c>
      <c r="K70" s="87">
        <v>59671.252805352633</v>
      </c>
      <c r="L70" s="87"/>
      <c r="M70" s="87"/>
      <c r="N70" s="137">
        <v>9.8835894448188668</v>
      </c>
      <c r="O70" s="137">
        <v>2.8038157165245625</v>
      </c>
      <c r="P70" s="137">
        <v>4.320503062337508</v>
      </c>
      <c r="Q70" s="137">
        <v>2.806623905552601</v>
      </c>
      <c r="R70" s="137">
        <v>2.806623905552601</v>
      </c>
      <c r="S70" s="137">
        <v>0.14709085521109524</v>
      </c>
      <c r="T70" s="137">
        <v>29.588387681952984</v>
      </c>
      <c r="U70" s="87">
        <v>55572.943262253139</v>
      </c>
      <c r="Y70" s="13">
        <f t="shared" si="1"/>
        <v>0.35569789414166614</v>
      </c>
      <c r="Z70" s="5">
        <f t="shared" si="1"/>
        <v>0.10090578443157611</v>
      </c>
      <c r="AA70" s="357">
        <f t="shared" si="1"/>
        <v>0.15548944535648257</v>
      </c>
      <c r="AB70" s="5">
        <f t="shared" si="1"/>
        <v>0.10100684760596249</v>
      </c>
      <c r="AC70" s="358">
        <f t="shared" si="1"/>
        <v>0.10100684760596249</v>
      </c>
      <c r="AD70" s="5">
        <f t="shared" si="1"/>
        <v>5.2936139990628819E-3</v>
      </c>
      <c r="AE70" s="13">
        <f t="shared" si="1"/>
        <v>1.0648486815723626</v>
      </c>
    </row>
    <row r="71" spans="1:31" x14ac:dyDescent="0.25">
      <c r="R71" s="133"/>
      <c r="T71" s="1" t="s">
        <v>1452</v>
      </c>
      <c r="U71" s="45">
        <f>SUM(U50:U60,U62:U64,U66)</f>
        <v>41363.259371979409</v>
      </c>
      <c r="V71" t="s">
        <v>2002</v>
      </c>
    </row>
    <row r="72" spans="1:31" x14ac:dyDescent="0.25">
      <c r="L72" s="134"/>
      <c r="U72" s="45">
        <f ca="1">U71/OFFSET(Devices!$BH$41,0,MATCH(VALUE(RIGHT(A2,4)),Devices!$BI$39:$CG$39,0))*10^6</f>
        <v>939136.62933315674</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8.0038773813658963</v>
      </c>
      <c r="O74" s="133">
        <f t="shared" si="2"/>
        <v>0.21049955501249468</v>
      </c>
      <c r="P74" s="133">
        <f t="shared" si="2"/>
        <v>0.14774378227844578</v>
      </c>
      <c r="Q74" s="133">
        <f>SUM(Q50,Q51,Q54, Q59,Q66)</f>
        <v>1.5579055767908105</v>
      </c>
      <c r="R74" s="133">
        <f t="shared" ref="R74:U74" si="3">SUM(R50,R51,R54, R59,R66)</f>
        <v>1.5579055767908105</v>
      </c>
      <c r="S74" s="133">
        <f t="shared" si="3"/>
        <v>7.6168898167923563E-2</v>
      </c>
      <c r="T74" s="133">
        <f t="shared" si="3"/>
        <v>13.16972138882366</v>
      </c>
      <c r="U74" s="45">
        <f t="shared" si="3"/>
        <v>3084.354655060456</v>
      </c>
      <c r="Y74" s="13">
        <f t="shared" ref="Y74:AE80" si="4">N74/$U74*2000</f>
        <v>5.1899851194051569</v>
      </c>
      <c r="Z74" s="5">
        <f t="shared" si="4"/>
        <v>0.13649503935426563</v>
      </c>
      <c r="AA74" s="357">
        <f t="shared" si="4"/>
        <v>9.5802071292965418E-2</v>
      </c>
      <c r="AB74" s="5">
        <f t="shared" si="4"/>
        <v>1.0101987294066701</v>
      </c>
      <c r="AC74" s="358">
        <f t="shared" si="4"/>
        <v>1.0101987294066701</v>
      </c>
      <c r="AD74" s="5">
        <f t="shared" si="4"/>
        <v>4.9390492784579333E-2</v>
      </c>
      <c r="AE74" s="13">
        <f t="shared" si="4"/>
        <v>8.5396932983801257</v>
      </c>
    </row>
    <row r="75" spans="1:31" x14ac:dyDescent="0.25">
      <c r="M75" s="1" t="s">
        <v>2006</v>
      </c>
      <c r="N75" s="133">
        <f t="shared" ref="N75:U75" si="5">SUM(N52:N53,N55:N56)</f>
        <v>1.7016621161578103</v>
      </c>
      <c r="O75" s="133">
        <f t="shared" si="5"/>
        <v>0.21092937416539626</v>
      </c>
      <c r="P75" s="133">
        <f t="shared" si="5"/>
        <v>5.1850593200240887E-2</v>
      </c>
      <c r="Q75" s="133">
        <f t="shared" si="5"/>
        <v>1.0947214482861007</v>
      </c>
      <c r="R75" s="133">
        <f t="shared" si="5"/>
        <v>1.0947214482861007</v>
      </c>
      <c r="S75" s="133">
        <f t="shared" si="5"/>
        <v>3.6331526444712589E-2</v>
      </c>
      <c r="T75" s="133">
        <f t="shared" si="5"/>
        <v>16.05427111776272</v>
      </c>
      <c r="U75" s="45">
        <f t="shared" si="5"/>
        <v>4162.3406971127097</v>
      </c>
      <c r="Y75" s="13">
        <f t="shared" si="4"/>
        <v>0.81764672331517796</v>
      </c>
      <c r="Z75" s="5">
        <f t="shared" si="4"/>
        <v>0.10135132585937119</v>
      </c>
      <c r="AA75" s="357">
        <f t="shared" si="4"/>
        <v>2.4914151422639707E-2</v>
      </c>
      <c r="AB75" s="5">
        <f t="shared" si="4"/>
        <v>0.52601241846707847</v>
      </c>
      <c r="AC75" s="358">
        <f t="shared" si="4"/>
        <v>0.52601241846707847</v>
      </c>
      <c r="AD75" s="5">
        <f t="shared" si="4"/>
        <v>1.7457257388812347E-2</v>
      </c>
      <c r="AE75" s="13">
        <f t="shared" si="4"/>
        <v>7.7140591249049288</v>
      </c>
    </row>
    <row r="76" spans="1:31" x14ac:dyDescent="0.25">
      <c r="M76" s="1" t="s">
        <v>2007</v>
      </c>
      <c r="N76" s="133">
        <f t="shared" ref="N76:U76" si="6">SUM(N60,N62:N63)</f>
        <v>8.8158081696554411E-2</v>
      </c>
      <c r="O76" s="133">
        <f t="shared" si="6"/>
        <v>1.3868774574926483</v>
      </c>
      <c r="P76" s="133">
        <f t="shared" si="6"/>
        <v>3.573626796461765</v>
      </c>
      <c r="Q76" s="133">
        <f t="shared" si="6"/>
        <v>5.6409010005791051E-2</v>
      </c>
      <c r="R76" s="133">
        <f t="shared" si="6"/>
        <v>5.6409010005791051E-2</v>
      </c>
      <c r="S76" s="133">
        <f t="shared" si="6"/>
        <v>3.0288340317414508E-3</v>
      </c>
      <c r="T76" s="133">
        <f t="shared" si="6"/>
        <v>5.5373371471880824E-2</v>
      </c>
      <c r="U76" s="45">
        <f t="shared" si="6"/>
        <v>33142.099180247023</v>
      </c>
      <c r="V76" s="134">
        <f t="shared" ref="V76" si="7">SUM(V60,V62:V63)</f>
        <v>247.28774669440239</v>
      </c>
      <c r="W76" t="s">
        <v>1997</v>
      </c>
      <c r="Y76" s="13">
        <f t="shared" si="4"/>
        <v>5.3200059065116427E-3</v>
      </c>
      <c r="Z76" s="5">
        <f t="shared" si="4"/>
        <v>8.3692795073115903E-2</v>
      </c>
      <c r="AA76" s="357">
        <f t="shared" si="4"/>
        <v>0.21565482482121573</v>
      </c>
      <c r="AB76" s="5">
        <f t="shared" si="4"/>
        <v>3.4040698326925113E-3</v>
      </c>
      <c r="AC76" s="358">
        <f t="shared" si="4"/>
        <v>3.4040698326925113E-3</v>
      </c>
      <c r="AD76" s="5">
        <f t="shared" si="4"/>
        <v>1.8277864750019588E-4</v>
      </c>
      <c r="AE76" s="13">
        <f t="shared" si="4"/>
        <v>3.3415729746463273E-3</v>
      </c>
    </row>
    <row r="77" spans="1:31" x14ac:dyDescent="0.25">
      <c r="M77" s="1" t="s">
        <v>2008</v>
      </c>
      <c r="N77" s="133">
        <f t="shared" ref="N77:U77" si="8">N61</f>
        <v>2.9262493256394771E-2</v>
      </c>
      <c r="O77" s="133">
        <f t="shared" si="8"/>
        <v>0.73874457028766605</v>
      </c>
      <c r="P77" s="133">
        <f t="shared" si="8"/>
        <v>0.52217749537133507</v>
      </c>
      <c r="Q77" s="133">
        <f t="shared" si="8"/>
        <v>1.8739368230717493E-2</v>
      </c>
      <c r="R77" s="133">
        <f t="shared" si="8"/>
        <v>1.8739368230717493E-2</v>
      </c>
      <c r="S77" s="133">
        <f t="shared" si="8"/>
        <v>1.0053671055779935E-3</v>
      </c>
      <c r="T77" s="133">
        <f t="shared" si="8"/>
        <v>1.8380197006295413E-2</v>
      </c>
      <c r="U77" s="45">
        <f t="shared" si="8"/>
        <v>11368.458109426863</v>
      </c>
      <c r="Y77" s="13">
        <f t="shared" si="4"/>
        <v>5.1480144404332118E-3</v>
      </c>
      <c r="Z77" s="5">
        <f t="shared" si="4"/>
        <v>0.12996389891696747</v>
      </c>
      <c r="AA77" s="357">
        <f t="shared" si="4"/>
        <v>9.1864259927797801E-2</v>
      </c>
      <c r="AB77" s="5">
        <f t="shared" si="4"/>
        <v>3.2967299611507705E-3</v>
      </c>
      <c r="AC77" s="358">
        <f t="shared" si="4"/>
        <v>3.2967299611507705E-3</v>
      </c>
      <c r="AD77" s="5">
        <f t="shared" si="4"/>
        <v>1.7686956241573883E-4</v>
      </c>
      <c r="AE77" s="13">
        <f t="shared" si="4"/>
        <v>3.2335426368953818E-3</v>
      </c>
    </row>
    <row r="78" spans="1:31" x14ac:dyDescent="0.25">
      <c r="M78" s="1" t="s">
        <v>2009</v>
      </c>
      <c r="N78" s="133">
        <f t="shared" ref="N78:U78" si="9">SUM(N50:N59,N68)</f>
        <v>9.6349030330693779</v>
      </c>
      <c r="O78" s="133">
        <f t="shared" si="9"/>
        <v>0.45273847118934324</v>
      </c>
      <c r="P78" s="133">
        <f t="shared" si="9"/>
        <v>9.2763605468225777E-2</v>
      </c>
      <c r="Q78" s="133">
        <f t="shared" si="9"/>
        <v>2.6208539082250466</v>
      </c>
      <c r="R78" s="133">
        <f t="shared" si="9"/>
        <v>2.6208539082250466</v>
      </c>
      <c r="S78" s="133">
        <f t="shared" si="9"/>
        <v>9.859742684033726E-2</v>
      </c>
      <c r="T78" s="133">
        <f t="shared" si="9"/>
        <v>27.846872563925437</v>
      </c>
      <c r="U78" s="45">
        <f t="shared" si="9"/>
        <v>7564.8015416086409</v>
      </c>
      <c r="V78" s="134">
        <f t="shared" ref="V78" si="10">V61</f>
        <v>84.706073476719965</v>
      </c>
      <c r="W78" t="s">
        <v>1997</v>
      </c>
      <c r="Y78" s="13">
        <f t="shared" si="4"/>
        <v>2.5472982946279736</v>
      </c>
      <c r="Z78" s="5">
        <f t="shared" si="4"/>
        <v>0.1196960604185445</v>
      </c>
      <c r="AA78" s="357">
        <f t="shared" si="4"/>
        <v>2.4525059899588527E-2</v>
      </c>
      <c r="AB78" s="5">
        <f t="shared" si="4"/>
        <v>0.6929075121956807</v>
      </c>
      <c r="AC78" s="358">
        <f t="shared" si="4"/>
        <v>0.6929075121956807</v>
      </c>
      <c r="AD78" s="5">
        <f t="shared" si="4"/>
        <v>2.6067419296599472E-2</v>
      </c>
      <c r="AE78" s="13">
        <f t="shared" si="4"/>
        <v>7.3622215760081531</v>
      </c>
    </row>
    <row r="79" spans="1:31" x14ac:dyDescent="0.25">
      <c r="M79" s="1" t="s">
        <v>2010</v>
      </c>
      <c r="N79" s="133">
        <f>SUM(N64,N65,N66,N67,N69)</f>
        <v>0.13126583679654028</v>
      </c>
      <c r="O79" s="133">
        <f t="shared" ref="O79:U79" si="11">SUM(O64,O65,O66,O67,O69)</f>
        <v>0.22545521755490466</v>
      </c>
      <c r="P79" s="133">
        <f t="shared" si="11"/>
        <v>0.13193516503618163</v>
      </c>
      <c r="Q79" s="133">
        <f t="shared" si="11"/>
        <v>0.11062161909104569</v>
      </c>
      <c r="R79" s="133">
        <f t="shared" si="11"/>
        <v>0.11062161909104569</v>
      </c>
      <c r="S79" s="133">
        <f t="shared" si="11"/>
        <v>4.4459227233438529E-2</v>
      </c>
      <c r="T79" s="133">
        <f t="shared" si="11"/>
        <v>1.6677615495493698</v>
      </c>
      <c r="U79" s="45">
        <f t="shared" si="11"/>
        <v>3497.584430970609</v>
      </c>
      <c r="V79" s="134">
        <f t="shared" ref="V79" si="12">SUM(V50:V59,V68)</f>
        <v>673.07900897884292</v>
      </c>
      <c r="W79" t="s">
        <v>2011</v>
      </c>
      <c r="Y79" s="13">
        <f t="shared" si="4"/>
        <v>7.5060853790519022E-2</v>
      </c>
      <c r="Z79" s="5">
        <f t="shared" si="4"/>
        <v>0.12892052901341339</v>
      </c>
      <c r="AA79" s="357">
        <f t="shared" si="4"/>
        <v>7.5443591221366749E-2</v>
      </c>
      <c r="AB79" s="5">
        <f t="shared" si="4"/>
        <v>6.3256010697844547E-2</v>
      </c>
      <c r="AC79" s="358">
        <f t="shared" si="4"/>
        <v>6.3256010697844547E-2</v>
      </c>
      <c r="AD79" s="5">
        <f t="shared" si="4"/>
        <v>2.5422818582881625E-2</v>
      </c>
      <c r="AE79" s="13">
        <f t="shared" si="4"/>
        <v>0.95366478348975947</v>
      </c>
    </row>
    <row r="80" spans="1:31" x14ac:dyDescent="0.25">
      <c r="M80" s="1" t="s">
        <v>2012</v>
      </c>
      <c r="N80" s="133">
        <f>SUM(N76:N79)</f>
        <v>9.8835894448188668</v>
      </c>
      <c r="O80" s="133">
        <f t="shared" ref="O80:U80" si="13">SUM(O76:O79)</f>
        <v>2.8038157165245621</v>
      </c>
      <c r="P80" s="133">
        <f t="shared" si="13"/>
        <v>4.3205030623375071</v>
      </c>
      <c r="Q80" s="133">
        <f t="shared" si="13"/>
        <v>2.8066239055526006</v>
      </c>
      <c r="R80" s="133">
        <f t="shared" si="13"/>
        <v>2.8066239055526006</v>
      </c>
      <c r="S80" s="133">
        <f t="shared" si="13"/>
        <v>0.14709085521109524</v>
      </c>
      <c r="T80" s="133">
        <f t="shared" si="13"/>
        <v>29.58838768195298</v>
      </c>
      <c r="U80" s="45">
        <f t="shared" si="13"/>
        <v>55572.943262253139</v>
      </c>
      <c r="Y80" s="13">
        <f t="shared" si="4"/>
        <v>0.35569789414166614</v>
      </c>
      <c r="Z80" s="5">
        <f t="shared" si="4"/>
        <v>0.10090578443157609</v>
      </c>
      <c r="AA80" s="357">
        <f t="shared" si="4"/>
        <v>0.15548944535648254</v>
      </c>
      <c r="AB80" s="5">
        <f t="shared" si="4"/>
        <v>0.10100684760596246</v>
      </c>
      <c r="AC80" s="358">
        <f t="shared" si="4"/>
        <v>0.10100684760596246</v>
      </c>
      <c r="AD80" s="5">
        <f t="shared" si="4"/>
        <v>5.2936139990628819E-3</v>
      </c>
      <c r="AE80" s="13">
        <f t="shared" si="4"/>
        <v>1.0648486815723626</v>
      </c>
    </row>
    <row r="82" spans="20:23" x14ac:dyDescent="0.25">
      <c r="V82" s="38">
        <f>V79/Lookup!B37</f>
        <v>399.98620822022173</v>
      </c>
      <c r="W82" t="s">
        <v>2013</v>
      </c>
    </row>
    <row r="83" spans="20:23" x14ac:dyDescent="0.25">
      <c r="T83" s="1" t="s">
        <v>2014</v>
      </c>
      <c r="U83" s="13">
        <v>1.930282922015446</v>
      </c>
      <c r="V83" s="45">
        <f>V82*365/U83</f>
        <v>75633.972789825406</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5C4A-07B1-4508-895A-A06DFF3EE089}">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0.60714255562672703</v>
      </c>
      <c r="G5" s="133">
        <v>0.52357515776398889</v>
      </c>
      <c r="H5" s="133">
        <v>0.68422293273456769</v>
      </c>
      <c r="I5" s="133">
        <v>0.17956372089470773</v>
      </c>
      <c r="J5" s="133">
        <v>0.17956372089470773</v>
      </c>
      <c r="K5" s="133">
        <v>1.7993192993522377E-2</v>
      </c>
      <c r="L5" s="133">
        <v>1.7904320248040231</v>
      </c>
      <c r="M5" s="45">
        <v>9820.0567819991902</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1.4613993859264016E-2</v>
      </c>
      <c r="G7" s="133">
        <v>1.0678623079695733E-2</v>
      </c>
      <c r="H7" s="133">
        <v>1.5849814692472253E-2</v>
      </c>
      <c r="I7" s="133">
        <v>4.8687605568438876E-3</v>
      </c>
      <c r="J7" s="133">
        <v>4.8687605568438876E-3</v>
      </c>
      <c r="K7" s="133">
        <v>3.5655812843734489E-4</v>
      </c>
      <c r="L7" s="133">
        <v>5.1738110790413773E-2</v>
      </c>
      <c r="M7" s="45">
        <v>206.44166183410866</v>
      </c>
    </row>
    <row r="8" spans="1:13" x14ac:dyDescent="0.25">
      <c r="A8" s="812" t="s">
        <v>1996</v>
      </c>
      <c r="B8" s="812">
        <v>1</v>
      </c>
      <c r="C8" s="608">
        <v>39470</v>
      </c>
      <c r="D8" s="812">
        <v>99705</v>
      </c>
      <c r="E8" s="812" t="s">
        <v>1599</v>
      </c>
      <c r="F8" s="133">
        <v>2.5341317927560554</v>
      </c>
      <c r="G8" s="133">
        <v>0.52399433097265424</v>
      </c>
      <c r="H8" s="133">
        <v>0.89645924397766985</v>
      </c>
      <c r="I8" s="133">
        <v>0.76781162902028055</v>
      </c>
      <c r="J8" s="133">
        <v>0.76781162902028055</v>
      </c>
      <c r="K8" s="133">
        <v>3.4586906530525763E-2</v>
      </c>
      <c r="L8" s="133">
        <v>8.2648514436192464</v>
      </c>
      <c r="M8" s="45">
        <v>10813.183551947359</v>
      </c>
    </row>
    <row r="9" spans="1:13" x14ac:dyDescent="0.25">
      <c r="A9" s="812" t="s">
        <v>1996</v>
      </c>
      <c r="B9" s="812">
        <v>1</v>
      </c>
      <c r="C9" s="608">
        <v>39470</v>
      </c>
      <c r="D9" s="812">
        <v>99709</v>
      </c>
      <c r="E9" s="812" t="s">
        <v>1600</v>
      </c>
      <c r="F9" s="133">
        <v>2.3683286333165139</v>
      </c>
      <c r="G9" s="133">
        <v>0.6588780577465575</v>
      </c>
      <c r="H9" s="133">
        <v>1.0846071084684892</v>
      </c>
      <c r="I9" s="133">
        <v>0.64428418005751442</v>
      </c>
      <c r="J9" s="133">
        <v>0.64428418005751442</v>
      </c>
      <c r="K9" s="133">
        <v>3.3714431561270526E-2</v>
      </c>
      <c r="L9" s="133">
        <v>6.6740717178598814</v>
      </c>
      <c r="M9" s="45">
        <v>13480.301317985944</v>
      </c>
    </row>
    <row r="10" spans="1:13" x14ac:dyDescent="0.25">
      <c r="A10" s="812" t="s">
        <v>1996</v>
      </c>
      <c r="B10" s="812">
        <v>1</v>
      </c>
      <c r="C10" s="608">
        <v>39470</v>
      </c>
      <c r="D10" s="812">
        <v>99712</v>
      </c>
      <c r="E10" s="812" t="s">
        <v>1601</v>
      </c>
      <c r="F10" s="133">
        <v>1.3945947362590363</v>
      </c>
      <c r="G10" s="133">
        <v>0.24216861008687968</v>
      </c>
      <c r="H10" s="133">
        <v>0.43693234603482189</v>
      </c>
      <c r="I10" s="133">
        <v>0.37803729955345255</v>
      </c>
      <c r="J10" s="133">
        <v>0.37803729955345255</v>
      </c>
      <c r="K10" s="133">
        <v>1.7578715345657494E-2</v>
      </c>
      <c r="L10" s="133">
        <v>3.9486318325262211</v>
      </c>
      <c r="M10" s="45">
        <v>5051.0708189290926</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4.3518044828976088E-5</v>
      </c>
      <c r="G22" s="133">
        <v>1.0284862638730065E-3</v>
      </c>
      <c r="H22" s="133">
        <v>6.0043790767021297E-4</v>
      </c>
      <c r="I22" s="133">
        <v>3.5231299959658812E-5</v>
      </c>
      <c r="J22" s="133">
        <v>3.5231299959658812E-5</v>
      </c>
      <c r="K22" s="133">
        <v>3.7265223002772007E-5</v>
      </c>
      <c r="L22" s="133">
        <v>9.3319291594525725E-5</v>
      </c>
      <c r="M22" s="45">
        <v>16.713992990307695</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0.84106501777099185</v>
      </c>
      <c r="G24" s="133">
        <v>0.68246192238890024</v>
      </c>
      <c r="H24" s="133">
        <v>0.89023218216090705</v>
      </c>
      <c r="I24" s="133">
        <v>0.24214278913828394</v>
      </c>
      <c r="J24" s="133">
        <v>0.24214278913828394</v>
      </c>
      <c r="K24" s="133">
        <v>2.0729598836738278E-2</v>
      </c>
      <c r="L24" s="133">
        <v>2.4102676720421363</v>
      </c>
      <c r="M24" s="45">
        <v>12650.846558120018</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1.9814578772227098E-2</v>
      </c>
      <c r="G26" s="133">
        <v>1.390389946805628E-2</v>
      </c>
      <c r="H26" s="133">
        <v>2.056507053963123E-2</v>
      </c>
      <c r="I26" s="133">
        <v>6.4988937109638932E-3</v>
      </c>
      <c r="J26" s="133">
        <v>6.4988937109638932E-3</v>
      </c>
      <c r="K26" s="133">
        <v>4.2437129555489761E-4</v>
      </c>
      <c r="L26" s="133">
        <v>6.9258418881315634E-2</v>
      </c>
      <c r="M26" s="45">
        <v>266.11517041397383</v>
      </c>
    </row>
    <row r="27" spans="1:13" x14ac:dyDescent="0.25">
      <c r="A27" s="812" t="s">
        <v>1996</v>
      </c>
      <c r="B27" s="812">
        <v>2</v>
      </c>
      <c r="C27" s="608">
        <v>39471</v>
      </c>
      <c r="D27" s="812">
        <v>99705</v>
      </c>
      <c r="E27" s="812" t="s">
        <v>1599</v>
      </c>
      <c r="F27" s="133">
        <v>3.4210257922060952</v>
      </c>
      <c r="G27" s="133">
        <v>0.68380368121127821</v>
      </c>
      <c r="H27" s="133">
        <v>1.1652325076702212</v>
      </c>
      <c r="I27" s="133">
        <v>1.0263979144793833</v>
      </c>
      <c r="J27" s="133">
        <v>1.0263979144793833</v>
      </c>
      <c r="K27" s="133">
        <v>4.5854474083746176E-2</v>
      </c>
      <c r="L27" s="133">
        <v>11.123722103601773</v>
      </c>
      <c r="M27" s="45">
        <v>14031.96388593445</v>
      </c>
    </row>
    <row r="28" spans="1:13" x14ac:dyDescent="0.25">
      <c r="A28" s="812" t="s">
        <v>1996</v>
      </c>
      <c r="B28" s="812">
        <v>2</v>
      </c>
      <c r="C28" s="608">
        <v>39471</v>
      </c>
      <c r="D28" s="812">
        <v>99709</v>
      </c>
      <c r="E28" s="812" t="s">
        <v>1600</v>
      </c>
      <c r="F28" s="133">
        <v>3.1585917601542799</v>
      </c>
      <c r="G28" s="133">
        <v>0.83902480908859611</v>
      </c>
      <c r="H28" s="133">
        <v>1.3702541940880191</v>
      </c>
      <c r="I28" s="133">
        <v>0.84127123089804312</v>
      </c>
      <c r="J28" s="133">
        <v>0.84127123089804312</v>
      </c>
      <c r="K28" s="133">
        <v>4.2271226710265307E-2</v>
      </c>
      <c r="L28" s="133">
        <v>8.6853292812539777</v>
      </c>
      <c r="M28" s="45">
        <v>17022.186714977888</v>
      </c>
    </row>
    <row r="29" spans="1:13" x14ac:dyDescent="0.25">
      <c r="A29" s="812" t="s">
        <v>1996</v>
      </c>
      <c r="B29" s="812">
        <v>2</v>
      </c>
      <c r="C29" s="608">
        <v>39471</v>
      </c>
      <c r="D29" s="812">
        <v>99712</v>
      </c>
      <c r="E29" s="812" t="s">
        <v>1601</v>
      </c>
      <c r="F29" s="133">
        <v>1.7595526041716334</v>
      </c>
      <c r="G29" s="133">
        <v>0.29390719107733349</v>
      </c>
      <c r="H29" s="133">
        <v>0.52652926543252299</v>
      </c>
      <c r="I29" s="133">
        <v>0.46926565253987962</v>
      </c>
      <c r="J29" s="133">
        <v>0.46926565253987962</v>
      </c>
      <c r="K29" s="133">
        <v>2.1748131640769393E-2</v>
      </c>
      <c r="L29" s="133">
        <v>4.8963967752612145</v>
      </c>
      <c r="M29" s="45">
        <v>6097.7391404093332</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5.6611456449765406E-5</v>
      </c>
      <c r="G41" s="133">
        <v>1.35903522484665E-3</v>
      </c>
      <c r="H41" s="133">
        <v>8.3408460435131651E-4</v>
      </c>
      <c r="I41" s="133">
        <v>4.3616172007590243E-5</v>
      </c>
      <c r="J41" s="133">
        <v>4.3616172007590243E-5</v>
      </c>
      <c r="K41" s="133">
        <v>3.7715071388143532E-5</v>
      </c>
      <c r="L41" s="133">
        <v>1.0154345359487183E-4</v>
      </c>
      <c r="M41" s="45">
        <v>21.800774223068764</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0.76762441183165964</v>
      </c>
      <c r="G43" s="133">
        <v>0.6544768305851878</v>
      </c>
      <c r="H43" s="133">
        <v>0.84084314009395722</v>
      </c>
      <c r="I43" s="133">
        <v>0.2230207727104449</v>
      </c>
      <c r="J43" s="133">
        <v>0.2230207727104449</v>
      </c>
      <c r="K43" s="133">
        <v>1.9892385997020423E-2</v>
      </c>
      <c r="L43" s="133">
        <v>2.2155719712903039</v>
      </c>
      <c r="M43" s="45">
        <v>12085.517601231015</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1.8265412337182395E-2</v>
      </c>
      <c r="G45" s="133">
        <v>1.3269799553387253E-2</v>
      </c>
      <c r="H45" s="133">
        <v>1.9391483946030161E-2</v>
      </c>
      <c r="I45" s="133">
        <v>6.0225309110615429E-3</v>
      </c>
      <c r="J45" s="133">
        <v>6.0225309110615429E-3</v>
      </c>
      <c r="K45" s="133">
        <v>4.0469011292332643E-4</v>
      </c>
      <c r="L45" s="133">
        <v>6.4045296493187548E-2</v>
      </c>
      <c r="M45" s="45">
        <v>253.06616474428154</v>
      </c>
    </row>
    <row r="46" spans="1:13" x14ac:dyDescent="0.25">
      <c r="A46" s="812" t="s">
        <v>1996</v>
      </c>
      <c r="B46" s="812">
        <v>3</v>
      </c>
      <c r="C46" s="608">
        <v>39472</v>
      </c>
      <c r="D46" s="812">
        <v>99705</v>
      </c>
      <c r="E46" s="812" t="s">
        <v>1599</v>
      </c>
      <c r="F46" s="133">
        <v>3.1662917094088754</v>
      </c>
      <c r="G46" s="133">
        <v>0.64197766325253525</v>
      </c>
      <c r="H46" s="133">
        <v>1.090813538893749</v>
      </c>
      <c r="I46" s="133">
        <v>0.95237863634026476</v>
      </c>
      <c r="J46" s="133">
        <v>0.95237863634026476</v>
      </c>
      <c r="K46" s="133">
        <v>4.2626568176933881E-2</v>
      </c>
      <c r="L46" s="133">
        <v>10.305141891067777</v>
      </c>
      <c r="M46" s="45">
        <v>13169.973913501781</v>
      </c>
    </row>
    <row r="47" spans="1:13" x14ac:dyDescent="0.25">
      <c r="A47" s="812" t="s">
        <v>1996</v>
      </c>
      <c r="B47" s="812">
        <v>3</v>
      </c>
      <c r="C47" s="608">
        <v>39472</v>
      </c>
      <c r="D47" s="812">
        <v>99709</v>
      </c>
      <c r="E47" s="812" t="s">
        <v>1600</v>
      </c>
      <c r="F47" s="133">
        <v>2.8052646181530885</v>
      </c>
      <c r="G47" s="133">
        <v>0.77995208335445665</v>
      </c>
      <c r="H47" s="133">
        <v>1.2594574304023929</v>
      </c>
      <c r="I47" s="133">
        <v>0.7533799381767009</v>
      </c>
      <c r="J47" s="133">
        <v>0.7533799381767009</v>
      </c>
      <c r="K47" s="133">
        <v>3.8472350563074242E-2</v>
      </c>
      <c r="L47" s="133">
        <v>7.7814943138694952</v>
      </c>
      <c r="M47" s="45">
        <v>15772.961168620959</v>
      </c>
    </row>
    <row r="48" spans="1:13" x14ac:dyDescent="0.25">
      <c r="A48" s="812" t="s">
        <v>1996</v>
      </c>
      <c r="B48" s="812">
        <v>3</v>
      </c>
      <c r="C48" s="608">
        <v>39472</v>
      </c>
      <c r="D48" s="812">
        <v>99712</v>
      </c>
      <c r="E48" s="812" t="s">
        <v>1601</v>
      </c>
      <c r="F48" s="133">
        <v>1.5865396062186363</v>
      </c>
      <c r="G48" s="133">
        <v>0.27173153456969157</v>
      </c>
      <c r="H48" s="133">
        <v>0.4860682577621836</v>
      </c>
      <c r="I48" s="133">
        <v>0.4259524454344546</v>
      </c>
      <c r="J48" s="133">
        <v>0.4259524454344546</v>
      </c>
      <c r="K48" s="133">
        <v>1.9768310539463145E-2</v>
      </c>
      <c r="L48" s="133">
        <v>4.4451546249264382</v>
      </c>
      <c r="M48" s="45">
        <v>5639.6654788910937</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5.5472898917522856E-5</v>
      </c>
      <c r="G60" s="133">
        <v>1.3302918369358981E-3</v>
      </c>
      <c r="H60" s="133">
        <v>8.1376750029209016E-4</v>
      </c>
      <c r="I60" s="133">
        <v>4.2887052699074459E-5</v>
      </c>
      <c r="J60" s="133">
        <v>4.2887052699074459E-5</v>
      </c>
      <c r="K60" s="133">
        <v>3.7675954137241662E-5</v>
      </c>
      <c r="L60" s="133">
        <v>1.0082830907310261E-4</v>
      </c>
      <c r="M60" s="45">
        <v>21.358445420219976</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1.0683375526235057</v>
      </c>
      <c r="G62" s="133">
        <v>0.81873367680017506</v>
      </c>
      <c r="H62" s="133">
        <v>1.0837460938652652</v>
      </c>
      <c r="I62" s="133">
        <v>0.30569843023163507</v>
      </c>
      <c r="J62" s="133">
        <v>0.30569843023163507</v>
      </c>
      <c r="K62" s="133">
        <v>2.3473008302943129E-2</v>
      </c>
      <c r="L62" s="133">
        <v>3.064723869187568</v>
      </c>
      <c r="M62" s="45">
        <v>15166.162870947883</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2.5027023914550438E-2</v>
      </c>
      <c r="G64" s="133">
        <v>1.6844993216750075E-2</v>
      </c>
      <c r="H64" s="133">
        <v>2.5232998839640388E-2</v>
      </c>
      <c r="I64" s="133">
        <v>8.2199664894014365E-3</v>
      </c>
      <c r="J64" s="133">
        <v>8.2199664894014365E-3</v>
      </c>
      <c r="K64" s="133">
        <v>4.945378684891316E-4</v>
      </c>
      <c r="L64" s="133">
        <v>8.8408960572864848E-2</v>
      </c>
      <c r="M64" s="45">
        <v>322.5762619129938</v>
      </c>
    </row>
    <row r="65" spans="1:13" x14ac:dyDescent="0.25">
      <c r="A65" s="812" t="s">
        <v>1996</v>
      </c>
      <c r="B65" s="812">
        <v>4</v>
      </c>
      <c r="C65" s="608">
        <v>39473</v>
      </c>
      <c r="D65" s="812">
        <v>99705</v>
      </c>
      <c r="E65" s="812" t="s">
        <v>1599</v>
      </c>
      <c r="F65" s="133">
        <v>4.1705009837943523</v>
      </c>
      <c r="G65" s="133">
        <v>0.82862619867867238</v>
      </c>
      <c r="H65" s="133">
        <v>1.4108842329495763</v>
      </c>
      <c r="I65" s="133">
        <v>1.2615506455500485</v>
      </c>
      <c r="J65" s="133">
        <v>1.2615506455500485</v>
      </c>
      <c r="K65" s="133">
        <v>5.6050650932547783E-2</v>
      </c>
      <c r="L65" s="133">
        <v>13.828292503056376</v>
      </c>
      <c r="M65" s="45">
        <v>16961.209270013485</v>
      </c>
    </row>
    <row r="66" spans="1:13" x14ac:dyDescent="0.25">
      <c r="A66" s="812" t="s">
        <v>1996</v>
      </c>
      <c r="B66" s="812">
        <v>4</v>
      </c>
      <c r="C66" s="608">
        <v>39473</v>
      </c>
      <c r="D66" s="812">
        <v>99709</v>
      </c>
      <c r="E66" s="812" t="s">
        <v>1600</v>
      </c>
      <c r="F66" s="133">
        <v>3.7429590646125446</v>
      </c>
      <c r="G66" s="133">
        <v>0.98244058845018689</v>
      </c>
      <c r="H66" s="133">
        <v>1.5994808955981088</v>
      </c>
      <c r="I66" s="133">
        <v>0.99966616902575101</v>
      </c>
      <c r="J66" s="133">
        <v>0.99966616902575101</v>
      </c>
      <c r="K66" s="133">
        <v>4.900849205277847E-2</v>
      </c>
      <c r="L66" s="133">
        <v>10.380770656712809</v>
      </c>
      <c r="M66" s="45">
        <v>19858.07050756536</v>
      </c>
    </row>
    <row r="67" spans="1:13" x14ac:dyDescent="0.25">
      <c r="A67" s="812" t="s">
        <v>1996</v>
      </c>
      <c r="B67" s="812">
        <v>4</v>
      </c>
      <c r="C67" s="608">
        <v>39473</v>
      </c>
      <c r="D67" s="812">
        <v>99712</v>
      </c>
      <c r="E67" s="812" t="s">
        <v>1601</v>
      </c>
      <c r="F67" s="133">
        <v>2.0737888096117336</v>
      </c>
      <c r="G67" s="133">
        <v>0.34379144630972458</v>
      </c>
      <c r="H67" s="133">
        <v>0.6141168856003596</v>
      </c>
      <c r="I67" s="133">
        <v>0.55502725757367044</v>
      </c>
      <c r="J67" s="133">
        <v>0.55502725757367044</v>
      </c>
      <c r="K67" s="133">
        <v>2.562055865037681E-2</v>
      </c>
      <c r="L67" s="133">
        <v>5.8345919299286706</v>
      </c>
      <c r="M67" s="45">
        <v>7113.9597532105117</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6.6289195473827068E-5</v>
      </c>
      <c r="G79" s="133">
        <v>1.6033540220880382E-3</v>
      </c>
      <c r="H79" s="133">
        <v>1.0067799888547409E-3</v>
      </c>
      <c r="I79" s="133">
        <v>4.9813686129974348E-5</v>
      </c>
      <c r="J79" s="133">
        <v>4.9813686129974348E-5</v>
      </c>
      <c r="K79" s="133">
        <v>3.8047568020809435E-5</v>
      </c>
      <c r="L79" s="133">
        <v>1.0762218202991022E-4</v>
      </c>
      <c r="M79" s="45">
        <v>25.560569047283465</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0.95041920766172139</v>
      </c>
      <c r="G81" s="133">
        <v>0.75862858858283977</v>
      </c>
      <c r="H81" s="133">
        <v>0.99479298569448227</v>
      </c>
      <c r="I81" s="133">
        <v>0.2751607130057242</v>
      </c>
      <c r="J81" s="133">
        <v>0.2751607130057242</v>
      </c>
      <c r="K81" s="133">
        <v>2.2124419953594106E-2</v>
      </c>
      <c r="L81" s="133">
        <v>2.7602901657022549</v>
      </c>
      <c r="M81" s="45">
        <v>14039.66442952905</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2.2695125448318622E-2</v>
      </c>
      <c r="G83" s="133">
        <v>1.5612232430777948E-2</v>
      </c>
      <c r="H83" s="133">
        <v>2.3253391209110311E-2</v>
      </c>
      <c r="I83" s="133">
        <v>7.4935867493477705E-3</v>
      </c>
      <c r="J83" s="133">
        <v>7.4935867493477705E-3</v>
      </c>
      <c r="K83" s="133">
        <v>4.6455046913355041E-4</v>
      </c>
      <c r="L83" s="133">
        <v>8.0535855763501057E-2</v>
      </c>
      <c r="M83" s="45">
        <v>298.81664527366786</v>
      </c>
    </row>
    <row r="84" spans="1:13" x14ac:dyDescent="0.25">
      <c r="A84" s="812" t="s">
        <v>1996</v>
      </c>
      <c r="B84" s="812">
        <v>5</v>
      </c>
      <c r="C84" s="608">
        <v>39474</v>
      </c>
      <c r="D84" s="812">
        <v>99705</v>
      </c>
      <c r="E84" s="812" t="s">
        <v>1599</v>
      </c>
      <c r="F84" s="133">
        <v>3.7827496792732473</v>
      </c>
      <c r="G84" s="133">
        <v>0.76042570192044578</v>
      </c>
      <c r="H84" s="133">
        <v>1.2931206434314011</v>
      </c>
      <c r="I84" s="133">
        <v>1.1477470683439988</v>
      </c>
      <c r="J84" s="133">
        <v>1.1477470683439988</v>
      </c>
      <c r="K84" s="133">
        <v>5.1083515574434753E-2</v>
      </c>
      <c r="L84" s="133">
        <v>12.566024163535703</v>
      </c>
      <c r="M84" s="45">
        <v>15574.148537483694</v>
      </c>
    </row>
    <row r="85" spans="1:13" x14ac:dyDescent="0.25">
      <c r="A85" s="812" t="s">
        <v>1996</v>
      </c>
      <c r="B85" s="812">
        <v>5</v>
      </c>
      <c r="C85" s="608">
        <v>39474</v>
      </c>
      <c r="D85" s="812">
        <v>99709</v>
      </c>
      <c r="E85" s="812" t="s">
        <v>1600</v>
      </c>
      <c r="F85" s="133">
        <v>3.2224263066995933</v>
      </c>
      <c r="G85" s="133">
        <v>0.88963558022730882</v>
      </c>
      <c r="H85" s="133">
        <v>1.4397754767092483</v>
      </c>
      <c r="I85" s="133">
        <v>0.87078215839643103</v>
      </c>
      <c r="J85" s="133">
        <v>0.87078215839643103</v>
      </c>
      <c r="K85" s="133">
        <v>4.3417245908634647E-2</v>
      </c>
      <c r="L85" s="133">
        <v>9.0597497714004582</v>
      </c>
      <c r="M85" s="45">
        <v>17966.271737565647</v>
      </c>
    </row>
    <row r="86" spans="1:13" x14ac:dyDescent="0.25">
      <c r="A86" s="812" t="s">
        <v>1996</v>
      </c>
      <c r="B86" s="812">
        <v>5</v>
      </c>
      <c r="C86" s="608">
        <v>39474</v>
      </c>
      <c r="D86" s="812">
        <v>99712</v>
      </c>
      <c r="E86" s="812" t="s">
        <v>1601</v>
      </c>
      <c r="F86" s="133">
        <v>1.6927033604368669</v>
      </c>
      <c r="G86" s="133">
        <v>0.29330975610236365</v>
      </c>
      <c r="H86" s="133">
        <v>0.52246629928948196</v>
      </c>
      <c r="I86" s="133">
        <v>0.45886986864691826</v>
      </c>
      <c r="J86" s="133">
        <v>0.45886986864691826</v>
      </c>
      <c r="K86" s="133">
        <v>2.1242301061172947E-2</v>
      </c>
      <c r="L86" s="133">
        <v>4.8297302183028954</v>
      </c>
      <c r="M86" s="45">
        <v>6072.4906515566427</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6.2304244110978154E-5</v>
      </c>
      <c r="G98" s="133">
        <v>1.5027521644004078E-3</v>
      </c>
      <c r="H98" s="133">
        <v>9.356701246474485E-4</v>
      </c>
      <c r="I98" s="133">
        <v>4.7261768550169137E-5</v>
      </c>
      <c r="J98" s="133">
        <v>4.7261768550169137E-5</v>
      </c>
      <c r="K98" s="133">
        <v>3.7910657642652894E-5</v>
      </c>
      <c r="L98" s="133">
        <v>1.0511917620371795E-4</v>
      </c>
      <c r="M98" s="45">
        <v>24.012418237312705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0.82314988415411039</v>
      </c>
      <c r="G100" s="133">
        <v>0.66924080751256265</v>
      </c>
      <c r="H100" s="133">
        <v>0.8736593822614801</v>
      </c>
      <c r="I100" s="133">
        <v>0.23726058778588843</v>
      </c>
      <c r="J100" s="133">
        <v>0.23726058778588843</v>
      </c>
      <c r="K100" s="133">
        <v>2.0517612026435414E-2</v>
      </c>
      <c r="L100" s="133">
        <v>2.3618168465905689</v>
      </c>
      <c r="M100" s="45">
        <v>12418.070421020891</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1.9600509027363305E-2</v>
      </c>
      <c r="G102" s="133">
        <v>1.3713879950271589E-2</v>
      </c>
      <c r="H102" s="133">
        <v>2.0353503348415129E-2</v>
      </c>
      <c r="I102" s="133">
        <v>6.4322567855917834E-3</v>
      </c>
      <c r="J102" s="133">
        <v>6.4322567855917834E-3</v>
      </c>
      <c r="K102" s="133">
        <v>4.2137536034751402E-4</v>
      </c>
      <c r="L102" s="133">
        <v>6.8565918609825832E-2</v>
      </c>
      <c r="M102" s="45">
        <v>262.95886163682297</v>
      </c>
    </row>
    <row r="103" spans="1:13" x14ac:dyDescent="0.25">
      <c r="A103" s="812" t="s">
        <v>1996</v>
      </c>
      <c r="B103" s="812">
        <v>6</v>
      </c>
      <c r="C103" s="608">
        <v>39475</v>
      </c>
      <c r="D103" s="812">
        <v>99705</v>
      </c>
      <c r="E103" s="812" t="s">
        <v>1599</v>
      </c>
      <c r="F103" s="133">
        <v>3.4040635343005907</v>
      </c>
      <c r="G103" s="133">
        <v>0.6796194190469792</v>
      </c>
      <c r="H103" s="133">
        <v>1.1592486722114228</v>
      </c>
      <c r="I103" s="133">
        <v>1.0220867032238685</v>
      </c>
      <c r="J103" s="133">
        <v>1.0220867032238685</v>
      </c>
      <c r="K103" s="133">
        <v>4.5631460652269695E-2</v>
      </c>
      <c r="L103" s="133">
        <v>11.078791534494435</v>
      </c>
      <c r="M103" s="45">
        <v>13955.308382433297</v>
      </c>
    </row>
    <row r="104" spans="1:13" x14ac:dyDescent="0.25">
      <c r="A104" s="812" t="s">
        <v>1996</v>
      </c>
      <c r="B104" s="812">
        <v>6</v>
      </c>
      <c r="C104" s="608">
        <v>39475</v>
      </c>
      <c r="D104" s="812">
        <v>99709</v>
      </c>
      <c r="E104" s="812" t="s">
        <v>1600</v>
      </c>
      <c r="F104" s="133">
        <v>2.9164126082806856</v>
      </c>
      <c r="G104" s="133">
        <v>0.79759797632667839</v>
      </c>
      <c r="H104" s="133">
        <v>1.2955351946453719</v>
      </c>
      <c r="I104" s="133">
        <v>0.77997493058155731</v>
      </c>
      <c r="J104" s="133">
        <v>0.77997493058155731</v>
      </c>
      <c r="K104" s="133">
        <v>3.963588112637749E-2</v>
      </c>
      <c r="L104" s="133">
        <v>8.0494023967958395</v>
      </c>
      <c r="M104" s="45">
        <v>16159.711459332968</v>
      </c>
    </row>
    <row r="105" spans="1:13" x14ac:dyDescent="0.25">
      <c r="A105" s="812" t="s">
        <v>1996</v>
      </c>
      <c r="B105" s="812">
        <v>6</v>
      </c>
      <c r="C105" s="608">
        <v>39475</v>
      </c>
      <c r="D105" s="812">
        <v>99712</v>
      </c>
      <c r="E105" s="812" t="s">
        <v>1601</v>
      </c>
      <c r="F105" s="133">
        <v>1.5943803359898039</v>
      </c>
      <c r="G105" s="133">
        <v>0.27135338499504741</v>
      </c>
      <c r="H105" s="133">
        <v>0.48564242316014677</v>
      </c>
      <c r="I105" s="133">
        <v>0.42602270667141001</v>
      </c>
      <c r="J105" s="133">
        <v>0.42602270667141001</v>
      </c>
      <c r="K105" s="133">
        <v>1.980321935203248E-2</v>
      </c>
      <c r="L105" s="133">
        <v>4.4365003369906226</v>
      </c>
      <c r="M105" s="45">
        <v>5631.7356647697861</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5.5472898917522863E-5</v>
      </c>
      <c r="G117" s="133">
        <v>1.3302918369358983E-3</v>
      </c>
      <c r="H117" s="133">
        <v>8.1376750029208994E-4</v>
      </c>
      <c r="I117" s="133">
        <v>4.2887052699074465E-5</v>
      </c>
      <c r="J117" s="133">
        <v>4.2887052699074465E-5</v>
      </c>
      <c r="K117" s="133">
        <v>3.7675954137241656E-5</v>
      </c>
      <c r="L117" s="133">
        <v>1.0082830907310258E-4</v>
      </c>
      <c r="M117" s="45">
        <v>21.358445420219976</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0.92415144254502557</v>
      </c>
      <c r="G119" s="133">
        <v>0.73371819334836585</v>
      </c>
      <c r="H119" s="133">
        <v>0.9594377540270177</v>
      </c>
      <c r="I119" s="133">
        <v>0.26402119594973089</v>
      </c>
      <c r="J119" s="133">
        <v>0.26402119594973089</v>
      </c>
      <c r="K119" s="133">
        <v>2.1691738919094601E-2</v>
      </c>
      <c r="L119" s="133">
        <v>2.62700329584443</v>
      </c>
      <c r="M119" s="45">
        <v>13577.772352706661</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2.1765960550198936E-2</v>
      </c>
      <c r="G121" s="133">
        <v>1.5021752452067022E-2</v>
      </c>
      <c r="H121" s="133">
        <v>2.2298384488724645E-2</v>
      </c>
      <c r="I121" s="133">
        <v>7.1106026547624601E-3</v>
      </c>
      <c r="J121" s="133">
        <v>7.1106026547624601E-3</v>
      </c>
      <c r="K121" s="133">
        <v>4.4952483484530506E-4</v>
      </c>
      <c r="L121" s="133">
        <v>7.5868668683760854E-2</v>
      </c>
      <c r="M121" s="45">
        <v>287.33369812316727</v>
      </c>
    </row>
    <row r="122" spans="1:13" x14ac:dyDescent="0.25">
      <c r="A122" s="812" t="s">
        <v>1996</v>
      </c>
      <c r="B122" s="812">
        <v>7</v>
      </c>
      <c r="C122" s="608">
        <v>39476</v>
      </c>
      <c r="D122" s="812">
        <v>99705</v>
      </c>
      <c r="E122" s="812" t="s">
        <v>1599</v>
      </c>
      <c r="F122" s="133">
        <v>3.727074973598028</v>
      </c>
      <c r="G122" s="133">
        <v>0.73878581751881445</v>
      </c>
      <c r="H122" s="133">
        <v>1.2583928935747912</v>
      </c>
      <c r="I122" s="133">
        <v>1.1166022820977888</v>
      </c>
      <c r="J122" s="133">
        <v>1.1166022820977888</v>
      </c>
      <c r="K122" s="133">
        <v>4.9752155465934873E-2</v>
      </c>
      <c r="L122" s="133">
        <v>12.125008561049778</v>
      </c>
      <c r="M122" s="45">
        <v>15144.79421639935</v>
      </c>
    </row>
    <row r="123" spans="1:13" x14ac:dyDescent="0.25">
      <c r="A123" s="812" t="s">
        <v>1996</v>
      </c>
      <c r="B123" s="812">
        <v>7</v>
      </c>
      <c r="C123" s="608">
        <v>39476</v>
      </c>
      <c r="D123" s="812">
        <v>99709</v>
      </c>
      <c r="E123" s="812" t="s">
        <v>1600</v>
      </c>
      <c r="F123" s="133">
        <v>3.2607629075019333</v>
      </c>
      <c r="G123" s="133">
        <v>0.87349601391314791</v>
      </c>
      <c r="H123" s="133">
        <v>1.4181046597948119</v>
      </c>
      <c r="I123" s="133">
        <v>0.86574894578897288</v>
      </c>
      <c r="J123" s="133">
        <v>0.86574894578897288</v>
      </c>
      <c r="K123" s="133">
        <v>4.3379619751355535E-2</v>
      </c>
      <c r="L123" s="133">
        <v>8.9259303349038852</v>
      </c>
      <c r="M123" s="45">
        <v>17661.742282173967</v>
      </c>
    </row>
    <row r="124" spans="1:13" x14ac:dyDescent="0.25">
      <c r="A124" s="812" t="s">
        <v>1996</v>
      </c>
      <c r="B124" s="812">
        <v>7</v>
      </c>
      <c r="C124" s="608">
        <v>39476</v>
      </c>
      <c r="D124" s="812">
        <v>99712</v>
      </c>
      <c r="E124" s="812" t="s">
        <v>1601</v>
      </c>
      <c r="F124" s="133">
        <v>1.7531504466566328</v>
      </c>
      <c r="G124" s="133">
        <v>0.29400525451781828</v>
      </c>
      <c r="H124" s="133">
        <v>0.52494672052714808</v>
      </c>
      <c r="I124" s="133">
        <v>0.46646603706745593</v>
      </c>
      <c r="J124" s="133">
        <v>0.46646603706745593</v>
      </c>
      <c r="K124" s="133">
        <v>2.1641122724809163E-2</v>
      </c>
      <c r="L124" s="133">
        <v>4.8607094808247391</v>
      </c>
      <c r="M124" s="45">
        <v>6090.7373990405194</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6.0596407812614313E-5</v>
      </c>
      <c r="G136" s="133">
        <v>1.4596370825342806E-3</v>
      </c>
      <c r="H136" s="133">
        <v>9.051944685586087E-4</v>
      </c>
      <c r="I136" s="133">
        <v>4.6168089587395454E-5</v>
      </c>
      <c r="J136" s="133">
        <v>4.6168089587395454E-5</v>
      </c>
      <c r="K136" s="133">
        <v>3.7851981766300066E-5</v>
      </c>
      <c r="L136" s="133">
        <v>1.0404645942106407E-4</v>
      </c>
      <c r="M136" s="45">
        <v>23.348925033039524</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0.97509475857139516</v>
      </c>
      <c r="G138" s="133">
        <v>0.73471487649314238</v>
      </c>
      <c r="H138" s="133">
        <v>0.98081906735785773</v>
      </c>
      <c r="I138" s="133">
        <v>0.27683012868049639</v>
      </c>
      <c r="J138" s="133">
        <v>0.27683012868049639</v>
      </c>
      <c r="K138" s="133">
        <v>2.225406572011877E-2</v>
      </c>
      <c r="L138" s="133">
        <v>2.7619327597615797</v>
      </c>
      <c r="M138" s="45">
        <v>13697.773519032622</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2.2806433543439551E-2</v>
      </c>
      <c r="G140" s="133">
        <v>1.5168888934121244E-2</v>
      </c>
      <c r="H140" s="133">
        <v>2.2912562331576406E-2</v>
      </c>
      <c r="I140" s="133">
        <v>7.4247579237657277E-3</v>
      </c>
      <c r="J140" s="133">
        <v>7.4247579237657277E-3</v>
      </c>
      <c r="K140" s="133">
        <v>4.621864395150562E-4</v>
      </c>
      <c r="L140" s="133">
        <v>7.9394759216338762E-2</v>
      </c>
      <c r="M140" s="45">
        <v>292.19329267404072</v>
      </c>
    </row>
    <row r="141" spans="1:13" x14ac:dyDescent="0.25">
      <c r="A141" s="812" t="s">
        <v>1996</v>
      </c>
      <c r="B141" s="812">
        <v>8</v>
      </c>
      <c r="C141" s="608">
        <v>39477</v>
      </c>
      <c r="D141" s="812">
        <v>99705</v>
      </c>
      <c r="E141" s="812" t="s">
        <v>1599</v>
      </c>
      <c r="F141" s="133">
        <v>3.8626314349810835</v>
      </c>
      <c r="G141" s="133">
        <v>0.7578535510991169</v>
      </c>
      <c r="H141" s="133">
        <v>1.2961982757245054</v>
      </c>
      <c r="I141" s="133">
        <v>1.1563392188269714</v>
      </c>
      <c r="J141" s="133">
        <v>1.1563392188269714</v>
      </c>
      <c r="K141" s="133">
        <v>5.1485668790820865E-2</v>
      </c>
      <c r="L141" s="133">
        <v>12.567192841036336</v>
      </c>
      <c r="M141" s="45">
        <v>15556.331552359752</v>
      </c>
    </row>
    <row r="142" spans="1:13" x14ac:dyDescent="0.25">
      <c r="A142" s="812" t="s">
        <v>1996</v>
      </c>
      <c r="B142" s="812">
        <v>8</v>
      </c>
      <c r="C142" s="608">
        <v>39477</v>
      </c>
      <c r="D142" s="812">
        <v>99709</v>
      </c>
      <c r="E142" s="812" t="s">
        <v>1600</v>
      </c>
      <c r="F142" s="133">
        <v>3.4366807901646896</v>
      </c>
      <c r="G142" s="133">
        <v>0.8926276161220591</v>
      </c>
      <c r="H142" s="133">
        <v>1.4656712973393942</v>
      </c>
      <c r="I142" s="133">
        <v>0.9089346589225884</v>
      </c>
      <c r="J142" s="133">
        <v>0.9089346589225884</v>
      </c>
      <c r="K142" s="133">
        <v>4.5259134453974947E-2</v>
      </c>
      <c r="L142" s="133">
        <v>9.3705900075291062</v>
      </c>
      <c r="M142" s="45">
        <v>18124.507348523963</v>
      </c>
    </row>
    <row r="143" spans="1:13" x14ac:dyDescent="0.25">
      <c r="A143" s="812" t="s">
        <v>1996</v>
      </c>
      <c r="B143" s="812">
        <v>8</v>
      </c>
      <c r="C143" s="608">
        <v>39477</v>
      </c>
      <c r="D143" s="812">
        <v>99712</v>
      </c>
      <c r="E143" s="812" t="s">
        <v>1601</v>
      </c>
      <c r="F143" s="133">
        <v>1.8434066218089176</v>
      </c>
      <c r="G143" s="133">
        <v>0.30483506228425239</v>
      </c>
      <c r="H143" s="133">
        <v>0.54594468000181373</v>
      </c>
      <c r="I143" s="133">
        <v>0.48916373604470509</v>
      </c>
      <c r="J143" s="133">
        <v>0.48916373604470509</v>
      </c>
      <c r="K143" s="133">
        <v>2.2674601761523142E-2</v>
      </c>
      <c r="L143" s="133">
        <v>5.0978340368435404</v>
      </c>
      <c r="M143" s="45">
        <v>6320.3641271117376</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5.8888571514250499E-5</v>
      </c>
      <c r="G155" s="133">
        <v>1.4165220006681532E-3</v>
      </c>
      <c r="H155" s="133">
        <v>8.7471881246976911E-4</v>
      </c>
      <c r="I155" s="133">
        <v>4.5074410624621791E-5</v>
      </c>
      <c r="J155" s="133">
        <v>4.5074410624621791E-5</v>
      </c>
      <c r="K155" s="133">
        <v>3.7793305889947285E-5</v>
      </c>
      <c r="L155" s="133">
        <v>1.0297374263841029E-4</v>
      </c>
      <c r="M155" s="45">
        <v>22.68543182876634</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0.92131778760132677</v>
      </c>
      <c r="G157" s="133">
        <v>0.67456670197601309</v>
      </c>
      <c r="H157" s="133">
        <v>0.91740009556017243</v>
      </c>
      <c r="I157" s="133">
        <v>0.26213309568536913</v>
      </c>
      <c r="J157" s="133">
        <v>0.26213309568536913</v>
      </c>
      <c r="K157" s="133">
        <v>2.1607134105362545E-2</v>
      </c>
      <c r="L157" s="133">
        <v>2.6234757993798024</v>
      </c>
      <c r="M157" s="45">
        <v>12700.518226704526</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2.1581378907434133E-2</v>
      </c>
      <c r="G159" s="133">
        <v>1.4011961601905258E-2</v>
      </c>
      <c r="H159" s="133">
        <v>2.1485033372481144E-2</v>
      </c>
      <c r="I159" s="133">
        <v>7.0262969653830049E-3</v>
      </c>
      <c r="J159" s="133">
        <v>7.0262969653830049E-3</v>
      </c>
      <c r="K159" s="133">
        <v>4.4575818691594863E-4</v>
      </c>
      <c r="L159" s="133">
        <v>7.5214144430339455E-2</v>
      </c>
      <c r="M159" s="45">
        <v>272.18876953403947</v>
      </c>
    </row>
    <row r="160" spans="1:13" x14ac:dyDescent="0.25">
      <c r="A160" s="812" t="s">
        <v>1996</v>
      </c>
      <c r="B160" s="812">
        <v>9</v>
      </c>
      <c r="C160" s="608">
        <v>39478</v>
      </c>
      <c r="D160" s="812">
        <v>99705</v>
      </c>
      <c r="E160" s="812" t="s">
        <v>1599</v>
      </c>
      <c r="F160" s="133">
        <v>3.7730287290803819</v>
      </c>
      <c r="G160" s="133">
        <v>0.73337403407517632</v>
      </c>
      <c r="H160" s="133">
        <v>1.2624351179413673</v>
      </c>
      <c r="I160" s="133">
        <v>1.1292391201296474</v>
      </c>
      <c r="J160" s="133">
        <v>1.1292391201296474</v>
      </c>
      <c r="K160" s="133">
        <v>5.0321340912448401E-2</v>
      </c>
      <c r="L160" s="133">
        <v>12.266157029161683</v>
      </c>
      <c r="M160" s="45">
        <v>15098.332246570444</v>
      </c>
    </row>
    <row r="161" spans="1:13" x14ac:dyDescent="0.25">
      <c r="A161" s="812" t="s">
        <v>1996</v>
      </c>
      <c r="B161" s="812">
        <v>9</v>
      </c>
      <c r="C161" s="608">
        <v>39478</v>
      </c>
      <c r="D161" s="812">
        <v>99709</v>
      </c>
      <c r="E161" s="812" t="s">
        <v>1600</v>
      </c>
      <c r="F161" s="133">
        <v>3.4521181825477951</v>
      </c>
      <c r="G161" s="133">
        <v>0.86333984032990452</v>
      </c>
      <c r="H161" s="133">
        <v>1.4392976611049761</v>
      </c>
      <c r="I161" s="133">
        <v>0.91319325683015506</v>
      </c>
      <c r="J161" s="133">
        <v>0.91319325683015506</v>
      </c>
      <c r="K161" s="133">
        <v>4.5400747151771212E-2</v>
      </c>
      <c r="L161" s="133">
        <v>9.4283213912091028</v>
      </c>
      <c r="M161" s="45">
        <v>17655.336891090203</v>
      </c>
    </row>
    <row r="162" spans="1:13" x14ac:dyDescent="0.25">
      <c r="A162" s="812" t="s">
        <v>1996</v>
      </c>
      <c r="B162" s="812">
        <v>9</v>
      </c>
      <c r="C162" s="608">
        <v>39478</v>
      </c>
      <c r="D162" s="812">
        <v>99712</v>
      </c>
      <c r="E162" s="812" t="s">
        <v>1601</v>
      </c>
      <c r="F162" s="133">
        <v>1.983360313728606</v>
      </c>
      <c r="G162" s="133">
        <v>0.32019040639248669</v>
      </c>
      <c r="H162" s="133">
        <v>0.57730343804270268</v>
      </c>
      <c r="I162" s="133">
        <v>0.5249724362029895</v>
      </c>
      <c r="J162" s="133">
        <v>0.5249724362029895</v>
      </c>
      <c r="K162" s="133">
        <v>2.4296769673887306E-2</v>
      </c>
      <c r="L162" s="133">
        <v>5.4757409738396721</v>
      </c>
      <c r="M162" s="45">
        <v>6653.6166738646616</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5.2626505086916492E-5</v>
      </c>
      <c r="G174" s="133">
        <v>1.2584333671590189E-3</v>
      </c>
      <c r="H174" s="133">
        <v>7.6297474014402423E-4</v>
      </c>
      <c r="I174" s="133">
        <v>4.1064254427785025E-5</v>
      </c>
      <c r="J174" s="133">
        <v>4.1064254427785025E-5</v>
      </c>
      <c r="K174" s="133">
        <v>3.7578161009986992E-5</v>
      </c>
      <c r="L174" s="133">
        <v>9.9040447768679557E-5</v>
      </c>
      <c r="M174" s="45">
        <v>20.252623413098004</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0.8401515052061701</v>
      </c>
      <c r="G176" s="133">
        <v>0.64885739759894179</v>
      </c>
      <c r="H176" s="133">
        <v>0.86664313850317209</v>
      </c>
      <c r="I176" s="133">
        <v>0.24124794830227997</v>
      </c>
      <c r="J176" s="133">
        <v>0.24124794830227997</v>
      </c>
      <c r="K176" s="133">
        <v>2.0689477055857941E-2</v>
      </c>
      <c r="L176" s="133">
        <v>2.4101615485041181</v>
      </c>
      <c r="M176" s="45">
        <v>12153.923140042443</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1.9739214733820076E-2</v>
      </c>
      <c r="G178" s="133">
        <v>1.335334104320662E-2</v>
      </c>
      <c r="H178" s="133">
        <v>2.0161344704023899E-2</v>
      </c>
      <c r="I178" s="133">
        <v>6.4629300672559477E-3</v>
      </c>
      <c r="J178" s="133">
        <v>6.4629300672559477E-3</v>
      </c>
      <c r="K178" s="133">
        <v>4.2248464964295319E-4</v>
      </c>
      <c r="L178" s="133">
        <v>6.9022434771849203E-2</v>
      </c>
      <c r="M178" s="45">
        <v>258.07684821131414</v>
      </c>
    </row>
    <row r="179" spans="1:13" x14ac:dyDescent="0.25">
      <c r="A179" s="812" t="s">
        <v>1996</v>
      </c>
      <c r="B179" s="812">
        <v>10</v>
      </c>
      <c r="C179" s="608">
        <v>39479</v>
      </c>
      <c r="D179" s="812">
        <v>99705</v>
      </c>
      <c r="E179" s="812" t="s">
        <v>1599</v>
      </c>
      <c r="F179" s="133">
        <v>3.3980769982013217</v>
      </c>
      <c r="G179" s="133">
        <v>0.67359185537296329</v>
      </c>
      <c r="H179" s="133">
        <v>1.1542046321588069</v>
      </c>
      <c r="I179" s="133">
        <v>1.0204437828489175</v>
      </c>
      <c r="J179" s="133">
        <v>1.0204437828489175</v>
      </c>
      <c r="K179" s="133">
        <v>4.557879402243388E-2</v>
      </c>
      <c r="L179" s="133">
        <v>11.063196439705411</v>
      </c>
      <c r="M179" s="45">
        <v>13857.079892601852</v>
      </c>
    </row>
    <row r="180" spans="1:13" x14ac:dyDescent="0.25">
      <c r="A180" s="812" t="s">
        <v>1996</v>
      </c>
      <c r="B180" s="812">
        <v>10</v>
      </c>
      <c r="C180" s="608">
        <v>39479</v>
      </c>
      <c r="D180" s="812">
        <v>99709</v>
      </c>
      <c r="E180" s="812" t="s">
        <v>1600</v>
      </c>
      <c r="F180" s="133">
        <v>3.1218502919449818</v>
      </c>
      <c r="G180" s="133">
        <v>0.81257512983444746</v>
      </c>
      <c r="H180" s="133">
        <v>1.3425261117596476</v>
      </c>
      <c r="I180" s="133">
        <v>0.83199944445224316</v>
      </c>
      <c r="J180" s="133">
        <v>0.83199944445224316</v>
      </c>
      <c r="K180" s="133">
        <v>4.1855440038522818E-2</v>
      </c>
      <c r="L180" s="133">
        <v>8.5964211697179689</v>
      </c>
      <c r="M180" s="45">
        <v>16574.952671863015</v>
      </c>
    </row>
    <row r="181" spans="1:13" x14ac:dyDescent="0.25">
      <c r="A181" s="812" t="s">
        <v>1996</v>
      </c>
      <c r="B181" s="812">
        <v>10</v>
      </c>
      <c r="C181" s="608">
        <v>39479</v>
      </c>
      <c r="D181" s="812">
        <v>99712</v>
      </c>
      <c r="E181" s="812" t="s">
        <v>1601</v>
      </c>
      <c r="F181" s="133">
        <v>1.7709081647030396</v>
      </c>
      <c r="G181" s="133">
        <v>0.2934669883326313</v>
      </c>
      <c r="H181" s="133">
        <v>0.52805882759252187</v>
      </c>
      <c r="I181" s="133">
        <v>0.47208092171212424</v>
      </c>
      <c r="J181" s="133">
        <v>0.47208092171212424</v>
      </c>
      <c r="K181" s="133">
        <v>2.1874885168669367E-2</v>
      </c>
      <c r="L181" s="133">
        <v>4.9261134343312136</v>
      </c>
      <c r="M181" s="45">
        <v>6099.528659493717</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5.2057226320795194E-5</v>
      </c>
      <c r="G193" s="133">
        <v>1.2440616732036431E-3</v>
      </c>
      <c r="H193" s="133">
        <v>7.5281618811441089E-4</v>
      </c>
      <c r="I193" s="133">
        <v>4.0699694773527119E-5</v>
      </c>
      <c r="J193" s="133">
        <v>4.0699694773527119E-5</v>
      </c>
      <c r="K193" s="133">
        <v>3.755860238453604E-5</v>
      </c>
      <c r="L193" s="133">
        <v>9.8682875507794898E-5</v>
      </c>
      <c r="M193" s="45">
        <v>20.031459011673608</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0.81348450441672404</v>
      </c>
      <c r="G195" s="133">
        <v>0.68820880513227356</v>
      </c>
      <c r="H195" s="133">
        <v>0.88954186122189327</v>
      </c>
      <c r="I195" s="133">
        <v>0.23884837568580994</v>
      </c>
      <c r="J195" s="133">
        <v>0.23884837568580994</v>
      </c>
      <c r="K195" s="133">
        <v>2.0540358372410639E-2</v>
      </c>
      <c r="L195" s="133">
        <v>2.3939500739171189</v>
      </c>
      <c r="M195" s="45">
        <v>12713.90007996426</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1.9467782433599232E-2</v>
      </c>
      <c r="G197" s="133">
        <v>1.4016045060544508E-2</v>
      </c>
      <c r="H197" s="133">
        <v>2.0585129082595462E-2</v>
      </c>
      <c r="I197" s="133">
        <v>6.4908195075136527E-3</v>
      </c>
      <c r="J197" s="133">
        <v>6.4908195075136527E-3</v>
      </c>
      <c r="K197" s="133">
        <v>4.2325354375372456E-4</v>
      </c>
      <c r="L197" s="133">
        <v>6.9633411309874882E-2</v>
      </c>
      <c r="M197" s="45">
        <v>267.48950250475428</v>
      </c>
    </row>
    <row r="198" spans="1:13" x14ac:dyDescent="0.25">
      <c r="A198" s="812" t="s">
        <v>1996</v>
      </c>
      <c r="B198" s="812">
        <v>11</v>
      </c>
      <c r="C198" s="608">
        <v>39480</v>
      </c>
      <c r="D198" s="812">
        <v>99705</v>
      </c>
      <c r="E198" s="812" t="s">
        <v>1599</v>
      </c>
      <c r="F198" s="133">
        <v>3.4165643012844242</v>
      </c>
      <c r="G198" s="133">
        <v>0.69585626395511535</v>
      </c>
      <c r="H198" s="133">
        <v>1.1831610579980101</v>
      </c>
      <c r="I198" s="133">
        <v>1.0412302052565117</v>
      </c>
      <c r="J198" s="133">
        <v>1.0412302052565117</v>
      </c>
      <c r="K198" s="133">
        <v>4.6434703075321992E-2</v>
      </c>
      <c r="L198" s="133">
        <v>11.388801612792468</v>
      </c>
      <c r="M198" s="45">
        <v>14267.35448452703</v>
      </c>
    </row>
    <row r="199" spans="1:13" x14ac:dyDescent="0.25">
      <c r="A199" s="812" t="s">
        <v>1996</v>
      </c>
      <c r="B199" s="812">
        <v>11</v>
      </c>
      <c r="C199" s="608">
        <v>39480</v>
      </c>
      <c r="D199" s="812">
        <v>99709</v>
      </c>
      <c r="E199" s="812" t="s">
        <v>1600</v>
      </c>
      <c r="F199" s="133">
        <v>2.9423076875075633</v>
      </c>
      <c r="G199" s="133">
        <v>0.82290563319312116</v>
      </c>
      <c r="H199" s="133">
        <v>1.330140770123418</v>
      </c>
      <c r="I199" s="133">
        <v>0.8012282707855084</v>
      </c>
      <c r="J199" s="133">
        <v>0.8012282707855084</v>
      </c>
      <c r="K199" s="133">
        <v>4.0385084031975223E-2</v>
      </c>
      <c r="L199" s="133">
        <v>8.3526465575738111</v>
      </c>
      <c r="M199" s="45">
        <v>16637.93275721102</v>
      </c>
    </row>
    <row r="200" spans="1:13" x14ac:dyDescent="0.25">
      <c r="A200" s="812" t="s">
        <v>1996</v>
      </c>
      <c r="B200" s="812">
        <v>11</v>
      </c>
      <c r="C200" s="608">
        <v>39480</v>
      </c>
      <c r="D200" s="812">
        <v>99712</v>
      </c>
      <c r="E200" s="812" t="s">
        <v>1601</v>
      </c>
      <c r="F200" s="133">
        <v>1.6604734791002229</v>
      </c>
      <c r="G200" s="133">
        <v>0.28822177986518871</v>
      </c>
      <c r="H200" s="133">
        <v>0.51511181482439528</v>
      </c>
      <c r="I200" s="133">
        <v>0.45208613512150286</v>
      </c>
      <c r="J200" s="133">
        <v>0.45208613512150286</v>
      </c>
      <c r="K200" s="133">
        <v>2.0909290509780975E-2</v>
      </c>
      <c r="L200" s="133">
        <v>4.7660202385789425</v>
      </c>
      <c r="M200" s="45">
        <v>5977.2821467242475</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5.7750013982007949E-5</v>
      </c>
      <c r="G212" s="133">
        <v>1.3877786127574009E-3</v>
      </c>
      <c r="H212" s="133">
        <v>8.5440170841054276E-4</v>
      </c>
      <c r="I212" s="133">
        <v>4.4345291316106014E-5</v>
      </c>
      <c r="J212" s="133">
        <v>4.4345291316106014E-5</v>
      </c>
      <c r="K212" s="133">
        <v>3.7754188639045402E-5</v>
      </c>
      <c r="L212" s="133">
        <v>1.0225859811664102E-4</v>
      </c>
      <c r="M212" s="45">
        <v>22.243103025917552</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0.95765159854481052</v>
      </c>
      <c r="G214" s="133">
        <v>0.76824856309839651</v>
      </c>
      <c r="H214" s="133">
        <v>1.0035366387974327</v>
      </c>
      <c r="I214" s="133">
        <v>0.27670604410581739</v>
      </c>
      <c r="J214" s="133">
        <v>0.27670604410581739</v>
      </c>
      <c r="K214" s="133">
        <v>2.2203269329351787E-2</v>
      </c>
      <c r="L214" s="133">
        <v>2.7717244646863817</v>
      </c>
      <c r="M214" s="45">
        <v>14191.654766346452</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2.2492280825761664E-2</v>
      </c>
      <c r="G216" s="133">
        <v>1.567042699463108E-2</v>
      </c>
      <c r="H216" s="133">
        <v>2.3180930407473273E-2</v>
      </c>
      <c r="I216" s="133">
        <v>7.4335142073064511E-3</v>
      </c>
      <c r="J216" s="133">
        <v>7.4335142073064511E-3</v>
      </c>
      <c r="K216" s="133">
        <v>4.6229000851458684E-4</v>
      </c>
      <c r="L216" s="133">
        <v>7.9831709312019355E-2</v>
      </c>
      <c r="M216" s="45">
        <v>299.04729345322846</v>
      </c>
    </row>
    <row r="217" spans="1:13" x14ac:dyDescent="0.25">
      <c r="A217" s="812" t="s">
        <v>1996</v>
      </c>
      <c r="B217" s="812">
        <v>12</v>
      </c>
      <c r="C217" s="608">
        <v>39481</v>
      </c>
      <c r="D217" s="812">
        <v>99705</v>
      </c>
      <c r="E217" s="812" t="s">
        <v>1599</v>
      </c>
      <c r="F217" s="133">
        <v>3.8367737524879457</v>
      </c>
      <c r="G217" s="133">
        <v>0.77136467189007141</v>
      </c>
      <c r="H217" s="133">
        <v>1.3113902698061115</v>
      </c>
      <c r="I217" s="133">
        <v>1.1639158871411164</v>
      </c>
      <c r="J217" s="133">
        <v>1.1639158871411164</v>
      </c>
      <c r="K217" s="133">
        <v>5.179874567278904E-2</v>
      </c>
      <c r="L217" s="133">
        <v>12.746346190117162</v>
      </c>
      <c r="M217" s="45">
        <v>15792.436008015322</v>
      </c>
    </row>
    <row r="218" spans="1:13" x14ac:dyDescent="0.25">
      <c r="A218" s="812" t="s">
        <v>1996</v>
      </c>
      <c r="B218" s="812">
        <v>12</v>
      </c>
      <c r="C218" s="608">
        <v>39481</v>
      </c>
      <c r="D218" s="812">
        <v>99709</v>
      </c>
      <c r="E218" s="812" t="s">
        <v>1600</v>
      </c>
      <c r="F218" s="133">
        <v>3.5322352904562591</v>
      </c>
      <c r="G218" s="133">
        <v>0.93478542998903624</v>
      </c>
      <c r="H218" s="133">
        <v>1.5189330126113092</v>
      </c>
      <c r="I218" s="133">
        <v>0.94724107522518863</v>
      </c>
      <c r="J218" s="133">
        <v>0.94724107522518863</v>
      </c>
      <c r="K218" s="133">
        <v>4.6738899884795175E-2</v>
      </c>
      <c r="L218" s="133">
        <v>9.8465882817797024</v>
      </c>
      <c r="M218" s="45">
        <v>18897.011219299242</v>
      </c>
    </row>
    <row r="219" spans="1:13" x14ac:dyDescent="0.25">
      <c r="A219" s="812" t="s">
        <v>1996</v>
      </c>
      <c r="B219" s="812">
        <v>12</v>
      </c>
      <c r="C219" s="608">
        <v>39481</v>
      </c>
      <c r="D219" s="812">
        <v>99712</v>
      </c>
      <c r="E219" s="812" t="s">
        <v>1601</v>
      </c>
      <c r="F219" s="133">
        <v>1.9945408046805995</v>
      </c>
      <c r="G219" s="133">
        <v>0.33249571306212089</v>
      </c>
      <c r="H219" s="133">
        <v>0.59439039130064919</v>
      </c>
      <c r="I219" s="133">
        <v>0.5353862812373642</v>
      </c>
      <c r="J219" s="133">
        <v>0.5353862812373642</v>
      </c>
      <c r="K219" s="133">
        <v>2.472106563542098E-2</v>
      </c>
      <c r="L219" s="133">
        <v>5.6315117760929265</v>
      </c>
      <c r="M219" s="45">
        <v>6884.7528182129945</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6.3442801643220697E-5</v>
      </c>
      <c r="G231" s="133">
        <v>1.5314955523111594E-3</v>
      </c>
      <c r="H231" s="133">
        <v>9.5598722870667452E-4</v>
      </c>
      <c r="I231" s="133">
        <v>4.7990887858684908E-5</v>
      </c>
      <c r="J231" s="133">
        <v>4.7990887858684908E-5</v>
      </c>
      <c r="K231" s="133">
        <v>3.7949774893554778E-5</v>
      </c>
      <c r="L231" s="133">
        <v>1.058343207254872E-4</v>
      </c>
      <c r="M231" s="45">
        <v>24.454747040161493</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1.0948747792189613</v>
      </c>
      <c r="G233" s="133">
        <v>0.82947862436673936</v>
      </c>
      <c r="H233" s="133">
        <v>1.0955254758963304</v>
      </c>
      <c r="I233" s="133">
        <v>0.30910230066924793</v>
      </c>
      <c r="J233" s="133">
        <v>0.30910230066924793</v>
      </c>
      <c r="K233" s="133">
        <v>2.3666532648721025E-2</v>
      </c>
      <c r="L233" s="133">
        <v>3.0778328196313511</v>
      </c>
      <c r="M233" s="45">
        <v>15344.470022268521</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2.5509083365360244E-2</v>
      </c>
      <c r="G235" s="133">
        <v>1.7044835258044632E-2</v>
      </c>
      <c r="H235" s="133">
        <v>2.5495285338896119E-2</v>
      </c>
      <c r="I235" s="133">
        <v>8.2767366305303586E-3</v>
      </c>
      <c r="J235" s="133">
        <v>8.2767366305303586E-3</v>
      </c>
      <c r="K235" s="133">
        <v>4.9778987508873628E-4</v>
      </c>
      <c r="L235" s="133">
        <v>8.8491691081712356E-2</v>
      </c>
      <c r="M235" s="45">
        <v>326.04565201743503</v>
      </c>
    </row>
    <row r="236" spans="1:13" x14ac:dyDescent="0.25">
      <c r="A236" s="812" t="s">
        <v>1996</v>
      </c>
      <c r="B236" s="812">
        <v>13</v>
      </c>
      <c r="C236" s="608">
        <v>39482</v>
      </c>
      <c r="D236" s="812">
        <v>99705</v>
      </c>
      <c r="E236" s="812" t="s">
        <v>1599</v>
      </c>
      <c r="F236" s="133">
        <v>4.3060390409175202</v>
      </c>
      <c r="G236" s="133">
        <v>0.84079852609789196</v>
      </c>
      <c r="H236" s="133">
        <v>1.4327173700429134</v>
      </c>
      <c r="I236" s="133">
        <v>1.2856022559312359</v>
      </c>
      <c r="J236" s="133">
        <v>1.2856022559312359</v>
      </c>
      <c r="K236" s="133">
        <v>5.7118496003071367E-2</v>
      </c>
      <c r="L236" s="133">
        <v>13.995196071012286</v>
      </c>
      <c r="M236" s="45">
        <v>17212.436374637931</v>
      </c>
    </row>
    <row r="237" spans="1:13" x14ac:dyDescent="0.25">
      <c r="A237" s="812" t="s">
        <v>1996</v>
      </c>
      <c r="B237" s="812">
        <v>13</v>
      </c>
      <c r="C237" s="608">
        <v>39482</v>
      </c>
      <c r="D237" s="812">
        <v>99709</v>
      </c>
      <c r="E237" s="812" t="s">
        <v>1600</v>
      </c>
      <c r="F237" s="133">
        <v>3.8802218434602733</v>
      </c>
      <c r="G237" s="133">
        <v>0.99686071081682903</v>
      </c>
      <c r="H237" s="133">
        <v>1.6241425403593712</v>
      </c>
      <c r="I237" s="133">
        <v>1.0197735001760657</v>
      </c>
      <c r="J237" s="133">
        <v>1.0197735001760657</v>
      </c>
      <c r="K237" s="133">
        <v>5.0072042540083767E-2</v>
      </c>
      <c r="L237" s="133">
        <v>10.503237684630886</v>
      </c>
      <c r="M237" s="45">
        <v>20141.256766704486</v>
      </c>
    </row>
    <row r="238" spans="1:13" x14ac:dyDescent="0.25">
      <c r="A238" s="812" t="s">
        <v>1996</v>
      </c>
      <c r="B238" s="812">
        <v>13</v>
      </c>
      <c r="C238" s="608">
        <v>39482</v>
      </c>
      <c r="D238" s="812">
        <v>99712</v>
      </c>
      <c r="E238" s="812" t="s">
        <v>1601</v>
      </c>
      <c r="F238" s="133">
        <v>2.1066310642454047</v>
      </c>
      <c r="G238" s="133">
        <v>0.34203796861922464</v>
      </c>
      <c r="H238" s="133">
        <v>0.61078754280419756</v>
      </c>
      <c r="I238" s="133">
        <v>0.55528753276666609</v>
      </c>
      <c r="J238" s="133">
        <v>0.55528753276666609</v>
      </c>
      <c r="K238" s="133">
        <v>2.5690187400770576E-2</v>
      </c>
      <c r="L238" s="133">
        <v>5.7864780232401332</v>
      </c>
      <c r="M238" s="45">
        <v>7075.1973791081609</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6.7427753006069625E-5</v>
      </c>
      <c r="G250" s="133">
        <v>1.6320974099987902E-3</v>
      </c>
      <c r="H250" s="133">
        <v>1.0270970929139674E-3</v>
      </c>
      <c r="I250" s="133">
        <v>5.0542805438490119E-5</v>
      </c>
      <c r="J250" s="133">
        <v>5.0542805438490119E-5</v>
      </c>
      <c r="K250" s="133">
        <v>3.8086685271711318E-5</v>
      </c>
      <c r="L250" s="133">
        <v>1.0833732655167947E-4</v>
      </c>
      <c r="M250" s="45">
        <v>26.002897850132253</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1.1215636219722382</v>
      </c>
      <c r="G252" s="133">
        <v>0.84084670932368644</v>
      </c>
      <c r="H252" s="133">
        <v>1.1143808016284869</v>
      </c>
      <c r="I252" s="133">
        <v>0.31610860677760727</v>
      </c>
      <c r="J252" s="133">
        <v>0.31610860677760727</v>
      </c>
      <c r="K252" s="133">
        <v>2.3972592261665364E-2</v>
      </c>
      <c r="L252" s="133">
        <v>3.1490204395974914</v>
      </c>
      <c r="M252" s="45">
        <v>15567.963454519488</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2.6171731783198725E-2</v>
      </c>
      <c r="G254" s="133">
        <v>1.7335495219419815E-2</v>
      </c>
      <c r="H254" s="133">
        <v>2.6027357946190027E-2</v>
      </c>
      <c r="I254" s="133">
        <v>8.4825242298164887E-3</v>
      </c>
      <c r="J254" s="133">
        <v>8.4825242298164887E-3</v>
      </c>
      <c r="K254" s="133">
        <v>5.0615868306516589E-4</v>
      </c>
      <c r="L254" s="133">
        <v>9.0743018562921038E-2</v>
      </c>
      <c r="M254" s="45">
        <v>331.99964943295851</v>
      </c>
    </row>
    <row r="255" spans="1:13" x14ac:dyDescent="0.25">
      <c r="A255" s="812" t="s">
        <v>1996</v>
      </c>
      <c r="B255" s="812">
        <v>14</v>
      </c>
      <c r="C255" s="608">
        <v>39483</v>
      </c>
      <c r="D255" s="812">
        <v>99705</v>
      </c>
      <c r="E255" s="812" t="s">
        <v>1599</v>
      </c>
      <c r="F255" s="133">
        <v>4.4068293883011709</v>
      </c>
      <c r="G255" s="133">
        <v>0.85780931698419971</v>
      </c>
      <c r="H255" s="133">
        <v>1.4626777588280719</v>
      </c>
      <c r="I255" s="133">
        <v>1.3153605336152412</v>
      </c>
      <c r="J255" s="133">
        <v>1.3153605336152412</v>
      </c>
      <c r="K255" s="133">
        <v>5.8404682800370852E-2</v>
      </c>
      <c r="L255" s="133">
        <v>14.326157690189644</v>
      </c>
      <c r="M255" s="45">
        <v>17562.218417803408</v>
      </c>
    </row>
    <row r="256" spans="1:13" x14ac:dyDescent="0.25">
      <c r="A256" s="812" t="s">
        <v>1996</v>
      </c>
      <c r="B256" s="812">
        <v>14</v>
      </c>
      <c r="C256" s="608">
        <v>39483</v>
      </c>
      <c r="D256" s="812">
        <v>99709</v>
      </c>
      <c r="E256" s="812" t="s">
        <v>1600</v>
      </c>
      <c r="F256" s="133">
        <v>3.8667977514078289</v>
      </c>
      <c r="G256" s="133">
        <v>0.99952138948000702</v>
      </c>
      <c r="H256" s="133">
        <v>1.627810151324186</v>
      </c>
      <c r="I256" s="133">
        <v>1.0162163672786257</v>
      </c>
      <c r="J256" s="133">
        <v>1.0162163672786257</v>
      </c>
      <c r="K256" s="133">
        <v>4.9938326699252876E-2</v>
      </c>
      <c r="L256" s="133">
        <v>10.463488157341759</v>
      </c>
      <c r="M256" s="45">
        <v>20187.757234625667</v>
      </c>
    </row>
    <row r="257" spans="1:13" x14ac:dyDescent="0.25">
      <c r="A257" s="812" t="s">
        <v>1996</v>
      </c>
      <c r="B257" s="812">
        <v>14</v>
      </c>
      <c r="C257" s="608">
        <v>39483</v>
      </c>
      <c r="D257" s="812">
        <v>99712</v>
      </c>
      <c r="E257" s="812" t="s">
        <v>1601</v>
      </c>
      <c r="F257" s="133">
        <v>2.0412495736485625</v>
      </c>
      <c r="G257" s="133">
        <v>0.33443303508108146</v>
      </c>
      <c r="H257" s="133">
        <v>0.5963622231270107</v>
      </c>
      <c r="I257" s="133">
        <v>0.53940790081718759</v>
      </c>
      <c r="J257" s="133">
        <v>0.53940790081718759</v>
      </c>
      <c r="K257" s="133">
        <v>2.4957051646114132E-2</v>
      </c>
      <c r="L257" s="133">
        <v>5.6233682781214576</v>
      </c>
      <c r="M257" s="45">
        <v>6915.8574055612971</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6.7997031772190882E-5</v>
      </c>
      <c r="G269" s="133">
        <v>1.6464691039541654E-3</v>
      </c>
      <c r="H269" s="133">
        <v>1.0372556449435805E-3</v>
      </c>
      <c r="I269" s="133">
        <v>5.0907365092748011E-5</v>
      </c>
      <c r="J269" s="133">
        <v>5.0907365092748011E-5</v>
      </c>
      <c r="K269" s="133">
        <v>3.810624389716225E-5</v>
      </c>
      <c r="L269" s="133">
        <v>1.0869489881256408E-4</v>
      </c>
      <c r="M269" s="45">
        <v>26.224062251556649</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1.1505564279740266</v>
      </c>
      <c r="G271" s="133">
        <v>0.84865921031769276</v>
      </c>
      <c r="H271" s="133">
        <v>1.1317150265128222</v>
      </c>
      <c r="I271" s="133">
        <v>0.32364217035412746</v>
      </c>
      <c r="J271" s="133">
        <v>0.32364217035412746</v>
      </c>
      <c r="K271" s="133">
        <v>2.4301322884803585E-2</v>
      </c>
      <c r="L271" s="133">
        <v>3.2268541485676168</v>
      </c>
      <c r="M271" s="45">
        <v>15743.893584791429</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2.6757951103915316E-2</v>
      </c>
      <c r="G273" s="133">
        <v>1.7519504046934153E-2</v>
      </c>
      <c r="H273" s="133">
        <v>2.6423500026678686E-2</v>
      </c>
      <c r="I273" s="133">
        <v>8.6604456185403918E-3</v>
      </c>
      <c r="J273" s="133">
        <v>8.6604456185403918E-3</v>
      </c>
      <c r="K273" s="133">
        <v>5.1355872027726969E-4</v>
      </c>
      <c r="L273" s="133">
        <v>9.2703871872627699E-2</v>
      </c>
      <c r="M273" s="45">
        <v>336.08117940122628</v>
      </c>
    </row>
    <row r="274" spans="1:13" x14ac:dyDescent="0.25">
      <c r="A274" s="812" t="s">
        <v>1996</v>
      </c>
      <c r="B274" s="812">
        <v>15</v>
      </c>
      <c r="C274" s="608">
        <v>39484</v>
      </c>
      <c r="D274" s="812">
        <v>99705</v>
      </c>
      <c r="E274" s="812" t="s">
        <v>1599</v>
      </c>
      <c r="F274" s="133">
        <v>4.5205807776479574</v>
      </c>
      <c r="G274" s="133">
        <v>0.87599984358923755</v>
      </c>
      <c r="H274" s="133">
        <v>1.4959681842778725</v>
      </c>
      <c r="I274" s="133">
        <v>1.3486601699733936</v>
      </c>
      <c r="J274" s="133">
        <v>1.3486601699733936</v>
      </c>
      <c r="K274" s="133">
        <v>5.9861754846389732E-2</v>
      </c>
      <c r="L274" s="133">
        <v>14.695824919980499</v>
      </c>
      <c r="M274" s="45">
        <v>17941.024585591425</v>
      </c>
    </row>
    <row r="275" spans="1:13" x14ac:dyDescent="0.25">
      <c r="A275" s="812" t="s">
        <v>1996</v>
      </c>
      <c r="B275" s="812">
        <v>15</v>
      </c>
      <c r="C275" s="608">
        <v>39484</v>
      </c>
      <c r="D275" s="812">
        <v>99709</v>
      </c>
      <c r="E275" s="812" t="s">
        <v>1600</v>
      </c>
      <c r="F275" s="133">
        <v>3.9686406868812845</v>
      </c>
      <c r="G275" s="133">
        <v>1.015198767257768</v>
      </c>
      <c r="H275" s="133">
        <v>1.6595618944400168</v>
      </c>
      <c r="I275" s="133">
        <v>1.0406292801018553</v>
      </c>
      <c r="J275" s="133">
        <v>1.0406292801018553</v>
      </c>
      <c r="K275" s="133">
        <v>5.1010650468856805E-2</v>
      </c>
      <c r="L275" s="133">
        <v>10.709938822522393</v>
      </c>
      <c r="M275" s="45">
        <v>20529.748879146016</v>
      </c>
    </row>
    <row r="276" spans="1:13" x14ac:dyDescent="0.25">
      <c r="A276" s="812" t="s">
        <v>1996</v>
      </c>
      <c r="B276" s="812">
        <v>15</v>
      </c>
      <c r="C276" s="608">
        <v>39484</v>
      </c>
      <c r="D276" s="812">
        <v>99712</v>
      </c>
      <c r="E276" s="812" t="s">
        <v>1601</v>
      </c>
      <c r="F276" s="133">
        <v>2.0627845722411156</v>
      </c>
      <c r="G276" s="133">
        <v>0.3362938420770602</v>
      </c>
      <c r="H276" s="133">
        <v>0.59996185759078879</v>
      </c>
      <c r="I276" s="133">
        <v>0.54365017695432516</v>
      </c>
      <c r="J276" s="133">
        <v>0.54365017695432516</v>
      </c>
      <c r="K276" s="133">
        <v>2.5170496078092047E-2</v>
      </c>
      <c r="L276" s="133">
        <v>5.661905508104371</v>
      </c>
      <c r="M276" s="45">
        <v>6954.408038053467</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6.7997031772190896E-5</v>
      </c>
      <c r="G288" s="133">
        <v>1.6464691039541656E-3</v>
      </c>
      <c r="H288" s="133">
        <v>1.0372556449435807E-3</v>
      </c>
      <c r="I288" s="133">
        <v>5.0907365092747998E-5</v>
      </c>
      <c r="J288" s="133">
        <v>5.0907365092747998E-5</v>
      </c>
      <c r="K288" s="133">
        <v>3.810624389716225E-5</v>
      </c>
      <c r="L288" s="133">
        <v>1.0869489881256406E-4</v>
      </c>
      <c r="M288" s="45">
        <v>26.224062251556649</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1.1636110695606137</v>
      </c>
      <c r="G290" s="133">
        <v>0.85621935025752649</v>
      </c>
      <c r="H290" s="133">
        <v>1.1421455045067412</v>
      </c>
      <c r="I290" s="133">
        <v>0.3270172405865554</v>
      </c>
      <c r="J290" s="133">
        <v>0.3270172405865554</v>
      </c>
      <c r="K290" s="133">
        <v>2.4450992549257915E-2</v>
      </c>
      <c r="L290" s="133">
        <v>3.2601335625540067</v>
      </c>
      <c r="M290" s="45">
        <v>15881.704795194108</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2.7000976381913636E-2</v>
      </c>
      <c r="G292" s="133">
        <v>1.7662329952897078E-2</v>
      </c>
      <c r="H292" s="133">
        <v>2.6633451925646843E-2</v>
      </c>
      <c r="I292" s="133">
        <v>8.7359643846508135E-3</v>
      </c>
      <c r="J292" s="133">
        <v>8.7359643846508135E-3</v>
      </c>
      <c r="K292" s="133">
        <v>5.1673885034869661E-4</v>
      </c>
      <c r="L292" s="133">
        <v>9.3516248444815417E-2</v>
      </c>
      <c r="M292" s="45">
        <v>338.72866580343867</v>
      </c>
    </row>
    <row r="293" spans="1:13" x14ac:dyDescent="0.25">
      <c r="A293" s="812" t="s">
        <v>1996</v>
      </c>
      <c r="B293" s="812">
        <v>16</v>
      </c>
      <c r="C293" s="608">
        <v>39485</v>
      </c>
      <c r="D293" s="812">
        <v>99705</v>
      </c>
      <c r="E293" s="812" t="s">
        <v>1599</v>
      </c>
      <c r="F293" s="133">
        <v>4.5556280390813173</v>
      </c>
      <c r="G293" s="133">
        <v>0.88197695742812277</v>
      </c>
      <c r="H293" s="133">
        <v>1.5059663980975981</v>
      </c>
      <c r="I293" s="133">
        <v>1.3582953775623061</v>
      </c>
      <c r="J293" s="133">
        <v>1.3582953775623061</v>
      </c>
      <c r="K293" s="133">
        <v>6.0291487221794983E-2</v>
      </c>
      <c r="L293" s="133">
        <v>14.799886761568251</v>
      </c>
      <c r="M293" s="45">
        <v>18060.707273767144</v>
      </c>
    </row>
    <row r="294" spans="1:13" x14ac:dyDescent="0.25">
      <c r="A294" s="812" t="s">
        <v>1996</v>
      </c>
      <c r="B294" s="812">
        <v>16</v>
      </c>
      <c r="C294" s="608">
        <v>39485</v>
      </c>
      <c r="D294" s="812">
        <v>99709</v>
      </c>
      <c r="E294" s="812" t="s">
        <v>1600</v>
      </c>
      <c r="F294" s="133">
        <v>4.1278410527178275</v>
      </c>
      <c r="G294" s="133">
        <v>1.0391423513385589</v>
      </c>
      <c r="H294" s="133">
        <v>1.7019737773968422</v>
      </c>
      <c r="I294" s="133">
        <v>1.0803584683572769</v>
      </c>
      <c r="J294" s="133">
        <v>1.0803584683572769</v>
      </c>
      <c r="K294" s="133">
        <v>5.2711449625118909E-2</v>
      </c>
      <c r="L294" s="133">
        <v>11.120551007019627</v>
      </c>
      <c r="M294" s="45">
        <v>21026.854511510024</v>
      </c>
    </row>
    <row r="295" spans="1:13" x14ac:dyDescent="0.25">
      <c r="A295" s="812" t="s">
        <v>1996</v>
      </c>
      <c r="B295" s="812">
        <v>16</v>
      </c>
      <c r="C295" s="608">
        <v>39485</v>
      </c>
      <c r="D295" s="812">
        <v>99712</v>
      </c>
      <c r="E295" s="812" t="s">
        <v>1601</v>
      </c>
      <c r="F295" s="133">
        <v>2.2057944753997445</v>
      </c>
      <c r="G295" s="133">
        <v>0.35418852125944378</v>
      </c>
      <c r="H295" s="133">
        <v>0.63289205652956948</v>
      </c>
      <c r="I295" s="133">
        <v>0.57899217646374213</v>
      </c>
      <c r="J295" s="133">
        <v>0.57899217646374213</v>
      </c>
      <c r="K295" s="133">
        <v>2.6792248452392746E-2</v>
      </c>
      <c r="L295" s="133">
        <v>6.0277717867481906</v>
      </c>
      <c r="M295" s="45">
        <v>7325.1087894920711</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6.8566310538312167E-5</v>
      </c>
      <c r="G307" s="133">
        <v>1.6608407979095416E-3</v>
      </c>
      <c r="H307" s="133">
        <v>1.0474141969731934E-3</v>
      </c>
      <c r="I307" s="133">
        <v>5.1271924747005897E-5</v>
      </c>
      <c r="J307" s="133">
        <v>5.1271924747005897E-5</v>
      </c>
      <c r="K307" s="133">
        <v>3.8125802522613188E-5</v>
      </c>
      <c r="L307" s="133">
        <v>1.0905247107344868E-4</v>
      </c>
      <c r="M307" s="45">
        <v>26.445226652981042</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1.132182804653983</v>
      </c>
      <c r="G309" s="133">
        <v>0.83531787662797696</v>
      </c>
      <c r="H309" s="133">
        <v>1.1148683882296273</v>
      </c>
      <c r="I309" s="133">
        <v>0.31866487989601161</v>
      </c>
      <c r="J309" s="133">
        <v>0.31866487989601161</v>
      </c>
      <c r="K309" s="133">
        <v>2.4084674086995175E-2</v>
      </c>
      <c r="L309" s="133">
        <v>3.1775390538725001</v>
      </c>
      <c r="M309" s="45">
        <v>15508.448795806949</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2.6385824852006676E-2</v>
      </c>
      <c r="G311" s="133">
        <v>1.7268925198432903E-2</v>
      </c>
      <c r="H311" s="133">
        <v>2.6078938443331773E-2</v>
      </c>
      <c r="I311" s="133">
        <v>8.543860836171641E-3</v>
      </c>
      <c r="J311" s="133">
        <v>8.543860836171641E-3</v>
      </c>
      <c r="K311" s="133">
        <v>5.0864118114302755E-4</v>
      </c>
      <c r="L311" s="133">
        <v>9.1458679533694479E-2</v>
      </c>
      <c r="M311" s="45">
        <v>331.56299906097121</v>
      </c>
    </row>
    <row r="312" spans="1:13" x14ac:dyDescent="0.25">
      <c r="A312" s="812" t="s">
        <v>1996</v>
      </c>
      <c r="B312" s="812">
        <v>17</v>
      </c>
      <c r="C312" s="608">
        <v>39486</v>
      </c>
      <c r="D312" s="812">
        <v>99705</v>
      </c>
      <c r="E312" s="812" t="s">
        <v>1599</v>
      </c>
      <c r="F312" s="133">
        <v>4.4365068387698656</v>
      </c>
      <c r="G312" s="133">
        <v>0.86069327108641069</v>
      </c>
      <c r="H312" s="133">
        <v>1.4700060159712411</v>
      </c>
      <c r="I312" s="133">
        <v>1.3238035352035871</v>
      </c>
      <c r="J312" s="133">
        <v>1.3238035352035871</v>
      </c>
      <c r="K312" s="133">
        <v>5.8776733644027183E-2</v>
      </c>
      <c r="L312" s="133">
        <v>14.419404537802183</v>
      </c>
      <c r="M312" s="45">
        <v>17632.048229713066</v>
      </c>
    </row>
    <row r="313" spans="1:13" x14ac:dyDescent="0.25">
      <c r="A313" s="812" t="s">
        <v>1996</v>
      </c>
      <c r="B313" s="812">
        <v>17</v>
      </c>
      <c r="C313" s="608">
        <v>39486</v>
      </c>
      <c r="D313" s="812">
        <v>99709</v>
      </c>
      <c r="E313" s="812" t="s">
        <v>1600</v>
      </c>
      <c r="F313" s="133">
        <v>3.9896732602256488</v>
      </c>
      <c r="G313" s="133">
        <v>1.0113606573840925</v>
      </c>
      <c r="H313" s="133">
        <v>1.6561782623348857</v>
      </c>
      <c r="I313" s="133">
        <v>1.0470088222641656</v>
      </c>
      <c r="J313" s="133">
        <v>1.0470088222641656</v>
      </c>
      <c r="K313" s="133">
        <v>5.1251858136208819E-2</v>
      </c>
      <c r="L313" s="133">
        <v>10.784651364784841</v>
      </c>
      <c r="M313" s="45">
        <v>20471.929938190038</v>
      </c>
    </row>
    <row r="314" spans="1:13" x14ac:dyDescent="0.25">
      <c r="A314" s="812" t="s">
        <v>1996</v>
      </c>
      <c r="B314" s="812">
        <v>17</v>
      </c>
      <c r="C314" s="608">
        <v>39486</v>
      </c>
      <c r="D314" s="812">
        <v>99712</v>
      </c>
      <c r="E314" s="812" t="s">
        <v>1601</v>
      </c>
      <c r="F314" s="133">
        <v>2.1417702691620755</v>
      </c>
      <c r="G314" s="133">
        <v>0.34596223970935258</v>
      </c>
      <c r="H314" s="133">
        <v>0.61834716501872511</v>
      </c>
      <c r="I314" s="133">
        <v>0.56380072198203235</v>
      </c>
      <c r="J314" s="133">
        <v>0.56380072198203235</v>
      </c>
      <c r="K314" s="133">
        <v>2.608449000666109E-2</v>
      </c>
      <c r="L314" s="133">
        <v>5.8739197428761099</v>
      </c>
      <c r="M314" s="45">
        <v>7157.8744936157445</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6.6858474239948353E-5</v>
      </c>
      <c r="G326" s="133">
        <v>1.6177257160434149E-3</v>
      </c>
      <c r="H326" s="133">
        <v>1.016938540884354E-3</v>
      </c>
      <c r="I326" s="133">
        <v>5.0178245784232241E-5</v>
      </c>
      <c r="J326" s="133">
        <v>5.0178245784232241E-5</v>
      </c>
      <c r="K326" s="133">
        <v>3.806712664626038E-5</v>
      </c>
      <c r="L326" s="133">
        <v>1.0797975429079484E-4</v>
      </c>
      <c r="M326" s="45">
        <v>25.781733448707861</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0.9646416296762812</v>
      </c>
      <c r="G328" s="133">
        <v>0.77090166217339207</v>
      </c>
      <c r="H328" s="133">
        <v>1.0092535522840476</v>
      </c>
      <c r="I328" s="133">
        <v>0.27910845653197885</v>
      </c>
      <c r="J328" s="133">
        <v>0.27910845653197885</v>
      </c>
      <c r="K328" s="133">
        <v>2.229518014950212E-2</v>
      </c>
      <c r="L328" s="133">
        <v>2.7991987396326268</v>
      </c>
      <c r="M328" s="45">
        <v>14251.024505012749</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2.2741992600655046E-2</v>
      </c>
      <c r="G330" s="133">
        <v>1.5782028932131098E-2</v>
      </c>
      <c r="H330" s="133">
        <v>2.3429141589335477E-2</v>
      </c>
      <c r="I330" s="133">
        <v>7.5153018523872375E-3</v>
      </c>
      <c r="J330" s="133">
        <v>7.5153018523872375E-3</v>
      </c>
      <c r="K330" s="133">
        <v>4.6521886809146887E-4</v>
      </c>
      <c r="L330" s="133">
        <v>8.0739825118090677E-2</v>
      </c>
      <c r="M330" s="45">
        <v>301.57918375132795</v>
      </c>
    </row>
    <row r="331" spans="1:13" x14ac:dyDescent="0.25">
      <c r="A331" s="812" t="s">
        <v>1996</v>
      </c>
      <c r="B331" s="812">
        <v>18</v>
      </c>
      <c r="C331" s="608">
        <v>39487</v>
      </c>
      <c r="D331" s="812">
        <v>99705</v>
      </c>
      <c r="E331" s="812" t="s">
        <v>1599</v>
      </c>
      <c r="F331" s="133">
        <v>3.6412064812910199</v>
      </c>
      <c r="G331" s="133">
        <v>0.74012451436461091</v>
      </c>
      <c r="H331" s="133">
        <v>1.254374383213098</v>
      </c>
      <c r="I331" s="133">
        <v>1.1065170000676126</v>
      </c>
      <c r="J331" s="133">
        <v>1.1065170000676126</v>
      </c>
      <c r="K331" s="133">
        <v>4.9301168785750242E-2</v>
      </c>
      <c r="L331" s="133">
        <v>12.108928995203927</v>
      </c>
      <c r="M331" s="45">
        <v>15141.776440360447</v>
      </c>
    </row>
    <row r="332" spans="1:13" x14ac:dyDescent="0.25">
      <c r="A332" s="812" t="s">
        <v>1996</v>
      </c>
      <c r="B332" s="812">
        <v>18</v>
      </c>
      <c r="C332" s="608">
        <v>39487</v>
      </c>
      <c r="D332" s="812">
        <v>99709</v>
      </c>
      <c r="E332" s="812" t="s">
        <v>1600</v>
      </c>
      <c r="F332" s="133">
        <v>3.228604079606455</v>
      </c>
      <c r="G332" s="133">
        <v>0.89683758010291115</v>
      </c>
      <c r="H332" s="133">
        <v>1.4485991751507576</v>
      </c>
      <c r="I332" s="133">
        <v>0.8722390901484951</v>
      </c>
      <c r="J332" s="133">
        <v>0.8722390901484951</v>
      </c>
      <c r="K332" s="133">
        <v>4.3492364752822393E-2</v>
      </c>
      <c r="L332" s="133">
        <v>9.0719339165955315</v>
      </c>
      <c r="M332" s="45">
        <v>18093.069567832852</v>
      </c>
    </row>
    <row r="333" spans="1:13" x14ac:dyDescent="0.25">
      <c r="A333" s="812" t="s">
        <v>1996</v>
      </c>
      <c r="B333" s="812">
        <v>18</v>
      </c>
      <c r="C333" s="608">
        <v>39487</v>
      </c>
      <c r="D333" s="812">
        <v>99712</v>
      </c>
      <c r="E333" s="812" t="s">
        <v>1601</v>
      </c>
      <c r="F333" s="133">
        <v>1.6651287195268074</v>
      </c>
      <c r="G333" s="133">
        <v>0.29078039552309232</v>
      </c>
      <c r="H333" s="133">
        <v>0.51715769156546676</v>
      </c>
      <c r="I333" s="133">
        <v>0.45254216079900822</v>
      </c>
      <c r="J333" s="133">
        <v>0.45254216079900822</v>
      </c>
      <c r="K333" s="133">
        <v>2.0943583187421677E-2</v>
      </c>
      <c r="L333" s="133">
        <v>4.7664623919950797</v>
      </c>
      <c r="M333" s="45">
        <v>6017.4400925203445</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6.3442801643220697E-5</v>
      </c>
      <c r="G345" s="133">
        <v>1.5314955523111596E-3</v>
      </c>
      <c r="H345" s="133">
        <v>9.5598722870667485E-4</v>
      </c>
      <c r="I345" s="133">
        <v>4.7990887858684908E-5</v>
      </c>
      <c r="J345" s="133">
        <v>4.7990887858684908E-5</v>
      </c>
      <c r="K345" s="133">
        <v>3.7949774893554771E-5</v>
      </c>
      <c r="L345" s="133">
        <v>1.0583432072548719E-4</v>
      </c>
      <c r="M345" s="45">
        <v>24.454747040161493</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1.0237808228757947</v>
      </c>
      <c r="G347" s="133">
        <v>0.79032821780195739</v>
      </c>
      <c r="H347" s="133">
        <v>1.0461539537359681</v>
      </c>
      <c r="I347" s="133">
        <v>0.29399582090845555</v>
      </c>
      <c r="J347" s="133">
        <v>0.29399582090845555</v>
      </c>
      <c r="K347" s="133">
        <v>2.2956871967712733E-2</v>
      </c>
      <c r="L347" s="133">
        <v>2.9492920197226802</v>
      </c>
      <c r="M347" s="45">
        <v>14656.351794900304</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2.4214873890288445E-2</v>
      </c>
      <c r="G349" s="133">
        <v>1.6316872416410534E-2</v>
      </c>
      <c r="H349" s="133">
        <v>2.4484476090855935E-2</v>
      </c>
      <c r="I349" s="133">
        <v>7.965169236192159E-3</v>
      </c>
      <c r="J349" s="133">
        <v>7.965169236192159E-3</v>
      </c>
      <c r="K349" s="133">
        <v>4.8388368690868954E-4</v>
      </c>
      <c r="L349" s="133">
        <v>8.5679072447291615E-2</v>
      </c>
      <c r="M349" s="45">
        <v>312.93222952933161</v>
      </c>
    </row>
    <row r="350" spans="1:13" x14ac:dyDescent="0.25">
      <c r="A350" s="812" t="s">
        <v>1996</v>
      </c>
      <c r="B350" s="812">
        <v>19</v>
      </c>
      <c r="C350" s="608">
        <v>39488</v>
      </c>
      <c r="D350" s="812">
        <v>99705</v>
      </c>
      <c r="E350" s="812" t="s">
        <v>1599</v>
      </c>
      <c r="F350" s="133">
        <v>3.9313816636337076</v>
      </c>
      <c r="G350" s="133">
        <v>0.78523521574396782</v>
      </c>
      <c r="H350" s="133">
        <v>1.3356175653832687</v>
      </c>
      <c r="I350" s="133">
        <v>1.1893887763021909</v>
      </c>
      <c r="J350" s="133">
        <v>1.1893887763021909</v>
      </c>
      <c r="K350" s="133">
        <v>5.2903125005938349E-2</v>
      </c>
      <c r="L350" s="133">
        <v>13.019152127454458</v>
      </c>
      <c r="M350" s="45">
        <v>16077.870930257106</v>
      </c>
    </row>
    <row r="351" spans="1:13" x14ac:dyDescent="0.25">
      <c r="A351" s="812" t="s">
        <v>1996</v>
      </c>
      <c r="B351" s="812">
        <v>19</v>
      </c>
      <c r="C351" s="608">
        <v>39488</v>
      </c>
      <c r="D351" s="812">
        <v>99709</v>
      </c>
      <c r="E351" s="812" t="s">
        <v>1600</v>
      </c>
      <c r="F351" s="133">
        <v>3.5187578074791421</v>
      </c>
      <c r="G351" s="133">
        <v>0.93994999461308626</v>
      </c>
      <c r="H351" s="133">
        <v>1.529695583811</v>
      </c>
      <c r="I351" s="133">
        <v>0.94278369004049623</v>
      </c>
      <c r="J351" s="133">
        <v>0.94278369004049623</v>
      </c>
      <c r="K351" s="133">
        <v>4.6576506363392306E-2</v>
      </c>
      <c r="L351" s="133">
        <v>9.7911103391341356</v>
      </c>
      <c r="M351" s="45">
        <v>19006.025462630376</v>
      </c>
    </row>
    <row r="352" spans="1:13" x14ac:dyDescent="0.25">
      <c r="A352" s="812" t="s">
        <v>1996</v>
      </c>
      <c r="B352" s="812">
        <v>19</v>
      </c>
      <c r="C352" s="608">
        <v>39488</v>
      </c>
      <c r="D352" s="812">
        <v>99712</v>
      </c>
      <c r="E352" s="812" t="s">
        <v>1601</v>
      </c>
      <c r="F352" s="133">
        <v>1.8373828899667555</v>
      </c>
      <c r="G352" s="133">
        <v>0.31124039635949052</v>
      </c>
      <c r="H352" s="133">
        <v>0.55499478531400104</v>
      </c>
      <c r="I352" s="133">
        <v>0.49376474106766011</v>
      </c>
      <c r="J352" s="133">
        <v>0.49376474106766011</v>
      </c>
      <c r="K352" s="133">
        <v>2.2859682286689616E-2</v>
      </c>
      <c r="L352" s="133">
        <v>5.1865803641118235</v>
      </c>
      <c r="M352" s="45">
        <v>6441.066645934493</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6.4012080409341969E-5</v>
      </c>
      <c r="G364" s="133">
        <v>1.545867246266535E-3</v>
      </c>
      <c r="H364" s="133">
        <v>9.6614578073628765E-4</v>
      </c>
      <c r="I364" s="133">
        <v>4.8355447512942773E-5</v>
      </c>
      <c r="J364" s="133">
        <v>4.8355447512942773E-5</v>
      </c>
      <c r="K364" s="133">
        <v>3.7969333519005682E-5</v>
      </c>
      <c r="L364" s="133">
        <v>1.0619189298637172E-4</v>
      </c>
      <c r="M364" s="45">
        <v>24.675911441585889</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0.69425836581034206</v>
      </c>
      <c r="G366" s="133">
        <v>0.61340998449237716</v>
      </c>
      <c r="H366" s="133">
        <v>0.7576606073617107</v>
      </c>
      <c r="I366" s="133">
        <v>0.20904102774018546</v>
      </c>
      <c r="J366" s="133">
        <v>0.20904102774018546</v>
      </c>
      <c r="K366" s="133">
        <v>2.7487324037353766E-2</v>
      </c>
      <c r="L366" s="133">
        <v>2.0937699931257954</v>
      </c>
      <c r="M366" s="45">
        <v>11581.797274136687</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1.690886662003737E-2</v>
      </c>
      <c r="G368" s="133">
        <v>1.2443286810418175E-2</v>
      </c>
      <c r="H368" s="133">
        <v>1.7785193247946099E-2</v>
      </c>
      <c r="I368" s="133">
        <v>5.7118582351816339E-3</v>
      </c>
      <c r="J368" s="133">
        <v>5.7118582351816339E-3</v>
      </c>
      <c r="K368" s="133">
        <v>5.1374029623461989E-4</v>
      </c>
      <c r="L368" s="133">
        <v>6.1171623251340602E-2</v>
      </c>
      <c r="M368" s="45">
        <v>241.65485198552184</v>
      </c>
    </row>
    <row r="369" spans="1:13" x14ac:dyDescent="0.25">
      <c r="A369" s="812" t="s">
        <v>1999</v>
      </c>
      <c r="B369" s="812">
        <v>1</v>
      </c>
      <c r="C369" s="608">
        <v>39754</v>
      </c>
      <c r="D369" s="812">
        <v>99705</v>
      </c>
      <c r="E369" s="812" t="s">
        <v>1599</v>
      </c>
      <c r="F369" s="133">
        <v>2.8983342696615813</v>
      </c>
      <c r="G369" s="133">
        <v>0.60404025465177646</v>
      </c>
      <c r="H369" s="133">
        <v>1.0178429922550021</v>
      </c>
      <c r="I369" s="133">
        <v>0.89029317872261138</v>
      </c>
      <c r="J369" s="133">
        <v>0.89029317872261138</v>
      </c>
      <c r="K369" s="133">
        <v>4.162363218401556E-2</v>
      </c>
      <c r="L369" s="133">
        <v>9.715059370994199</v>
      </c>
      <c r="M369" s="45">
        <v>12424.750937796838</v>
      </c>
    </row>
    <row r="370" spans="1:13" x14ac:dyDescent="0.25">
      <c r="A370" s="812" t="s">
        <v>1999</v>
      </c>
      <c r="B370" s="812">
        <v>1</v>
      </c>
      <c r="C370" s="608">
        <v>39754</v>
      </c>
      <c r="D370" s="812">
        <v>99709</v>
      </c>
      <c r="E370" s="812" t="s">
        <v>1600</v>
      </c>
      <c r="F370" s="133">
        <v>2.3724824238886839</v>
      </c>
      <c r="G370" s="133">
        <v>0.7135998975583463</v>
      </c>
      <c r="H370" s="133">
        <v>1.1272496952120046</v>
      </c>
      <c r="I370" s="133">
        <v>0.66039892245717258</v>
      </c>
      <c r="J370" s="133">
        <v>0.66039892245717258</v>
      </c>
      <c r="K370" s="133">
        <v>3.933117841818945E-2</v>
      </c>
      <c r="L370" s="133">
        <v>6.902663365434452</v>
      </c>
      <c r="M370" s="45">
        <v>14547.598869319476</v>
      </c>
    </row>
    <row r="371" spans="1:13" x14ac:dyDescent="0.25">
      <c r="A371" s="812" t="s">
        <v>1999</v>
      </c>
      <c r="B371" s="812">
        <v>1</v>
      </c>
      <c r="C371" s="608">
        <v>39754</v>
      </c>
      <c r="D371" s="812">
        <v>99712</v>
      </c>
      <c r="E371" s="812" t="s">
        <v>1601</v>
      </c>
      <c r="F371" s="133">
        <v>1.3279008570451527</v>
      </c>
      <c r="G371" s="133">
        <v>0.24287695400381146</v>
      </c>
      <c r="H371" s="133">
        <v>0.43174943660999243</v>
      </c>
      <c r="I371" s="133">
        <v>0.36836166237226781</v>
      </c>
      <c r="J371" s="133">
        <v>0.36836166237226781</v>
      </c>
      <c r="K371" s="133">
        <v>1.756478579389727E-2</v>
      </c>
      <c r="L371" s="133">
        <v>3.8904423156178671</v>
      </c>
      <c r="M371" s="45">
        <v>5052.6187626666806</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5.4758832128937919E-5</v>
      </c>
      <c r="G383" s="133">
        <v>1.2529700694563482E-3</v>
      </c>
      <c r="H383" s="133">
        <v>6.5214641983311775E-4</v>
      </c>
      <c r="I383" s="133">
        <v>4.8653623752239431E-5</v>
      </c>
      <c r="J383" s="133">
        <v>4.8653623752239431E-5</v>
      </c>
      <c r="K383" s="133">
        <v>6.7888083291319288E-5</v>
      </c>
      <c r="L383" s="133">
        <v>1.5615728722153399E-4</v>
      </c>
      <c r="M383" s="45">
        <v>20.918109314300864</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0.65318546400197364</v>
      </c>
      <c r="G385" s="133">
        <v>0.57262032191944312</v>
      </c>
      <c r="H385" s="133">
        <v>0.7060872356295621</v>
      </c>
      <c r="I385" s="133">
        <v>0.19423333230370154</v>
      </c>
      <c r="J385" s="133">
        <v>0.19423333230370154</v>
      </c>
      <c r="K385" s="133">
        <v>2.6884999379678802E-2</v>
      </c>
      <c r="L385" s="133">
        <v>1.9278943276221618</v>
      </c>
      <c r="M385" s="45">
        <v>10859.79326017014</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1.5781696915902536E-2</v>
      </c>
      <c r="G387" s="133">
        <v>1.1579683856683811E-2</v>
      </c>
      <c r="H387" s="133">
        <v>1.6532660919013332E-2</v>
      </c>
      <c r="I387" s="133">
        <v>5.2607003781716235E-3</v>
      </c>
      <c r="J387" s="133">
        <v>5.2607003781716235E-3</v>
      </c>
      <c r="K387" s="133">
        <v>4.9595728552602263E-4</v>
      </c>
      <c r="L387" s="133">
        <v>5.5806694491438637E-2</v>
      </c>
      <c r="M387" s="45">
        <v>225.66433367746353</v>
      </c>
    </row>
    <row r="388" spans="1:13" x14ac:dyDescent="0.25">
      <c r="A388" s="812" t="s">
        <v>1999</v>
      </c>
      <c r="B388" s="812">
        <v>2</v>
      </c>
      <c r="C388" s="608">
        <v>39755</v>
      </c>
      <c r="D388" s="812">
        <v>99705</v>
      </c>
      <c r="E388" s="812" t="s">
        <v>1599</v>
      </c>
      <c r="F388" s="133">
        <v>2.7758569943946552</v>
      </c>
      <c r="G388" s="133">
        <v>0.56828105808405971</v>
      </c>
      <c r="H388" s="133">
        <v>0.96039767450965674</v>
      </c>
      <c r="I388" s="133">
        <v>0.83846848660691198</v>
      </c>
      <c r="J388" s="133">
        <v>0.83846848660691198</v>
      </c>
      <c r="K388" s="133">
        <v>3.942131902575912E-2</v>
      </c>
      <c r="L388" s="133">
        <v>9.041009115239369</v>
      </c>
      <c r="M388" s="45">
        <v>11715.429138053803</v>
      </c>
    </row>
    <row r="389" spans="1:13" x14ac:dyDescent="0.25">
      <c r="A389" s="812" t="s">
        <v>1999</v>
      </c>
      <c r="B389" s="812">
        <v>2</v>
      </c>
      <c r="C389" s="608">
        <v>39755</v>
      </c>
      <c r="D389" s="812">
        <v>99709</v>
      </c>
      <c r="E389" s="812" t="s">
        <v>1600</v>
      </c>
      <c r="F389" s="133">
        <v>2.3558549846224262</v>
      </c>
      <c r="G389" s="133">
        <v>0.68211295776907155</v>
      </c>
      <c r="H389" s="133">
        <v>1.084653731690759</v>
      </c>
      <c r="I389" s="133">
        <v>0.64203612305736524</v>
      </c>
      <c r="J389" s="133">
        <v>0.64203612305736524</v>
      </c>
      <c r="K389" s="133">
        <v>3.8687635838652479E-2</v>
      </c>
      <c r="L389" s="133">
        <v>6.6353267897379675</v>
      </c>
      <c r="M389" s="45">
        <v>13960.406244397715</v>
      </c>
    </row>
    <row r="390" spans="1:13" x14ac:dyDescent="0.25">
      <c r="A390" s="812" t="s">
        <v>1999</v>
      </c>
      <c r="B390" s="812">
        <v>2</v>
      </c>
      <c r="C390" s="608">
        <v>39755</v>
      </c>
      <c r="D390" s="812">
        <v>99712</v>
      </c>
      <c r="E390" s="812" t="s">
        <v>1601</v>
      </c>
      <c r="F390" s="133">
        <v>1.33878483016566</v>
      </c>
      <c r="G390" s="133">
        <v>0.23652986836167247</v>
      </c>
      <c r="H390" s="133">
        <v>0.42198360255571876</v>
      </c>
      <c r="I390" s="133">
        <v>0.36353730196254785</v>
      </c>
      <c r="J390" s="133">
        <v>0.36353730196254785</v>
      </c>
      <c r="K390" s="133">
        <v>1.7396911192849217E-2</v>
      </c>
      <c r="L390" s="133">
        <v>3.7922012623127626</v>
      </c>
      <c r="M390" s="45">
        <v>4928.2489044362028</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5.1343159532210277E-5</v>
      </c>
      <c r="G402" s="133">
        <v>1.1667399057240938E-3</v>
      </c>
      <c r="H402" s="133">
        <v>5.911951076554388E-4</v>
      </c>
      <c r="I402" s="133">
        <v>4.6466265826692098E-5</v>
      </c>
      <c r="J402" s="133">
        <v>4.6466265826692098E-5</v>
      </c>
      <c r="K402" s="133">
        <v>6.7770731538613645E-5</v>
      </c>
      <c r="L402" s="133">
        <v>1.5401185365622626E-4</v>
      </c>
      <c r="M402" s="45">
        <v>19.591122905754499</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0.61243197681641692</v>
      </c>
      <c r="G404" s="133">
        <v>0.5660674708415887</v>
      </c>
      <c r="H404" s="133">
        <v>0.68514344203087296</v>
      </c>
      <c r="I404" s="133">
        <v>0.18389449712732753</v>
      </c>
      <c r="J404" s="133">
        <v>0.18389449712732753</v>
      </c>
      <c r="K404" s="133">
        <v>2.6430732829395589E-2</v>
      </c>
      <c r="L404" s="133">
        <v>1.8206868614992158</v>
      </c>
      <c r="M404" s="45">
        <v>10679.820399003329</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1.4900314623497248E-2</v>
      </c>
      <c r="G406" s="133">
        <v>1.1365455275948745E-2</v>
      </c>
      <c r="H406" s="133">
        <v>1.5973148458415388E-2</v>
      </c>
      <c r="I406" s="133">
        <v>4.9940237315649399E-3</v>
      </c>
      <c r="J406" s="133">
        <v>4.9940237315649399E-3</v>
      </c>
      <c r="K406" s="133">
        <v>4.8498725710275351E-4</v>
      </c>
      <c r="L406" s="133">
        <v>5.2846324822727435E-2</v>
      </c>
      <c r="M406" s="45">
        <v>220.38856728826195</v>
      </c>
    </row>
    <row r="407" spans="1:13" x14ac:dyDescent="0.25">
      <c r="A407" s="812" t="s">
        <v>1999</v>
      </c>
      <c r="B407" s="812">
        <v>3</v>
      </c>
      <c r="C407" s="608">
        <v>39756</v>
      </c>
      <c r="D407" s="812">
        <v>99705</v>
      </c>
      <c r="E407" s="812" t="s">
        <v>1599</v>
      </c>
      <c r="F407" s="133">
        <v>2.5836658116417688</v>
      </c>
      <c r="G407" s="133">
        <v>0.53896871174692063</v>
      </c>
      <c r="H407" s="133">
        <v>0.90607610814182027</v>
      </c>
      <c r="I407" s="133">
        <v>0.78244234636503307</v>
      </c>
      <c r="J407" s="133">
        <v>0.78244234636503307</v>
      </c>
      <c r="K407" s="133">
        <v>3.6989550449085307E-2</v>
      </c>
      <c r="L407" s="133">
        <v>8.4200110298988733</v>
      </c>
      <c r="M407" s="45">
        <v>11100.831525547135</v>
      </c>
    </row>
    <row r="408" spans="1:13" x14ac:dyDescent="0.25">
      <c r="A408" s="812" t="s">
        <v>1999</v>
      </c>
      <c r="B408" s="812">
        <v>3</v>
      </c>
      <c r="C408" s="608">
        <v>39756</v>
      </c>
      <c r="D408" s="812">
        <v>99709</v>
      </c>
      <c r="E408" s="812" t="s">
        <v>1600</v>
      </c>
      <c r="F408" s="133">
        <v>2.2484254748780921</v>
      </c>
      <c r="G408" s="133">
        <v>0.667665097448919</v>
      </c>
      <c r="H408" s="133">
        <v>1.0521310485125099</v>
      </c>
      <c r="I408" s="133">
        <v>0.61593013900491222</v>
      </c>
      <c r="J408" s="133">
        <v>0.61593013900491222</v>
      </c>
      <c r="K408" s="133">
        <v>3.7545475280338428E-2</v>
      </c>
      <c r="L408" s="133">
        <v>6.3690882992198059</v>
      </c>
      <c r="M408" s="45">
        <v>13629.193508841141</v>
      </c>
    </row>
    <row r="409" spans="1:13" x14ac:dyDescent="0.25">
      <c r="A409" s="812" t="s">
        <v>1999</v>
      </c>
      <c r="B409" s="812">
        <v>3</v>
      </c>
      <c r="C409" s="608">
        <v>39756</v>
      </c>
      <c r="D409" s="812">
        <v>99712</v>
      </c>
      <c r="E409" s="812" t="s">
        <v>1601</v>
      </c>
      <c r="F409" s="133">
        <v>1.2857283366482455</v>
      </c>
      <c r="G409" s="133">
        <v>0.2303614603960509</v>
      </c>
      <c r="H409" s="133">
        <v>0.410116732748255</v>
      </c>
      <c r="I409" s="133">
        <v>0.35077108427516074</v>
      </c>
      <c r="J409" s="133">
        <v>0.35077108427516074</v>
      </c>
      <c r="K409" s="133">
        <v>1.6807104188148209E-2</v>
      </c>
      <c r="L409" s="133">
        <v>3.6617963535448288</v>
      </c>
      <c r="M409" s="45">
        <v>4798.3848434723513</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5.1912438298331535E-5</v>
      </c>
      <c r="G421" s="133">
        <v>1.1811115996794692E-3</v>
      </c>
      <c r="H421" s="133">
        <v>6.0135365968505181E-4</v>
      </c>
      <c r="I421" s="133">
        <v>4.6830825480949991E-5</v>
      </c>
      <c r="J421" s="133">
        <v>4.6830825480949991E-5</v>
      </c>
      <c r="K421" s="133">
        <v>6.7790290164064596E-5</v>
      </c>
      <c r="L421" s="133">
        <v>1.5436942591711089E-4</v>
      </c>
      <c r="M421" s="45">
        <v>19.812287307178892</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0.67047159634586484</v>
      </c>
      <c r="G423" s="133">
        <v>0.61066639913152876</v>
      </c>
      <c r="H423" s="133">
        <v>0.73951126214252028</v>
      </c>
      <c r="I423" s="133">
        <v>0.19941123200658009</v>
      </c>
      <c r="J423" s="133">
        <v>0.19941123200658009</v>
      </c>
      <c r="K423" s="133">
        <v>2.7111572734362682E-2</v>
      </c>
      <c r="L423" s="133">
        <v>1.9723950358342868</v>
      </c>
      <c r="M423" s="45">
        <v>11456.550944328625</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1.6213425237388768E-2</v>
      </c>
      <c r="G425" s="133">
        <v>1.2263831906774101E-2</v>
      </c>
      <c r="H425" s="133">
        <v>1.7229080612827352E-2</v>
      </c>
      <c r="I425" s="133">
        <v>5.4088491923280028E-3</v>
      </c>
      <c r="J425" s="133">
        <v>5.4088491923280028E-3</v>
      </c>
      <c r="K425" s="133">
        <v>5.0218944033672682E-4</v>
      </c>
      <c r="L425" s="133">
        <v>5.7283834970285087E-2</v>
      </c>
      <c r="M425" s="45">
        <v>236.70095613164685</v>
      </c>
    </row>
    <row r="426" spans="1:13" x14ac:dyDescent="0.25">
      <c r="A426" s="812" t="s">
        <v>1999</v>
      </c>
      <c r="B426" s="812">
        <v>4</v>
      </c>
      <c r="C426" s="608">
        <v>39757</v>
      </c>
      <c r="D426" s="812">
        <v>99705</v>
      </c>
      <c r="E426" s="812" t="s">
        <v>1599</v>
      </c>
      <c r="F426" s="133">
        <v>2.8497174783953931</v>
      </c>
      <c r="G426" s="133">
        <v>0.58720738309270593</v>
      </c>
      <c r="H426" s="133">
        <v>0.98674134766030641</v>
      </c>
      <c r="I426" s="133">
        <v>0.86075639539418902</v>
      </c>
      <c r="J426" s="133">
        <v>0.86075639539418902</v>
      </c>
      <c r="K426" s="133">
        <v>4.0363982897511877E-2</v>
      </c>
      <c r="L426" s="133">
        <v>9.2885164200347692</v>
      </c>
      <c r="M426" s="45">
        <v>12071.664163160334</v>
      </c>
    </row>
    <row r="427" spans="1:13" x14ac:dyDescent="0.25">
      <c r="A427" s="812" t="s">
        <v>1999</v>
      </c>
      <c r="B427" s="812">
        <v>4</v>
      </c>
      <c r="C427" s="608">
        <v>39757</v>
      </c>
      <c r="D427" s="812">
        <v>99709</v>
      </c>
      <c r="E427" s="812" t="s">
        <v>1600</v>
      </c>
      <c r="F427" s="133">
        <v>2.2595417733029448</v>
      </c>
      <c r="G427" s="133">
        <v>0.69109542080765851</v>
      </c>
      <c r="H427" s="133">
        <v>1.0796533155627877</v>
      </c>
      <c r="I427" s="133">
        <v>0.61805503648413918</v>
      </c>
      <c r="J427" s="133">
        <v>0.61805503648413918</v>
      </c>
      <c r="K427" s="133">
        <v>3.7673619372583782E-2</v>
      </c>
      <c r="L427" s="133">
        <v>6.3793301941042095</v>
      </c>
      <c r="M427" s="45">
        <v>14036.152900559091</v>
      </c>
    </row>
    <row r="428" spans="1:13" x14ac:dyDescent="0.25">
      <c r="A428" s="812" t="s">
        <v>1999</v>
      </c>
      <c r="B428" s="812">
        <v>4</v>
      </c>
      <c r="C428" s="608">
        <v>39757</v>
      </c>
      <c r="D428" s="812">
        <v>99712</v>
      </c>
      <c r="E428" s="812" t="s">
        <v>1601</v>
      </c>
      <c r="F428" s="133">
        <v>1.1686105541854945</v>
      </c>
      <c r="G428" s="133">
        <v>0.21661570868239952</v>
      </c>
      <c r="H428" s="133">
        <v>0.38292751737891179</v>
      </c>
      <c r="I428" s="133">
        <v>0.32028822210946367</v>
      </c>
      <c r="J428" s="133">
        <v>0.32028822210946367</v>
      </c>
      <c r="K428" s="133">
        <v>1.5435970412110516E-2</v>
      </c>
      <c r="L428" s="133">
        <v>3.3378201312337259</v>
      </c>
      <c r="M428" s="45">
        <v>4504.1321196924819</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5.5897389661180476E-5</v>
      </c>
      <c r="G440" s="133">
        <v>1.2817134573670998E-3</v>
      </c>
      <c r="H440" s="133">
        <v>6.7246352389234421E-4</v>
      </c>
      <c r="I440" s="133">
        <v>4.9382743060755215E-5</v>
      </c>
      <c r="J440" s="133">
        <v>4.9382743060755215E-5</v>
      </c>
      <c r="K440" s="133">
        <v>6.7927200542221137E-5</v>
      </c>
      <c r="L440" s="133">
        <v>1.5687243174330318E-4</v>
      </c>
      <c r="M440" s="45">
        <v>21.360438117149652</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0.6857294405355383</v>
      </c>
      <c r="G442" s="133">
        <v>0.61494078215723291</v>
      </c>
      <c r="H442" s="133">
        <v>0.74895240735722013</v>
      </c>
      <c r="I442" s="133">
        <v>0.20350163001490992</v>
      </c>
      <c r="J442" s="133">
        <v>0.20350163001490992</v>
      </c>
      <c r="K442" s="133">
        <v>2.7287126131258173E-2</v>
      </c>
      <c r="L442" s="133">
        <v>2.0152256637550869</v>
      </c>
      <c r="M442" s="45">
        <v>11552.625432457258</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1.6754572303157137E-2</v>
      </c>
      <c r="G444" s="133">
        <v>1.2445366428265619E-2</v>
      </c>
      <c r="H444" s="133">
        <v>1.7622558420048902E-2</v>
      </c>
      <c r="I444" s="133">
        <v>5.5753245685442087E-3</v>
      </c>
      <c r="J444" s="133">
        <v>5.5753245685442087E-3</v>
      </c>
      <c r="K444" s="133">
        <v>5.0893258680377194E-4</v>
      </c>
      <c r="L444" s="133">
        <v>5.9121343404013413E-2</v>
      </c>
      <c r="M444" s="45">
        <v>240.74513728725304</v>
      </c>
    </row>
    <row r="445" spans="1:13" x14ac:dyDescent="0.25">
      <c r="A445" s="812" t="s">
        <v>1999</v>
      </c>
      <c r="B445" s="812">
        <v>5</v>
      </c>
      <c r="C445" s="608">
        <v>39758</v>
      </c>
      <c r="D445" s="812">
        <v>99705</v>
      </c>
      <c r="E445" s="812" t="s">
        <v>1599</v>
      </c>
      <c r="F445" s="133">
        <v>2.9215396513192946</v>
      </c>
      <c r="G445" s="133">
        <v>0.59845395776187538</v>
      </c>
      <c r="H445" s="133">
        <v>1.00706887628249</v>
      </c>
      <c r="I445" s="133">
        <v>0.88183223727514815</v>
      </c>
      <c r="J445" s="133">
        <v>0.88183223727514815</v>
      </c>
      <c r="K445" s="133">
        <v>4.1268586477354201E-2</v>
      </c>
      <c r="L445" s="133">
        <v>9.5225204599802034</v>
      </c>
      <c r="M445" s="45">
        <v>12305.745846748969</v>
      </c>
    </row>
    <row r="446" spans="1:13" x14ac:dyDescent="0.25">
      <c r="A446" s="812" t="s">
        <v>1999</v>
      </c>
      <c r="B446" s="812">
        <v>5</v>
      </c>
      <c r="C446" s="608">
        <v>39758</v>
      </c>
      <c r="D446" s="812">
        <v>99709</v>
      </c>
      <c r="E446" s="812" t="s">
        <v>1600</v>
      </c>
      <c r="F446" s="133">
        <v>2.2146320422851504</v>
      </c>
      <c r="G446" s="133">
        <v>0.68629174140816718</v>
      </c>
      <c r="H446" s="133">
        <v>1.0707389753689618</v>
      </c>
      <c r="I446" s="133">
        <v>0.60788722872364742</v>
      </c>
      <c r="J446" s="133">
        <v>0.60788722872364742</v>
      </c>
      <c r="K446" s="133">
        <v>3.7218470375941955E-2</v>
      </c>
      <c r="L446" s="133">
        <v>6.2789202594613167</v>
      </c>
      <c r="M446" s="45">
        <v>13934.98247890976</v>
      </c>
    </row>
    <row r="447" spans="1:13" x14ac:dyDescent="0.25">
      <c r="A447" s="812" t="s">
        <v>1999</v>
      </c>
      <c r="B447" s="812">
        <v>5</v>
      </c>
      <c r="C447" s="608">
        <v>39758</v>
      </c>
      <c r="D447" s="812">
        <v>99712</v>
      </c>
      <c r="E447" s="812" t="s">
        <v>1601</v>
      </c>
      <c r="F447" s="133">
        <v>1.1595948595708847</v>
      </c>
      <c r="G447" s="133">
        <v>0.21606181720371997</v>
      </c>
      <c r="H447" s="133">
        <v>0.38182530335116172</v>
      </c>
      <c r="I447" s="133">
        <v>0.31877596532075797</v>
      </c>
      <c r="J447" s="133">
        <v>0.31877596532075797</v>
      </c>
      <c r="K447" s="133">
        <v>1.5353845589494944E-2</v>
      </c>
      <c r="L447" s="133">
        <v>3.3257044300127507</v>
      </c>
      <c r="M447" s="45">
        <v>4492.8358444749101</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5.5897389661180476E-5</v>
      </c>
      <c r="G459" s="133">
        <v>1.2817134573671002E-3</v>
      </c>
      <c r="H459" s="133">
        <v>6.7246352389234443E-4</v>
      </c>
      <c r="I459" s="133">
        <v>4.9382743060755215E-5</v>
      </c>
      <c r="J459" s="133">
        <v>4.9382743060755215E-5</v>
      </c>
      <c r="K459" s="133">
        <v>6.7927200542221151E-5</v>
      </c>
      <c r="L459" s="133">
        <v>1.568724317433032E-4</v>
      </c>
      <c r="M459" s="45">
        <v>21.360438117149652</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0.78842151285355522</v>
      </c>
      <c r="G461" s="133">
        <v>0.67101479872936431</v>
      </c>
      <c r="H461" s="133">
        <v>0.82887207167424326</v>
      </c>
      <c r="I461" s="133">
        <v>0.23022982132943781</v>
      </c>
      <c r="J461" s="133">
        <v>0.23022982132943781</v>
      </c>
      <c r="K461" s="133">
        <v>2.8465680828512082E-2</v>
      </c>
      <c r="L461" s="133">
        <v>2.2810190816571354</v>
      </c>
      <c r="M461" s="45">
        <v>12587.755437970141</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1.8696127224076094E-2</v>
      </c>
      <c r="G463" s="133">
        <v>1.3545075047106598E-2</v>
      </c>
      <c r="H463" s="133">
        <v>1.9312755963010256E-2</v>
      </c>
      <c r="I463" s="133">
        <v>6.1817563356980267E-3</v>
      </c>
      <c r="J463" s="133">
        <v>6.1817563356980267E-3</v>
      </c>
      <c r="K463" s="133">
        <v>5.3402917183069582E-4</v>
      </c>
      <c r="L463" s="133">
        <v>6.5671793542505796E-2</v>
      </c>
      <c r="M463" s="45">
        <v>261.52763544975204</v>
      </c>
    </row>
    <row r="464" spans="1:13" x14ac:dyDescent="0.25">
      <c r="A464" s="812" t="s">
        <v>1999</v>
      </c>
      <c r="B464" s="812">
        <v>6</v>
      </c>
      <c r="C464" s="608">
        <v>39759</v>
      </c>
      <c r="D464" s="812">
        <v>99705</v>
      </c>
      <c r="E464" s="812" t="s">
        <v>1599</v>
      </c>
      <c r="F464" s="133">
        <v>3.1711725115332672</v>
      </c>
      <c r="G464" s="133">
        <v>0.64414920045489432</v>
      </c>
      <c r="H464" s="133">
        <v>1.0837757779104593</v>
      </c>
      <c r="I464" s="133">
        <v>0.95457611902805506</v>
      </c>
      <c r="J464" s="133">
        <v>0.95457611902805506</v>
      </c>
      <c r="K464" s="133">
        <v>4.445258142003837E-2</v>
      </c>
      <c r="L464" s="133">
        <v>10.326552866098551</v>
      </c>
      <c r="M464" s="45">
        <v>13223.055152301076</v>
      </c>
    </row>
    <row r="465" spans="1:13" x14ac:dyDescent="0.25">
      <c r="A465" s="812" t="s">
        <v>1999</v>
      </c>
      <c r="B465" s="812">
        <v>6</v>
      </c>
      <c r="C465" s="608">
        <v>39759</v>
      </c>
      <c r="D465" s="812">
        <v>99709</v>
      </c>
      <c r="E465" s="812" t="s">
        <v>1600</v>
      </c>
      <c r="F465" s="133">
        <v>2.7318131912620283</v>
      </c>
      <c r="G465" s="133">
        <v>0.77779239017314938</v>
      </c>
      <c r="H465" s="133">
        <v>1.2285717687880697</v>
      </c>
      <c r="I465" s="133">
        <v>0.73415306800549052</v>
      </c>
      <c r="J465" s="133">
        <v>0.73415306800549052</v>
      </c>
      <c r="K465" s="133">
        <v>4.2733222969859361E-2</v>
      </c>
      <c r="L465" s="133">
        <v>7.5637287240650917</v>
      </c>
      <c r="M465" s="45">
        <v>15798.049911338452</v>
      </c>
    </row>
    <row r="466" spans="1:13" x14ac:dyDescent="0.25">
      <c r="A466" s="812" t="s">
        <v>1999</v>
      </c>
      <c r="B466" s="812">
        <v>6</v>
      </c>
      <c r="C466" s="608">
        <v>39759</v>
      </c>
      <c r="D466" s="812">
        <v>99712</v>
      </c>
      <c r="E466" s="812" t="s">
        <v>1601</v>
      </c>
      <c r="F466" s="133">
        <v>1.4176809869675988</v>
      </c>
      <c r="G466" s="133">
        <v>0.24849982207098942</v>
      </c>
      <c r="H466" s="133">
        <v>0.44010879415939552</v>
      </c>
      <c r="I466" s="133">
        <v>0.38123886741542712</v>
      </c>
      <c r="J466" s="133">
        <v>0.38123886741542712</v>
      </c>
      <c r="K466" s="133">
        <v>1.8243202207174101E-2</v>
      </c>
      <c r="L466" s="133">
        <v>3.9654535849532944</v>
      </c>
      <c r="M466" s="45">
        <v>5156.5591459667849</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5.9882341024029396E-5</v>
      </c>
      <c r="G478" s="133">
        <v>1.3823153150547304E-3</v>
      </c>
      <c r="H478" s="133">
        <v>7.4357338809963682E-4</v>
      </c>
      <c r="I478" s="133">
        <v>5.193466064056044E-5</v>
      </c>
      <c r="J478" s="133">
        <v>5.193466064056044E-5</v>
      </c>
      <c r="K478" s="133">
        <v>6.8064110920377691E-5</v>
      </c>
      <c r="L478" s="133">
        <v>1.5937543756949549E-4</v>
      </c>
      <c r="M478" s="45">
        <v>22.908588927120412</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0.70310137898743097</v>
      </c>
      <c r="G480" s="133">
        <v>0.64061705659531398</v>
      </c>
      <c r="H480" s="133">
        <v>0.77982746592739649</v>
      </c>
      <c r="I480" s="133">
        <v>0.21170190021608148</v>
      </c>
      <c r="J480" s="133">
        <v>0.21170190021608148</v>
      </c>
      <c r="K480" s="133">
        <v>2.7607408364954157E-2</v>
      </c>
      <c r="L480" s="133">
        <v>2.1138371551481581</v>
      </c>
      <c r="M480" s="45">
        <v>11999.613366797987</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1.6886344521615287E-2</v>
      </c>
      <c r="G482" s="133">
        <v>1.2835530586577945E-2</v>
      </c>
      <c r="H482" s="133">
        <v>1.8044477193366871E-2</v>
      </c>
      <c r="I482" s="133">
        <v>5.7155777995144255E-3</v>
      </c>
      <c r="J482" s="133">
        <v>5.7155777995144255E-3</v>
      </c>
      <c r="K482" s="133">
        <v>5.1413036813838524E-4</v>
      </c>
      <c r="L482" s="133">
        <v>6.1093148066387673E-2</v>
      </c>
      <c r="M482" s="45">
        <v>247.23219531126361</v>
      </c>
    </row>
    <row r="483" spans="1:13" x14ac:dyDescent="0.25">
      <c r="A483" s="812" t="s">
        <v>1999</v>
      </c>
      <c r="B483" s="812">
        <v>7</v>
      </c>
      <c r="C483" s="608">
        <v>39760</v>
      </c>
      <c r="D483" s="812">
        <v>99705</v>
      </c>
      <c r="E483" s="812" t="s">
        <v>1599</v>
      </c>
      <c r="F483" s="133">
        <v>2.8766071095980523</v>
      </c>
      <c r="G483" s="133">
        <v>0.60622063782353341</v>
      </c>
      <c r="H483" s="133">
        <v>1.0160550204998056</v>
      </c>
      <c r="I483" s="133">
        <v>0.88423510512145709</v>
      </c>
      <c r="J483" s="133">
        <v>0.88423510512145709</v>
      </c>
      <c r="K483" s="133">
        <v>4.135981695558797E-2</v>
      </c>
      <c r="L483" s="133">
        <v>9.6472468021926403</v>
      </c>
      <c r="M483" s="45">
        <v>12442.091520644934</v>
      </c>
    </row>
    <row r="484" spans="1:13" x14ac:dyDescent="0.25">
      <c r="A484" s="812" t="s">
        <v>1999</v>
      </c>
      <c r="B484" s="812">
        <v>7</v>
      </c>
      <c r="C484" s="608">
        <v>39760</v>
      </c>
      <c r="D484" s="812">
        <v>99709</v>
      </c>
      <c r="E484" s="812" t="s">
        <v>1600</v>
      </c>
      <c r="F484" s="133">
        <v>2.54305759959004</v>
      </c>
      <c r="G484" s="133">
        <v>0.7517023317522189</v>
      </c>
      <c r="H484" s="133">
        <v>1.1829660247472418</v>
      </c>
      <c r="I484" s="133">
        <v>0.70150525391054697</v>
      </c>
      <c r="J484" s="133">
        <v>0.70150525391054697</v>
      </c>
      <c r="K484" s="133">
        <v>4.1142695225329623E-2</v>
      </c>
      <c r="L484" s="133">
        <v>7.3154914811303895</v>
      </c>
      <c r="M484" s="45">
        <v>15272.766709297859</v>
      </c>
    </row>
    <row r="485" spans="1:13" x14ac:dyDescent="0.25">
      <c r="A485" s="812" t="s">
        <v>1999</v>
      </c>
      <c r="B485" s="812">
        <v>7</v>
      </c>
      <c r="C485" s="608">
        <v>39760</v>
      </c>
      <c r="D485" s="812">
        <v>99712</v>
      </c>
      <c r="E485" s="812" t="s">
        <v>1601</v>
      </c>
      <c r="F485" s="133">
        <v>1.37135854550627</v>
      </c>
      <c r="G485" s="133">
        <v>0.24877960713640421</v>
      </c>
      <c r="H485" s="133">
        <v>0.44101522456084896</v>
      </c>
      <c r="I485" s="133">
        <v>0.37807638730073911</v>
      </c>
      <c r="J485" s="133">
        <v>0.37807638730073911</v>
      </c>
      <c r="K485" s="133">
        <v>1.8030464297419113E-2</v>
      </c>
      <c r="L485" s="133">
        <v>3.9855964808267852</v>
      </c>
      <c r="M485" s="45">
        <v>5166.5557144762433</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5.8174504725665575E-5</v>
      </c>
      <c r="G497" s="133">
        <v>1.3392002331886034E-3</v>
      </c>
      <c r="H497" s="133">
        <v>7.1309773201079735E-4</v>
      </c>
      <c r="I497" s="133">
        <v>5.0840981677786784E-5</v>
      </c>
      <c r="J497" s="133">
        <v>5.0840981677786784E-5</v>
      </c>
      <c r="K497" s="133">
        <v>6.8005435044024904E-5</v>
      </c>
      <c r="L497" s="133">
        <v>1.5830272078684167E-4</v>
      </c>
      <c r="M497" s="45">
        <v>22.245095722847228</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0.75398576134234097</v>
      </c>
      <c r="G499" s="133">
        <v>0.66308785083811839</v>
      </c>
      <c r="H499" s="133">
        <v>0.81681945333128347</v>
      </c>
      <c r="I499" s="133">
        <v>0.22542644517848789</v>
      </c>
      <c r="J499" s="133">
        <v>0.22542644517848789</v>
      </c>
      <c r="K499" s="133">
        <v>2.8198846415353935E-2</v>
      </c>
      <c r="L499" s="133">
        <v>2.2548970741926349</v>
      </c>
      <c r="M499" s="45">
        <v>12440.108844687953</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1.8445958395410293E-2</v>
      </c>
      <c r="G501" s="133">
        <v>1.3488817734539926E-2</v>
      </c>
      <c r="H501" s="133">
        <v>1.9262804124295312E-2</v>
      </c>
      <c r="I501" s="133">
        <v>6.1983413707775532E-3</v>
      </c>
      <c r="J501" s="133">
        <v>6.1983413707775532E-3</v>
      </c>
      <c r="K501" s="133">
        <v>5.3380924804433897E-4</v>
      </c>
      <c r="L501" s="133">
        <v>6.6381259202754908E-2</v>
      </c>
      <c r="M501" s="45">
        <v>260.72725724202598</v>
      </c>
    </row>
    <row r="502" spans="1:13" x14ac:dyDescent="0.25">
      <c r="A502" s="812" t="s">
        <v>1999</v>
      </c>
      <c r="B502" s="812">
        <v>8</v>
      </c>
      <c r="C502" s="608">
        <v>39761</v>
      </c>
      <c r="D502" s="812">
        <v>99705</v>
      </c>
      <c r="E502" s="812" t="s">
        <v>1599</v>
      </c>
      <c r="F502" s="133">
        <v>3.1103510107969647</v>
      </c>
      <c r="G502" s="133">
        <v>0.64472063079582831</v>
      </c>
      <c r="H502" s="133">
        <v>1.0838442515662483</v>
      </c>
      <c r="I502" s="133">
        <v>0.95284464633910249</v>
      </c>
      <c r="J502" s="133">
        <v>0.95284464633910249</v>
      </c>
      <c r="K502" s="133">
        <v>4.4320716786388901E-2</v>
      </c>
      <c r="L502" s="133">
        <v>10.408719950774559</v>
      </c>
      <c r="M502" s="45">
        <v>13233.377055001656</v>
      </c>
    </row>
    <row r="503" spans="1:13" x14ac:dyDescent="0.25">
      <c r="A503" s="812" t="s">
        <v>1999</v>
      </c>
      <c r="B503" s="812">
        <v>8</v>
      </c>
      <c r="C503" s="608">
        <v>39761</v>
      </c>
      <c r="D503" s="812">
        <v>99709</v>
      </c>
      <c r="E503" s="812" t="s">
        <v>1600</v>
      </c>
      <c r="F503" s="133">
        <v>2.3629027275176164</v>
      </c>
      <c r="G503" s="133">
        <v>0.7370105554308588</v>
      </c>
      <c r="H503" s="133">
        <v>1.1514497599988434</v>
      </c>
      <c r="I503" s="133">
        <v>0.65816537565348743</v>
      </c>
      <c r="J503" s="133">
        <v>0.65816537565348743</v>
      </c>
      <c r="K503" s="133">
        <v>3.9257243701665397E-2</v>
      </c>
      <c r="L503" s="133">
        <v>6.8709798884629842</v>
      </c>
      <c r="M503" s="45">
        <v>14938.194974641869</v>
      </c>
    </row>
    <row r="504" spans="1:13" x14ac:dyDescent="0.25">
      <c r="A504" s="812" t="s">
        <v>1999</v>
      </c>
      <c r="B504" s="812">
        <v>8</v>
      </c>
      <c r="C504" s="608">
        <v>39761</v>
      </c>
      <c r="D504" s="812">
        <v>99712</v>
      </c>
      <c r="E504" s="812" t="s">
        <v>1601</v>
      </c>
      <c r="F504" s="133">
        <v>1.168840467395228</v>
      </c>
      <c r="G504" s="133">
        <v>0.22389737708968174</v>
      </c>
      <c r="H504" s="133">
        <v>0.39440059530962585</v>
      </c>
      <c r="I504" s="133">
        <v>0.32742492832362008</v>
      </c>
      <c r="J504" s="133">
        <v>0.32742492832362008</v>
      </c>
      <c r="K504" s="133">
        <v>1.571878368018496E-2</v>
      </c>
      <c r="L504" s="133">
        <v>3.4579597527771901</v>
      </c>
      <c r="M504" s="45">
        <v>4647.3783007008024</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5.9313062257908125E-5</v>
      </c>
      <c r="G516" s="133">
        <v>1.367943621099355E-3</v>
      </c>
      <c r="H516" s="133">
        <v>7.3341483607002348E-4</v>
      </c>
      <c r="I516" s="133">
        <v>5.1570100986302548E-5</v>
      </c>
      <c r="J516" s="133">
        <v>5.1570100986302548E-5</v>
      </c>
      <c r="K516" s="133">
        <v>6.804455229492678E-5</v>
      </c>
      <c r="L516" s="133">
        <v>1.5901786530861088E-4</v>
      </c>
      <c r="M516" s="45">
        <v>22.687424525696017</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0.66139691806085932</v>
      </c>
      <c r="G518" s="133">
        <v>0.57984025754552948</v>
      </c>
      <c r="H518" s="133">
        <v>0.71554932752380185</v>
      </c>
      <c r="I518" s="133">
        <v>0.19707593432997145</v>
      </c>
      <c r="J518" s="133">
        <v>0.19707593432997145</v>
      </c>
      <c r="K518" s="133">
        <v>2.6995277729063686E-2</v>
      </c>
      <c r="L518" s="133">
        <v>1.9589544312649558</v>
      </c>
      <c r="M518" s="45">
        <v>10989.390109736498</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1.6312543049649804E-2</v>
      </c>
      <c r="G520" s="133">
        <v>1.1852220737248516E-2</v>
      </c>
      <c r="H520" s="133">
        <v>1.703113062362217E-2</v>
      </c>
      <c r="I520" s="133">
        <v>5.430839676639156E-3</v>
      </c>
      <c r="J520" s="133">
        <v>5.430839676639156E-3</v>
      </c>
      <c r="K520" s="133">
        <v>5.0249774966308028E-4</v>
      </c>
      <c r="L520" s="133">
        <v>5.7670460747983689E-2</v>
      </c>
      <c r="M520" s="45">
        <v>231.25334389379719</v>
      </c>
    </row>
    <row r="521" spans="1:13" x14ac:dyDescent="0.25">
      <c r="A521" s="812" t="s">
        <v>1999</v>
      </c>
      <c r="B521" s="812">
        <v>9</v>
      </c>
      <c r="C521" s="608">
        <v>39762</v>
      </c>
      <c r="D521" s="812">
        <v>99705</v>
      </c>
      <c r="E521" s="812" t="s">
        <v>1599</v>
      </c>
      <c r="F521" s="133">
        <v>2.6664702122493753</v>
      </c>
      <c r="G521" s="133">
        <v>0.55012578828360514</v>
      </c>
      <c r="H521" s="133">
        <v>0.92596379614326285</v>
      </c>
      <c r="I521" s="133">
        <v>0.80495839151393467</v>
      </c>
      <c r="J521" s="133">
        <v>0.80495839151393467</v>
      </c>
      <c r="K521" s="133">
        <v>3.7931160406575536E-2</v>
      </c>
      <c r="L521" s="133">
        <v>8.6620889926873428</v>
      </c>
      <c r="M521" s="45">
        <v>11334.864679528891</v>
      </c>
    </row>
    <row r="522" spans="1:13" x14ac:dyDescent="0.25">
      <c r="A522" s="812" t="s">
        <v>1999</v>
      </c>
      <c r="B522" s="812">
        <v>9</v>
      </c>
      <c r="C522" s="608">
        <v>39762</v>
      </c>
      <c r="D522" s="812">
        <v>99709</v>
      </c>
      <c r="E522" s="812" t="s">
        <v>1600</v>
      </c>
      <c r="F522" s="133">
        <v>2.0364645109701973</v>
      </c>
      <c r="G522" s="133">
        <v>0.64336008293032521</v>
      </c>
      <c r="H522" s="133">
        <v>1.0088555930740393</v>
      </c>
      <c r="I522" s="133">
        <v>0.56335651529990571</v>
      </c>
      <c r="J522" s="133">
        <v>0.56335651529990571</v>
      </c>
      <c r="K522" s="133">
        <v>3.526548921683411E-2</v>
      </c>
      <c r="L522" s="133">
        <v>5.8236521031538153</v>
      </c>
      <c r="M522" s="45">
        <v>13122.529888380905</v>
      </c>
    </row>
    <row r="523" spans="1:13" x14ac:dyDescent="0.25">
      <c r="A523" s="812" t="s">
        <v>1999</v>
      </c>
      <c r="B523" s="812">
        <v>9</v>
      </c>
      <c r="C523" s="608">
        <v>39762</v>
      </c>
      <c r="D523" s="812">
        <v>99712</v>
      </c>
      <c r="E523" s="812" t="s">
        <v>1601</v>
      </c>
      <c r="F523" s="133">
        <v>1.0380600296851683</v>
      </c>
      <c r="G523" s="133">
        <v>0.19869688437238514</v>
      </c>
      <c r="H523" s="133">
        <v>0.35209423843503029</v>
      </c>
      <c r="I523" s="133">
        <v>0.28727561187450729</v>
      </c>
      <c r="J523" s="133">
        <v>0.28727561187450729</v>
      </c>
      <c r="K523" s="133">
        <v>1.3928117239035413E-2</v>
      </c>
      <c r="L523" s="133">
        <v>2.9922764540877322</v>
      </c>
      <c r="M523" s="45">
        <v>4143.0339462844531</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5.1912438298331548E-5</v>
      </c>
      <c r="G535" s="133">
        <v>1.1811115996794696E-3</v>
      </c>
      <c r="H535" s="133">
        <v>6.0135365968505181E-4</v>
      </c>
      <c r="I535" s="133">
        <v>4.6830825480949997E-5</v>
      </c>
      <c r="J535" s="133">
        <v>4.6830825480949997E-5</v>
      </c>
      <c r="K535" s="133">
        <v>6.7790290164064583E-5</v>
      </c>
      <c r="L535" s="133">
        <v>1.5436942591711089E-4</v>
      </c>
      <c r="M535" s="45">
        <v>19.812287307178892</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0.59109715463933232</v>
      </c>
      <c r="G537" s="133">
        <v>0.55259122986135756</v>
      </c>
      <c r="H537" s="133">
        <v>0.66786927172749444</v>
      </c>
      <c r="I537" s="133">
        <v>0.17863765005848195</v>
      </c>
      <c r="J537" s="133">
        <v>0.17863765005848195</v>
      </c>
      <c r="K537" s="133">
        <v>2.6190883837424614E-2</v>
      </c>
      <c r="L537" s="133">
        <v>1.7706827214937837</v>
      </c>
      <c r="M537" s="45">
        <v>10441.192499921732</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1.4689530351646373E-2</v>
      </c>
      <c r="G539" s="133">
        <v>1.1178160102320997E-2</v>
      </c>
      <c r="H539" s="133">
        <v>1.5767887633329022E-2</v>
      </c>
      <c r="I539" s="133">
        <v>4.9286623370714709E-3</v>
      </c>
      <c r="J539" s="133">
        <v>4.9286623370714709E-3</v>
      </c>
      <c r="K539" s="133">
        <v>4.8202556009102143E-4</v>
      </c>
      <c r="L539" s="133">
        <v>5.2168167858373214E-2</v>
      </c>
      <c r="M539" s="45">
        <v>217.29628306980527</v>
      </c>
    </row>
    <row r="540" spans="1:13" x14ac:dyDescent="0.25">
      <c r="A540" s="812" t="s">
        <v>1999</v>
      </c>
      <c r="B540" s="812">
        <v>10</v>
      </c>
      <c r="C540" s="608">
        <v>39763</v>
      </c>
      <c r="D540" s="812">
        <v>99705</v>
      </c>
      <c r="E540" s="812" t="s">
        <v>1599</v>
      </c>
      <c r="F540" s="133">
        <v>2.4692994091513021</v>
      </c>
      <c r="G540" s="133">
        <v>0.51956040245938717</v>
      </c>
      <c r="H540" s="133">
        <v>0.87246239459479058</v>
      </c>
      <c r="I540" s="133">
        <v>0.74971715861695998</v>
      </c>
      <c r="J540" s="133">
        <v>0.74971715861695998</v>
      </c>
      <c r="K540" s="133">
        <v>3.5531597949737856E-2</v>
      </c>
      <c r="L540" s="133">
        <v>8.0601669330802679</v>
      </c>
      <c r="M540" s="45">
        <v>10707.93699441983</v>
      </c>
    </row>
    <row r="541" spans="1:13" x14ac:dyDescent="0.25">
      <c r="A541" s="812" t="s">
        <v>1999</v>
      </c>
      <c r="B541" s="812">
        <v>10</v>
      </c>
      <c r="C541" s="608">
        <v>39763</v>
      </c>
      <c r="D541" s="812">
        <v>99709</v>
      </c>
      <c r="E541" s="812" t="s">
        <v>1600</v>
      </c>
      <c r="F541" s="133">
        <v>1.8921478440758699</v>
      </c>
      <c r="G541" s="133">
        <v>0.61569115117821061</v>
      </c>
      <c r="H541" s="133">
        <v>0.95982486997338501</v>
      </c>
      <c r="I541" s="133">
        <v>0.52759202854093856</v>
      </c>
      <c r="J541" s="133">
        <v>0.52759202854093856</v>
      </c>
      <c r="K541" s="133">
        <v>3.3707649901925096E-2</v>
      </c>
      <c r="L541" s="133">
        <v>5.457875853261168</v>
      </c>
      <c r="M541" s="45">
        <v>12553.584481462851</v>
      </c>
    </row>
    <row r="542" spans="1:13" x14ac:dyDescent="0.25">
      <c r="A542" s="812" t="s">
        <v>1999</v>
      </c>
      <c r="B542" s="812">
        <v>10</v>
      </c>
      <c r="C542" s="608">
        <v>39763</v>
      </c>
      <c r="D542" s="812">
        <v>99712</v>
      </c>
      <c r="E542" s="812" t="s">
        <v>1601</v>
      </c>
      <c r="F542" s="133">
        <v>0.95423352353835034</v>
      </c>
      <c r="G542" s="133">
        <v>0.18745662900173035</v>
      </c>
      <c r="H542" s="133">
        <v>0.33156304813774728</v>
      </c>
      <c r="I542" s="133">
        <v>0.26646802469475073</v>
      </c>
      <c r="J542" s="133">
        <v>0.26646802469475073</v>
      </c>
      <c r="K542" s="133">
        <v>1.2979336491234431E-2</v>
      </c>
      <c r="L542" s="133">
        <v>2.7768984877174434</v>
      </c>
      <c r="M542" s="45">
        <v>3910.8124092488483</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5.0773880766088992E-5</v>
      </c>
      <c r="G554" s="133">
        <v>1.1523682117687175E-3</v>
      </c>
      <c r="H554" s="133">
        <v>5.8103655562582557E-4</v>
      </c>
      <c r="I554" s="133">
        <v>4.610170617243422E-5</v>
      </c>
      <c r="J554" s="133">
        <v>4.610170617243422E-5</v>
      </c>
      <c r="K554" s="133">
        <v>6.7751172913162706E-5</v>
      </c>
      <c r="L554" s="133">
        <v>1.5365428139534166E-4</v>
      </c>
      <c r="M554" s="45">
        <v>19.369958504330103</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0.58996795614494668</v>
      </c>
      <c r="G556" s="133">
        <v>0.54776457757547636</v>
      </c>
      <c r="H556" s="133">
        <v>0.66360958538162007</v>
      </c>
      <c r="I556" s="133">
        <v>0.17799520629859189</v>
      </c>
      <c r="J556" s="133">
        <v>0.17799520629859189</v>
      </c>
      <c r="K556" s="133">
        <v>2.6168608146136984E-2</v>
      </c>
      <c r="L556" s="133">
        <v>1.7639798961602966</v>
      </c>
      <c r="M556" s="45">
        <v>10365.171559983048</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1.4416074847639572E-2</v>
      </c>
      <c r="G558" s="133">
        <v>1.101498544481702E-2</v>
      </c>
      <c r="H558" s="133">
        <v>1.5511613641270374E-2</v>
      </c>
      <c r="I558" s="133">
        <v>4.841889444714669E-3</v>
      </c>
      <c r="J558" s="133">
        <v>4.841889444714669E-3</v>
      </c>
      <c r="K558" s="133">
        <v>4.7853844422466571E-4</v>
      </c>
      <c r="L558" s="133">
        <v>5.1229323404204184E-2</v>
      </c>
      <c r="M558" s="45">
        <v>214.18028726517679</v>
      </c>
    </row>
    <row r="559" spans="1:13" x14ac:dyDescent="0.25">
      <c r="A559" s="812" t="s">
        <v>1999</v>
      </c>
      <c r="B559" s="812">
        <v>11</v>
      </c>
      <c r="C559" s="608">
        <v>39764</v>
      </c>
      <c r="D559" s="812">
        <v>99705</v>
      </c>
      <c r="E559" s="812" t="s">
        <v>1599</v>
      </c>
      <c r="F559" s="133">
        <v>2.4853972642243649</v>
      </c>
      <c r="G559" s="133">
        <v>0.5208683805512252</v>
      </c>
      <c r="H559" s="133">
        <v>0.87593432854087794</v>
      </c>
      <c r="I559" s="133">
        <v>0.75387846047647722</v>
      </c>
      <c r="J559" s="133">
        <v>0.75387846047647722</v>
      </c>
      <c r="K559" s="133">
        <v>3.5729158776639708E-2</v>
      </c>
      <c r="L559" s="133">
        <v>8.1045075382095568</v>
      </c>
      <c r="M559" s="45">
        <v>10739.388028277306</v>
      </c>
    </row>
    <row r="560" spans="1:13" x14ac:dyDescent="0.25">
      <c r="A560" s="812" t="s">
        <v>1999</v>
      </c>
      <c r="B560" s="812">
        <v>11</v>
      </c>
      <c r="C560" s="608">
        <v>39764</v>
      </c>
      <c r="D560" s="812">
        <v>99709</v>
      </c>
      <c r="E560" s="812" t="s">
        <v>1600</v>
      </c>
      <c r="F560" s="133">
        <v>2.0382644250260551</v>
      </c>
      <c r="G560" s="133">
        <v>0.63181373070280233</v>
      </c>
      <c r="H560" s="133">
        <v>0.99311817873662533</v>
      </c>
      <c r="I560" s="133">
        <v>0.56323334056376617</v>
      </c>
      <c r="J560" s="133">
        <v>0.56323334056376617</v>
      </c>
      <c r="K560" s="133">
        <v>3.5270325368731342E-2</v>
      </c>
      <c r="L560" s="133">
        <v>5.8243604868753653</v>
      </c>
      <c r="M560" s="45">
        <v>12910.396554701223</v>
      </c>
    </row>
    <row r="561" spans="1:13" x14ac:dyDescent="0.25">
      <c r="A561" s="812" t="s">
        <v>1999</v>
      </c>
      <c r="B561" s="812">
        <v>11</v>
      </c>
      <c r="C561" s="608">
        <v>39764</v>
      </c>
      <c r="D561" s="812">
        <v>99712</v>
      </c>
      <c r="E561" s="812" t="s">
        <v>1601</v>
      </c>
      <c r="F561" s="133">
        <v>1.0789505872381746</v>
      </c>
      <c r="G561" s="133">
        <v>0.20282281462867913</v>
      </c>
      <c r="H561" s="133">
        <v>0.36022599485080764</v>
      </c>
      <c r="I561" s="133">
        <v>0.29773147235350206</v>
      </c>
      <c r="J561" s="133">
        <v>0.29773147235350206</v>
      </c>
      <c r="K561" s="133">
        <v>1.4406179577381736E-2</v>
      </c>
      <c r="L561" s="133">
        <v>3.1029956874552314</v>
      </c>
      <c r="M561" s="45">
        <v>4230.83494562121</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5.0204601999967714E-5</v>
      </c>
      <c r="G573" s="133">
        <v>1.1379965178133417E-3</v>
      </c>
      <c r="H573" s="133">
        <v>5.7087800359621234E-4</v>
      </c>
      <c r="I573" s="133">
        <v>4.5737146518176321E-5</v>
      </c>
      <c r="J573" s="133">
        <v>4.5737146518176321E-5</v>
      </c>
      <c r="K573" s="133">
        <v>6.7731614287711795E-5</v>
      </c>
      <c r="L573" s="133">
        <v>1.5329670913445708E-4</v>
      </c>
      <c r="M573" s="45">
        <v>19.148794102905708</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0.62554539238966522</v>
      </c>
      <c r="G575" s="133">
        <v>0.58208035355512056</v>
      </c>
      <c r="H575" s="133">
        <v>0.70155387627020316</v>
      </c>
      <c r="I575" s="133">
        <v>0.18753696598587108</v>
      </c>
      <c r="J575" s="133">
        <v>0.18753696598587108</v>
      </c>
      <c r="K575" s="133">
        <v>2.6590371161163983E-2</v>
      </c>
      <c r="L575" s="133">
        <v>1.8548501451732673</v>
      </c>
      <c r="M575" s="45">
        <v>10942.902147384759</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1.517379269216451E-2</v>
      </c>
      <c r="G577" s="133">
        <v>1.1643742494919864E-2</v>
      </c>
      <c r="H577" s="133">
        <v>1.627789550744194E-2</v>
      </c>
      <c r="I577" s="133">
        <v>5.0810514584195103E-3</v>
      </c>
      <c r="J577" s="133">
        <v>5.0810514584195103E-3</v>
      </c>
      <c r="K577" s="133">
        <v>4.8881970130390344E-4</v>
      </c>
      <c r="L577" s="133">
        <v>5.3744393109997408E-2</v>
      </c>
      <c r="M577" s="45">
        <v>224.98642313014534</v>
      </c>
    </row>
    <row r="578" spans="1:13" x14ac:dyDescent="0.25">
      <c r="A578" s="812" t="s">
        <v>1999</v>
      </c>
      <c r="B578" s="812">
        <v>12</v>
      </c>
      <c r="C578" s="608">
        <v>39765</v>
      </c>
      <c r="D578" s="812">
        <v>99705</v>
      </c>
      <c r="E578" s="812" t="s">
        <v>1599</v>
      </c>
      <c r="F578" s="133">
        <v>2.6966821676144068</v>
      </c>
      <c r="G578" s="133">
        <v>0.55918561678515488</v>
      </c>
      <c r="H578" s="133">
        <v>0.93965134382655546</v>
      </c>
      <c r="I578" s="133">
        <v>0.81557273397938157</v>
      </c>
      <c r="J578" s="133">
        <v>0.81557273397938157</v>
      </c>
      <c r="K578" s="133">
        <v>3.8404977867624646E-2</v>
      </c>
      <c r="L578" s="133">
        <v>8.7866979565024295</v>
      </c>
      <c r="M578" s="45">
        <v>11507.66174718189</v>
      </c>
    </row>
    <row r="579" spans="1:13" x14ac:dyDescent="0.25">
      <c r="A579" s="812" t="s">
        <v>1999</v>
      </c>
      <c r="B579" s="812">
        <v>12</v>
      </c>
      <c r="C579" s="608">
        <v>39765</v>
      </c>
      <c r="D579" s="812">
        <v>99709</v>
      </c>
      <c r="E579" s="812" t="s">
        <v>1600</v>
      </c>
      <c r="F579" s="133">
        <v>2.3001674461722512</v>
      </c>
      <c r="G579" s="133">
        <v>0.68317053908838243</v>
      </c>
      <c r="H579" s="133">
        <v>1.0736490702153141</v>
      </c>
      <c r="I579" s="133">
        <v>0.62856874580907007</v>
      </c>
      <c r="J579" s="133">
        <v>0.62856874580907007</v>
      </c>
      <c r="K579" s="133">
        <v>3.8103221674159277E-2</v>
      </c>
      <c r="L579" s="133">
        <v>6.4954927313225692</v>
      </c>
      <c r="M579" s="45">
        <v>13917.777240589014</v>
      </c>
    </row>
    <row r="580" spans="1:13" x14ac:dyDescent="0.25">
      <c r="A580" s="812" t="s">
        <v>1999</v>
      </c>
      <c r="B580" s="812">
        <v>12</v>
      </c>
      <c r="C580" s="608">
        <v>39765</v>
      </c>
      <c r="D580" s="812">
        <v>99712</v>
      </c>
      <c r="E580" s="812" t="s">
        <v>1601</v>
      </c>
      <c r="F580" s="133">
        <v>1.2803386408797657</v>
      </c>
      <c r="G580" s="133">
        <v>0.22995582118993993</v>
      </c>
      <c r="H580" s="133">
        <v>0.40853200533691747</v>
      </c>
      <c r="I580" s="133">
        <v>0.3488969355992162</v>
      </c>
      <c r="J580" s="133">
        <v>0.3488969355992162</v>
      </c>
      <c r="K580" s="133">
        <v>1.6731625036047464E-2</v>
      </c>
      <c r="L580" s="133">
        <v>3.6395120533205096</v>
      </c>
      <c r="M580" s="45">
        <v>4785.6883454929166</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5.3620274596695363E-5</v>
      </c>
      <c r="G592" s="133">
        <v>1.2242266815455968E-3</v>
      </c>
      <c r="H592" s="133">
        <v>6.3182931577389139E-4</v>
      </c>
      <c r="I592" s="133">
        <v>4.7924504443723653E-5</v>
      </c>
      <c r="J592" s="133">
        <v>4.7924504443723653E-5</v>
      </c>
      <c r="K592" s="133">
        <v>6.7848966040417384E-5</v>
      </c>
      <c r="L592" s="133">
        <v>1.554421426997647E-4</v>
      </c>
      <c r="M592" s="45">
        <v>20.475780511452076</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0.72454253712756511</v>
      </c>
      <c r="G594" s="133">
        <v>0.63803653046689313</v>
      </c>
      <c r="H594" s="133">
        <v>0.78102857096866207</v>
      </c>
      <c r="I594" s="133">
        <v>0.21395697072977615</v>
      </c>
      <c r="J594" s="133">
        <v>0.21395697072977615</v>
      </c>
      <c r="K594" s="133">
        <v>2.7740798855801205E-2</v>
      </c>
      <c r="L594" s="133">
        <v>2.1203943148974682</v>
      </c>
      <c r="M594" s="45">
        <v>11974.98777875666</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1.7617862554965582E-2</v>
      </c>
      <c r="G596" s="133">
        <v>1.2936231329610165E-2</v>
      </c>
      <c r="H596" s="133">
        <v>1.8391363970165497E-2</v>
      </c>
      <c r="I596" s="133">
        <v>5.8464742277054386E-3</v>
      </c>
      <c r="J596" s="133">
        <v>5.8464742277054386E-3</v>
      </c>
      <c r="K596" s="133">
        <v>5.2001614314005611E-4</v>
      </c>
      <c r="L596" s="133">
        <v>6.2054733093607907E-2</v>
      </c>
      <c r="M596" s="45">
        <v>250.10219374504877</v>
      </c>
    </row>
    <row r="597" spans="1:13" x14ac:dyDescent="0.25">
      <c r="A597" s="812" t="s">
        <v>1999</v>
      </c>
      <c r="B597" s="812">
        <v>13</v>
      </c>
      <c r="C597" s="608">
        <v>39766</v>
      </c>
      <c r="D597" s="812">
        <v>99705</v>
      </c>
      <c r="E597" s="812" t="s">
        <v>1599</v>
      </c>
      <c r="F597" s="133">
        <v>3.0112305226323883</v>
      </c>
      <c r="G597" s="133">
        <v>0.61560749856972452</v>
      </c>
      <c r="H597" s="133">
        <v>1.0354204361347317</v>
      </c>
      <c r="I597" s="133">
        <v>0.90840359171412044</v>
      </c>
      <c r="J597" s="133">
        <v>0.90840359171412044</v>
      </c>
      <c r="K597" s="133">
        <v>4.2414447370451247E-2</v>
      </c>
      <c r="L597" s="133">
        <v>9.8176752990691885</v>
      </c>
      <c r="M597" s="45">
        <v>12649.056945243823</v>
      </c>
    </row>
    <row r="598" spans="1:13" x14ac:dyDescent="0.25">
      <c r="A598" s="812" t="s">
        <v>1999</v>
      </c>
      <c r="B598" s="812">
        <v>13</v>
      </c>
      <c r="C598" s="608">
        <v>39766</v>
      </c>
      <c r="D598" s="812">
        <v>99709</v>
      </c>
      <c r="E598" s="812" t="s">
        <v>1600</v>
      </c>
      <c r="F598" s="133">
        <v>2.3652638146805036</v>
      </c>
      <c r="G598" s="133">
        <v>0.71688058095676566</v>
      </c>
      <c r="H598" s="133">
        <v>1.1216741417964475</v>
      </c>
      <c r="I598" s="133">
        <v>0.64575095259175941</v>
      </c>
      <c r="J598" s="133">
        <v>0.64575095259175941</v>
      </c>
      <c r="K598" s="133">
        <v>3.8838489217135827E-2</v>
      </c>
      <c r="L598" s="133">
        <v>6.6683778219611005</v>
      </c>
      <c r="M598" s="45">
        <v>14550.079986730663</v>
      </c>
    </row>
    <row r="599" spans="1:13" x14ac:dyDescent="0.25">
      <c r="A599" s="812" t="s">
        <v>1999</v>
      </c>
      <c r="B599" s="812">
        <v>13</v>
      </c>
      <c r="C599" s="608">
        <v>39766</v>
      </c>
      <c r="D599" s="812">
        <v>99712</v>
      </c>
      <c r="E599" s="812" t="s">
        <v>1601</v>
      </c>
      <c r="F599" s="133">
        <v>1.2168599426666638</v>
      </c>
      <c r="G599" s="133">
        <v>0.22310573534253</v>
      </c>
      <c r="H599" s="133">
        <v>0.39403327133612731</v>
      </c>
      <c r="I599" s="133">
        <v>0.33212720439015203</v>
      </c>
      <c r="J599" s="133">
        <v>0.33212720439015203</v>
      </c>
      <c r="K599" s="133">
        <v>1.5981925908359795E-2</v>
      </c>
      <c r="L599" s="133">
        <v>3.4598638000465147</v>
      </c>
      <c r="M599" s="45">
        <v>4634.4393764551605</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5.7605225959544276E-5</v>
      </c>
      <c r="G611" s="133">
        <v>1.3248285392332272E-3</v>
      </c>
      <c r="H611" s="133">
        <v>7.0293917998118368E-4</v>
      </c>
      <c r="I611" s="133">
        <v>5.0476422023528878E-5</v>
      </c>
      <c r="J611" s="133">
        <v>5.0476422023528878E-5</v>
      </c>
      <c r="K611" s="133">
        <v>6.7985876418573938E-5</v>
      </c>
      <c r="L611" s="133">
        <v>1.5794514852595699E-4</v>
      </c>
      <c r="M611" s="45">
        <v>22.023931321422836</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0.72618495746157774</v>
      </c>
      <c r="G613" s="133">
        <v>0.60107551515337521</v>
      </c>
      <c r="H613" s="133">
        <v>0.762149085659656</v>
      </c>
      <c r="I613" s="133">
        <v>0.21688821881003778</v>
      </c>
      <c r="J613" s="133">
        <v>0.21688821881003778</v>
      </c>
      <c r="K613" s="133">
        <v>2.7829516885185923E-2</v>
      </c>
      <c r="L613" s="133">
        <v>2.1803959478019923</v>
      </c>
      <c r="M613" s="45">
        <v>11466.32458701102</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1.7451268274897572E-2</v>
      </c>
      <c r="G615" s="133">
        <v>1.228883814843537E-2</v>
      </c>
      <c r="H615" s="133">
        <v>1.7942122980123581E-2</v>
      </c>
      <c r="I615" s="133">
        <v>5.869257472895178E-3</v>
      </c>
      <c r="J615" s="133">
        <v>5.869257472895178E-3</v>
      </c>
      <c r="K615" s="133">
        <v>5.199618045980749E-4</v>
      </c>
      <c r="L615" s="133">
        <v>6.3007892930437751E-2</v>
      </c>
      <c r="M615" s="45">
        <v>240.84306282083648</v>
      </c>
    </row>
    <row r="616" spans="1:13" x14ac:dyDescent="0.25">
      <c r="A616" s="812" t="s">
        <v>1999</v>
      </c>
      <c r="B616" s="812">
        <v>14</v>
      </c>
      <c r="C616" s="608">
        <v>39767</v>
      </c>
      <c r="D616" s="812">
        <v>99705</v>
      </c>
      <c r="E616" s="812" t="s">
        <v>1599</v>
      </c>
      <c r="F616" s="133">
        <v>2.92934170665671</v>
      </c>
      <c r="G616" s="133">
        <v>0.60497839961626176</v>
      </c>
      <c r="H616" s="133">
        <v>1.0246612502294961</v>
      </c>
      <c r="I616" s="133">
        <v>0.8995001956074532</v>
      </c>
      <c r="J616" s="133">
        <v>0.8995001956074532</v>
      </c>
      <c r="K616" s="133">
        <v>4.2012827934284451E-2</v>
      </c>
      <c r="L616" s="133">
        <v>9.818931006391459</v>
      </c>
      <c r="M616" s="45">
        <v>12469.47270585584</v>
      </c>
    </row>
    <row r="617" spans="1:13" x14ac:dyDescent="0.25">
      <c r="A617" s="812" t="s">
        <v>1999</v>
      </c>
      <c r="B617" s="812">
        <v>14</v>
      </c>
      <c r="C617" s="608">
        <v>39767</v>
      </c>
      <c r="D617" s="812">
        <v>99709</v>
      </c>
      <c r="E617" s="812" t="s">
        <v>1600</v>
      </c>
      <c r="F617" s="133">
        <v>2.5369758638258721</v>
      </c>
      <c r="G617" s="133">
        <v>0.72581793605791178</v>
      </c>
      <c r="H617" s="133">
        <v>1.1675822384708545</v>
      </c>
      <c r="I617" s="133">
        <v>0.7003009614505693</v>
      </c>
      <c r="J617" s="133">
        <v>0.7003009614505693</v>
      </c>
      <c r="K617" s="133">
        <v>4.1075829769336783E-2</v>
      </c>
      <c r="L617" s="133">
        <v>7.3128458440781019</v>
      </c>
      <c r="M617" s="45">
        <v>14892.026230487147</v>
      </c>
    </row>
    <row r="618" spans="1:13" x14ac:dyDescent="0.25">
      <c r="A618" s="812" t="s">
        <v>1999</v>
      </c>
      <c r="B618" s="812">
        <v>14</v>
      </c>
      <c r="C618" s="608">
        <v>39767</v>
      </c>
      <c r="D618" s="812">
        <v>99712</v>
      </c>
      <c r="E618" s="812" t="s">
        <v>1601</v>
      </c>
      <c r="F618" s="133">
        <v>1.3608264836187858</v>
      </c>
      <c r="G618" s="133">
        <v>0.24527085321276249</v>
      </c>
      <c r="H618" s="133">
        <v>0.43745967643548345</v>
      </c>
      <c r="I618" s="133">
        <v>0.37623488419826956</v>
      </c>
      <c r="J618" s="133">
        <v>0.37623488419826956</v>
      </c>
      <c r="K618" s="133">
        <v>1.7933087923211032E-2</v>
      </c>
      <c r="L618" s="133">
        <v>3.9713357045222297</v>
      </c>
      <c r="M618" s="45">
        <v>5107.7637044119147</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5.1912438298331562E-5</v>
      </c>
      <c r="G630" s="133">
        <v>1.1811115996794689E-3</v>
      </c>
      <c r="H630" s="133">
        <v>6.0135365968505181E-4</v>
      </c>
      <c r="I630" s="133">
        <v>4.6830825480949991E-5</v>
      </c>
      <c r="J630" s="133">
        <v>4.6830825480949991E-5</v>
      </c>
      <c r="K630" s="133">
        <v>6.7790290164064596E-5</v>
      </c>
      <c r="L630" s="133">
        <v>1.5436942591711089E-4</v>
      </c>
      <c r="M630" s="45">
        <v>19.812287307178892</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0.65899813613444425</v>
      </c>
      <c r="G632" s="133">
        <v>0.61673407986090889</v>
      </c>
      <c r="H632" s="133">
        <v>0.74586491631462215</v>
      </c>
      <c r="I632" s="133">
        <v>0.20036136166067278</v>
      </c>
      <c r="J632" s="133">
        <v>0.20036136166067278</v>
      </c>
      <c r="K632" s="133">
        <v>2.7104331832509241E-2</v>
      </c>
      <c r="L632" s="133">
        <v>2.0017391780721199</v>
      </c>
      <c r="M632" s="45">
        <v>11559.241609852032</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1.6083335521395299E-2</v>
      </c>
      <c r="G634" s="133">
        <v>1.2372544319086411E-2</v>
      </c>
      <c r="H634" s="133">
        <v>1.7337812637955245E-2</v>
      </c>
      <c r="I634" s="133">
        <v>5.4643645704616876E-3</v>
      </c>
      <c r="J634" s="133">
        <v>5.4643645704616876E-3</v>
      </c>
      <c r="K634" s="133">
        <v>5.0374675485600161E-4</v>
      </c>
      <c r="L634" s="133">
        <v>5.8381390088570045E-2</v>
      </c>
      <c r="M634" s="45">
        <v>238.50841010780201</v>
      </c>
    </row>
    <row r="635" spans="1:13" x14ac:dyDescent="0.25">
      <c r="A635" s="812" t="s">
        <v>1999</v>
      </c>
      <c r="B635" s="812">
        <v>15</v>
      </c>
      <c r="C635" s="608">
        <v>39768</v>
      </c>
      <c r="D635" s="812">
        <v>99705</v>
      </c>
      <c r="E635" s="812" t="s">
        <v>1599</v>
      </c>
      <c r="F635" s="133">
        <v>2.7633657213045053</v>
      </c>
      <c r="G635" s="133">
        <v>0.58574071545305917</v>
      </c>
      <c r="H635" s="133">
        <v>0.98148536730457836</v>
      </c>
      <c r="I635" s="133">
        <v>0.85139371026434452</v>
      </c>
      <c r="J635" s="133">
        <v>0.85139371026434452</v>
      </c>
      <c r="K635" s="133">
        <v>3.9905176208904207E-2</v>
      </c>
      <c r="L635" s="133">
        <v>9.2845591256395164</v>
      </c>
      <c r="M635" s="45">
        <v>12031.245280417503</v>
      </c>
    </row>
    <row r="636" spans="1:13" x14ac:dyDescent="0.25">
      <c r="A636" s="812" t="s">
        <v>1999</v>
      </c>
      <c r="B636" s="812">
        <v>15</v>
      </c>
      <c r="C636" s="608">
        <v>39768</v>
      </c>
      <c r="D636" s="812">
        <v>99709</v>
      </c>
      <c r="E636" s="812" t="s">
        <v>1600</v>
      </c>
      <c r="F636" s="133">
        <v>2.2818570521274903</v>
      </c>
      <c r="G636" s="133">
        <v>0.70696951004049491</v>
      </c>
      <c r="H636" s="133">
        <v>1.1041526176045104</v>
      </c>
      <c r="I636" s="133">
        <v>0.6383639883403821</v>
      </c>
      <c r="J636" s="133">
        <v>0.6383639883403821</v>
      </c>
      <c r="K636" s="133">
        <v>3.8364278730709168E-2</v>
      </c>
      <c r="L636" s="133">
        <v>6.6758271311416095</v>
      </c>
      <c r="M636" s="45">
        <v>14355.113335969421</v>
      </c>
    </row>
    <row r="637" spans="1:13" x14ac:dyDescent="0.25">
      <c r="A637" s="812" t="s">
        <v>1999</v>
      </c>
      <c r="B637" s="812">
        <v>15</v>
      </c>
      <c r="C637" s="608">
        <v>39768</v>
      </c>
      <c r="D637" s="812">
        <v>99712</v>
      </c>
      <c r="E637" s="812" t="s">
        <v>1601</v>
      </c>
      <c r="F637" s="133">
        <v>1.2540795877922151</v>
      </c>
      <c r="G637" s="133">
        <v>0.23381678035692574</v>
      </c>
      <c r="H637" s="133">
        <v>0.41385184348341758</v>
      </c>
      <c r="I637" s="133">
        <v>0.34971814715761307</v>
      </c>
      <c r="J637" s="133">
        <v>0.34971814715761307</v>
      </c>
      <c r="K637" s="133">
        <v>1.6721718462173466E-2</v>
      </c>
      <c r="L637" s="133">
        <v>3.6955807848182576</v>
      </c>
      <c r="M637" s="45">
        <v>4858.9038650529546</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5.6466668427301747E-5</v>
      </c>
      <c r="G649" s="133">
        <v>1.2960851513224756E-3</v>
      </c>
      <c r="H649" s="133">
        <v>6.8262207592195755E-4</v>
      </c>
      <c r="I649" s="133">
        <v>4.9747302715013107E-5</v>
      </c>
      <c r="J649" s="133">
        <v>4.9747302715013107E-5</v>
      </c>
      <c r="K649" s="133">
        <v>6.7946759167672102E-5</v>
      </c>
      <c r="L649" s="133">
        <v>1.5723000400418783E-4</v>
      </c>
      <c r="M649" s="45">
        <v>21.581602518574048</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0.63968848810029244</v>
      </c>
      <c r="G651" s="133">
        <v>0.55697442690218246</v>
      </c>
      <c r="H651" s="133">
        <v>0.69039125367654619</v>
      </c>
      <c r="I651" s="133">
        <v>0.19083999221915018</v>
      </c>
      <c r="J651" s="133">
        <v>0.19083999221915018</v>
      </c>
      <c r="K651" s="133">
        <v>2.6728431339030814E-2</v>
      </c>
      <c r="L651" s="133">
        <v>1.8978770846856605</v>
      </c>
      <c r="M651" s="45">
        <v>10604.739638160758</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1.5718623494286082E-2</v>
      </c>
      <c r="G653" s="133">
        <v>1.1372619211790464E-2</v>
      </c>
      <c r="H653" s="133">
        <v>1.6382432668522063E-2</v>
      </c>
      <c r="I653" s="133">
        <v>5.2385166202002318E-3</v>
      </c>
      <c r="J653" s="133">
        <v>5.2385166202002318E-3</v>
      </c>
      <c r="K653" s="133">
        <v>4.9474238092535512E-4</v>
      </c>
      <c r="L653" s="133">
        <v>5.5624487643288208E-2</v>
      </c>
      <c r="M653" s="45">
        <v>222.65417587636728</v>
      </c>
    </row>
    <row r="654" spans="1:13" x14ac:dyDescent="0.25">
      <c r="A654" s="812" t="s">
        <v>1999</v>
      </c>
      <c r="B654" s="812">
        <v>16</v>
      </c>
      <c r="C654" s="608">
        <v>39769</v>
      </c>
      <c r="D654" s="812">
        <v>99705</v>
      </c>
      <c r="E654" s="812" t="s">
        <v>1599</v>
      </c>
      <c r="F654" s="133">
        <v>2.6412852173450405</v>
      </c>
      <c r="G654" s="133">
        <v>0.54498807439027397</v>
      </c>
      <c r="H654" s="133">
        <v>0.92095583785813118</v>
      </c>
      <c r="I654" s="133">
        <v>0.79970070849154284</v>
      </c>
      <c r="J654" s="133">
        <v>0.79970070849154284</v>
      </c>
      <c r="K654" s="133">
        <v>3.7716455691779421E-2</v>
      </c>
      <c r="L654" s="133">
        <v>8.6139393972288492</v>
      </c>
      <c r="M654" s="45">
        <v>11246.436403023745</v>
      </c>
    </row>
    <row r="655" spans="1:13" x14ac:dyDescent="0.25">
      <c r="A655" s="812" t="s">
        <v>1999</v>
      </c>
      <c r="B655" s="812">
        <v>16</v>
      </c>
      <c r="C655" s="608">
        <v>39769</v>
      </c>
      <c r="D655" s="812">
        <v>99709</v>
      </c>
      <c r="E655" s="812" t="s">
        <v>1600</v>
      </c>
      <c r="F655" s="133">
        <v>2.2351160670626999</v>
      </c>
      <c r="G655" s="133">
        <v>0.65834903965907998</v>
      </c>
      <c r="H655" s="133">
        <v>1.0477782696542293</v>
      </c>
      <c r="I655" s="133">
        <v>0.61283273822103479</v>
      </c>
      <c r="J655" s="133">
        <v>0.61283273822103479</v>
      </c>
      <c r="K655" s="133">
        <v>3.7408790813396604E-2</v>
      </c>
      <c r="L655" s="133">
        <v>6.3402914018953238</v>
      </c>
      <c r="M655" s="45">
        <v>13496.766433536495</v>
      </c>
    </row>
    <row r="656" spans="1:13" x14ac:dyDescent="0.25">
      <c r="A656" s="812" t="s">
        <v>1999</v>
      </c>
      <c r="B656" s="812">
        <v>16</v>
      </c>
      <c r="C656" s="608">
        <v>39769</v>
      </c>
      <c r="D656" s="812">
        <v>99712</v>
      </c>
      <c r="E656" s="812" t="s">
        <v>1601</v>
      </c>
      <c r="F656" s="133">
        <v>1.2359833701228675</v>
      </c>
      <c r="G656" s="133">
        <v>0.22237911874387717</v>
      </c>
      <c r="H656" s="133">
        <v>0.39649731314613512</v>
      </c>
      <c r="I656" s="133">
        <v>0.33744844653481471</v>
      </c>
      <c r="J656" s="133">
        <v>0.33744844653481471</v>
      </c>
      <c r="K656" s="133">
        <v>1.6214740037483792E-2</v>
      </c>
      <c r="L656" s="133">
        <v>3.5191397652650687</v>
      </c>
      <c r="M656" s="45">
        <v>4637.2973643975456</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4.9635323233846449E-5</v>
      </c>
      <c r="G668" s="133">
        <v>1.1236248238579664E-3</v>
      </c>
      <c r="H668" s="133">
        <v>5.6071945156659932E-4</v>
      </c>
      <c r="I668" s="133">
        <v>4.5372586863918449E-5</v>
      </c>
      <c r="J668" s="133">
        <v>4.5372586863918449E-5</v>
      </c>
      <c r="K668" s="133">
        <v>6.771205566226087E-5</v>
      </c>
      <c r="L668" s="133">
        <v>1.5293913687357247E-4</v>
      </c>
      <c r="M668" s="45">
        <v>18.927629701481315</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0594-7F02-499F-8434-BD0582D908E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0.61827958183274778</v>
      </c>
      <c r="G5" s="133">
        <v>0.54712500722810387</v>
      </c>
      <c r="H5" s="133">
        <v>0.70953706314213028</v>
      </c>
      <c r="I5" s="133">
        <v>0.18307714871974404</v>
      </c>
      <c r="J5" s="133">
        <v>0.18307714871974404</v>
      </c>
      <c r="K5" s="133">
        <v>1.8331639562096942E-2</v>
      </c>
      <c r="L5" s="133">
        <v>1.8222655030512573</v>
      </c>
      <c r="M5" s="45">
        <v>10229.815214406963</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1.4868874037526115E-2</v>
      </c>
      <c r="G7" s="133">
        <v>1.0896490904041678E-2</v>
      </c>
      <c r="H7" s="133">
        <v>1.6255574236376059E-2</v>
      </c>
      <c r="I7" s="133">
        <v>4.9526158976259281E-3</v>
      </c>
      <c r="J7" s="133">
        <v>4.9526158976259281E-3</v>
      </c>
      <c r="K7" s="133">
        <v>3.5615273385032777E-4</v>
      </c>
      <c r="L7" s="133">
        <v>5.2627004775877152E-2</v>
      </c>
      <c r="M7" s="45">
        <v>210.78917737576572</v>
      </c>
    </row>
    <row r="8" spans="1:13" x14ac:dyDescent="0.25">
      <c r="A8" s="812" t="s">
        <v>1996</v>
      </c>
      <c r="B8" s="812">
        <v>1</v>
      </c>
      <c r="C8" s="608">
        <v>39470</v>
      </c>
      <c r="D8" s="812">
        <v>99705</v>
      </c>
      <c r="E8" s="812" t="s">
        <v>1599</v>
      </c>
      <c r="F8" s="133">
        <v>2.5785613328511112</v>
      </c>
      <c r="G8" s="133">
        <v>0.53989315075787081</v>
      </c>
      <c r="H8" s="133">
        <v>0.92330057904537899</v>
      </c>
      <c r="I8" s="133">
        <v>0.78157535860981264</v>
      </c>
      <c r="J8" s="133">
        <v>0.78157535860981264</v>
      </c>
      <c r="K8" s="133">
        <v>3.5250325847015818E-2</v>
      </c>
      <c r="L8" s="133">
        <v>8.4124182465202981</v>
      </c>
      <c r="M8" s="45">
        <v>11132.258777536041</v>
      </c>
    </row>
    <row r="9" spans="1:13" x14ac:dyDescent="0.25">
      <c r="A9" s="812" t="s">
        <v>1996</v>
      </c>
      <c r="B9" s="812">
        <v>1</v>
      </c>
      <c r="C9" s="608">
        <v>39470</v>
      </c>
      <c r="D9" s="812">
        <v>99709</v>
      </c>
      <c r="E9" s="812" t="s">
        <v>1600</v>
      </c>
      <c r="F9" s="133">
        <v>2.4094442227678425</v>
      </c>
      <c r="G9" s="133">
        <v>0.67215158397477215</v>
      </c>
      <c r="H9" s="133">
        <v>1.1127288492849188</v>
      </c>
      <c r="I9" s="133">
        <v>0.65552659979934969</v>
      </c>
      <c r="J9" s="133">
        <v>0.65552659979934969</v>
      </c>
      <c r="K9" s="133">
        <v>3.3984311308431381E-2</v>
      </c>
      <c r="L9" s="133">
        <v>6.7904638623811753</v>
      </c>
      <c r="M9" s="45">
        <v>13764.330855751148</v>
      </c>
    </row>
    <row r="10" spans="1:13" x14ac:dyDescent="0.25">
      <c r="A10" s="812" t="s">
        <v>1996</v>
      </c>
      <c r="B10" s="812">
        <v>1</v>
      </c>
      <c r="C10" s="608">
        <v>39470</v>
      </c>
      <c r="D10" s="812">
        <v>99712</v>
      </c>
      <c r="E10" s="812" t="s">
        <v>1601</v>
      </c>
      <c r="F10" s="133">
        <v>1.4188810329598855</v>
      </c>
      <c r="G10" s="133">
        <v>0.24788320213715798</v>
      </c>
      <c r="H10" s="133">
        <v>0.44883275476980894</v>
      </c>
      <c r="I10" s="133">
        <v>0.38474083435169382</v>
      </c>
      <c r="J10" s="133">
        <v>0.38474083435169382</v>
      </c>
      <c r="K10" s="133">
        <v>1.786729661394406E-2</v>
      </c>
      <c r="L10" s="133">
        <v>4.018858316813283</v>
      </c>
      <c r="M10" s="45">
        <v>5173.9813407176753</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4.738757701352672E-5</v>
      </c>
      <c r="G22" s="133">
        <v>1.122972689117756E-3</v>
      </c>
      <c r="H22" s="133">
        <v>6.6144945052338871E-4</v>
      </c>
      <c r="I22" s="133">
        <v>3.8045361221614427E-5</v>
      </c>
      <c r="J22" s="133">
        <v>3.8045361221614427E-5</v>
      </c>
      <c r="K22" s="133">
        <v>3.9030796329955106E-5</v>
      </c>
      <c r="L22" s="133">
        <v>9.8761506391045617E-5</v>
      </c>
      <c r="M22" s="45">
        <v>18.208506576473955</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0.85647674541890872</v>
      </c>
      <c r="G24" s="133">
        <v>0.71420032049925841</v>
      </c>
      <c r="H24" s="133">
        <v>0.92382949401289682</v>
      </c>
      <c r="I24" s="133">
        <v>0.24688329291341302</v>
      </c>
      <c r="J24" s="133">
        <v>0.24688329291341302</v>
      </c>
      <c r="K24" s="133">
        <v>2.1124680173963722E-2</v>
      </c>
      <c r="L24" s="133">
        <v>2.4530762748355652</v>
      </c>
      <c r="M24" s="45">
        <v>13198.138685830574</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2.0160527651370858E-2</v>
      </c>
      <c r="G26" s="133">
        <v>1.4198461832802741E-2</v>
      </c>
      <c r="H26" s="133">
        <v>2.1090504977772762E-2</v>
      </c>
      <c r="I26" s="133">
        <v>6.611476859727375E-3</v>
      </c>
      <c r="J26" s="133">
        <v>6.611476859727375E-3</v>
      </c>
      <c r="K26" s="133">
        <v>4.2519516011293806E-4</v>
      </c>
      <c r="L26" s="133">
        <v>7.0451547490126581E-2</v>
      </c>
      <c r="M26" s="45">
        <v>271.94333661323157</v>
      </c>
    </row>
    <row r="27" spans="1:13" x14ac:dyDescent="0.25">
      <c r="A27" s="812" t="s">
        <v>1996</v>
      </c>
      <c r="B27" s="812">
        <v>2</v>
      </c>
      <c r="C27" s="608">
        <v>39471</v>
      </c>
      <c r="D27" s="812">
        <v>99705</v>
      </c>
      <c r="E27" s="812" t="s">
        <v>1599</v>
      </c>
      <c r="F27" s="133">
        <v>3.4809765818361922</v>
      </c>
      <c r="G27" s="133">
        <v>0.7047770774515254</v>
      </c>
      <c r="H27" s="133">
        <v>1.2002840481171417</v>
      </c>
      <c r="I27" s="133">
        <v>1.0447809236490915</v>
      </c>
      <c r="J27" s="133">
        <v>1.0447809236490915</v>
      </c>
      <c r="K27" s="133">
        <v>4.6729731861212001E-2</v>
      </c>
      <c r="L27" s="133">
        <v>11.322080707379353</v>
      </c>
      <c r="M27" s="45">
        <v>14450.279712996848</v>
      </c>
    </row>
    <row r="28" spans="1:13" x14ac:dyDescent="0.25">
      <c r="A28" s="812" t="s">
        <v>1996</v>
      </c>
      <c r="B28" s="812">
        <v>2</v>
      </c>
      <c r="C28" s="608">
        <v>39471</v>
      </c>
      <c r="D28" s="812">
        <v>99709</v>
      </c>
      <c r="E28" s="812" t="s">
        <v>1600</v>
      </c>
      <c r="F28" s="133">
        <v>3.2134226385342566</v>
      </c>
      <c r="G28" s="133">
        <v>0.85627576457511068</v>
      </c>
      <c r="H28" s="133">
        <v>1.4056187593681573</v>
      </c>
      <c r="I28" s="133">
        <v>0.85597113922571344</v>
      </c>
      <c r="J28" s="133">
        <v>0.85597113922571344</v>
      </c>
      <c r="K28" s="133">
        <v>4.2694730732953795E-2</v>
      </c>
      <c r="L28" s="133">
        <v>8.8368704031648715</v>
      </c>
      <c r="M28" s="45">
        <v>17388.338660079309</v>
      </c>
    </row>
    <row r="29" spans="1:13" x14ac:dyDescent="0.25">
      <c r="A29" s="812" t="s">
        <v>1996</v>
      </c>
      <c r="B29" s="812">
        <v>2</v>
      </c>
      <c r="C29" s="608">
        <v>39471</v>
      </c>
      <c r="D29" s="812">
        <v>99712</v>
      </c>
      <c r="E29" s="812" t="s">
        <v>1601</v>
      </c>
      <c r="F29" s="133">
        <v>1.7901786156676203</v>
      </c>
      <c r="G29" s="133">
        <v>0.30086495861640961</v>
      </c>
      <c r="H29" s="133">
        <v>0.54084938777583524</v>
      </c>
      <c r="I29" s="133">
        <v>0.47758100510787432</v>
      </c>
      <c r="J29" s="133">
        <v>0.47758100510787432</v>
      </c>
      <c r="K29" s="133">
        <v>2.211345587296969E-2</v>
      </c>
      <c r="L29" s="133">
        <v>4.9834022508541098</v>
      </c>
      <c r="M29" s="45">
        <v>6246.6888726742354</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6.1812757619381792E-5</v>
      </c>
      <c r="G41" s="133">
        <v>1.4871427464885707E-3</v>
      </c>
      <c r="H41" s="133">
        <v>9.1886103240896352E-4</v>
      </c>
      <c r="I41" s="133">
        <v>4.7283082997377649E-5</v>
      </c>
      <c r="J41" s="133">
        <v>4.7283082997377649E-5</v>
      </c>
      <c r="K41" s="133">
        <v>3.952640010322479E-5</v>
      </c>
      <c r="L41" s="133">
        <v>1.0782217183277334E-4</v>
      </c>
      <c r="M41" s="45">
        <v>23.812679126013723</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0.7817389426190412</v>
      </c>
      <c r="G43" s="133">
        <v>0.68515068287134651</v>
      </c>
      <c r="H43" s="133">
        <v>0.87289973454053982</v>
      </c>
      <c r="I43" s="133">
        <v>0.22741193141280053</v>
      </c>
      <c r="J43" s="133">
        <v>0.22741193141280053</v>
      </c>
      <c r="K43" s="133">
        <v>2.0271599501220514E-2</v>
      </c>
      <c r="L43" s="133">
        <v>2.2549549749512128</v>
      </c>
      <c r="M43" s="45">
        <v>12612.788235660842</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1.8584270103234678E-2</v>
      </c>
      <c r="G45" s="133">
        <v>1.3548870598005743E-2</v>
      </c>
      <c r="H45" s="133">
        <v>1.9886424747877864E-2</v>
      </c>
      <c r="I45" s="133">
        <v>6.1266737768828645E-3</v>
      </c>
      <c r="J45" s="133">
        <v>6.1266737768828645E-3</v>
      </c>
      <c r="K45" s="133">
        <v>4.0515379007999215E-4</v>
      </c>
      <c r="L45" s="133">
        <v>6.5147205922149148E-2</v>
      </c>
      <c r="M45" s="45">
        <v>258.56630782948599</v>
      </c>
    </row>
    <row r="46" spans="1:13" x14ac:dyDescent="0.25">
      <c r="A46" s="812" t="s">
        <v>1996</v>
      </c>
      <c r="B46" s="812">
        <v>3</v>
      </c>
      <c r="C46" s="608">
        <v>39472</v>
      </c>
      <c r="D46" s="812">
        <v>99705</v>
      </c>
      <c r="E46" s="812" t="s">
        <v>1599</v>
      </c>
      <c r="F46" s="133">
        <v>3.2217941330723034</v>
      </c>
      <c r="G46" s="133">
        <v>0.66181774272670613</v>
      </c>
      <c r="H46" s="133">
        <v>1.1237342901107639</v>
      </c>
      <c r="I46" s="133">
        <v>0.969445388232405</v>
      </c>
      <c r="J46" s="133">
        <v>0.969445388232405</v>
      </c>
      <c r="K46" s="133">
        <v>4.3441441938308921E-2</v>
      </c>
      <c r="L46" s="133">
        <v>10.488958779207795</v>
      </c>
      <c r="M46" s="45">
        <v>13564.772846160718</v>
      </c>
    </row>
    <row r="47" spans="1:13" x14ac:dyDescent="0.25">
      <c r="A47" s="812" t="s">
        <v>1996</v>
      </c>
      <c r="B47" s="812">
        <v>3</v>
      </c>
      <c r="C47" s="608">
        <v>39472</v>
      </c>
      <c r="D47" s="812">
        <v>99709</v>
      </c>
      <c r="E47" s="812" t="s">
        <v>1600</v>
      </c>
      <c r="F47" s="133">
        <v>2.8539628158481674</v>
      </c>
      <c r="G47" s="133">
        <v>0.79578570695336015</v>
      </c>
      <c r="H47" s="133">
        <v>1.2918806350952041</v>
      </c>
      <c r="I47" s="133">
        <v>0.76653669830082705</v>
      </c>
      <c r="J47" s="133">
        <v>0.76653669830082705</v>
      </c>
      <c r="K47" s="133">
        <v>3.8827694516125194E-2</v>
      </c>
      <c r="L47" s="133">
        <v>7.9172450292291741</v>
      </c>
      <c r="M47" s="45">
        <v>16108.122063307552</v>
      </c>
    </row>
    <row r="48" spans="1:13" x14ac:dyDescent="0.25">
      <c r="A48" s="812" t="s">
        <v>1996</v>
      </c>
      <c r="B48" s="812">
        <v>3</v>
      </c>
      <c r="C48" s="608">
        <v>39472</v>
      </c>
      <c r="D48" s="812">
        <v>99712</v>
      </c>
      <c r="E48" s="812" t="s">
        <v>1601</v>
      </c>
      <c r="F48" s="133">
        <v>1.6141597972644368</v>
      </c>
      <c r="G48" s="133">
        <v>0.27814634856581971</v>
      </c>
      <c r="H48" s="133">
        <v>0.49928238994214219</v>
      </c>
      <c r="I48" s="133">
        <v>0.43350242290029489</v>
      </c>
      <c r="J48" s="133">
        <v>0.43350242290029489</v>
      </c>
      <c r="K48" s="133">
        <v>2.0097167789885177E-2</v>
      </c>
      <c r="L48" s="133">
        <v>4.5241679863524418</v>
      </c>
      <c r="M48" s="45">
        <v>5777.0267684491564</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6.0558394088437853E-5</v>
      </c>
      <c r="G60" s="133">
        <v>1.4554757849780655E-3</v>
      </c>
      <c r="H60" s="133">
        <v>8.9647741659282677E-4</v>
      </c>
      <c r="I60" s="133">
        <v>4.6479802842963456E-5</v>
      </c>
      <c r="J60" s="133">
        <v>4.6479802842963456E-5</v>
      </c>
      <c r="K60" s="133">
        <v>3.9483304122940482E-5</v>
      </c>
      <c r="L60" s="133">
        <v>1.0703428788131879E-4</v>
      </c>
      <c r="M60" s="45">
        <v>23.325359773879832</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1.0878594138158335</v>
      </c>
      <c r="G62" s="133">
        <v>0.85699014070858781</v>
      </c>
      <c r="H62" s="133">
        <v>1.1245387099436188</v>
      </c>
      <c r="I62" s="133">
        <v>0.31165317029884965</v>
      </c>
      <c r="J62" s="133">
        <v>0.31165317029884965</v>
      </c>
      <c r="K62" s="133">
        <v>2.3923197160867712E-2</v>
      </c>
      <c r="L62" s="133">
        <v>3.1190886651070486</v>
      </c>
      <c r="M62" s="45">
        <v>15825.734971093625</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2.5464242614022005E-2</v>
      </c>
      <c r="G64" s="133">
        <v>1.7210038040289467E-2</v>
      </c>
      <c r="H64" s="133">
        <v>2.5877922223437221E-2</v>
      </c>
      <c r="I64" s="133">
        <v>8.3629236403919404E-3</v>
      </c>
      <c r="J64" s="133">
        <v>8.3629236403919404E-3</v>
      </c>
      <c r="K64" s="133">
        <v>4.9663583402429802E-4</v>
      </c>
      <c r="L64" s="133">
        <v>8.9935218949749735E-2</v>
      </c>
      <c r="M64" s="45">
        <v>329.81000289581738</v>
      </c>
    </row>
    <row r="65" spans="1:13" x14ac:dyDescent="0.25">
      <c r="A65" s="812" t="s">
        <v>1996</v>
      </c>
      <c r="B65" s="812">
        <v>4</v>
      </c>
      <c r="C65" s="608">
        <v>39473</v>
      </c>
      <c r="D65" s="812">
        <v>99705</v>
      </c>
      <c r="E65" s="812" t="s">
        <v>1599</v>
      </c>
      <c r="F65" s="133">
        <v>4.2435769917816204</v>
      </c>
      <c r="G65" s="133">
        <v>0.85400444538399278</v>
      </c>
      <c r="H65" s="133">
        <v>1.4533079218996658</v>
      </c>
      <c r="I65" s="133">
        <v>1.2841311536099227</v>
      </c>
      <c r="J65" s="133">
        <v>1.2841311536099227</v>
      </c>
      <c r="K65" s="133">
        <v>5.7117665218271128E-2</v>
      </c>
      <c r="L65" s="133">
        <v>14.074669741077384</v>
      </c>
      <c r="M65" s="45">
        <v>17466.821649344733</v>
      </c>
    </row>
    <row r="66" spans="1:13" x14ac:dyDescent="0.25">
      <c r="A66" s="812" t="s">
        <v>1996</v>
      </c>
      <c r="B66" s="812">
        <v>4</v>
      </c>
      <c r="C66" s="608">
        <v>39473</v>
      </c>
      <c r="D66" s="812">
        <v>99709</v>
      </c>
      <c r="E66" s="812" t="s">
        <v>1600</v>
      </c>
      <c r="F66" s="133">
        <v>3.8079383631902668</v>
      </c>
      <c r="G66" s="133">
        <v>1.0028764679201323</v>
      </c>
      <c r="H66" s="133">
        <v>1.6406858870204615</v>
      </c>
      <c r="I66" s="133">
        <v>1.0171470511752039</v>
      </c>
      <c r="J66" s="133">
        <v>1.0171470511752039</v>
      </c>
      <c r="K66" s="133">
        <v>4.9553132282144495E-2</v>
      </c>
      <c r="L66" s="133">
        <v>10.561929827907125</v>
      </c>
      <c r="M66" s="45">
        <v>20290.285334530723</v>
      </c>
    </row>
    <row r="67" spans="1:13" x14ac:dyDescent="0.25">
      <c r="A67" s="812" t="s">
        <v>1996</v>
      </c>
      <c r="B67" s="812">
        <v>4</v>
      </c>
      <c r="C67" s="608">
        <v>39473</v>
      </c>
      <c r="D67" s="812">
        <v>99712</v>
      </c>
      <c r="E67" s="812" t="s">
        <v>1601</v>
      </c>
      <c r="F67" s="133">
        <v>2.1098802058154789</v>
      </c>
      <c r="G67" s="133">
        <v>0.3519522029882442</v>
      </c>
      <c r="H67" s="133">
        <v>0.63080697801083851</v>
      </c>
      <c r="I67" s="133">
        <v>0.56485957151290689</v>
      </c>
      <c r="J67" s="133">
        <v>0.56485957151290689</v>
      </c>
      <c r="K67" s="133">
        <v>2.6057415719794967E-2</v>
      </c>
      <c r="L67" s="133">
        <v>5.938203853945172</v>
      </c>
      <c r="M67" s="45">
        <v>7288.2609493976579</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7.24748476324051E-5</v>
      </c>
      <c r="G79" s="133">
        <v>1.7563119193278686E-3</v>
      </c>
      <c r="H79" s="133">
        <v>1.1091217668461281E-3</v>
      </c>
      <c r="I79" s="133">
        <v>5.4110964309898278E-5</v>
      </c>
      <c r="J79" s="133">
        <v>5.4110964309898278E-5</v>
      </c>
      <c r="K79" s="133">
        <v>3.9892715935641531E-5</v>
      </c>
      <c r="L79" s="133">
        <v>1.1451918542013737E-4</v>
      </c>
      <c r="M79" s="45">
        <v>27.954893619151814</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0.96782603001703238</v>
      </c>
      <c r="G81" s="133">
        <v>0.79410086265369284</v>
      </c>
      <c r="H81" s="133">
        <v>1.0323820206361387</v>
      </c>
      <c r="I81" s="133">
        <v>0.28053806782887303</v>
      </c>
      <c r="J81" s="133">
        <v>0.28053806782887303</v>
      </c>
      <c r="K81" s="133">
        <v>2.25479422157344E-2</v>
      </c>
      <c r="L81" s="133">
        <v>2.8092790605654705</v>
      </c>
      <c r="M81" s="45">
        <v>14650.693208699167</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2.309153895859269E-2</v>
      </c>
      <c r="G83" s="133">
        <v>1.5947668441699075E-2</v>
      </c>
      <c r="H83" s="133">
        <v>2.3847582804730493E-2</v>
      </c>
      <c r="I83" s="133">
        <v>7.6237167313623223E-3</v>
      </c>
      <c r="J83" s="133">
        <v>7.6237167313623223E-3</v>
      </c>
      <c r="K83" s="133">
        <v>4.6610343964282247E-4</v>
      </c>
      <c r="L83" s="133">
        <v>8.1925044081930479E-2</v>
      </c>
      <c r="M83" s="45">
        <v>305.45785202189307</v>
      </c>
    </row>
    <row r="84" spans="1:13" x14ac:dyDescent="0.25">
      <c r="A84" s="812" t="s">
        <v>1996</v>
      </c>
      <c r="B84" s="812">
        <v>5</v>
      </c>
      <c r="C84" s="608">
        <v>39474</v>
      </c>
      <c r="D84" s="812">
        <v>99705</v>
      </c>
      <c r="E84" s="812" t="s">
        <v>1599</v>
      </c>
      <c r="F84" s="133">
        <v>3.8490434272584184</v>
      </c>
      <c r="G84" s="133">
        <v>0.78377410465838304</v>
      </c>
      <c r="H84" s="133">
        <v>1.332048228304862</v>
      </c>
      <c r="I84" s="133">
        <v>1.1682971581835044</v>
      </c>
      <c r="J84" s="133">
        <v>1.1682971581835044</v>
      </c>
      <c r="K84" s="133">
        <v>5.205713767824343E-2</v>
      </c>
      <c r="L84" s="133">
        <v>12.789955772536365</v>
      </c>
      <c r="M84" s="45">
        <v>16039.130630472897</v>
      </c>
    </row>
    <row r="85" spans="1:13" x14ac:dyDescent="0.25">
      <c r="A85" s="812" t="s">
        <v>1996</v>
      </c>
      <c r="B85" s="812">
        <v>5</v>
      </c>
      <c r="C85" s="608">
        <v>39474</v>
      </c>
      <c r="D85" s="812">
        <v>99709</v>
      </c>
      <c r="E85" s="812" t="s">
        <v>1600</v>
      </c>
      <c r="F85" s="133">
        <v>3.278373892708053</v>
      </c>
      <c r="G85" s="133">
        <v>0.90792583846703445</v>
      </c>
      <c r="H85" s="133">
        <v>1.476801942919068</v>
      </c>
      <c r="I85" s="133">
        <v>0.88600178977513555</v>
      </c>
      <c r="J85" s="133">
        <v>0.88600178977513555</v>
      </c>
      <c r="K85" s="133">
        <v>4.3861608531369251E-2</v>
      </c>
      <c r="L85" s="133">
        <v>9.2178275988727787</v>
      </c>
      <c r="M85" s="45">
        <v>18352.860750951862</v>
      </c>
    </row>
    <row r="86" spans="1:13" x14ac:dyDescent="0.25">
      <c r="A86" s="812" t="s">
        <v>1996</v>
      </c>
      <c r="B86" s="812">
        <v>5</v>
      </c>
      <c r="C86" s="608">
        <v>39474</v>
      </c>
      <c r="D86" s="812">
        <v>99712</v>
      </c>
      <c r="E86" s="812" t="s">
        <v>1601</v>
      </c>
      <c r="F86" s="133">
        <v>1.7221731911635274</v>
      </c>
      <c r="G86" s="133">
        <v>0.30023702596899771</v>
      </c>
      <c r="H86" s="133">
        <v>0.53665512856977893</v>
      </c>
      <c r="I86" s="133">
        <v>0.46700294738265941</v>
      </c>
      <c r="J86" s="133">
        <v>0.46700294738265941</v>
      </c>
      <c r="K86" s="133">
        <v>2.1598515263032882E-2</v>
      </c>
      <c r="L86" s="133">
        <v>4.9155493252597644</v>
      </c>
      <c r="M86" s="45">
        <v>6220.4957291924256</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6.8084575274101366E-5</v>
      </c>
      <c r="G98" s="133">
        <v>1.645477554041099E-3</v>
      </c>
      <c r="H98" s="133">
        <v>1.0307791114896486E-3</v>
      </c>
      <c r="I98" s="133">
        <v>5.1299483769448625E-5</v>
      </c>
      <c r="J98" s="133">
        <v>5.1299483769448625E-5</v>
      </c>
      <c r="K98" s="133">
        <v>3.9741880004646394E-5</v>
      </c>
      <c r="L98" s="133">
        <v>1.1176159159004628E-4</v>
      </c>
      <c r="M98" s="45">
        <v>26.24927588668319</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0.83823216362100539</v>
      </c>
      <c r="G100" s="133">
        <v>0.70028194525581722</v>
      </c>
      <c r="H100" s="133">
        <v>0.90657109691175208</v>
      </c>
      <c r="I100" s="133">
        <v>0.24190433218749005</v>
      </c>
      <c r="J100" s="133">
        <v>0.24190433218749005</v>
      </c>
      <c r="K100" s="133">
        <v>2.0908243945581099E-2</v>
      </c>
      <c r="L100" s="133">
        <v>2.4037670862049447</v>
      </c>
      <c r="M100" s="45">
        <v>12953.740157862088</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1.9942695396640977E-2</v>
      </c>
      <c r="G102" s="133">
        <v>1.400403148478749E-2</v>
      </c>
      <c r="H102" s="133">
        <v>2.0873729424305345E-2</v>
      </c>
      <c r="I102" s="133">
        <v>6.5436686746972225E-3</v>
      </c>
      <c r="J102" s="133">
        <v>6.5436686746972225E-3</v>
      </c>
      <c r="K102" s="133">
        <v>4.2214434531868766E-4</v>
      </c>
      <c r="L102" s="133">
        <v>6.9747005279323454E-2</v>
      </c>
      <c r="M102" s="45">
        <v>268.70977429603624</v>
      </c>
    </row>
    <row r="103" spans="1:13" x14ac:dyDescent="0.25">
      <c r="A103" s="812" t="s">
        <v>1996</v>
      </c>
      <c r="B103" s="812">
        <v>6</v>
      </c>
      <c r="C103" s="608">
        <v>39475</v>
      </c>
      <c r="D103" s="812">
        <v>99705</v>
      </c>
      <c r="E103" s="812" t="s">
        <v>1599</v>
      </c>
      <c r="F103" s="133">
        <v>3.4637129144670222</v>
      </c>
      <c r="G103" s="133">
        <v>0.70039234874457335</v>
      </c>
      <c r="H103" s="133">
        <v>1.1940734168670104</v>
      </c>
      <c r="I103" s="133">
        <v>1.0403891158538998</v>
      </c>
      <c r="J103" s="133">
        <v>1.0403891158538998</v>
      </c>
      <c r="K103" s="133">
        <v>4.6502237164809876E-2</v>
      </c>
      <c r="L103" s="133">
        <v>11.276325846424214</v>
      </c>
      <c r="M103" s="45">
        <v>14370.20373570727</v>
      </c>
    </row>
    <row r="104" spans="1:13" x14ac:dyDescent="0.25">
      <c r="A104" s="812" t="s">
        <v>1996</v>
      </c>
      <c r="B104" s="812">
        <v>6</v>
      </c>
      <c r="C104" s="608">
        <v>39475</v>
      </c>
      <c r="D104" s="812">
        <v>99709</v>
      </c>
      <c r="E104" s="812" t="s">
        <v>1600</v>
      </c>
      <c r="F104" s="133">
        <v>2.9670391961613292</v>
      </c>
      <c r="G104" s="133">
        <v>0.81386735415386746</v>
      </c>
      <c r="H104" s="133">
        <v>1.3289183322076386</v>
      </c>
      <c r="I104" s="133">
        <v>0.79359864030367644</v>
      </c>
      <c r="J104" s="133">
        <v>0.79359864030367644</v>
      </c>
      <c r="K104" s="133">
        <v>4.001205964249057E-2</v>
      </c>
      <c r="L104" s="133">
        <v>8.1898287211364451</v>
      </c>
      <c r="M104" s="45">
        <v>16504.65181994934</v>
      </c>
    </row>
    <row r="105" spans="1:13" x14ac:dyDescent="0.25">
      <c r="A105" s="812" t="s">
        <v>1996</v>
      </c>
      <c r="B105" s="812">
        <v>6</v>
      </c>
      <c r="C105" s="608">
        <v>39475</v>
      </c>
      <c r="D105" s="812">
        <v>99712</v>
      </c>
      <c r="E105" s="812" t="s">
        <v>1601</v>
      </c>
      <c r="F105" s="133">
        <v>1.6221340180744181</v>
      </c>
      <c r="G105" s="133">
        <v>0.27775795587820162</v>
      </c>
      <c r="H105" s="133">
        <v>0.49883976774921135</v>
      </c>
      <c r="I105" s="133">
        <v>0.4335733523682162</v>
      </c>
      <c r="J105" s="133">
        <v>0.4335733523682162</v>
      </c>
      <c r="K105" s="133">
        <v>2.013263810927059E-2</v>
      </c>
      <c r="L105" s="133">
        <v>4.515359707367339</v>
      </c>
      <c r="M105" s="45">
        <v>5768.8739178764054</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6.0558394088437853E-5</v>
      </c>
      <c r="G117" s="133">
        <v>1.4554757849780657E-3</v>
      </c>
      <c r="H117" s="133">
        <v>8.9647741659282687E-4</v>
      </c>
      <c r="I117" s="133">
        <v>4.6479802842963456E-5</v>
      </c>
      <c r="J117" s="133">
        <v>4.6479802842963456E-5</v>
      </c>
      <c r="K117" s="133">
        <v>3.9483304122940469E-5</v>
      </c>
      <c r="L117" s="133">
        <v>1.0703428788131876E-4</v>
      </c>
      <c r="M117" s="45">
        <v>23.325359773879832</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0.94107132832759843</v>
      </c>
      <c r="G119" s="133">
        <v>0.76802079461813999</v>
      </c>
      <c r="H119" s="133">
        <v>0.99572484835698549</v>
      </c>
      <c r="I119" s="133">
        <v>0.26918544943886985</v>
      </c>
      <c r="J119" s="133">
        <v>0.26918544943886985</v>
      </c>
      <c r="K119" s="133">
        <v>2.2106423431528306E-2</v>
      </c>
      <c r="L119" s="133">
        <v>2.6736466045702669</v>
      </c>
      <c r="M119" s="45">
        <v>14168.570930794529</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2.2146060674063064E-2</v>
      </c>
      <c r="G121" s="133">
        <v>1.5343058227686565E-2</v>
      </c>
      <c r="H121" s="133">
        <v>2.2868058597864668E-2</v>
      </c>
      <c r="I121" s="133">
        <v>7.2339725543648569E-3</v>
      </c>
      <c r="J121" s="133">
        <v>7.2339725543648569E-3</v>
      </c>
      <c r="K121" s="133">
        <v>4.5080413501431127E-4</v>
      </c>
      <c r="L121" s="133">
        <v>7.717660182187959E-2</v>
      </c>
      <c r="M121" s="45">
        <v>293.68995557627926</v>
      </c>
    </row>
    <row r="122" spans="1:13" x14ac:dyDescent="0.25">
      <c r="A122" s="812" t="s">
        <v>1996</v>
      </c>
      <c r="B122" s="812">
        <v>7</v>
      </c>
      <c r="C122" s="608">
        <v>39476</v>
      </c>
      <c r="D122" s="812">
        <v>99705</v>
      </c>
      <c r="E122" s="812" t="s">
        <v>1599</v>
      </c>
      <c r="F122" s="133">
        <v>3.7923795099501989</v>
      </c>
      <c r="G122" s="133">
        <v>0.76146122494391155</v>
      </c>
      <c r="H122" s="133">
        <v>1.2962621637386436</v>
      </c>
      <c r="I122" s="133">
        <v>1.1365943983246471</v>
      </c>
      <c r="J122" s="133">
        <v>1.1365943983246471</v>
      </c>
      <c r="K122" s="133">
        <v>5.0700514634687971E-2</v>
      </c>
      <c r="L122" s="133">
        <v>12.341137496297867</v>
      </c>
      <c r="M122" s="45">
        <v>15596.73248662365</v>
      </c>
    </row>
    <row r="123" spans="1:13" x14ac:dyDescent="0.25">
      <c r="A123" s="812" t="s">
        <v>1996</v>
      </c>
      <c r="B123" s="812">
        <v>7</v>
      </c>
      <c r="C123" s="608">
        <v>39476</v>
      </c>
      <c r="D123" s="812">
        <v>99709</v>
      </c>
      <c r="E123" s="812" t="s">
        <v>1600</v>
      </c>
      <c r="F123" s="133">
        <v>3.317367146422102</v>
      </c>
      <c r="G123" s="133">
        <v>0.89145530387923921</v>
      </c>
      <c r="H123" s="133">
        <v>1.4546111798209538</v>
      </c>
      <c r="I123" s="133">
        <v>0.88087935960039898</v>
      </c>
      <c r="J123" s="133">
        <v>0.88087935960039898</v>
      </c>
      <c r="K123" s="133">
        <v>4.3823181512211963E-2</v>
      </c>
      <c r="L123" s="133">
        <v>9.0816935268386985</v>
      </c>
      <c r="M123" s="45">
        <v>18041.757991540617</v>
      </c>
    </row>
    <row r="124" spans="1:13" x14ac:dyDescent="0.25">
      <c r="A124" s="812" t="s">
        <v>1996</v>
      </c>
      <c r="B124" s="812">
        <v>7</v>
      </c>
      <c r="C124" s="608">
        <v>39476</v>
      </c>
      <c r="D124" s="812">
        <v>99712</v>
      </c>
      <c r="E124" s="812" t="s">
        <v>1601</v>
      </c>
      <c r="F124" s="133">
        <v>1.7836633712837664</v>
      </c>
      <c r="G124" s="133">
        <v>0.30095575803543922</v>
      </c>
      <c r="H124" s="133">
        <v>0.53920991954403363</v>
      </c>
      <c r="I124" s="133">
        <v>0.47473155505795894</v>
      </c>
      <c r="J124" s="133">
        <v>0.47473155505795894</v>
      </c>
      <c r="K124" s="133">
        <v>2.2004419681877243E-2</v>
      </c>
      <c r="L124" s="133">
        <v>4.9470815750735637</v>
      </c>
      <c r="M124" s="45">
        <v>6239.3292945713865</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6.6203029977685471E-5</v>
      </c>
      <c r="G136" s="133">
        <v>1.5979771117753405E-3</v>
      </c>
      <c r="H136" s="133">
        <v>9.9720368776544301E-4</v>
      </c>
      <c r="I136" s="133">
        <v>5.0094563537827309E-5</v>
      </c>
      <c r="J136" s="133">
        <v>5.0094563537827309E-5</v>
      </c>
      <c r="K136" s="133">
        <v>3.9677236034219913E-5</v>
      </c>
      <c r="L136" s="133">
        <v>1.1057976566286441E-4</v>
      </c>
      <c r="M136" s="45">
        <v>25.518296858482348</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0.99287678467582818</v>
      </c>
      <c r="G138" s="133">
        <v>0.76848978498739107</v>
      </c>
      <c r="H138" s="133">
        <v>1.0172834353733169</v>
      </c>
      <c r="I138" s="133">
        <v>0.28220630934297208</v>
      </c>
      <c r="J138" s="133">
        <v>0.28220630934297208</v>
      </c>
      <c r="K138" s="133">
        <v>2.2678151918514911E-2</v>
      </c>
      <c r="L138" s="133">
        <v>2.8109321679520232</v>
      </c>
      <c r="M138" s="45">
        <v>14282.990331253706</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2.3204690183444402E-2</v>
      </c>
      <c r="G140" s="133">
        <v>1.5494358600090189E-2</v>
      </c>
      <c r="H140" s="133">
        <v>2.3498940908154613E-2</v>
      </c>
      <c r="I140" s="133">
        <v>7.5537284513923211E-3</v>
      </c>
      <c r="J140" s="133">
        <v>7.5537284513923211E-3</v>
      </c>
      <c r="K140" s="133">
        <v>4.6369930416360195E-4</v>
      </c>
      <c r="L140" s="133">
        <v>8.0764842478432727E-2</v>
      </c>
      <c r="M140" s="45">
        <v>298.67692077544382</v>
      </c>
    </row>
    <row r="141" spans="1:13" x14ac:dyDescent="0.25">
      <c r="A141" s="812" t="s">
        <v>1996</v>
      </c>
      <c r="B141" s="812">
        <v>8</v>
      </c>
      <c r="C141" s="608">
        <v>39477</v>
      </c>
      <c r="D141" s="812">
        <v>99705</v>
      </c>
      <c r="E141" s="812" t="s">
        <v>1599</v>
      </c>
      <c r="F141" s="133">
        <v>3.9302956806047753</v>
      </c>
      <c r="G141" s="133">
        <v>0.78085621802462557</v>
      </c>
      <c r="H141" s="133">
        <v>1.3350201062185161</v>
      </c>
      <c r="I141" s="133">
        <v>1.1770331162195462</v>
      </c>
      <c r="J141" s="133">
        <v>1.1770331162195462</v>
      </c>
      <c r="K141" s="133">
        <v>5.2466260012135994E-2</v>
      </c>
      <c r="L141" s="133">
        <v>12.791181713638673</v>
      </c>
      <c r="M141" s="45">
        <v>16016.593325633246</v>
      </c>
    </row>
    <row r="142" spans="1:13" x14ac:dyDescent="0.25">
      <c r="A142" s="812" t="s">
        <v>1996</v>
      </c>
      <c r="B142" s="812">
        <v>8</v>
      </c>
      <c r="C142" s="608">
        <v>39477</v>
      </c>
      <c r="D142" s="812">
        <v>99709</v>
      </c>
      <c r="E142" s="812" t="s">
        <v>1600</v>
      </c>
      <c r="F142" s="133">
        <v>3.4963391069497565</v>
      </c>
      <c r="G142" s="133">
        <v>0.91112037329393025</v>
      </c>
      <c r="H142" s="133">
        <v>1.503510089947268</v>
      </c>
      <c r="I142" s="133">
        <v>0.92482431477822347</v>
      </c>
      <c r="J142" s="133">
        <v>0.92482431477822347</v>
      </c>
      <c r="K142" s="133">
        <v>4.5736511105170255E-2</v>
      </c>
      <c r="L142" s="133">
        <v>9.5341316708456372</v>
      </c>
      <c r="M142" s="45">
        <v>18517.235362646992</v>
      </c>
    </row>
    <row r="143" spans="1:13" x14ac:dyDescent="0.25">
      <c r="A143" s="812" t="s">
        <v>1996</v>
      </c>
      <c r="B143" s="812">
        <v>8</v>
      </c>
      <c r="C143" s="608">
        <v>39477</v>
      </c>
      <c r="D143" s="812">
        <v>99712</v>
      </c>
      <c r="E143" s="812" t="s">
        <v>1601</v>
      </c>
      <c r="F143" s="133">
        <v>1.8754877168741078</v>
      </c>
      <c r="G143" s="133">
        <v>0.31205605964697875</v>
      </c>
      <c r="H143" s="133">
        <v>0.5607869464647659</v>
      </c>
      <c r="I143" s="133">
        <v>0.49783031219951396</v>
      </c>
      <c r="J143" s="133">
        <v>0.49783031219951396</v>
      </c>
      <c r="K143" s="133">
        <v>2.3056929352915596E-2</v>
      </c>
      <c r="L143" s="133">
        <v>5.1884046434065159</v>
      </c>
      <c r="M143" s="45">
        <v>6474.8605554520909</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6.4321484681269616E-5</v>
      </c>
      <c r="G155" s="133">
        <v>1.5504766695095817E-3</v>
      </c>
      <c r="H155" s="133">
        <v>9.6362826404123789E-4</v>
      </c>
      <c r="I155" s="133">
        <v>4.8889643306206034E-5</v>
      </c>
      <c r="J155" s="133">
        <v>4.8889643306206034E-5</v>
      </c>
      <c r="K155" s="133">
        <v>3.9612592063793438E-5</v>
      </c>
      <c r="L155" s="133">
        <v>1.0939793973568254E-4</v>
      </c>
      <c r="M155" s="45">
        <v>24.787317830281509</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0.93806819792738805</v>
      </c>
      <c r="G157" s="133">
        <v>0.70481956899921916</v>
      </c>
      <c r="H157" s="133">
        <v>0.95081890411404413</v>
      </c>
      <c r="I157" s="133">
        <v>0.26719255676875542</v>
      </c>
      <c r="J157" s="133">
        <v>0.26719255676875542</v>
      </c>
      <c r="K157" s="133">
        <v>2.201621743646252E-2</v>
      </c>
      <c r="L157" s="133">
        <v>2.6699980524184377</v>
      </c>
      <c r="M157" s="45">
        <v>13228.968932810832</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2.1958150297740668E-2</v>
      </c>
      <c r="G159" s="133">
        <v>1.4310367424333545E-2</v>
      </c>
      <c r="H159" s="133">
        <v>2.2035982959637913E-2</v>
      </c>
      <c r="I159" s="133">
        <v>7.1483081581442927E-3</v>
      </c>
      <c r="J159" s="133">
        <v>7.1483081581442927E-3</v>
      </c>
      <c r="K159" s="133">
        <v>4.4697924587911548E-4</v>
      </c>
      <c r="L159" s="133">
        <v>7.6512694063105208E-2</v>
      </c>
      <c r="M159" s="45">
        <v>278.18069845012405</v>
      </c>
    </row>
    <row r="160" spans="1:13" x14ac:dyDescent="0.25">
      <c r="A160" s="812" t="s">
        <v>1996</v>
      </c>
      <c r="B160" s="812">
        <v>9</v>
      </c>
      <c r="C160" s="608">
        <v>39478</v>
      </c>
      <c r="D160" s="812">
        <v>99705</v>
      </c>
      <c r="E160" s="812" t="s">
        <v>1599</v>
      </c>
      <c r="F160" s="133">
        <v>3.8391063840207562</v>
      </c>
      <c r="G160" s="133">
        <v>0.75523666957405833</v>
      </c>
      <c r="H160" s="133">
        <v>1.2999617489971804</v>
      </c>
      <c r="I160" s="133">
        <v>1.1494377661314128</v>
      </c>
      <c r="J160" s="133">
        <v>1.1494377661314128</v>
      </c>
      <c r="K160" s="133">
        <v>5.1279487762895787E-2</v>
      </c>
      <c r="L160" s="133">
        <v>12.484799358981268</v>
      </c>
      <c r="M160" s="45">
        <v>15538.786554322516</v>
      </c>
    </row>
    <row r="161" spans="1:13" x14ac:dyDescent="0.25">
      <c r="A161" s="812" t="s">
        <v>1996</v>
      </c>
      <c r="B161" s="812">
        <v>9</v>
      </c>
      <c r="C161" s="608">
        <v>39478</v>
      </c>
      <c r="D161" s="812">
        <v>99709</v>
      </c>
      <c r="E161" s="812" t="s">
        <v>1600</v>
      </c>
      <c r="F161" s="133">
        <v>3.5120439234810319</v>
      </c>
      <c r="G161" s="133">
        <v>0.88133264478454487</v>
      </c>
      <c r="H161" s="133">
        <v>1.4766561608483015</v>
      </c>
      <c r="I161" s="133">
        <v>0.92915717151855404</v>
      </c>
      <c r="J161" s="133">
        <v>0.92915717151855404</v>
      </c>
      <c r="K161" s="133">
        <v>4.5880538650474471E-2</v>
      </c>
      <c r="L161" s="133">
        <v>9.5928611738599781</v>
      </c>
      <c r="M161" s="45">
        <v>18039.848293070921</v>
      </c>
    </row>
    <row r="162" spans="1:13" x14ac:dyDescent="0.25">
      <c r="A162" s="812" t="s">
        <v>1996</v>
      </c>
      <c r="B162" s="812">
        <v>9</v>
      </c>
      <c r="C162" s="608">
        <v>39478</v>
      </c>
      <c r="D162" s="812">
        <v>99712</v>
      </c>
      <c r="E162" s="812" t="s">
        <v>1601</v>
      </c>
      <c r="F162" s="133">
        <v>2.0178742229827269</v>
      </c>
      <c r="G162" s="133">
        <v>0.32780383255089496</v>
      </c>
      <c r="H162" s="133">
        <v>0.5930232436663706</v>
      </c>
      <c r="I162" s="133">
        <v>0.53427201074789088</v>
      </c>
      <c r="J162" s="133">
        <v>0.53427201074789088</v>
      </c>
      <c r="K162" s="133">
        <v>2.4709017465272994E-2</v>
      </c>
      <c r="L162" s="133">
        <v>5.573006469001748</v>
      </c>
      <c r="M162" s="45">
        <v>6816.8481792897355</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5.7422485261078058E-5</v>
      </c>
      <c r="G174" s="133">
        <v>1.3763083812018014E-3</v>
      </c>
      <c r="H174" s="133">
        <v>8.4051837705248445E-4</v>
      </c>
      <c r="I174" s="133">
        <v>4.4471602456927968E-5</v>
      </c>
      <c r="J174" s="133">
        <v>4.4471602456927968E-5</v>
      </c>
      <c r="K174" s="133">
        <v>3.937556417222968E-5</v>
      </c>
      <c r="L174" s="133">
        <v>1.0506457800268232E-4</v>
      </c>
      <c r="M174" s="45">
        <v>22.107061393545099</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0.85547871225682637</v>
      </c>
      <c r="G176" s="133">
        <v>0.67828654941538169</v>
      </c>
      <c r="H176" s="133">
        <v>0.89861269643587149</v>
      </c>
      <c r="I176" s="133">
        <v>0.24593184911609103</v>
      </c>
      <c r="J176" s="133">
        <v>0.24593184911609103</v>
      </c>
      <c r="K176" s="133">
        <v>2.1081509618361374E-2</v>
      </c>
      <c r="L176" s="133">
        <v>2.4529346905973606</v>
      </c>
      <c r="M176" s="45">
        <v>12665.698179367488</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2.008378050437104E-2</v>
      </c>
      <c r="G178" s="133">
        <v>1.3635480494324023E-2</v>
      </c>
      <c r="H178" s="133">
        <v>2.0677657618632609E-2</v>
      </c>
      <c r="I178" s="133">
        <v>6.5749449545507953E-3</v>
      </c>
      <c r="J178" s="133">
        <v>6.5749449545507953E-3</v>
      </c>
      <c r="K178" s="133">
        <v>4.2327853105657808E-4</v>
      </c>
      <c r="L178" s="133">
        <v>7.0212411498005528E-2</v>
      </c>
      <c r="M178" s="45">
        <v>263.71239873423173</v>
      </c>
    </row>
    <row r="179" spans="1:13" x14ac:dyDescent="0.25">
      <c r="A179" s="812" t="s">
        <v>1996</v>
      </c>
      <c r="B179" s="812">
        <v>10</v>
      </c>
      <c r="C179" s="608">
        <v>39479</v>
      </c>
      <c r="D179" s="812">
        <v>99705</v>
      </c>
      <c r="E179" s="812" t="s">
        <v>1599</v>
      </c>
      <c r="F179" s="133">
        <v>3.4576114332038377</v>
      </c>
      <c r="G179" s="133">
        <v>0.69392473840686297</v>
      </c>
      <c r="H179" s="133">
        <v>1.1886943764631723</v>
      </c>
      <c r="I179" s="133">
        <v>1.0387105454653813</v>
      </c>
      <c r="J179" s="133">
        <v>1.0387105454653813</v>
      </c>
      <c r="K179" s="133">
        <v>4.644838154765326E-2</v>
      </c>
      <c r="L179" s="133">
        <v>11.260472981477523</v>
      </c>
      <c r="M179" s="45">
        <v>14265.05295899249</v>
      </c>
    </row>
    <row r="180" spans="1:13" x14ac:dyDescent="0.25">
      <c r="A180" s="812" t="s">
        <v>1996</v>
      </c>
      <c r="B180" s="812">
        <v>10</v>
      </c>
      <c r="C180" s="608">
        <v>39479</v>
      </c>
      <c r="D180" s="812">
        <v>99709</v>
      </c>
      <c r="E180" s="812" t="s">
        <v>1600</v>
      </c>
      <c r="F180" s="133">
        <v>3.1760440518613784</v>
      </c>
      <c r="G180" s="133">
        <v>0.82933635503379266</v>
      </c>
      <c r="H180" s="133">
        <v>1.377298166345766</v>
      </c>
      <c r="I180" s="133">
        <v>0.84653715993068102</v>
      </c>
      <c r="J180" s="133">
        <v>0.84653715993068102</v>
      </c>
      <c r="K180" s="133">
        <v>4.2271469758930161E-2</v>
      </c>
      <c r="L180" s="133">
        <v>8.7464072030099409</v>
      </c>
      <c r="M180" s="45">
        <v>16932.424915152566</v>
      </c>
    </row>
    <row r="181" spans="1:13" x14ac:dyDescent="0.25">
      <c r="A181" s="812" t="s">
        <v>1996</v>
      </c>
      <c r="B181" s="812">
        <v>10</v>
      </c>
      <c r="C181" s="608">
        <v>39479</v>
      </c>
      <c r="D181" s="812">
        <v>99712</v>
      </c>
      <c r="E181" s="812" t="s">
        <v>1601</v>
      </c>
      <c r="F181" s="133">
        <v>1.8017314961810382</v>
      </c>
      <c r="G181" s="133">
        <v>0.30042439458594034</v>
      </c>
      <c r="H181" s="133">
        <v>0.542431643688432</v>
      </c>
      <c r="I181" s="133">
        <v>0.48044597633534053</v>
      </c>
      <c r="J181" s="133">
        <v>0.48044597633534053</v>
      </c>
      <c r="K181" s="133">
        <v>2.2242538999244735E-2</v>
      </c>
      <c r="L181" s="133">
        <v>5.0136448507120566</v>
      </c>
      <c r="M181" s="45">
        <v>6248.7128719419225</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5.6795303495606102E-5</v>
      </c>
      <c r="G193" s="133">
        <v>1.360474900446548E-3</v>
      </c>
      <c r="H193" s="133">
        <v>8.2932656914441597E-4</v>
      </c>
      <c r="I193" s="133">
        <v>4.4069962379720858E-5</v>
      </c>
      <c r="J193" s="133">
        <v>4.4069962379720858E-5</v>
      </c>
      <c r="K193" s="133">
        <v>3.9354016182087499E-5</v>
      </c>
      <c r="L193" s="133">
        <v>1.0467063602695499E-4</v>
      </c>
      <c r="M193" s="45">
        <v>21.863401717478151</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0.82843574776827078</v>
      </c>
      <c r="G195" s="133">
        <v>0.7204557451960405</v>
      </c>
      <c r="H195" s="133">
        <v>0.92337339771615146</v>
      </c>
      <c r="I195" s="133">
        <v>0.2435409490459588</v>
      </c>
      <c r="J195" s="133">
        <v>0.2435409490459588</v>
      </c>
      <c r="K195" s="133">
        <v>2.0932638286317258E-2</v>
      </c>
      <c r="L195" s="133">
        <v>2.4364768184200147</v>
      </c>
      <c r="M195" s="45">
        <v>13268.471099104831</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1.9807736019011007E-2</v>
      </c>
      <c r="G197" s="133">
        <v>1.4312968516906973E-2</v>
      </c>
      <c r="H197" s="133">
        <v>2.1110674675997532E-2</v>
      </c>
      <c r="I197" s="133">
        <v>6.603227547138611E-3</v>
      </c>
      <c r="J197" s="133">
        <v>6.603227547138611E-3</v>
      </c>
      <c r="K197" s="133">
        <v>4.2405513431243905E-4</v>
      </c>
      <c r="L197" s="133">
        <v>7.0832593026969412E-2</v>
      </c>
      <c r="M197" s="45">
        <v>273.34773927662025</v>
      </c>
    </row>
    <row r="198" spans="1:13" x14ac:dyDescent="0.25">
      <c r="A198" s="812" t="s">
        <v>1996</v>
      </c>
      <c r="B198" s="812">
        <v>11</v>
      </c>
      <c r="C198" s="608">
        <v>39480</v>
      </c>
      <c r="D198" s="812">
        <v>99705</v>
      </c>
      <c r="E198" s="812" t="s">
        <v>1599</v>
      </c>
      <c r="F198" s="133">
        <v>3.4764526978252448</v>
      </c>
      <c r="G198" s="133">
        <v>0.71721719281368823</v>
      </c>
      <c r="H198" s="133">
        <v>1.2187768071273872</v>
      </c>
      <c r="I198" s="133">
        <v>1.0598793203014181</v>
      </c>
      <c r="J198" s="133">
        <v>1.0598793203014181</v>
      </c>
      <c r="K198" s="133">
        <v>4.7321009219931952E-2</v>
      </c>
      <c r="L198" s="133">
        <v>11.591816108243727</v>
      </c>
      <c r="M198" s="45">
        <v>14693.034501395936</v>
      </c>
    </row>
    <row r="199" spans="1:13" x14ac:dyDescent="0.25">
      <c r="A199" s="812" t="s">
        <v>1996</v>
      </c>
      <c r="B199" s="812">
        <v>11</v>
      </c>
      <c r="C199" s="608">
        <v>39480</v>
      </c>
      <c r="D199" s="812">
        <v>99709</v>
      </c>
      <c r="E199" s="812" t="s">
        <v>1600</v>
      </c>
      <c r="F199" s="133">
        <v>2.9933921706363482</v>
      </c>
      <c r="G199" s="133">
        <v>0.83971047075672745</v>
      </c>
      <c r="H199" s="133">
        <v>1.3643889034870014</v>
      </c>
      <c r="I199" s="133">
        <v>0.81522588415266661</v>
      </c>
      <c r="J199" s="133">
        <v>0.81522588415266661</v>
      </c>
      <c r="K199" s="133">
        <v>4.0774931172124544E-2</v>
      </c>
      <c r="L199" s="133">
        <v>8.498362938369322</v>
      </c>
      <c r="M199" s="45">
        <v>16993.535330480605</v>
      </c>
    </row>
    <row r="200" spans="1:13" x14ac:dyDescent="0.25">
      <c r="A200" s="812" t="s">
        <v>1996</v>
      </c>
      <c r="B200" s="812">
        <v>11</v>
      </c>
      <c r="C200" s="608">
        <v>39480</v>
      </c>
      <c r="D200" s="812">
        <v>99712</v>
      </c>
      <c r="E200" s="812" t="s">
        <v>1601</v>
      </c>
      <c r="F200" s="133">
        <v>1.6893853232710621</v>
      </c>
      <c r="G200" s="133">
        <v>0.29503491614682903</v>
      </c>
      <c r="H200" s="133">
        <v>0.52911412663974167</v>
      </c>
      <c r="I200" s="133">
        <v>0.46009970802195066</v>
      </c>
      <c r="J200" s="133">
        <v>0.46009970802195066</v>
      </c>
      <c r="K200" s="133">
        <v>2.1259428066600399E-2</v>
      </c>
      <c r="L200" s="133">
        <v>4.8507118646460734</v>
      </c>
      <c r="M200" s="45">
        <v>6123.0732578887073</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6.3067121150325704E-5</v>
      </c>
      <c r="G212" s="133">
        <v>1.5188097079990772E-3</v>
      </c>
      <c r="H212" s="133">
        <v>9.4124464822510103E-4</v>
      </c>
      <c r="I212" s="133">
        <v>4.8086363151791841E-5</v>
      </c>
      <c r="J212" s="133">
        <v>4.8086363151791841E-5</v>
      </c>
      <c r="K212" s="133">
        <v>3.9569496083509117E-5</v>
      </c>
      <c r="L212" s="133">
        <v>1.0861005578422796E-4</v>
      </c>
      <c r="M212" s="45">
        <v>24.299998478147618</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0.97520132471476073</v>
      </c>
      <c r="G214" s="133">
        <v>0.80432824256166091</v>
      </c>
      <c r="H214" s="133">
        <v>1.0416052910822935</v>
      </c>
      <c r="I214" s="133">
        <v>0.28212107534044106</v>
      </c>
      <c r="J214" s="133">
        <v>0.28212107534044106</v>
      </c>
      <c r="K214" s="133">
        <v>2.2628820564576008E-2</v>
      </c>
      <c r="L214" s="133">
        <v>2.8209254165278357</v>
      </c>
      <c r="M214" s="45">
        <v>14812.257607969033</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2.2885168993969338E-2</v>
      </c>
      <c r="G216" s="133">
        <v>1.6006985613389216E-2</v>
      </c>
      <c r="H216" s="133">
        <v>2.3772854150507911E-2</v>
      </c>
      <c r="I216" s="133">
        <v>7.5625639351005252E-3</v>
      </c>
      <c r="J216" s="133">
        <v>7.5625639351005252E-3</v>
      </c>
      <c r="K216" s="133">
        <v>4.6380102519694258E-4</v>
      </c>
      <c r="L216" s="133">
        <v>8.1208391382791373E-2</v>
      </c>
      <c r="M216" s="45">
        <v>305.69157424203115</v>
      </c>
    </row>
    <row r="217" spans="1:13" x14ac:dyDescent="0.25">
      <c r="A217" s="812" t="s">
        <v>1996</v>
      </c>
      <c r="B217" s="812">
        <v>12</v>
      </c>
      <c r="C217" s="608">
        <v>39481</v>
      </c>
      <c r="D217" s="812">
        <v>99705</v>
      </c>
      <c r="E217" s="812" t="s">
        <v>1599</v>
      </c>
      <c r="F217" s="133">
        <v>3.9040161420638753</v>
      </c>
      <c r="G217" s="133">
        <v>0.79508154205562842</v>
      </c>
      <c r="H217" s="133">
        <v>1.3508880584129281</v>
      </c>
      <c r="I217" s="133">
        <v>1.1847568119426566</v>
      </c>
      <c r="J217" s="133">
        <v>1.1847568119426566</v>
      </c>
      <c r="K217" s="133">
        <v>5.2786019573056044E-2</v>
      </c>
      <c r="L217" s="133">
        <v>12.973499343364987</v>
      </c>
      <c r="M217" s="45">
        <v>16264.473241828602</v>
      </c>
    </row>
    <row r="218" spans="1:13" x14ac:dyDescent="0.25">
      <c r="A218" s="812" t="s">
        <v>1996</v>
      </c>
      <c r="B218" s="812">
        <v>12</v>
      </c>
      <c r="C218" s="608">
        <v>39481</v>
      </c>
      <c r="D218" s="812">
        <v>99709</v>
      </c>
      <c r="E218" s="812" t="s">
        <v>1600</v>
      </c>
      <c r="F218" s="133">
        <v>3.5935571362395238</v>
      </c>
      <c r="G218" s="133">
        <v>0.95414587317889243</v>
      </c>
      <c r="H218" s="133">
        <v>1.5580796163328507</v>
      </c>
      <c r="I218" s="133">
        <v>0.9638015325771524</v>
      </c>
      <c r="J218" s="133">
        <v>0.9638015325771524</v>
      </c>
      <c r="K218" s="133">
        <v>4.7242839865071246E-2</v>
      </c>
      <c r="L218" s="133">
        <v>10.018421423677442</v>
      </c>
      <c r="M218" s="45">
        <v>19306.54495221869</v>
      </c>
    </row>
    <row r="219" spans="1:13" x14ac:dyDescent="0.25">
      <c r="A219" s="812" t="s">
        <v>1996</v>
      </c>
      <c r="B219" s="812">
        <v>12</v>
      </c>
      <c r="C219" s="608">
        <v>39481</v>
      </c>
      <c r="D219" s="812">
        <v>99712</v>
      </c>
      <c r="E219" s="812" t="s">
        <v>1601</v>
      </c>
      <c r="F219" s="133">
        <v>2.0292558424180638</v>
      </c>
      <c r="G219" s="133">
        <v>0.34038501184688424</v>
      </c>
      <c r="H219" s="133">
        <v>0.61054914177886155</v>
      </c>
      <c r="I219" s="133">
        <v>0.54487164511929831</v>
      </c>
      <c r="J219" s="133">
        <v>0.54487164511929831</v>
      </c>
      <c r="K219" s="133">
        <v>2.5141380323659715E-2</v>
      </c>
      <c r="L219" s="133">
        <v>5.7315295538541973</v>
      </c>
      <c r="M219" s="45">
        <v>7053.3538725451435</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6.9338938805045292E-5</v>
      </c>
      <c r="G231" s="133">
        <v>1.6771445155516049E-3</v>
      </c>
      <c r="H231" s="133">
        <v>1.0531627273057851E-3</v>
      </c>
      <c r="I231" s="133">
        <v>5.2102763923862797E-5</v>
      </c>
      <c r="J231" s="133">
        <v>5.2102763923862797E-5</v>
      </c>
      <c r="K231" s="133">
        <v>3.9784975984930708E-5</v>
      </c>
      <c r="L231" s="133">
        <v>1.1254947554150085E-4</v>
      </c>
      <c r="M231" s="45">
        <v>26.736595238817081</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1.114873292648265</v>
      </c>
      <c r="G233" s="133">
        <v>0.8683734767365302</v>
      </c>
      <c r="H233" s="133">
        <v>1.1368794535330187</v>
      </c>
      <c r="I233" s="133">
        <v>0.31512728265276801</v>
      </c>
      <c r="J233" s="133">
        <v>0.31512728265276801</v>
      </c>
      <c r="K233" s="133">
        <v>2.4120759262123433E-2</v>
      </c>
      <c r="L233" s="133">
        <v>3.1324397663135493</v>
      </c>
      <c r="M233" s="45">
        <v>16014.342992831729</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2.5954692141280607E-2</v>
      </c>
      <c r="G235" s="133">
        <v>1.7414647007303531E-2</v>
      </c>
      <c r="H235" s="133">
        <v>2.6146766885596386E-2</v>
      </c>
      <c r="I235" s="133">
        <v>8.420695730703788E-3</v>
      </c>
      <c r="J235" s="133">
        <v>8.420695730703788E-3</v>
      </c>
      <c r="K235" s="133">
        <v>4.9994649358783404E-4</v>
      </c>
      <c r="L235" s="133">
        <v>9.0019368963986754E-2</v>
      </c>
      <c r="M235" s="45">
        <v>333.36652145148759</v>
      </c>
    </row>
    <row r="236" spans="1:13" x14ac:dyDescent="0.25">
      <c r="A236" s="812" t="s">
        <v>1996</v>
      </c>
      <c r="B236" s="812">
        <v>13</v>
      </c>
      <c r="C236" s="608">
        <v>39482</v>
      </c>
      <c r="D236" s="812">
        <v>99705</v>
      </c>
      <c r="E236" s="812" t="s">
        <v>1599</v>
      </c>
      <c r="F236" s="133">
        <v>4.3814703691236518</v>
      </c>
      <c r="G236" s="133">
        <v>0.86658343226951884</v>
      </c>
      <c r="H236" s="133">
        <v>1.4758164923380821</v>
      </c>
      <c r="I236" s="133">
        <v>1.3086097940520243</v>
      </c>
      <c r="J236" s="133">
        <v>1.3086097940520243</v>
      </c>
      <c r="K236" s="133">
        <v>5.8205208001561086E-2</v>
      </c>
      <c r="L236" s="133">
        <v>14.24455601336906</v>
      </c>
      <c r="M236" s="45">
        <v>17726.08472438181</v>
      </c>
    </row>
    <row r="237" spans="1:13" x14ac:dyDescent="0.25">
      <c r="A237" s="812" t="s">
        <v>1996</v>
      </c>
      <c r="B237" s="812">
        <v>13</v>
      </c>
      <c r="C237" s="608">
        <v>39482</v>
      </c>
      <c r="D237" s="812">
        <v>99709</v>
      </c>
      <c r="E237" s="812" t="s">
        <v>1600</v>
      </c>
      <c r="F237" s="133">
        <v>3.9475770738637093</v>
      </c>
      <c r="G237" s="133">
        <v>1.0176191957024134</v>
      </c>
      <c r="H237" s="133">
        <v>1.6659690352602725</v>
      </c>
      <c r="I237" s="133">
        <v>1.0376077396815415</v>
      </c>
      <c r="J237" s="133">
        <v>1.0376077396815415</v>
      </c>
      <c r="K237" s="133">
        <v>5.0635799188416701E-2</v>
      </c>
      <c r="L237" s="133">
        <v>10.686573931911377</v>
      </c>
      <c r="M237" s="45">
        <v>20580.127904579669</v>
      </c>
    </row>
    <row r="238" spans="1:13" x14ac:dyDescent="0.25">
      <c r="A238" s="812" t="s">
        <v>1996</v>
      </c>
      <c r="B238" s="812">
        <v>13</v>
      </c>
      <c r="C238" s="608">
        <v>39482</v>
      </c>
      <c r="D238" s="812">
        <v>99712</v>
      </c>
      <c r="E238" s="812" t="s">
        <v>1601</v>
      </c>
      <c r="F238" s="133">
        <v>2.1432850963493468</v>
      </c>
      <c r="G238" s="133">
        <v>0.35015507074759933</v>
      </c>
      <c r="H238" s="133">
        <v>0.62738404474215159</v>
      </c>
      <c r="I238" s="133">
        <v>0.5651224418247206</v>
      </c>
      <c r="J238" s="133">
        <v>0.5651224418247206</v>
      </c>
      <c r="K238" s="133">
        <v>2.6128029666263212E-2</v>
      </c>
      <c r="L238" s="133">
        <v>5.8892397238193528</v>
      </c>
      <c r="M238" s="45">
        <v>7248.5140029036593</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7.3729211163348985E-5</v>
      </c>
      <c r="G250" s="133">
        <v>1.7879788808383749E-3</v>
      </c>
      <c r="H250" s="133">
        <v>1.131505382662265E-3</v>
      </c>
      <c r="I250" s="133">
        <v>5.4914244464312491E-5</v>
      </c>
      <c r="J250" s="133">
        <v>5.4914244464312491E-5</v>
      </c>
      <c r="K250" s="133">
        <v>3.9935811915925838E-5</v>
      </c>
      <c r="L250" s="133">
        <v>1.1530706937159193E-4</v>
      </c>
      <c r="M250" s="45">
        <v>28.442212971285706</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1.1420359216409244</v>
      </c>
      <c r="G252" s="133">
        <v>0.88020856016467497</v>
      </c>
      <c r="H252" s="133">
        <v>1.1563529993165749</v>
      </c>
      <c r="I252" s="133">
        <v>0.32226294936254141</v>
      </c>
      <c r="J252" s="133">
        <v>0.32226294936254141</v>
      </c>
      <c r="K252" s="133">
        <v>2.4432697281958585E-2</v>
      </c>
      <c r="L252" s="133">
        <v>3.2048808723107172</v>
      </c>
      <c r="M252" s="45">
        <v>16246.352932727679</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2.6628925548798314E-2</v>
      </c>
      <c r="G254" s="133">
        <v>1.7712395761584197E-2</v>
      </c>
      <c r="H254" s="133">
        <v>2.6692630718231195E-2</v>
      </c>
      <c r="I254" s="133">
        <v>8.6301231673632239E-3</v>
      </c>
      <c r="J254" s="133">
        <v>8.6301231673632239E-3</v>
      </c>
      <c r="K254" s="133">
        <v>5.0846743317407503E-4</v>
      </c>
      <c r="L254" s="133">
        <v>9.2309947515756996E-2</v>
      </c>
      <c r="M254" s="45">
        <v>339.47004172106824</v>
      </c>
    </row>
    <row r="255" spans="1:13" x14ac:dyDescent="0.25">
      <c r="A255" s="812" t="s">
        <v>1996</v>
      </c>
      <c r="B255" s="812">
        <v>14</v>
      </c>
      <c r="C255" s="608">
        <v>39483</v>
      </c>
      <c r="D255" s="812">
        <v>99705</v>
      </c>
      <c r="E255" s="812" t="s">
        <v>1599</v>
      </c>
      <c r="F255" s="133">
        <v>4.4840213190318527</v>
      </c>
      <c r="G255" s="133">
        <v>0.88406434305769344</v>
      </c>
      <c r="H255" s="133">
        <v>1.5066427154756621</v>
      </c>
      <c r="I255" s="133">
        <v>1.3388972921993247</v>
      </c>
      <c r="J255" s="133">
        <v>1.3388972921993247</v>
      </c>
      <c r="K255" s="133">
        <v>5.9515445710317361E-2</v>
      </c>
      <c r="L255" s="133">
        <v>14.581392180586564</v>
      </c>
      <c r="M255" s="45">
        <v>18085.553446175309</v>
      </c>
    </row>
    <row r="256" spans="1:13" x14ac:dyDescent="0.25">
      <c r="A256" s="812" t="s">
        <v>1996</v>
      </c>
      <c r="B256" s="812">
        <v>14</v>
      </c>
      <c r="C256" s="608">
        <v>39483</v>
      </c>
      <c r="D256" s="812">
        <v>99709</v>
      </c>
      <c r="E256" s="812" t="s">
        <v>1600</v>
      </c>
      <c r="F256" s="133">
        <v>3.9339214693518176</v>
      </c>
      <c r="G256" s="133">
        <v>1.0203261719402301</v>
      </c>
      <c r="H256" s="133">
        <v>1.6697043420694038</v>
      </c>
      <c r="I256" s="133">
        <v>1.0339894267498557</v>
      </c>
      <c r="J256" s="133">
        <v>1.0339894267498557</v>
      </c>
      <c r="K256" s="133">
        <v>5.049982405398102E-2</v>
      </c>
      <c r="L256" s="133">
        <v>10.646142588704919</v>
      </c>
      <c r="M256" s="45">
        <v>20627.461593196393</v>
      </c>
    </row>
    <row r="257" spans="1:13" x14ac:dyDescent="0.25">
      <c r="A257" s="812" t="s">
        <v>1996</v>
      </c>
      <c r="B257" s="812">
        <v>14</v>
      </c>
      <c r="C257" s="608">
        <v>39483</v>
      </c>
      <c r="D257" s="812">
        <v>99712</v>
      </c>
      <c r="E257" s="812" t="s">
        <v>1601</v>
      </c>
      <c r="F257" s="133">
        <v>2.0767683808819219</v>
      </c>
      <c r="G257" s="133">
        <v>0.34236197218164049</v>
      </c>
      <c r="H257" s="133">
        <v>0.61256326278434881</v>
      </c>
      <c r="I257" s="133">
        <v>0.54896238058935032</v>
      </c>
      <c r="J257" s="133">
        <v>0.54896238058935032</v>
      </c>
      <c r="K257" s="133">
        <v>2.538141430207819E-2</v>
      </c>
      <c r="L257" s="133">
        <v>5.7232416326333562</v>
      </c>
      <c r="M257" s="45">
        <v>7085.1081271467237</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7.4356392928820995E-5</v>
      </c>
      <c r="G269" s="133">
        <v>1.8038123615936278E-3</v>
      </c>
      <c r="H269" s="133">
        <v>1.1426971905703338E-3</v>
      </c>
      <c r="I269" s="133">
        <v>5.5315884541519588E-5</v>
      </c>
      <c r="J269" s="133">
        <v>5.5315884541519588E-5</v>
      </c>
      <c r="K269" s="133">
        <v>3.9957359906068005E-5</v>
      </c>
      <c r="L269" s="133">
        <v>1.1570101134731924E-4</v>
      </c>
      <c r="M269" s="45">
        <v>28.685872647352657</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1.1715340972695634</v>
      </c>
      <c r="G271" s="133">
        <v>0.88821545098545174</v>
      </c>
      <c r="H271" s="133">
        <v>1.1741392807256847</v>
      </c>
      <c r="I271" s="133">
        <v>0.32993012897213614</v>
      </c>
      <c r="J271" s="133">
        <v>0.32993012897213614</v>
      </c>
      <c r="K271" s="133">
        <v>2.4767430862167084E-2</v>
      </c>
      <c r="L271" s="133">
        <v>3.2840804840494764</v>
      </c>
      <c r="M271" s="45">
        <v>16426.727759971986</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2.722539283245233E-2</v>
      </c>
      <c r="G273" s="133">
        <v>1.7900994268480068E-2</v>
      </c>
      <c r="H273" s="133">
        <v>2.7099202374322839E-2</v>
      </c>
      <c r="I273" s="133">
        <v>8.8112067635227748E-3</v>
      </c>
      <c r="J273" s="133">
        <v>8.8112067635227748E-3</v>
      </c>
      <c r="K273" s="133">
        <v>5.1600392119264908E-4</v>
      </c>
      <c r="L273" s="133">
        <v>9.4305282993606743E-2</v>
      </c>
      <c r="M273" s="45">
        <v>343.65506155496223</v>
      </c>
    </row>
    <row r="274" spans="1:13" x14ac:dyDescent="0.25">
      <c r="A274" s="812" t="s">
        <v>1996</v>
      </c>
      <c r="B274" s="812">
        <v>15</v>
      </c>
      <c r="C274" s="608">
        <v>39484</v>
      </c>
      <c r="D274" s="812">
        <v>99705</v>
      </c>
      <c r="E274" s="812" t="s">
        <v>1599</v>
      </c>
      <c r="F274" s="133">
        <v>4.5997582248808184</v>
      </c>
      <c r="G274" s="133">
        <v>0.9027057617217481</v>
      </c>
      <c r="H274" s="133">
        <v>1.540856895516314</v>
      </c>
      <c r="I274" s="133">
        <v>1.3727885029118063</v>
      </c>
      <c r="J274" s="133">
        <v>1.3727885029118063</v>
      </c>
      <c r="K274" s="133">
        <v>6.0999798413791446E-2</v>
      </c>
      <c r="L274" s="133">
        <v>14.957634520023161</v>
      </c>
      <c r="M274" s="45">
        <v>18474.049248488653</v>
      </c>
    </row>
    <row r="275" spans="1:13" x14ac:dyDescent="0.25">
      <c r="A275" s="812" t="s">
        <v>1996</v>
      </c>
      <c r="B275" s="812">
        <v>15</v>
      </c>
      <c r="C275" s="608">
        <v>39484</v>
      </c>
      <c r="D275" s="812">
        <v>99709</v>
      </c>
      <c r="E275" s="812" t="s">
        <v>1600</v>
      </c>
      <c r="F275" s="133">
        <v>4.0375315279819706</v>
      </c>
      <c r="G275" s="133">
        <v>1.0363905282616512</v>
      </c>
      <c r="H275" s="133">
        <v>1.7023030976580791</v>
      </c>
      <c r="I275" s="133">
        <v>1.0588311670660095</v>
      </c>
      <c r="J275" s="133">
        <v>1.0588311670660095</v>
      </c>
      <c r="K275" s="133">
        <v>5.1591395083714943E-2</v>
      </c>
      <c r="L275" s="133">
        <v>10.896900107926253</v>
      </c>
      <c r="M275" s="45">
        <v>20978.10404980664</v>
      </c>
    </row>
    <row r="276" spans="1:13" x14ac:dyDescent="0.25">
      <c r="A276" s="812" t="s">
        <v>1996</v>
      </c>
      <c r="B276" s="812">
        <v>15</v>
      </c>
      <c r="C276" s="608">
        <v>39484</v>
      </c>
      <c r="D276" s="812">
        <v>99712</v>
      </c>
      <c r="E276" s="812" t="s">
        <v>1601</v>
      </c>
      <c r="F276" s="133">
        <v>2.0986758997634616</v>
      </c>
      <c r="G276" s="133">
        <v>0.34426798037209</v>
      </c>
      <c r="H276" s="133">
        <v>0.61625849868567695</v>
      </c>
      <c r="I276" s="133">
        <v>0.55327929490700034</v>
      </c>
      <c r="J276" s="133">
        <v>0.55327929490700034</v>
      </c>
      <c r="K276" s="133">
        <v>2.5598743406235271E-2</v>
      </c>
      <c r="L276" s="133">
        <v>5.7624613812406542</v>
      </c>
      <c r="M276" s="45">
        <v>7124.6249348831179</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7.4356392928820968E-5</v>
      </c>
      <c r="G288" s="133">
        <v>1.8038123615936271E-3</v>
      </c>
      <c r="H288" s="133">
        <v>1.142697190570333E-3</v>
      </c>
      <c r="I288" s="133">
        <v>5.5315884541519581E-5</v>
      </c>
      <c r="J288" s="133">
        <v>5.5315884541519581E-5</v>
      </c>
      <c r="K288" s="133">
        <v>3.9957359906067999E-5</v>
      </c>
      <c r="L288" s="133">
        <v>1.1570101134731921E-4</v>
      </c>
      <c r="M288" s="45">
        <v>28.685872647352657</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1.1848248101529923</v>
      </c>
      <c r="G290" s="133">
        <v>0.89614779445891168</v>
      </c>
      <c r="H290" s="133">
        <v>1.1849680234787421</v>
      </c>
      <c r="I290" s="133">
        <v>0.3333701718689579</v>
      </c>
      <c r="J290" s="133">
        <v>0.3333701718689579</v>
      </c>
      <c r="K290" s="133">
        <v>2.4920125509729246E-2</v>
      </c>
      <c r="L290" s="133">
        <v>3.3179487516754964</v>
      </c>
      <c r="M290" s="45">
        <v>16570.889667866915</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2.7472674454724268E-2</v>
      </c>
      <c r="G292" s="133">
        <v>1.8047219058188693E-2</v>
      </c>
      <c r="H292" s="133">
        <v>2.7314492235060876E-2</v>
      </c>
      <c r="I292" s="133">
        <v>8.888058508866906E-3</v>
      </c>
      <c r="J292" s="133">
        <v>8.888058508866906E-3</v>
      </c>
      <c r="K292" s="133">
        <v>5.1924202568551887E-4</v>
      </c>
      <c r="L292" s="133">
        <v>9.513181201866093E-2</v>
      </c>
      <c r="M292" s="45">
        <v>346.36827475249265</v>
      </c>
    </row>
    <row r="293" spans="1:13" x14ac:dyDescent="0.25">
      <c r="A293" s="812" t="s">
        <v>1996</v>
      </c>
      <c r="B293" s="812">
        <v>16</v>
      </c>
      <c r="C293" s="608">
        <v>39485</v>
      </c>
      <c r="D293" s="812">
        <v>99705</v>
      </c>
      <c r="E293" s="812" t="s">
        <v>1599</v>
      </c>
      <c r="F293" s="133">
        <v>4.6354185654283375</v>
      </c>
      <c r="G293" s="133">
        <v>0.90887921186628018</v>
      </c>
      <c r="H293" s="133">
        <v>1.5511637328012859</v>
      </c>
      <c r="I293" s="133">
        <v>1.382595999082282</v>
      </c>
      <c r="J293" s="133">
        <v>1.382595999082282</v>
      </c>
      <c r="K293" s="133">
        <v>6.1437608068145265E-2</v>
      </c>
      <c r="L293" s="133">
        <v>15.063546894123613</v>
      </c>
      <c r="M293" s="45">
        <v>18597.522606996368</v>
      </c>
    </row>
    <row r="294" spans="1:13" x14ac:dyDescent="0.25">
      <c r="A294" s="812" t="s">
        <v>1996</v>
      </c>
      <c r="B294" s="812">
        <v>16</v>
      </c>
      <c r="C294" s="608">
        <v>39485</v>
      </c>
      <c r="D294" s="812">
        <v>99709</v>
      </c>
      <c r="E294" s="812" t="s">
        <v>1600</v>
      </c>
      <c r="F294" s="133">
        <v>4.1994929918005299</v>
      </c>
      <c r="G294" s="133">
        <v>1.0609032913881735</v>
      </c>
      <c r="H294" s="133">
        <v>1.7458512947334861</v>
      </c>
      <c r="I294" s="133">
        <v>1.0992562576861507</v>
      </c>
      <c r="J294" s="133">
        <v>1.0992562576861507</v>
      </c>
      <c r="K294" s="133">
        <v>5.3322557066460143E-2</v>
      </c>
      <c r="L294" s="133">
        <v>11.314672992148019</v>
      </c>
      <c r="M294" s="45">
        <v>21487.489499156622</v>
      </c>
    </row>
    <row r="295" spans="1:13" x14ac:dyDescent="0.25">
      <c r="A295" s="812" t="s">
        <v>1996</v>
      </c>
      <c r="B295" s="812">
        <v>16</v>
      </c>
      <c r="C295" s="608">
        <v>39485</v>
      </c>
      <c r="D295" s="812">
        <v>99712</v>
      </c>
      <c r="E295" s="812" t="s">
        <v>1601</v>
      </c>
      <c r="F295" s="133">
        <v>2.2441696809074037</v>
      </c>
      <c r="G295" s="133">
        <v>0.36260141333499535</v>
      </c>
      <c r="H295" s="133">
        <v>0.65008825100042833</v>
      </c>
      <c r="I295" s="133">
        <v>0.5892456172638959</v>
      </c>
      <c r="J295" s="133">
        <v>0.5892456172638959</v>
      </c>
      <c r="K295" s="133">
        <v>2.7250338957744136E-2</v>
      </c>
      <c r="L295" s="133">
        <v>6.1348063229888394</v>
      </c>
      <c r="M295" s="45">
        <v>7504.7132954094241</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7.498357469429291E-5</v>
      </c>
      <c r="G307" s="133">
        <v>1.8196458423488798E-3</v>
      </c>
      <c r="H307" s="133">
        <v>1.1538889984784018E-3</v>
      </c>
      <c r="I307" s="133">
        <v>5.5717524618726677E-5</v>
      </c>
      <c r="J307" s="133">
        <v>5.5717524618726677E-5</v>
      </c>
      <c r="K307" s="133">
        <v>3.9978907896210159E-5</v>
      </c>
      <c r="L307" s="133">
        <v>1.1609495332304651E-4</v>
      </c>
      <c r="M307" s="45">
        <v>28.9295323234196</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1.1528230287313639</v>
      </c>
      <c r="G309" s="133">
        <v>0.87417386653322793</v>
      </c>
      <c r="H309" s="133">
        <v>1.1566000356335817</v>
      </c>
      <c r="I309" s="133">
        <v>0.32485438144191192</v>
      </c>
      <c r="J309" s="133">
        <v>0.32485438144191192</v>
      </c>
      <c r="K309" s="133">
        <v>2.4546247112715847E-2</v>
      </c>
      <c r="L309" s="133">
        <v>3.2338917359105035</v>
      </c>
      <c r="M309" s="45">
        <v>16179.593490688234</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2.6846745751079103E-2</v>
      </c>
      <c r="G311" s="133">
        <v>1.7644492359681345E-2</v>
      </c>
      <c r="H311" s="133">
        <v>2.6745949638439456E-2</v>
      </c>
      <c r="I311" s="133">
        <v>8.692568712147691E-3</v>
      </c>
      <c r="J311" s="133">
        <v>8.692568712147691E-3</v>
      </c>
      <c r="K311" s="133">
        <v>5.1099710052508903E-4</v>
      </c>
      <c r="L311" s="133">
        <v>9.3038469201822502E-2</v>
      </c>
      <c r="M311" s="45">
        <v>339.02512552501975</v>
      </c>
    </row>
    <row r="312" spans="1:13" x14ac:dyDescent="0.25">
      <c r="A312" s="812" t="s">
        <v>1996</v>
      </c>
      <c r="B312" s="812">
        <v>17</v>
      </c>
      <c r="C312" s="608">
        <v>39486</v>
      </c>
      <c r="D312" s="812">
        <v>99705</v>
      </c>
      <c r="E312" s="812" t="s">
        <v>1599</v>
      </c>
      <c r="F312" s="133">
        <v>4.5142124364374903</v>
      </c>
      <c r="G312" s="133">
        <v>0.88692280796574441</v>
      </c>
      <c r="H312" s="133">
        <v>1.5141087379492684</v>
      </c>
      <c r="I312" s="133">
        <v>1.347487624131857</v>
      </c>
      <c r="J312" s="133">
        <v>1.347487624131857</v>
      </c>
      <c r="K312" s="133">
        <v>5.9894321671988514E-2</v>
      </c>
      <c r="L312" s="133">
        <v>14.676296581544049</v>
      </c>
      <c r="M312" s="45">
        <v>18155.697096097854</v>
      </c>
    </row>
    <row r="313" spans="1:13" x14ac:dyDescent="0.25">
      <c r="A313" s="812" t="s">
        <v>1996</v>
      </c>
      <c r="B313" s="812">
        <v>17</v>
      </c>
      <c r="C313" s="608">
        <v>39486</v>
      </c>
      <c r="D313" s="812">
        <v>99709</v>
      </c>
      <c r="E313" s="812" t="s">
        <v>1600</v>
      </c>
      <c r="F313" s="133">
        <v>4.058928803408369</v>
      </c>
      <c r="G313" s="133">
        <v>1.0324976714701075</v>
      </c>
      <c r="H313" s="133">
        <v>1.6988835565534379</v>
      </c>
      <c r="I313" s="133">
        <v>1.0653218249542318</v>
      </c>
      <c r="J313" s="133">
        <v>1.0653218249542318</v>
      </c>
      <c r="K313" s="133">
        <v>5.1836841947226507E-2</v>
      </c>
      <c r="L313" s="133">
        <v>10.97290959723496</v>
      </c>
      <c r="M313" s="45">
        <v>20919.510433371626</v>
      </c>
    </row>
    <row r="314" spans="1:13" x14ac:dyDescent="0.25">
      <c r="A314" s="812" t="s">
        <v>1996</v>
      </c>
      <c r="B314" s="812">
        <v>17</v>
      </c>
      <c r="C314" s="608">
        <v>39486</v>
      </c>
      <c r="D314" s="812">
        <v>99712</v>
      </c>
      <c r="E314" s="812" t="s">
        <v>1601</v>
      </c>
      <c r="F314" s="133">
        <v>2.1790344533351025</v>
      </c>
      <c r="G314" s="133">
        <v>0.3541770231428491</v>
      </c>
      <c r="H314" s="133">
        <v>0.63515165843278842</v>
      </c>
      <c r="I314" s="133">
        <v>0.57378601259204254</v>
      </c>
      <c r="J314" s="133">
        <v>0.57378601259204254</v>
      </c>
      <c r="K314" s="133">
        <v>2.6529588161529363E-2</v>
      </c>
      <c r="L314" s="133">
        <v>5.9782308358280307</v>
      </c>
      <c r="M314" s="45">
        <v>7333.3117643544665</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7.3102029397877042E-5</v>
      </c>
      <c r="G326" s="133">
        <v>1.7721454000831219E-3</v>
      </c>
      <c r="H326" s="133">
        <v>1.1203135747541964E-3</v>
      </c>
      <c r="I326" s="133">
        <v>5.4512604387105381E-5</v>
      </c>
      <c r="J326" s="133">
        <v>5.4512604387105381E-5</v>
      </c>
      <c r="K326" s="133">
        <v>3.9914263925783671E-5</v>
      </c>
      <c r="L326" s="133">
        <v>1.1491312739586463E-4</v>
      </c>
      <c r="M326" s="45">
        <v>28.198553295218765</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0.9823135604672204</v>
      </c>
      <c r="G328" s="133">
        <v>0.80704762148343556</v>
      </c>
      <c r="H328" s="133">
        <v>1.0474731432589415</v>
      </c>
      <c r="I328" s="133">
        <v>0.28456600079094563</v>
      </c>
      <c r="J328" s="133">
        <v>0.28456600079094563</v>
      </c>
      <c r="K328" s="133">
        <v>2.2722399353164863E-2</v>
      </c>
      <c r="L328" s="133">
        <v>2.8488784733432126</v>
      </c>
      <c r="M328" s="45">
        <v>14873.134873214043</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2.3139231717023534E-2</v>
      </c>
      <c r="G330" s="133">
        <v>1.6121376413605684E-2</v>
      </c>
      <c r="H330" s="133">
        <v>2.4027543551762894E-2</v>
      </c>
      <c r="I330" s="133">
        <v>7.6457878481913603E-3</v>
      </c>
      <c r="J330" s="133">
        <v>7.6457878481913603E-3</v>
      </c>
      <c r="K330" s="133">
        <v>4.6678076220126182E-4</v>
      </c>
      <c r="L330" s="133">
        <v>8.2132052620801671E-2</v>
      </c>
      <c r="M330" s="45">
        <v>308.28757428517201</v>
      </c>
    </row>
    <row r="331" spans="1:13" x14ac:dyDescent="0.25">
      <c r="A331" s="812" t="s">
        <v>1996</v>
      </c>
      <c r="B331" s="812">
        <v>18</v>
      </c>
      <c r="C331" s="608">
        <v>39487</v>
      </c>
      <c r="D331" s="812">
        <v>99705</v>
      </c>
      <c r="E331" s="812" t="s">
        <v>1599</v>
      </c>
      <c r="F331" s="133">
        <v>3.7050358850308718</v>
      </c>
      <c r="G331" s="133">
        <v>0.76306684815848147</v>
      </c>
      <c r="H331" s="133">
        <v>1.2922878349319828</v>
      </c>
      <c r="I331" s="133">
        <v>1.1263388195573176</v>
      </c>
      <c r="J331" s="133">
        <v>1.1263388195573176</v>
      </c>
      <c r="K331" s="133">
        <v>5.0241752181246629E-2</v>
      </c>
      <c r="L331" s="133">
        <v>12.324754347159061</v>
      </c>
      <c r="M331" s="45">
        <v>15597.163421957182</v>
      </c>
    </row>
    <row r="332" spans="1:13" x14ac:dyDescent="0.25">
      <c r="A332" s="812" t="s">
        <v>1996</v>
      </c>
      <c r="B332" s="812">
        <v>18</v>
      </c>
      <c r="C332" s="608">
        <v>39487</v>
      </c>
      <c r="D332" s="812">
        <v>99709</v>
      </c>
      <c r="E332" s="812" t="s">
        <v>1600</v>
      </c>
      <c r="F332" s="133">
        <v>3.2846595335856619</v>
      </c>
      <c r="G332" s="133">
        <v>0.9152653580511797</v>
      </c>
      <c r="H332" s="133">
        <v>1.4858189019166677</v>
      </c>
      <c r="I332" s="133">
        <v>0.88748481516269373</v>
      </c>
      <c r="J332" s="133">
        <v>0.88748481516269373</v>
      </c>
      <c r="K332" s="133">
        <v>4.393814719245856E-2</v>
      </c>
      <c r="L332" s="133">
        <v>9.2302310446701856</v>
      </c>
      <c r="M332" s="45">
        <v>18482.202155745155</v>
      </c>
    </row>
    <row r="333" spans="1:13" x14ac:dyDescent="0.25">
      <c r="A333" s="812" t="s">
        <v>1996</v>
      </c>
      <c r="B333" s="812">
        <v>18</v>
      </c>
      <c r="C333" s="608">
        <v>39487</v>
      </c>
      <c r="D333" s="812">
        <v>99712</v>
      </c>
      <c r="E333" s="812" t="s">
        <v>1601</v>
      </c>
      <c r="F333" s="133">
        <v>1.6941202032268663</v>
      </c>
      <c r="G333" s="133">
        <v>0.2976431308080163</v>
      </c>
      <c r="H333" s="133">
        <v>0.5311995820038925</v>
      </c>
      <c r="I333" s="133">
        <v>0.46056357870286163</v>
      </c>
      <c r="J333" s="133">
        <v>0.46056357870286163</v>
      </c>
      <c r="K333" s="133">
        <v>2.1294316842903307E-2</v>
      </c>
      <c r="L333" s="133">
        <v>4.8511606086654098</v>
      </c>
      <c r="M333" s="45">
        <v>6164.0056945952974</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6.9338938805045292E-5</v>
      </c>
      <c r="G345" s="133">
        <v>1.6771445155516053E-3</v>
      </c>
      <c r="H345" s="133">
        <v>1.0531627273057855E-3</v>
      </c>
      <c r="I345" s="133">
        <v>5.2102763923862817E-5</v>
      </c>
      <c r="J345" s="133">
        <v>5.2102763923862817E-5</v>
      </c>
      <c r="K345" s="133">
        <v>3.9784975984930729E-5</v>
      </c>
      <c r="L345" s="133">
        <v>1.1254947554150091E-4</v>
      </c>
      <c r="M345" s="45">
        <v>26.736595238817081</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1.0424918249250665</v>
      </c>
      <c r="G347" s="133">
        <v>0.82714144617155205</v>
      </c>
      <c r="H347" s="133">
        <v>1.0854605492331222</v>
      </c>
      <c r="I347" s="133">
        <v>0.29972258070817615</v>
      </c>
      <c r="J347" s="133">
        <v>0.29972258070817615</v>
      </c>
      <c r="K347" s="133">
        <v>2.339647029082734E-2</v>
      </c>
      <c r="L347" s="133">
        <v>3.0016126957798206</v>
      </c>
      <c r="M347" s="45">
        <v>15291.565301128712</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2.4637866429082278E-2</v>
      </c>
      <c r="G349" s="133">
        <v>1.6669397700586602E-2</v>
      </c>
      <c r="H349" s="133">
        <v>2.5110462941778433E-2</v>
      </c>
      <c r="I349" s="133">
        <v>8.1036384099977977E-3</v>
      </c>
      <c r="J349" s="133">
        <v>8.1036384099977977E-3</v>
      </c>
      <c r="K349" s="133">
        <v>4.8578851790888192E-4</v>
      </c>
      <c r="L349" s="133">
        <v>8.7157948312008529E-2</v>
      </c>
      <c r="M349" s="45">
        <v>319.92706618620753</v>
      </c>
    </row>
    <row r="350" spans="1:13" x14ac:dyDescent="0.25">
      <c r="A350" s="812" t="s">
        <v>1996</v>
      </c>
      <c r="B350" s="812">
        <v>19</v>
      </c>
      <c r="C350" s="608">
        <v>39488</v>
      </c>
      <c r="D350" s="812">
        <v>99705</v>
      </c>
      <c r="E350" s="812" t="s">
        <v>1599</v>
      </c>
      <c r="F350" s="133">
        <v>4.0002717957577456</v>
      </c>
      <c r="G350" s="133">
        <v>0.80934314403067642</v>
      </c>
      <c r="H350" s="133">
        <v>1.3758196459695426</v>
      </c>
      <c r="I350" s="133">
        <v>1.2106804068686308</v>
      </c>
      <c r="J350" s="133">
        <v>1.2106804068686308</v>
      </c>
      <c r="K350" s="133">
        <v>5.3910696481462357E-2</v>
      </c>
      <c r="L350" s="133">
        <v>13.251116278315093</v>
      </c>
      <c r="M350" s="45">
        <v>16557.928405659037</v>
      </c>
    </row>
    <row r="351" spans="1:13" x14ac:dyDescent="0.25">
      <c r="A351" s="812" t="s">
        <v>1996</v>
      </c>
      <c r="B351" s="812">
        <v>19</v>
      </c>
      <c r="C351" s="608">
        <v>39488</v>
      </c>
      <c r="D351" s="812">
        <v>99709</v>
      </c>
      <c r="E351" s="812" t="s">
        <v>1600</v>
      </c>
      <c r="F351" s="133">
        <v>3.5798469248515703</v>
      </c>
      <c r="G351" s="133">
        <v>0.95941965729530032</v>
      </c>
      <c r="H351" s="133">
        <v>1.5690832722450714</v>
      </c>
      <c r="I351" s="133">
        <v>0.95926745974497263</v>
      </c>
      <c r="J351" s="133">
        <v>0.95926745974497263</v>
      </c>
      <c r="K351" s="133">
        <v>4.7077638058519437E-2</v>
      </c>
      <c r="L351" s="133">
        <v>9.9619794569781437</v>
      </c>
      <c r="M351" s="45">
        <v>19417.951399897665</v>
      </c>
    </row>
    <row r="352" spans="1:13" x14ac:dyDescent="0.25">
      <c r="A352" s="812" t="s">
        <v>1996</v>
      </c>
      <c r="B352" s="812">
        <v>19</v>
      </c>
      <c r="C352" s="608">
        <v>39488</v>
      </c>
      <c r="D352" s="812">
        <v>99712</v>
      </c>
      <c r="E352" s="812" t="s">
        <v>1601</v>
      </c>
      <c r="F352" s="133">
        <v>1.8693643421838542</v>
      </c>
      <c r="G352" s="133">
        <v>0.31860422751610062</v>
      </c>
      <c r="H352" s="133">
        <v>0.57006709360392804</v>
      </c>
      <c r="I352" s="133">
        <v>0.50251402820824842</v>
      </c>
      <c r="J352" s="133">
        <v>0.50251402820824842</v>
      </c>
      <c r="K352" s="133">
        <v>2.324562925260678E-2</v>
      </c>
      <c r="L352" s="133">
        <v>5.278718994327205</v>
      </c>
      <c r="M352" s="45">
        <v>6598.3476835384708</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6.9966120570517262E-5</v>
      </c>
      <c r="G364" s="133">
        <v>1.692977996306858E-3</v>
      </c>
      <c r="H364" s="133">
        <v>1.0643545352138544E-3</v>
      </c>
      <c r="I364" s="133">
        <v>5.250440400106992E-5</v>
      </c>
      <c r="J364" s="133">
        <v>5.250440400106992E-5</v>
      </c>
      <c r="K364" s="133">
        <v>3.9806523975072876E-5</v>
      </c>
      <c r="L364" s="133">
        <v>1.1294341751722818E-4</v>
      </c>
      <c r="M364" s="45">
        <v>26.980254914884032</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0.70696116498034367</v>
      </c>
      <c r="G366" s="133">
        <v>0.63983380031140491</v>
      </c>
      <c r="H366" s="133">
        <v>0.78551970940954696</v>
      </c>
      <c r="I366" s="133">
        <v>0.21310400182637487</v>
      </c>
      <c r="J366" s="133">
        <v>0.21310400182637487</v>
      </c>
      <c r="K366" s="133">
        <v>2.8000696690857359E-2</v>
      </c>
      <c r="L366" s="133">
        <v>2.1309518576505631</v>
      </c>
      <c r="M366" s="45">
        <v>12044.399033634736</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1.7202395825502464E-2</v>
      </c>
      <c r="G368" s="133">
        <v>1.2671789656313529E-2</v>
      </c>
      <c r="H368" s="133">
        <v>1.8240658782622422E-2</v>
      </c>
      <c r="I368" s="133">
        <v>5.8084801015823653E-3</v>
      </c>
      <c r="J368" s="133">
        <v>5.8084801015823653E-3</v>
      </c>
      <c r="K368" s="133">
        <v>5.1055887157022012E-4</v>
      </c>
      <c r="L368" s="133">
        <v>6.2213844581072715E-2</v>
      </c>
      <c r="M368" s="45">
        <v>246.22298351304602</v>
      </c>
    </row>
    <row r="369" spans="1:13" x14ac:dyDescent="0.25">
      <c r="A369" s="812" t="s">
        <v>1999</v>
      </c>
      <c r="B369" s="812">
        <v>1</v>
      </c>
      <c r="C369" s="608">
        <v>39754</v>
      </c>
      <c r="D369" s="812">
        <v>99705</v>
      </c>
      <c r="E369" s="812" t="s">
        <v>1599</v>
      </c>
      <c r="F369" s="133">
        <v>2.9491420948751581</v>
      </c>
      <c r="G369" s="133">
        <v>0.62216430655072241</v>
      </c>
      <c r="H369" s="133">
        <v>1.0482139669659511</v>
      </c>
      <c r="I369" s="133">
        <v>0.90624180825644329</v>
      </c>
      <c r="J369" s="133">
        <v>0.90624180825644329</v>
      </c>
      <c r="K369" s="133">
        <v>4.2432657683670216E-2</v>
      </c>
      <c r="L369" s="133">
        <v>9.8883574112539208</v>
      </c>
      <c r="M369" s="45">
        <v>12788.792516356629</v>
      </c>
    </row>
    <row r="370" spans="1:13" x14ac:dyDescent="0.25">
      <c r="A370" s="812" t="s">
        <v>1999</v>
      </c>
      <c r="B370" s="812">
        <v>1</v>
      </c>
      <c r="C370" s="608">
        <v>39754</v>
      </c>
      <c r="D370" s="812">
        <v>99709</v>
      </c>
      <c r="E370" s="812" t="s">
        <v>1600</v>
      </c>
      <c r="F370" s="133">
        <v>2.4136037908877399</v>
      </c>
      <c r="G370" s="133">
        <v>0.72656561936420261</v>
      </c>
      <c r="H370" s="133">
        <v>1.1563831822935757</v>
      </c>
      <c r="I370" s="133">
        <v>0.67182188890292238</v>
      </c>
      <c r="J370" s="133">
        <v>0.67182188890292238</v>
      </c>
      <c r="K370" s="133">
        <v>3.9427483334788356E-2</v>
      </c>
      <c r="L370" s="133">
        <v>7.0224928174817185</v>
      </c>
      <c r="M370" s="45">
        <v>14825.121971815322</v>
      </c>
    </row>
    <row r="371" spans="1:13" x14ac:dyDescent="0.25">
      <c r="A371" s="812" t="s">
        <v>1999</v>
      </c>
      <c r="B371" s="812">
        <v>1</v>
      </c>
      <c r="C371" s="608">
        <v>39754</v>
      </c>
      <c r="D371" s="812">
        <v>99712</v>
      </c>
      <c r="E371" s="812" t="s">
        <v>1601</v>
      </c>
      <c r="F371" s="133">
        <v>1.3510258262287123</v>
      </c>
      <c r="G371" s="133">
        <v>0.24845087659018605</v>
      </c>
      <c r="H371" s="133">
        <v>0.44349269779943257</v>
      </c>
      <c r="I371" s="133">
        <v>0.37488468135851927</v>
      </c>
      <c r="J371" s="133">
        <v>0.37488468135851927</v>
      </c>
      <c r="K371" s="133">
        <v>1.7826975443352204E-2</v>
      </c>
      <c r="L371" s="133">
        <v>3.9595670207247617</v>
      </c>
      <c r="M371" s="45">
        <v>5172.3727968331887</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5.930101865646518E-5</v>
      </c>
      <c r="G383" s="133">
        <v>1.361731598631814E-3</v>
      </c>
      <c r="H383" s="133">
        <v>7.1836603909815756E-4</v>
      </c>
      <c r="I383" s="133">
        <v>5.2182516043722249E-5</v>
      </c>
      <c r="J383" s="133">
        <v>5.2182516043722249E-5</v>
      </c>
      <c r="K383" s="133">
        <v>7.1056837428224725E-5</v>
      </c>
      <c r="L383" s="133">
        <v>1.6456781856479969E-4</v>
      </c>
      <c r="M383" s="45">
        <v>22.66651252328591</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0.66511785915766919</v>
      </c>
      <c r="G385" s="133">
        <v>0.59692725859699625</v>
      </c>
      <c r="H385" s="133">
        <v>0.73184317373820873</v>
      </c>
      <c r="I385" s="133">
        <v>0.19800284093499004</v>
      </c>
      <c r="J385" s="133">
        <v>0.19800284093499004</v>
      </c>
      <c r="K385" s="133">
        <v>2.7385563634033282E-2</v>
      </c>
      <c r="L385" s="133">
        <v>1.9621439538587064</v>
      </c>
      <c r="M385" s="45">
        <v>11286.988120370675</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1.6055434531622153E-2</v>
      </c>
      <c r="G387" s="133">
        <v>1.1787736479908781E-2</v>
      </c>
      <c r="H387" s="133">
        <v>1.695636733835133E-2</v>
      </c>
      <c r="I387" s="133">
        <v>5.3493860753428641E-3</v>
      </c>
      <c r="J387" s="133">
        <v>5.3493860753428641E-3</v>
      </c>
      <c r="K387" s="133">
        <v>4.9245464628727459E-4</v>
      </c>
      <c r="L387" s="133">
        <v>5.6755964065964497E-2</v>
      </c>
      <c r="M387" s="45">
        <v>229.83746325899196</v>
      </c>
    </row>
    <row r="388" spans="1:13" x14ac:dyDescent="0.25">
      <c r="A388" s="812" t="s">
        <v>1999</v>
      </c>
      <c r="B388" s="812">
        <v>2</v>
      </c>
      <c r="C388" s="608">
        <v>39755</v>
      </c>
      <c r="D388" s="812">
        <v>99705</v>
      </c>
      <c r="E388" s="812" t="s">
        <v>1599</v>
      </c>
      <c r="F388" s="133">
        <v>2.8245035399456468</v>
      </c>
      <c r="G388" s="133">
        <v>0.58523661951776129</v>
      </c>
      <c r="H388" s="133">
        <v>0.98898047506627673</v>
      </c>
      <c r="I388" s="133">
        <v>0.85348869961187956</v>
      </c>
      <c r="J388" s="133">
        <v>0.85348869961187956</v>
      </c>
      <c r="K388" s="133">
        <v>4.0188684999223429E-2</v>
      </c>
      <c r="L388" s="133">
        <v>9.202376636797938</v>
      </c>
      <c r="M388" s="45">
        <v>12057.048796649931</v>
      </c>
    </row>
    <row r="389" spans="1:13" x14ac:dyDescent="0.25">
      <c r="A389" s="812" t="s">
        <v>1999</v>
      </c>
      <c r="B389" s="812">
        <v>2</v>
      </c>
      <c r="C389" s="608">
        <v>39755</v>
      </c>
      <c r="D389" s="812">
        <v>99709</v>
      </c>
      <c r="E389" s="812" t="s">
        <v>1600</v>
      </c>
      <c r="F389" s="133">
        <v>2.3966789813836478</v>
      </c>
      <c r="G389" s="133">
        <v>0.69443068353695014</v>
      </c>
      <c r="H389" s="133">
        <v>1.11276177901266</v>
      </c>
      <c r="I389" s="133">
        <v>0.65313534102709281</v>
      </c>
      <c r="J389" s="133">
        <v>0.65313534102709281</v>
      </c>
      <c r="K389" s="133">
        <v>3.8772128326007876E-2</v>
      </c>
      <c r="L389" s="133">
        <v>6.7504921255128334</v>
      </c>
      <c r="M389" s="45">
        <v>14225.192655279192</v>
      </c>
    </row>
    <row r="390" spans="1:13" x14ac:dyDescent="0.25">
      <c r="A390" s="812" t="s">
        <v>1999</v>
      </c>
      <c r="B390" s="812">
        <v>2</v>
      </c>
      <c r="C390" s="608">
        <v>39755</v>
      </c>
      <c r="D390" s="812">
        <v>99712</v>
      </c>
      <c r="E390" s="812" t="s">
        <v>1601</v>
      </c>
      <c r="F390" s="133">
        <v>1.362091998422077</v>
      </c>
      <c r="G390" s="133">
        <v>0.24195768178760158</v>
      </c>
      <c r="H390" s="133">
        <v>0.43347052482556669</v>
      </c>
      <c r="I390" s="133">
        <v>0.36997335878710408</v>
      </c>
      <c r="J390" s="133">
        <v>0.36997335878710408</v>
      </c>
      <c r="K390" s="133">
        <v>1.7655758431017847E-2</v>
      </c>
      <c r="L390" s="133">
        <v>3.859592116212724</v>
      </c>
      <c r="M390" s="45">
        <v>5045.0387267020951</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5.5537928063633437E-5</v>
      </c>
      <c r="G402" s="133">
        <v>1.2667307141002971E-3</v>
      </c>
      <c r="H402" s="133">
        <v>6.5121519164974676E-4</v>
      </c>
      <c r="I402" s="133">
        <v>4.9772675580479672E-5</v>
      </c>
      <c r="J402" s="133">
        <v>4.9772675580479672E-5</v>
      </c>
      <c r="K402" s="133">
        <v>7.0927549487371762E-5</v>
      </c>
      <c r="L402" s="133">
        <v>1.6220416671043598E-4</v>
      </c>
      <c r="M402" s="45">
        <v>21.204554466884229</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0.62366273977939279</v>
      </c>
      <c r="G404" s="133">
        <v>0.5903956402210554</v>
      </c>
      <c r="H404" s="133">
        <v>0.71048032319359011</v>
      </c>
      <c r="I404" s="133">
        <v>0.18748573949709441</v>
      </c>
      <c r="J404" s="133">
        <v>0.18748573949709441</v>
      </c>
      <c r="K404" s="133">
        <v>2.6923292559597911E-2</v>
      </c>
      <c r="L404" s="133">
        <v>1.8530587843463584</v>
      </c>
      <c r="M404" s="45">
        <v>11105.340982533569</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1.5158655770046098E-2</v>
      </c>
      <c r="G406" s="133">
        <v>1.1568002041646593E-2</v>
      </c>
      <c r="H406" s="133">
        <v>1.6381944179505888E-2</v>
      </c>
      <c r="I406" s="133">
        <v>5.0779641242888404E-3</v>
      </c>
      <c r="J406" s="133">
        <v>5.0779641242888404E-3</v>
      </c>
      <c r="K406" s="133">
        <v>4.8128224863821866E-4</v>
      </c>
      <c r="L406" s="133">
        <v>5.3743476405797762E-2</v>
      </c>
      <c r="M406" s="45">
        <v>224.4265387108918</v>
      </c>
    </row>
    <row r="407" spans="1:13" x14ac:dyDescent="0.25">
      <c r="A407" s="812" t="s">
        <v>1999</v>
      </c>
      <c r="B407" s="812">
        <v>3</v>
      </c>
      <c r="C407" s="608">
        <v>39756</v>
      </c>
      <c r="D407" s="812">
        <v>99705</v>
      </c>
      <c r="E407" s="812" t="s">
        <v>1599</v>
      </c>
      <c r="F407" s="133">
        <v>2.628961848978133</v>
      </c>
      <c r="G407" s="133">
        <v>0.55524676184519084</v>
      </c>
      <c r="H407" s="133">
        <v>0.93318185552065791</v>
      </c>
      <c r="I407" s="133">
        <v>0.79647006918707342</v>
      </c>
      <c r="J407" s="133">
        <v>0.79647006918707342</v>
      </c>
      <c r="K407" s="133">
        <v>3.7711649311195743E-2</v>
      </c>
      <c r="L407" s="133">
        <v>8.5703557500161107</v>
      </c>
      <c r="M407" s="45">
        <v>11427.463006947241</v>
      </c>
    </row>
    <row r="408" spans="1:13" x14ac:dyDescent="0.25">
      <c r="A408" s="812" t="s">
        <v>1999</v>
      </c>
      <c r="B408" s="812">
        <v>3</v>
      </c>
      <c r="C408" s="608">
        <v>39756</v>
      </c>
      <c r="D408" s="812">
        <v>99709</v>
      </c>
      <c r="E408" s="812" t="s">
        <v>1600</v>
      </c>
      <c r="F408" s="133">
        <v>2.2873846441796677</v>
      </c>
      <c r="G408" s="133">
        <v>0.67960567598041033</v>
      </c>
      <c r="H408" s="133">
        <v>1.0793530455758853</v>
      </c>
      <c r="I408" s="133">
        <v>0.62657037851025277</v>
      </c>
      <c r="J408" s="133">
        <v>0.62657037851025277</v>
      </c>
      <c r="K408" s="133">
        <v>3.7609424795861594E-2</v>
      </c>
      <c r="L408" s="133">
        <v>6.4795976431567421</v>
      </c>
      <c r="M408" s="45">
        <v>13885.268799689282</v>
      </c>
    </row>
    <row r="409" spans="1:13" x14ac:dyDescent="0.25">
      <c r="A409" s="812" t="s">
        <v>1999</v>
      </c>
      <c r="B409" s="812">
        <v>3</v>
      </c>
      <c r="C409" s="608">
        <v>39756</v>
      </c>
      <c r="D409" s="812">
        <v>99712</v>
      </c>
      <c r="E409" s="812" t="s">
        <v>1601</v>
      </c>
      <c r="F409" s="133">
        <v>1.308114613689471</v>
      </c>
      <c r="G409" s="133">
        <v>0.23563645199390379</v>
      </c>
      <c r="H409" s="133">
        <v>0.42127924822076002</v>
      </c>
      <c r="I409" s="133">
        <v>0.35698180891208686</v>
      </c>
      <c r="J409" s="133">
        <v>0.35698180891208686</v>
      </c>
      <c r="K409" s="133">
        <v>1.7055124785443049E-2</v>
      </c>
      <c r="L409" s="133">
        <v>3.7268797382240728</v>
      </c>
      <c r="M409" s="45">
        <v>4911.8585542953397</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5.6165109829105393E-5</v>
      </c>
      <c r="G421" s="133">
        <v>1.2825641948555496E-3</v>
      </c>
      <c r="H421" s="133">
        <v>6.6240699955781503E-4</v>
      </c>
      <c r="I421" s="133">
        <v>5.0174315657686768E-5</v>
      </c>
      <c r="J421" s="133">
        <v>5.0174315657686768E-5</v>
      </c>
      <c r="K421" s="133">
        <v>7.0949097477513896E-5</v>
      </c>
      <c r="L421" s="133">
        <v>1.625981086861632E-4</v>
      </c>
      <c r="M421" s="45">
        <v>21.448214142951176</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0.6827739334270746</v>
      </c>
      <c r="G423" s="133">
        <v>0.63739308661604221</v>
      </c>
      <c r="H423" s="133">
        <v>0.76715149791514359</v>
      </c>
      <c r="I423" s="133">
        <v>0.20331331224922961</v>
      </c>
      <c r="J423" s="133">
        <v>0.20331331224922961</v>
      </c>
      <c r="K423" s="133">
        <v>2.7618591462661057E-2</v>
      </c>
      <c r="L423" s="133">
        <v>2.007459239704986</v>
      </c>
      <c r="M423" s="45">
        <v>11921.785470756549</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1.6494765548266409E-2</v>
      </c>
      <c r="G425" s="133">
        <v>1.2487642063719129E-2</v>
      </c>
      <c r="H425" s="133">
        <v>1.7669576263962726E-2</v>
      </c>
      <c r="I425" s="133">
        <v>5.5000850107345973E-3</v>
      </c>
      <c r="J425" s="133">
        <v>5.5000850107345973E-3</v>
      </c>
      <c r="K425" s="133">
        <v>4.9879477928638628E-4</v>
      </c>
      <c r="L425" s="133">
        <v>5.8257795004367091E-2</v>
      </c>
      <c r="M425" s="45">
        <v>241.14266613326168</v>
      </c>
    </row>
    <row r="426" spans="1:13" x14ac:dyDescent="0.25">
      <c r="A426" s="812" t="s">
        <v>1999</v>
      </c>
      <c r="B426" s="812">
        <v>4</v>
      </c>
      <c r="C426" s="608">
        <v>39757</v>
      </c>
      <c r="D426" s="812">
        <v>99705</v>
      </c>
      <c r="E426" s="812" t="s">
        <v>1599</v>
      </c>
      <c r="F426" s="133">
        <v>2.8996683802209189</v>
      </c>
      <c r="G426" s="133">
        <v>0.60501964866653868</v>
      </c>
      <c r="H426" s="133">
        <v>1.0163181209516463</v>
      </c>
      <c r="I426" s="133">
        <v>0.87618155340693749</v>
      </c>
      <c r="J426" s="133">
        <v>0.87618155340693749</v>
      </c>
      <c r="K426" s="133">
        <v>4.1149333264496046E-2</v>
      </c>
      <c r="L426" s="133">
        <v>9.4542645379685517</v>
      </c>
      <c r="M426" s="45">
        <v>12428.28526920587</v>
      </c>
    </row>
    <row r="427" spans="1:13" x14ac:dyDescent="0.25">
      <c r="A427" s="812" t="s">
        <v>1999</v>
      </c>
      <c r="B427" s="812">
        <v>4</v>
      </c>
      <c r="C427" s="608">
        <v>39757</v>
      </c>
      <c r="D427" s="812">
        <v>99709</v>
      </c>
      <c r="E427" s="812" t="s">
        <v>1600</v>
      </c>
      <c r="F427" s="133">
        <v>2.2986947205968402</v>
      </c>
      <c r="G427" s="133">
        <v>0.70347315370857477</v>
      </c>
      <c r="H427" s="133">
        <v>1.1074596261678979</v>
      </c>
      <c r="I427" s="133">
        <v>0.62873348506729576</v>
      </c>
      <c r="J427" s="133">
        <v>0.62873348506729576</v>
      </c>
      <c r="K427" s="133">
        <v>3.7739979041604012E-2</v>
      </c>
      <c r="L427" s="133">
        <v>6.4900265620475874</v>
      </c>
      <c r="M427" s="45">
        <v>14300.189810035534</v>
      </c>
    </row>
    <row r="428" spans="1:13" x14ac:dyDescent="0.25">
      <c r="A428" s="812" t="s">
        <v>1999</v>
      </c>
      <c r="B428" s="812">
        <v>4</v>
      </c>
      <c r="C428" s="608">
        <v>39757</v>
      </c>
      <c r="D428" s="812">
        <v>99712</v>
      </c>
      <c r="E428" s="812" t="s">
        <v>1601</v>
      </c>
      <c r="F428" s="133">
        <v>1.1889604316523941</v>
      </c>
      <c r="G428" s="133">
        <v>0.22154304331953167</v>
      </c>
      <c r="H428" s="133">
        <v>0.39333173822472423</v>
      </c>
      <c r="I428" s="133">
        <v>0.32596005277323492</v>
      </c>
      <c r="J428" s="133">
        <v>0.32596005277323492</v>
      </c>
      <c r="K428" s="133">
        <v>1.5658693784724991E-2</v>
      </c>
      <c r="L428" s="133">
        <v>3.3971656927321483</v>
      </c>
      <c r="M428" s="45">
        <v>4609.9518932998571</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6.0555382187409113E-5</v>
      </c>
      <c r="G440" s="133">
        <v>1.39339856014232E-3</v>
      </c>
      <c r="H440" s="133">
        <v>7.4074965491429453E-4</v>
      </c>
      <c r="I440" s="133">
        <v>5.2985796198136455E-5</v>
      </c>
      <c r="J440" s="133">
        <v>5.2985796198136455E-5</v>
      </c>
      <c r="K440" s="133">
        <v>7.1099933408509046E-5</v>
      </c>
      <c r="L440" s="133">
        <v>1.6535570251625429E-4</v>
      </c>
      <c r="M440" s="45">
        <v>23.153831875419804</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0.69829780178183642</v>
      </c>
      <c r="G442" s="133">
        <v>0.64177385913629725</v>
      </c>
      <c r="H442" s="133">
        <v>0.77683921403943323</v>
      </c>
      <c r="I442" s="133">
        <v>0.20747622642193445</v>
      </c>
      <c r="J442" s="133">
        <v>0.20747622642193445</v>
      </c>
      <c r="K442" s="133">
        <v>2.779734691059672E-2</v>
      </c>
      <c r="L442" s="133">
        <v>2.0510406279406741</v>
      </c>
      <c r="M442" s="45">
        <v>12020.288798757769</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1.7045366569635217E-2</v>
      </c>
      <c r="G444" s="133">
        <v>1.2673705243408483E-2</v>
      </c>
      <c r="H444" s="133">
        <v>1.807339195269015E-2</v>
      </c>
      <c r="I444" s="133">
        <v>5.6695121886919265E-3</v>
      </c>
      <c r="J444" s="133">
        <v>5.6695121886919265E-3</v>
      </c>
      <c r="K444" s="133">
        <v>5.0566105030984117E-4</v>
      </c>
      <c r="L444" s="133">
        <v>6.0127454123646763E-2</v>
      </c>
      <c r="M444" s="45">
        <v>245.28935714780815</v>
      </c>
    </row>
    <row r="445" spans="1:13" x14ac:dyDescent="0.25">
      <c r="A445" s="812" t="s">
        <v>1999</v>
      </c>
      <c r="B445" s="812">
        <v>5</v>
      </c>
      <c r="C445" s="608">
        <v>39758</v>
      </c>
      <c r="D445" s="812">
        <v>99705</v>
      </c>
      <c r="E445" s="812" t="s">
        <v>1599</v>
      </c>
      <c r="F445" s="133">
        <v>2.9727429088422892</v>
      </c>
      <c r="G445" s="133">
        <v>0.61654475692815958</v>
      </c>
      <c r="H445" s="133">
        <v>1.0372120122213668</v>
      </c>
      <c r="I445" s="133">
        <v>0.89763074101441886</v>
      </c>
      <c r="J445" s="133">
        <v>0.89763074101441886</v>
      </c>
      <c r="K445" s="133">
        <v>4.2070735281234187E-2</v>
      </c>
      <c r="L445" s="133">
        <v>9.6924141566472954</v>
      </c>
      <c r="M445" s="45">
        <v>12668.35838949517</v>
      </c>
    </row>
    <row r="446" spans="1:13" x14ac:dyDescent="0.25">
      <c r="A446" s="812" t="s">
        <v>1999</v>
      </c>
      <c r="B446" s="812">
        <v>5</v>
      </c>
      <c r="C446" s="608">
        <v>39758</v>
      </c>
      <c r="D446" s="812">
        <v>99709</v>
      </c>
      <c r="E446" s="812" t="s">
        <v>1600</v>
      </c>
      <c r="F446" s="133">
        <v>2.2530071255780757</v>
      </c>
      <c r="G446" s="133">
        <v>0.6985519855438076</v>
      </c>
      <c r="H446" s="133">
        <v>1.098302788952854</v>
      </c>
      <c r="I446" s="133">
        <v>0.61838773356866383</v>
      </c>
      <c r="J446" s="133">
        <v>0.61838773356866383</v>
      </c>
      <c r="K446" s="133">
        <v>3.7276706637075191E-2</v>
      </c>
      <c r="L446" s="133">
        <v>6.3878632214402966</v>
      </c>
      <c r="M446" s="45">
        <v>14196.461988758852</v>
      </c>
    </row>
    <row r="447" spans="1:13" x14ac:dyDescent="0.25">
      <c r="A447" s="812" t="s">
        <v>1999</v>
      </c>
      <c r="B447" s="812">
        <v>5</v>
      </c>
      <c r="C447" s="608">
        <v>39758</v>
      </c>
      <c r="D447" s="812">
        <v>99712</v>
      </c>
      <c r="E447" s="812" t="s">
        <v>1601</v>
      </c>
      <c r="F447" s="133">
        <v>1.1797890695199722</v>
      </c>
      <c r="G447" s="133">
        <v>0.22097591890418153</v>
      </c>
      <c r="H447" s="133">
        <v>0.39220111700417831</v>
      </c>
      <c r="I447" s="133">
        <v>0.32442126069333854</v>
      </c>
      <c r="J447" s="133">
        <v>0.32442126069333854</v>
      </c>
      <c r="K447" s="133">
        <v>1.5575083742076683E-2</v>
      </c>
      <c r="L447" s="133">
        <v>3.3848349881265878</v>
      </c>
      <c r="M447" s="45">
        <v>4598.3769409277147</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6.0555382187409106E-5</v>
      </c>
      <c r="G459" s="133">
        <v>1.3933985601423198E-3</v>
      </c>
      <c r="H459" s="133">
        <v>7.4074965491429464E-4</v>
      </c>
      <c r="I459" s="133">
        <v>5.2985796198136455E-5</v>
      </c>
      <c r="J459" s="133">
        <v>5.2985796198136455E-5</v>
      </c>
      <c r="K459" s="133">
        <v>7.1099933408509032E-5</v>
      </c>
      <c r="L459" s="133">
        <v>1.6535570251625427E-4</v>
      </c>
      <c r="M459" s="45">
        <v>23.153831875419804</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0.8028394988119143</v>
      </c>
      <c r="G461" s="133">
        <v>0.70053166848716586</v>
      </c>
      <c r="H461" s="133">
        <v>0.85972733373579036</v>
      </c>
      <c r="I461" s="133">
        <v>0.23471414354378101</v>
      </c>
      <c r="J461" s="133">
        <v>0.23471414354378101</v>
      </c>
      <c r="K461" s="133">
        <v>2.8999454634684851E-2</v>
      </c>
      <c r="L461" s="133">
        <v>2.321530523700392</v>
      </c>
      <c r="M461" s="45">
        <v>13101.655845089857</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1.9020903817304532E-2</v>
      </c>
      <c r="G463" s="133">
        <v>1.3799698367286461E-2</v>
      </c>
      <c r="H463" s="133">
        <v>1.9806713862798746E-2</v>
      </c>
      <c r="I463" s="133">
        <v>6.286641671707574E-3</v>
      </c>
      <c r="J463" s="133">
        <v>6.286641671707574E-3</v>
      </c>
      <c r="K463" s="133">
        <v>5.3121303338151305E-4</v>
      </c>
      <c r="L463" s="133">
        <v>6.6791801879459545E-2</v>
      </c>
      <c r="M463" s="45">
        <v>266.58892323508144</v>
      </c>
    </row>
    <row r="464" spans="1:13" x14ac:dyDescent="0.25">
      <c r="A464" s="812" t="s">
        <v>1999</v>
      </c>
      <c r="B464" s="812">
        <v>6</v>
      </c>
      <c r="C464" s="608">
        <v>39759</v>
      </c>
      <c r="D464" s="812">
        <v>99705</v>
      </c>
      <c r="E464" s="812" t="s">
        <v>1599</v>
      </c>
      <c r="F464" s="133">
        <v>3.2267466378564227</v>
      </c>
      <c r="G464" s="133">
        <v>0.66371119248466492</v>
      </c>
      <c r="H464" s="133">
        <v>1.116272378155692</v>
      </c>
      <c r="I464" s="133">
        <v>0.97167564645579585</v>
      </c>
      <c r="J464" s="133">
        <v>0.97167564645579585</v>
      </c>
      <c r="K464" s="133">
        <v>4.5314735879851895E-2</v>
      </c>
      <c r="L464" s="133">
        <v>10.510744878123974</v>
      </c>
      <c r="M464" s="45">
        <v>13614.271682944451</v>
      </c>
    </row>
    <row r="465" spans="1:13" x14ac:dyDescent="0.25">
      <c r="A465" s="812" t="s">
        <v>1999</v>
      </c>
      <c r="B465" s="812">
        <v>6</v>
      </c>
      <c r="C465" s="608">
        <v>39759</v>
      </c>
      <c r="D465" s="812">
        <v>99709</v>
      </c>
      <c r="E465" s="812" t="s">
        <v>1600</v>
      </c>
      <c r="F465" s="133">
        <v>2.779160574417221</v>
      </c>
      <c r="G465" s="133">
        <v>0.79216495804643938</v>
      </c>
      <c r="H465" s="133">
        <v>1.2602537444385706</v>
      </c>
      <c r="I465" s="133">
        <v>0.74686899534548656</v>
      </c>
      <c r="J465" s="133">
        <v>0.74686899534548656</v>
      </c>
      <c r="K465" s="133">
        <v>4.2890382327774729E-2</v>
      </c>
      <c r="L465" s="133">
        <v>7.6951255883152587</v>
      </c>
      <c r="M465" s="45">
        <v>16104.402155936476</v>
      </c>
    </row>
    <row r="466" spans="1:13" x14ac:dyDescent="0.25">
      <c r="A466" s="812" t="s">
        <v>1999</v>
      </c>
      <c r="B466" s="812">
        <v>6</v>
      </c>
      <c r="C466" s="608">
        <v>39759</v>
      </c>
      <c r="D466" s="812">
        <v>99712</v>
      </c>
      <c r="E466" s="812" t="s">
        <v>1601</v>
      </c>
      <c r="F466" s="133">
        <v>1.4423557423202864</v>
      </c>
      <c r="G466" s="133">
        <v>0.25420144459221111</v>
      </c>
      <c r="H466" s="133">
        <v>0.45206588409279058</v>
      </c>
      <c r="I466" s="133">
        <v>0.38798713313426297</v>
      </c>
      <c r="J466" s="133">
        <v>0.38798713313426297</v>
      </c>
      <c r="K466" s="133">
        <v>1.8517547181901666E-2</v>
      </c>
      <c r="L466" s="133">
        <v>4.0359118549649748</v>
      </c>
      <c r="M466" s="45">
        <v>5278.7699469442614</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6.4945654545712806E-5</v>
      </c>
      <c r="G478" s="133">
        <v>1.5042329254290896E-3</v>
      </c>
      <c r="H478" s="133">
        <v>8.1909231027077413E-4</v>
      </c>
      <c r="I478" s="133">
        <v>5.5797276738586123E-5</v>
      </c>
      <c r="J478" s="133">
        <v>5.5797276738586123E-5</v>
      </c>
      <c r="K478" s="133">
        <v>7.1250769339504155E-5</v>
      </c>
      <c r="L478" s="133">
        <v>1.6811329634634531E-4</v>
      </c>
      <c r="M478" s="45">
        <v>24.859449607888429</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0.7160096930890274</v>
      </c>
      <c r="G480" s="133">
        <v>0.66882258652456783</v>
      </c>
      <c r="H480" s="133">
        <v>0.80902370104184451</v>
      </c>
      <c r="I480" s="133">
        <v>0.21584264810230053</v>
      </c>
      <c r="J480" s="133">
        <v>0.21584264810230053</v>
      </c>
      <c r="K480" s="133">
        <v>2.812471559168277E-2</v>
      </c>
      <c r="L480" s="133">
        <v>2.1513974185726488</v>
      </c>
      <c r="M480" s="45">
        <v>12489.991247290414</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1.7179527522158337E-2</v>
      </c>
      <c r="G482" s="133">
        <v>1.3072835659434795E-2</v>
      </c>
      <c r="H482" s="133">
        <v>1.8505631402722614E-2</v>
      </c>
      <c r="I482" s="133">
        <v>5.8122104876341804E-3</v>
      </c>
      <c r="J482" s="133">
        <v>5.8122104876341804E-3</v>
      </c>
      <c r="K482" s="133">
        <v>5.1095215127986511E-4</v>
      </c>
      <c r="L482" s="133">
        <v>6.2133189116564631E-2</v>
      </c>
      <c r="M482" s="45">
        <v>251.93333229521332</v>
      </c>
    </row>
    <row r="483" spans="1:13" x14ac:dyDescent="0.25">
      <c r="A483" s="812" t="s">
        <v>1999</v>
      </c>
      <c r="B483" s="812">
        <v>7</v>
      </c>
      <c r="C483" s="608">
        <v>39760</v>
      </c>
      <c r="D483" s="812">
        <v>99705</v>
      </c>
      <c r="E483" s="812" t="s">
        <v>1599</v>
      </c>
      <c r="F483" s="133">
        <v>2.9270487259743883</v>
      </c>
      <c r="G483" s="133">
        <v>0.62468971064249579</v>
      </c>
      <c r="H483" s="133">
        <v>1.0465695235074908</v>
      </c>
      <c r="I483" s="133">
        <v>0.90008432431644725</v>
      </c>
      <c r="J483" s="133">
        <v>0.90008432431644725</v>
      </c>
      <c r="K483" s="133">
        <v>4.2164339425332001E-2</v>
      </c>
      <c r="L483" s="133">
        <v>9.8193450619133227</v>
      </c>
      <c r="M483" s="45">
        <v>12810.986306250928</v>
      </c>
    </row>
    <row r="484" spans="1:13" x14ac:dyDescent="0.25">
      <c r="A484" s="812" t="s">
        <v>1999</v>
      </c>
      <c r="B484" s="812">
        <v>7</v>
      </c>
      <c r="C484" s="608">
        <v>39760</v>
      </c>
      <c r="D484" s="812">
        <v>99709</v>
      </c>
      <c r="E484" s="812" t="s">
        <v>1600</v>
      </c>
      <c r="F484" s="133">
        <v>2.5871369750898854</v>
      </c>
      <c r="G484" s="133">
        <v>0.76548423643609476</v>
      </c>
      <c r="H484" s="133">
        <v>1.2134895278246376</v>
      </c>
      <c r="I484" s="133">
        <v>0.71364871751137904</v>
      </c>
      <c r="J484" s="133">
        <v>0.71364871751137904</v>
      </c>
      <c r="K484" s="133">
        <v>4.1271467991715424E-2</v>
      </c>
      <c r="L484" s="133">
        <v>7.442536392328317</v>
      </c>
      <c r="M484" s="45">
        <v>15566.66940059166</v>
      </c>
    </row>
    <row r="485" spans="1:13" x14ac:dyDescent="0.25">
      <c r="A485" s="812" t="s">
        <v>1999</v>
      </c>
      <c r="B485" s="812">
        <v>7</v>
      </c>
      <c r="C485" s="608">
        <v>39760</v>
      </c>
      <c r="D485" s="812">
        <v>99712</v>
      </c>
      <c r="E485" s="812" t="s">
        <v>1601</v>
      </c>
      <c r="F485" s="133">
        <v>1.395236864924611</v>
      </c>
      <c r="G485" s="133">
        <v>0.25449021485158818</v>
      </c>
      <c r="H485" s="133">
        <v>0.45300154967832429</v>
      </c>
      <c r="I485" s="133">
        <v>0.38477076252090148</v>
      </c>
      <c r="J485" s="133">
        <v>0.38477076252090148</v>
      </c>
      <c r="K485" s="133">
        <v>1.8301187522762604E-2</v>
      </c>
      <c r="L485" s="133">
        <v>4.056406958774212</v>
      </c>
      <c r="M485" s="45">
        <v>5289.0491422485584</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6.3064109249296937E-5</v>
      </c>
      <c r="G497" s="133">
        <v>1.4567324831633308E-3</v>
      </c>
      <c r="H497" s="133">
        <v>7.8551688654656846E-4</v>
      </c>
      <c r="I497" s="133">
        <v>5.4592356506964834E-5</v>
      </c>
      <c r="J497" s="133">
        <v>5.4592356506964834E-5</v>
      </c>
      <c r="K497" s="133">
        <v>7.1186125369077688E-5</v>
      </c>
      <c r="L497" s="133">
        <v>1.6693147041916347E-4</v>
      </c>
      <c r="M497" s="45">
        <v>24.128470579687587</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0.76779836997652562</v>
      </c>
      <c r="G499" s="133">
        <v>0.69222084883727031</v>
      </c>
      <c r="H499" s="133">
        <v>0.84723451164834007</v>
      </c>
      <c r="I499" s="133">
        <v>0.2298207171082573</v>
      </c>
      <c r="J499" s="133">
        <v>0.2298207171082573</v>
      </c>
      <c r="K499" s="133">
        <v>2.8727524265904195E-2</v>
      </c>
      <c r="L499" s="133">
        <v>2.2949390410080053</v>
      </c>
      <c r="M499" s="45">
        <v>12947.360481006317</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1.8766405311492242E-2</v>
      </c>
      <c r="G501" s="133">
        <v>1.374209195313187E-2</v>
      </c>
      <c r="H501" s="133">
        <v>1.9755598045421475E-2</v>
      </c>
      <c r="I501" s="133">
        <v>6.3035172745305795E-3</v>
      </c>
      <c r="J501" s="133">
        <v>6.3035172745305795E-3</v>
      </c>
      <c r="K501" s="133">
        <v>5.3098934971191974E-4</v>
      </c>
      <c r="L501" s="133">
        <v>6.7513596559971883E-2</v>
      </c>
      <c r="M501" s="45">
        <v>265.76767927071887</v>
      </c>
    </row>
    <row r="502" spans="1:13" x14ac:dyDescent="0.25">
      <c r="A502" s="812" t="s">
        <v>1999</v>
      </c>
      <c r="B502" s="812">
        <v>8</v>
      </c>
      <c r="C502" s="608">
        <v>39761</v>
      </c>
      <c r="D502" s="812">
        <v>99705</v>
      </c>
      <c r="E502" s="812" t="s">
        <v>1599</v>
      </c>
      <c r="F502" s="133">
        <v>3.1648736508810864</v>
      </c>
      <c r="G502" s="133">
        <v>0.66424018645339211</v>
      </c>
      <c r="H502" s="133">
        <v>1.1163103402969519</v>
      </c>
      <c r="I502" s="133">
        <v>0.96991280949272585</v>
      </c>
      <c r="J502" s="133">
        <v>0.96991280949272585</v>
      </c>
      <c r="K502" s="133">
        <v>4.5180483375043996E-2</v>
      </c>
      <c r="L502" s="133">
        <v>10.594324312150031</v>
      </c>
      <c r="M502" s="45">
        <v>13623.991879764953</v>
      </c>
    </row>
    <row r="503" spans="1:13" x14ac:dyDescent="0.25">
      <c r="A503" s="812" t="s">
        <v>1999</v>
      </c>
      <c r="B503" s="812">
        <v>8</v>
      </c>
      <c r="C503" s="608">
        <v>39761</v>
      </c>
      <c r="D503" s="812">
        <v>99709</v>
      </c>
      <c r="E503" s="812" t="s">
        <v>1600</v>
      </c>
      <c r="F503" s="133">
        <v>2.4038593228466123</v>
      </c>
      <c r="G503" s="133">
        <v>0.75039292626967569</v>
      </c>
      <c r="H503" s="133">
        <v>1.1810620285357858</v>
      </c>
      <c r="I503" s="133">
        <v>0.66954999000733262</v>
      </c>
      <c r="J503" s="133">
        <v>0.66954999000733262</v>
      </c>
      <c r="K503" s="133">
        <v>3.9352336275527804E-2</v>
      </c>
      <c r="L503" s="133">
        <v>6.9902628304584224</v>
      </c>
      <c r="M503" s="45">
        <v>15222.944191050723</v>
      </c>
    </row>
    <row r="504" spans="1:13" x14ac:dyDescent="0.25">
      <c r="A504" s="812" t="s">
        <v>1999</v>
      </c>
      <c r="B504" s="812">
        <v>8</v>
      </c>
      <c r="C504" s="608">
        <v>39761</v>
      </c>
      <c r="D504" s="812">
        <v>99712</v>
      </c>
      <c r="E504" s="812" t="s">
        <v>1601</v>
      </c>
      <c r="F504" s="133">
        <v>1.1892006077939947</v>
      </c>
      <c r="G504" s="133">
        <v>0.22899348705582959</v>
      </c>
      <c r="H504" s="133">
        <v>0.40510727952961467</v>
      </c>
      <c r="I504" s="133">
        <v>0.3332244818323673</v>
      </c>
      <c r="J504" s="133">
        <v>0.3332244818323673</v>
      </c>
      <c r="K504" s="133">
        <v>1.5946955590051007E-2</v>
      </c>
      <c r="L504" s="133">
        <v>3.5194281072349747</v>
      </c>
      <c r="M504" s="45">
        <v>4756.6366562529165</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6.4318472780240863E-5</v>
      </c>
      <c r="G516" s="133">
        <v>1.4883994446738367E-3</v>
      </c>
      <c r="H516" s="133">
        <v>8.0790050236270554E-4</v>
      </c>
      <c r="I516" s="133">
        <v>5.5395636661379026E-5</v>
      </c>
      <c r="J516" s="133">
        <v>5.5395636661379026E-5</v>
      </c>
      <c r="K516" s="133">
        <v>7.1229221349361995E-5</v>
      </c>
      <c r="L516" s="133">
        <v>1.6771935437061801E-4</v>
      </c>
      <c r="M516" s="45">
        <v>24.615789931821482</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0.67348142200374739</v>
      </c>
      <c r="G518" s="133">
        <v>0.60451125159513519</v>
      </c>
      <c r="H518" s="133">
        <v>0.7416805112308763</v>
      </c>
      <c r="I518" s="133">
        <v>0.20090084956975482</v>
      </c>
      <c r="J518" s="133">
        <v>0.20090084956975482</v>
      </c>
      <c r="K518" s="133">
        <v>2.7498133534761743E-2</v>
      </c>
      <c r="L518" s="133">
        <v>1.9937496908127459</v>
      </c>
      <c r="M518" s="45">
        <v>11422.737601285382</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1.6595550498495721E-2</v>
      </c>
      <c r="G520" s="133">
        <v>1.2066912568782884E-2</v>
      </c>
      <c r="H520" s="133">
        <v>1.7467702319852344E-2</v>
      </c>
      <c r="I520" s="133">
        <v>5.5225186176783327E-3</v>
      </c>
      <c r="J520" s="133">
        <v>5.5225186176783327E-3</v>
      </c>
      <c r="K520" s="133">
        <v>4.9911122739000895E-4</v>
      </c>
      <c r="L520" s="133">
        <v>5.8651856067141461E-2</v>
      </c>
      <c r="M520" s="45">
        <v>235.56667824880751</v>
      </c>
    </row>
    <row r="521" spans="1:13" x14ac:dyDescent="0.25">
      <c r="A521" s="812" t="s">
        <v>1999</v>
      </c>
      <c r="B521" s="812">
        <v>9</v>
      </c>
      <c r="C521" s="608">
        <v>39762</v>
      </c>
      <c r="D521" s="812">
        <v>99705</v>
      </c>
      <c r="E521" s="812" t="s">
        <v>1599</v>
      </c>
      <c r="F521" s="133">
        <v>2.7132045011060804</v>
      </c>
      <c r="G521" s="133">
        <v>0.56667909281548545</v>
      </c>
      <c r="H521" s="133">
        <v>0.95362504784843716</v>
      </c>
      <c r="I521" s="133">
        <v>0.81938146159580971</v>
      </c>
      <c r="J521" s="133">
        <v>0.81938146159580971</v>
      </c>
      <c r="K521" s="133">
        <v>3.8670247122609497E-2</v>
      </c>
      <c r="L521" s="133">
        <v>8.8166721253083224</v>
      </c>
      <c r="M521" s="45">
        <v>11667.475631651634</v>
      </c>
    </row>
    <row r="522" spans="1:13" x14ac:dyDescent="0.25">
      <c r="A522" s="812" t="s">
        <v>1999</v>
      </c>
      <c r="B522" s="812">
        <v>9</v>
      </c>
      <c r="C522" s="608">
        <v>39762</v>
      </c>
      <c r="D522" s="812">
        <v>99709</v>
      </c>
      <c r="E522" s="812" t="s">
        <v>1600</v>
      </c>
      <c r="F522" s="133">
        <v>2.071747324846934</v>
      </c>
      <c r="G522" s="133">
        <v>0.65470474446037885</v>
      </c>
      <c r="H522" s="133">
        <v>1.0348782429171288</v>
      </c>
      <c r="I522" s="133">
        <v>0.57307522617652018</v>
      </c>
      <c r="J522" s="133">
        <v>0.57307522617652018</v>
      </c>
      <c r="K522" s="133">
        <v>3.5288532984041047E-2</v>
      </c>
      <c r="L522" s="133">
        <v>5.9246207326977611</v>
      </c>
      <c r="M522" s="45">
        <v>13365.732067721077</v>
      </c>
    </row>
    <row r="523" spans="1:13" x14ac:dyDescent="0.25">
      <c r="A523" s="812" t="s">
        <v>1999</v>
      </c>
      <c r="B523" s="812">
        <v>9</v>
      </c>
      <c r="C523" s="608">
        <v>39762</v>
      </c>
      <c r="D523" s="812">
        <v>99712</v>
      </c>
      <c r="E523" s="812" t="s">
        <v>1601</v>
      </c>
      <c r="F523" s="133">
        <v>1.0561411595920074</v>
      </c>
      <c r="G523" s="133">
        <v>0.20319276247050921</v>
      </c>
      <c r="H523" s="133">
        <v>0.36166091207299317</v>
      </c>
      <c r="I523" s="133">
        <v>0.29236386866323216</v>
      </c>
      <c r="J523" s="133">
        <v>0.29236386866323216</v>
      </c>
      <c r="K523" s="133">
        <v>1.4123031565938755E-2</v>
      </c>
      <c r="L523" s="133">
        <v>3.0454987311663513</v>
      </c>
      <c r="M523" s="45">
        <v>4239.8426286319609</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5.6165109829105393E-5</v>
      </c>
      <c r="G535" s="133">
        <v>1.28256419485555E-3</v>
      </c>
      <c r="H535" s="133">
        <v>6.6240699955781525E-4</v>
      </c>
      <c r="I535" s="133">
        <v>5.0174315657686781E-5</v>
      </c>
      <c r="J535" s="133">
        <v>5.0174315657686781E-5</v>
      </c>
      <c r="K535" s="133">
        <v>7.0949097477513923E-5</v>
      </c>
      <c r="L535" s="133">
        <v>1.6259810868616325E-4</v>
      </c>
      <c r="M535" s="45">
        <v>21.448214142951176</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0.60193915806720699</v>
      </c>
      <c r="G537" s="133">
        <v>0.57621604318971054</v>
      </c>
      <c r="H537" s="133">
        <v>0.69250395336517645</v>
      </c>
      <c r="I537" s="133">
        <v>0.18212539292376206</v>
      </c>
      <c r="J537" s="133">
        <v>0.18212539292376206</v>
      </c>
      <c r="K537" s="133">
        <v>2.6678474904006242E-2</v>
      </c>
      <c r="L537" s="133">
        <v>1.8021658984148703</v>
      </c>
      <c r="M537" s="45">
        <v>10854.949561474397</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1.4944166079917987E-2</v>
      </c>
      <c r="G539" s="133">
        <v>1.1376364635640806E-2</v>
      </c>
      <c r="H539" s="133">
        <v>1.6171638755135571E-2</v>
      </c>
      <c r="I539" s="133">
        <v>5.0114535790910086E-3</v>
      </c>
      <c r="J539" s="133">
        <v>5.0114535790910086E-3</v>
      </c>
      <c r="K539" s="133">
        <v>4.7826618691382082E-4</v>
      </c>
      <c r="L539" s="133">
        <v>5.3053513139112343E-2</v>
      </c>
      <c r="M539" s="45">
        <v>221.25862065276357</v>
      </c>
    </row>
    <row r="540" spans="1:13" x14ac:dyDescent="0.25">
      <c r="A540" s="812" t="s">
        <v>1999</v>
      </c>
      <c r="B540" s="812">
        <v>10</v>
      </c>
      <c r="C540" s="608">
        <v>39763</v>
      </c>
      <c r="D540" s="812">
        <v>99705</v>
      </c>
      <c r="E540" s="812" t="s">
        <v>1599</v>
      </c>
      <c r="F540" s="133">
        <v>2.5125947719948925</v>
      </c>
      <c r="G540" s="133">
        <v>0.53526095766742599</v>
      </c>
      <c r="H540" s="133">
        <v>0.89857304164185414</v>
      </c>
      <c r="I540" s="133">
        <v>0.76316016835245015</v>
      </c>
      <c r="J540" s="133">
        <v>0.76316016835245015</v>
      </c>
      <c r="K540" s="133">
        <v>3.6226176844236971E-2</v>
      </c>
      <c r="L540" s="133">
        <v>8.2040952867820227</v>
      </c>
      <c r="M540" s="45">
        <v>11023.056352582234</v>
      </c>
    </row>
    <row r="541" spans="1:13" x14ac:dyDescent="0.25">
      <c r="A541" s="812" t="s">
        <v>1999</v>
      </c>
      <c r="B541" s="812">
        <v>10</v>
      </c>
      <c r="C541" s="608">
        <v>39763</v>
      </c>
      <c r="D541" s="812">
        <v>99709</v>
      </c>
      <c r="E541" s="812" t="s">
        <v>1600</v>
      </c>
      <c r="F541" s="133">
        <v>1.9249255778614367</v>
      </c>
      <c r="G541" s="133">
        <v>0.62639362148729472</v>
      </c>
      <c r="H541" s="133">
        <v>0.9845711626948126</v>
      </c>
      <c r="I541" s="133">
        <v>0.53668243552936612</v>
      </c>
      <c r="J541" s="133">
        <v>0.53668243552936612</v>
      </c>
      <c r="K541" s="133">
        <v>3.3702679709667893E-2</v>
      </c>
      <c r="L541" s="133">
        <v>5.5524480365421116</v>
      </c>
      <c r="M541" s="45">
        <v>12783.038690319445</v>
      </c>
    </row>
    <row r="542" spans="1:13" x14ac:dyDescent="0.25">
      <c r="A542" s="812" t="s">
        <v>1999</v>
      </c>
      <c r="B542" s="812">
        <v>10</v>
      </c>
      <c r="C542" s="608">
        <v>39763</v>
      </c>
      <c r="D542" s="812">
        <v>99712</v>
      </c>
      <c r="E542" s="812" t="s">
        <v>1601</v>
      </c>
      <c r="F542" s="133">
        <v>0.97085896398585003</v>
      </c>
      <c r="G542" s="133">
        <v>0.19167852807285524</v>
      </c>
      <c r="H542" s="133">
        <v>0.34057258637052651</v>
      </c>
      <c r="I542" s="133">
        <v>0.27118888789593765</v>
      </c>
      <c r="J542" s="133">
        <v>0.27118888789593765</v>
      </c>
      <c r="K542" s="133">
        <v>1.3156822613373901E-2</v>
      </c>
      <c r="L542" s="133">
        <v>2.8263116389578782</v>
      </c>
      <c r="M542" s="45">
        <v>4001.7728456502305</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5.4910746298161474E-5</v>
      </c>
      <c r="G554" s="133">
        <v>1.2508972333450442E-3</v>
      </c>
      <c r="H554" s="133">
        <v>6.4002338374167839E-4</v>
      </c>
      <c r="I554" s="133">
        <v>4.9371035503272589E-5</v>
      </c>
      <c r="J554" s="133">
        <v>4.9371035503272589E-5</v>
      </c>
      <c r="K554" s="133">
        <v>7.0906001497229615E-5</v>
      </c>
      <c r="L554" s="133">
        <v>1.618102247347087E-4</v>
      </c>
      <c r="M554" s="45">
        <v>20.960894790817285</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0.60078153229678233</v>
      </c>
      <c r="G556" s="133">
        <v>0.57108503834777613</v>
      </c>
      <c r="H556" s="133">
        <v>0.68800577784933381</v>
      </c>
      <c r="I556" s="133">
        <v>0.1814665058757273</v>
      </c>
      <c r="J556" s="133">
        <v>0.1814665058757273</v>
      </c>
      <c r="K556" s="133">
        <v>2.6655507713881789E-2</v>
      </c>
      <c r="L556" s="133">
        <v>1.7953427701365887</v>
      </c>
      <c r="M556" s="45">
        <v>10774.134201496101</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1.4665927452803163E-2</v>
      </c>
      <c r="G558" s="133">
        <v>1.1209282430468502E-2</v>
      </c>
      <c r="H558" s="133">
        <v>1.5908826474046914E-2</v>
      </c>
      <c r="I558" s="133">
        <v>4.9231537677389354E-3</v>
      </c>
      <c r="J558" s="133">
        <v>4.9231537677389354E-3</v>
      </c>
      <c r="K558" s="133">
        <v>4.7471651008807353E-4</v>
      </c>
      <c r="L558" s="133">
        <v>5.2098436803102326E-2</v>
      </c>
      <c r="M558" s="45">
        <v>218.06504832624</v>
      </c>
    </row>
    <row r="559" spans="1:13" x14ac:dyDescent="0.25">
      <c r="A559" s="812" t="s">
        <v>1999</v>
      </c>
      <c r="B559" s="812">
        <v>11</v>
      </c>
      <c r="C559" s="608">
        <v>39764</v>
      </c>
      <c r="D559" s="812">
        <v>99705</v>
      </c>
      <c r="E559" s="812" t="s">
        <v>1599</v>
      </c>
      <c r="F559" s="133">
        <v>2.5289715615668444</v>
      </c>
      <c r="G559" s="133">
        <v>0.5365526745635939</v>
      </c>
      <c r="H559" s="133">
        <v>0.90210732276941841</v>
      </c>
      <c r="I559" s="133">
        <v>0.76739445141988072</v>
      </c>
      <c r="J559" s="133">
        <v>0.76739445141988072</v>
      </c>
      <c r="K559" s="133">
        <v>3.6427415049243191E-2</v>
      </c>
      <c r="L559" s="133">
        <v>8.2492321121116756</v>
      </c>
      <c r="M559" s="45">
        <v>11054.571229385851</v>
      </c>
    </row>
    <row r="560" spans="1:13" x14ac:dyDescent="0.25">
      <c r="A560" s="812" t="s">
        <v>1999</v>
      </c>
      <c r="B560" s="812">
        <v>11</v>
      </c>
      <c r="C560" s="608">
        <v>39764</v>
      </c>
      <c r="D560" s="812">
        <v>99709</v>
      </c>
      <c r="E560" s="812" t="s">
        <v>1600</v>
      </c>
      <c r="F560" s="133">
        <v>2.0735774246672163</v>
      </c>
      <c r="G560" s="133">
        <v>0.64293267898594542</v>
      </c>
      <c r="H560" s="133">
        <v>1.0187900479930903</v>
      </c>
      <c r="I560" s="133">
        <v>0.57294953757018396</v>
      </c>
      <c r="J560" s="133">
        <v>0.57294953757018396</v>
      </c>
      <c r="K560" s="133">
        <v>3.5293473023374294E-2</v>
      </c>
      <c r="L560" s="133">
        <v>5.9253498911868405</v>
      </c>
      <c r="M560" s="45">
        <v>13149.228833383011</v>
      </c>
    </row>
    <row r="561" spans="1:13" x14ac:dyDescent="0.25">
      <c r="A561" s="812" t="s">
        <v>1999</v>
      </c>
      <c r="B561" s="812">
        <v>11</v>
      </c>
      <c r="C561" s="608">
        <v>39764</v>
      </c>
      <c r="D561" s="812">
        <v>99712</v>
      </c>
      <c r="E561" s="812" t="s">
        <v>1601</v>
      </c>
      <c r="F561" s="133">
        <v>1.0977427817302077</v>
      </c>
      <c r="G561" s="133">
        <v>0.207423876745229</v>
      </c>
      <c r="H561" s="133">
        <v>0.37002253460813839</v>
      </c>
      <c r="I561" s="133">
        <v>0.30300470863948098</v>
      </c>
      <c r="J561" s="133">
        <v>0.30300470863948098</v>
      </c>
      <c r="K561" s="133">
        <v>1.4609940510587111E-2</v>
      </c>
      <c r="L561" s="133">
        <v>3.1581836127857694</v>
      </c>
      <c r="M561" s="45">
        <v>4329.9487183781957</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5.4283564532689498E-5</v>
      </c>
      <c r="G573" s="133">
        <v>1.2350637525897911E-3</v>
      </c>
      <c r="H573" s="133">
        <v>6.2883157583360969E-4</v>
      </c>
      <c r="I573" s="133">
        <v>4.8969395426065486E-5</v>
      </c>
      <c r="J573" s="133">
        <v>4.8969395426065486E-5</v>
      </c>
      <c r="K573" s="133">
        <v>7.0884453507087428E-5</v>
      </c>
      <c r="L573" s="133">
        <v>1.6141628275898135E-4</v>
      </c>
      <c r="M573" s="45">
        <v>20.717235114750334</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0.63703044456016</v>
      </c>
      <c r="G575" s="133">
        <v>0.60735934030794003</v>
      </c>
      <c r="H575" s="133">
        <v>0.72769839687846916</v>
      </c>
      <c r="I575" s="133">
        <v>0.19120808514633075</v>
      </c>
      <c r="J575" s="133">
        <v>0.19120808514633075</v>
      </c>
      <c r="K575" s="133">
        <v>2.7086714939136027E-2</v>
      </c>
      <c r="L575" s="133">
        <v>1.8878343072440016</v>
      </c>
      <c r="M575" s="45">
        <v>11383.680125051207</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1.543694096814075E-2</v>
      </c>
      <c r="G577" s="133">
        <v>1.185273811231422E-2</v>
      </c>
      <c r="H577" s="133">
        <v>1.6694157146677439E-2</v>
      </c>
      <c r="I577" s="133">
        <v>5.166514268397376E-3</v>
      </c>
      <c r="J577" s="133">
        <v>5.166514268397376E-3</v>
      </c>
      <c r="K577" s="133">
        <v>4.851839868568267E-4</v>
      </c>
      <c r="L577" s="133">
        <v>5.4657022389789638E-2</v>
      </c>
      <c r="M577" s="45">
        <v>229.1367883272687</v>
      </c>
    </row>
    <row r="578" spans="1:13" x14ac:dyDescent="0.25">
      <c r="A578" s="812" t="s">
        <v>1999</v>
      </c>
      <c r="B578" s="812">
        <v>12</v>
      </c>
      <c r="C578" s="608">
        <v>39765</v>
      </c>
      <c r="D578" s="812">
        <v>99705</v>
      </c>
      <c r="E578" s="812" t="s">
        <v>1599</v>
      </c>
      <c r="F578" s="133">
        <v>2.7439543719771118</v>
      </c>
      <c r="G578" s="133">
        <v>0.57610972180347431</v>
      </c>
      <c r="H578" s="133">
        <v>0.96779002131374325</v>
      </c>
      <c r="I578" s="133">
        <v>0.83019077079749937</v>
      </c>
      <c r="J578" s="133">
        <v>0.83019077079749937</v>
      </c>
      <c r="K578" s="133">
        <v>3.9153488864834267E-2</v>
      </c>
      <c r="L578" s="133">
        <v>8.9435322724835249</v>
      </c>
      <c r="M578" s="45">
        <v>11846.91082135748</v>
      </c>
    </row>
    <row r="579" spans="1:13" x14ac:dyDescent="0.25">
      <c r="A579" s="812" t="s">
        <v>1999</v>
      </c>
      <c r="B579" s="812">
        <v>12</v>
      </c>
      <c r="C579" s="608">
        <v>39765</v>
      </c>
      <c r="D579" s="812">
        <v>99709</v>
      </c>
      <c r="E579" s="812" t="s">
        <v>1600</v>
      </c>
      <c r="F579" s="133">
        <v>2.3400245615606825</v>
      </c>
      <c r="G579" s="133">
        <v>0.6954324987071594</v>
      </c>
      <c r="H579" s="133">
        <v>1.101391173740438</v>
      </c>
      <c r="I579" s="133">
        <v>0.63943076745847793</v>
      </c>
      <c r="J579" s="133">
        <v>0.63943076745847793</v>
      </c>
      <c r="K579" s="133">
        <v>3.8177190667678704E-2</v>
      </c>
      <c r="L579" s="133">
        <v>6.6082128848618735</v>
      </c>
      <c r="M579" s="45">
        <v>14180.166604646085</v>
      </c>
    </row>
    <row r="580" spans="1:13" x14ac:dyDescent="0.25">
      <c r="A580" s="812" t="s">
        <v>1999</v>
      </c>
      <c r="B580" s="812">
        <v>12</v>
      </c>
      <c r="C580" s="608">
        <v>39765</v>
      </c>
      <c r="D580" s="812">
        <v>99712</v>
      </c>
      <c r="E580" s="812" t="s">
        <v>1601</v>
      </c>
      <c r="F580" s="133">
        <v>1.302630538978808</v>
      </c>
      <c r="G580" s="133">
        <v>0.23521663138688448</v>
      </c>
      <c r="H580" s="133">
        <v>0.41964588210321591</v>
      </c>
      <c r="I580" s="133">
        <v>0.35507442109389065</v>
      </c>
      <c r="J580" s="133">
        <v>0.35507442109389065</v>
      </c>
      <c r="K580" s="133">
        <v>1.6978237952165329E-2</v>
      </c>
      <c r="L580" s="133">
        <v>3.7042012329206426</v>
      </c>
      <c r="M580" s="45">
        <v>4898.7628346367028</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5.8046655125521248E-5</v>
      </c>
      <c r="G592" s="133">
        <v>1.3300646371213081E-3</v>
      </c>
      <c r="H592" s="133">
        <v>6.9598242328202048E-4</v>
      </c>
      <c r="I592" s="133">
        <v>5.137923588930807E-5</v>
      </c>
      <c r="J592" s="133">
        <v>5.137923588930807E-5</v>
      </c>
      <c r="K592" s="133">
        <v>7.101374144794039E-5</v>
      </c>
      <c r="L592" s="133">
        <v>1.6377993461334512E-4</v>
      </c>
      <c r="M592" s="45">
        <v>22.179193171152015</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0.73781321059364346</v>
      </c>
      <c r="G594" s="133">
        <v>0.66599667997707923</v>
      </c>
      <c r="H594" s="133">
        <v>0.81013195616199607</v>
      </c>
      <c r="I594" s="133">
        <v>0.21813223328853965</v>
      </c>
      <c r="J594" s="133">
        <v>0.21813223328853965</v>
      </c>
      <c r="K594" s="133">
        <v>2.8260168084954775E-2</v>
      </c>
      <c r="L594" s="133">
        <v>2.1580665649860187</v>
      </c>
      <c r="M594" s="45">
        <v>12461.934364810275</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1.7923761728107186E-2</v>
      </c>
      <c r="G596" s="133">
        <v>1.3176324281120023E-2</v>
      </c>
      <c r="H596" s="133">
        <v>1.886183250064865E-2</v>
      </c>
      <c r="I596" s="133">
        <v>5.9454413782833553E-3</v>
      </c>
      <c r="J596" s="133">
        <v>5.9454413782833553E-3</v>
      </c>
      <c r="K596" s="133">
        <v>5.169448962681969E-4</v>
      </c>
      <c r="L596" s="133">
        <v>6.311174826227009E-2</v>
      </c>
      <c r="M596" s="45">
        <v>254.87940508425189</v>
      </c>
    </row>
    <row r="597" spans="1:13" x14ac:dyDescent="0.25">
      <c r="A597" s="812" t="s">
        <v>1999</v>
      </c>
      <c r="B597" s="812">
        <v>13</v>
      </c>
      <c r="C597" s="608">
        <v>39766</v>
      </c>
      <c r="D597" s="812">
        <v>99705</v>
      </c>
      <c r="E597" s="812" t="s">
        <v>1599</v>
      </c>
      <c r="F597" s="133">
        <v>3.0640047864157607</v>
      </c>
      <c r="G597" s="133">
        <v>0.63426877897526979</v>
      </c>
      <c r="H597" s="133">
        <v>1.0664482383219032</v>
      </c>
      <c r="I597" s="133">
        <v>0.92467732450149009</v>
      </c>
      <c r="J597" s="133">
        <v>0.92467732450149009</v>
      </c>
      <c r="K597" s="133">
        <v>4.3238149304644778E-2</v>
      </c>
      <c r="L597" s="133">
        <v>9.992806946385814</v>
      </c>
      <c r="M597" s="45">
        <v>13022.659090510326</v>
      </c>
    </row>
    <row r="598" spans="1:13" x14ac:dyDescent="0.25">
      <c r="A598" s="812" t="s">
        <v>1999</v>
      </c>
      <c r="B598" s="812">
        <v>13</v>
      </c>
      <c r="C598" s="608">
        <v>39766</v>
      </c>
      <c r="D598" s="812">
        <v>99709</v>
      </c>
      <c r="E598" s="812" t="s">
        <v>1600</v>
      </c>
      <c r="F598" s="133">
        <v>2.4062524104684475</v>
      </c>
      <c r="G598" s="133">
        <v>0.72983439058010646</v>
      </c>
      <c r="H598" s="133">
        <v>1.1505535550437873</v>
      </c>
      <c r="I598" s="133">
        <v>0.65691518145985484</v>
      </c>
      <c r="J598" s="133">
        <v>0.65691518145985484</v>
      </c>
      <c r="K598" s="133">
        <v>3.8925671306814784E-2</v>
      </c>
      <c r="L598" s="133">
        <v>6.7841115018928422</v>
      </c>
      <c r="M598" s="45">
        <v>14826.157011219197</v>
      </c>
    </row>
    <row r="599" spans="1:13" x14ac:dyDescent="0.25">
      <c r="A599" s="812" t="s">
        <v>1999</v>
      </c>
      <c r="B599" s="812">
        <v>13</v>
      </c>
      <c r="C599" s="608">
        <v>39766</v>
      </c>
      <c r="D599" s="812">
        <v>99712</v>
      </c>
      <c r="E599" s="812" t="s">
        <v>1601</v>
      </c>
      <c r="F599" s="133">
        <v>1.2380476929817887</v>
      </c>
      <c r="G599" s="133">
        <v>0.22818858379819404</v>
      </c>
      <c r="H599" s="133">
        <v>0.40473744268816519</v>
      </c>
      <c r="I599" s="133">
        <v>0.33800815890508135</v>
      </c>
      <c r="J599" s="133">
        <v>0.33800815890508135</v>
      </c>
      <c r="K599" s="133">
        <v>1.6214696015295252E-2</v>
      </c>
      <c r="L599" s="133">
        <v>3.5213710537249669</v>
      </c>
      <c r="M599" s="45">
        <v>4743.4958046162565</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6.2436927483825008E-5</v>
      </c>
      <c r="G611" s="133">
        <v>1.4408990024080779E-3</v>
      </c>
      <c r="H611" s="133">
        <v>7.7432507863850009E-4</v>
      </c>
      <c r="I611" s="133">
        <v>5.4190716429757744E-5</v>
      </c>
      <c r="J611" s="133">
        <v>5.4190716429757744E-5</v>
      </c>
      <c r="K611" s="133">
        <v>7.1164577378935514E-5</v>
      </c>
      <c r="L611" s="133">
        <v>1.6653752844343614E-4</v>
      </c>
      <c r="M611" s="45">
        <v>23.88481090362064</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0.73940131718844848</v>
      </c>
      <c r="G613" s="133">
        <v>0.62627166426581415</v>
      </c>
      <c r="H613" s="133">
        <v>0.78949225513967125</v>
      </c>
      <c r="I613" s="133">
        <v>0.22106488500679541</v>
      </c>
      <c r="J613" s="133">
        <v>0.22106488500679541</v>
      </c>
      <c r="K613" s="133">
        <v>2.8347687791814468E-2</v>
      </c>
      <c r="L613" s="133">
        <v>2.2190768618065455</v>
      </c>
      <c r="M613" s="45">
        <v>11911.656809989718</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1.7754235370901039E-2</v>
      </c>
      <c r="G615" s="133">
        <v>1.2514306630768576E-2</v>
      </c>
      <c r="H615" s="133">
        <v>1.8402652909300789E-2</v>
      </c>
      <c r="I615" s="133">
        <v>5.968717820884358E-3</v>
      </c>
      <c r="J615" s="133">
        <v>5.968717820884358E-3</v>
      </c>
      <c r="K615" s="133">
        <v>5.1689755085700475E-4</v>
      </c>
      <c r="L615" s="133">
        <v>6.4082956657152731E-2</v>
      </c>
      <c r="M615" s="45">
        <v>245.39759732267888</v>
      </c>
    </row>
    <row r="616" spans="1:13" x14ac:dyDescent="0.25">
      <c r="A616" s="812" t="s">
        <v>1999</v>
      </c>
      <c r="B616" s="812">
        <v>14</v>
      </c>
      <c r="C616" s="608">
        <v>39767</v>
      </c>
      <c r="D616" s="812">
        <v>99705</v>
      </c>
      <c r="E616" s="812" t="s">
        <v>1599</v>
      </c>
      <c r="F616" s="133">
        <v>2.9806799541170714</v>
      </c>
      <c r="G616" s="133">
        <v>0.62288357112723758</v>
      </c>
      <c r="H616" s="133">
        <v>1.0550588094315674</v>
      </c>
      <c r="I616" s="133">
        <v>0.91560533504985164</v>
      </c>
      <c r="J616" s="133">
        <v>0.91560533504985164</v>
      </c>
      <c r="K616" s="133">
        <v>4.2828741830847152E-2</v>
      </c>
      <c r="L616" s="133">
        <v>9.9940644448141693</v>
      </c>
      <c r="M616" s="45">
        <v>12830.983971775646</v>
      </c>
    </row>
    <row r="617" spans="1:13" x14ac:dyDescent="0.25">
      <c r="A617" s="812" t="s">
        <v>1999</v>
      </c>
      <c r="B617" s="812">
        <v>14</v>
      </c>
      <c r="C617" s="608">
        <v>39767</v>
      </c>
      <c r="D617" s="812">
        <v>99709</v>
      </c>
      <c r="E617" s="812" t="s">
        <v>1600</v>
      </c>
      <c r="F617" s="133">
        <v>2.5809532379504518</v>
      </c>
      <c r="G617" s="133">
        <v>0.73918711307992724</v>
      </c>
      <c r="H617" s="133">
        <v>1.1978883458374576</v>
      </c>
      <c r="I617" s="133">
        <v>0.71242593515998809</v>
      </c>
      <c r="J617" s="133">
        <v>0.71242593515998809</v>
      </c>
      <c r="K617" s="133">
        <v>4.1203560630600086E-2</v>
      </c>
      <c r="L617" s="133">
        <v>7.4398550556434788</v>
      </c>
      <c r="M617" s="45">
        <v>15179.920343792017</v>
      </c>
    </row>
    <row r="618" spans="1:13" x14ac:dyDescent="0.25">
      <c r="A618" s="812" t="s">
        <v>1999</v>
      </c>
      <c r="B618" s="812">
        <v>14</v>
      </c>
      <c r="C618" s="608">
        <v>39767</v>
      </c>
      <c r="D618" s="812">
        <v>99712</v>
      </c>
      <c r="E618" s="812" t="s">
        <v>1601</v>
      </c>
      <c r="F618" s="133">
        <v>1.3845231876466482</v>
      </c>
      <c r="G618" s="133">
        <v>0.25090977823945287</v>
      </c>
      <c r="H618" s="133">
        <v>0.4493667454438004</v>
      </c>
      <c r="I618" s="133">
        <v>0.3828970213866239</v>
      </c>
      <c r="J618" s="133">
        <v>0.3828970213866239</v>
      </c>
      <c r="K618" s="133">
        <v>1.8202068706132293E-2</v>
      </c>
      <c r="L618" s="133">
        <v>4.0418963139703727</v>
      </c>
      <c r="M618" s="45">
        <v>5229.0331468890854</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5.6165109829105386E-5</v>
      </c>
      <c r="G630" s="133">
        <v>1.2825641948555498E-3</v>
      </c>
      <c r="H630" s="133">
        <v>6.6240699955781514E-4</v>
      </c>
      <c r="I630" s="133">
        <v>5.0174315657686768E-5</v>
      </c>
      <c r="J630" s="133">
        <v>5.0174315657686768E-5</v>
      </c>
      <c r="K630" s="133">
        <v>7.0949097477513909E-5</v>
      </c>
      <c r="L630" s="133">
        <v>1.6259810868616322E-4</v>
      </c>
      <c r="M630" s="45">
        <v>21.448214142951176</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0.67111223431760314</v>
      </c>
      <c r="G632" s="133">
        <v>0.6437931743016807</v>
      </c>
      <c r="H632" s="133">
        <v>0.77379693746264722</v>
      </c>
      <c r="I632" s="133">
        <v>0.20428566574086307</v>
      </c>
      <c r="J632" s="133">
        <v>0.20428566574086307</v>
      </c>
      <c r="K632" s="133">
        <v>2.7611579962558145E-2</v>
      </c>
      <c r="L632" s="133">
        <v>2.0373177922140653</v>
      </c>
      <c r="M632" s="45">
        <v>12029.887694647747</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1.6362463428708462E-2</v>
      </c>
      <c r="G634" s="133">
        <v>1.2598791879168771E-2</v>
      </c>
      <c r="H634" s="133">
        <v>1.7780952429659058E-2</v>
      </c>
      <c r="I634" s="133">
        <v>5.5565672796306989E-3</v>
      </c>
      <c r="J634" s="133">
        <v>5.5565672796306989E-3</v>
      </c>
      <c r="K634" s="133">
        <v>5.0038029839164053E-4</v>
      </c>
      <c r="L634" s="133">
        <v>5.9374308291183737E-2</v>
      </c>
      <c r="M634" s="45">
        <v>242.99258866925578</v>
      </c>
    </row>
    <row r="635" spans="1:13" x14ac:dyDescent="0.25">
      <c r="A635" s="812" t="s">
        <v>1999</v>
      </c>
      <c r="B635" s="812">
        <v>15</v>
      </c>
      <c r="C635" s="608">
        <v>39768</v>
      </c>
      <c r="D635" s="812">
        <v>99705</v>
      </c>
      <c r="E635" s="812" t="s">
        <v>1599</v>
      </c>
      <c r="F635" s="133">
        <v>2.8118239954509381</v>
      </c>
      <c r="G635" s="133">
        <v>0.6035571448519983</v>
      </c>
      <c r="H635" s="133">
        <v>1.0109453420784231</v>
      </c>
      <c r="I635" s="133">
        <v>0.86665491889842461</v>
      </c>
      <c r="J635" s="133">
        <v>0.86665491889842461</v>
      </c>
      <c r="K635" s="133">
        <v>4.0682183669088615E-2</v>
      </c>
      <c r="L635" s="133">
        <v>9.4501931118943965</v>
      </c>
      <c r="M635" s="45">
        <v>12387.431040377087</v>
      </c>
    </row>
    <row r="636" spans="1:13" x14ac:dyDescent="0.25">
      <c r="A636" s="812" t="s">
        <v>1999</v>
      </c>
      <c r="B636" s="812">
        <v>15</v>
      </c>
      <c r="C636" s="608">
        <v>39768</v>
      </c>
      <c r="D636" s="812">
        <v>99709</v>
      </c>
      <c r="E636" s="812" t="s">
        <v>1600</v>
      </c>
      <c r="F636" s="133">
        <v>2.3214046744246697</v>
      </c>
      <c r="G636" s="133">
        <v>0.71971024178499599</v>
      </c>
      <c r="H636" s="133">
        <v>1.1326142687517009</v>
      </c>
      <c r="I636" s="133">
        <v>0.64939894972106893</v>
      </c>
      <c r="J636" s="133">
        <v>0.64939894972106893</v>
      </c>
      <c r="K636" s="133">
        <v>3.8443128147643113E-2</v>
      </c>
      <c r="L636" s="133">
        <v>6.7916829143757571</v>
      </c>
      <c r="M636" s="45">
        <v>14626.775119289192</v>
      </c>
    </row>
    <row r="637" spans="1:13" x14ac:dyDescent="0.25">
      <c r="A637" s="812" t="s">
        <v>1999</v>
      </c>
      <c r="B637" s="812">
        <v>15</v>
      </c>
      <c r="C637" s="608">
        <v>39768</v>
      </c>
      <c r="D637" s="812">
        <v>99712</v>
      </c>
      <c r="E637" s="812" t="s">
        <v>1601</v>
      </c>
      <c r="F637" s="133">
        <v>1.2759221546101611</v>
      </c>
      <c r="G637" s="133">
        <v>0.23916364442774846</v>
      </c>
      <c r="H637" s="133">
        <v>0.42510233608288978</v>
      </c>
      <c r="I637" s="133">
        <v>0.35591192113121578</v>
      </c>
      <c r="J637" s="133">
        <v>0.35591192113121578</v>
      </c>
      <c r="K637" s="133">
        <v>1.6968412465722088E-2</v>
      </c>
      <c r="L637" s="133">
        <v>3.7612595509066207</v>
      </c>
      <c r="M637" s="45">
        <v>4973.665597444603</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6.1182563952881056E-5</v>
      </c>
      <c r="G649" s="133">
        <v>1.4092320408975721E-3</v>
      </c>
      <c r="H649" s="133">
        <v>7.5194146282236301E-4</v>
      </c>
      <c r="I649" s="133">
        <v>5.3387436275343538E-5</v>
      </c>
      <c r="J649" s="133">
        <v>5.3387436275343538E-5</v>
      </c>
      <c r="K649" s="133">
        <v>7.1121481398651206E-5</v>
      </c>
      <c r="L649" s="133">
        <v>1.6574964449198159E-4</v>
      </c>
      <c r="M649" s="45">
        <v>23.397491551486752</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0.65136012718581215</v>
      </c>
      <c r="G651" s="133">
        <v>0.58033983726021354</v>
      </c>
      <c r="H651" s="133">
        <v>0.71535925440979098</v>
      </c>
      <c r="I651" s="133">
        <v>0.19453398341512385</v>
      </c>
      <c r="J651" s="133">
        <v>0.19453398341512385</v>
      </c>
      <c r="K651" s="133">
        <v>2.7225260564206249E-2</v>
      </c>
      <c r="L651" s="133">
        <v>1.9315851342910004</v>
      </c>
      <c r="M651" s="45">
        <v>11016.884455488402</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1.5991229518199406E-2</v>
      </c>
      <c r="G653" s="133">
        <v>1.1575999836039236E-2</v>
      </c>
      <c r="H653" s="133">
        <v>1.6802731850129357E-2</v>
      </c>
      <c r="I653" s="133">
        <v>5.3268293294109238E-3</v>
      </c>
      <c r="J653" s="133">
        <v>5.3268293294109238E-3</v>
      </c>
      <c r="K653" s="133">
        <v>4.9121818086013337E-4</v>
      </c>
      <c r="L653" s="133">
        <v>5.6570796827918018E-2</v>
      </c>
      <c r="M653" s="45">
        <v>226.75515428112033</v>
      </c>
    </row>
    <row r="654" spans="1:13" x14ac:dyDescent="0.25">
      <c r="A654" s="812" t="s">
        <v>1999</v>
      </c>
      <c r="B654" s="812">
        <v>16</v>
      </c>
      <c r="C654" s="608">
        <v>39769</v>
      </c>
      <c r="D654" s="812">
        <v>99705</v>
      </c>
      <c r="E654" s="812" t="s">
        <v>1599</v>
      </c>
      <c r="F654" s="133">
        <v>2.6875776072321846</v>
      </c>
      <c r="G654" s="133">
        <v>0.56122158113388532</v>
      </c>
      <c r="H654" s="133">
        <v>0.94834668789384469</v>
      </c>
      <c r="I654" s="133">
        <v>0.81402860647343289</v>
      </c>
      <c r="J654" s="133">
        <v>0.81402860647343289</v>
      </c>
      <c r="K654" s="133">
        <v>3.8451747468338841E-2</v>
      </c>
      <c r="L654" s="133">
        <v>8.7677107603810267</v>
      </c>
      <c r="M654" s="45">
        <v>11573.858402308759</v>
      </c>
    </row>
    <row r="655" spans="1:13" x14ac:dyDescent="0.25">
      <c r="A655" s="812" t="s">
        <v>1999</v>
      </c>
      <c r="B655" s="812">
        <v>16</v>
      </c>
      <c r="C655" s="608">
        <v>39769</v>
      </c>
      <c r="D655" s="812">
        <v>99709</v>
      </c>
      <c r="E655" s="812" t="s">
        <v>1600</v>
      </c>
      <c r="F655" s="133">
        <v>2.2738464337567716</v>
      </c>
      <c r="G655" s="133">
        <v>0.67014278612637324</v>
      </c>
      <c r="H655" s="133">
        <v>1.0749468275301752</v>
      </c>
      <c r="I655" s="133">
        <v>0.62342023155187432</v>
      </c>
      <c r="J655" s="133">
        <v>0.62342023155187432</v>
      </c>
      <c r="K655" s="133">
        <v>3.747039925896839E-2</v>
      </c>
      <c r="L655" s="133">
        <v>6.4503044200938193</v>
      </c>
      <c r="M655" s="45">
        <v>13750.802678681792</v>
      </c>
    </row>
    <row r="656" spans="1:13" x14ac:dyDescent="0.25">
      <c r="A656" s="812" t="s">
        <v>1999</v>
      </c>
      <c r="B656" s="812">
        <v>16</v>
      </c>
      <c r="C656" s="608">
        <v>39769</v>
      </c>
      <c r="D656" s="812">
        <v>99712</v>
      </c>
      <c r="E656" s="812" t="s">
        <v>1601</v>
      </c>
      <c r="F656" s="133">
        <v>1.257504387348753</v>
      </c>
      <c r="G656" s="133">
        <v>0.22746247762987046</v>
      </c>
      <c r="H656" s="133">
        <v>0.40729086045838186</v>
      </c>
      <c r="I656" s="133">
        <v>0.3434236022048151</v>
      </c>
      <c r="J656" s="133">
        <v>0.3434236022048151</v>
      </c>
      <c r="K656" s="133">
        <v>1.6451832574406154E-2</v>
      </c>
      <c r="L656" s="133">
        <v>3.5816989249578439</v>
      </c>
      <c r="M656" s="45">
        <v>4746.7644706342135</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5.3656382767217562E-5</v>
      </c>
      <c r="G668" s="133">
        <v>1.2192302718345388E-3</v>
      </c>
      <c r="H668" s="133">
        <v>6.1763976792554142E-4</v>
      </c>
      <c r="I668" s="133">
        <v>4.8567755348858396E-5</v>
      </c>
      <c r="J668" s="133">
        <v>4.8567755348858396E-5</v>
      </c>
      <c r="K668" s="133">
        <v>7.0862905516945281E-5</v>
      </c>
      <c r="L668" s="133">
        <v>1.6102234078325408E-4</v>
      </c>
      <c r="M668" s="45">
        <v>20.47357543868339</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0C5F-26DE-4523-9466-2BEA7F8402C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0.63973489974003706</v>
      </c>
      <c r="G5" s="133">
        <v>0.57499911345615984</v>
      </c>
      <c r="H5" s="133">
        <v>0.73860732650750105</v>
      </c>
      <c r="I5" s="133">
        <v>0.18945480978909288</v>
      </c>
      <c r="J5" s="133">
        <v>0.18945480978909288</v>
      </c>
      <c r="K5" s="133">
        <v>1.8796576550100516E-2</v>
      </c>
      <c r="L5" s="133">
        <v>1.8839561018894893</v>
      </c>
      <c r="M5" s="45">
        <v>10711.233250368859</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1.5370309608541011E-2</v>
      </c>
      <c r="G7" s="133">
        <v>1.115633132568049E-2</v>
      </c>
      <c r="H7" s="133">
        <v>1.6705842336523946E-2</v>
      </c>
      <c r="I7" s="133">
        <v>5.113852332466578E-3</v>
      </c>
      <c r="J7" s="133">
        <v>5.113852332466578E-3</v>
      </c>
      <c r="K7" s="133">
        <v>3.583396481453687E-4</v>
      </c>
      <c r="L7" s="133">
        <v>5.4379148064345399E-2</v>
      </c>
      <c r="M7" s="45">
        <v>215.88646739351273</v>
      </c>
    </row>
    <row r="8" spans="1:13" x14ac:dyDescent="0.25">
      <c r="A8" s="812" t="s">
        <v>1996</v>
      </c>
      <c r="B8" s="812">
        <v>1</v>
      </c>
      <c r="C8" s="608">
        <v>39470</v>
      </c>
      <c r="D8" s="812">
        <v>99705</v>
      </c>
      <c r="E8" s="812" t="s">
        <v>1599</v>
      </c>
      <c r="F8" s="133">
        <v>2.6665099356836572</v>
      </c>
      <c r="G8" s="133">
        <v>0.55878756504287175</v>
      </c>
      <c r="H8" s="133">
        <v>0.95084060105623747</v>
      </c>
      <c r="I8" s="133">
        <v>0.80808820207115029</v>
      </c>
      <c r="J8" s="133">
        <v>0.80808820207115029</v>
      </c>
      <c r="K8" s="133">
        <v>3.6386551897128749E-2</v>
      </c>
      <c r="L8" s="133">
        <v>8.6967946086519063</v>
      </c>
      <c r="M8" s="45">
        <v>11498.889471016519</v>
      </c>
    </row>
    <row r="9" spans="1:13" x14ac:dyDescent="0.25">
      <c r="A9" s="812" t="s">
        <v>1996</v>
      </c>
      <c r="B9" s="812">
        <v>1</v>
      </c>
      <c r="C9" s="608">
        <v>39470</v>
      </c>
      <c r="D9" s="812">
        <v>99709</v>
      </c>
      <c r="E9" s="812" t="s">
        <v>1600</v>
      </c>
      <c r="F9" s="133">
        <v>2.4914365539196002</v>
      </c>
      <c r="G9" s="133">
        <v>0.68806316711556337</v>
      </c>
      <c r="H9" s="133">
        <v>1.1426656670882349</v>
      </c>
      <c r="I9" s="133">
        <v>0.67755101073621271</v>
      </c>
      <c r="J9" s="133">
        <v>0.67755101073621271</v>
      </c>
      <c r="K9" s="133">
        <v>3.4662906063625834E-2</v>
      </c>
      <c r="L9" s="133">
        <v>7.0204511184698957</v>
      </c>
      <c r="M9" s="45">
        <v>14093.904244969506</v>
      </c>
    </row>
    <row r="10" spans="1:13" x14ac:dyDescent="0.25">
      <c r="A10" s="812" t="s">
        <v>1996</v>
      </c>
      <c r="B10" s="812">
        <v>1</v>
      </c>
      <c r="C10" s="608">
        <v>39470</v>
      </c>
      <c r="D10" s="812">
        <v>99712</v>
      </c>
      <c r="E10" s="812" t="s">
        <v>1601</v>
      </c>
      <c r="F10" s="133">
        <v>1.467248462416836</v>
      </c>
      <c r="G10" s="133">
        <v>0.25472615058501807</v>
      </c>
      <c r="H10" s="133">
        <v>0.46108483130538286</v>
      </c>
      <c r="I10" s="133">
        <v>0.39775090535023533</v>
      </c>
      <c r="J10" s="133">
        <v>0.39775090535023533</v>
      </c>
      <c r="K10" s="133">
        <v>1.8402493081146446E-2</v>
      </c>
      <c r="L10" s="133">
        <v>4.1547168071879952</v>
      </c>
      <c r="M10" s="45">
        <v>5315.2768227228034</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5.1941479728681187E-5</v>
      </c>
      <c r="G22" s="133">
        <v>1.2345217061198285E-3</v>
      </c>
      <c r="H22" s="133">
        <v>7.3413437721902392E-4</v>
      </c>
      <c r="I22" s="133">
        <v>4.1320215658092056E-5</v>
      </c>
      <c r="J22" s="133">
        <v>4.1320215658092056E-5</v>
      </c>
      <c r="K22" s="133">
        <v>4.0929337830611502E-5</v>
      </c>
      <c r="L22" s="133">
        <v>1.0483549627657957E-4</v>
      </c>
      <c r="M22" s="45">
        <v>19.968307864776964</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0.8862309920838044</v>
      </c>
      <c r="G24" s="133">
        <v>0.75183660510478323</v>
      </c>
      <c r="H24" s="133">
        <v>0.96247763329126013</v>
      </c>
      <c r="I24" s="133">
        <v>0.25552032198848429</v>
      </c>
      <c r="J24" s="133">
        <v>0.25552032198848429</v>
      </c>
      <c r="K24" s="133">
        <v>2.1689365461565507E-2</v>
      </c>
      <c r="L24" s="133">
        <v>2.5362864661998259</v>
      </c>
      <c r="M24" s="45">
        <v>13842.570237250829</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2.0841517636865158E-2</v>
      </c>
      <c r="G26" s="133">
        <v>1.4549666216351721E-2</v>
      </c>
      <c r="H26" s="133">
        <v>2.1674294503470096E-2</v>
      </c>
      <c r="I26" s="133">
        <v>6.8278450564406377E-3</v>
      </c>
      <c r="J26" s="133">
        <v>6.8278450564406377E-3</v>
      </c>
      <c r="K26" s="133">
        <v>4.2963287112342719E-4</v>
      </c>
      <c r="L26" s="133">
        <v>7.2803474705080862E-2</v>
      </c>
      <c r="M26" s="45">
        <v>278.77678953989192</v>
      </c>
    </row>
    <row r="27" spans="1:13" x14ac:dyDescent="0.25">
      <c r="A27" s="812" t="s">
        <v>1996</v>
      </c>
      <c r="B27" s="812">
        <v>2</v>
      </c>
      <c r="C27" s="608">
        <v>39471</v>
      </c>
      <c r="D27" s="812">
        <v>99705</v>
      </c>
      <c r="E27" s="812" t="s">
        <v>1599</v>
      </c>
      <c r="F27" s="133">
        <v>3.5997344762294192</v>
      </c>
      <c r="G27" s="133">
        <v>0.72977504519116632</v>
      </c>
      <c r="H27" s="133">
        <v>1.2363084680173548</v>
      </c>
      <c r="I27" s="133">
        <v>1.0802404658230005</v>
      </c>
      <c r="J27" s="133">
        <v>1.0802404658230005</v>
      </c>
      <c r="K27" s="133">
        <v>4.8249026446671443E-2</v>
      </c>
      <c r="L27" s="133">
        <v>11.705013593276414</v>
      </c>
      <c r="M27" s="45">
        <v>14932.093260853211</v>
      </c>
    </row>
    <row r="28" spans="1:13" x14ac:dyDescent="0.25">
      <c r="A28" s="812" t="s">
        <v>1996</v>
      </c>
      <c r="B28" s="812">
        <v>2</v>
      </c>
      <c r="C28" s="608">
        <v>39471</v>
      </c>
      <c r="D28" s="812">
        <v>99709</v>
      </c>
      <c r="E28" s="812" t="s">
        <v>1600</v>
      </c>
      <c r="F28" s="133">
        <v>3.3228348586827861</v>
      </c>
      <c r="G28" s="133">
        <v>0.87698751839954336</v>
      </c>
      <c r="H28" s="133">
        <v>1.4433438434354684</v>
      </c>
      <c r="I28" s="133">
        <v>0.88478616774783259</v>
      </c>
      <c r="J28" s="133">
        <v>0.88478616774783259</v>
      </c>
      <c r="K28" s="133">
        <v>4.366583859957282E-2</v>
      </c>
      <c r="L28" s="133">
        <v>9.1365240926998741</v>
      </c>
      <c r="M28" s="45">
        <v>17813.959282361378</v>
      </c>
    </row>
    <row r="29" spans="1:13" x14ac:dyDescent="0.25">
      <c r="A29" s="812" t="s">
        <v>1996</v>
      </c>
      <c r="B29" s="812">
        <v>2</v>
      </c>
      <c r="C29" s="608">
        <v>39471</v>
      </c>
      <c r="D29" s="812">
        <v>99712</v>
      </c>
      <c r="E29" s="812" t="s">
        <v>1601</v>
      </c>
      <c r="F29" s="133">
        <v>1.8512185832217176</v>
      </c>
      <c r="G29" s="133">
        <v>0.3092158476177167</v>
      </c>
      <c r="H29" s="133">
        <v>0.55560568835401825</v>
      </c>
      <c r="I29" s="133">
        <v>0.49373953787001962</v>
      </c>
      <c r="J29" s="133">
        <v>0.49373953787001962</v>
      </c>
      <c r="K29" s="133">
        <v>2.2790420150910182E-2</v>
      </c>
      <c r="L29" s="133">
        <v>5.1519583402249101</v>
      </c>
      <c r="M29" s="45">
        <v>6418.208191566403</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6.7953371924459578E-5</v>
      </c>
      <c r="G41" s="133">
        <v>1.638748998579872E-3</v>
      </c>
      <c r="H41" s="133">
        <v>1.0198601931872252E-3</v>
      </c>
      <c r="I41" s="133">
        <v>5.1574049509439366E-5</v>
      </c>
      <c r="J41" s="133">
        <v>5.1574049509439366E-5</v>
      </c>
      <c r="K41" s="133">
        <v>4.1479456016736295E-5</v>
      </c>
      <c r="L41" s="133">
        <v>1.1489279831244275E-4</v>
      </c>
      <c r="M41" s="45">
        <v>26.188916754300962</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0.80892906665332698</v>
      </c>
      <c r="G43" s="133">
        <v>0.72151664564242379</v>
      </c>
      <c r="H43" s="133">
        <v>0.90980366505348187</v>
      </c>
      <c r="I43" s="133">
        <v>0.23538062210297067</v>
      </c>
      <c r="J43" s="133">
        <v>0.23538062210297067</v>
      </c>
      <c r="K43" s="133">
        <v>2.0807153455880124E-2</v>
      </c>
      <c r="L43" s="133">
        <v>2.3314203303857051</v>
      </c>
      <c r="M43" s="45">
        <v>13233.631612353756</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1.921161853778609E-2</v>
      </c>
      <c r="G45" s="133">
        <v>1.3881620683632974E-2</v>
      </c>
      <c r="H45" s="133">
        <v>2.0436598347001556E-2</v>
      </c>
      <c r="I45" s="133">
        <v>6.3267105674267299E-3</v>
      </c>
      <c r="J45" s="133">
        <v>6.3267105674267299E-3</v>
      </c>
      <c r="K45" s="133">
        <v>4.0892624107881858E-4</v>
      </c>
      <c r="L45" s="133">
        <v>6.7319263886605835E-2</v>
      </c>
      <c r="M45" s="45">
        <v>265.01729421490523</v>
      </c>
    </row>
    <row r="46" spans="1:13" x14ac:dyDescent="0.25">
      <c r="A46" s="812" t="s">
        <v>1996</v>
      </c>
      <c r="B46" s="812">
        <v>3</v>
      </c>
      <c r="C46" s="608">
        <v>39472</v>
      </c>
      <c r="D46" s="812">
        <v>99705</v>
      </c>
      <c r="E46" s="812" t="s">
        <v>1599</v>
      </c>
      <c r="F46" s="133">
        <v>3.331711851864521</v>
      </c>
      <c r="G46" s="133">
        <v>0.68544884575239751</v>
      </c>
      <c r="H46" s="133">
        <v>1.1575910923606823</v>
      </c>
      <c r="I46" s="133">
        <v>1.0023497088372302</v>
      </c>
      <c r="J46" s="133">
        <v>1.0023497088372302</v>
      </c>
      <c r="K46" s="133">
        <v>4.4851291883253173E-2</v>
      </c>
      <c r="L46" s="133">
        <v>10.843673257564628</v>
      </c>
      <c r="M46" s="45">
        <v>14019.439738804384</v>
      </c>
    </row>
    <row r="47" spans="1:13" x14ac:dyDescent="0.25">
      <c r="A47" s="812" t="s">
        <v>1996</v>
      </c>
      <c r="B47" s="812">
        <v>3</v>
      </c>
      <c r="C47" s="608">
        <v>39472</v>
      </c>
      <c r="D47" s="812">
        <v>99709</v>
      </c>
      <c r="E47" s="812" t="s">
        <v>1600</v>
      </c>
      <c r="F47" s="133">
        <v>2.9511013022265744</v>
      </c>
      <c r="G47" s="133">
        <v>0.81478036096167772</v>
      </c>
      <c r="H47" s="133">
        <v>1.3264791552254258</v>
      </c>
      <c r="I47" s="133">
        <v>0.79231192362348601</v>
      </c>
      <c r="J47" s="133">
        <v>0.79231192362348601</v>
      </c>
      <c r="K47" s="133">
        <v>3.9668416293397554E-2</v>
      </c>
      <c r="L47" s="133">
        <v>8.1855678698582075</v>
      </c>
      <c r="M47" s="45">
        <v>16497.610782606102</v>
      </c>
    </row>
    <row r="48" spans="1:13" x14ac:dyDescent="0.25">
      <c r="A48" s="812" t="s">
        <v>1996</v>
      </c>
      <c r="B48" s="812">
        <v>3</v>
      </c>
      <c r="C48" s="608">
        <v>39472</v>
      </c>
      <c r="D48" s="812">
        <v>99712</v>
      </c>
      <c r="E48" s="812" t="s">
        <v>1601</v>
      </c>
      <c r="F48" s="133">
        <v>1.6691907540815718</v>
      </c>
      <c r="G48" s="133">
        <v>0.28583525938621274</v>
      </c>
      <c r="H48" s="133">
        <v>0.51289951956543878</v>
      </c>
      <c r="I48" s="133">
        <v>0.44816534367728111</v>
      </c>
      <c r="J48" s="133">
        <v>0.44816534367728111</v>
      </c>
      <c r="K48" s="133">
        <v>2.0706780834788951E-2</v>
      </c>
      <c r="L48" s="133">
        <v>4.6771555030726173</v>
      </c>
      <c r="M48" s="45">
        <v>5935.0829615751445</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6.6561033472652752E-5</v>
      </c>
      <c r="G60" s="133">
        <v>1.6035987992355199E-3</v>
      </c>
      <c r="H60" s="133">
        <v>9.9501447005955574E-4</v>
      </c>
      <c r="I60" s="133">
        <v>5.068241178323525E-5</v>
      </c>
      <c r="J60" s="133">
        <v>5.068241178323525E-5</v>
      </c>
      <c r="K60" s="133">
        <v>4.1431619652725449E-5</v>
      </c>
      <c r="L60" s="133">
        <v>1.140182503093242E-4</v>
      </c>
      <c r="M60" s="45">
        <v>25.647994242168437</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1.1256323813696623</v>
      </c>
      <c r="G62" s="133">
        <v>0.90240399906187529</v>
      </c>
      <c r="H62" s="133">
        <v>1.1714617140951336</v>
      </c>
      <c r="I62" s="133">
        <v>0.32255666703648861</v>
      </c>
      <c r="J62" s="133">
        <v>0.32255666703648861</v>
      </c>
      <c r="K62" s="133">
        <v>2.4586159971430276E-2</v>
      </c>
      <c r="L62" s="133">
        <v>3.2250009308418885</v>
      </c>
      <c r="M62" s="45">
        <v>16603.168166892938</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2.6325364102450472E-2</v>
      </c>
      <c r="G64" s="133">
        <v>1.764539839640936E-2</v>
      </c>
      <c r="H64" s="133">
        <v>2.6594535029668E-2</v>
      </c>
      <c r="I64" s="133">
        <v>8.6378571961010404E-3</v>
      </c>
      <c r="J64" s="133">
        <v>8.6378571961010404E-3</v>
      </c>
      <c r="K64" s="133">
        <v>5.0342180450264114E-4</v>
      </c>
      <c r="L64" s="133">
        <v>9.294549139009986E-2</v>
      </c>
      <c r="M64" s="45">
        <v>338.29187477094285</v>
      </c>
    </row>
    <row r="65" spans="1:13" x14ac:dyDescent="0.25">
      <c r="A65" s="812" t="s">
        <v>1996</v>
      </c>
      <c r="B65" s="812">
        <v>4</v>
      </c>
      <c r="C65" s="608">
        <v>39473</v>
      </c>
      <c r="D65" s="812">
        <v>99705</v>
      </c>
      <c r="E65" s="812" t="s">
        <v>1599</v>
      </c>
      <c r="F65" s="133">
        <v>4.3883564050864541</v>
      </c>
      <c r="G65" s="133">
        <v>0.88431806815129599</v>
      </c>
      <c r="H65" s="133">
        <v>1.4969202118809526</v>
      </c>
      <c r="I65" s="133">
        <v>1.3277203829071194</v>
      </c>
      <c r="J65" s="133">
        <v>1.3277203829071194</v>
      </c>
      <c r="K65" s="133">
        <v>5.8983138279718475E-2</v>
      </c>
      <c r="L65" s="133">
        <v>14.550858119977615</v>
      </c>
      <c r="M65" s="45">
        <v>18050.043615697403</v>
      </c>
    </row>
    <row r="66" spans="1:13" x14ac:dyDescent="0.25">
      <c r="A66" s="812" t="s">
        <v>1996</v>
      </c>
      <c r="B66" s="812">
        <v>4</v>
      </c>
      <c r="C66" s="608">
        <v>39473</v>
      </c>
      <c r="D66" s="812">
        <v>99709</v>
      </c>
      <c r="E66" s="812" t="s">
        <v>1600</v>
      </c>
      <c r="F66" s="133">
        <v>3.9376220904536843</v>
      </c>
      <c r="G66" s="133">
        <v>1.0274490095355695</v>
      </c>
      <c r="H66" s="133">
        <v>1.6846831675988103</v>
      </c>
      <c r="I66" s="133">
        <v>1.0514235983732012</v>
      </c>
      <c r="J66" s="133">
        <v>1.0514235983732012</v>
      </c>
      <c r="K66" s="133">
        <v>5.0754494232552821E-2</v>
      </c>
      <c r="L66" s="133">
        <v>10.920323698841869</v>
      </c>
      <c r="M66" s="45">
        <v>20793.437833319225</v>
      </c>
    </row>
    <row r="67" spans="1:13" x14ac:dyDescent="0.25">
      <c r="A67" s="812" t="s">
        <v>1996</v>
      </c>
      <c r="B67" s="812">
        <v>4</v>
      </c>
      <c r="C67" s="608">
        <v>39473</v>
      </c>
      <c r="D67" s="812">
        <v>99712</v>
      </c>
      <c r="E67" s="812" t="s">
        <v>1601</v>
      </c>
      <c r="F67" s="133">
        <v>2.1818274992649336</v>
      </c>
      <c r="G67" s="133">
        <v>0.36176867465133322</v>
      </c>
      <c r="H67" s="133">
        <v>0.64801915676381094</v>
      </c>
      <c r="I67" s="133">
        <v>0.58397718626692607</v>
      </c>
      <c r="J67" s="133">
        <v>0.58397718626692607</v>
      </c>
      <c r="K67" s="133">
        <v>2.6865899755704834E-2</v>
      </c>
      <c r="L67" s="133">
        <v>6.1391314854579875</v>
      </c>
      <c r="M67" s="45">
        <v>7489.3150909304541</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7.9788248764817477E-5</v>
      </c>
      <c r="G79" s="133">
        <v>1.9375256930068603E-3</v>
      </c>
      <c r="H79" s="133">
        <v>1.231048839772417E-3</v>
      </c>
      <c r="I79" s="133">
        <v>5.9152970182174316E-5</v>
      </c>
      <c r="J79" s="133">
        <v>5.9152970182174316E-5</v>
      </c>
      <c r="K79" s="133">
        <v>4.1886065110828504E-5</v>
      </c>
      <c r="L79" s="133">
        <v>1.2232645633895024E-4</v>
      </c>
      <c r="M79" s="45">
        <v>30.786758107427396</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1.0014517562149856</v>
      </c>
      <c r="G81" s="133">
        <v>0.83619408409760132</v>
      </c>
      <c r="H81" s="133">
        <v>1.0756288455774032</v>
      </c>
      <c r="I81" s="133">
        <v>0.29035761868522486</v>
      </c>
      <c r="J81" s="133">
        <v>0.29035761868522486</v>
      </c>
      <c r="K81" s="133">
        <v>2.3162947884992974E-2</v>
      </c>
      <c r="L81" s="133">
        <v>2.9046362923886733</v>
      </c>
      <c r="M81" s="45">
        <v>15370.69637858766</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2.3872040827420535E-2</v>
      </c>
      <c r="G83" s="133">
        <v>1.634776009866596E-2</v>
      </c>
      <c r="H83" s="133">
        <v>2.4507856788296058E-2</v>
      </c>
      <c r="I83" s="133">
        <v>7.873928605386004E-3</v>
      </c>
      <c r="J83" s="133">
        <v>7.873928605386004E-3</v>
      </c>
      <c r="K83" s="133">
        <v>4.7188532230388439E-4</v>
      </c>
      <c r="L83" s="133">
        <v>8.4664740828994708E-2</v>
      </c>
      <c r="M83" s="45">
        <v>313.24644868804847</v>
      </c>
    </row>
    <row r="84" spans="1:13" x14ac:dyDescent="0.25">
      <c r="A84" s="812" t="s">
        <v>1996</v>
      </c>
      <c r="B84" s="812">
        <v>5</v>
      </c>
      <c r="C84" s="608">
        <v>39474</v>
      </c>
      <c r="D84" s="812">
        <v>99705</v>
      </c>
      <c r="E84" s="812" t="s">
        <v>1599</v>
      </c>
      <c r="F84" s="133">
        <v>3.9803606858359522</v>
      </c>
      <c r="G84" s="133">
        <v>0.81164494562933276</v>
      </c>
      <c r="H84" s="133">
        <v>1.3720705262981185</v>
      </c>
      <c r="I84" s="133">
        <v>1.2079538987234442</v>
      </c>
      <c r="J84" s="133">
        <v>1.2079538987234442</v>
      </c>
      <c r="K84" s="133">
        <v>5.3754086380989032E-2</v>
      </c>
      <c r="L84" s="133">
        <v>13.222643500326694</v>
      </c>
      <c r="M84" s="45">
        <v>16575.311263510215</v>
      </c>
    </row>
    <row r="85" spans="1:13" x14ac:dyDescent="0.25">
      <c r="A85" s="812" t="s">
        <v>1996</v>
      </c>
      <c r="B85" s="812">
        <v>5</v>
      </c>
      <c r="C85" s="608">
        <v>39474</v>
      </c>
      <c r="D85" s="812">
        <v>99709</v>
      </c>
      <c r="E85" s="812" t="s">
        <v>1600</v>
      </c>
      <c r="F85" s="133">
        <v>3.3899806891417259</v>
      </c>
      <c r="G85" s="133">
        <v>0.92989815868745707</v>
      </c>
      <c r="H85" s="133">
        <v>1.5163649917746986</v>
      </c>
      <c r="I85" s="133">
        <v>0.91582476030021742</v>
      </c>
      <c r="J85" s="133">
        <v>0.91582476030021742</v>
      </c>
      <c r="K85" s="133">
        <v>4.4871282946395898E-2</v>
      </c>
      <c r="L85" s="133">
        <v>9.5304409194329516</v>
      </c>
      <c r="M85" s="45">
        <v>18802.752404892381</v>
      </c>
    </row>
    <row r="86" spans="1:13" x14ac:dyDescent="0.25">
      <c r="A86" s="812" t="s">
        <v>1996</v>
      </c>
      <c r="B86" s="812">
        <v>5</v>
      </c>
      <c r="C86" s="608">
        <v>39474</v>
      </c>
      <c r="D86" s="812">
        <v>99712</v>
      </c>
      <c r="E86" s="812" t="s">
        <v>1601</v>
      </c>
      <c r="F86" s="133">
        <v>1.7808857860568801</v>
      </c>
      <c r="G86" s="133">
        <v>0.30855183185023838</v>
      </c>
      <c r="H86" s="133">
        <v>0.5512893181019427</v>
      </c>
      <c r="I86" s="133">
        <v>0.48280050865945828</v>
      </c>
      <c r="J86" s="133">
        <v>0.48280050865945828</v>
      </c>
      <c r="K86" s="133">
        <v>2.2258068283337294E-2</v>
      </c>
      <c r="L86" s="133">
        <v>5.081805212179515</v>
      </c>
      <c r="M86" s="45">
        <v>6391.017064953171</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7.491506418349364E-5</v>
      </c>
      <c r="G98" s="133">
        <v>1.8144999953016295E-3</v>
      </c>
      <c r="H98" s="133">
        <v>1.1440888088255733E-3</v>
      </c>
      <c r="I98" s="133">
        <v>5.6032238140459915E-5</v>
      </c>
      <c r="J98" s="133">
        <v>5.6032238140459915E-5</v>
      </c>
      <c r="K98" s="133">
        <v>4.1718637836790542E-5</v>
      </c>
      <c r="L98" s="133">
        <v>1.1926553832803538E-4</v>
      </c>
      <c r="M98" s="45">
        <v>28.893529314963565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0.86734895246562482</v>
      </c>
      <c r="G100" s="133">
        <v>0.73708704693602722</v>
      </c>
      <c r="H100" s="133">
        <v>0.94442536197306637</v>
      </c>
      <c r="I100" s="133">
        <v>0.25036417769305258</v>
      </c>
      <c r="J100" s="133">
        <v>0.25036417769305258</v>
      </c>
      <c r="K100" s="133">
        <v>2.146514084355982E-2</v>
      </c>
      <c r="L100" s="133">
        <v>2.4852943301695887</v>
      </c>
      <c r="M100" s="45">
        <v>13584.391538584052</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2.0616332222976583E-2</v>
      </c>
      <c r="G102" s="133">
        <v>1.434997658769474E-2</v>
      </c>
      <c r="H102" s="133">
        <v>2.1451640343319821E-2</v>
      </c>
      <c r="I102" s="133">
        <v>6.7578375372102243E-3</v>
      </c>
      <c r="J102" s="133">
        <v>6.7578375372102243E-3</v>
      </c>
      <c r="K102" s="133">
        <v>4.2648602533171156E-4</v>
      </c>
      <c r="L102" s="133">
        <v>7.207565971404474E-2</v>
      </c>
      <c r="M102" s="45">
        <v>275.45212417868152</v>
      </c>
    </row>
    <row r="103" spans="1:13" x14ac:dyDescent="0.25">
      <c r="A103" s="812" t="s">
        <v>1996</v>
      </c>
      <c r="B103" s="812">
        <v>6</v>
      </c>
      <c r="C103" s="608">
        <v>39475</v>
      </c>
      <c r="D103" s="812">
        <v>99705</v>
      </c>
      <c r="E103" s="812" t="s">
        <v>1599</v>
      </c>
      <c r="F103" s="133">
        <v>3.5818794600430892</v>
      </c>
      <c r="G103" s="133">
        <v>0.72515038766956774</v>
      </c>
      <c r="H103" s="133">
        <v>1.2298445624650491</v>
      </c>
      <c r="I103" s="133">
        <v>1.0756984806543717</v>
      </c>
      <c r="J103" s="133">
        <v>1.0756984806543717</v>
      </c>
      <c r="K103" s="133">
        <v>4.8013977434270869E-2</v>
      </c>
      <c r="L103" s="133">
        <v>11.657726698483158</v>
      </c>
      <c r="M103" s="45">
        <v>14847.978678647938</v>
      </c>
    </row>
    <row r="104" spans="1:13" x14ac:dyDescent="0.25">
      <c r="A104" s="812" t="s">
        <v>1996</v>
      </c>
      <c r="B104" s="812">
        <v>6</v>
      </c>
      <c r="C104" s="608">
        <v>39475</v>
      </c>
      <c r="D104" s="812">
        <v>99709</v>
      </c>
      <c r="E104" s="812" t="s">
        <v>1600</v>
      </c>
      <c r="F104" s="133">
        <v>3.0680402546429639</v>
      </c>
      <c r="G104" s="133">
        <v>0.83338984364354729</v>
      </c>
      <c r="H104" s="133">
        <v>1.3645506027456631</v>
      </c>
      <c r="I104" s="133">
        <v>0.82029439888161471</v>
      </c>
      <c r="J104" s="133">
        <v>0.82029439888161471</v>
      </c>
      <c r="K104" s="133">
        <v>4.0892779738241625E-2</v>
      </c>
      <c r="L104" s="133">
        <v>8.4674428929754662</v>
      </c>
      <c r="M104" s="45">
        <v>16905.559316927996</v>
      </c>
    </row>
    <row r="105" spans="1:13" x14ac:dyDescent="0.25">
      <c r="A105" s="812" t="s">
        <v>1996</v>
      </c>
      <c r="B105" s="812">
        <v>6</v>
      </c>
      <c r="C105" s="608">
        <v>39475</v>
      </c>
      <c r="D105" s="812">
        <v>99712</v>
      </c>
      <c r="E105" s="812" t="s">
        <v>1601</v>
      </c>
      <c r="F105" s="133">
        <v>1.6774389896991755</v>
      </c>
      <c r="G105" s="133">
        <v>0.28543594321113253</v>
      </c>
      <c r="H105" s="133">
        <v>0.51244776417878579</v>
      </c>
      <c r="I105" s="133">
        <v>0.44823903454747305</v>
      </c>
      <c r="J105" s="133">
        <v>0.44823903454747305</v>
      </c>
      <c r="K105" s="133">
        <v>2.0743490192109772E-2</v>
      </c>
      <c r="L105" s="133">
        <v>4.6680485851149411</v>
      </c>
      <c r="M105" s="45">
        <v>5926.7059997312172</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6.6561033472652738E-5</v>
      </c>
      <c r="G117" s="133">
        <v>1.6035987992355203E-3</v>
      </c>
      <c r="H117" s="133">
        <v>9.9501447005955531E-4</v>
      </c>
      <c r="I117" s="133">
        <v>5.0682411783235243E-5</v>
      </c>
      <c r="J117" s="133">
        <v>5.0682411783235243E-5</v>
      </c>
      <c r="K117" s="133">
        <v>4.1431619652725436E-5</v>
      </c>
      <c r="L117" s="133">
        <v>1.1401825030932418E-4</v>
      </c>
      <c r="M117" s="45">
        <v>25.647994242168437</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0.97376406650999059</v>
      </c>
      <c r="G119" s="133">
        <v>0.8087144497227019</v>
      </c>
      <c r="H119" s="133">
        <v>1.0374768538881562</v>
      </c>
      <c r="I119" s="133">
        <v>0.27860777923150348</v>
      </c>
      <c r="J119" s="133">
        <v>0.27860777923150348</v>
      </c>
      <c r="K119" s="133">
        <v>2.2705878072235799E-2</v>
      </c>
      <c r="L119" s="133">
        <v>2.7643775733951195</v>
      </c>
      <c r="M119" s="45">
        <v>14864.544816277854</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2.2894481054884421E-2</v>
      </c>
      <c r="G121" s="133">
        <v>1.5726115146827285E-2</v>
      </c>
      <c r="H121" s="133">
        <v>2.3501096117550746E-2</v>
      </c>
      <c r="I121" s="133">
        <v>7.4711113574952893E-3</v>
      </c>
      <c r="J121" s="133">
        <v>7.4711113574952893E-3</v>
      </c>
      <c r="K121" s="133">
        <v>4.560817769527961E-4</v>
      </c>
      <c r="L121" s="133">
        <v>7.975545851376438E-2</v>
      </c>
      <c r="M121" s="45">
        <v>301.14184260991846</v>
      </c>
    </row>
    <row r="122" spans="1:13" x14ac:dyDescent="0.25">
      <c r="A122" s="812" t="s">
        <v>1996</v>
      </c>
      <c r="B122" s="812">
        <v>7</v>
      </c>
      <c r="C122" s="608">
        <v>39476</v>
      </c>
      <c r="D122" s="812">
        <v>99705</v>
      </c>
      <c r="E122" s="812" t="s">
        <v>1599</v>
      </c>
      <c r="F122" s="133">
        <v>3.9217675450333473</v>
      </c>
      <c r="G122" s="133">
        <v>0.78850661919157694</v>
      </c>
      <c r="H122" s="133">
        <v>1.3351849218856704</v>
      </c>
      <c r="I122" s="133">
        <v>1.1751742419642965</v>
      </c>
      <c r="J122" s="133">
        <v>1.1751742419642965</v>
      </c>
      <c r="K122" s="133">
        <v>5.2352337751226941E-2</v>
      </c>
      <c r="L122" s="133">
        <v>12.758601082604907</v>
      </c>
      <c r="M122" s="45">
        <v>16117.516594623195</v>
      </c>
    </row>
    <row r="123" spans="1:13" x14ac:dyDescent="0.25">
      <c r="A123" s="812" t="s">
        <v>1996</v>
      </c>
      <c r="B123" s="812">
        <v>7</v>
      </c>
      <c r="C123" s="608">
        <v>39476</v>
      </c>
      <c r="D123" s="812">
        <v>99709</v>
      </c>
      <c r="E123" s="812" t="s">
        <v>1600</v>
      </c>
      <c r="F123" s="133">
        <v>3.430317057654841</v>
      </c>
      <c r="G123" s="133">
        <v>0.91301787538044721</v>
      </c>
      <c r="H123" s="133">
        <v>1.4935992014838784</v>
      </c>
      <c r="I123" s="133">
        <v>0.91053238962552385</v>
      </c>
      <c r="J123" s="133">
        <v>0.91053238962552385</v>
      </c>
      <c r="K123" s="133">
        <v>4.4831828419958968E-2</v>
      </c>
      <c r="L123" s="133">
        <v>9.3896588490383586</v>
      </c>
      <c r="M123" s="45">
        <v>18483.674817076284</v>
      </c>
    </row>
    <row r="124" spans="1:13" x14ac:dyDescent="0.25">
      <c r="A124" s="812" t="s">
        <v>1996</v>
      </c>
      <c r="B124" s="812">
        <v>7</v>
      </c>
      <c r="C124" s="608">
        <v>39476</v>
      </c>
      <c r="D124" s="812">
        <v>99712</v>
      </c>
      <c r="E124" s="812" t="s">
        <v>1601</v>
      </c>
      <c r="F124" s="133">
        <v>1.8444807921998991</v>
      </c>
      <c r="G124" s="133">
        <v>0.30929598812963011</v>
      </c>
      <c r="H124" s="133">
        <v>0.55391605597444893</v>
      </c>
      <c r="I124" s="133">
        <v>0.49079293410842162</v>
      </c>
      <c r="J124" s="133">
        <v>0.49079293410842162</v>
      </c>
      <c r="K124" s="133">
        <v>2.2677738577623473E-2</v>
      </c>
      <c r="L124" s="133">
        <v>5.1144044405283386</v>
      </c>
      <c r="M124" s="45">
        <v>6410.4439708092868</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7.2826556505783415E-5</v>
      </c>
      <c r="G136" s="133">
        <v>1.7617746962851016E-3</v>
      </c>
      <c r="H136" s="133">
        <v>1.1068202241340688E-3</v>
      </c>
      <c r="I136" s="133">
        <v>5.4694781551153752E-5</v>
      </c>
      <c r="J136" s="133">
        <v>5.4694781551153752E-5</v>
      </c>
      <c r="K136" s="133">
        <v>4.1646883290774264E-5</v>
      </c>
      <c r="L136" s="133">
        <v>1.1795371632335758E-4</v>
      </c>
      <c r="M136" s="45">
        <v>28.082145546764785</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1.0273134132366499</v>
      </c>
      <c r="G138" s="133">
        <v>0.8085561818251199</v>
      </c>
      <c r="H138" s="133">
        <v>1.0591833053527366</v>
      </c>
      <c r="I138" s="133">
        <v>0.29205728532119346</v>
      </c>
      <c r="J138" s="133">
        <v>0.29205728532119346</v>
      </c>
      <c r="K138" s="133">
        <v>2.3295975299680725E-2</v>
      </c>
      <c r="L138" s="133">
        <v>2.9063249531660951</v>
      </c>
      <c r="M138" s="45">
        <v>14972.130227093456</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2.3989281177871385E-2</v>
      </c>
      <c r="G140" s="133">
        <v>1.5882370959552763E-2</v>
      </c>
      <c r="H140" s="133">
        <v>2.4150000219443222E-2</v>
      </c>
      <c r="I140" s="133">
        <v>7.8018442835796785E-3</v>
      </c>
      <c r="J140" s="133">
        <v>7.8018442835796785E-3</v>
      </c>
      <c r="K140" s="133">
        <v>4.6941683240199521E-4</v>
      </c>
      <c r="L140" s="133">
        <v>8.3466741083693688E-2</v>
      </c>
      <c r="M140" s="45">
        <v>306.27472106532878</v>
      </c>
    </row>
    <row r="141" spans="1:13" x14ac:dyDescent="0.25">
      <c r="A141" s="812" t="s">
        <v>1996</v>
      </c>
      <c r="B141" s="812">
        <v>8</v>
      </c>
      <c r="C141" s="608">
        <v>39477</v>
      </c>
      <c r="D141" s="812">
        <v>99705</v>
      </c>
      <c r="E141" s="812" t="s">
        <v>1599</v>
      </c>
      <c r="F141" s="133">
        <v>4.0643794832572446</v>
      </c>
      <c r="G141" s="133">
        <v>0.80830025337718758</v>
      </c>
      <c r="H141" s="133">
        <v>1.3748764832969063</v>
      </c>
      <c r="I141" s="133">
        <v>1.2169793031509617</v>
      </c>
      <c r="J141" s="133">
        <v>1.2169793031509617</v>
      </c>
      <c r="K141" s="133">
        <v>5.4176547667594548E-2</v>
      </c>
      <c r="L141" s="133">
        <v>13.2238832382565</v>
      </c>
      <c r="M141" s="45">
        <v>16546.818173013737</v>
      </c>
    </row>
    <row r="142" spans="1:13" x14ac:dyDescent="0.25">
      <c r="A142" s="812" t="s">
        <v>1996</v>
      </c>
      <c r="B142" s="812">
        <v>8</v>
      </c>
      <c r="C142" s="608">
        <v>39477</v>
      </c>
      <c r="D142" s="812">
        <v>99709</v>
      </c>
      <c r="E142" s="812" t="s">
        <v>1600</v>
      </c>
      <c r="F142" s="133">
        <v>3.6154065211359745</v>
      </c>
      <c r="G142" s="133">
        <v>0.93333304222700264</v>
      </c>
      <c r="H142" s="133">
        <v>1.5439015815453856</v>
      </c>
      <c r="I142" s="133">
        <v>0.95597522621157116</v>
      </c>
      <c r="J142" s="133">
        <v>0.95597522621157116</v>
      </c>
      <c r="K142" s="133">
        <v>4.6809842431654099E-2</v>
      </c>
      <c r="L142" s="133">
        <v>9.8575133845948191</v>
      </c>
      <c r="M142" s="45">
        <v>18973.919623448142</v>
      </c>
    </row>
    <row r="143" spans="1:13" x14ac:dyDescent="0.25">
      <c r="A143" s="812" t="s">
        <v>1996</v>
      </c>
      <c r="B143" s="812">
        <v>8</v>
      </c>
      <c r="C143" s="608">
        <v>39477</v>
      </c>
      <c r="D143" s="812">
        <v>99712</v>
      </c>
      <c r="E143" s="812" t="s">
        <v>1601</v>
      </c>
      <c r="F143" s="133">
        <v>1.9394405639766354</v>
      </c>
      <c r="G143" s="133">
        <v>0.32072731588015929</v>
      </c>
      <c r="H143" s="133">
        <v>0.57608898857497326</v>
      </c>
      <c r="I143" s="133">
        <v>0.51467585979032549</v>
      </c>
      <c r="J143" s="133">
        <v>0.51467585979032549</v>
      </c>
      <c r="K143" s="133">
        <v>2.3765432891356152E-2</v>
      </c>
      <c r="L143" s="133">
        <v>5.3639109850261777</v>
      </c>
      <c r="M143" s="45">
        <v>6652.8399295342724</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7.0738048828073162E-5</v>
      </c>
      <c r="G155" s="133">
        <v>1.7090493972685746E-3</v>
      </c>
      <c r="H155" s="133">
        <v>1.069551639442564E-3</v>
      </c>
      <c r="I155" s="133">
        <v>5.3357324961847569E-5</v>
      </c>
      <c r="J155" s="133">
        <v>5.3357324961847569E-5</v>
      </c>
      <c r="K155" s="133">
        <v>4.1575128744757986E-5</v>
      </c>
      <c r="L155" s="133">
        <v>1.1664189431867978E-4</v>
      </c>
      <c r="M155" s="45">
        <v>27.270761778566001</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0.97055160622666903</v>
      </c>
      <c r="G157" s="133">
        <v>0.74068822943844481</v>
      </c>
      <c r="H157" s="133">
        <v>0.98915408667945182</v>
      </c>
      <c r="I157" s="133">
        <v>0.27648837832364681</v>
      </c>
      <c r="J157" s="133">
        <v>0.27648837832364681</v>
      </c>
      <c r="K157" s="133">
        <v>2.2608928110580049E-2</v>
      </c>
      <c r="L157" s="133">
        <v>2.7605681959793813</v>
      </c>
      <c r="M157" s="45">
        <v>13850.661248207622</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2.2700617685968438E-2</v>
      </c>
      <c r="G159" s="133">
        <v>1.4666146802379397E-2</v>
      </c>
      <c r="H159" s="133">
        <v>2.2647015141144543E-2</v>
      </c>
      <c r="I159" s="133">
        <v>7.3831916664308904E-3</v>
      </c>
      <c r="J159" s="133">
        <v>7.3831916664308904E-3</v>
      </c>
      <c r="K159" s="133">
        <v>4.5216408576138244E-4</v>
      </c>
      <c r="L159" s="133">
        <v>7.9072890517655731E-2</v>
      </c>
      <c r="M159" s="45">
        <v>285.19953541984705</v>
      </c>
    </row>
    <row r="160" spans="1:13" x14ac:dyDescent="0.25">
      <c r="A160" s="812" t="s">
        <v>1996</v>
      </c>
      <c r="B160" s="812">
        <v>9</v>
      </c>
      <c r="C160" s="608">
        <v>39478</v>
      </c>
      <c r="D160" s="812">
        <v>99705</v>
      </c>
      <c r="E160" s="812" t="s">
        <v>1599</v>
      </c>
      <c r="F160" s="133">
        <v>3.9700609823766388</v>
      </c>
      <c r="G160" s="133">
        <v>0.78131709355639067</v>
      </c>
      <c r="H160" s="133">
        <v>1.3384147932543153</v>
      </c>
      <c r="I160" s="133">
        <v>1.1884355184320852</v>
      </c>
      <c r="J160" s="133">
        <v>1.1884355184320852</v>
      </c>
      <c r="K160" s="133">
        <v>5.2949624238566376E-2</v>
      </c>
      <c r="L160" s="133">
        <v>12.907117432380971</v>
      </c>
      <c r="M160" s="45">
        <v>16045.751590996599</v>
      </c>
    </row>
    <row r="161" spans="1:13" x14ac:dyDescent="0.25">
      <c r="A161" s="812" t="s">
        <v>1996</v>
      </c>
      <c r="B161" s="812">
        <v>9</v>
      </c>
      <c r="C161" s="608">
        <v>39478</v>
      </c>
      <c r="D161" s="812">
        <v>99709</v>
      </c>
      <c r="E161" s="812" t="s">
        <v>1600</v>
      </c>
      <c r="F161" s="133">
        <v>3.6316676370856698</v>
      </c>
      <c r="G161" s="133">
        <v>0.90295401430797917</v>
      </c>
      <c r="H161" s="133">
        <v>1.5164533930669521</v>
      </c>
      <c r="I161" s="133">
        <v>0.9604695859094261</v>
      </c>
      <c r="J161" s="133">
        <v>0.9604695859094261</v>
      </c>
      <c r="K161" s="133">
        <v>4.6959481533294309E-2</v>
      </c>
      <c r="L161" s="133">
        <v>9.9182782133134992</v>
      </c>
      <c r="M161" s="45">
        <v>18486.746603595646</v>
      </c>
    </row>
    <row r="162" spans="1:13" x14ac:dyDescent="0.25">
      <c r="A162" s="812" t="s">
        <v>1996</v>
      </c>
      <c r="B162" s="812">
        <v>9</v>
      </c>
      <c r="C162" s="608">
        <v>39478</v>
      </c>
      <c r="D162" s="812">
        <v>99712</v>
      </c>
      <c r="E162" s="812" t="s">
        <v>1601</v>
      </c>
      <c r="F162" s="133">
        <v>2.0866894285277318</v>
      </c>
      <c r="G162" s="133">
        <v>0.33695782954178721</v>
      </c>
      <c r="H162" s="133">
        <v>0.60922030529506099</v>
      </c>
      <c r="I162" s="133">
        <v>0.55235513500293731</v>
      </c>
      <c r="J162" s="133">
        <v>0.55235513500293731</v>
      </c>
      <c r="K162" s="133">
        <v>2.547275146434819E-2</v>
      </c>
      <c r="L162" s="133">
        <v>5.7615547458858201</v>
      </c>
      <c r="M162" s="45">
        <v>7004.9815051350224</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6.3080187343135701E-5</v>
      </c>
      <c r="G174" s="133">
        <v>1.5157233008746408E-3</v>
      </c>
      <c r="H174" s="133">
        <v>9.3290016224038125E-4</v>
      </c>
      <c r="I174" s="133">
        <v>4.8453317467724965E-5</v>
      </c>
      <c r="J174" s="133">
        <v>4.8453317467724965E-5</v>
      </c>
      <c r="K174" s="133">
        <v>4.1312028742698312E-5</v>
      </c>
      <c r="L174" s="133">
        <v>1.1183188030152783E-4</v>
      </c>
      <c r="M174" s="45">
        <v>24.295687961837135</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0.88513781469221542</v>
      </c>
      <c r="G176" s="133">
        <v>0.71317153110639486</v>
      </c>
      <c r="H176" s="133">
        <v>0.9353208911615164</v>
      </c>
      <c r="I176" s="133">
        <v>0.2545029279220235</v>
      </c>
      <c r="J176" s="133">
        <v>0.2545029279220235</v>
      </c>
      <c r="K176" s="133">
        <v>2.164262078955273E-2</v>
      </c>
      <c r="L176" s="133">
        <v>2.5361189487942006</v>
      </c>
      <c r="M176" s="45">
        <v>13267.811823252874</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2.0762417625431573E-2</v>
      </c>
      <c r="G178" s="133">
        <v>1.3971881395804688E-2</v>
      </c>
      <c r="H178" s="133">
        <v>2.1250647456267313E-2</v>
      </c>
      <c r="I178" s="133">
        <v>6.7904513669624729E-3</v>
      </c>
      <c r="J178" s="133">
        <v>6.7904513669624729E-3</v>
      </c>
      <c r="K178" s="133">
        <v>4.2767334094274273E-4</v>
      </c>
      <c r="L178" s="133">
        <v>7.2558597751732762E-2</v>
      </c>
      <c r="M178" s="45">
        <v>270.31653490431751</v>
      </c>
    </row>
    <row r="179" spans="1:13" x14ac:dyDescent="0.25">
      <c r="A179" s="812" t="s">
        <v>1996</v>
      </c>
      <c r="B179" s="812">
        <v>10</v>
      </c>
      <c r="C179" s="608">
        <v>39479</v>
      </c>
      <c r="D179" s="812">
        <v>99705</v>
      </c>
      <c r="E179" s="812" t="s">
        <v>1599</v>
      </c>
      <c r="F179" s="133">
        <v>3.5755573614887171</v>
      </c>
      <c r="G179" s="133">
        <v>0.71815808919311419</v>
      </c>
      <c r="H179" s="133">
        <v>1.224074444330518</v>
      </c>
      <c r="I179" s="133">
        <v>1.0739548327520698</v>
      </c>
      <c r="J179" s="133">
        <v>1.0739548327520698</v>
      </c>
      <c r="K179" s="133">
        <v>4.7957822447187048E-2</v>
      </c>
      <c r="L179" s="133">
        <v>11.641320244362609</v>
      </c>
      <c r="M179" s="45">
        <v>14734.59923827525</v>
      </c>
    </row>
    <row r="180" spans="1:13" x14ac:dyDescent="0.25">
      <c r="A180" s="812" t="s">
        <v>1996</v>
      </c>
      <c r="B180" s="812">
        <v>10</v>
      </c>
      <c r="C180" s="608">
        <v>39479</v>
      </c>
      <c r="D180" s="812">
        <v>99709</v>
      </c>
      <c r="E180" s="812" t="s">
        <v>1600</v>
      </c>
      <c r="F180" s="133">
        <v>3.2841933363357505</v>
      </c>
      <c r="G180" s="133">
        <v>0.84946273915410242</v>
      </c>
      <c r="H180" s="133">
        <v>1.4143549653226422</v>
      </c>
      <c r="I180" s="133">
        <v>0.87504082894488822</v>
      </c>
      <c r="J180" s="133">
        <v>0.87504082894488822</v>
      </c>
      <c r="K180" s="133">
        <v>4.3228783094269072E-2</v>
      </c>
      <c r="L180" s="133">
        <v>9.0429989716764112</v>
      </c>
      <c r="M180" s="45">
        <v>17347.798768748624</v>
      </c>
    </row>
    <row r="181" spans="1:13" x14ac:dyDescent="0.25">
      <c r="A181" s="812" t="s">
        <v>1996</v>
      </c>
      <c r="B181" s="812">
        <v>10</v>
      </c>
      <c r="C181" s="608">
        <v>39479</v>
      </c>
      <c r="D181" s="812">
        <v>99712</v>
      </c>
      <c r="E181" s="812" t="s">
        <v>1601</v>
      </c>
      <c r="F181" s="133">
        <v>1.8631673681591527</v>
      </c>
      <c r="G181" s="133">
        <v>0.30877783008653414</v>
      </c>
      <c r="H181" s="133">
        <v>0.55724004958885165</v>
      </c>
      <c r="I181" s="133">
        <v>0.49670254226366278</v>
      </c>
      <c r="J181" s="133">
        <v>0.49670254226366278</v>
      </c>
      <c r="K181" s="133">
        <v>2.2923865141114129E-2</v>
      </c>
      <c r="L181" s="133">
        <v>5.1832293069799382</v>
      </c>
      <c r="M181" s="45">
        <v>6420.5182278489965</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6.2384018117232288E-5</v>
      </c>
      <c r="G193" s="133">
        <v>1.4981482012024652E-3</v>
      </c>
      <c r="H193" s="133">
        <v>9.2047730067654611E-4</v>
      </c>
      <c r="I193" s="133">
        <v>4.8007498604622904E-5</v>
      </c>
      <c r="J193" s="133">
        <v>4.8007498604622904E-5</v>
      </c>
      <c r="K193" s="133">
        <v>4.1288110560692873E-5</v>
      </c>
      <c r="L193" s="133">
        <v>1.1139460629996853E-4</v>
      </c>
      <c r="M193" s="45">
        <v>24.025226705770873</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0.85724679027930306</v>
      </c>
      <c r="G195" s="133">
        <v>0.75870271396578159</v>
      </c>
      <c r="H195" s="133">
        <v>0.96231641889304287</v>
      </c>
      <c r="I195" s="133">
        <v>0.2520728973714973</v>
      </c>
      <c r="J195" s="133">
        <v>0.2520728973714973</v>
      </c>
      <c r="K195" s="133">
        <v>2.1491362802111974E-2</v>
      </c>
      <c r="L195" s="133">
        <v>2.5191302734566903</v>
      </c>
      <c r="M195" s="45">
        <v>13921.71429517537</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2.0476605345858923E-2</v>
      </c>
      <c r="G197" s="133">
        <v>1.4667187334017565E-2</v>
      </c>
      <c r="H197" s="133">
        <v>2.1694859459459152E-2</v>
      </c>
      <c r="I197" s="133">
        <v>6.8192320801256472E-3</v>
      </c>
      <c r="J197" s="133">
        <v>6.8192320801256472E-3</v>
      </c>
      <c r="K197" s="133">
        <v>4.2844978622139638E-4</v>
      </c>
      <c r="L197" s="133">
        <v>7.319708141916953E-2</v>
      </c>
      <c r="M197" s="45">
        <v>280.22110792989162</v>
      </c>
    </row>
    <row r="198" spans="1:13" x14ac:dyDescent="0.25">
      <c r="A198" s="812" t="s">
        <v>1996</v>
      </c>
      <c r="B198" s="812">
        <v>11</v>
      </c>
      <c r="C198" s="608">
        <v>39480</v>
      </c>
      <c r="D198" s="812">
        <v>99705</v>
      </c>
      <c r="E198" s="812" t="s">
        <v>1599</v>
      </c>
      <c r="F198" s="133">
        <v>3.5950521554289074</v>
      </c>
      <c r="G198" s="133">
        <v>0.74269603103356963</v>
      </c>
      <c r="H198" s="133">
        <v>1.2553859650011971</v>
      </c>
      <c r="I198" s="133">
        <v>1.0958526756943825</v>
      </c>
      <c r="J198" s="133">
        <v>1.0958526756943825</v>
      </c>
      <c r="K198" s="133">
        <v>4.8860016121867765E-2</v>
      </c>
      <c r="L198" s="133">
        <v>11.983922602041096</v>
      </c>
      <c r="M198" s="45">
        <v>15183.639663705331</v>
      </c>
    </row>
    <row r="199" spans="1:13" x14ac:dyDescent="0.25">
      <c r="A199" s="812" t="s">
        <v>1996</v>
      </c>
      <c r="B199" s="812">
        <v>11</v>
      </c>
      <c r="C199" s="608">
        <v>39480</v>
      </c>
      <c r="D199" s="812">
        <v>99709</v>
      </c>
      <c r="E199" s="812" t="s">
        <v>1600</v>
      </c>
      <c r="F199" s="133">
        <v>3.0952804663918987</v>
      </c>
      <c r="G199" s="133">
        <v>0.85989293974184133</v>
      </c>
      <c r="H199" s="133">
        <v>1.4009404212755034</v>
      </c>
      <c r="I199" s="133">
        <v>0.84265185329842329</v>
      </c>
      <c r="J199" s="133">
        <v>0.84265185329842329</v>
      </c>
      <c r="K199" s="133">
        <v>4.168099601711811E-2</v>
      </c>
      <c r="L199" s="133">
        <v>8.7864861011301141</v>
      </c>
      <c r="M199" s="45">
        <v>17407.177396429244</v>
      </c>
    </row>
    <row r="200" spans="1:13" x14ac:dyDescent="0.25">
      <c r="A200" s="812" t="s">
        <v>1996</v>
      </c>
      <c r="B200" s="812">
        <v>11</v>
      </c>
      <c r="C200" s="608">
        <v>39480</v>
      </c>
      <c r="D200" s="812">
        <v>99712</v>
      </c>
      <c r="E200" s="812" t="s">
        <v>1601</v>
      </c>
      <c r="F200" s="133">
        <v>1.746978758673563</v>
      </c>
      <c r="G200" s="133">
        <v>0.30321247433303522</v>
      </c>
      <c r="H200" s="133">
        <v>0.54354742930033084</v>
      </c>
      <c r="I200" s="133">
        <v>0.4756635612666254</v>
      </c>
      <c r="J200" s="133">
        <v>0.4756635612666254</v>
      </c>
      <c r="K200" s="133">
        <v>2.1907660180317666E-2</v>
      </c>
      <c r="L200" s="133">
        <v>5.0147720890703749</v>
      </c>
      <c r="M200" s="45">
        <v>6291.0108515682095</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6.9345710376266391E-5</v>
      </c>
      <c r="G212" s="133">
        <v>1.6738991979242238E-3</v>
      </c>
      <c r="H212" s="133">
        <v>1.0447059163148952E-3</v>
      </c>
      <c r="I212" s="133">
        <v>5.2465687235643481E-5</v>
      </c>
      <c r="J212" s="133">
        <v>5.2465687235643481E-5</v>
      </c>
      <c r="K212" s="133">
        <v>4.1527292380747154E-5</v>
      </c>
      <c r="L212" s="133">
        <v>1.1576734631556129E-4</v>
      </c>
      <c r="M212" s="45">
        <v>26.729839266433483</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1.0090940539143096</v>
      </c>
      <c r="G214" s="133">
        <v>0.84714563586350522</v>
      </c>
      <c r="H214" s="133">
        <v>1.0854203703782006</v>
      </c>
      <c r="I214" s="133">
        <v>0.29200263681701871</v>
      </c>
      <c r="J214" s="133">
        <v>0.29200263681701871</v>
      </c>
      <c r="K214" s="133">
        <v>2.3247061868875443E-2</v>
      </c>
      <c r="L214" s="133">
        <v>2.9166819574442213</v>
      </c>
      <c r="M214" s="45">
        <v>15543.661759958202</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2.3658571447666497E-2</v>
      </c>
      <c r="G216" s="133">
        <v>1.6408418507133021E-2</v>
      </c>
      <c r="H216" s="133">
        <v>2.4430823647928195E-2</v>
      </c>
      <c r="I216" s="133">
        <v>7.8106071460348281E-3</v>
      </c>
      <c r="J216" s="133">
        <v>7.8106071460348281E-3</v>
      </c>
      <c r="K216" s="133">
        <v>4.6950005591696271E-4</v>
      </c>
      <c r="L216" s="133">
        <v>8.3923038963253371E-2</v>
      </c>
      <c r="M216" s="45">
        <v>313.48510628900169</v>
      </c>
    </row>
    <row r="217" spans="1:13" x14ac:dyDescent="0.25">
      <c r="A217" s="812" t="s">
        <v>1996</v>
      </c>
      <c r="B217" s="812">
        <v>12</v>
      </c>
      <c r="C217" s="608">
        <v>39481</v>
      </c>
      <c r="D217" s="812">
        <v>99705</v>
      </c>
      <c r="E217" s="812" t="s">
        <v>1599</v>
      </c>
      <c r="F217" s="133">
        <v>4.0372099804352022</v>
      </c>
      <c r="G217" s="133">
        <v>0.82339419948845483</v>
      </c>
      <c r="H217" s="133">
        <v>1.3915063992285632</v>
      </c>
      <c r="I217" s="133">
        <v>1.2249728235790815</v>
      </c>
      <c r="J217" s="133">
        <v>1.2249728235790815</v>
      </c>
      <c r="K217" s="133">
        <v>5.4507205567966059E-2</v>
      </c>
      <c r="L217" s="133">
        <v>13.412391773530009</v>
      </c>
      <c r="M217" s="45">
        <v>16808.854290722051</v>
      </c>
    </row>
    <row r="218" spans="1:13" x14ac:dyDescent="0.25">
      <c r="A218" s="812" t="s">
        <v>1996</v>
      </c>
      <c r="B218" s="812">
        <v>12</v>
      </c>
      <c r="C218" s="608">
        <v>39481</v>
      </c>
      <c r="D218" s="812">
        <v>99709</v>
      </c>
      <c r="E218" s="812" t="s">
        <v>1600</v>
      </c>
      <c r="F218" s="133">
        <v>3.7159275722139751</v>
      </c>
      <c r="G218" s="133">
        <v>0.97742182700133595</v>
      </c>
      <c r="H218" s="133">
        <v>1.5998511892231602</v>
      </c>
      <c r="I218" s="133">
        <v>0.99626965600619344</v>
      </c>
      <c r="J218" s="133">
        <v>0.99626965600619344</v>
      </c>
      <c r="K218" s="133">
        <v>4.8366518939964256E-2</v>
      </c>
      <c r="L218" s="133">
        <v>10.358303247313142</v>
      </c>
      <c r="M218" s="45">
        <v>19783.180425494775</v>
      </c>
    </row>
    <row r="219" spans="1:13" x14ac:dyDescent="0.25">
      <c r="A219" s="812" t="s">
        <v>1996</v>
      </c>
      <c r="B219" s="812">
        <v>12</v>
      </c>
      <c r="C219" s="608">
        <v>39481</v>
      </c>
      <c r="D219" s="812">
        <v>99712</v>
      </c>
      <c r="E219" s="812" t="s">
        <v>1601</v>
      </c>
      <c r="F219" s="133">
        <v>2.0984512243118743</v>
      </c>
      <c r="G219" s="133">
        <v>0.34987228611401616</v>
      </c>
      <c r="H219" s="133">
        <v>0.62720906217857941</v>
      </c>
      <c r="I219" s="133">
        <v>0.5633113785822309</v>
      </c>
      <c r="J219" s="133">
        <v>0.5633113785822309</v>
      </c>
      <c r="K219" s="133">
        <v>2.5919271157121067E-2</v>
      </c>
      <c r="L219" s="133">
        <v>5.9254502932814752</v>
      </c>
      <c r="M219" s="45">
        <v>7247.7876794667363</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7.6307402635300466E-5</v>
      </c>
      <c r="G231" s="133">
        <v>1.8496501946459816E-3</v>
      </c>
      <c r="H231" s="133">
        <v>1.1689345319532436E-3</v>
      </c>
      <c r="I231" s="133">
        <v>5.6923875866664037E-5</v>
      </c>
      <c r="J231" s="133">
        <v>5.6923875866664037E-5</v>
      </c>
      <c r="K231" s="133">
        <v>4.1766474200801401E-5</v>
      </c>
      <c r="L231" s="133">
        <v>1.2014008633115393E-4</v>
      </c>
      <c r="M231" s="45">
        <v>29.43445182709609</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1.1535849539835774</v>
      </c>
      <c r="G233" s="133">
        <v>0.91454305206474917</v>
      </c>
      <c r="H233" s="133">
        <v>1.1844570664324972</v>
      </c>
      <c r="I233" s="133">
        <v>0.32615717584827758</v>
      </c>
      <c r="J233" s="133">
        <v>0.32615717584827758</v>
      </c>
      <c r="K233" s="133">
        <v>2.4790931322172829E-2</v>
      </c>
      <c r="L233" s="133">
        <v>3.2388089674153653</v>
      </c>
      <c r="M233" s="45">
        <v>16803.913774854736</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2.6832495160636176E-2</v>
      </c>
      <c r="G235" s="133">
        <v>1.7855484702573036E-2</v>
      </c>
      <c r="H235" s="133">
        <v>2.6870708564456218E-2</v>
      </c>
      <c r="I235" s="133">
        <v>8.6974847123868423E-3</v>
      </c>
      <c r="J235" s="133">
        <v>8.6974847123868423E-3</v>
      </c>
      <c r="K235" s="133">
        <v>5.0683787798456396E-4</v>
      </c>
      <c r="L235" s="133">
        <v>9.3031755483937301E-2</v>
      </c>
      <c r="M235" s="45">
        <v>341.94742127550751</v>
      </c>
    </row>
    <row r="236" spans="1:13" x14ac:dyDescent="0.25">
      <c r="A236" s="812" t="s">
        <v>1996</v>
      </c>
      <c r="B236" s="812">
        <v>13</v>
      </c>
      <c r="C236" s="608">
        <v>39482</v>
      </c>
      <c r="D236" s="812">
        <v>99705</v>
      </c>
      <c r="E236" s="812" t="s">
        <v>1599</v>
      </c>
      <c r="F236" s="133">
        <v>4.530964327037287</v>
      </c>
      <c r="G236" s="133">
        <v>0.89737101099970784</v>
      </c>
      <c r="H236" s="133">
        <v>1.5201209297416536</v>
      </c>
      <c r="I236" s="133">
        <v>1.3530326984294756</v>
      </c>
      <c r="J236" s="133">
        <v>1.3530326984294756</v>
      </c>
      <c r="K236" s="133">
        <v>6.0107231250190053E-2</v>
      </c>
      <c r="L236" s="133">
        <v>14.726487781733367</v>
      </c>
      <c r="M236" s="45">
        <v>18318.389702387893</v>
      </c>
    </row>
    <row r="237" spans="1:13" x14ac:dyDescent="0.25">
      <c r="A237" s="812" t="s">
        <v>1996</v>
      </c>
      <c r="B237" s="812">
        <v>13</v>
      </c>
      <c r="C237" s="608">
        <v>39482</v>
      </c>
      <c r="D237" s="812">
        <v>99709</v>
      </c>
      <c r="E237" s="812" t="s">
        <v>1600</v>
      </c>
      <c r="F237" s="133">
        <v>4.082031059836587</v>
      </c>
      <c r="G237" s="133">
        <v>1.0425667510584529</v>
      </c>
      <c r="H237" s="133">
        <v>1.7106402706207997</v>
      </c>
      <c r="I237" s="133">
        <v>1.072577549301861</v>
      </c>
      <c r="J237" s="133">
        <v>1.072577549301861</v>
      </c>
      <c r="K237" s="133">
        <v>5.1873555564079354E-2</v>
      </c>
      <c r="L237" s="133">
        <v>11.049183567212884</v>
      </c>
      <c r="M237" s="45">
        <v>21090.800938136301</v>
      </c>
    </row>
    <row r="238" spans="1:13" x14ac:dyDescent="0.25">
      <c r="A238" s="812" t="s">
        <v>1996</v>
      </c>
      <c r="B238" s="812">
        <v>13</v>
      </c>
      <c r="C238" s="608">
        <v>39482</v>
      </c>
      <c r="D238" s="812">
        <v>99712</v>
      </c>
      <c r="E238" s="812" t="s">
        <v>1601</v>
      </c>
      <c r="F238" s="133">
        <v>2.2163779901075191</v>
      </c>
      <c r="G238" s="133">
        <v>0.35991356249388584</v>
      </c>
      <c r="H238" s="133">
        <v>0.64449981329554518</v>
      </c>
      <c r="I238" s="133">
        <v>0.58425017522948264</v>
      </c>
      <c r="J238" s="133">
        <v>0.58425017522948264</v>
      </c>
      <c r="K238" s="133">
        <v>2.6939072308945648E-2</v>
      </c>
      <c r="L238" s="133">
        <v>6.088505074063983</v>
      </c>
      <c r="M238" s="45">
        <v>7448.3345410645397</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8.1180587216624276E-5</v>
      </c>
      <c r="G250" s="133">
        <v>1.9726758923512117E-3</v>
      </c>
      <c r="H250" s="133">
        <v>1.255894562900087E-3</v>
      </c>
      <c r="I250" s="133">
        <v>6.0044607908378431E-5</v>
      </c>
      <c r="J250" s="133">
        <v>6.0044607908378431E-5</v>
      </c>
      <c r="K250" s="133">
        <v>4.193390147483937E-5</v>
      </c>
      <c r="L250" s="133">
        <v>1.2320100434206878E-4</v>
      </c>
      <c r="M250" s="45">
        <v>31.327680619559914</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1.1816815492573669</v>
      </c>
      <c r="G252" s="133">
        <v>0.92693522521496663</v>
      </c>
      <c r="H252" s="133">
        <v>1.2046336073448163</v>
      </c>
      <c r="I252" s="133">
        <v>0.3335388939709078</v>
      </c>
      <c r="J252" s="133">
        <v>0.3335388939709078</v>
      </c>
      <c r="K252" s="133">
        <v>2.5113593146463248E-2</v>
      </c>
      <c r="L252" s="133">
        <v>3.3137170850314419</v>
      </c>
      <c r="M252" s="45">
        <v>17045.972540358704</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2.7529671729472044E-2</v>
      </c>
      <c r="G254" s="133">
        <v>1.816167471591109E-2</v>
      </c>
      <c r="H254" s="133">
        <v>2.7431812309049598E-2</v>
      </c>
      <c r="I254" s="133">
        <v>8.9139643489095626E-3</v>
      </c>
      <c r="J254" s="133">
        <v>8.9139643489095626E-3</v>
      </c>
      <c r="K254" s="133">
        <v>5.156419374378506E-4</v>
      </c>
      <c r="L254" s="133">
        <v>9.5400055879179491E-2</v>
      </c>
      <c r="M254" s="45">
        <v>348.2253720923382</v>
      </c>
    </row>
    <row r="255" spans="1:13" x14ac:dyDescent="0.25">
      <c r="A255" s="812" t="s">
        <v>1996</v>
      </c>
      <c r="B255" s="812">
        <v>14</v>
      </c>
      <c r="C255" s="608">
        <v>39483</v>
      </c>
      <c r="D255" s="812">
        <v>99705</v>
      </c>
      <c r="E255" s="812" t="s">
        <v>1599</v>
      </c>
      <c r="F255" s="133">
        <v>4.6370134212423402</v>
      </c>
      <c r="G255" s="133">
        <v>0.91541849195852953</v>
      </c>
      <c r="H255" s="133">
        <v>1.5518269913675919</v>
      </c>
      <c r="I255" s="133">
        <v>1.3843478810994536</v>
      </c>
      <c r="J255" s="133">
        <v>1.3843478810994536</v>
      </c>
      <c r="K255" s="133">
        <v>6.1461107330888783E-2</v>
      </c>
      <c r="L255" s="133">
        <v>15.074736411460229</v>
      </c>
      <c r="M255" s="45">
        <v>18689.039546165524</v>
      </c>
    </row>
    <row r="256" spans="1:13" x14ac:dyDescent="0.25">
      <c r="A256" s="812" t="s">
        <v>1996</v>
      </c>
      <c r="B256" s="812">
        <v>14</v>
      </c>
      <c r="C256" s="608">
        <v>39483</v>
      </c>
      <c r="D256" s="812">
        <v>99709</v>
      </c>
      <c r="E256" s="812" t="s">
        <v>1600</v>
      </c>
      <c r="F256" s="133">
        <v>4.0679061757003607</v>
      </c>
      <c r="G256" s="133">
        <v>1.0453264537361266</v>
      </c>
      <c r="H256" s="133">
        <v>1.7144714330025677</v>
      </c>
      <c r="I256" s="133">
        <v>1.0688339829457998</v>
      </c>
      <c r="J256" s="133">
        <v>1.0688339829457998</v>
      </c>
      <c r="K256" s="133">
        <v>5.1732830921902048E-2</v>
      </c>
      <c r="L256" s="133">
        <v>11.007363014674224</v>
      </c>
      <c r="M256" s="45">
        <v>21139.136079250296</v>
      </c>
    </row>
    <row r="257" spans="1:13" x14ac:dyDescent="0.25">
      <c r="A257" s="812" t="s">
        <v>1996</v>
      </c>
      <c r="B257" s="812">
        <v>14</v>
      </c>
      <c r="C257" s="608">
        <v>39483</v>
      </c>
      <c r="D257" s="812">
        <v>99712</v>
      </c>
      <c r="E257" s="812" t="s">
        <v>1601</v>
      </c>
      <c r="F257" s="133">
        <v>2.1475897260549361</v>
      </c>
      <c r="G257" s="133">
        <v>0.35189000550125143</v>
      </c>
      <c r="H257" s="133">
        <v>0.6292703196407029</v>
      </c>
      <c r="I257" s="133">
        <v>0.56754151394605179</v>
      </c>
      <c r="J257" s="133">
        <v>0.56754151394605179</v>
      </c>
      <c r="K257" s="133">
        <v>2.6167491139821853E-2</v>
      </c>
      <c r="L257" s="133">
        <v>5.9168785990313539</v>
      </c>
      <c r="M257" s="45">
        <v>7280.1936620196011</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8.1876756442527689E-5</v>
      </c>
      <c r="G269" s="133">
        <v>1.9902509920233873E-3</v>
      </c>
      <c r="H269" s="133">
        <v>1.2683174244639216E-3</v>
      </c>
      <c r="I269" s="133">
        <v>6.0490426771480472E-5</v>
      </c>
      <c r="J269" s="133">
        <v>6.0490426771480472E-5</v>
      </c>
      <c r="K269" s="133">
        <v>4.1957819656844789E-5</v>
      </c>
      <c r="L269" s="133">
        <v>1.2363827834362804E-4</v>
      </c>
      <c r="M269" s="45">
        <v>31.598141875626176</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1.212185703199536</v>
      </c>
      <c r="G271" s="133">
        <v>0.93517448055826513</v>
      </c>
      <c r="H271" s="133">
        <v>1.2229216709136328</v>
      </c>
      <c r="I271" s="133">
        <v>0.34146592923404984</v>
      </c>
      <c r="J271" s="133">
        <v>0.34146592923404984</v>
      </c>
      <c r="K271" s="133">
        <v>2.5459548871329354E-2</v>
      </c>
      <c r="L271" s="133">
        <v>3.3956109975530717</v>
      </c>
      <c r="M271" s="45">
        <v>17231.535553359976</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2.814646024016966E-2</v>
      </c>
      <c r="G273" s="133">
        <v>1.8355742483477183E-2</v>
      </c>
      <c r="H273" s="133">
        <v>2.7849795888564371E-2</v>
      </c>
      <c r="I273" s="133">
        <v>9.1011808689117624E-3</v>
      </c>
      <c r="J273" s="133">
        <v>9.1011808689117624E-3</v>
      </c>
      <c r="K273" s="133">
        <v>5.2343017325599589E-4</v>
      </c>
      <c r="L273" s="133">
        <v>9.7463222376038813E-2</v>
      </c>
      <c r="M273" s="45">
        <v>352.53060268888021</v>
      </c>
    </row>
    <row r="274" spans="1:13" x14ac:dyDescent="0.25">
      <c r="A274" s="812" t="s">
        <v>1996</v>
      </c>
      <c r="B274" s="812">
        <v>15</v>
      </c>
      <c r="C274" s="608">
        <v>39484</v>
      </c>
      <c r="D274" s="812">
        <v>99705</v>
      </c>
      <c r="E274" s="812" t="s">
        <v>1599</v>
      </c>
      <c r="F274" s="133">
        <v>4.7566955308080896</v>
      </c>
      <c r="G274" s="133">
        <v>0.93460436117353729</v>
      </c>
      <c r="H274" s="133">
        <v>1.586973775573588</v>
      </c>
      <c r="I274" s="133">
        <v>1.4193871033667693</v>
      </c>
      <c r="J274" s="133">
        <v>1.4193871033667693</v>
      </c>
      <c r="K274" s="133">
        <v>6.2994748960610802E-2</v>
      </c>
      <c r="L274" s="133">
        <v>15.463716128421874</v>
      </c>
      <c r="M274" s="45">
        <v>19088.682253865663</v>
      </c>
    </row>
    <row r="275" spans="1:13" x14ac:dyDescent="0.25">
      <c r="A275" s="812" t="s">
        <v>1996</v>
      </c>
      <c r="B275" s="812">
        <v>15</v>
      </c>
      <c r="C275" s="608">
        <v>39484</v>
      </c>
      <c r="D275" s="812">
        <v>99709</v>
      </c>
      <c r="E275" s="812" t="s">
        <v>1600</v>
      </c>
      <c r="F275" s="133">
        <v>4.1750553196234979</v>
      </c>
      <c r="G275" s="133">
        <v>1.0618599537320623</v>
      </c>
      <c r="H275" s="133">
        <v>1.7479787653203458</v>
      </c>
      <c r="I275" s="133">
        <v>1.0945205986522339</v>
      </c>
      <c r="J275" s="133">
        <v>1.0945205986522339</v>
      </c>
      <c r="K275" s="133">
        <v>5.2861233704479364E-2</v>
      </c>
      <c r="L275" s="133">
        <v>11.2666638119015</v>
      </c>
      <c r="M275" s="45">
        <v>21499.875855608672</v>
      </c>
    </row>
    <row r="276" spans="1:13" x14ac:dyDescent="0.25">
      <c r="A276" s="812" t="s">
        <v>1996</v>
      </c>
      <c r="B276" s="812">
        <v>15</v>
      </c>
      <c r="C276" s="608">
        <v>39484</v>
      </c>
      <c r="D276" s="812">
        <v>99712</v>
      </c>
      <c r="E276" s="812" t="s">
        <v>1601</v>
      </c>
      <c r="F276" s="133">
        <v>2.1702462287438342</v>
      </c>
      <c r="G276" s="133">
        <v>0.35385216286654919</v>
      </c>
      <c r="H276" s="133">
        <v>0.63306880842732249</v>
      </c>
      <c r="I276" s="133">
        <v>0.57200512319877961</v>
      </c>
      <c r="J276" s="133">
        <v>0.57200512319877961</v>
      </c>
      <c r="K276" s="133">
        <v>2.639211200905995E-2</v>
      </c>
      <c r="L276" s="133">
        <v>5.9574277204586465</v>
      </c>
      <c r="M276" s="45">
        <v>7320.8544916429291</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8.1876756442527703E-5</v>
      </c>
      <c r="G288" s="133">
        <v>1.9902509920233877E-3</v>
      </c>
      <c r="H288" s="133">
        <v>1.2683174244639221E-3</v>
      </c>
      <c r="I288" s="133">
        <v>6.0490426771480472E-5</v>
      </c>
      <c r="J288" s="133">
        <v>6.0490426771480472E-5</v>
      </c>
      <c r="K288" s="133">
        <v>4.1957819656844796E-5</v>
      </c>
      <c r="L288" s="133">
        <v>1.2363827834362804E-4</v>
      </c>
      <c r="M288" s="45">
        <v>31.598141875626176</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1.225937346060689</v>
      </c>
      <c r="G290" s="133">
        <v>0.94355067663064363</v>
      </c>
      <c r="H290" s="133">
        <v>1.2342096685645392</v>
      </c>
      <c r="I290" s="133">
        <v>0.34502675909097758</v>
      </c>
      <c r="J290" s="133">
        <v>0.34502675909097758</v>
      </c>
      <c r="K290" s="133">
        <v>2.5617626799999356E-2</v>
      </c>
      <c r="L290" s="133">
        <v>3.4306336155089046</v>
      </c>
      <c r="M290" s="45">
        <v>17383.220041859175</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2.8402134055323557E-2</v>
      </c>
      <c r="G292" s="133">
        <v>1.8506017261315316E-2</v>
      </c>
      <c r="H292" s="133">
        <v>2.8071030779393512E-2</v>
      </c>
      <c r="I292" s="133">
        <v>9.1805887416958939E-3</v>
      </c>
      <c r="J292" s="133">
        <v>9.1805887416958939E-3</v>
      </c>
      <c r="K292" s="133">
        <v>5.2677384836683427E-4</v>
      </c>
      <c r="L292" s="133">
        <v>9.8317556709923912E-2</v>
      </c>
      <c r="M292" s="45">
        <v>355.32086178931206</v>
      </c>
    </row>
    <row r="293" spans="1:13" x14ac:dyDescent="0.25">
      <c r="A293" s="812" t="s">
        <v>1996</v>
      </c>
      <c r="B293" s="812">
        <v>16</v>
      </c>
      <c r="C293" s="608">
        <v>39485</v>
      </c>
      <c r="D293" s="812">
        <v>99705</v>
      </c>
      <c r="E293" s="812" t="s">
        <v>1599</v>
      </c>
      <c r="F293" s="133">
        <v>4.7935738275315654</v>
      </c>
      <c r="G293" s="133">
        <v>0.94101421267974961</v>
      </c>
      <c r="H293" s="133">
        <v>1.5976030747397889</v>
      </c>
      <c r="I293" s="133">
        <v>1.4295281462151876</v>
      </c>
      <c r="J293" s="133">
        <v>1.4295281462151876</v>
      </c>
      <c r="K293" s="133">
        <v>6.344718247165218E-2</v>
      </c>
      <c r="L293" s="133">
        <v>15.573214762125849</v>
      </c>
      <c r="M293" s="45">
        <v>19216.569843849087</v>
      </c>
    </row>
    <row r="294" spans="1:13" x14ac:dyDescent="0.25">
      <c r="A294" s="812" t="s">
        <v>1996</v>
      </c>
      <c r="B294" s="812">
        <v>16</v>
      </c>
      <c r="C294" s="608">
        <v>39485</v>
      </c>
      <c r="D294" s="812">
        <v>99709</v>
      </c>
      <c r="E294" s="812" t="s">
        <v>1600</v>
      </c>
      <c r="F294" s="133">
        <v>4.3425483239733111</v>
      </c>
      <c r="G294" s="133">
        <v>1.0870653203597906</v>
      </c>
      <c r="H294" s="133">
        <v>1.792711914636189</v>
      </c>
      <c r="I294" s="133">
        <v>1.1363207635617536</v>
      </c>
      <c r="J294" s="133">
        <v>1.1363207635617536</v>
      </c>
      <c r="K294" s="133">
        <v>5.4650869409116204E-2</v>
      </c>
      <c r="L294" s="133">
        <v>11.698678908650692</v>
      </c>
      <c r="M294" s="45">
        <v>22023.567518097716</v>
      </c>
    </row>
    <row r="295" spans="1:13" x14ac:dyDescent="0.25">
      <c r="A295" s="812" t="s">
        <v>1996</v>
      </c>
      <c r="B295" s="812">
        <v>16</v>
      </c>
      <c r="C295" s="608">
        <v>39485</v>
      </c>
      <c r="D295" s="812">
        <v>99712</v>
      </c>
      <c r="E295" s="812" t="s">
        <v>1601</v>
      </c>
      <c r="F295" s="133">
        <v>2.3207075163473041</v>
      </c>
      <c r="G295" s="133">
        <v>0.37272106116465964</v>
      </c>
      <c r="H295" s="133">
        <v>0.6678272092928581</v>
      </c>
      <c r="I295" s="133">
        <v>0.60919199074443808</v>
      </c>
      <c r="J295" s="133">
        <v>0.60919199074443808</v>
      </c>
      <c r="K295" s="133">
        <v>2.8098899598954535E-2</v>
      </c>
      <c r="L295" s="133">
        <v>6.3423966062404311</v>
      </c>
      <c r="M295" s="45">
        <v>7711.8581728174813</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8.2572925668431129E-5</v>
      </c>
      <c r="G307" s="133">
        <v>2.0078260916955634E-3</v>
      </c>
      <c r="H307" s="133">
        <v>1.2807402860277562E-3</v>
      </c>
      <c r="I307" s="133">
        <v>6.093624563458254E-5</v>
      </c>
      <c r="J307" s="133">
        <v>6.093624563458254E-5</v>
      </c>
      <c r="K307" s="133">
        <v>4.1981737838850215E-5</v>
      </c>
      <c r="L307" s="133">
        <v>1.240755523451873E-4</v>
      </c>
      <c r="M307" s="45">
        <v>31.868603131692435</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1.1928212712597708</v>
      </c>
      <c r="G309" s="133">
        <v>0.9202981426192467</v>
      </c>
      <c r="H309" s="133">
        <v>1.204580550923108</v>
      </c>
      <c r="I309" s="133">
        <v>0.33620972569949487</v>
      </c>
      <c r="J309" s="133">
        <v>0.33620972569949487</v>
      </c>
      <c r="K309" s="133">
        <v>2.5230417858137979E-2</v>
      </c>
      <c r="L309" s="133">
        <v>3.3437094654237662</v>
      </c>
      <c r="M309" s="45">
        <v>16970.542322529804</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2.7754977742609328E-2</v>
      </c>
      <c r="G311" s="133">
        <v>1.8092183183874237E-2</v>
      </c>
      <c r="H311" s="133">
        <v>2.7486822871161543E-2</v>
      </c>
      <c r="I311" s="133">
        <v>8.9786178998717252E-3</v>
      </c>
      <c r="J311" s="133">
        <v>8.9786178998717252E-3</v>
      </c>
      <c r="K311" s="133">
        <v>5.1826124848342427E-4</v>
      </c>
      <c r="L311" s="133">
        <v>9.6153922019271615E-2</v>
      </c>
      <c r="M311" s="45">
        <v>347.76945323686937</v>
      </c>
    </row>
    <row r="312" spans="1:13" x14ac:dyDescent="0.25">
      <c r="A312" s="812" t="s">
        <v>1996</v>
      </c>
      <c r="B312" s="812">
        <v>17</v>
      </c>
      <c r="C312" s="608">
        <v>39486</v>
      </c>
      <c r="D312" s="812">
        <v>99705</v>
      </c>
      <c r="E312" s="812" t="s">
        <v>1599</v>
      </c>
      <c r="F312" s="133">
        <v>4.6682300783493309</v>
      </c>
      <c r="G312" s="133">
        <v>0.91824855921402804</v>
      </c>
      <c r="H312" s="133">
        <v>1.5594153714873051</v>
      </c>
      <c r="I312" s="133">
        <v>1.3932268144672244</v>
      </c>
      <c r="J312" s="133">
        <v>1.3932268144672244</v>
      </c>
      <c r="K312" s="133">
        <v>6.1852445519346697E-2</v>
      </c>
      <c r="L312" s="133">
        <v>15.172853408945027</v>
      </c>
      <c r="M312" s="45">
        <v>18759.459705729969</v>
      </c>
    </row>
    <row r="313" spans="1:13" x14ac:dyDescent="0.25">
      <c r="A313" s="812" t="s">
        <v>1996</v>
      </c>
      <c r="B313" s="812">
        <v>17</v>
      </c>
      <c r="C313" s="608">
        <v>39486</v>
      </c>
      <c r="D313" s="812">
        <v>99709</v>
      </c>
      <c r="E313" s="812" t="s">
        <v>1600</v>
      </c>
      <c r="F313" s="133">
        <v>4.1971873170733129</v>
      </c>
      <c r="G313" s="133">
        <v>1.0579049806569552</v>
      </c>
      <c r="H313" s="133">
        <v>1.7444838823000408</v>
      </c>
      <c r="I313" s="133">
        <v>1.1012352142673056</v>
      </c>
      <c r="J313" s="133">
        <v>1.1012352142673056</v>
      </c>
      <c r="K313" s="133">
        <v>5.3115149194388513E-2</v>
      </c>
      <c r="L313" s="133">
        <v>11.345274311132426</v>
      </c>
      <c r="M313" s="45">
        <v>21440.31134298689</v>
      </c>
    </row>
    <row r="314" spans="1:13" x14ac:dyDescent="0.25">
      <c r="A314" s="812" t="s">
        <v>1996</v>
      </c>
      <c r="B314" s="812">
        <v>17</v>
      </c>
      <c r="C314" s="608">
        <v>39486</v>
      </c>
      <c r="D314" s="812">
        <v>99712</v>
      </c>
      <c r="E314" s="812" t="s">
        <v>1601</v>
      </c>
      <c r="F314" s="133">
        <v>2.2533482562731417</v>
      </c>
      <c r="G314" s="133">
        <v>0.36405542402881619</v>
      </c>
      <c r="H314" s="133">
        <v>0.65248208715168343</v>
      </c>
      <c r="I314" s="133">
        <v>0.59320787225198102</v>
      </c>
      <c r="J314" s="133">
        <v>0.59320787225198102</v>
      </c>
      <c r="K314" s="133">
        <v>2.7354056680372888E-2</v>
      </c>
      <c r="L314" s="133">
        <v>6.1805130285503322</v>
      </c>
      <c r="M314" s="45">
        <v>7535.603566642495</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8.0484417990720931E-5</v>
      </c>
      <c r="G326" s="133">
        <v>1.955100792679037E-3</v>
      </c>
      <c r="H326" s="133">
        <v>1.2434717013362524E-3</v>
      </c>
      <c r="I326" s="133">
        <v>5.9598789045276377E-5</v>
      </c>
      <c r="J326" s="133">
        <v>5.9598789045276377E-5</v>
      </c>
      <c r="K326" s="133">
        <v>4.1909983292833951E-5</v>
      </c>
      <c r="L326" s="133">
        <v>1.2276373034050955E-4</v>
      </c>
      <c r="M326" s="45">
        <v>31.057219363493655</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1.0164485988158458</v>
      </c>
      <c r="G328" s="133">
        <v>0.84994382067586294</v>
      </c>
      <c r="H328" s="133">
        <v>1.0914526740520538</v>
      </c>
      <c r="I328" s="133">
        <v>0.29453050064906455</v>
      </c>
      <c r="J328" s="133">
        <v>0.29453050064906455</v>
      </c>
      <c r="K328" s="133">
        <v>2.3343785795887886E-2</v>
      </c>
      <c r="L328" s="133">
        <v>2.9455883838328689</v>
      </c>
      <c r="M328" s="45">
        <v>15606.286524370142</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2.3921300251618528E-2</v>
      </c>
      <c r="G330" s="133">
        <v>1.6526120714857113E-2</v>
      </c>
      <c r="H330" s="133">
        <v>2.4692695047317983E-2</v>
      </c>
      <c r="I330" s="133">
        <v>7.8966620665364157E-3</v>
      </c>
      <c r="J330" s="133">
        <v>7.8966620665364157E-3</v>
      </c>
      <c r="K330" s="133">
        <v>4.7258155797538494E-4</v>
      </c>
      <c r="L330" s="133">
        <v>8.4878401754683738E-2</v>
      </c>
      <c r="M330" s="45">
        <v>316.15567658929797</v>
      </c>
    </row>
    <row r="331" spans="1:13" x14ac:dyDescent="0.25">
      <c r="A331" s="812" t="s">
        <v>1996</v>
      </c>
      <c r="B331" s="812">
        <v>18</v>
      </c>
      <c r="C331" s="608">
        <v>39487</v>
      </c>
      <c r="D331" s="812">
        <v>99705</v>
      </c>
      <c r="E331" s="812" t="s">
        <v>1599</v>
      </c>
      <c r="F331" s="133">
        <v>3.8314464929870859</v>
      </c>
      <c r="G331" s="133">
        <v>0.79044451354177914</v>
      </c>
      <c r="H331" s="133">
        <v>1.3313101791327504</v>
      </c>
      <c r="I331" s="133">
        <v>1.1645755817608878</v>
      </c>
      <c r="J331" s="133">
        <v>1.1645755817608878</v>
      </c>
      <c r="K331" s="133">
        <v>5.1878402209145934E-2</v>
      </c>
      <c r="L331" s="133">
        <v>12.741677093520789</v>
      </c>
      <c r="M331" s="45">
        <v>16122.400628020441</v>
      </c>
    </row>
    <row r="332" spans="1:13" x14ac:dyDescent="0.25">
      <c r="A332" s="812" t="s">
        <v>1996</v>
      </c>
      <c r="B332" s="812">
        <v>18</v>
      </c>
      <c r="C332" s="608">
        <v>39487</v>
      </c>
      <c r="D332" s="812">
        <v>99709</v>
      </c>
      <c r="E332" s="812" t="s">
        <v>1600</v>
      </c>
      <c r="F332" s="133">
        <v>3.3964770006012852</v>
      </c>
      <c r="G332" s="133">
        <v>0.93740110286697786</v>
      </c>
      <c r="H332" s="133">
        <v>1.5256061235665699</v>
      </c>
      <c r="I332" s="133">
        <v>0.91735536606671741</v>
      </c>
      <c r="J332" s="133">
        <v>0.91735536606671741</v>
      </c>
      <c r="K332" s="133">
        <v>4.4950233088749042E-2</v>
      </c>
      <c r="L332" s="133">
        <v>9.5432575376618001</v>
      </c>
      <c r="M332" s="45">
        <v>18935.096725349031</v>
      </c>
    </row>
    <row r="333" spans="1:13" x14ac:dyDescent="0.25">
      <c r="A333" s="812" t="s">
        <v>1996</v>
      </c>
      <c r="B333" s="812">
        <v>18</v>
      </c>
      <c r="C333" s="608">
        <v>39487</v>
      </c>
      <c r="D333" s="812">
        <v>99712</v>
      </c>
      <c r="E333" s="812" t="s">
        <v>1601</v>
      </c>
      <c r="F333" s="133">
        <v>1.7518742073804974</v>
      </c>
      <c r="G333" s="133">
        <v>0.30587788082622214</v>
      </c>
      <c r="H333" s="133">
        <v>0.54568108842704244</v>
      </c>
      <c r="I333" s="133">
        <v>0.47614232987699279</v>
      </c>
      <c r="J333" s="133">
        <v>0.47614232987699279</v>
      </c>
      <c r="K333" s="133">
        <v>2.1943681105601905E-2</v>
      </c>
      <c r="L333" s="133">
        <v>5.0152332193064515</v>
      </c>
      <c r="M333" s="45">
        <v>6332.8406883522484</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7.6307402635300453E-5</v>
      </c>
      <c r="G345" s="133">
        <v>1.8496501946459816E-3</v>
      </c>
      <c r="H345" s="133">
        <v>1.1689345319532431E-3</v>
      </c>
      <c r="I345" s="133">
        <v>5.6923875866664037E-5</v>
      </c>
      <c r="J345" s="133">
        <v>5.6923875866664037E-5</v>
      </c>
      <c r="K345" s="133">
        <v>4.1766474200801394E-5</v>
      </c>
      <c r="L345" s="133">
        <v>1.2014008633115392E-4</v>
      </c>
      <c r="M345" s="45">
        <v>29.43445182709609</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1.078686998584067</v>
      </c>
      <c r="G347" s="133">
        <v>0.87083450331944434</v>
      </c>
      <c r="H347" s="133">
        <v>1.1306664517022702</v>
      </c>
      <c r="I347" s="133">
        <v>0.31020491651771798</v>
      </c>
      <c r="J347" s="133">
        <v>0.31020491651771798</v>
      </c>
      <c r="K347" s="133">
        <v>2.4040716225143581E-2</v>
      </c>
      <c r="L347" s="133">
        <v>3.1035191336936516</v>
      </c>
      <c r="M347" s="45">
        <v>16040.131149489249</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2.5470961749672592E-2</v>
      </c>
      <c r="G349" s="133">
        <v>1.708984282808711E-2</v>
      </c>
      <c r="H349" s="133">
        <v>2.5805918644431828E-2</v>
      </c>
      <c r="I349" s="133">
        <v>8.3699746200753596E-3</v>
      </c>
      <c r="J349" s="133">
        <v>8.3699746200753596E-3</v>
      </c>
      <c r="K349" s="133">
        <v>4.9222205283927815E-4</v>
      </c>
      <c r="L349" s="133">
        <v>9.0074913676937124E-2</v>
      </c>
      <c r="M349" s="45">
        <v>328.1286138291261</v>
      </c>
    </row>
    <row r="350" spans="1:13" x14ac:dyDescent="0.25">
      <c r="A350" s="812" t="s">
        <v>1996</v>
      </c>
      <c r="B350" s="812">
        <v>19</v>
      </c>
      <c r="C350" s="608">
        <v>39488</v>
      </c>
      <c r="D350" s="812">
        <v>99705</v>
      </c>
      <c r="E350" s="812" t="s">
        <v>1599</v>
      </c>
      <c r="F350" s="133">
        <v>4.1367526234103078</v>
      </c>
      <c r="G350" s="133">
        <v>0.83812910605789226</v>
      </c>
      <c r="H350" s="133">
        <v>1.4171586143413599</v>
      </c>
      <c r="I350" s="133">
        <v>1.2517779462088876</v>
      </c>
      <c r="J350" s="133">
        <v>1.2517779462088876</v>
      </c>
      <c r="K350" s="133">
        <v>5.5669604758375922E-2</v>
      </c>
      <c r="L350" s="133">
        <v>13.69943679469673</v>
      </c>
      <c r="M350" s="45">
        <v>17111.608261297668</v>
      </c>
    </row>
    <row r="351" spans="1:13" x14ac:dyDescent="0.25">
      <c r="A351" s="812" t="s">
        <v>1996</v>
      </c>
      <c r="B351" s="812">
        <v>19</v>
      </c>
      <c r="C351" s="608">
        <v>39488</v>
      </c>
      <c r="D351" s="812">
        <v>99709</v>
      </c>
      <c r="E351" s="812" t="s">
        <v>1600</v>
      </c>
      <c r="F351" s="133">
        <v>3.7017463097022945</v>
      </c>
      <c r="G351" s="133">
        <v>0.98282191512400563</v>
      </c>
      <c r="H351" s="133">
        <v>1.6111625829070928</v>
      </c>
      <c r="I351" s="133">
        <v>0.99157893266892672</v>
      </c>
      <c r="J351" s="133">
        <v>0.99157893266892672</v>
      </c>
      <c r="K351" s="133">
        <v>4.8195604140838358E-2</v>
      </c>
      <c r="L351" s="133">
        <v>10.299931493765058</v>
      </c>
      <c r="M351" s="45">
        <v>19897.433844325249</v>
      </c>
    </row>
    <row r="352" spans="1:13" x14ac:dyDescent="0.25">
      <c r="A352" s="812" t="s">
        <v>1996</v>
      </c>
      <c r="B352" s="812">
        <v>19</v>
      </c>
      <c r="C352" s="608">
        <v>39488</v>
      </c>
      <c r="D352" s="812">
        <v>99712</v>
      </c>
      <c r="E352" s="812" t="s">
        <v>1601</v>
      </c>
      <c r="F352" s="133">
        <v>1.9331028303318789</v>
      </c>
      <c r="G352" s="133">
        <v>0.32745185344182715</v>
      </c>
      <c r="H352" s="133">
        <v>0.58561769483627257</v>
      </c>
      <c r="I352" s="133">
        <v>0.51951661830688256</v>
      </c>
      <c r="J352" s="133">
        <v>0.51951661830688256</v>
      </c>
      <c r="K352" s="133">
        <v>2.3960232630673747E-2</v>
      </c>
      <c r="L352" s="133">
        <v>5.4572864342314951</v>
      </c>
      <c r="M352" s="45">
        <v>6779.6682127912054</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7.7003571861203866E-5</v>
      </c>
      <c r="G364" s="133">
        <v>1.867225294318157E-3</v>
      </c>
      <c r="H364" s="133">
        <v>1.1813573935170784E-3</v>
      </c>
      <c r="I364" s="133">
        <v>5.7369694729766105E-5</v>
      </c>
      <c r="J364" s="133">
        <v>5.7369694729766105E-5</v>
      </c>
      <c r="K364" s="133">
        <v>4.1790392382806814E-5</v>
      </c>
      <c r="L364" s="133">
        <v>1.2057736033271319E-4</v>
      </c>
      <c r="M364" s="45">
        <v>29.704913083162349</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0.73144212778728024</v>
      </c>
      <c r="G366" s="133">
        <v>0.67104765058973659</v>
      </c>
      <c r="H366" s="133">
        <v>0.81749984049699354</v>
      </c>
      <c r="I366" s="133">
        <v>0.22047226256628066</v>
      </c>
      <c r="J366" s="133">
        <v>0.22047226256628066</v>
      </c>
      <c r="K366" s="133">
        <v>2.8668288113075476E-2</v>
      </c>
      <c r="L366" s="133">
        <v>2.202908427755355</v>
      </c>
      <c r="M366" s="45">
        <v>12586.593880013857</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1.7781032752098802E-2</v>
      </c>
      <c r="G368" s="133">
        <v>1.2946697563617928E-2</v>
      </c>
      <c r="H368" s="133">
        <v>1.8746009101202894E-2</v>
      </c>
      <c r="I368" s="133">
        <v>5.9955616237470201E-3</v>
      </c>
      <c r="J368" s="133">
        <v>5.9955616237470201E-3</v>
      </c>
      <c r="K368" s="133">
        <v>5.1024553292086596E-4</v>
      </c>
      <c r="L368" s="133">
        <v>6.427553846716258E-2</v>
      </c>
      <c r="M368" s="45">
        <v>251.61665845535708</v>
      </c>
    </row>
    <row r="369" spans="1:13" x14ac:dyDescent="0.25">
      <c r="A369" s="812" t="s">
        <v>1999</v>
      </c>
      <c r="B369" s="812">
        <v>1</v>
      </c>
      <c r="C369" s="608">
        <v>39754</v>
      </c>
      <c r="D369" s="812">
        <v>99705</v>
      </c>
      <c r="E369" s="812" t="s">
        <v>1599</v>
      </c>
      <c r="F369" s="133">
        <v>3.0497243812647739</v>
      </c>
      <c r="G369" s="133">
        <v>0.64373469776165582</v>
      </c>
      <c r="H369" s="133">
        <v>1.0793635337814154</v>
      </c>
      <c r="I369" s="133">
        <v>0.9369807422362183</v>
      </c>
      <c r="J369" s="133">
        <v>0.9369807422362183</v>
      </c>
      <c r="K369" s="133">
        <v>4.3797126173252959E-2</v>
      </c>
      <c r="L369" s="133">
        <v>10.222744793559242</v>
      </c>
      <c r="M369" s="45">
        <v>13207.212523188093</v>
      </c>
    </row>
    <row r="370" spans="1:13" x14ac:dyDescent="0.25">
      <c r="A370" s="812" t="s">
        <v>1999</v>
      </c>
      <c r="B370" s="812">
        <v>1</v>
      </c>
      <c r="C370" s="608">
        <v>39754</v>
      </c>
      <c r="D370" s="812">
        <v>99709</v>
      </c>
      <c r="E370" s="812" t="s">
        <v>1600</v>
      </c>
      <c r="F370" s="133">
        <v>2.4956233490277988</v>
      </c>
      <c r="G370" s="133">
        <v>0.74224946435669781</v>
      </c>
      <c r="H370" s="133">
        <v>1.1874655876515596</v>
      </c>
      <c r="I370" s="133">
        <v>0.69425448295939518</v>
      </c>
      <c r="J370" s="133">
        <v>0.69425448295939518</v>
      </c>
      <c r="K370" s="133">
        <v>3.992746953627032E-2</v>
      </c>
      <c r="L370" s="133">
        <v>7.2596553046816403</v>
      </c>
      <c r="M370" s="45">
        <v>15149.346240259478</v>
      </c>
    </row>
    <row r="371" spans="1:13" x14ac:dyDescent="0.25">
      <c r="A371" s="812" t="s">
        <v>1999</v>
      </c>
      <c r="B371" s="812">
        <v>1</v>
      </c>
      <c r="C371" s="608">
        <v>39754</v>
      </c>
      <c r="D371" s="812">
        <v>99712</v>
      </c>
      <c r="E371" s="812" t="s">
        <v>1601</v>
      </c>
      <c r="F371" s="133">
        <v>1.3970628762777235</v>
      </c>
      <c r="G371" s="133">
        <v>0.25513991010022552</v>
      </c>
      <c r="H371" s="133">
        <v>0.4555962938072986</v>
      </c>
      <c r="I371" s="133">
        <v>0.3875457638092884</v>
      </c>
      <c r="J371" s="133">
        <v>0.3875457638092884</v>
      </c>
      <c r="K371" s="133">
        <v>1.8326019762181692E-2</v>
      </c>
      <c r="L371" s="133">
        <v>4.0933573337628699</v>
      </c>
      <c r="M371" s="45">
        <v>5310.2198055392155</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6.4608684608816498E-5</v>
      </c>
      <c r="G383" s="133">
        <v>1.4894219090374032E-3</v>
      </c>
      <c r="H383" s="133">
        <v>7.9725083326553817E-4</v>
      </c>
      <c r="I383" s="133">
        <v>5.6243187519911244E-5</v>
      </c>
      <c r="J383" s="133">
        <v>5.6243187519911244E-5</v>
      </c>
      <c r="K383" s="133">
        <v>7.4453869651977859E-5</v>
      </c>
      <c r="L383" s="133">
        <v>1.7383174810705438E-4</v>
      </c>
      <c r="M383" s="45">
        <v>24.711215647609201</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0.68812813525130212</v>
      </c>
      <c r="G385" s="133">
        <v>0.62561216765170846</v>
      </c>
      <c r="H385" s="133">
        <v>0.76138678386993774</v>
      </c>
      <c r="I385" s="133">
        <v>0.20483422328043571</v>
      </c>
      <c r="J385" s="133">
        <v>0.20483422328043571</v>
      </c>
      <c r="K385" s="133">
        <v>2.803098932741728E-2</v>
      </c>
      <c r="L385" s="133">
        <v>2.0283393053715062</v>
      </c>
      <c r="M385" s="45">
        <v>11787.106581704336</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1.6595218179753349E-2</v>
      </c>
      <c r="G387" s="133">
        <v>1.2038077015638497E-2</v>
      </c>
      <c r="H387" s="133">
        <v>1.7426206983134906E-2</v>
      </c>
      <c r="I387" s="133">
        <v>5.521180202460188E-3</v>
      </c>
      <c r="J387" s="133">
        <v>5.521180202460188E-3</v>
      </c>
      <c r="K387" s="133">
        <v>4.9155022534922474E-4</v>
      </c>
      <c r="L387" s="133">
        <v>5.8633454566482418E-2</v>
      </c>
      <c r="M387" s="45">
        <v>234.7644564546045</v>
      </c>
    </row>
    <row r="388" spans="1:13" x14ac:dyDescent="0.25">
      <c r="A388" s="812" t="s">
        <v>1999</v>
      </c>
      <c r="B388" s="812">
        <v>2</v>
      </c>
      <c r="C388" s="608">
        <v>39755</v>
      </c>
      <c r="D388" s="812">
        <v>99705</v>
      </c>
      <c r="E388" s="812" t="s">
        <v>1599</v>
      </c>
      <c r="F388" s="133">
        <v>2.9208337073423527</v>
      </c>
      <c r="G388" s="133">
        <v>0.60538688308384891</v>
      </c>
      <c r="H388" s="133">
        <v>1.0182703021460198</v>
      </c>
      <c r="I388" s="133">
        <v>0.88243343570096044</v>
      </c>
      <c r="J388" s="133">
        <v>0.88243343570096044</v>
      </c>
      <c r="K388" s="133">
        <v>4.1478297039364634E-2</v>
      </c>
      <c r="L388" s="133">
        <v>9.5134971010296567</v>
      </c>
      <c r="M388" s="45">
        <v>12449.170991410263</v>
      </c>
    </row>
    <row r="389" spans="1:13" x14ac:dyDescent="0.25">
      <c r="A389" s="812" t="s">
        <v>1999</v>
      </c>
      <c r="B389" s="812">
        <v>2</v>
      </c>
      <c r="C389" s="608">
        <v>39755</v>
      </c>
      <c r="D389" s="812">
        <v>99709</v>
      </c>
      <c r="E389" s="812" t="s">
        <v>1600</v>
      </c>
      <c r="F389" s="133">
        <v>2.4781371833384513</v>
      </c>
      <c r="G389" s="133">
        <v>0.70932230581477185</v>
      </c>
      <c r="H389" s="133">
        <v>1.142718690902736</v>
      </c>
      <c r="I389" s="133">
        <v>0.67494070533816009</v>
      </c>
      <c r="J389" s="133">
        <v>0.67494070533816009</v>
      </c>
      <c r="K389" s="133">
        <v>3.9250548253832569E-2</v>
      </c>
      <c r="L389" s="133">
        <v>6.9783965391874068</v>
      </c>
      <c r="M389" s="45">
        <v>14534.203580639829</v>
      </c>
    </row>
    <row r="390" spans="1:13" x14ac:dyDescent="0.25">
      <c r="A390" s="812" t="s">
        <v>1999</v>
      </c>
      <c r="B390" s="812">
        <v>2</v>
      </c>
      <c r="C390" s="608">
        <v>39755</v>
      </c>
      <c r="D390" s="812">
        <v>99712</v>
      </c>
      <c r="E390" s="812" t="s">
        <v>1601</v>
      </c>
      <c r="F390" s="133">
        <v>1.4085128150431723</v>
      </c>
      <c r="G390" s="133">
        <v>0.24846659919561453</v>
      </c>
      <c r="H390" s="133">
        <v>0.445303503569696</v>
      </c>
      <c r="I390" s="133">
        <v>0.3824695621701461</v>
      </c>
      <c r="J390" s="133">
        <v>0.3824695621701461</v>
      </c>
      <c r="K390" s="133">
        <v>1.8149295530047554E-2</v>
      </c>
      <c r="L390" s="133">
        <v>3.9899907399914496</v>
      </c>
      <c r="M390" s="45">
        <v>5179.3570087159715</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6.0431669253396067E-5</v>
      </c>
      <c r="G402" s="133">
        <v>1.3839713110043485E-3</v>
      </c>
      <c r="H402" s="133">
        <v>7.2271366388252918E-4</v>
      </c>
      <c r="I402" s="133">
        <v>5.3568274341298918E-5</v>
      </c>
      <c r="J402" s="133">
        <v>5.3568274341298918E-5</v>
      </c>
      <c r="K402" s="133">
        <v>7.4310360559945316E-5</v>
      </c>
      <c r="L402" s="133">
        <v>1.7120810409769878E-4</v>
      </c>
      <c r="M402" s="45">
        <v>23.088448111211637</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0.64526679853895197</v>
      </c>
      <c r="G404" s="133">
        <v>0.61910455375196538</v>
      </c>
      <c r="H404" s="133">
        <v>0.73957448427706707</v>
      </c>
      <c r="I404" s="133">
        <v>0.19396488286453903</v>
      </c>
      <c r="J404" s="133">
        <v>0.19396488286453903</v>
      </c>
      <c r="K404" s="133">
        <v>2.7553485378963176E-2</v>
      </c>
      <c r="L404" s="133">
        <v>1.9155461776438445</v>
      </c>
      <c r="M404" s="45">
        <v>11603.609042065393</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1.566785179798284E-2</v>
      </c>
      <c r="G406" s="133">
        <v>1.1811779496266255E-2</v>
      </c>
      <c r="H406" s="133">
        <v>1.6835556931870842E-2</v>
      </c>
      <c r="I406" s="133">
        <v>5.2405165307946571E-3</v>
      </c>
      <c r="J406" s="133">
        <v>5.2405165307946571E-3</v>
      </c>
      <c r="K406" s="133">
        <v>4.8000162312900128E-4</v>
      </c>
      <c r="L406" s="133">
        <v>5.5518212688748618E-2</v>
      </c>
      <c r="M406" s="45">
        <v>229.19721916376531</v>
      </c>
    </row>
    <row r="407" spans="1:13" x14ac:dyDescent="0.25">
      <c r="A407" s="812" t="s">
        <v>1999</v>
      </c>
      <c r="B407" s="812">
        <v>3</v>
      </c>
      <c r="C407" s="608">
        <v>39756</v>
      </c>
      <c r="D407" s="812">
        <v>99705</v>
      </c>
      <c r="E407" s="812" t="s">
        <v>1599</v>
      </c>
      <c r="F407" s="133">
        <v>2.7186268421144195</v>
      </c>
      <c r="G407" s="133">
        <v>0.57457658594130046</v>
      </c>
      <c r="H407" s="133">
        <v>0.96099276793105204</v>
      </c>
      <c r="I407" s="133">
        <v>0.82348351884414717</v>
      </c>
      <c r="J407" s="133">
        <v>0.82348351884414717</v>
      </c>
      <c r="K407" s="133">
        <v>3.8918932363721126E-2</v>
      </c>
      <c r="L407" s="133">
        <v>8.8600640985093015</v>
      </c>
      <c r="M407" s="45">
        <v>11802.389148154503</v>
      </c>
    </row>
    <row r="408" spans="1:13" x14ac:dyDescent="0.25">
      <c r="A408" s="812" t="s">
        <v>1999</v>
      </c>
      <c r="B408" s="812">
        <v>3</v>
      </c>
      <c r="C408" s="608">
        <v>39756</v>
      </c>
      <c r="D408" s="812">
        <v>99709</v>
      </c>
      <c r="E408" s="812" t="s">
        <v>1600</v>
      </c>
      <c r="F408" s="133">
        <v>2.3651083633035581</v>
      </c>
      <c r="G408" s="133">
        <v>0.69403925940960365</v>
      </c>
      <c r="H408" s="133">
        <v>1.1083637197178544</v>
      </c>
      <c r="I408" s="133">
        <v>0.64747130236349404</v>
      </c>
      <c r="J408" s="133">
        <v>0.64747130236349404</v>
      </c>
      <c r="K408" s="133">
        <v>3.804858279155357E-2</v>
      </c>
      <c r="L408" s="133">
        <v>6.6982726731519771</v>
      </c>
      <c r="M408" s="45">
        <v>14184.133337504431</v>
      </c>
    </row>
    <row r="409" spans="1:13" x14ac:dyDescent="0.25">
      <c r="A409" s="812" t="s">
        <v>1999</v>
      </c>
      <c r="B409" s="812">
        <v>3</v>
      </c>
      <c r="C409" s="608">
        <v>39756</v>
      </c>
      <c r="D409" s="812">
        <v>99712</v>
      </c>
      <c r="E409" s="812" t="s">
        <v>1601</v>
      </c>
      <c r="F409" s="133">
        <v>1.3526918501835419</v>
      </c>
      <c r="G409" s="133">
        <v>0.24195808090984292</v>
      </c>
      <c r="H409" s="133">
        <v>0.43277515737974454</v>
      </c>
      <c r="I409" s="133">
        <v>0.3690368814767449</v>
      </c>
      <c r="J409" s="133">
        <v>0.3690368814767449</v>
      </c>
      <c r="K409" s="133">
        <v>1.7528564192506164E-2</v>
      </c>
      <c r="L409" s="133">
        <v>3.8527773227301387</v>
      </c>
      <c r="M409" s="45">
        <v>5042.3120518319802</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6.112783847929946E-5</v>
      </c>
      <c r="G421" s="133">
        <v>1.4015464106765245E-3</v>
      </c>
      <c r="H421" s="133">
        <v>7.3513652544636389E-4</v>
      </c>
      <c r="I421" s="133">
        <v>5.4014093204400966E-5</v>
      </c>
      <c r="J421" s="133">
        <v>5.4014093204400966E-5</v>
      </c>
      <c r="K421" s="133">
        <v>7.4334278741950755E-5</v>
      </c>
      <c r="L421" s="133">
        <v>1.7164537809925807E-4</v>
      </c>
      <c r="M421" s="45">
        <v>23.358909367277896</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0.70644742259990712</v>
      </c>
      <c r="G423" s="133">
        <v>0.66896141077722315</v>
      </c>
      <c r="H423" s="133">
        <v>0.79891971806439122</v>
      </c>
      <c r="I423" s="133">
        <v>0.21035837850962127</v>
      </c>
      <c r="J423" s="133">
        <v>0.21035837850962127</v>
      </c>
      <c r="K423" s="133">
        <v>2.8273955734270134E-2</v>
      </c>
      <c r="L423" s="133">
        <v>2.0752172721923654</v>
      </c>
      <c r="M423" s="45">
        <v>12467.165773685912</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1.7049262353169378E-2</v>
      </c>
      <c r="G425" s="133">
        <v>1.2756753540949314E-2</v>
      </c>
      <c r="H425" s="133">
        <v>1.8158668816810119E-2</v>
      </c>
      <c r="I425" s="133">
        <v>5.6766160951532149E-3</v>
      </c>
      <c r="J425" s="133">
        <v>5.6766160951532149E-3</v>
      </c>
      <c r="K425" s="133">
        <v>4.9808254181551179E-4</v>
      </c>
      <c r="L425" s="133">
        <v>6.0184156199685812E-2</v>
      </c>
      <c r="M425" s="45">
        <v>246.38728320260728</v>
      </c>
    </row>
    <row r="426" spans="1:13" x14ac:dyDescent="0.25">
      <c r="A426" s="812" t="s">
        <v>1999</v>
      </c>
      <c r="B426" s="812">
        <v>4</v>
      </c>
      <c r="C426" s="608">
        <v>39757</v>
      </c>
      <c r="D426" s="812">
        <v>99705</v>
      </c>
      <c r="E426" s="812" t="s">
        <v>1599</v>
      </c>
      <c r="F426" s="133">
        <v>2.9985767763939952</v>
      </c>
      <c r="G426" s="133">
        <v>0.62619548882999077</v>
      </c>
      <c r="H426" s="133">
        <v>1.0466773368180782</v>
      </c>
      <c r="I426" s="133">
        <v>0.90590567540518541</v>
      </c>
      <c r="J426" s="133">
        <v>0.90590567540518541</v>
      </c>
      <c r="K426" s="133">
        <v>4.2471480457825179E-2</v>
      </c>
      <c r="L426" s="133">
        <v>9.7739319415664401</v>
      </c>
      <c r="M426" s="45">
        <v>12838.004010628174</v>
      </c>
    </row>
    <row r="427" spans="1:13" x14ac:dyDescent="0.25">
      <c r="A427" s="812" t="s">
        <v>1999</v>
      </c>
      <c r="B427" s="812">
        <v>4</v>
      </c>
      <c r="C427" s="608">
        <v>39757</v>
      </c>
      <c r="D427" s="812">
        <v>99709</v>
      </c>
      <c r="E427" s="812" t="s">
        <v>1600</v>
      </c>
      <c r="F427" s="133">
        <v>2.3767916637614186</v>
      </c>
      <c r="G427" s="133">
        <v>0.71842567363415455</v>
      </c>
      <c r="H427" s="133">
        <v>1.1371601150892146</v>
      </c>
      <c r="I427" s="133">
        <v>0.6496985879403997</v>
      </c>
      <c r="J427" s="133">
        <v>0.6496985879403997</v>
      </c>
      <c r="K427" s="133">
        <v>3.8183042367496707E-2</v>
      </c>
      <c r="L427" s="133">
        <v>6.7090340780474609</v>
      </c>
      <c r="M427" s="45">
        <v>14608.480851011895</v>
      </c>
    </row>
    <row r="428" spans="1:13" x14ac:dyDescent="0.25">
      <c r="A428" s="812" t="s">
        <v>1999</v>
      </c>
      <c r="B428" s="812">
        <v>4</v>
      </c>
      <c r="C428" s="608">
        <v>39757</v>
      </c>
      <c r="D428" s="812">
        <v>99712</v>
      </c>
      <c r="E428" s="812" t="s">
        <v>1601</v>
      </c>
      <c r="F428" s="133">
        <v>1.2294694315663606</v>
      </c>
      <c r="G428" s="133">
        <v>0.22743817390908835</v>
      </c>
      <c r="H428" s="133">
        <v>0.40405495126709673</v>
      </c>
      <c r="I428" s="133">
        <v>0.33696185974330234</v>
      </c>
      <c r="J428" s="133">
        <v>0.33696185974330234</v>
      </c>
      <c r="K428" s="133">
        <v>1.6085466847773868E-2</v>
      </c>
      <c r="L428" s="133">
        <v>3.5118821572468066</v>
      </c>
      <c r="M428" s="45">
        <v>4731.5215695573224</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6.600102306062331E-5</v>
      </c>
      <c r="G440" s="133">
        <v>1.5245721083817555E-3</v>
      </c>
      <c r="H440" s="133">
        <v>8.220965563932079E-4</v>
      </c>
      <c r="I440" s="133">
        <v>5.7134825246115373E-5</v>
      </c>
      <c r="J440" s="133">
        <v>5.7134825246115373E-5</v>
      </c>
      <c r="K440" s="133">
        <v>7.4501706015988738E-5</v>
      </c>
      <c r="L440" s="133">
        <v>1.7470629611017295E-4</v>
      </c>
      <c r="M440" s="45">
        <v>25.252138159741722</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0.72250065924259899</v>
      </c>
      <c r="G442" s="133">
        <v>0.67346930566624286</v>
      </c>
      <c r="H442" s="133">
        <v>0.80888053153286055</v>
      </c>
      <c r="I442" s="133">
        <v>0.21466240586542482</v>
      </c>
      <c r="J442" s="133">
        <v>0.21466240586542482</v>
      </c>
      <c r="K442" s="133">
        <v>2.8458706818995795E-2</v>
      </c>
      <c r="L442" s="133">
        <v>2.1202818923358482</v>
      </c>
      <c r="M442" s="45">
        <v>12568.501607860775</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1.7618626330105074E-2</v>
      </c>
      <c r="G444" s="133">
        <v>1.2948211127671907E-2</v>
      </c>
      <c r="H444" s="133">
        <v>1.8573831735455185E-2</v>
      </c>
      <c r="I444" s="133">
        <v>5.8517863929771225E-3</v>
      </c>
      <c r="J444" s="133">
        <v>5.8517863929771225E-3</v>
      </c>
      <c r="K444" s="133">
        <v>5.0517903779874181E-4</v>
      </c>
      <c r="L444" s="133">
        <v>6.2117489623910109E-2</v>
      </c>
      <c r="M444" s="45">
        <v>250.65308499379088</v>
      </c>
    </row>
    <row r="445" spans="1:13" x14ac:dyDescent="0.25">
      <c r="A445" s="812" t="s">
        <v>1999</v>
      </c>
      <c r="B445" s="812">
        <v>5</v>
      </c>
      <c r="C445" s="608">
        <v>39758</v>
      </c>
      <c r="D445" s="812">
        <v>99705</v>
      </c>
      <c r="E445" s="812" t="s">
        <v>1599</v>
      </c>
      <c r="F445" s="133">
        <v>3.0741431732759716</v>
      </c>
      <c r="G445" s="133">
        <v>0.63805745027238581</v>
      </c>
      <c r="H445" s="133">
        <v>1.0681394019148904</v>
      </c>
      <c r="I445" s="133">
        <v>0.92808218454080205</v>
      </c>
      <c r="J445" s="133">
        <v>0.92808218454080205</v>
      </c>
      <c r="K445" s="133">
        <v>4.3423576806937134E-2</v>
      </c>
      <c r="L445" s="133">
        <v>10.020155711535997</v>
      </c>
      <c r="M445" s="45">
        <v>13084.964650218939</v>
      </c>
    </row>
    <row r="446" spans="1:13" x14ac:dyDescent="0.25">
      <c r="A446" s="812" t="s">
        <v>1999</v>
      </c>
      <c r="B446" s="812">
        <v>5</v>
      </c>
      <c r="C446" s="608">
        <v>39758</v>
      </c>
      <c r="D446" s="812">
        <v>99709</v>
      </c>
      <c r="E446" s="812" t="s">
        <v>1600</v>
      </c>
      <c r="F446" s="133">
        <v>2.3295425245588013</v>
      </c>
      <c r="G446" s="133">
        <v>0.71335985739730201</v>
      </c>
      <c r="H446" s="133">
        <v>1.1277508011308017</v>
      </c>
      <c r="I446" s="133">
        <v>0.63900051303732996</v>
      </c>
      <c r="J446" s="133">
        <v>0.63900051303732996</v>
      </c>
      <c r="K446" s="133">
        <v>3.7704105889125254E-2</v>
      </c>
      <c r="L446" s="133">
        <v>6.6033891713455439</v>
      </c>
      <c r="M446" s="45">
        <v>14501.760297322957</v>
      </c>
    </row>
    <row r="447" spans="1:13" x14ac:dyDescent="0.25">
      <c r="A447" s="812" t="s">
        <v>1999</v>
      </c>
      <c r="B447" s="812">
        <v>5</v>
      </c>
      <c r="C447" s="608">
        <v>39758</v>
      </c>
      <c r="D447" s="812">
        <v>99712</v>
      </c>
      <c r="E447" s="812" t="s">
        <v>1601</v>
      </c>
      <c r="F447" s="133">
        <v>1.2199843240096548</v>
      </c>
      <c r="G447" s="133">
        <v>0.22685422275339545</v>
      </c>
      <c r="H447" s="133">
        <v>0.40289222553938914</v>
      </c>
      <c r="I447" s="133">
        <v>0.33537073403640427</v>
      </c>
      <c r="J447" s="133">
        <v>0.33537073403640427</v>
      </c>
      <c r="K447" s="133">
        <v>1.5999045340660708E-2</v>
      </c>
      <c r="L447" s="133">
        <v>3.4991338838757824</v>
      </c>
      <c r="M447" s="45">
        <v>4719.6092051075857</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6.600102306062331E-5</v>
      </c>
      <c r="G459" s="133">
        <v>1.5245721083817553E-3</v>
      </c>
      <c r="H459" s="133">
        <v>8.220965563932079E-4</v>
      </c>
      <c r="I459" s="133">
        <v>5.7134825246115366E-5</v>
      </c>
      <c r="J459" s="133">
        <v>5.7134825246115366E-5</v>
      </c>
      <c r="K459" s="133">
        <v>7.4501706015988738E-5</v>
      </c>
      <c r="L459" s="133">
        <v>1.7470629611017295E-4</v>
      </c>
      <c r="M459" s="45">
        <v>25.252138159741722</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0.83066129276547562</v>
      </c>
      <c r="G461" s="133">
        <v>0.73542794063970318</v>
      </c>
      <c r="H461" s="133">
        <v>0.8951830826317787</v>
      </c>
      <c r="I461" s="133">
        <v>0.24285293118909224</v>
      </c>
      <c r="J461" s="133">
        <v>0.24285293118909224</v>
      </c>
      <c r="K461" s="133">
        <v>2.9702973019154356E-2</v>
      </c>
      <c r="L461" s="133">
        <v>2.399990154503544</v>
      </c>
      <c r="M461" s="45">
        <v>13704.60332449292</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1.9661251316433082E-2</v>
      </c>
      <c r="G463" s="133">
        <v>1.4105522519978209E-2</v>
      </c>
      <c r="H463" s="133">
        <v>2.0355148583872489E-2</v>
      </c>
      <c r="I463" s="133">
        <v>6.489501324122883E-3</v>
      </c>
      <c r="J463" s="133">
        <v>6.489501324122883E-3</v>
      </c>
      <c r="K463" s="133">
        <v>5.3156832510401603E-4</v>
      </c>
      <c r="L463" s="133">
        <v>6.900660013144444E-2</v>
      </c>
      <c r="M463" s="45">
        <v>272.55824305616659</v>
      </c>
    </row>
    <row r="464" spans="1:13" x14ac:dyDescent="0.25">
      <c r="A464" s="812" t="s">
        <v>1999</v>
      </c>
      <c r="B464" s="812">
        <v>6</v>
      </c>
      <c r="C464" s="608">
        <v>39759</v>
      </c>
      <c r="D464" s="812">
        <v>99705</v>
      </c>
      <c r="E464" s="812" t="s">
        <v>1599</v>
      </c>
      <c r="F464" s="133">
        <v>3.3368190661898107</v>
      </c>
      <c r="G464" s="133">
        <v>0.68699348986741349</v>
      </c>
      <c r="H464" s="133">
        <v>1.1496415019224127</v>
      </c>
      <c r="I464" s="133">
        <v>1.0046439935497533</v>
      </c>
      <c r="J464" s="133">
        <v>1.0046439935497533</v>
      </c>
      <c r="K464" s="133">
        <v>4.6775781888901788E-2</v>
      </c>
      <c r="L464" s="133">
        <v>10.86619567160732</v>
      </c>
      <c r="M464" s="45">
        <v>14064.100348678599</v>
      </c>
    </row>
    <row r="465" spans="1:13" x14ac:dyDescent="0.25">
      <c r="A465" s="812" t="s">
        <v>1999</v>
      </c>
      <c r="B465" s="812">
        <v>6</v>
      </c>
      <c r="C465" s="608">
        <v>39759</v>
      </c>
      <c r="D465" s="812">
        <v>99709</v>
      </c>
      <c r="E465" s="812" t="s">
        <v>1600</v>
      </c>
      <c r="F465" s="133">
        <v>2.8736571464707876</v>
      </c>
      <c r="G465" s="133">
        <v>0.80953434805940883</v>
      </c>
      <c r="H465" s="133">
        <v>1.2940882498380741</v>
      </c>
      <c r="I465" s="133">
        <v>0.77184458911505238</v>
      </c>
      <c r="J465" s="133">
        <v>0.77184458911505238</v>
      </c>
      <c r="K465" s="133">
        <v>4.3506826518963038E-2</v>
      </c>
      <c r="L465" s="133">
        <v>7.9551727755737565</v>
      </c>
      <c r="M465" s="45">
        <v>16462.121078438275</v>
      </c>
    </row>
    <row r="466" spans="1:13" x14ac:dyDescent="0.25">
      <c r="A466" s="812" t="s">
        <v>1999</v>
      </c>
      <c r="B466" s="812">
        <v>6</v>
      </c>
      <c r="C466" s="608">
        <v>39759</v>
      </c>
      <c r="D466" s="812">
        <v>99712</v>
      </c>
      <c r="E466" s="812" t="s">
        <v>1601</v>
      </c>
      <c r="F466" s="133">
        <v>1.4915160086803834</v>
      </c>
      <c r="G466" s="133">
        <v>0.26104071530425355</v>
      </c>
      <c r="H466" s="133">
        <v>0.46439691024619356</v>
      </c>
      <c r="I466" s="133">
        <v>0.40109353822472293</v>
      </c>
      <c r="J466" s="133">
        <v>0.40109353822472293</v>
      </c>
      <c r="K466" s="133">
        <v>1.903985037253992E-2</v>
      </c>
      <c r="L466" s="133">
        <v>4.1722832065511328</v>
      </c>
      <c r="M466" s="45">
        <v>5419.4007664016517</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7.0874207641947161E-5</v>
      </c>
      <c r="G478" s="133">
        <v>1.6475978060869856E-3</v>
      </c>
      <c r="H478" s="133">
        <v>9.0905658734005169E-4</v>
      </c>
      <c r="I478" s="133">
        <v>6.025555728782976E-5</v>
      </c>
      <c r="J478" s="133">
        <v>6.025555728782976E-5</v>
      </c>
      <c r="K478" s="133">
        <v>7.4669133290026707E-5</v>
      </c>
      <c r="L478" s="133">
        <v>1.7776721412108778E-4</v>
      </c>
      <c r="M478" s="45">
        <v>27.145366952205549</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0.74084511790164687</v>
      </c>
      <c r="G480" s="133">
        <v>0.70215954416367987</v>
      </c>
      <c r="H480" s="133">
        <v>0.84258855076422978</v>
      </c>
      <c r="I480" s="133">
        <v>0.22332898094896275</v>
      </c>
      <c r="J480" s="133">
        <v>0.22332898094896275</v>
      </c>
      <c r="K480" s="133">
        <v>2.8798056518851471E-2</v>
      </c>
      <c r="L480" s="133">
        <v>2.2240646146581673</v>
      </c>
      <c r="M480" s="45">
        <v>13065.255987225826</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1.7757190181316017E-2</v>
      </c>
      <c r="G482" s="133">
        <v>1.3358230893727781E-2</v>
      </c>
      <c r="H482" s="133">
        <v>1.9017831919841677E-2</v>
      </c>
      <c r="I482" s="133">
        <v>5.9991382396780641E-3</v>
      </c>
      <c r="J482" s="133">
        <v>5.9991382396780641E-3</v>
      </c>
      <c r="K482" s="133">
        <v>5.1063638005880785E-4</v>
      </c>
      <c r="L482" s="133">
        <v>6.4190386698198765E-2</v>
      </c>
      <c r="M482" s="45">
        <v>257.48570005919959</v>
      </c>
    </row>
    <row r="483" spans="1:13" x14ac:dyDescent="0.25">
      <c r="A483" s="812" t="s">
        <v>1999</v>
      </c>
      <c r="B483" s="812">
        <v>7</v>
      </c>
      <c r="C483" s="608">
        <v>39760</v>
      </c>
      <c r="D483" s="812">
        <v>99705</v>
      </c>
      <c r="E483" s="812" t="s">
        <v>1599</v>
      </c>
      <c r="F483" s="133">
        <v>3.0268887131574331</v>
      </c>
      <c r="G483" s="133">
        <v>0.64666935203570819</v>
      </c>
      <c r="H483" s="133">
        <v>1.0779198288220391</v>
      </c>
      <c r="I483" s="133">
        <v>0.93062166346830766</v>
      </c>
      <c r="J483" s="133">
        <v>0.93062166346830766</v>
      </c>
      <c r="K483" s="133">
        <v>4.3520243617945119E-2</v>
      </c>
      <c r="L483" s="133">
        <v>10.151394573041307</v>
      </c>
      <c r="M483" s="45">
        <v>13235.253423058701</v>
      </c>
    </row>
    <row r="484" spans="1:13" x14ac:dyDescent="0.25">
      <c r="A484" s="812" t="s">
        <v>1999</v>
      </c>
      <c r="B484" s="812">
        <v>7</v>
      </c>
      <c r="C484" s="608">
        <v>39760</v>
      </c>
      <c r="D484" s="812">
        <v>99709</v>
      </c>
      <c r="E484" s="812" t="s">
        <v>1600</v>
      </c>
      <c r="F484" s="133">
        <v>2.6750747251876712</v>
      </c>
      <c r="G484" s="133">
        <v>0.78215554056975933</v>
      </c>
      <c r="H484" s="133">
        <v>1.2460645440909894</v>
      </c>
      <c r="I484" s="133">
        <v>0.73749750217036947</v>
      </c>
      <c r="J484" s="133">
        <v>0.73749750217036947</v>
      </c>
      <c r="K484" s="133">
        <v>4.1833349124678794E-2</v>
      </c>
      <c r="L484" s="133">
        <v>7.6939947508711581</v>
      </c>
      <c r="M484" s="45">
        <v>15910.091939239246</v>
      </c>
    </row>
    <row r="485" spans="1:13" x14ac:dyDescent="0.25">
      <c r="A485" s="812" t="s">
        <v>1999</v>
      </c>
      <c r="B485" s="812">
        <v>7</v>
      </c>
      <c r="C485" s="608">
        <v>39760</v>
      </c>
      <c r="D485" s="812">
        <v>99712</v>
      </c>
      <c r="E485" s="812" t="s">
        <v>1601</v>
      </c>
      <c r="F485" s="133">
        <v>1.4427832567743564</v>
      </c>
      <c r="G485" s="133">
        <v>0.26134502511800839</v>
      </c>
      <c r="H485" s="133">
        <v>0.46536136513258997</v>
      </c>
      <c r="I485" s="133">
        <v>0.3977669349200238</v>
      </c>
      <c r="J485" s="133">
        <v>0.3977669349200238</v>
      </c>
      <c r="K485" s="133">
        <v>1.8816069551000118E-2</v>
      </c>
      <c r="L485" s="133">
        <v>4.193477682897627</v>
      </c>
      <c r="M485" s="45">
        <v>5430.0907538666233</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6.8785699964236976E-5</v>
      </c>
      <c r="G497" s="133">
        <v>1.5948725070704585E-3</v>
      </c>
      <c r="H497" s="133">
        <v>8.7178800264854747E-4</v>
      </c>
      <c r="I497" s="133">
        <v>5.891810069852361E-5</v>
      </c>
      <c r="J497" s="133">
        <v>5.891810069852361E-5</v>
      </c>
      <c r="K497" s="133">
        <v>7.4597378744010429E-5</v>
      </c>
      <c r="L497" s="133">
        <v>1.7645539211641001E-4</v>
      </c>
      <c r="M497" s="45">
        <v>26.333983184006769</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0.79441510357428236</v>
      </c>
      <c r="G499" s="133">
        <v>0.72666408851721276</v>
      </c>
      <c r="H499" s="133">
        <v>0.88218391795142126</v>
      </c>
      <c r="I499" s="133">
        <v>0.23778928003252661</v>
      </c>
      <c r="J499" s="133">
        <v>0.23778928003252661</v>
      </c>
      <c r="K499" s="133">
        <v>2.9421612841697684E-2</v>
      </c>
      <c r="L499" s="133">
        <v>2.3724962362184043</v>
      </c>
      <c r="M499" s="45">
        <v>13542.529372173947</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1.9398078384081155E-2</v>
      </c>
      <c r="G501" s="133">
        <v>1.4046511045526169E-2</v>
      </c>
      <c r="H501" s="133">
        <v>2.0302721213867166E-2</v>
      </c>
      <c r="I501" s="133">
        <v>6.5070044152781628E-3</v>
      </c>
      <c r="J501" s="133">
        <v>6.5070044152781628E-3</v>
      </c>
      <c r="K501" s="133">
        <v>5.3134000042761123E-4</v>
      </c>
      <c r="L501" s="133">
        <v>6.9753421197294788E-2</v>
      </c>
      <c r="M501" s="45">
        <v>271.71565103040081</v>
      </c>
    </row>
    <row r="502" spans="1:13" x14ac:dyDescent="0.25">
      <c r="A502" s="812" t="s">
        <v>1999</v>
      </c>
      <c r="B502" s="812">
        <v>8</v>
      </c>
      <c r="C502" s="608">
        <v>39761</v>
      </c>
      <c r="D502" s="812">
        <v>99705</v>
      </c>
      <c r="E502" s="812" t="s">
        <v>1599</v>
      </c>
      <c r="F502" s="133">
        <v>3.2728264944055687</v>
      </c>
      <c r="G502" s="133">
        <v>0.68748756613324025</v>
      </c>
      <c r="H502" s="133">
        <v>1.1496398841473621</v>
      </c>
      <c r="I502" s="133">
        <v>1.0028196953884558</v>
      </c>
      <c r="J502" s="133">
        <v>1.0028196953884558</v>
      </c>
      <c r="K502" s="133">
        <v>4.6636896067188655E-2</v>
      </c>
      <c r="L502" s="133">
        <v>10.952638060336202</v>
      </c>
      <c r="M502" s="45">
        <v>14073.321324055776</v>
      </c>
    </row>
    <row r="503" spans="1:13" x14ac:dyDescent="0.25">
      <c r="A503" s="812" t="s">
        <v>1999</v>
      </c>
      <c r="B503" s="812">
        <v>8</v>
      </c>
      <c r="C503" s="608">
        <v>39761</v>
      </c>
      <c r="D503" s="812">
        <v>99709</v>
      </c>
      <c r="E503" s="812" t="s">
        <v>1600</v>
      </c>
      <c r="F503" s="133">
        <v>2.4855308173172168</v>
      </c>
      <c r="G503" s="133">
        <v>0.76656916241356199</v>
      </c>
      <c r="H503" s="133">
        <v>1.2127227007133594</v>
      </c>
      <c r="I503" s="133">
        <v>0.69189469782553359</v>
      </c>
      <c r="J503" s="133">
        <v>0.69189469782553359</v>
      </c>
      <c r="K503" s="133">
        <v>3.9849224898084262E-2</v>
      </c>
      <c r="L503" s="133">
        <v>7.2263027795223529</v>
      </c>
      <c r="M503" s="45">
        <v>15555.738395750381</v>
      </c>
    </row>
    <row r="504" spans="1:13" x14ac:dyDescent="0.25">
      <c r="A504" s="812" t="s">
        <v>1999</v>
      </c>
      <c r="B504" s="812">
        <v>8</v>
      </c>
      <c r="C504" s="608">
        <v>39761</v>
      </c>
      <c r="D504" s="812">
        <v>99712</v>
      </c>
      <c r="E504" s="812" t="s">
        <v>1601</v>
      </c>
      <c r="F504" s="133">
        <v>1.2297122497452355</v>
      </c>
      <c r="G504" s="133">
        <v>0.23509698849715513</v>
      </c>
      <c r="H504" s="133">
        <v>0.41614964446089481</v>
      </c>
      <c r="I504" s="133">
        <v>0.34447107891232998</v>
      </c>
      <c r="J504" s="133">
        <v>0.34447107891232998</v>
      </c>
      <c r="K504" s="133">
        <v>1.6383153131209176E-2</v>
      </c>
      <c r="L504" s="133">
        <v>3.6382909715081206</v>
      </c>
      <c r="M504" s="45">
        <v>4882.2951308635893</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7.0178038416043802E-5</v>
      </c>
      <c r="G516" s="133">
        <v>1.63002270641481E-3</v>
      </c>
      <c r="H516" s="133">
        <v>8.9663372577621699E-4</v>
      </c>
      <c r="I516" s="133">
        <v>5.9809738424727712E-5</v>
      </c>
      <c r="J516" s="133">
        <v>5.9809738424727712E-5</v>
      </c>
      <c r="K516" s="133">
        <v>7.4645215108021294E-5</v>
      </c>
      <c r="L516" s="133">
        <v>1.7732994011952855E-4</v>
      </c>
      <c r="M516" s="45">
        <v>26.874905696139287</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0.69678429516215212</v>
      </c>
      <c r="G518" s="133">
        <v>0.63362977011002075</v>
      </c>
      <c r="H518" s="133">
        <v>0.77165408783555711</v>
      </c>
      <c r="I518" s="133">
        <v>0.20783474382236866</v>
      </c>
      <c r="J518" s="133">
        <v>0.20783474382236866</v>
      </c>
      <c r="K518" s="133">
        <v>2.8147607907427138E-2</v>
      </c>
      <c r="L518" s="133">
        <v>2.0610255182262271</v>
      </c>
      <c r="M518" s="45">
        <v>11930.132220386926</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1.7153715964155575E-2</v>
      </c>
      <c r="G520" s="133">
        <v>1.2325152430756152E-2</v>
      </c>
      <c r="H520" s="133">
        <v>1.7951836913050676E-2</v>
      </c>
      <c r="I520" s="133">
        <v>5.7001449986949105E-3</v>
      </c>
      <c r="J520" s="133">
        <v>5.7001449986949105E-3</v>
      </c>
      <c r="K520" s="133">
        <v>4.984292900130497E-4</v>
      </c>
      <c r="L520" s="133">
        <v>6.059387177303293E-2</v>
      </c>
      <c r="M520" s="45">
        <v>240.65735229959239</v>
      </c>
    </row>
    <row r="521" spans="1:13" x14ac:dyDescent="0.25">
      <c r="A521" s="812" t="s">
        <v>1999</v>
      </c>
      <c r="B521" s="812">
        <v>9</v>
      </c>
      <c r="C521" s="608">
        <v>39762</v>
      </c>
      <c r="D521" s="812">
        <v>99705</v>
      </c>
      <c r="E521" s="812" t="s">
        <v>1599</v>
      </c>
      <c r="F521" s="133">
        <v>2.8057461451397585</v>
      </c>
      <c r="G521" s="133">
        <v>0.58634384417372409</v>
      </c>
      <c r="H521" s="133">
        <v>0.98199107793994689</v>
      </c>
      <c r="I521" s="133">
        <v>0.84717429533286082</v>
      </c>
      <c r="J521" s="133">
        <v>0.84717429533286082</v>
      </c>
      <c r="K521" s="133">
        <v>3.9909815805059784E-2</v>
      </c>
      <c r="L521" s="133">
        <v>9.114767053149194</v>
      </c>
      <c r="M521" s="45">
        <v>12049.295578352318</v>
      </c>
    </row>
    <row r="522" spans="1:13" x14ac:dyDescent="0.25">
      <c r="A522" s="812" t="s">
        <v>1999</v>
      </c>
      <c r="B522" s="812">
        <v>9</v>
      </c>
      <c r="C522" s="608">
        <v>39762</v>
      </c>
      <c r="D522" s="812">
        <v>99709</v>
      </c>
      <c r="E522" s="812" t="s">
        <v>1600</v>
      </c>
      <c r="F522" s="133">
        <v>2.1421040963375408</v>
      </c>
      <c r="G522" s="133">
        <v>0.66840660804623964</v>
      </c>
      <c r="H522" s="133">
        <v>1.0626756421860617</v>
      </c>
      <c r="I522" s="133">
        <v>0.59215530655314974</v>
      </c>
      <c r="J522" s="133">
        <v>0.59215530655314974</v>
      </c>
      <c r="K522" s="133">
        <v>3.5649363133423512E-2</v>
      </c>
      <c r="L522" s="133">
        <v>6.12439354171942</v>
      </c>
      <c r="M522" s="45">
        <v>13649.63257206094</v>
      </c>
    </row>
    <row r="523" spans="1:13" x14ac:dyDescent="0.25">
      <c r="A523" s="812" t="s">
        <v>1999</v>
      </c>
      <c r="B523" s="812">
        <v>9</v>
      </c>
      <c r="C523" s="608">
        <v>39762</v>
      </c>
      <c r="D523" s="812">
        <v>99712</v>
      </c>
      <c r="E523" s="812" t="s">
        <v>1601</v>
      </c>
      <c r="F523" s="133">
        <v>1.0921173577708116</v>
      </c>
      <c r="G523" s="133">
        <v>0.20856337382956969</v>
      </c>
      <c r="H523" s="133">
        <v>0.3715233243479038</v>
      </c>
      <c r="I523" s="133">
        <v>0.30222641088232888</v>
      </c>
      <c r="J523" s="133">
        <v>0.30222641088232888</v>
      </c>
      <c r="K523" s="133">
        <v>1.4498563427162957E-2</v>
      </c>
      <c r="L523" s="133">
        <v>3.1482973323453787</v>
      </c>
      <c r="M523" s="45">
        <v>4350.9582252434084</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6.112783847929946E-5</v>
      </c>
      <c r="G535" s="133">
        <v>1.4015464106765249E-3</v>
      </c>
      <c r="H535" s="133">
        <v>7.3513652544636399E-4</v>
      </c>
      <c r="I535" s="133">
        <v>5.4014093204400979E-5</v>
      </c>
      <c r="J535" s="133">
        <v>5.4014093204400979E-5</v>
      </c>
      <c r="K535" s="133">
        <v>7.4334278741950742E-5</v>
      </c>
      <c r="L535" s="133">
        <v>1.7164537809925804E-4</v>
      </c>
      <c r="M535" s="45">
        <v>23.358909367277896</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0.62278691800138497</v>
      </c>
      <c r="G537" s="133">
        <v>0.60408608450842471</v>
      </c>
      <c r="H537" s="133">
        <v>0.72078298789579442</v>
      </c>
      <c r="I537" s="133">
        <v>0.18841450018977923</v>
      </c>
      <c r="J537" s="133">
        <v>0.18841450018977923</v>
      </c>
      <c r="K537" s="133">
        <v>2.729993565019195E-2</v>
      </c>
      <c r="L537" s="133">
        <v>1.8629187210389004</v>
      </c>
      <c r="M537" s="45">
        <v>11339.262010878196</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1.5446123079035302E-2</v>
      </c>
      <c r="G539" s="133">
        <v>1.1614963262377376E-2</v>
      </c>
      <c r="H539" s="133">
        <v>1.6619555828795492E-2</v>
      </c>
      <c r="I539" s="133">
        <v>5.1718510023707935E-3</v>
      </c>
      <c r="J539" s="133">
        <v>5.1718510023707935E-3</v>
      </c>
      <c r="K539" s="133">
        <v>4.768907744188473E-4</v>
      </c>
      <c r="L539" s="133">
        <v>5.4805484065210179E-2</v>
      </c>
      <c r="M539" s="45">
        <v>225.94008373994117</v>
      </c>
    </row>
    <row r="540" spans="1:13" x14ac:dyDescent="0.25">
      <c r="A540" s="812" t="s">
        <v>1999</v>
      </c>
      <c r="B540" s="812">
        <v>10</v>
      </c>
      <c r="C540" s="608">
        <v>39763</v>
      </c>
      <c r="D540" s="812">
        <v>99705</v>
      </c>
      <c r="E540" s="812" t="s">
        <v>1599</v>
      </c>
      <c r="F540" s="133">
        <v>2.5982895615341741</v>
      </c>
      <c r="G540" s="133">
        <v>0.55389491554495029</v>
      </c>
      <c r="H540" s="133">
        <v>0.92535755040816559</v>
      </c>
      <c r="I540" s="133">
        <v>0.78904341501145603</v>
      </c>
      <c r="J540" s="133">
        <v>0.78904341501145603</v>
      </c>
      <c r="K540" s="133">
        <v>3.7384074668137465E-2</v>
      </c>
      <c r="L540" s="133">
        <v>8.4814146438586029</v>
      </c>
      <c r="M540" s="45">
        <v>11384.63835943983</v>
      </c>
    </row>
    <row r="541" spans="1:13" x14ac:dyDescent="0.25">
      <c r="A541" s="812" t="s">
        <v>1999</v>
      </c>
      <c r="B541" s="812">
        <v>10</v>
      </c>
      <c r="C541" s="608">
        <v>39763</v>
      </c>
      <c r="D541" s="812">
        <v>99709</v>
      </c>
      <c r="E541" s="812" t="s">
        <v>1600</v>
      </c>
      <c r="F541" s="133">
        <v>1.9902714055215429</v>
      </c>
      <c r="G541" s="133">
        <v>0.63931882846119881</v>
      </c>
      <c r="H541" s="133">
        <v>1.010999742612094</v>
      </c>
      <c r="I541" s="133">
        <v>0.55452731407896982</v>
      </c>
      <c r="J541" s="133">
        <v>0.55452731407896982</v>
      </c>
      <c r="K541" s="133">
        <v>3.4010155742199566E-2</v>
      </c>
      <c r="L541" s="133">
        <v>5.7395486569929579</v>
      </c>
      <c r="M541" s="45">
        <v>13050.885285346847</v>
      </c>
    </row>
    <row r="542" spans="1:13" x14ac:dyDescent="0.25">
      <c r="A542" s="812" t="s">
        <v>1999</v>
      </c>
      <c r="B542" s="812">
        <v>10</v>
      </c>
      <c r="C542" s="608">
        <v>39763</v>
      </c>
      <c r="D542" s="812">
        <v>99712</v>
      </c>
      <c r="E542" s="812" t="s">
        <v>1601</v>
      </c>
      <c r="F542" s="133">
        <v>1.0039235220579048</v>
      </c>
      <c r="G542" s="133">
        <v>0.19671567957532141</v>
      </c>
      <c r="H542" s="133">
        <v>0.34985651227536602</v>
      </c>
      <c r="I542" s="133">
        <v>0.28033285524707485</v>
      </c>
      <c r="J542" s="133">
        <v>0.28033285524707485</v>
      </c>
      <c r="K542" s="133">
        <v>1.3500052400106698E-2</v>
      </c>
      <c r="L542" s="133">
        <v>2.9216761012684227</v>
      </c>
      <c r="M542" s="45">
        <v>4106.0923619200221</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5.9735500027492674E-5</v>
      </c>
      <c r="G554" s="133">
        <v>1.3663962113321737E-3</v>
      </c>
      <c r="H554" s="133">
        <v>7.1029080231869459E-4</v>
      </c>
      <c r="I554" s="133">
        <v>5.3122455478196864E-5</v>
      </c>
      <c r="J554" s="133">
        <v>5.3122455478196864E-5</v>
      </c>
      <c r="K554" s="133">
        <v>7.428644237793993E-5</v>
      </c>
      <c r="L554" s="133">
        <v>1.7077083009613958E-4</v>
      </c>
      <c r="M554" s="45">
        <v>22.817986855145374</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0.62158228715581332</v>
      </c>
      <c r="G556" s="133">
        <v>0.59859259170064716</v>
      </c>
      <c r="H556" s="133">
        <v>0.7160048334860607</v>
      </c>
      <c r="I556" s="133">
        <v>0.18772903568371485</v>
      </c>
      <c r="J556" s="133">
        <v>0.18772903568371485</v>
      </c>
      <c r="K556" s="133">
        <v>2.7275929004858059E-2</v>
      </c>
      <c r="L556" s="133">
        <v>1.8558597320165289</v>
      </c>
      <c r="M556" s="45">
        <v>11252.748366355148</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1.5158433851553885E-2</v>
      </c>
      <c r="G558" s="133">
        <v>1.1443227746127596E-2</v>
      </c>
      <c r="H558" s="133">
        <v>1.6349453336135206E-2</v>
      </c>
      <c r="I558" s="133">
        <v>5.0806030027979411E-3</v>
      </c>
      <c r="J558" s="133">
        <v>5.0806030027979411E-3</v>
      </c>
      <c r="K558" s="133">
        <v>4.7322435369244719E-4</v>
      </c>
      <c r="L558" s="133">
        <v>5.3818129581293027E-2</v>
      </c>
      <c r="M558" s="45">
        <v>222.65566677184484</v>
      </c>
    </row>
    <row r="559" spans="1:13" x14ac:dyDescent="0.25">
      <c r="A559" s="812" t="s">
        <v>1999</v>
      </c>
      <c r="B559" s="812">
        <v>11</v>
      </c>
      <c r="C559" s="608">
        <v>39764</v>
      </c>
      <c r="D559" s="812">
        <v>99705</v>
      </c>
      <c r="E559" s="812" t="s">
        <v>1599</v>
      </c>
      <c r="F559" s="133">
        <v>2.6152226891683097</v>
      </c>
      <c r="G559" s="133">
        <v>0.55516850726073075</v>
      </c>
      <c r="H559" s="133">
        <v>0.92894830245497606</v>
      </c>
      <c r="I559" s="133">
        <v>0.79341965511799395</v>
      </c>
      <c r="J559" s="133">
        <v>0.79341965511799395</v>
      </c>
      <c r="K559" s="133">
        <v>3.7591900564313031E-2</v>
      </c>
      <c r="L559" s="133">
        <v>8.5280735996068184</v>
      </c>
      <c r="M559" s="45">
        <v>11416.191619431127</v>
      </c>
    </row>
    <row r="560" spans="1:13" x14ac:dyDescent="0.25">
      <c r="A560" s="812" t="s">
        <v>1999</v>
      </c>
      <c r="B560" s="812">
        <v>11</v>
      </c>
      <c r="C560" s="608">
        <v>39764</v>
      </c>
      <c r="D560" s="812">
        <v>99709</v>
      </c>
      <c r="E560" s="812" t="s">
        <v>1600</v>
      </c>
      <c r="F560" s="133">
        <v>2.1440027575929368</v>
      </c>
      <c r="G560" s="133">
        <v>0.6563680983878708</v>
      </c>
      <c r="H560" s="133">
        <v>1.0461763442447025</v>
      </c>
      <c r="I560" s="133">
        <v>0.59202933240986932</v>
      </c>
      <c r="J560" s="133">
        <v>0.59202933240986932</v>
      </c>
      <c r="K560" s="133">
        <v>3.5654637258847689E-2</v>
      </c>
      <c r="L560" s="133">
        <v>6.1251487743242237</v>
      </c>
      <c r="M560" s="45">
        <v>13427.982789727739</v>
      </c>
    </row>
    <row r="561" spans="1:13" x14ac:dyDescent="0.25">
      <c r="A561" s="812" t="s">
        <v>1999</v>
      </c>
      <c r="B561" s="812">
        <v>11</v>
      </c>
      <c r="C561" s="608">
        <v>39764</v>
      </c>
      <c r="D561" s="812">
        <v>99712</v>
      </c>
      <c r="E561" s="812" t="s">
        <v>1601</v>
      </c>
      <c r="F561" s="133">
        <v>1.135139425356489</v>
      </c>
      <c r="G561" s="133">
        <v>0.21292456797205817</v>
      </c>
      <c r="H561" s="133">
        <v>0.38011602979390158</v>
      </c>
      <c r="I561" s="133">
        <v>0.31322849655152263</v>
      </c>
      <c r="J561" s="133">
        <v>0.31322849655152263</v>
      </c>
      <c r="K561" s="133">
        <v>1.5001728427793392E-2</v>
      </c>
      <c r="L561" s="133">
        <v>3.2648003901205267</v>
      </c>
      <c r="M561" s="45">
        <v>4443.7436245361523</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5.9039330801589241E-5</v>
      </c>
      <c r="G573" s="133">
        <v>1.3488211116599973E-3</v>
      </c>
      <c r="H573" s="133">
        <v>6.9786794075485977E-4</v>
      </c>
      <c r="I573" s="133">
        <v>5.2676636615094809E-5</v>
      </c>
      <c r="J573" s="133">
        <v>5.2676636615094809E-5</v>
      </c>
      <c r="K573" s="133">
        <v>7.4262524195934477E-5</v>
      </c>
      <c r="L573" s="133">
        <v>1.7033355609458027E-4</v>
      </c>
      <c r="M573" s="45">
        <v>22.547525599079115</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0.65911330731856432</v>
      </c>
      <c r="G575" s="133">
        <v>0.63720146638498865</v>
      </c>
      <c r="H575" s="133">
        <v>0.75773903619988403</v>
      </c>
      <c r="I575" s="133">
        <v>0.19782602547604095</v>
      </c>
      <c r="J575" s="133">
        <v>0.19782602547604095</v>
      </c>
      <c r="K575" s="133">
        <v>2.7723183880560262E-2</v>
      </c>
      <c r="L575" s="133">
        <v>1.9515125735314924</v>
      </c>
      <c r="M575" s="45">
        <v>11900.08040138734</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1.5955518537958943E-2</v>
      </c>
      <c r="G577" s="133">
        <v>1.2104202997382177E-2</v>
      </c>
      <c r="H577" s="133">
        <v>1.715623299664994E-2</v>
      </c>
      <c r="I577" s="133">
        <v>5.3319232611972293E-3</v>
      </c>
      <c r="J577" s="133">
        <v>5.3319232611972293E-3</v>
      </c>
      <c r="K577" s="133">
        <v>4.8402546806344051E-4</v>
      </c>
      <c r="L577" s="133">
        <v>5.6461876715787722E-2</v>
      </c>
      <c r="M577" s="45">
        <v>234.04009995312649</v>
      </c>
    </row>
    <row r="578" spans="1:13" x14ac:dyDescent="0.25">
      <c r="A578" s="812" t="s">
        <v>1999</v>
      </c>
      <c r="B578" s="812">
        <v>12</v>
      </c>
      <c r="C578" s="608">
        <v>39765</v>
      </c>
      <c r="D578" s="812">
        <v>99705</v>
      </c>
      <c r="E578" s="812" t="s">
        <v>1599</v>
      </c>
      <c r="F578" s="133">
        <v>2.8375467671747545</v>
      </c>
      <c r="G578" s="133">
        <v>0.59621717237652394</v>
      </c>
      <c r="H578" s="133">
        <v>0.99666431169001601</v>
      </c>
      <c r="I578" s="133">
        <v>0.85835162599195758</v>
      </c>
      <c r="J578" s="133">
        <v>0.85835162599195758</v>
      </c>
      <c r="K578" s="133">
        <v>4.040904012850173E-2</v>
      </c>
      <c r="L578" s="133">
        <v>9.2458988314468051</v>
      </c>
      <c r="M578" s="45">
        <v>12236.476474949874</v>
      </c>
    </row>
    <row r="579" spans="1:13" x14ac:dyDescent="0.25">
      <c r="A579" s="812" t="s">
        <v>1999</v>
      </c>
      <c r="B579" s="812">
        <v>12</v>
      </c>
      <c r="C579" s="608">
        <v>39765</v>
      </c>
      <c r="D579" s="812">
        <v>99709</v>
      </c>
      <c r="E579" s="812" t="s">
        <v>1600</v>
      </c>
      <c r="F579" s="133">
        <v>2.4195409868059472</v>
      </c>
      <c r="G579" s="133">
        <v>0.71025294462979138</v>
      </c>
      <c r="H579" s="133">
        <v>1.1309699430068687</v>
      </c>
      <c r="I579" s="133">
        <v>0.66076550839138981</v>
      </c>
      <c r="J579" s="133">
        <v>0.66076550839138981</v>
      </c>
      <c r="K579" s="133">
        <v>3.8635321191142151E-2</v>
      </c>
      <c r="L579" s="133">
        <v>6.8312614636806019</v>
      </c>
      <c r="M579" s="45">
        <v>14486.442502672924</v>
      </c>
    </row>
    <row r="580" spans="1:13" x14ac:dyDescent="0.25">
      <c r="A580" s="812" t="s">
        <v>1999</v>
      </c>
      <c r="B580" s="812">
        <v>12</v>
      </c>
      <c r="C580" s="608">
        <v>39765</v>
      </c>
      <c r="D580" s="812">
        <v>99712</v>
      </c>
      <c r="E580" s="812" t="s">
        <v>1601</v>
      </c>
      <c r="F580" s="133">
        <v>1.347020463103763</v>
      </c>
      <c r="G580" s="133">
        <v>0.24152030570957267</v>
      </c>
      <c r="H580" s="133">
        <v>0.43109438756218643</v>
      </c>
      <c r="I580" s="133">
        <v>0.36706454710856123</v>
      </c>
      <c r="J580" s="133">
        <v>0.36706454710856123</v>
      </c>
      <c r="K580" s="133">
        <v>1.7449102817060538E-2</v>
      </c>
      <c r="L580" s="133">
        <v>3.8293284303876782</v>
      </c>
      <c r="M580" s="45">
        <v>5028.7569827892949</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6.3216346157009712E-5</v>
      </c>
      <c r="G592" s="133">
        <v>1.4542717096930528E-3</v>
      </c>
      <c r="H592" s="133">
        <v>7.7240511013786887E-4</v>
      </c>
      <c r="I592" s="133">
        <v>5.5351549793707162E-5</v>
      </c>
      <c r="J592" s="133">
        <v>5.5351549793707162E-5</v>
      </c>
      <c r="K592" s="133">
        <v>7.4406033287967061E-5</v>
      </c>
      <c r="L592" s="133">
        <v>1.7295720010393592E-4</v>
      </c>
      <c r="M592" s="45">
        <v>24.170293135476683</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0.76338655389892851</v>
      </c>
      <c r="G594" s="133">
        <v>0.69903600471481531</v>
      </c>
      <c r="H594" s="133">
        <v>0.84357301427202025</v>
      </c>
      <c r="I594" s="133">
        <v>0.22569223807728156</v>
      </c>
      <c r="J594" s="133">
        <v>0.22569223807728156</v>
      </c>
      <c r="K594" s="133">
        <v>2.8937845274099549E-2</v>
      </c>
      <c r="L594" s="133">
        <v>2.2309573375713199</v>
      </c>
      <c r="M594" s="45">
        <v>13032.975789727383</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1.8526857694055203E-2</v>
      </c>
      <c r="G596" s="133">
        <v>1.3464832071914052E-2</v>
      </c>
      <c r="H596" s="133">
        <v>1.9384130970266748E-2</v>
      </c>
      <c r="I596" s="133">
        <v>6.1369292222483024E-3</v>
      </c>
      <c r="J596" s="133">
        <v>6.1369292222483024E-3</v>
      </c>
      <c r="K596" s="133">
        <v>5.1683351247644243E-4</v>
      </c>
      <c r="L596" s="133">
        <v>6.5202556273068091E-2</v>
      </c>
      <c r="M596" s="45">
        <v>260.5159339353296</v>
      </c>
    </row>
    <row r="597" spans="1:13" x14ac:dyDescent="0.25">
      <c r="A597" s="812" t="s">
        <v>1999</v>
      </c>
      <c r="B597" s="812">
        <v>13</v>
      </c>
      <c r="C597" s="608">
        <v>39766</v>
      </c>
      <c r="D597" s="812">
        <v>99705</v>
      </c>
      <c r="E597" s="812" t="s">
        <v>1599</v>
      </c>
      <c r="F597" s="133">
        <v>3.168522117061026</v>
      </c>
      <c r="G597" s="133">
        <v>0.65646705968925545</v>
      </c>
      <c r="H597" s="133">
        <v>1.0982945169039178</v>
      </c>
      <c r="I597" s="133">
        <v>0.95604907642017434</v>
      </c>
      <c r="J597" s="133">
        <v>0.95604907642017434</v>
      </c>
      <c r="K597" s="133">
        <v>4.4630013018354023E-2</v>
      </c>
      <c r="L597" s="133">
        <v>10.330727996183946</v>
      </c>
      <c r="M597" s="45">
        <v>13452.035195686254</v>
      </c>
    </row>
    <row r="598" spans="1:13" x14ac:dyDescent="0.25">
      <c r="A598" s="812" t="s">
        <v>1999</v>
      </c>
      <c r="B598" s="812">
        <v>13</v>
      </c>
      <c r="C598" s="608">
        <v>39766</v>
      </c>
      <c r="D598" s="812">
        <v>99709</v>
      </c>
      <c r="E598" s="812" t="s">
        <v>1600</v>
      </c>
      <c r="F598" s="133">
        <v>2.4880173104924954</v>
      </c>
      <c r="G598" s="133">
        <v>0.7454810010974996</v>
      </c>
      <c r="H598" s="133">
        <v>1.1814054207033027</v>
      </c>
      <c r="I598" s="133">
        <v>0.67883558230323038</v>
      </c>
      <c r="J598" s="133">
        <v>0.67883558230323038</v>
      </c>
      <c r="K598" s="133">
        <v>3.9408627571061804E-2</v>
      </c>
      <c r="L598" s="133">
        <v>7.0131417459123213</v>
      </c>
      <c r="M598" s="45">
        <v>15148.500864314996</v>
      </c>
    </row>
    <row r="599" spans="1:13" x14ac:dyDescent="0.25">
      <c r="A599" s="812" t="s">
        <v>1999</v>
      </c>
      <c r="B599" s="812">
        <v>13</v>
      </c>
      <c r="C599" s="608">
        <v>39766</v>
      </c>
      <c r="D599" s="812">
        <v>99712</v>
      </c>
      <c r="E599" s="812" t="s">
        <v>1601</v>
      </c>
      <c r="F599" s="133">
        <v>1.2802322477650798</v>
      </c>
      <c r="G599" s="133">
        <v>0.234272832430161</v>
      </c>
      <c r="H599" s="133">
        <v>0.41577077478181057</v>
      </c>
      <c r="I599" s="133">
        <v>0.3494185763876822</v>
      </c>
      <c r="J599" s="133">
        <v>0.3494185763876822</v>
      </c>
      <c r="K599" s="133">
        <v>1.6660033760723472E-2</v>
      </c>
      <c r="L599" s="133">
        <v>3.6402972091821715</v>
      </c>
      <c r="M599" s="45">
        <v>4868.8258276547604</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6.8089530738333549E-5</v>
      </c>
      <c r="G611" s="133">
        <v>1.5772974073982819E-3</v>
      </c>
      <c r="H611" s="133">
        <v>8.5936514108471244E-4</v>
      </c>
      <c r="I611" s="133">
        <v>5.8472281835421529E-5</v>
      </c>
      <c r="J611" s="133">
        <v>5.8472281835421529E-5</v>
      </c>
      <c r="K611" s="133">
        <v>7.4573460562005003E-5</v>
      </c>
      <c r="L611" s="133">
        <v>1.7601811811485073E-4</v>
      </c>
      <c r="M611" s="45">
        <v>26.063521927940506</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0.76495044705326043</v>
      </c>
      <c r="G613" s="133">
        <v>0.65602381447410318</v>
      </c>
      <c r="H613" s="133">
        <v>0.82081669976795424</v>
      </c>
      <c r="I613" s="133">
        <v>0.22868191050730402</v>
      </c>
      <c r="J613" s="133">
        <v>0.22868191050730402</v>
      </c>
      <c r="K613" s="133">
        <v>2.9025585124050016E-2</v>
      </c>
      <c r="L613" s="133">
        <v>2.2940182712549735</v>
      </c>
      <c r="M613" s="45">
        <v>12433.156808744043</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1.835183893328075E-2</v>
      </c>
      <c r="G615" s="133">
        <v>1.2785599224091043E-2</v>
      </c>
      <c r="H615" s="133">
        <v>1.8913048559597041E-2</v>
      </c>
      <c r="I615" s="133">
        <v>6.1614632908208256E-3</v>
      </c>
      <c r="J615" s="133">
        <v>6.1614632908208256E-3</v>
      </c>
      <c r="K615" s="133">
        <v>5.1680954282102263E-4</v>
      </c>
      <c r="L615" s="133">
        <v>6.6209735107088663E-2</v>
      </c>
      <c r="M615" s="45">
        <v>250.77200749599524</v>
      </c>
    </row>
    <row r="616" spans="1:13" x14ac:dyDescent="0.25">
      <c r="A616" s="812" t="s">
        <v>1999</v>
      </c>
      <c r="B616" s="812">
        <v>14</v>
      </c>
      <c r="C616" s="608">
        <v>39767</v>
      </c>
      <c r="D616" s="812">
        <v>99705</v>
      </c>
      <c r="E616" s="812" t="s">
        <v>1599</v>
      </c>
      <c r="F616" s="133">
        <v>3.0823282576493352</v>
      </c>
      <c r="G616" s="133">
        <v>0.64419510562218296</v>
      </c>
      <c r="H616" s="133">
        <v>1.0861912836676813</v>
      </c>
      <c r="I616" s="133">
        <v>0.94665578483241875</v>
      </c>
      <c r="J616" s="133">
        <v>0.94665578483241875</v>
      </c>
      <c r="K616" s="133">
        <v>4.4206100423226681E-2</v>
      </c>
      <c r="L616" s="133">
        <v>10.33203664959499</v>
      </c>
      <c r="M616" s="45">
        <v>13246.270720375827</v>
      </c>
    </row>
    <row r="617" spans="1:13" x14ac:dyDescent="0.25">
      <c r="A617" s="812" t="s">
        <v>1999</v>
      </c>
      <c r="B617" s="812">
        <v>14</v>
      </c>
      <c r="C617" s="608">
        <v>39767</v>
      </c>
      <c r="D617" s="812">
        <v>99709</v>
      </c>
      <c r="E617" s="812" t="s">
        <v>1600</v>
      </c>
      <c r="F617" s="133">
        <v>2.6686966857847869</v>
      </c>
      <c r="G617" s="133">
        <v>0.75536566380292824</v>
      </c>
      <c r="H617" s="133">
        <v>1.2302004489106475</v>
      </c>
      <c r="I617" s="133">
        <v>0.73624495047181582</v>
      </c>
      <c r="J617" s="133">
        <v>0.73624495047181582</v>
      </c>
      <c r="K617" s="133">
        <v>4.176369671341202E-2</v>
      </c>
      <c r="L617" s="133">
        <v>7.6912409038151068</v>
      </c>
      <c r="M617" s="45">
        <v>15516.158548469859</v>
      </c>
    </row>
    <row r="618" spans="1:13" x14ac:dyDescent="0.25">
      <c r="A618" s="812" t="s">
        <v>1999</v>
      </c>
      <c r="B618" s="812">
        <v>14</v>
      </c>
      <c r="C618" s="608">
        <v>39767</v>
      </c>
      <c r="D618" s="812">
        <v>99712</v>
      </c>
      <c r="E618" s="812" t="s">
        <v>1601</v>
      </c>
      <c r="F618" s="133">
        <v>1.4317049871700804</v>
      </c>
      <c r="G618" s="133">
        <v>0.25768085807492608</v>
      </c>
      <c r="H618" s="133">
        <v>0.4616366979616483</v>
      </c>
      <c r="I618" s="133">
        <v>0.39583048635332269</v>
      </c>
      <c r="J618" s="133">
        <v>0.39583048635332269</v>
      </c>
      <c r="K618" s="133">
        <v>1.871366747963046E-2</v>
      </c>
      <c r="L618" s="133">
        <v>4.1784772372127437</v>
      </c>
      <c r="M618" s="45">
        <v>5368.6566423294826</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6.1127838479299487E-5</v>
      </c>
      <c r="G630" s="133">
        <v>1.4015464106765252E-3</v>
      </c>
      <c r="H630" s="133">
        <v>7.3513652544636432E-4</v>
      </c>
      <c r="I630" s="133">
        <v>5.4014093204400986E-5</v>
      </c>
      <c r="J630" s="133">
        <v>5.4014093204400986E-5</v>
      </c>
      <c r="K630" s="133">
        <v>7.4334278741950769E-5</v>
      </c>
      <c r="L630" s="133">
        <v>1.7164537809925809E-4</v>
      </c>
      <c r="M630" s="45">
        <v>23.358909367277896</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0.69439342519232927</v>
      </c>
      <c r="G632" s="133">
        <v>0.6757627512416452</v>
      </c>
      <c r="H632" s="133">
        <v>0.80590656402414129</v>
      </c>
      <c r="I632" s="133">
        <v>0.21136769841230063</v>
      </c>
      <c r="J632" s="133">
        <v>0.21136769841230063</v>
      </c>
      <c r="K632" s="133">
        <v>2.8266923200287997E-2</v>
      </c>
      <c r="L632" s="133">
        <v>2.1060975189970792</v>
      </c>
      <c r="M632" s="45">
        <v>12581.789927951944</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1.6912382257951945E-2</v>
      </c>
      <c r="G634" s="133">
        <v>1.2871012390226559E-2</v>
      </c>
      <c r="H634" s="133">
        <v>1.8273093028058032E-2</v>
      </c>
      <c r="I634" s="133">
        <v>5.73497184805197E-3</v>
      </c>
      <c r="J634" s="133">
        <v>5.73497184805197E-3</v>
      </c>
      <c r="K634" s="133">
        <v>4.9971829226913122E-4</v>
      </c>
      <c r="L634" s="133">
        <v>6.1338478719098401E-2</v>
      </c>
      <c r="M634" s="45">
        <v>248.29080679076577</v>
      </c>
    </row>
    <row r="635" spans="1:13" x14ac:dyDescent="0.25">
      <c r="A635" s="812" t="s">
        <v>1999</v>
      </c>
      <c r="B635" s="812">
        <v>15</v>
      </c>
      <c r="C635" s="608">
        <v>39768</v>
      </c>
      <c r="D635" s="812">
        <v>99705</v>
      </c>
      <c r="E635" s="812" t="s">
        <v>1599</v>
      </c>
      <c r="F635" s="133">
        <v>2.9077310003313577</v>
      </c>
      <c r="G635" s="133">
        <v>0.62475154817756673</v>
      </c>
      <c r="H635" s="133">
        <v>1.0412010587950014</v>
      </c>
      <c r="I635" s="133">
        <v>0.89605674319414064</v>
      </c>
      <c r="J635" s="133">
        <v>0.89605674319414064</v>
      </c>
      <c r="K635" s="133">
        <v>4.1988743929915334E-2</v>
      </c>
      <c r="L635" s="133">
        <v>9.7697533162500214</v>
      </c>
      <c r="M635" s="45">
        <v>12796.937556160012</v>
      </c>
    </row>
    <row r="636" spans="1:13" x14ac:dyDescent="0.25">
      <c r="A636" s="812" t="s">
        <v>1999</v>
      </c>
      <c r="B636" s="812">
        <v>15</v>
      </c>
      <c r="C636" s="608">
        <v>39768</v>
      </c>
      <c r="D636" s="812">
        <v>99709</v>
      </c>
      <c r="E636" s="812" t="s">
        <v>1600</v>
      </c>
      <c r="F636" s="133">
        <v>2.4002705216700142</v>
      </c>
      <c r="G636" s="133">
        <v>0.73511845034715417</v>
      </c>
      <c r="H636" s="133">
        <v>1.1629891040890392</v>
      </c>
      <c r="I636" s="133">
        <v>0.67106586910603927</v>
      </c>
      <c r="J636" s="133">
        <v>0.67106586910603927</v>
      </c>
      <c r="K636" s="133">
        <v>3.8909792398540477E-2</v>
      </c>
      <c r="L636" s="133">
        <v>7.0209814137515547</v>
      </c>
      <c r="M636" s="45">
        <v>14944.209698316265</v>
      </c>
    </row>
    <row r="637" spans="1:13" x14ac:dyDescent="0.25">
      <c r="A637" s="812" t="s">
        <v>1999</v>
      </c>
      <c r="B637" s="812">
        <v>15</v>
      </c>
      <c r="C637" s="608">
        <v>39768</v>
      </c>
      <c r="D637" s="812">
        <v>99712</v>
      </c>
      <c r="E637" s="812" t="s">
        <v>1601</v>
      </c>
      <c r="F637" s="133">
        <v>1.3193944751179199</v>
      </c>
      <c r="G637" s="133">
        <v>0.24557490554018721</v>
      </c>
      <c r="H637" s="133">
        <v>0.43669673737972808</v>
      </c>
      <c r="I637" s="133">
        <v>0.36792873064602571</v>
      </c>
      <c r="J637" s="133">
        <v>0.36792873064602571</v>
      </c>
      <c r="K637" s="133">
        <v>1.74387322004988E-2</v>
      </c>
      <c r="L637" s="133">
        <v>3.8883218935275599</v>
      </c>
      <c r="M637" s="45">
        <v>5105.7091760012681</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6.669719228652671E-5</v>
      </c>
      <c r="G649" s="133">
        <v>1.5421472080539306E-3</v>
      </c>
      <c r="H649" s="133">
        <v>8.3451941795704249E-4</v>
      </c>
      <c r="I649" s="133">
        <v>5.758064410921742E-5</v>
      </c>
      <c r="J649" s="133">
        <v>5.758064410921742E-5</v>
      </c>
      <c r="K649" s="133">
        <v>7.4525624197994137E-5</v>
      </c>
      <c r="L649" s="133">
        <v>1.7514357011173218E-4</v>
      </c>
      <c r="M649" s="45">
        <v>25.522599415807981</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0.67387815384958583</v>
      </c>
      <c r="G651" s="133">
        <v>0.60790238454749324</v>
      </c>
      <c r="H651" s="133">
        <v>0.74397646645655613</v>
      </c>
      <c r="I651" s="133">
        <v>0.20123520627369143</v>
      </c>
      <c r="J651" s="133">
        <v>0.20123520627369143</v>
      </c>
      <c r="K651" s="133">
        <v>2.7864519999362708E-2</v>
      </c>
      <c r="L651" s="133">
        <v>1.9967345785338428</v>
      </c>
      <c r="M651" s="45">
        <v>11499.105446557147</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1.6528927082435408E-2</v>
      </c>
      <c r="G653" s="133">
        <v>1.1820769258577645E-2</v>
      </c>
      <c r="H653" s="133">
        <v>1.7268565018435787E-2</v>
      </c>
      <c r="I653" s="133">
        <v>5.4980041020128746E-3</v>
      </c>
      <c r="J653" s="133">
        <v>5.4980041020128746E-3</v>
      </c>
      <c r="K653" s="133">
        <v>4.9028106288705382E-4</v>
      </c>
      <c r="L653" s="133">
        <v>5.8442981143484715E-2</v>
      </c>
      <c r="M653" s="45">
        <v>231.59627779743511</v>
      </c>
    </row>
    <row r="654" spans="1:13" x14ac:dyDescent="0.25">
      <c r="A654" s="812" t="s">
        <v>1999</v>
      </c>
      <c r="B654" s="812">
        <v>16</v>
      </c>
      <c r="C654" s="608">
        <v>39769</v>
      </c>
      <c r="D654" s="812">
        <v>99705</v>
      </c>
      <c r="E654" s="812" t="s">
        <v>1599</v>
      </c>
      <c r="F654" s="133">
        <v>2.7792339878068444</v>
      </c>
      <c r="G654" s="133">
        <v>0.58050212546597557</v>
      </c>
      <c r="H654" s="133">
        <v>0.97640667618646704</v>
      </c>
      <c r="I654" s="133">
        <v>0.84163285578674318</v>
      </c>
      <c r="J654" s="133">
        <v>0.84163285578674318</v>
      </c>
      <c r="K654" s="133">
        <v>3.9683466270867801E-2</v>
      </c>
      <c r="L654" s="133">
        <v>9.0641146215664765</v>
      </c>
      <c r="M654" s="45">
        <v>11949.508007988161</v>
      </c>
    </row>
    <row r="655" spans="1:13" x14ac:dyDescent="0.25">
      <c r="A655" s="812" t="s">
        <v>1999</v>
      </c>
      <c r="B655" s="812">
        <v>16</v>
      </c>
      <c r="C655" s="608">
        <v>39769</v>
      </c>
      <c r="D655" s="812">
        <v>99709</v>
      </c>
      <c r="E655" s="812" t="s">
        <v>1600</v>
      </c>
      <c r="F655" s="133">
        <v>2.3511132292835684</v>
      </c>
      <c r="G655" s="133">
        <v>0.6843992072022459</v>
      </c>
      <c r="H655" s="133">
        <v>1.1039015963097101</v>
      </c>
      <c r="I655" s="133">
        <v>0.64421781196610872</v>
      </c>
      <c r="J655" s="133">
        <v>0.64421781196610872</v>
      </c>
      <c r="K655" s="133">
        <v>3.7905025322726181E-2</v>
      </c>
      <c r="L655" s="133">
        <v>6.6679859747438233</v>
      </c>
      <c r="M655" s="45">
        <v>14047.22982453702</v>
      </c>
    </row>
    <row r="656" spans="1:13" x14ac:dyDescent="0.25">
      <c r="A656" s="812" t="s">
        <v>1999</v>
      </c>
      <c r="B656" s="812">
        <v>16</v>
      </c>
      <c r="C656" s="608">
        <v>39769</v>
      </c>
      <c r="D656" s="812">
        <v>99712</v>
      </c>
      <c r="E656" s="812" t="s">
        <v>1601</v>
      </c>
      <c r="F656" s="133">
        <v>1.300355172621628</v>
      </c>
      <c r="G656" s="133">
        <v>0.2335525584411591</v>
      </c>
      <c r="H656" s="133">
        <v>0.41840770403497191</v>
      </c>
      <c r="I656" s="133">
        <v>0.35501904979568766</v>
      </c>
      <c r="J656" s="133">
        <v>0.35501904979568766</v>
      </c>
      <c r="K656" s="133">
        <v>1.6905149826269689E-2</v>
      </c>
      <c r="L656" s="133">
        <v>3.7026739566470694</v>
      </c>
      <c r="M656" s="45">
        <v>4872.5848085727066</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5.8343161575685828E-5</v>
      </c>
      <c r="G668" s="133">
        <v>1.3312460119878214E-3</v>
      </c>
      <c r="H668" s="133">
        <v>6.8544507919102453E-4</v>
      </c>
      <c r="I668" s="133">
        <v>5.2230817751992742E-5</v>
      </c>
      <c r="J668" s="133">
        <v>5.2230817751992742E-5</v>
      </c>
      <c r="K668" s="133">
        <v>7.4238606013929024E-5</v>
      </c>
      <c r="L668" s="133">
        <v>1.6989628209302093E-4</v>
      </c>
      <c r="M668" s="45">
        <v>22.277064343012853</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186F-85A6-4ACD-9201-2E8B3A3B5EE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0.65196455187598623</v>
      </c>
      <c r="G5" s="133">
        <v>0.58733378267743985</v>
      </c>
      <c r="H5" s="133">
        <v>0.75140131252685172</v>
      </c>
      <c r="I5" s="133">
        <v>0.19301326746300607</v>
      </c>
      <c r="J5" s="133">
        <v>0.19301326746300607</v>
      </c>
      <c r="K5" s="133">
        <v>1.9023062192508985E-2</v>
      </c>
      <c r="L5" s="133">
        <v>1.9192202027992062</v>
      </c>
      <c r="M5" s="45">
        <v>10924.043433319617</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1.565836093561478E-2</v>
      </c>
      <c r="G7" s="133">
        <v>1.1274509028522103E-2</v>
      </c>
      <c r="H7" s="133">
        <v>1.6902731168885271E-2</v>
      </c>
      <c r="I7" s="133">
        <v>5.2058282582600601E-3</v>
      </c>
      <c r="J7" s="133">
        <v>5.2058282582600601E-3</v>
      </c>
      <c r="K7" s="133">
        <v>3.6020584102838056E-4</v>
      </c>
      <c r="L7" s="133">
        <v>5.5386657785457358E-2</v>
      </c>
      <c r="M7" s="45">
        <v>218.1904965393343</v>
      </c>
    </row>
    <row r="8" spans="1:13" x14ac:dyDescent="0.25">
      <c r="A8" s="812" t="s">
        <v>1996</v>
      </c>
      <c r="B8" s="812">
        <v>1</v>
      </c>
      <c r="C8" s="608">
        <v>39470</v>
      </c>
      <c r="D8" s="812">
        <v>99705</v>
      </c>
      <c r="E8" s="812" t="s">
        <v>1599</v>
      </c>
      <c r="F8" s="133">
        <v>2.7171330724138274</v>
      </c>
      <c r="G8" s="133">
        <v>0.56737907172834601</v>
      </c>
      <c r="H8" s="133">
        <v>0.96220635156119705</v>
      </c>
      <c r="I8" s="133">
        <v>0.82322140699810231</v>
      </c>
      <c r="J8" s="133">
        <v>0.82322140699810231</v>
      </c>
      <c r="K8" s="133">
        <v>3.7008583470511905E-2</v>
      </c>
      <c r="L8" s="133">
        <v>8.8591706042458558</v>
      </c>
      <c r="M8" s="45">
        <v>11662.421999579803</v>
      </c>
    </row>
    <row r="9" spans="1:13" x14ac:dyDescent="0.25">
      <c r="A9" s="812" t="s">
        <v>1996</v>
      </c>
      <c r="B9" s="812">
        <v>1</v>
      </c>
      <c r="C9" s="608">
        <v>39470</v>
      </c>
      <c r="D9" s="812">
        <v>99709</v>
      </c>
      <c r="E9" s="812" t="s">
        <v>1600</v>
      </c>
      <c r="F9" s="133">
        <v>2.5387386636649705</v>
      </c>
      <c r="G9" s="133">
        <v>0.69540640621542549</v>
      </c>
      <c r="H9" s="133">
        <v>1.1554315232004204</v>
      </c>
      <c r="I9" s="133">
        <v>0.6901905713023786</v>
      </c>
      <c r="J9" s="133">
        <v>0.6901905713023786</v>
      </c>
      <c r="K9" s="133">
        <v>3.5083800807060118E-2</v>
      </c>
      <c r="L9" s="133">
        <v>7.1527859641587668</v>
      </c>
      <c r="M9" s="45">
        <v>14243.223106517846</v>
      </c>
    </row>
    <row r="10" spans="1:13" x14ac:dyDescent="0.25">
      <c r="A10" s="812" t="s">
        <v>1996</v>
      </c>
      <c r="B10" s="812">
        <v>1</v>
      </c>
      <c r="C10" s="608">
        <v>39470</v>
      </c>
      <c r="D10" s="812">
        <v>99712</v>
      </c>
      <c r="E10" s="812" t="s">
        <v>1601</v>
      </c>
      <c r="F10" s="133">
        <v>1.4951432193325596</v>
      </c>
      <c r="G10" s="133">
        <v>0.25791606667456568</v>
      </c>
      <c r="H10" s="133">
        <v>0.46620125235081089</v>
      </c>
      <c r="I10" s="133">
        <v>0.40519675019349288</v>
      </c>
      <c r="J10" s="133">
        <v>0.40519675019349288</v>
      </c>
      <c r="K10" s="133">
        <v>1.8705766740494078E-2</v>
      </c>
      <c r="L10" s="133">
        <v>4.232390661914196</v>
      </c>
      <c r="M10" s="45">
        <v>5379.3910933940724</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5.3923530370450668E-5</v>
      </c>
      <c r="G22" s="133">
        <v>1.2831828945220134E-3</v>
      </c>
      <c r="H22" s="133">
        <v>7.6604699077603548E-4</v>
      </c>
      <c r="I22" s="133">
        <v>4.2733987818157891E-5</v>
      </c>
      <c r="J22" s="133">
        <v>4.2733987818157891E-5</v>
      </c>
      <c r="K22" s="133">
        <v>4.1699392268210361E-5</v>
      </c>
      <c r="L22" s="133">
        <v>1.0737535013684905E-4</v>
      </c>
      <c r="M22" s="45">
        <v>20.734550851149979</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0.90320283029478576</v>
      </c>
      <c r="G24" s="133">
        <v>0.76850202883515861</v>
      </c>
      <c r="H24" s="133">
        <v>0.97948627581939873</v>
      </c>
      <c r="I24" s="133">
        <v>0.26034568062239583</v>
      </c>
      <c r="J24" s="133">
        <v>0.26034568062239583</v>
      </c>
      <c r="K24" s="133">
        <v>2.1970905565130653E-2</v>
      </c>
      <c r="L24" s="133">
        <v>2.5838989439811919</v>
      </c>
      <c r="M24" s="45">
        <v>14127.666564240131</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2.1232769430575109E-2</v>
      </c>
      <c r="G26" s="133">
        <v>1.4709101264712672E-2</v>
      </c>
      <c r="H26" s="133">
        <v>2.1929624811577609E-2</v>
      </c>
      <c r="I26" s="133">
        <v>6.9512360370316316E-3</v>
      </c>
      <c r="J26" s="133">
        <v>6.9512360370316316E-3</v>
      </c>
      <c r="K26" s="133">
        <v>4.3276218665469816E-4</v>
      </c>
      <c r="L26" s="133">
        <v>7.4155815362423938E-2</v>
      </c>
      <c r="M26" s="45">
        <v>281.86039158182547</v>
      </c>
    </row>
    <row r="27" spans="1:13" x14ac:dyDescent="0.25">
      <c r="A27" s="812" t="s">
        <v>1996</v>
      </c>
      <c r="B27" s="812">
        <v>2</v>
      </c>
      <c r="C27" s="608">
        <v>39471</v>
      </c>
      <c r="D27" s="812">
        <v>99705</v>
      </c>
      <c r="E27" s="812" t="s">
        <v>1599</v>
      </c>
      <c r="F27" s="133">
        <v>3.6681059830407587</v>
      </c>
      <c r="G27" s="133">
        <v>0.74115791581468793</v>
      </c>
      <c r="H27" s="133">
        <v>1.2511894868044433</v>
      </c>
      <c r="I27" s="133">
        <v>1.1004889865801233</v>
      </c>
      <c r="J27" s="133">
        <v>1.1004889865801233</v>
      </c>
      <c r="K27" s="133">
        <v>4.9085309750489567E-2</v>
      </c>
      <c r="L27" s="133">
        <v>11.92378445260732</v>
      </c>
      <c r="M27" s="45">
        <v>15147.26424201846</v>
      </c>
    </row>
    <row r="28" spans="1:13" x14ac:dyDescent="0.25">
      <c r="A28" s="812" t="s">
        <v>1996</v>
      </c>
      <c r="B28" s="812">
        <v>2</v>
      </c>
      <c r="C28" s="608">
        <v>39471</v>
      </c>
      <c r="D28" s="812">
        <v>99709</v>
      </c>
      <c r="E28" s="812" t="s">
        <v>1600</v>
      </c>
      <c r="F28" s="133">
        <v>3.3859668911829099</v>
      </c>
      <c r="G28" s="133">
        <v>0.88654155144550584</v>
      </c>
      <c r="H28" s="133">
        <v>1.4594502560459703</v>
      </c>
      <c r="I28" s="133">
        <v>0.90132501375971408</v>
      </c>
      <c r="J28" s="133">
        <v>0.90132501375971408</v>
      </c>
      <c r="K28" s="133">
        <v>4.4253105990672469E-2</v>
      </c>
      <c r="L28" s="133">
        <v>9.3089782876352718</v>
      </c>
      <c r="M28" s="45">
        <v>18006.761911798614</v>
      </c>
    </row>
    <row r="29" spans="1:13" x14ac:dyDescent="0.25">
      <c r="A29" s="812" t="s">
        <v>1996</v>
      </c>
      <c r="B29" s="812">
        <v>2</v>
      </c>
      <c r="C29" s="608">
        <v>39471</v>
      </c>
      <c r="D29" s="812">
        <v>99712</v>
      </c>
      <c r="E29" s="812" t="s">
        <v>1601</v>
      </c>
      <c r="F29" s="133">
        <v>1.8864298970174451</v>
      </c>
      <c r="G29" s="133">
        <v>0.31311506359662783</v>
      </c>
      <c r="H29" s="133">
        <v>0.56177396346766895</v>
      </c>
      <c r="I29" s="133">
        <v>0.50299078496414562</v>
      </c>
      <c r="J29" s="133">
        <v>0.50299078496414562</v>
      </c>
      <c r="K29" s="133">
        <v>2.3173579690772977E-2</v>
      </c>
      <c r="L29" s="133">
        <v>5.2483674859414684</v>
      </c>
      <c r="M29" s="45">
        <v>6496.1311924637666</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7.0632116386153831E-5</v>
      </c>
      <c r="G41" s="133">
        <v>1.704998530262065E-3</v>
      </c>
      <c r="H41" s="133">
        <v>1.064205029478692E-3</v>
      </c>
      <c r="I41" s="133">
        <v>5.3433976476658614E-5</v>
      </c>
      <c r="J41" s="133">
        <v>5.3433976476658614E-5</v>
      </c>
      <c r="K41" s="133">
        <v>4.2273446659738926E-5</v>
      </c>
      <c r="L41" s="133">
        <v>1.1787025567939517E-4</v>
      </c>
      <c r="M41" s="45">
        <v>27.22582480114966</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0.82442609996307004</v>
      </c>
      <c r="G43" s="133">
        <v>0.73761026533608987</v>
      </c>
      <c r="H43" s="133">
        <v>0.92604341211877772</v>
      </c>
      <c r="I43" s="133">
        <v>0.23982562195193599</v>
      </c>
      <c r="J43" s="133">
        <v>0.23982562195193599</v>
      </c>
      <c r="K43" s="133">
        <v>2.1072335539099585E-2</v>
      </c>
      <c r="L43" s="133">
        <v>2.3751565925588407</v>
      </c>
      <c r="M43" s="45">
        <v>13508.146014357146</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1.9571992066939114E-2</v>
      </c>
      <c r="G45" s="133">
        <v>1.4032611551189757E-2</v>
      </c>
      <c r="H45" s="133">
        <v>2.0677226658066261E-2</v>
      </c>
      <c r="I45" s="133">
        <v>6.440766859936272E-3</v>
      </c>
      <c r="J45" s="133">
        <v>6.440766859936272E-3</v>
      </c>
      <c r="K45" s="133">
        <v>4.1168087874202705E-4</v>
      </c>
      <c r="L45" s="133">
        <v>6.8568181950107582E-2</v>
      </c>
      <c r="M45" s="45">
        <v>267.92781277566411</v>
      </c>
    </row>
    <row r="46" spans="1:13" x14ac:dyDescent="0.25">
      <c r="A46" s="812" t="s">
        <v>1996</v>
      </c>
      <c r="B46" s="812">
        <v>3</v>
      </c>
      <c r="C46" s="608">
        <v>39472</v>
      </c>
      <c r="D46" s="812">
        <v>99705</v>
      </c>
      <c r="E46" s="812" t="s">
        <v>1599</v>
      </c>
      <c r="F46" s="133">
        <v>3.3949886722360434</v>
      </c>
      <c r="G46" s="133">
        <v>0.6961996324764137</v>
      </c>
      <c r="H46" s="133">
        <v>1.1715802075509909</v>
      </c>
      <c r="I46" s="133">
        <v>1.0211360179416205</v>
      </c>
      <c r="J46" s="133">
        <v>1.0211360179416205</v>
      </c>
      <c r="K46" s="133">
        <v>4.5626303100332666E-2</v>
      </c>
      <c r="L46" s="133">
        <v>11.046296799715869</v>
      </c>
      <c r="M46" s="45">
        <v>14222.385328619141</v>
      </c>
    </row>
    <row r="47" spans="1:13" x14ac:dyDescent="0.25">
      <c r="A47" s="812" t="s">
        <v>1996</v>
      </c>
      <c r="B47" s="812">
        <v>3</v>
      </c>
      <c r="C47" s="608">
        <v>39472</v>
      </c>
      <c r="D47" s="812">
        <v>99709</v>
      </c>
      <c r="E47" s="812" t="s">
        <v>1600</v>
      </c>
      <c r="F47" s="133">
        <v>3.0071449477211778</v>
      </c>
      <c r="G47" s="133">
        <v>0.82353516553185302</v>
      </c>
      <c r="H47" s="133">
        <v>1.3412506870311056</v>
      </c>
      <c r="I47" s="133">
        <v>0.80710348658182429</v>
      </c>
      <c r="J47" s="133">
        <v>0.80710348658182429</v>
      </c>
      <c r="K47" s="133">
        <v>4.0181404722564845E-2</v>
      </c>
      <c r="L47" s="133">
        <v>8.3399733733877461</v>
      </c>
      <c r="M47" s="45">
        <v>16673.981314032149</v>
      </c>
    </row>
    <row r="48" spans="1:13" x14ac:dyDescent="0.25">
      <c r="A48" s="812" t="s">
        <v>1996</v>
      </c>
      <c r="B48" s="812">
        <v>3</v>
      </c>
      <c r="C48" s="608">
        <v>39472</v>
      </c>
      <c r="D48" s="812">
        <v>99712</v>
      </c>
      <c r="E48" s="812" t="s">
        <v>1601</v>
      </c>
      <c r="F48" s="133">
        <v>1.7009327086562072</v>
      </c>
      <c r="G48" s="133">
        <v>0.28942400460134243</v>
      </c>
      <c r="H48" s="133">
        <v>0.51859248650774514</v>
      </c>
      <c r="I48" s="133">
        <v>0.45655892658586261</v>
      </c>
      <c r="J48" s="133">
        <v>0.45655892658586261</v>
      </c>
      <c r="K48" s="133">
        <v>2.1051993520398674E-2</v>
      </c>
      <c r="L48" s="133">
        <v>4.7646451371800582</v>
      </c>
      <c r="M48" s="45">
        <v>6006.8805107066974</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6.9179195863049205E-5</v>
      </c>
      <c r="G60" s="133">
        <v>1.6683189097629308E-3</v>
      </c>
      <c r="H60" s="133">
        <v>1.0382782435045482E-3</v>
      </c>
      <c r="I60" s="133">
        <v>5.2503542680267269E-5</v>
      </c>
      <c r="J60" s="133">
        <v>5.2503542680267269E-5</v>
      </c>
      <c r="K60" s="133">
        <v>4.2223528886562535E-5</v>
      </c>
      <c r="L60" s="133">
        <v>1.1695765519743466E-4</v>
      </c>
      <c r="M60" s="45">
        <v>26.661366196801865</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1.1471948109604875</v>
      </c>
      <c r="G62" s="133">
        <v>0.92253228464723214</v>
      </c>
      <c r="H62" s="133">
        <v>1.1921145916361302</v>
      </c>
      <c r="I62" s="133">
        <v>0.32865980499427927</v>
      </c>
      <c r="J62" s="133">
        <v>0.32865980499427927</v>
      </c>
      <c r="K62" s="133">
        <v>2.4922239468087276E-2</v>
      </c>
      <c r="L62" s="133">
        <v>3.2856492425385735</v>
      </c>
      <c r="M62" s="45">
        <v>16947.436193060184</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2.6820189256927588E-2</v>
      </c>
      <c r="G64" s="133">
        <v>1.78430662125738E-2</v>
      </c>
      <c r="H64" s="133">
        <v>2.6908026400721458E-2</v>
      </c>
      <c r="I64" s="133">
        <v>8.7946762047223671E-3</v>
      </c>
      <c r="J64" s="133">
        <v>8.7946762047223671E-3</v>
      </c>
      <c r="K64" s="133">
        <v>5.0787218427263191E-4</v>
      </c>
      <c r="L64" s="133">
        <v>9.467661434126802E-2</v>
      </c>
      <c r="M64" s="45">
        <v>342.11885570976187</v>
      </c>
    </row>
    <row r="65" spans="1:13" x14ac:dyDescent="0.25">
      <c r="A65" s="812" t="s">
        <v>1996</v>
      </c>
      <c r="B65" s="812">
        <v>4</v>
      </c>
      <c r="C65" s="608">
        <v>39473</v>
      </c>
      <c r="D65" s="812">
        <v>99705</v>
      </c>
      <c r="E65" s="812" t="s">
        <v>1599</v>
      </c>
      <c r="F65" s="133">
        <v>4.4717129454944402</v>
      </c>
      <c r="G65" s="133">
        <v>0.89814264686591627</v>
      </c>
      <c r="H65" s="133">
        <v>1.5149397106264837</v>
      </c>
      <c r="I65" s="133">
        <v>1.3526172674459545</v>
      </c>
      <c r="J65" s="133">
        <v>1.3526172674459545</v>
      </c>
      <c r="K65" s="133">
        <v>6.0012943770956208E-2</v>
      </c>
      <c r="L65" s="133">
        <v>14.823004831219963</v>
      </c>
      <c r="M65" s="45">
        <v>18310.797150385752</v>
      </c>
    </row>
    <row r="66" spans="1:13" x14ac:dyDescent="0.25">
      <c r="A66" s="812" t="s">
        <v>1996</v>
      </c>
      <c r="B66" s="812">
        <v>4</v>
      </c>
      <c r="C66" s="608">
        <v>39473</v>
      </c>
      <c r="D66" s="812">
        <v>99709</v>
      </c>
      <c r="E66" s="812" t="s">
        <v>1600</v>
      </c>
      <c r="F66" s="133">
        <v>4.0124542254530207</v>
      </c>
      <c r="G66" s="133">
        <v>1.0387875582200556</v>
      </c>
      <c r="H66" s="133">
        <v>1.7034783975762386</v>
      </c>
      <c r="I66" s="133">
        <v>1.0710985141493956</v>
      </c>
      <c r="J66" s="133">
        <v>1.0710985141493956</v>
      </c>
      <c r="K66" s="133">
        <v>5.147265439775555E-2</v>
      </c>
      <c r="L66" s="133">
        <v>11.126611379574008</v>
      </c>
      <c r="M66" s="45">
        <v>21021.444380522571</v>
      </c>
    </row>
    <row r="67" spans="1:13" x14ac:dyDescent="0.25">
      <c r="A67" s="812" t="s">
        <v>1996</v>
      </c>
      <c r="B67" s="812">
        <v>4</v>
      </c>
      <c r="C67" s="608">
        <v>39473</v>
      </c>
      <c r="D67" s="812">
        <v>99712</v>
      </c>
      <c r="E67" s="812" t="s">
        <v>1601</v>
      </c>
      <c r="F67" s="133">
        <v>2.2233332184516996</v>
      </c>
      <c r="G67" s="133">
        <v>0.36635784505749081</v>
      </c>
      <c r="H67" s="133">
        <v>0.65521913909725615</v>
      </c>
      <c r="I67" s="133">
        <v>0.59492450375303252</v>
      </c>
      <c r="J67" s="133">
        <v>0.59492450375303252</v>
      </c>
      <c r="K67" s="133">
        <v>2.7323055020636654E-2</v>
      </c>
      <c r="L67" s="133">
        <v>6.2540908265840249</v>
      </c>
      <c r="M67" s="45">
        <v>7580.7450384078793</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8.2981940832543082E-5</v>
      </c>
      <c r="G79" s="133">
        <v>2.0167753045047115E-3</v>
      </c>
      <c r="H79" s="133">
        <v>1.2845827102589166E-3</v>
      </c>
      <c r="I79" s="133">
        <v>6.1342663745985241E-5</v>
      </c>
      <c r="J79" s="133">
        <v>6.1342663745985241E-5</v>
      </c>
      <c r="K79" s="133">
        <v>4.2697747731738304E-5</v>
      </c>
      <c r="L79" s="133">
        <v>1.256273597760597E-4</v>
      </c>
      <c r="M79" s="45">
        <v>32.023722938105948</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1.0206357561490731</v>
      </c>
      <c r="G81" s="133">
        <v>0.85484227820036307</v>
      </c>
      <c r="H81" s="133">
        <v>1.0946619927791246</v>
      </c>
      <c r="I81" s="133">
        <v>0.29584829575341287</v>
      </c>
      <c r="J81" s="133">
        <v>0.29584829575341287</v>
      </c>
      <c r="K81" s="133">
        <v>2.3472323154148142E-2</v>
      </c>
      <c r="L81" s="133">
        <v>2.9592245952256677</v>
      </c>
      <c r="M81" s="45">
        <v>15689.392873447867</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2.432049493933032E-2</v>
      </c>
      <c r="G83" s="133">
        <v>1.6529423828829284E-2</v>
      </c>
      <c r="H83" s="133">
        <v>2.4796688813731278E-2</v>
      </c>
      <c r="I83" s="133">
        <v>8.0166386712567407E-3</v>
      </c>
      <c r="J83" s="133">
        <v>8.0166386712567407E-3</v>
      </c>
      <c r="K83" s="133">
        <v>4.7577088564435796E-4</v>
      </c>
      <c r="L83" s="133">
        <v>8.6240239555782278E-2</v>
      </c>
      <c r="M83" s="45">
        <v>316.76116417759727</v>
      </c>
    </row>
    <row r="84" spans="1:13" x14ac:dyDescent="0.25">
      <c r="A84" s="812" t="s">
        <v>1996</v>
      </c>
      <c r="B84" s="812">
        <v>5</v>
      </c>
      <c r="C84" s="608">
        <v>39474</v>
      </c>
      <c r="D84" s="812">
        <v>99705</v>
      </c>
      <c r="E84" s="812" t="s">
        <v>1599</v>
      </c>
      <c r="F84" s="133">
        <v>4.0559619055053568</v>
      </c>
      <c r="G84" s="133">
        <v>0.82434783608229156</v>
      </c>
      <c r="H84" s="133">
        <v>1.3886065259254921</v>
      </c>
      <c r="I84" s="133">
        <v>1.2306022240185044</v>
      </c>
      <c r="J84" s="133">
        <v>1.2306022240185044</v>
      </c>
      <c r="K84" s="133">
        <v>5.4689694310486925E-2</v>
      </c>
      <c r="L84" s="133">
        <v>13.469907875461745</v>
      </c>
      <c r="M84" s="45">
        <v>16814.940364925478</v>
      </c>
    </row>
    <row r="85" spans="1:13" x14ac:dyDescent="0.25">
      <c r="A85" s="812" t="s">
        <v>1996</v>
      </c>
      <c r="B85" s="812">
        <v>5</v>
      </c>
      <c r="C85" s="608">
        <v>39474</v>
      </c>
      <c r="D85" s="812">
        <v>99709</v>
      </c>
      <c r="E85" s="812" t="s">
        <v>1600</v>
      </c>
      <c r="F85" s="133">
        <v>3.4543729029791974</v>
      </c>
      <c r="G85" s="133">
        <v>0.94003044972687899</v>
      </c>
      <c r="H85" s="133">
        <v>1.5332726716005187</v>
      </c>
      <c r="I85" s="133">
        <v>0.93293999737637501</v>
      </c>
      <c r="J85" s="133">
        <v>0.93293999737637501</v>
      </c>
      <c r="K85" s="133">
        <v>4.5480271647863724E-2</v>
      </c>
      <c r="L85" s="133">
        <v>9.7103588127693143</v>
      </c>
      <c r="M85" s="45">
        <v>19006.584740074039</v>
      </c>
    </row>
    <row r="86" spans="1:13" x14ac:dyDescent="0.25">
      <c r="A86" s="812" t="s">
        <v>1996</v>
      </c>
      <c r="B86" s="812">
        <v>5</v>
      </c>
      <c r="C86" s="608">
        <v>39474</v>
      </c>
      <c r="D86" s="812">
        <v>99712</v>
      </c>
      <c r="E86" s="812" t="s">
        <v>1601</v>
      </c>
      <c r="F86" s="133">
        <v>1.814750759490031</v>
      </c>
      <c r="G86" s="133">
        <v>0.31243676901804857</v>
      </c>
      <c r="H86" s="133">
        <v>0.55741269379278602</v>
      </c>
      <c r="I86" s="133">
        <v>0.49184398750581215</v>
      </c>
      <c r="J86" s="133">
        <v>0.49184398750581215</v>
      </c>
      <c r="K86" s="133">
        <v>2.2631314289584842E-2</v>
      </c>
      <c r="L86" s="133">
        <v>5.1768985095815996</v>
      </c>
      <c r="M86" s="45">
        <v>6468.5514928355697</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7.7896719001676909E-5</v>
      </c>
      <c r="G98" s="133">
        <v>1.8883966327577393E-3</v>
      </c>
      <c r="H98" s="133">
        <v>1.1938389593494124E-3</v>
      </c>
      <c r="I98" s="133">
        <v>5.8086145458615468E-5</v>
      </c>
      <c r="J98" s="133">
        <v>5.8086145458615468E-5</v>
      </c>
      <c r="K98" s="133">
        <v>4.2523035525620903E-5</v>
      </c>
      <c r="L98" s="133">
        <v>1.2243325808919783E-4</v>
      </c>
      <c r="M98" s="45">
        <v>30.048117822888653</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0.88395698055370486</v>
      </c>
      <c r="G100" s="133">
        <v>0.75338409111902105</v>
      </c>
      <c r="H100" s="133">
        <v>0.96108487095181971</v>
      </c>
      <c r="I100" s="133">
        <v>0.25509040341779265</v>
      </c>
      <c r="J100" s="133">
        <v>0.25509040341779265</v>
      </c>
      <c r="K100" s="133">
        <v>2.1742393779830851E-2</v>
      </c>
      <c r="L100" s="133">
        <v>2.5319411560504501</v>
      </c>
      <c r="M100" s="45">
        <v>13863.382786959504</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2.1003370687557348E-2</v>
      </c>
      <c r="G102" s="133">
        <v>1.4507063743040647E-2</v>
      </c>
      <c r="H102" s="133">
        <v>2.1704406514905343E-2</v>
      </c>
      <c r="I102" s="133">
        <v>6.8799850079239557E-3</v>
      </c>
      <c r="J102" s="133">
        <v>6.8799850079239557E-3</v>
      </c>
      <c r="K102" s="133">
        <v>4.295623313123431E-4</v>
      </c>
      <c r="L102" s="133">
        <v>7.3414701633619156E-2</v>
      </c>
      <c r="M102" s="45">
        <v>278.49518248552329</v>
      </c>
    </row>
    <row r="103" spans="1:13" x14ac:dyDescent="0.25">
      <c r="A103" s="812" t="s">
        <v>1996</v>
      </c>
      <c r="B103" s="812">
        <v>6</v>
      </c>
      <c r="C103" s="608">
        <v>39475</v>
      </c>
      <c r="D103" s="812">
        <v>99705</v>
      </c>
      <c r="E103" s="812" t="s">
        <v>1599</v>
      </c>
      <c r="F103" s="133">
        <v>3.64991160688768</v>
      </c>
      <c r="G103" s="133">
        <v>0.73642590269041641</v>
      </c>
      <c r="H103" s="133">
        <v>1.2446161000895275</v>
      </c>
      <c r="I103" s="133">
        <v>1.0958622498294268</v>
      </c>
      <c r="J103" s="133">
        <v>1.0958622498294268</v>
      </c>
      <c r="K103" s="133">
        <v>4.884614232650511E-2</v>
      </c>
      <c r="L103" s="133">
        <v>11.875632739444793</v>
      </c>
      <c r="M103" s="45">
        <v>15061.352893546271</v>
      </c>
    </row>
    <row r="104" spans="1:13" x14ac:dyDescent="0.25">
      <c r="A104" s="812" t="s">
        <v>1996</v>
      </c>
      <c r="B104" s="812">
        <v>6</v>
      </c>
      <c r="C104" s="608">
        <v>39475</v>
      </c>
      <c r="D104" s="812">
        <v>99709</v>
      </c>
      <c r="E104" s="812" t="s">
        <v>1600</v>
      </c>
      <c r="F104" s="133">
        <v>3.1263152092398294</v>
      </c>
      <c r="G104" s="133">
        <v>0.84239099958716313</v>
      </c>
      <c r="H104" s="133">
        <v>1.3797683808844401</v>
      </c>
      <c r="I104" s="133">
        <v>0.83561522758734186</v>
      </c>
      <c r="J104" s="133">
        <v>0.83561522758734186</v>
      </c>
      <c r="K104" s="133">
        <v>4.1428581055108077E-2</v>
      </c>
      <c r="L104" s="133">
        <v>8.6272033004789144</v>
      </c>
      <c r="M104" s="45">
        <v>17087.139183804949</v>
      </c>
    </row>
    <row r="105" spans="1:13" x14ac:dyDescent="0.25">
      <c r="A105" s="812" t="s">
        <v>1996</v>
      </c>
      <c r="B105" s="812">
        <v>6</v>
      </c>
      <c r="C105" s="608">
        <v>39475</v>
      </c>
      <c r="D105" s="812">
        <v>99712</v>
      </c>
      <c r="E105" s="812" t="s">
        <v>1601</v>
      </c>
      <c r="F105" s="133">
        <v>1.709340388207272</v>
      </c>
      <c r="G105" s="133">
        <v>0.28902003217182959</v>
      </c>
      <c r="H105" s="133">
        <v>0.51813967656816762</v>
      </c>
      <c r="I105" s="133">
        <v>0.45663446147645831</v>
      </c>
      <c r="J105" s="133">
        <v>0.45663446147645831</v>
      </c>
      <c r="K105" s="133">
        <v>2.1089438525259192E-2</v>
      </c>
      <c r="L105" s="133">
        <v>4.7553674378815316</v>
      </c>
      <c r="M105" s="45">
        <v>5998.4124668542854</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6.9179195863049191E-5</v>
      </c>
      <c r="G117" s="133">
        <v>1.6683189097629295E-3</v>
      </c>
      <c r="H117" s="133">
        <v>1.038278243504548E-3</v>
      </c>
      <c r="I117" s="133">
        <v>5.2503542680267242E-5</v>
      </c>
      <c r="J117" s="133">
        <v>5.2503542680267242E-5</v>
      </c>
      <c r="K117" s="133">
        <v>4.2223528886562521E-5</v>
      </c>
      <c r="L117" s="133">
        <v>1.1695765519743464E-4</v>
      </c>
      <c r="M117" s="45">
        <v>26.661366196801865</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0.99241722768988327</v>
      </c>
      <c r="G119" s="133">
        <v>0.82673793816133101</v>
      </c>
      <c r="H119" s="133">
        <v>1.0558520284811015</v>
      </c>
      <c r="I119" s="133">
        <v>0.28387461708735839</v>
      </c>
      <c r="J119" s="133">
        <v>0.28387461708735839</v>
      </c>
      <c r="K119" s="133">
        <v>2.3006666502231932E-2</v>
      </c>
      <c r="L119" s="133">
        <v>2.8163061536638874</v>
      </c>
      <c r="M119" s="45">
        <v>15172.523440204635</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2.3324508386083537E-2</v>
      </c>
      <c r="G121" s="133">
        <v>1.5899974929209009E-2</v>
      </c>
      <c r="H121" s="133">
        <v>2.3777992615005131E-2</v>
      </c>
      <c r="I121" s="133">
        <v>7.6063518802514333E-3</v>
      </c>
      <c r="J121" s="133">
        <v>7.6063518802514333E-3</v>
      </c>
      <c r="K121" s="133">
        <v>4.5968365649534247E-4</v>
      </c>
      <c r="L121" s="133">
        <v>8.1238371067783449E-2</v>
      </c>
      <c r="M121" s="45">
        <v>304.50367745810104</v>
      </c>
    </row>
    <row r="122" spans="1:13" x14ac:dyDescent="0.25">
      <c r="A122" s="812" t="s">
        <v>1996</v>
      </c>
      <c r="B122" s="812">
        <v>7</v>
      </c>
      <c r="C122" s="608">
        <v>39476</v>
      </c>
      <c r="D122" s="812">
        <v>99705</v>
      </c>
      <c r="E122" s="812" t="s">
        <v>1599</v>
      </c>
      <c r="F122" s="133">
        <v>3.9962633707084687</v>
      </c>
      <c r="G122" s="133">
        <v>0.80082725798233523</v>
      </c>
      <c r="H122" s="133">
        <v>1.3512634298638315</v>
      </c>
      <c r="I122" s="133">
        <v>1.1972075136034426</v>
      </c>
      <c r="J122" s="133">
        <v>1.1972075136034426</v>
      </c>
      <c r="K122" s="133">
        <v>5.326281057118238E-2</v>
      </c>
      <c r="L122" s="133">
        <v>12.997139290105956</v>
      </c>
      <c r="M122" s="45">
        <v>16350.165351351568</v>
      </c>
    </row>
    <row r="123" spans="1:13" x14ac:dyDescent="0.25">
      <c r="A123" s="812" t="s">
        <v>1996</v>
      </c>
      <c r="B123" s="812">
        <v>7</v>
      </c>
      <c r="C123" s="608">
        <v>39476</v>
      </c>
      <c r="D123" s="812">
        <v>99709</v>
      </c>
      <c r="E123" s="812" t="s">
        <v>1600</v>
      </c>
      <c r="F123" s="133">
        <v>3.4954900137594276</v>
      </c>
      <c r="G123" s="133">
        <v>0.92295961290759077</v>
      </c>
      <c r="H123" s="133">
        <v>1.5102561148629325</v>
      </c>
      <c r="I123" s="133">
        <v>0.9275510274116836</v>
      </c>
      <c r="J123" s="133">
        <v>0.9275510274116836</v>
      </c>
      <c r="K123" s="133">
        <v>4.5440325457043053E-2</v>
      </c>
      <c r="L123" s="133">
        <v>9.566889825867344</v>
      </c>
      <c r="M123" s="45">
        <v>18683.830358603911</v>
      </c>
    </row>
    <row r="124" spans="1:13" x14ac:dyDescent="0.25">
      <c r="A124" s="812" t="s">
        <v>1996</v>
      </c>
      <c r="B124" s="812">
        <v>7</v>
      </c>
      <c r="C124" s="608">
        <v>39476</v>
      </c>
      <c r="D124" s="812">
        <v>99712</v>
      </c>
      <c r="E124" s="812" t="s">
        <v>1601</v>
      </c>
      <c r="F124" s="133">
        <v>1.8795642966540638</v>
      </c>
      <c r="G124" s="133">
        <v>0.31319132753833734</v>
      </c>
      <c r="H124" s="133">
        <v>0.56006738887161012</v>
      </c>
      <c r="I124" s="133">
        <v>0.49998855364246841</v>
      </c>
      <c r="J124" s="133">
        <v>0.49998855364246841</v>
      </c>
      <c r="K124" s="133">
        <v>2.305886488418183E-2</v>
      </c>
      <c r="L124" s="133">
        <v>5.2101072489588267</v>
      </c>
      <c r="M124" s="45">
        <v>6488.2113842708814</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7.571733821701999E-5</v>
      </c>
      <c r="G136" s="133">
        <v>1.8333772020090371E-3</v>
      </c>
      <c r="H136" s="133">
        <v>1.1549487803881966E-3</v>
      </c>
      <c r="I136" s="133">
        <v>5.6690494764028413E-5</v>
      </c>
      <c r="J136" s="133">
        <v>5.6690494764028413E-5</v>
      </c>
      <c r="K136" s="133">
        <v>4.244815886585632E-5</v>
      </c>
      <c r="L136" s="133">
        <v>1.2106435736625708E-4</v>
      </c>
      <c r="M136" s="45">
        <v>29.201429916366955</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1.0469778067832818</v>
      </c>
      <c r="G138" s="133">
        <v>0.82631406211533032</v>
      </c>
      <c r="H138" s="133">
        <v>1.0776256832567819</v>
      </c>
      <c r="I138" s="133">
        <v>0.29757305427609598</v>
      </c>
      <c r="J138" s="133">
        <v>0.29757305427609598</v>
      </c>
      <c r="K138" s="133">
        <v>2.3607329518877038E-2</v>
      </c>
      <c r="L138" s="133">
        <v>2.9609374483152004</v>
      </c>
      <c r="M138" s="45">
        <v>15277.265631328799</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2.4440174721937238E-2</v>
      </c>
      <c r="G140" s="133">
        <v>1.6058645022058504E-2</v>
      </c>
      <c r="H140" s="133">
        <v>2.4434778170147088E-2</v>
      </c>
      <c r="I140" s="133">
        <v>7.9433882567752686E-3</v>
      </c>
      <c r="J140" s="133">
        <v>7.9433882567752686E-3</v>
      </c>
      <c r="K140" s="133">
        <v>4.7326826539869482E-4</v>
      </c>
      <c r="L140" s="133">
        <v>8.502049028340225E-2</v>
      </c>
      <c r="M140" s="45">
        <v>309.70425729077863</v>
      </c>
    </row>
    <row r="141" spans="1:13" x14ac:dyDescent="0.25">
      <c r="A141" s="812" t="s">
        <v>1996</v>
      </c>
      <c r="B141" s="812">
        <v>8</v>
      </c>
      <c r="C141" s="608">
        <v>39477</v>
      </c>
      <c r="D141" s="812">
        <v>99705</v>
      </c>
      <c r="E141" s="812" t="s">
        <v>1599</v>
      </c>
      <c r="F141" s="133">
        <v>4.1415829226465046</v>
      </c>
      <c r="G141" s="133">
        <v>0.82081306696580303</v>
      </c>
      <c r="H141" s="133">
        <v>1.3913323879679016</v>
      </c>
      <c r="I141" s="133">
        <v>1.2397953534830557</v>
      </c>
      <c r="J141" s="133">
        <v>1.2397953534830557</v>
      </c>
      <c r="K141" s="133">
        <v>5.5119770702217991E-2</v>
      </c>
      <c r="L141" s="133">
        <v>13.471138681755084</v>
      </c>
      <c r="M141" s="45">
        <v>16783.775438085704</v>
      </c>
    </row>
    <row r="142" spans="1:13" x14ac:dyDescent="0.25">
      <c r="A142" s="812" t="s">
        <v>1996</v>
      </c>
      <c r="B142" s="812">
        <v>8</v>
      </c>
      <c r="C142" s="608">
        <v>39477</v>
      </c>
      <c r="D142" s="812">
        <v>99709</v>
      </c>
      <c r="E142" s="812" t="s">
        <v>1600</v>
      </c>
      <c r="F142" s="133">
        <v>3.6841135431490795</v>
      </c>
      <c r="G142" s="133">
        <v>0.94358239780096087</v>
      </c>
      <c r="H142" s="133">
        <v>1.561156555341582</v>
      </c>
      <c r="I142" s="133">
        <v>0.97385535072480267</v>
      </c>
      <c r="J142" s="133">
        <v>0.97385535072480267</v>
      </c>
      <c r="K142" s="133">
        <v>4.7455194991132481E-2</v>
      </c>
      <c r="L142" s="133">
        <v>10.043622409814283</v>
      </c>
      <c r="M142" s="45">
        <v>19180.837392837657</v>
      </c>
    </row>
    <row r="143" spans="1:13" x14ac:dyDescent="0.25">
      <c r="A143" s="812" t="s">
        <v>1996</v>
      </c>
      <c r="B143" s="812">
        <v>8</v>
      </c>
      <c r="C143" s="608">
        <v>39477</v>
      </c>
      <c r="D143" s="812">
        <v>99712</v>
      </c>
      <c r="E143" s="812" t="s">
        <v>1601</v>
      </c>
      <c r="F143" s="133">
        <v>1.9763343771980668</v>
      </c>
      <c r="G143" s="133">
        <v>0.32477733985036633</v>
      </c>
      <c r="H143" s="133">
        <v>0.58248813258860388</v>
      </c>
      <c r="I143" s="133">
        <v>0.52432122082789734</v>
      </c>
      <c r="J143" s="133">
        <v>0.52432122082789734</v>
      </c>
      <c r="K143" s="133">
        <v>2.4166388320577242E-2</v>
      </c>
      <c r="L143" s="133">
        <v>5.4643030625855422</v>
      </c>
      <c r="M143" s="45">
        <v>6733.7179951781491</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7.3537957432363057E-5</v>
      </c>
      <c r="G155" s="133">
        <v>1.7783577712603346E-3</v>
      </c>
      <c r="H155" s="133">
        <v>1.1160586014269801E-3</v>
      </c>
      <c r="I155" s="133">
        <v>5.5294844069441338E-5</v>
      </c>
      <c r="J155" s="133">
        <v>5.5294844069441338E-5</v>
      </c>
      <c r="K155" s="133">
        <v>4.2373282206091709E-5</v>
      </c>
      <c r="L155" s="133">
        <v>1.1969545664331622E-4</v>
      </c>
      <c r="M155" s="45">
        <v>28.354742009845257</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0.98911031791593085</v>
      </c>
      <c r="G157" s="133">
        <v>0.75659305811190258</v>
      </c>
      <c r="H157" s="133">
        <v>1.006028942141818</v>
      </c>
      <c r="I157" s="133">
        <v>0.28169909960341244</v>
      </c>
      <c r="J157" s="133">
        <v>0.28169909960341244</v>
      </c>
      <c r="K157" s="133">
        <v>2.2906731057017637E-2</v>
      </c>
      <c r="L157" s="133">
        <v>2.8124204862523126</v>
      </c>
      <c r="M157" s="45">
        <v>14126.02259093336</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2.3127350563534037E-2</v>
      </c>
      <c r="G159" s="133">
        <v>1.4827988121039829E-2</v>
      </c>
      <c r="H159" s="133">
        <v>2.2914242499839373E-2</v>
      </c>
      <c r="I159" s="133">
        <v>7.5172233166626665E-3</v>
      </c>
      <c r="J159" s="133">
        <v>7.5172233166626665E-3</v>
      </c>
      <c r="K159" s="133">
        <v>4.5571720114719375E-4</v>
      </c>
      <c r="L159" s="133">
        <v>8.0545061304107046E-2</v>
      </c>
      <c r="M159" s="45">
        <v>288.37054605211131</v>
      </c>
    </row>
    <row r="160" spans="1:13" x14ac:dyDescent="0.25">
      <c r="A160" s="812" t="s">
        <v>1996</v>
      </c>
      <c r="B160" s="812">
        <v>9</v>
      </c>
      <c r="C160" s="608">
        <v>39478</v>
      </c>
      <c r="D160" s="812">
        <v>99705</v>
      </c>
      <c r="E160" s="812" t="s">
        <v>1599</v>
      </c>
      <c r="F160" s="133">
        <v>4.0454658815983331</v>
      </c>
      <c r="G160" s="133">
        <v>0.79321942038717241</v>
      </c>
      <c r="H160" s="133">
        <v>1.3542773960124945</v>
      </c>
      <c r="I160" s="133">
        <v>1.2107116046663402</v>
      </c>
      <c r="J160" s="133">
        <v>1.2107116046663402</v>
      </c>
      <c r="K160" s="133">
        <v>5.387049485671299E-2</v>
      </c>
      <c r="L160" s="133">
        <v>13.148430241470582</v>
      </c>
      <c r="M160" s="45">
        <v>16272.384688176116</v>
      </c>
    </row>
    <row r="161" spans="1:13" x14ac:dyDescent="0.25">
      <c r="A161" s="812" t="s">
        <v>1996</v>
      </c>
      <c r="B161" s="812">
        <v>9</v>
      </c>
      <c r="C161" s="608">
        <v>39478</v>
      </c>
      <c r="D161" s="812">
        <v>99709</v>
      </c>
      <c r="E161" s="812" t="s">
        <v>1600</v>
      </c>
      <c r="F161" s="133">
        <v>3.7006999540821872</v>
      </c>
      <c r="G161" s="133">
        <v>0.91294292061275351</v>
      </c>
      <c r="H161" s="133">
        <v>1.533435427045382</v>
      </c>
      <c r="I161" s="133">
        <v>0.9784454557915151</v>
      </c>
      <c r="J161" s="133">
        <v>0.9784454557915151</v>
      </c>
      <c r="K161" s="133">
        <v>4.7608222338014275E-2</v>
      </c>
      <c r="L161" s="133">
        <v>10.105569314374398</v>
      </c>
      <c r="M161" s="45">
        <v>18689.320047829042</v>
      </c>
    </row>
    <row r="162" spans="1:13" x14ac:dyDescent="0.25">
      <c r="A162" s="812" t="s">
        <v>1996</v>
      </c>
      <c r="B162" s="812">
        <v>9</v>
      </c>
      <c r="C162" s="608">
        <v>39478</v>
      </c>
      <c r="D162" s="812">
        <v>99712</v>
      </c>
      <c r="E162" s="812" t="s">
        <v>1601</v>
      </c>
      <c r="F162" s="133">
        <v>2.1263902510094024</v>
      </c>
      <c r="G162" s="133">
        <v>0.34123259410739526</v>
      </c>
      <c r="H162" s="133">
        <v>0.61598789680815913</v>
      </c>
      <c r="I162" s="133">
        <v>0.56271022405338977</v>
      </c>
      <c r="J162" s="133">
        <v>0.56271022405338977</v>
      </c>
      <c r="K162" s="133">
        <v>2.5904815193014113E-2</v>
      </c>
      <c r="L162" s="133">
        <v>5.8694187323019591</v>
      </c>
      <c r="M162" s="45">
        <v>7090.436726980508</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6.5546894555287632E-5</v>
      </c>
      <c r="G174" s="133">
        <v>1.5766198585150928E-3</v>
      </c>
      <c r="H174" s="133">
        <v>9.7346127856918813E-4</v>
      </c>
      <c r="I174" s="133">
        <v>5.0177458189288828E-5</v>
      </c>
      <c r="J174" s="133">
        <v>5.0177458189288828E-5</v>
      </c>
      <c r="K174" s="133">
        <v>4.2098734453621533E-5</v>
      </c>
      <c r="L174" s="133">
        <v>1.1467615399253331E-4</v>
      </c>
      <c r="M174" s="45">
        <v>25.250219685932368</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0.90206978355963718</v>
      </c>
      <c r="G176" s="133">
        <v>0.7286289940646633</v>
      </c>
      <c r="H176" s="133">
        <v>0.95147774255193096</v>
      </c>
      <c r="I176" s="133">
        <v>0.25929984411252416</v>
      </c>
      <c r="J176" s="133">
        <v>0.25929984411252416</v>
      </c>
      <c r="K176" s="133">
        <v>2.192261223460798E-2</v>
      </c>
      <c r="L176" s="133">
        <v>2.5837256755291342</v>
      </c>
      <c r="M176" s="45">
        <v>13534.328433427125</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2.1152394306885251E-2</v>
      </c>
      <c r="G178" s="133">
        <v>1.4124809363481653E-2</v>
      </c>
      <c r="H178" s="133">
        <v>2.1501243006639473E-2</v>
      </c>
      <c r="I178" s="133">
        <v>6.9133998900154049E-3</v>
      </c>
      <c r="J178" s="133">
        <v>6.9133998900154049E-3</v>
      </c>
      <c r="K178" s="133">
        <v>4.3078123687011937E-4</v>
      </c>
      <c r="L178" s="133">
        <v>7.3907727193417427E-2</v>
      </c>
      <c r="M178" s="45">
        <v>273.29936371421422</v>
      </c>
    </row>
    <row r="179" spans="1:13" x14ac:dyDescent="0.25">
      <c r="A179" s="812" t="s">
        <v>1996</v>
      </c>
      <c r="B179" s="812">
        <v>10</v>
      </c>
      <c r="C179" s="608">
        <v>39479</v>
      </c>
      <c r="D179" s="812">
        <v>99705</v>
      </c>
      <c r="E179" s="812" t="s">
        <v>1599</v>
      </c>
      <c r="F179" s="133">
        <v>3.6434641514313717</v>
      </c>
      <c r="G179" s="133">
        <v>0.72920248860129488</v>
      </c>
      <c r="H179" s="133">
        <v>1.2386756833426198</v>
      </c>
      <c r="I179" s="133">
        <v>1.0940823749086555</v>
      </c>
      <c r="J179" s="133">
        <v>1.0940823749086555</v>
      </c>
      <c r="K179" s="133">
        <v>4.8788688898458908E-2</v>
      </c>
      <c r="L179" s="133">
        <v>11.858900482975013</v>
      </c>
      <c r="M179" s="45">
        <v>14944.352746379804</v>
      </c>
    </row>
    <row r="180" spans="1:13" x14ac:dyDescent="0.25">
      <c r="A180" s="812" t="s">
        <v>1996</v>
      </c>
      <c r="B180" s="812">
        <v>10</v>
      </c>
      <c r="C180" s="608">
        <v>39479</v>
      </c>
      <c r="D180" s="812">
        <v>99709</v>
      </c>
      <c r="E180" s="812" t="s">
        <v>1600</v>
      </c>
      <c r="F180" s="133">
        <v>3.3465983779677928</v>
      </c>
      <c r="G180" s="133">
        <v>0.85875421543696762</v>
      </c>
      <c r="H180" s="133">
        <v>1.4301693015313459</v>
      </c>
      <c r="I180" s="133">
        <v>0.891402315458941</v>
      </c>
      <c r="J180" s="133">
        <v>0.891402315458941</v>
      </c>
      <c r="K180" s="133">
        <v>4.3808292356539998E-2</v>
      </c>
      <c r="L180" s="133">
        <v>9.2136935117076071</v>
      </c>
      <c r="M180" s="45">
        <v>17536.023895104514</v>
      </c>
    </row>
    <row r="181" spans="1:13" x14ac:dyDescent="0.25">
      <c r="A181" s="812" t="s">
        <v>1996</v>
      </c>
      <c r="B181" s="812">
        <v>10</v>
      </c>
      <c r="C181" s="608">
        <v>39479</v>
      </c>
      <c r="D181" s="812">
        <v>99712</v>
      </c>
      <c r="E181" s="812" t="s">
        <v>1601</v>
      </c>
      <c r="F181" s="133">
        <v>1.8986074322775564</v>
      </c>
      <c r="G181" s="133">
        <v>0.31267724349462644</v>
      </c>
      <c r="H181" s="133">
        <v>0.5634280432071922</v>
      </c>
      <c r="I181" s="133">
        <v>0.50601011832689202</v>
      </c>
      <c r="J181" s="133">
        <v>0.50601011832689202</v>
      </c>
      <c r="K181" s="133">
        <v>2.3309490620794748E-2</v>
      </c>
      <c r="L181" s="133">
        <v>5.2802282438104493</v>
      </c>
      <c r="M181" s="45">
        <v>6498.5470546560582</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6.4820434293735353E-5</v>
      </c>
      <c r="G193" s="133">
        <v>1.5582800482655255E-3</v>
      </c>
      <c r="H193" s="133">
        <v>9.6049788558211636E-4</v>
      </c>
      <c r="I193" s="133">
        <v>4.9712241291093159E-5</v>
      </c>
      <c r="J193" s="133">
        <v>4.9712241291093159E-5</v>
      </c>
      <c r="K193" s="133">
        <v>4.2073775567033347E-5</v>
      </c>
      <c r="L193" s="133">
        <v>1.1421985375155307E-4</v>
      </c>
      <c r="M193" s="45">
        <v>24.967990383758469</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0.87366960029272933</v>
      </c>
      <c r="G195" s="133">
        <v>0.77563583792420543</v>
      </c>
      <c r="H195" s="133">
        <v>0.97945460676661211</v>
      </c>
      <c r="I195" s="133">
        <v>0.25683561116874787</v>
      </c>
      <c r="J195" s="133">
        <v>0.25683561116874787</v>
      </c>
      <c r="K195" s="133">
        <v>2.1769378594303238E-2</v>
      </c>
      <c r="L195" s="133">
        <v>2.5664220679846692</v>
      </c>
      <c r="M195" s="45">
        <v>14210.678022772101</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2.0860833136712977E-2</v>
      </c>
      <c r="G197" s="133">
        <v>1.4827989246124008E-2</v>
      </c>
      <c r="H197" s="133">
        <v>2.1950388352551219E-2</v>
      </c>
      <c r="I197" s="133">
        <v>6.942408675510236E-3</v>
      </c>
      <c r="J197" s="133">
        <v>6.942408675510236E-3</v>
      </c>
      <c r="K197" s="133">
        <v>4.3155437854373407E-4</v>
      </c>
      <c r="L197" s="133">
        <v>7.4556750285692364E-2</v>
      </c>
      <c r="M197" s="45">
        <v>283.32303561820697</v>
      </c>
    </row>
    <row r="198" spans="1:13" x14ac:dyDescent="0.25">
      <c r="A198" s="812" t="s">
        <v>1996</v>
      </c>
      <c r="B198" s="812">
        <v>11</v>
      </c>
      <c r="C198" s="608">
        <v>39480</v>
      </c>
      <c r="D198" s="812">
        <v>99705</v>
      </c>
      <c r="E198" s="812" t="s">
        <v>1599</v>
      </c>
      <c r="F198" s="133">
        <v>3.6633263186562992</v>
      </c>
      <c r="G198" s="133">
        <v>0.75430263820467758</v>
      </c>
      <c r="H198" s="133">
        <v>1.2705092228311512</v>
      </c>
      <c r="I198" s="133">
        <v>1.1163946650776226</v>
      </c>
      <c r="J198" s="133">
        <v>1.1163946650776226</v>
      </c>
      <c r="K198" s="133">
        <v>4.9707273563669239E-2</v>
      </c>
      <c r="L198" s="133">
        <v>12.207967086114536</v>
      </c>
      <c r="M198" s="45">
        <v>15402.816489320992</v>
      </c>
    </row>
    <row r="199" spans="1:13" x14ac:dyDescent="0.25">
      <c r="A199" s="812" t="s">
        <v>1996</v>
      </c>
      <c r="B199" s="812">
        <v>11</v>
      </c>
      <c r="C199" s="608">
        <v>39480</v>
      </c>
      <c r="D199" s="812">
        <v>99709</v>
      </c>
      <c r="E199" s="812" t="s">
        <v>1600</v>
      </c>
      <c r="F199" s="133">
        <v>3.1540626893094368</v>
      </c>
      <c r="G199" s="133">
        <v>0.86920100120735699</v>
      </c>
      <c r="H199" s="133">
        <v>1.4165479417712465</v>
      </c>
      <c r="I199" s="133">
        <v>0.85839121754841519</v>
      </c>
      <c r="J199" s="133">
        <v>0.85839121754841519</v>
      </c>
      <c r="K199" s="133">
        <v>4.2231088537681843E-2</v>
      </c>
      <c r="L199" s="133">
        <v>8.9523024482383402</v>
      </c>
      <c r="M199" s="45">
        <v>17594.582829896346</v>
      </c>
    </row>
    <row r="200" spans="1:13" x14ac:dyDescent="0.25">
      <c r="A200" s="812" t="s">
        <v>1996</v>
      </c>
      <c r="B200" s="812">
        <v>11</v>
      </c>
      <c r="C200" s="608">
        <v>39480</v>
      </c>
      <c r="D200" s="812">
        <v>99712</v>
      </c>
      <c r="E200" s="812" t="s">
        <v>1601</v>
      </c>
      <c r="F200" s="133">
        <v>1.7801968641698633</v>
      </c>
      <c r="G200" s="133">
        <v>0.30703182117959388</v>
      </c>
      <c r="H200" s="133">
        <v>0.54958280596818776</v>
      </c>
      <c r="I200" s="133">
        <v>0.48457293816210956</v>
      </c>
      <c r="J200" s="133">
        <v>0.48457293816210956</v>
      </c>
      <c r="K200" s="133">
        <v>2.227450713478956E-2</v>
      </c>
      <c r="L200" s="133">
        <v>5.1086074679942071</v>
      </c>
      <c r="M200" s="45">
        <v>6367.3390896712372</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7.2085036909258458E-5</v>
      </c>
      <c r="G212" s="133">
        <v>1.7416781507612002E-3</v>
      </c>
      <c r="H212" s="133">
        <v>1.0901318154528364E-3</v>
      </c>
      <c r="I212" s="133">
        <v>5.436441027305E-5</v>
      </c>
      <c r="J212" s="133">
        <v>5.436441027305E-5</v>
      </c>
      <c r="K212" s="133">
        <v>4.2323364432915331E-5</v>
      </c>
      <c r="L212" s="133">
        <v>1.1878285616135573E-4</v>
      </c>
      <c r="M212" s="45">
        <v>27.790283405497462</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1.028428405355867</v>
      </c>
      <c r="G214" s="133">
        <v>0.86611276763746536</v>
      </c>
      <c r="H214" s="133">
        <v>1.1047040260467125</v>
      </c>
      <c r="I214" s="133">
        <v>0.29752645220695212</v>
      </c>
      <c r="J214" s="133">
        <v>0.29752645220695212</v>
      </c>
      <c r="K214" s="133">
        <v>2.3558144315606225E-2</v>
      </c>
      <c r="L214" s="133">
        <v>2.9714962364369857</v>
      </c>
      <c r="M214" s="45">
        <v>15867.381284568006</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2.4102914671331823E-2</v>
      </c>
      <c r="G216" s="133">
        <v>1.6590619329539407E-2</v>
      </c>
      <c r="H216" s="133">
        <v>2.4718644638216682E-2</v>
      </c>
      <c r="I216" s="133">
        <v>7.9520614826393762E-3</v>
      </c>
      <c r="J216" s="133">
        <v>7.9520614826393762E-3</v>
      </c>
      <c r="K216" s="133">
        <v>4.733378436315882E-4</v>
      </c>
      <c r="L216" s="133">
        <v>8.5484065583703001E-2</v>
      </c>
      <c r="M216" s="45">
        <v>317.00117544865299</v>
      </c>
    </row>
    <row r="217" spans="1:13" x14ac:dyDescent="0.25">
      <c r="A217" s="812" t="s">
        <v>1996</v>
      </c>
      <c r="B217" s="812">
        <v>12</v>
      </c>
      <c r="C217" s="608">
        <v>39481</v>
      </c>
      <c r="D217" s="812">
        <v>99705</v>
      </c>
      <c r="E217" s="812" t="s">
        <v>1599</v>
      </c>
      <c r="F217" s="133">
        <v>4.1138910964198887</v>
      </c>
      <c r="G217" s="133">
        <v>0.83629814157136961</v>
      </c>
      <c r="H217" s="133">
        <v>1.4082911091774803</v>
      </c>
      <c r="I217" s="133">
        <v>1.2479401827836152</v>
      </c>
      <c r="J217" s="133">
        <v>1.2479401827836152</v>
      </c>
      <c r="K217" s="133">
        <v>5.5456283846276586E-2</v>
      </c>
      <c r="L217" s="133">
        <v>13.663198398843916</v>
      </c>
      <c r="M217" s="45">
        <v>17052.153042447266</v>
      </c>
    </row>
    <row r="218" spans="1:13" x14ac:dyDescent="0.25">
      <c r="A218" s="812" t="s">
        <v>1996</v>
      </c>
      <c r="B218" s="812">
        <v>12</v>
      </c>
      <c r="C218" s="608">
        <v>39481</v>
      </c>
      <c r="D218" s="812">
        <v>99709</v>
      </c>
      <c r="E218" s="812" t="s">
        <v>1600</v>
      </c>
      <c r="F218" s="133">
        <v>3.7865373659817356</v>
      </c>
      <c r="G218" s="133">
        <v>0.98816225123342671</v>
      </c>
      <c r="H218" s="133">
        <v>1.6176865669813714</v>
      </c>
      <c r="I218" s="133">
        <v>1.0149059945769787</v>
      </c>
      <c r="J218" s="133">
        <v>1.0149059945769787</v>
      </c>
      <c r="K218" s="133">
        <v>4.9040460596887069E-2</v>
      </c>
      <c r="L218" s="133">
        <v>10.553925497233063</v>
      </c>
      <c r="M218" s="45">
        <v>19999.161593578381</v>
      </c>
    </row>
    <row r="219" spans="1:13" x14ac:dyDescent="0.25">
      <c r="A219" s="812" t="s">
        <v>1996</v>
      </c>
      <c r="B219" s="812">
        <v>12</v>
      </c>
      <c r="C219" s="608">
        <v>39481</v>
      </c>
      <c r="D219" s="812">
        <v>99712</v>
      </c>
      <c r="E219" s="812" t="s">
        <v>1601</v>
      </c>
      <c r="F219" s="133">
        <v>2.1383679925326722</v>
      </c>
      <c r="G219" s="133">
        <v>0.35430662900394294</v>
      </c>
      <c r="H219" s="133">
        <v>0.63417629673603293</v>
      </c>
      <c r="I219" s="133">
        <v>0.57386995360042659</v>
      </c>
      <c r="J219" s="133">
        <v>0.57386995360042659</v>
      </c>
      <c r="K219" s="133">
        <v>2.6359180856477003E-2</v>
      </c>
      <c r="L219" s="133">
        <v>6.0363942656718574</v>
      </c>
      <c r="M219" s="45">
        <v>7336.1916704637488</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7.9349639524781563E-5</v>
      </c>
      <c r="G231" s="133">
        <v>1.9250762532568748E-3</v>
      </c>
      <c r="H231" s="133">
        <v>1.2197657453235568E-3</v>
      </c>
      <c r="I231" s="133">
        <v>5.9016579255006827E-5</v>
      </c>
      <c r="J231" s="133">
        <v>5.9016579255006827E-5</v>
      </c>
      <c r="K231" s="133">
        <v>4.2572953298797308E-5</v>
      </c>
      <c r="L231" s="133">
        <v>1.2334585857115842E-4</v>
      </c>
      <c r="M231" s="45">
        <v>30.612576427236451</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1.1756862900563747</v>
      </c>
      <c r="G233" s="133">
        <v>0.93500331742334264</v>
      </c>
      <c r="H233" s="133">
        <v>1.2053971992538759</v>
      </c>
      <c r="I233" s="133">
        <v>0.33233050171399653</v>
      </c>
      <c r="J233" s="133">
        <v>0.33233050171399653</v>
      </c>
      <c r="K233" s="133">
        <v>2.513100482178653E-2</v>
      </c>
      <c r="L233" s="133">
        <v>3.2997160791179017</v>
      </c>
      <c r="M233" s="45">
        <v>17153.508244607488</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2.7336932353558503E-2</v>
      </c>
      <c r="G235" s="133">
        <v>1.8055542428205833E-2</v>
      </c>
      <c r="H235" s="133">
        <v>2.718738940814687E-2</v>
      </c>
      <c r="I235" s="133">
        <v>8.8553477277426157E-3</v>
      </c>
      <c r="J235" s="133">
        <v>8.8553477277426157E-3</v>
      </c>
      <c r="K235" s="133">
        <v>5.1134699212837954E-4</v>
      </c>
      <c r="L235" s="133">
        <v>9.4763974028321929E-2</v>
      </c>
      <c r="M235" s="45">
        <v>345.81751488296692</v>
      </c>
    </row>
    <row r="236" spans="1:13" x14ac:dyDescent="0.25">
      <c r="A236" s="812" t="s">
        <v>1996</v>
      </c>
      <c r="B236" s="812">
        <v>13</v>
      </c>
      <c r="C236" s="608">
        <v>39482</v>
      </c>
      <c r="D236" s="812">
        <v>99705</v>
      </c>
      <c r="E236" s="812" t="s">
        <v>1599</v>
      </c>
      <c r="F236" s="133">
        <v>4.6170436089558304</v>
      </c>
      <c r="G236" s="133">
        <v>0.91140763551575721</v>
      </c>
      <c r="H236" s="133">
        <v>1.5384250846560141</v>
      </c>
      <c r="I236" s="133">
        <v>1.378407394269787</v>
      </c>
      <c r="J236" s="133">
        <v>1.378407394269787</v>
      </c>
      <c r="K236" s="133">
        <v>6.1157652957386212E-2</v>
      </c>
      <c r="L236" s="133">
        <v>15.001913035466181</v>
      </c>
      <c r="M236" s="45">
        <v>18583.138138473783</v>
      </c>
    </row>
    <row r="237" spans="1:13" x14ac:dyDescent="0.25">
      <c r="A237" s="812" t="s">
        <v>1996</v>
      </c>
      <c r="B237" s="812">
        <v>13</v>
      </c>
      <c r="C237" s="608">
        <v>39482</v>
      </c>
      <c r="D237" s="812">
        <v>99709</v>
      </c>
      <c r="E237" s="812" t="s">
        <v>1600</v>
      </c>
      <c r="F237" s="133">
        <v>4.159620676190019</v>
      </c>
      <c r="G237" s="133">
        <v>1.0540737933606683</v>
      </c>
      <c r="H237" s="133">
        <v>1.7297264220765429</v>
      </c>
      <c r="I237" s="133">
        <v>1.0926504338866188</v>
      </c>
      <c r="J237" s="133">
        <v>1.0926504338866188</v>
      </c>
      <c r="K237" s="133">
        <v>5.2612416200258319E-2</v>
      </c>
      <c r="L237" s="133">
        <v>11.257882052751354</v>
      </c>
      <c r="M237" s="45">
        <v>21322.132746615986</v>
      </c>
    </row>
    <row r="238" spans="1:13" x14ac:dyDescent="0.25">
      <c r="A238" s="812" t="s">
        <v>1996</v>
      </c>
      <c r="B238" s="812">
        <v>13</v>
      </c>
      <c r="C238" s="608">
        <v>39482</v>
      </c>
      <c r="D238" s="812">
        <v>99712</v>
      </c>
      <c r="E238" s="812" t="s">
        <v>1601</v>
      </c>
      <c r="F238" s="133">
        <v>2.2585486937079962</v>
      </c>
      <c r="G238" s="133">
        <v>0.36447471044373375</v>
      </c>
      <c r="H238" s="133">
        <v>0.65165991910180876</v>
      </c>
      <c r="I238" s="133">
        <v>0.59520418638263706</v>
      </c>
      <c r="J238" s="133">
        <v>0.59520418638263706</v>
      </c>
      <c r="K238" s="133">
        <v>2.7397805253645709E-2</v>
      </c>
      <c r="L238" s="133">
        <v>6.2025110656457318</v>
      </c>
      <c r="M238" s="45">
        <v>7539.1846237012305</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8.4434861355647722E-5</v>
      </c>
      <c r="G250" s="133">
        <v>2.0534549250038467E-3</v>
      </c>
      <c r="H250" s="133">
        <v>1.3105094962330614E-3</v>
      </c>
      <c r="I250" s="133">
        <v>6.227309754237662E-5</v>
      </c>
      <c r="J250" s="133">
        <v>6.227309754237662E-5</v>
      </c>
      <c r="K250" s="133">
        <v>4.2747665504914695E-5</v>
      </c>
      <c r="L250" s="133">
        <v>1.2653996025802024E-4</v>
      </c>
      <c r="M250" s="45">
        <v>32.588181542453746</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1.2043195502934041</v>
      </c>
      <c r="G252" s="133">
        <v>0.94764521961356885</v>
      </c>
      <c r="H252" s="133">
        <v>1.2258834829646668</v>
      </c>
      <c r="I252" s="133">
        <v>0.33985194314550776</v>
      </c>
      <c r="J252" s="133">
        <v>0.33985194314550776</v>
      </c>
      <c r="K252" s="133">
        <v>2.5459672866741424E-2</v>
      </c>
      <c r="L252" s="133">
        <v>3.3760417395037527</v>
      </c>
      <c r="M252" s="45">
        <v>17400.061240792216</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2.8047316443856669E-2</v>
      </c>
      <c r="G254" s="133">
        <v>1.8365590476862176E-2</v>
      </c>
      <c r="H254" s="133">
        <v>2.7755167077193877E-2</v>
      </c>
      <c r="I254" s="133">
        <v>9.0758597387387511E-3</v>
      </c>
      <c r="J254" s="133">
        <v>9.0758597387387511E-3</v>
      </c>
      <c r="K254" s="133">
        <v>5.2031088846797742E-4</v>
      </c>
      <c r="L254" s="133">
        <v>9.7177019167943982E-2</v>
      </c>
      <c r="M254" s="45">
        <v>352.1743753002753</v>
      </c>
    </row>
    <row r="255" spans="1:13" x14ac:dyDescent="0.25">
      <c r="A255" s="812" t="s">
        <v>1996</v>
      </c>
      <c r="B255" s="812">
        <v>14</v>
      </c>
      <c r="C255" s="608">
        <v>39483</v>
      </c>
      <c r="D255" s="812">
        <v>99705</v>
      </c>
      <c r="E255" s="812" t="s">
        <v>1599</v>
      </c>
      <c r="F255" s="133">
        <v>4.725108586598104</v>
      </c>
      <c r="G255" s="133">
        <v>0.92971666848170209</v>
      </c>
      <c r="H255" s="133">
        <v>1.5704925818112145</v>
      </c>
      <c r="I255" s="133">
        <v>1.4103107089829674</v>
      </c>
      <c r="J255" s="133">
        <v>1.4103107089829674</v>
      </c>
      <c r="K255" s="133">
        <v>6.2535967884247048E-2</v>
      </c>
      <c r="L255" s="133">
        <v>15.356694394076012</v>
      </c>
      <c r="M255" s="45">
        <v>18958.817927723478</v>
      </c>
    </row>
    <row r="256" spans="1:13" x14ac:dyDescent="0.25">
      <c r="A256" s="812" t="s">
        <v>1996</v>
      </c>
      <c r="B256" s="812">
        <v>14</v>
      </c>
      <c r="C256" s="608">
        <v>39483</v>
      </c>
      <c r="D256" s="812">
        <v>99709</v>
      </c>
      <c r="E256" s="812" t="s">
        <v>1600</v>
      </c>
      <c r="F256" s="133">
        <v>4.1452237304365358</v>
      </c>
      <c r="G256" s="133">
        <v>1.056856163323491</v>
      </c>
      <c r="H256" s="133">
        <v>1.733605611156757</v>
      </c>
      <c r="I256" s="133">
        <v>1.0888340310145941</v>
      </c>
      <c r="J256" s="133">
        <v>1.0888340310145941</v>
      </c>
      <c r="K256" s="133">
        <v>5.2468908797112468E-2</v>
      </c>
      <c r="L256" s="133">
        <v>11.215255016802624</v>
      </c>
      <c r="M256" s="45">
        <v>21370.918175772138</v>
      </c>
    </row>
    <row r="257" spans="1:13" x14ac:dyDescent="0.25">
      <c r="A257" s="812" t="s">
        <v>1996</v>
      </c>
      <c r="B257" s="812">
        <v>14</v>
      </c>
      <c r="C257" s="608">
        <v>39483</v>
      </c>
      <c r="D257" s="812">
        <v>99712</v>
      </c>
      <c r="E257" s="812" t="s">
        <v>1601</v>
      </c>
      <c r="F257" s="133">
        <v>2.1884485844107897</v>
      </c>
      <c r="G257" s="133">
        <v>0.35634315855261728</v>
      </c>
      <c r="H257" s="133">
        <v>0.63625970071308735</v>
      </c>
      <c r="I257" s="133">
        <v>0.57818082949961624</v>
      </c>
      <c r="J257" s="133">
        <v>0.57818082949961624</v>
      </c>
      <c r="K257" s="133">
        <v>2.6612145449411546E-2</v>
      </c>
      <c r="L257" s="133">
        <v>6.0276596462225926</v>
      </c>
      <c r="M257" s="45">
        <v>7368.8919677030281</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8.5161321617200028E-5</v>
      </c>
      <c r="G269" s="133">
        <v>2.0717947352534133E-3</v>
      </c>
      <c r="H269" s="133">
        <v>1.3234728892201324E-3</v>
      </c>
      <c r="I269" s="133">
        <v>6.2738314440572289E-5</v>
      </c>
      <c r="J269" s="133">
        <v>6.2738314440572289E-5</v>
      </c>
      <c r="K269" s="133">
        <v>4.2772624391502887E-5</v>
      </c>
      <c r="L269" s="133">
        <v>1.2699626049900051E-4</v>
      </c>
      <c r="M269" s="45">
        <v>32.870410844627642</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1.235403767468753</v>
      </c>
      <c r="G271" s="133">
        <v>0.95599209707152299</v>
      </c>
      <c r="H271" s="133">
        <v>1.2443929926390376</v>
      </c>
      <c r="I271" s="133">
        <v>0.34792777333247132</v>
      </c>
      <c r="J271" s="133">
        <v>0.34792777333247132</v>
      </c>
      <c r="K271" s="133">
        <v>2.581197574235948E-2</v>
      </c>
      <c r="L271" s="133">
        <v>3.4594850535404076</v>
      </c>
      <c r="M271" s="45">
        <v>17587.991744263614</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2.8675809061700752E-2</v>
      </c>
      <c r="G273" s="133">
        <v>1.8562186096416997E-2</v>
      </c>
      <c r="H273" s="133">
        <v>2.8178135296720416E-2</v>
      </c>
      <c r="I273" s="133">
        <v>9.2665850155002009E-3</v>
      </c>
      <c r="J273" s="133">
        <v>9.2665850155002009E-3</v>
      </c>
      <c r="K273" s="133">
        <v>5.2824090371894248E-4</v>
      </c>
      <c r="L273" s="133">
        <v>9.9279160642051903E-2</v>
      </c>
      <c r="M273" s="45">
        <v>356.53427767439604</v>
      </c>
    </row>
    <row r="274" spans="1:13" x14ac:dyDescent="0.25">
      <c r="A274" s="812" t="s">
        <v>1996</v>
      </c>
      <c r="B274" s="812">
        <v>15</v>
      </c>
      <c r="C274" s="608">
        <v>39484</v>
      </c>
      <c r="D274" s="812">
        <v>99705</v>
      </c>
      <c r="E274" s="812" t="s">
        <v>1599</v>
      </c>
      <c r="F274" s="133">
        <v>4.8470643268781721</v>
      </c>
      <c r="G274" s="133">
        <v>0.94915598632567533</v>
      </c>
      <c r="H274" s="133">
        <v>1.606021861106363</v>
      </c>
      <c r="I274" s="133">
        <v>1.4460068491243148</v>
      </c>
      <c r="J274" s="133">
        <v>1.4460068491243148</v>
      </c>
      <c r="K274" s="133">
        <v>6.4097176815551243E-2</v>
      </c>
      <c r="L274" s="133">
        <v>15.752959027560509</v>
      </c>
      <c r="M274" s="45">
        <v>19363.492971415035</v>
      </c>
    </row>
    <row r="275" spans="1:13" x14ac:dyDescent="0.25">
      <c r="A275" s="812" t="s">
        <v>1996</v>
      </c>
      <c r="B275" s="812">
        <v>15</v>
      </c>
      <c r="C275" s="608">
        <v>39484</v>
      </c>
      <c r="D275" s="812">
        <v>99709</v>
      </c>
      <c r="E275" s="812" t="s">
        <v>1600</v>
      </c>
      <c r="F275" s="133">
        <v>4.2544172349893739</v>
      </c>
      <c r="G275" s="133">
        <v>1.0736087216903896</v>
      </c>
      <c r="H275" s="133">
        <v>1.7675040013591556</v>
      </c>
      <c r="I275" s="133">
        <v>1.1150063259822178</v>
      </c>
      <c r="J275" s="133">
        <v>1.1150063259822178</v>
      </c>
      <c r="K275" s="133">
        <v>5.3618297424770346E-2</v>
      </c>
      <c r="L275" s="133">
        <v>11.479476991651255</v>
      </c>
      <c r="M275" s="45">
        <v>21736.263122929129</v>
      </c>
    </row>
    <row r="276" spans="1:13" x14ac:dyDescent="0.25">
      <c r="A276" s="812" t="s">
        <v>1996</v>
      </c>
      <c r="B276" s="812">
        <v>15</v>
      </c>
      <c r="C276" s="608">
        <v>39484</v>
      </c>
      <c r="D276" s="812">
        <v>99712</v>
      </c>
      <c r="E276" s="812" t="s">
        <v>1601</v>
      </c>
      <c r="F276" s="133">
        <v>2.2115382578047047</v>
      </c>
      <c r="G276" s="133">
        <v>0.35833191473146286</v>
      </c>
      <c r="H276" s="133">
        <v>0.64010285638384901</v>
      </c>
      <c r="I276" s="133">
        <v>0.58272871166462059</v>
      </c>
      <c r="J276" s="133">
        <v>0.58272871166462059</v>
      </c>
      <c r="K276" s="133">
        <v>2.6840896347260685E-2</v>
      </c>
      <c r="L276" s="133">
        <v>6.068970406126593</v>
      </c>
      <c r="M276" s="45">
        <v>7410.0793203124704</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8.5161321617200042E-5</v>
      </c>
      <c r="G288" s="133">
        <v>2.0717947352534138E-3</v>
      </c>
      <c r="H288" s="133">
        <v>1.3234728892201331E-3</v>
      </c>
      <c r="I288" s="133">
        <v>6.2738314440572302E-5</v>
      </c>
      <c r="J288" s="133">
        <v>6.2738314440572302E-5</v>
      </c>
      <c r="K288" s="133">
        <v>4.2772624391502901E-5</v>
      </c>
      <c r="L288" s="133">
        <v>1.2699626049900053E-4</v>
      </c>
      <c r="M288" s="45">
        <v>32.870410844627642</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1.2494193417163733</v>
      </c>
      <c r="G290" s="133">
        <v>0.96456559800549957</v>
      </c>
      <c r="H290" s="133">
        <v>1.2558832942098281</v>
      </c>
      <c r="I290" s="133">
        <v>0.35155659197508105</v>
      </c>
      <c r="J290" s="133">
        <v>0.35155659197508105</v>
      </c>
      <c r="K290" s="133">
        <v>2.5973038219443897E-2</v>
      </c>
      <c r="L290" s="133">
        <v>3.4951700659996834</v>
      </c>
      <c r="M290" s="45">
        <v>17743.018245011557</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2.8936306529914874E-2</v>
      </c>
      <c r="G292" s="133">
        <v>1.8714290812540092E-2</v>
      </c>
      <c r="H292" s="133">
        <v>2.8401969732205795E-2</v>
      </c>
      <c r="I292" s="133">
        <v>9.3474491340767019E-3</v>
      </c>
      <c r="J292" s="133">
        <v>9.3474491340767019E-3</v>
      </c>
      <c r="K292" s="133">
        <v>5.3164372107184974E-4</v>
      </c>
      <c r="L292" s="133">
        <v>0.10014946462070741</v>
      </c>
      <c r="M292" s="45">
        <v>359.35913797283831</v>
      </c>
    </row>
    <row r="293" spans="1:13" x14ac:dyDescent="0.25">
      <c r="A293" s="812" t="s">
        <v>1996</v>
      </c>
      <c r="B293" s="812">
        <v>16</v>
      </c>
      <c r="C293" s="608">
        <v>39485</v>
      </c>
      <c r="D293" s="812">
        <v>99705</v>
      </c>
      <c r="E293" s="812" t="s">
        <v>1599</v>
      </c>
      <c r="F293" s="133">
        <v>4.8846444219203571</v>
      </c>
      <c r="G293" s="133">
        <v>0.95567382564285985</v>
      </c>
      <c r="H293" s="133">
        <v>1.6167857771955372</v>
      </c>
      <c r="I293" s="133">
        <v>1.4563385676027758</v>
      </c>
      <c r="J293" s="133">
        <v>1.4563385676027758</v>
      </c>
      <c r="K293" s="133">
        <v>6.4557792582220885E-2</v>
      </c>
      <c r="L293" s="133">
        <v>15.864508963661548</v>
      </c>
      <c r="M293" s="45">
        <v>19493.360556901287</v>
      </c>
    </row>
    <row r="294" spans="1:13" x14ac:dyDescent="0.25">
      <c r="A294" s="812" t="s">
        <v>1996</v>
      </c>
      <c r="B294" s="812">
        <v>16</v>
      </c>
      <c r="C294" s="608">
        <v>39485</v>
      </c>
      <c r="D294" s="812">
        <v>99709</v>
      </c>
      <c r="E294" s="812" t="s">
        <v>1600</v>
      </c>
      <c r="F294" s="133">
        <v>4.4251057745214686</v>
      </c>
      <c r="G294" s="133">
        <v>1.0991370452648246</v>
      </c>
      <c r="H294" s="133">
        <v>1.8127353742423926</v>
      </c>
      <c r="I294" s="133">
        <v>1.1575976088767954</v>
      </c>
      <c r="J294" s="133">
        <v>1.1575976088767954</v>
      </c>
      <c r="K294" s="133">
        <v>5.5441313681466667E-2</v>
      </c>
      <c r="L294" s="133">
        <v>11.919702375837652</v>
      </c>
      <c r="M294" s="45">
        <v>22266.452890640168</v>
      </c>
    </row>
    <row r="295" spans="1:13" x14ac:dyDescent="0.25">
      <c r="A295" s="812" t="s">
        <v>1996</v>
      </c>
      <c r="B295" s="812">
        <v>16</v>
      </c>
      <c r="C295" s="608">
        <v>39485</v>
      </c>
      <c r="D295" s="812">
        <v>99712</v>
      </c>
      <c r="E295" s="812" t="s">
        <v>1601</v>
      </c>
      <c r="F295" s="133">
        <v>2.3648679087754187</v>
      </c>
      <c r="G295" s="133">
        <v>0.37745196145118087</v>
      </c>
      <c r="H295" s="133">
        <v>0.67524933807842014</v>
      </c>
      <c r="I295" s="133">
        <v>0.62061560120018933</v>
      </c>
      <c r="J295" s="133">
        <v>0.62061560120018933</v>
      </c>
      <c r="K295" s="133">
        <v>2.857879366296982E-2</v>
      </c>
      <c r="L295" s="133">
        <v>6.4611724111118676</v>
      </c>
      <c r="M295" s="45">
        <v>7806.0498666623553</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8.5887781878752362E-5</v>
      </c>
      <c r="G307" s="133">
        <v>2.0901345455029813E-3</v>
      </c>
      <c r="H307" s="133">
        <v>1.3364362822072047E-3</v>
      </c>
      <c r="I307" s="133">
        <v>6.3203531338767985E-5</v>
      </c>
      <c r="J307" s="133">
        <v>6.3203531338767985E-5</v>
      </c>
      <c r="K307" s="133">
        <v>4.2797583278091093E-5</v>
      </c>
      <c r="L307" s="133">
        <v>1.2745256073998077E-4</v>
      </c>
      <c r="M307" s="45">
        <v>33.152640146801545</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1.2156663563788093</v>
      </c>
      <c r="G309" s="133">
        <v>0.94074572630129727</v>
      </c>
      <c r="H309" s="133">
        <v>1.2256991392706826</v>
      </c>
      <c r="I309" s="133">
        <v>0.34257056819190079</v>
      </c>
      <c r="J309" s="133">
        <v>0.34257056819190079</v>
      </c>
      <c r="K309" s="133">
        <v>2.5578467889866063E-2</v>
      </c>
      <c r="L309" s="133">
        <v>3.4066007675979177</v>
      </c>
      <c r="M309" s="45">
        <v>17320.85732592937</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2.8276953550747358E-2</v>
      </c>
      <c r="G311" s="133">
        <v>1.829544886016115E-2</v>
      </c>
      <c r="H311" s="133">
        <v>2.7810910316949662E-2</v>
      </c>
      <c r="I311" s="133">
        <v>9.1417886881817959E-3</v>
      </c>
      <c r="J311" s="133">
        <v>9.1417886881817959E-3</v>
      </c>
      <c r="K311" s="133">
        <v>5.2298128128486134E-4</v>
      </c>
      <c r="L311" s="133">
        <v>9.794545794773761E-2</v>
      </c>
      <c r="M311" s="45">
        <v>351.71433013660555</v>
      </c>
    </row>
    <row r="312" spans="1:13" x14ac:dyDescent="0.25">
      <c r="A312" s="812" t="s">
        <v>1996</v>
      </c>
      <c r="B312" s="812">
        <v>17</v>
      </c>
      <c r="C312" s="608">
        <v>39486</v>
      </c>
      <c r="D312" s="812">
        <v>99705</v>
      </c>
      <c r="E312" s="812" t="s">
        <v>1599</v>
      </c>
      <c r="F312" s="133">
        <v>4.756917252601589</v>
      </c>
      <c r="G312" s="133">
        <v>0.93253794077369745</v>
      </c>
      <c r="H312" s="133">
        <v>1.5781281524762256</v>
      </c>
      <c r="I312" s="133">
        <v>1.419355355078046</v>
      </c>
      <c r="J312" s="133">
        <v>1.419355355078046</v>
      </c>
      <c r="K312" s="133">
        <v>6.2934306073765725E-2</v>
      </c>
      <c r="L312" s="133">
        <v>15.45664915296542</v>
      </c>
      <c r="M312" s="45">
        <v>19029.395534969011</v>
      </c>
    </row>
    <row r="313" spans="1:13" x14ac:dyDescent="0.25">
      <c r="A313" s="812" t="s">
        <v>1996</v>
      </c>
      <c r="B313" s="812">
        <v>17</v>
      </c>
      <c r="C313" s="608">
        <v>39486</v>
      </c>
      <c r="D313" s="812">
        <v>99709</v>
      </c>
      <c r="E313" s="812" t="s">
        <v>1600</v>
      </c>
      <c r="F313" s="133">
        <v>4.2769744376855847</v>
      </c>
      <c r="G313" s="133">
        <v>1.0696279631415724</v>
      </c>
      <c r="H313" s="133">
        <v>1.7639662862782952</v>
      </c>
      <c r="I313" s="133">
        <v>1.1218505972998138</v>
      </c>
      <c r="J313" s="133">
        <v>1.1218505972998138</v>
      </c>
      <c r="K313" s="133">
        <v>5.3877103691688064E-2</v>
      </c>
      <c r="L313" s="133">
        <v>11.559590564112138</v>
      </c>
      <c r="M313" s="45">
        <v>21676.266797886117</v>
      </c>
    </row>
    <row r="314" spans="1:13" x14ac:dyDescent="0.25">
      <c r="A314" s="812" t="s">
        <v>1996</v>
      </c>
      <c r="B314" s="812">
        <v>17</v>
      </c>
      <c r="C314" s="608">
        <v>39486</v>
      </c>
      <c r="D314" s="812">
        <v>99712</v>
      </c>
      <c r="E314" s="812" t="s">
        <v>1601</v>
      </c>
      <c r="F314" s="133">
        <v>2.2962240473452797</v>
      </c>
      <c r="G314" s="133">
        <v>0.36867272804112688</v>
      </c>
      <c r="H314" s="133">
        <v>0.65973168291844508</v>
      </c>
      <c r="I314" s="133">
        <v>0.60433059052967064</v>
      </c>
      <c r="J314" s="133">
        <v>0.60433059052967064</v>
      </c>
      <c r="K314" s="133">
        <v>2.7820358203028205E-2</v>
      </c>
      <c r="L314" s="133">
        <v>6.29624718764153</v>
      </c>
      <c r="M314" s="45">
        <v>7627.575473164844</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8.3708401094095429E-5</v>
      </c>
      <c r="G326" s="133">
        <v>2.0351151147542791E-3</v>
      </c>
      <c r="H326" s="133">
        <v>1.2975461032459889E-3</v>
      </c>
      <c r="I326" s="133">
        <v>6.180788064418095E-5</v>
      </c>
      <c r="J326" s="133">
        <v>6.180788064418095E-5</v>
      </c>
      <c r="K326" s="133">
        <v>4.2722706618326503E-5</v>
      </c>
      <c r="L326" s="133">
        <v>1.2608366001704E-4</v>
      </c>
      <c r="M326" s="45">
        <v>32.305952240279851</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1.0359225056070431</v>
      </c>
      <c r="G328" s="133">
        <v>0.86894732365475846</v>
      </c>
      <c r="H328" s="133">
        <v>1.110807937257319</v>
      </c>
      <c r="I328" s="133">
        <v>0.3001018512370025</v>
      </c>
      <c r="J328" s="133">
        <v>0.3001018512370025</v>
      </c>
      <c r="K328" s="133">
        <v>2.3656651929616607E-2</v>
      </c>
      <c r="L328" s="133">
        <v>3.0009524428426415</v>
      </c>
      <c r="M328" s="45">
        <v>15930.799714900462</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2.437064127718825E-2</v>
      </c>
      <c r="G330" s="133">
        <v>1.6709848920858444E-2</v>
      </c>
      <c r="H330" s="133">
        <v>2.4983682854615673E-2</v>
      </c>
      <c r="I330" s="133">
        <v>8.0397439967471399E-3</v>
      </c>
      <c r="J330" s="133">
        <v>8.0397439967471399E-3</v>
      </c>
      <c r="K330" s="133">
        <v>4.7647810538916768E-4</v>
      </c>
      <c r="L330" s="133">
        <v>8.6457836644296404E-2</v>
      </c>
      <c r="M330" s="45">
        <v>319.70569720531614</v>
      </c>
    </row>
    <row r="331" spans="1:13" x14ac:dyDescent="0.25">
      <c r="A331" s="812" t="s">
        <v>1996</v>
      </c>
      <c r="B331" s="812">
        <v>18</v>
      </c>
      <c r="C331" s="608">
        <v>39487</v>
      </c>
      <c r="D331" s="812">
        <v>99705</v>
      </c>
      <c r="E331" s="812" t="s">
        <v>1599</v>
      </c>
      <c r="F331" s="133">
        <v>3.9042181360245083</v>
      </c>
      <c r="G331" s="133">
        <v>0.80291328719508692</v>
      </c>
      <c r="H331" s="133">
        <v>1.3474415245607956</v>
      </c>
      <c r="I331" s="133">
        <v>1.1864100973324718</v>
      </c>
      <c r="J331" s="133">
        <v>1.1864100973324718</v>
      </c>
      <c r="K331" s="133">
        <v>5.2780166198002978E-2</v>
      </c>
      <c r="L331" s="133">
        <v>12.979914132080268</v>
      </c>
      <c r="M331" s="45">
        <v>16357.060099563179</v>
      </c>
    </row>
    <row r="332" spans="1:13" x14ac:dyDescent="0.25">
      <c r="A332" s="812" t="s">
        <v>1996</v>
      </c>
      <c r="B332" s="812">
        <v>18</v>
      </c>
      <c r="C332" s="608">
        <v>39487</v>
      </c>
      <c r="D332" s="812">
        <v>99709</v>
      </c>
      <c r="E332" s="812" t="s">
        <v>1600</v>
      </c>
      <c r="F332" s="133">
        <v>3.4609899217001514</v>
      </c>
      <c r="G332" s="133">
        <v>0.94760669573480294</v>
      </c>
      <c r="H332" s="133">
        <v>1.5426142189328562</v>
      </c>
      <c r="I332" s="133">
        <v>0.93449724376230237</v>
      </c>
      <c r="J332" s="133">
        <v>0.93449724376230237</v>
      </c>
      <c r="K332" s="133">
        <v>4.5560538905651191E-2</v>
      </c>
      <c r="L332" s="133">
        <v>9.7234096674190358</v>
      </c>
      <c r="M332" s="45">
        <v>19140.276755235693</v>
      </c>
    </row>
    <row r="333" spans="1:13" x14ac:dyDescent="0.25">
      <c r="A333" s="812" t="s">
        <v>1996</v>
      </c>
      <c r="B333" s="812">
        <v>18</v>
      </c>
      <c r="C333" s="608">
        <v>39487</v>
      </c>
      <c r="D333" s="812">
        <v>99712</v>
      </c>
      <c r="E333" s="812" t="s">
        <v>1601</v>
      </c>
      <c r="F333" s="133">
        <v>1.7851853508683508</v>
      </c>
      <c r="G333" s="133">
        <v>0.30972539497453916</v>
      </c>
      <c r="H333" s="133">
        <v>0.55174066933155919</v>
      </c>
      <c r="I333" s="133">
        <v>0.48506023568636436</v>
      </c>
      <c r="J333" s="133">
        <v>0.48506023568636436</v>
      </c>
      <c r="K333" s="133">
        <v>2.2311174923942401E-2</v>
      </c>
      <c r="L333" s="133">
        <v>5.1090757070092039</v>
      </c>
      <c r="M333" s="45">
        <v>6409.6115658829895</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7.9349639524781536E-5</v>
      </c>
      <c r="G345" s="133">
        <v>1.9250762532568746E-3</v>
      </c>
      <c r="H345" s="133">
        <v>1.2197657453235564E-3</v>
      </c>
      <c r="I345" s="133">
        <v>5.9016579255006827E-5</v>
      </c>
      <c r="J345" s="133">
        <v>5.9016579255006827E-5</v>
      </c>
      <c r="K345" s="133">
        <v>4.2572953298797295E-5</v>
      </c>
      <c r="L345" s="133">
        <v>1.2334585857115836E-4</v>
      </c>
      <c r="M345" s="45">
        <v>30.612576427236451</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1.0993470970466583</v>
      </c>
      <c r="G347" s="133">
        <v>0.8901989014348527</v>
      </c>
      <c r="H347" s="133">
        <v>1.1505633819400529</v>
      </c>
      <c r="I347" s="133">
        <v>0.31607158116537848</v>
      </c>
      <c r="J347" s="133">
        <v>0.31607158116537848</v>
      </c>
      <c r="K347" s="133">
        <v>2.436644940384158E-2</v>
      </c>
      <c r="L347" s="133">
        <v>3.161869141334376</v>
      </c>
      <c r="M347" s="45">
        <v>16371.590470105919</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2.5949683199715284E-2</v>
      </c>
      <c r="G349" s="133">
        <v>1.7280785341724215E-2</v>
      </c>
      <c r="H349" s="133">
        <v>2.6110151254232009E-2</v>
      </c>
      <c r="I349" s="133">
        <v>8.5218979002529404E-3</v>
      </c>
      <c r="J349" s="133">
        <v>8.5218979002529404E-3</v>
      </c>
      <c r="K349" s="133">
        <v>4.9647489396206681E-4</v>
      </c>
      <c r="L349" s="133">
        <v>9.1752410545430277E-2</v>
      </c>
      <c r="M349" s="45">
        <v>331.82985259034399</v>
      </c>
    </row>
    <row r="350" spans="1:13" x14ac:dyDescent="0.25">
      <c r="A350" s="812" t="s">
        <v>1996</v>
      </c>
      <c r="B350" s="812">
        <v>19</v>
      </c>
      <c r="C350" s="608">
        <v>39488</v>
      </c>
      <c r="D350" s="812">
        <v>99705</v>
      </c>
      <c r="E350" s="812" t="s">
        <v>1599</v>
      </c>
      <c r="F350" s="133">
        <v>4.215330176147571</v>
      </c>
      <c r="G350" s="133">
        <v>0.851251814035617</v>
      </c>
      <c r="H350" s="133">
        <v>1.4342407955174368</v>
      </c>
      <c r="I350" s="133">
        <v>1.2752508904928119</v>
      </c>
      <c r="J350" s="133">
        <v>1.2752508904928119</v>
      </c>
      <c r="K350" s="133">
        <v>5.6639975395895006E-2</v>
      </c>
      <c r="L350" s="133">
        <v>13.955654529392406</v>
      </c>
      <c r="M350" s="45">
        <v>17359.097729476543</v>
      </c>
    </row>
    <row r="351" spans="1:13" x14ac:dyDescent="0.25">
      <c r="A351" s="812" t="s">
        <v>1996</v>
      </c>
      <c r="B351" s="812">
        <v>19</v>
      </c>
      <c r="C351" s="608">
        <v>39488</v>
      </c>
      <c r="D351" s="812">
        <v>99709</v>
      </c>
      <c r="E351" s="812" t="s">
        <v>1600</v>
      </c>
      <c r="F351" s="133">
        <v>3.7720831511384136</v>
      </c>
      <c r="G351" s="133">
        <v>0.99361867851653929</v>
      </c>
      <c r="H351" s="133">
        <v>1.629145583874511</v>
      </c>
      <c r="I351" s="133">
        <v>1.0101242470794929</v>
      </c>
      <c r="J351" s="133">
        <v>1.0101242470794929</v>
      </c>
      <c r="K351" s="133">
        <v>4.8866229738520686E-2</v>
      </c>
      <c r="L351" s="133">
        <v>10.494439210637976</v>
      </c>
      <c r="M351" s="45">
        <v>20114.716340802595</v>
      </c>
    </row>
    <row r="352" spans="1:13" x14ac:dyDescent="0.25">
      <c r="A352" s="812" t="s">
        <v>1996</v>
      </c>
      <c r="B352" s="812">
        <v>19</v>
      </c>
      <c r="C352" s="608">
        <v>39488</v>
      </c>
      <c r="D352" s="812">
        <v>99712</v>
      </c>
      <c r="E352" s="812" t="s">
        <v>1601</v>
      </c>
      <c r="F352" s="133">
        <v>1.9698704044567628</v>
      </c>
      <c r="G352" s="133">
        <v>0.33158717564167889</v>
      </c>
      <c r="H352" s="133">
        <v>0.59212582586323015</v>
      </c>
      <c r="I352" s="133">
        <v>0.52925129558127126</v>
      </c>
      <c r="J352" s="133">
        <v>0.52925129558127126</v>
      </c>
      <c r="K352" s="133">
        <v>2.4364520809061794E-2</v>
      </c>
      <c r="L352" s="133">
        <v>5.5594335108005488</v>
      </c>
      <c r="M352" s="45">
        <v>6862.127985475121</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8.0076099786333829E-5</v>
      </c>
      <c r="G364" s="133">
        <v>1.9434160635064415E-3</v>
      </c>
      <c r="H364" s="133">
        <v>1.2327291383106287E-3</v>
      </c>
      <c r="I364" s="133">
        <v>5.948179615320251E-5</v>
      </c>
      <c r="J364" s="133">
        <v>5.948179615320251E-5</v>
      </c>
      <c r="K364" s="133">
        <v>4.2597912185385487E-5</v>
      </c>
      <c r="L364" s="133">
        <v>1.238021588121386E-4</v>
      </c>
      <c r="M364" s="45">
        <v>30.894805729410351</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0.74539804495213147</v>
      </c>
      <c r="G366" s="133">
        <v>0.68483945065082952</v>
      </c>
      <c r="H366" s="133">
        <v>0.83157568905078849</v>
      </c>
      <c r="I366" s="133">
        <v>0.22458156567226165</v>
      </c>
      <c r="J366" s="133">
        <v>0.22458156567226165</v>
      </c>
      <c r="K366" s="133">
        <v>2.8982214137206478E-2</v>
      </c>
      <c r="L366" s="133">
        <v>2.2440172011234063</v>
      </c>
      <c r="M366" s="45">
        <v>12825.800880418328</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1.8113659230895224E-2</v>
      </c>
      <c r="G368" s="133">
        <v>1.3072724603772342E-2</v>
      </c>
      <c r="H368" s="133">
        <v>1.8967028421045671E-2</v>
      </c>
      <c r="I368" s="133">
        <v>6.1025400111861293E-3</v>
      </c>
      <c r="J368" s="133">
        <v>6.1025400111861293E-3</v>
      </c>
      <c r="K368" s="133">
        <v>5.1126849034901286E-4</v>
      </c>
      <c r="L368" s="133">
        <v>6.5462441489327283E-2</v>
      </c>
      <c r="M368" s="45">
        <v>254.07235851526266</v>
      </c>
    </row>
    <row r="369" spans="1:13" x14ac:dyDescent="0.25">
      <c r="A369" s="812" t="s">
        <v>1999</v>
      </c>
      <c r="B369" s="812">
        <v>1</v>
      </c>
      <c r="C369" s="608">
        <v>39754</v>
      </c>
      <c r="D369" s="812">
        <v>99705</v>
      </c>
      <c r="E369" s="812" t="s">
        <v>1599</v>
      </c>
      <c r="F369" s="133">
        <v>3.107620781354071</v>
      </c>
      <c r="G369" s="133">
        <v>0.65355294122752783</v>
      </c>
      <c r="H369" s="133">
        <v>1.0922185590792541</v>
      </c>
      <c r="I369" s="133">
        <v>0.95452902811033569</v>
      </c>
      <c r="J369" s="133">
        <v>0.95452902811033569</v>
      </c>
      <c r="K369" s="133">
        <v>4.4538926077089439E-2</v>
      </c>
      <c r="L369" s="133">
        <v>10.413749557522628</v>
      </c>
      <c r="M369" s="45">
        <v>13393.867913109754</v>
      </c>
    </row>
    <row r="370" spans="1:13" x14ac:dyDescent="0.25">
      <c r="A370" s="812" t="s">
        <v>1999</v>
      </c>
      <c r="B370" s="812">
        <v>1</v>
      </c>
      <c r="C370" s="608">
        <v>39754</v>
      </c>
      <c r="D370" s="812">
        <v>99709</v>
      </c>
      <c r="E370" s="812" t="s">
        <v>1600</v>
      </c>
      <c r="F370" s="133">
        <v>2.5429449423860557</v>
      </c>
      <c r="G370" s="133">
        <v>0.74954526989652515</v>
      </c>
      <c r="H370" s="133">
        <v>1.2007403216202859</v>
      </c>
      <c r="I370" s="133">
        <v>0.7071393912573799</v>
      </c>
      <c r="J370" s="133">
        <v>0.7071393912573799</v>
      </c>
      <c r="K370" s="133">
        <v>4.0278543493656657E-2</v>
      </c>
      <c r="L370" s="133">
        <v>7.3961936874075178</v>
      </c>
      <c r="M370" s="45">
        <v>15297.273463676067</v>
      </c>
    </row>
    <row r="371" spans="1:13" x14ac:dyDescent="0.25">
      <c r="A371" s="812" t="s">
        <v>1999</v>
      </c>
      <c r="B371" s="812">
        <v>1</v>
      </c>
      <c r="C371" s="608">
        <v>39754</v>
      </c>
      <c r="D371" s="812">
        <v>99712</v>
      </c>
      <c r="E371" s="812" t="s">
        <v>1601</v>
      </c>
      <c r="F371" s="133">
        <v>1.4236110516909166</v>
      </c>
      <c r="G371" s="133">
        <v>0.25826935179457938</v>
      </c>
      <c r="H371" s="133">
        <v>0.46065613794260318</v>
      </c>
      <c r="I371" s="133">
        <v>0.39479258975537362</v>
      </c>
      <c r="J371" s="133">
        <v>0.39479258975537362</v>
      </c>
      <c r="K371" s="133">
        <v>1.861235627051766E-2</v>
      </c>
      <c r="L371" s="133">
        <v>4.1698621565347338</v>
      </c>
      <c r="M371" s="45">
        <v>5372.9612446135507</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6.6906923266316521E-5</v>
      </c>
      <c r="G383" s="133">
        <v>1.5449017928262922E-3</v>
      </c>
      <c r="H383" s="133">
        <v>8.3188407479373411E-4</v>
      </c>
      <c r="I383" s="133">
        <v>5.7981580685425891E-5</v>
      </c>
      <c r="J383" s="133">
        <v>5.7981580685425891E-5</v>
      </c>
      <c r="K383" s="133">
        <v>7.5828156112439714E-5</v>
      </c>
      <c r="L383" s="133">
        <v>1.776647901643271E-4</v>
      </c>
      <c r="M383" s="45">
        <v>25.597100257265247</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0.70124864394360764</v>
      </c>
      <c r="G385" s="133">
        <v>0.63828089906797869</v>
      </c>
      <c r="H385" s="133">
        <v>0.77438994080880297</v>
      </c>
      <c r="I385" s="133">
        <v>0.20864322799946983</v>
      </c>
      <c r="J385" s="133">
        <v>0.20864322799946983</v>
      </c>
      <c r="K385" s="133">
        <v>2.8332766577568953E-2</v>
      </c>
      <c r="L385" s="133">
        <v>2.0661400958833673</v>
      </c>
      <c r="M385" s="45">
        <v>12007.631621268481</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1.6905544092467563E-2</v>
      </c>
      <c r="G387" s="133">
        <v>1.2152943636718757E-2</v>
      </c>
      <c r="H387" s="133">
        <v>1.7631656303563156E-2</v>
      </c>
      <c r="I387" s="133">
        <v>5.6194370637996606E-3</v>
      </c>
      <c r="J387" s="133">
        <v>5.6194370637996606E-3</v>
      </c>
      <c r="K387" s="133">
        <v>4.922409265835432E-4</v>
      </c>
      <c r="L387" s="133">
        <v>5.9714289297837751E-2</v>
      </c>
      <c r="M387" s="45">
        <v>237.00946809096152</v>
      </c>
    </row>
    <row r="388" spans="1:13" x14ac:dyDescent="0.25">
      <c r="A388" s="812" t="s">
        <v>1999</v>
      </c>
      <c r="B388" s="812">
        <v>2</v>
      </c>
      <c r="C388" s="608">
        <v>39755</v>
      </c>
      <c r="D388" s="812">
        <v>99705</v>
      </c>
      <c r="E388" s="812" t="s">
        <v>1599</v>
      </c>
      <c r="F388" s="133">
        <v>2.9762872834473009</v>
      </c>
      <c r="G388" s="133">
        <v>0.61455270188441036</v>
      </c>
      <c r="H388" s="133">
        <v>1.0303521615180913</v>
      </c>
      <c r="I388" s="133">
        <v>0.89895663950306981</v>
      </c>
      <c r="J388" s="133">
        <v>0.89895663950306981</v>
      </c>
      <c r="K388" s="133">
        <v>4.2178321624743213E-2</v>
      </c>
      <c r="L388" s="133">
        <v>9.69116787211793</v>
      </c>
      <c r="M388" s="45">
        <v>12623.97774318988</v>
      </c>
    </row>
    <row r="389" spans="1:13" x14ac:dyDescent="0.25">
      <c r="A389" s="812" t="s">
        <v>1999</v>
      </c>
      <c r="B389" s="812">
        <v>2</v>
      </c>
      <c r="C389" s="608">
        <v>39755</v>
      </c>
      <c r="D389" s="812">
        <v>99709</v>
      </c>
      <c r="E389" s="812" t="s">
        <v>1600</v>
      </c>
      <c r="F389" s="133">
        <v>2.5251405631457811</v>
      </c>
      <c r="G389" s="133">
        <v>0.71625266513549357</v>
      </c>
      <c r="H389" s="133">
        <v>1.1555053785974139</v>
      </c>
      <c r="I389" s="133">
        <v>0.68746704158807193</v>
      </c>
      <c r="J389" s="133">
        <v>0.68746704158807193</v>
      </c>
      <c r="K389" s="133">
        <v>3.9589526547353877E-2</v>
      </c>
      <c r="L389" s="133">
        <v>7.1096011269438941</v>
      </c>
      <c r="M389" s="45">
        <v>14675.188593059269</v>
      </c>
    </row>
    <row r="390" spans="1:13" x14ac:dyDescent="0.25">
      <c r="A390" s="812" t="s">
        <v>1999</v>
      </c>
      <c r="B390" s="812">
        <v>2</v>
      </c>
      <c r="C390" s="608">
        <v>39755</v>
      </c>
      <c r="D390" s="812">
        <v>99712</v>
      </c>
      <c r="E390" s="812" t="s">
        <v>1601</v>
      </c>
      <c r="F390" s="133">
        <v>1.4352858239132877</v>
      </c>
      <c r="G390" s="133">
        <v>0.25150975479999343</v>
      </c>
      <c r="H390" s="133">
        <v>0.45024733787986165</v>
      </c>
      <c r="I390" s="133">
        <v>0.38962268248091875</v>
      </c>
      <c r="J390" s="133">
        <v>0.38962268248091875</v>
      </c>
      <c r="K390" s="133">
        <v>1.8432649335663274E-2</v>
      </c>
      <c r="L390" s="133">
        <v>4.0645499233194977</v>
      </c>
      <c r="M390" s="45">
        <v>5240.4484856932831</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6.2548161697002669E-5</v>
      </c>
      <c r="G402" s="133">
        <v>1.4348629313288878E-3</v>
      </c>
      <c r="H402" s="133">
        <v>7.5410371687130201E-4</v>
      </c>
      <c r="I402" s="133">
        <v>5.5190279296251788E-5</v>
      </c>
      <c r="J402" s="133">
        <v>5.5190279296251788E-5</v>
      </c>
      <c r="K402" s="133">
        <v>7.5678402792910533E-5</v>
      </c>
      <c r="L402" s="133">
        <v>1.7492698871844552E-4</v>
      </c>
      <c r="M402" s="45">
        <v>23.903724444221847</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0.65757451253109045</v>
      </c>
      <c r="G404" s="133">
        <v>0.63177603958068151</v>
      </c>
      <c r="H404" s="133">
        <v>0.75237845385110202</v>
      </c>
      <c r="I404" s="133">
        <v>0.19757102247335093</v>
      </c>
      <c r="J404" s="133">
        <v>0.19757102247335093</v>
      </c>
      <c r="K404" s="133">
        <v>2.784658733124705E-2</v>
      </c>
      <c r="L404" s="133">
        <v>1.9512137378883829</v>
      </c>
      <c r="M404" s="45">
        <v>11823.197247103937</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1.5960549184533865E-2</v>
      </c>
      <c r="G406" s="133">
        <v>1.1923570217241485E-2</v>
      </c>
      <c r="H406" s="133">
        <v>1.7033916167547025E-2</v>
      </c>
      <c r="I406" s="133">
        <v>5.333478242935813E-3</v>
      </c>
      <c r="J406" s="133">
        <v>5.333478242935813E-3</v>
      </c>
      <c r="K406" s="133">
        <v>4.8047987465691029E-4</v>
      </c>
      <c r="L406" s="133">
        <v>5.6539965123818037E-2</v>
      </c>
      <c r="M406" s="45">
        <v>231.37069462683013</v>
      </c>
    </row>
    <row r="407" spans="1:13" x14ac:dyDescent="0.25">
      <c r="A407" s="812" t="s">
        <v>1999</v>
      </c>
      <c r="B407" s="812">
        <v>3</v>
      </c>
      <c r="C407" s="608">
        <v>39756</v>
      </c>
      <c r="D407" s="812">
        <v>99705</v>
      </c>
      <c r="E407" s="812" t="s">
        <v>1599</v>
      </c>
      <c r="F407" s="133">
        <v>2.7702378647755603</v>
      </c>
      <c r="G407" s="133">
        <v>0.58335795238542376</v>
      </c>
      <c r="H407" s="133">
        <v>0.97247092112331146</v>
      </c>
      <c r="I407" s="133">
        <v>0.83890063109243407</v>
      </c>
      <c r="J407" s="133">
        <v>0.83890063109243407</v>
      </c>
      <c r="K407" s="133">
        <v>3.9572805918875707E-2</v>
      </c>
      <c r="L407" s="133">
        <v>9.0254782997877143</v>
      </c>
      <c r="M407" s="45">
        <v>11969.417759126542</v>
      </c>
    </row>
    <row r="408" spans="1:13" x14ac:dyDescent="0.25">
      <c r="A408" s="812" t="s">
        <v>1999</v>
      </c>
      <c r="B408" s="812">
        <v>3</v>
      </c>
      <c r="C408" s="608">
        <v>39756</v>
      </c>
      <c r="D408" s="812">
        <v>99709</v>
      </c>
      <c r="E408" s="812" t="s">
        <v>1600</v>
      </c>
      <c r="F408" s="133">
        <v>2.4099545180280786</v>
      </c>
      <c r="G408" s="133">
        <v>0.70075446377539685</v>
      </c>
      <c r="H408" s="133">
        <v>1.1207437357782859</v>
      </c>
      <c r="I408" s="133">
        <v>0.65947766363782434</v>
      </c>
      <c r="J408" s="133">
        <v>0.65947766363782434</v>
      </c>
      <c r="K408" s="133">
        <v>3.8365197856485934E-2</v>
      </c>
      <c r="L408" s="133">
        <v>6.8241619462058818</v>
      </c>
      <c r="M408" s="45">
        <v>14320.480831371238</v>
      </c>
    </row>
    <row r="409" spans="1:13" x14ac:dyDescent="0.25">
      <c r="A409" s="812" t="s">
        <v>1999</v>
      </c>
      <c r="B409" s="812">
        <v>3</v>
      </c>
      <c r="C409" s="608">
        <v>39756</v>
      </c>
      <c r="D409" s="812">
        <v>99712</v>
      </c>
      <c r="E409" s="812" t="s">
        <v>1601</v>
      </c>
      <c r="F409" s="133">
        <v>1.3784000148087898</v>
      </c>
      <c r="G409" s="133">
        <v>0.24491347670887736</v>
      </c>
      <c r="H409" s="133">
        <v>0.43757761698981984</v>
      </c>
      <c r="I409" s="133">
        <v>0.3759368995570016</v>
      </c>
      <c r="J409" s="133">
        <v>0.3759368995570016</v>
      </c>
      <c r="K409" s="133">
        <v>1.7800576263928572E-2</v>
      </c>
      <c r="L409" s="133">
        <v>3.9247567020747334</v>
      </c>
      <c r="M409" s="45">
        <v>5101.6468725835093</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6.3274621958554975E-5</v>
      </c>
      <c r="G421" s="133">
        <v>1.4532027415784551E-3</v>
      </c>
      <c r="H421" s="133">
        <v>7.670671098583741E-4</v>
      </c>
      <c r="I421" s="133">
        <v>5.5655496194447463E-5</v>
      </c>
      <c r="J421" s="133">
        <v>5.5655496194447463E-5</v>
      </c>
      <c r="K421" s="133">
        <v>7.5703361679498705E-5</v>
      </c>
      <c r="L421" s="133">
        <v>1.7538328895942573E-4</v>
      </c>
      <c r="M421" s="45">
        <v>24.18595374639575</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0.7199353435252448</v>
      </c>
      <c r="G423" s="133">
        <v>0.68289929763045454</v>
      </c>
      <c r="H423" s="133">
        <v>0.81290026379353297</v>
      </c>
      <c r="I423" s="133">
        <v>0.21428041707749418</v>
      </c>
      <c r="J423" s="133">
        <v>0.21428041707749418</v>
      </c>
      <c r="K423" s="133">
        <v>2.8580880913298815E-2</v>
      </c>
      <c r="L423" s="133">
        <v>2.1139075287397429</v>
      </c>
      <c r="M423" s="45">
        <v>12707.613731415535</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1.7367986970784163E-2</v>
      </c>
      <c r="G425" s="133">
        <v>1.2879959384740619E-2</v>
      </c>
      <c r="H425" s="133">
        <v>1.8372565329176433E-2</v>
      </c>
      <c r="I425" s="133">
        <v>5.7775379571096781E-3</v>
      </c>
      <c r="J425" s="133">
        <v>5.7775379571096781E-3</v>
      </c>
      <c r="K425" s="133">
        <v>4.9887972239211632E-4</v>
      </c>
      <c r="L425" s="133">
        <v>6.1293114818304038E-2</v>
      </c>
      <c r="M425" s="45">
        <v>248.77325491925561</v>
      </c>
    </row>
    <row r="426" spans="1:13" x14ac:dyDescent="0.25">
      <c r="A426" s="812" t="s">
        <v>1999</v>
      </c>
      <c r="B426" s="812">
        <v>4</v>
      </c>
      <c r="C426" s="608">
        <v>39757</v>
      </c>
      <c r="D426" s="812">
        <v>99705</v>
      </c>
      <c r="E426" s="812" t="s">
        <v>1599</v>
      </c>
      <c r="F426" s="133">
        <v>3.0555132688331876</v>
      </c>
      <c r="G426" s="133">
        <v>0.63582120302686995</v>
      </c>
      <c r="H426" s="133">
        <v>1.0592094118027084</v>
      </c>
      <c r="I426" s="133">
        <v>0.92287333944563077</v>
      </c>
      <c r="J426" s="133">
        <v>0.92287333944563077</v>
      </c>
      <c r="K426" s="133">
        <v>4.3189688541142184E-2</v>
      </c>
      <c r="L426" s="133">
        <v>9.956501201181382</v>
      </c>
      <c r="M426" s="45">
        <v>13020.624576985912</v>
      </c>
    </row>
    <row r="427" spans="1:13" x14ac:dyDescent="0.25">
      <c r="A427" s="812" t="s">
        <v>1999</v>
      </c>
      <c r="B427" s="812">
        <v>4</v>
      </c>
      <c r="C427" s="608">
        <v>39757</v>
      </c>
      <c r="D427" s="812">
        <v>99709</v>
      </c>
      <c r="E427" s="812" t="s">
        <v>1600</v>
      </c>
      <c r="F427" s="133">
        <v>2.4218506215412909</v>
      </c>
      <c r="G427" s="133">
        <v>0.72537281238187812</v>
      </c>
      <c r="H427" s="133">
        <v>1.1498520848677827</v>
      </c>
      <c r="I427" s="133">
        <v>0.66173975010992514</v>
      </c>
      <c r="J427" s="133">
        <v>0.66173975010992514</v>
      </c>
      <c r="K427" s="133">
        <v>3.850174767056256E-2</v>
      </c>
      <c r="L427" s="133">
        <v>6.8351081791856316</v>
      </c>
      <c r="M427" s="45">
        <v>14749.055526093516</v>
      </c>
    </row>
    <row r="428" spans="1:13" x14ac:dyDescent="0.25">
      <c r="A428" s="812" t="s">
        <v>1999</v>
      </c>
      <c r="B428" s="812">
        <v>4</v>
      </c>
      <c r="C428" s="608">
        <v>39757</v>
      </c>
      <c r="D428" s="812">
        <v>99712</v>
      </c>
      <c r="E428" s="812" t="s">
        <v>1601</v>
      </c>
      <c r="F428" s="133">
        <v>1.2528293249295777</v>
      </c>
      <c r="G428" s="133">
        <v>0.23019471793008389</v>
      </c>
      <c r="H428" s="133">
        <v>0.4085391617256961</v>
      </c>
      <c r="I428" s="133">
        <v>0.34325789401483631</v>
      </c>
      <c r="J428" s="133">
        <v>0.34325789401483631</v>
      </c>
      <c r="K428" s="133">
        <v>1.6331199333972507E-2</v>
      </c>
      <c r="L428" s="133">
        <v>3.5774550965071765</v>
      </c>
      <c r="M428" s="45">
        <v>4786.846541937608</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6.8359843789421161E-5</v>
      </c>
      <c r="G440" s="133">
        <v>1.5815814133254271E-3</v>
      </c>
      <c r="H440" s="133">
        <v>8.578108607678785E-4</v>
      </c>
      <c r="I440" s="133">
        <v>5.8912014481817256E-5</v>
      </c>
      <c r="J440" s="133">
        <v>5.8912014481817256E-5</v>
      </c>
      <c r="K440" s="133">
        <v>7.5878073885616112E-5</v>
      </c>
      <c r="L440" s="133">
        <v>1.7857739064628764E-4</v>
      </c>
      <c r="M440" s="45">
        <v>26.161558861613045</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0.73629379218554736</v>
      </c>
      <c r="G442" s="133">
        <v>0.68746605452415688</v>
      </c>
      <c r="H442" s="133">
        <v>0.82298141358683563</v>
      </c>
      <c r="I442" s="133">
        <v>0.21866526112324816</v>
      </c>
      <c r="J442" s="133">
        <v>0.21866526112324816</v>
      </c>
      <c r="K442" s="133">
        <v>2.8769024805080944E-2</v>
      </c>
      <c r="L442" s="133">
        <v>2.1598255027579549</v>
      </c>
      <c r="M442" s="45">
        <v>12810.241301585398</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1.7948160322404077E-2</v>
      </c>
      <c r="G444" s="133">
        <v>1.307390971991719E-2</v>
      </c>
      <c r="H444" s="133">
        <v>1.8792695962462028E-2</v>
      </c>
      <c r="I444" s="133">
        <v>5.9559971829238742E-3</v>
      </c>
      <c r="J444" s="133">
        <v>5.9559971829238742E-3</v>
      </c>
      <c r="K444" s="133">
        <v>5.0610643816661224E-4</v>
      </c>
      <c r="L444" s="133">
        <v>6.3263108703598817E-2</v>
      </c>
      <c r="M444" s="45">
        <v>253.09324207443004</v>
      </c>
    </row>
    <row r="445" spans="1:13" x14ac:dyDescent="0.25">
      <c r="A445" s="812" t="s">
        <v>1999</v>
      </c>
      <c r="B445" s="812">
        <v>5</v>
      </c>
      <c r="C445" s="608">
        <v>39758</v>
      </c>
      <c r="D445" s="812">
        <v>99705</v>
      </c>
      <c r="E445" s="812" t="s">
        <v>1599</v>
      </c>
      <c r="F445" s="133">
        <v>3.1325163215013818</v>
      </c>
      <c r="G445" s="133">
        <v>0.64784011185707269</v>
      </c>
      <c r="H445" s="133">
        <v>1.0809032593439447</v>
      </c>
      <c r="I445" s="133">
        <v>0.94546652693241573</v>
      </c>
      <c r="J445" s="133">
        <v>0.94546652693241573</v>
      </c>
      <c r="K445" s="133">
        <v>4.4159016627146837E-2</v>
      </c>
      <c r="L445" s="133">
        <v>10.2073503955252</v>
      </c>
      <c r="M445" s="45">
        <v>13270.692929763503</v>
      </c>
    </row>
    <row r="446" spans="1:13" x14ac:dyDescent="0.25">
      <c r="A446" s="812" t="s">
        <v>1999</v>
      </c>
      <c r="B446" s="812">
        <v>5</v>
      </c>
      <c r="C446" s="608">
        <v>39758</v>
      </c>
      <c r="D446" s="812">
        <v>99709</v>
      </c>
      <c r="E446" s="812" t="s">
        <v>1600</v>
      </c>
      <c r="F446" s="133">
        <v>2.3736988256530798</v>
      </c>
      <c r="G446" s="133">
        <v>0.72023885664615195</v>
      </c>
      <c r="H446" s="133">
        <v>1.1403365860354</v>
      </c>
      <c r="I446" s="133">
        <v>0.65083884103184442</v>
      </c>
      <c r="J446" s="133">
        <v>0.65083884103184442</v>
      </c>
      <c r="K446" s="133">
        <v>3.8013865066370854E-2</v>
      </c>
      <c r="L446" s="133">
        <v>6.7274571935586733</v>
      </c>
      <c r="M446" s="45">
        <v>14640.968352883378</v>
      </c>
    </row>
    <row r="447" spans="1:13" x14ac:dyDescent="0.25">
      <c r="A447" s="812" t="s">
        <v>1999</v>
      </c>
      <c r="B447" s="812">
        <v>5</v>
      </c>
      <c r="C447" s="608">
        <v>39758</v>
      </c>
      <c r="D447" s="812">
        <v>99712</v>
      </c>
      <c r="E447" s="812" t="s">
        <v>1601</v>
      </c>
      <c r="F447" s="133">
        <v>1.243162633638645</v>
      </c>
      <c r="G447" s="133">
        <v>0.22960268526731373</v>
      </c>
      <c r="H447" s="133">
        <v>0.4073620895090474</v>
      </c>
      <c r="I447" s="133">
        <v>0.34163667158615085</v>
      </c>
      <c r="J447" s="133">
        <v>0.34163667158615085</v>
      </c>
      <c r="K447" s="133">
        <v>1.6243181097209059E-2</v>
      </c>
      <c r="L447" s="133">
        <v>3.564467781521643</v>
      </c>
      <c r="M447" s="45">
        <v>4774.7766620902694</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6.8359843789421175E-5</v>
      </c>
      <c r="G459" s="133">
        <v>1.5815814133254278E-3</v>
      </c>
      <c r="H459" s="133">
        <v>8.5781086076787861E-4</v>
      </c>
      <c r="I459" s="133">
        <v>5.8912014481817263E-5</v>
      </c>
      <c r="J459" s="133">
        <v>5.8912014481817263E-5</v>
      </c>
      <c r="K459" s="133">
        <v>7.5878073885616125E-5</v>
      </c>
      <c r="L459" s="133">
        <v>1.7857739064628767E-4</v>
      </c>
      <c r="M459" s="45">
        <v>26.161558861613045</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0.84652822954297813</v>
      </c>
      <c r="G461" s="133">
        <v>0.75084934317382457</v>
      </c>
      <c r="H461" s="133">
        <v>0.91078794257061924</v>
      </c>
      <c r="I461" s="133">
        <v>0.24739308517481479</v>
      </c>
      <c r="J461" s="133">
        <v>0.24739308517481479</v>
      </c>
      <c r="K461" s="133">
        <v>3.0036719516014294E-2</v>
      </c>
      <c r="L461" s="133">
        <v>2.4448257038572843</v>
      </c>
      <c r="M461" s="45">
        <v>13970.683582104302</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2.002936218539806E-2</v>
      </c>
      <c r="G463" s="133">
        <v>1.4245402398280113E-2</v>
      </c>
      <c r="H463" s="133">
        <v>2.0595021258167777E-2</v>
      </c>
      <c r="I463" s="133">
        <v>6.605453550451443E-3</v>
      </c>
      <c r="J463" s="133">
        <v>6.605453550451443E-3</v>
      </c>
      <c r="K463" s="133">
        <v>5.3296634154356129E-4</v>
      </c>
      <c r="L463" s="133">
        <v>7.0281480314535141E-2</v>
      </c>
      <c r="M463" s="45">
        <v>275.27077870767374</v>
      </c>
    </row>
    <row r="464" spans="1:13" x14ac:dyDescent="0.25">
      <c r="A464" s="812" t="s">
        <v>1999</v>
      </c>
      <c r="B464" s="812">
        <v>6</v>
      </c>
      <c r="C464" s="608">
        <v>39759</v>
      </c>
      <c r="D464" s="812">
        <v>99705</v>
      </c>
      <c r="E464" s="812" t="s">
        <v>1599</v>
      </c>
      <c r="F464" s="133">
        <v>3.4001873008939794</v>
      </c>
      <c r="G464" s="133">
        <v>0.69758487328796481</v>
      </c>
      <c r="H464" s="133">
        <v>1.1634197498226666</v>
      </c>
      <c r="I464" s="133">
        <v>1.0234668474996982</v>
      </c>
      <c r="J464" s="133">
        <v>1.0234668474996982</v>
      </c>
      <c r="K464" s="133">
        <v>4.7571682698789426E-2</v>
      </c>
      <c r="L464" s="133">
        <v>11.069239641317942</v>
      </c>
      <c r="M464" s="45">
        <v>14264.719494647803</v>
      </c>
    </row>
    <row r="465" spans="1:13" x14ac:dyDescent="0.25">
      <c r="A465" s="812" t="s">
        <v>1999</v>
      </c>
      <c r="B465" s="812">
        <v>6</v>
      </c>
      <c r="C465" s="608">
        <v>39759</v>
      </c>
      <c r="D465" s="812">
        <v>99709</v>
      </c>
      <c r="E465" s="812" t="s">
        <v>1600</v>
      </c>
      <c r="F465" s="133">
        <v>2.9281870707376076</v>
      </c>
      <c r="G465" s="133">
        <v>0.81760204795166824</v>
      </c>
      <c r="H465" s="133">
        <v>1.3085465529250657</v>
      </c>
      <c r="I465" s="133">
        <v>0.78619034682840849</v>
      </c>
      <c r="J465" s="133">
        <v>0.78619034682840849</v>
      </c>
      <c r="K465" s="133">
        <v>4.3924242924108632E-2</v>
      </c>
      <c r="L465" s="133">
        <v>8.1048827381207555</v>
      </c>
      <c r="M465" s="45">
        <v>16625.13255281662</v>
      </c>
    </row>
    <row r="466" spans="1:13" x14ac:dyDescent="0.25">
      <c r="A466" s="812" t="s">
        <v>1999</v>
      </c>
      <c r="B466" s="812">
        <v>6</v>
      </c>
      <c r="C466" s="608">
        <v>39759</v>
      </c>
      <c r="D466" s="812">
        <v>99712</v>
      </c>
      <c r="E466" s="812" t="s">
        <v>1601</v>
      </c>
      <c r="F466" s="133">
        <v>1.5198717478210482</v>
      </c>
      <c r="G466" s="133">
        <v>0.26424106525227947</v>
      </c>
      <c r="H466" s="133">
        <v>0.46955545115162722</v>
      </c>
      <c r="I466" s="133">
        <v>0.40859669088592848</v>
      </c>
      <c r="J466" s="133">
        <v>0.40859669088592848</v>
      </c>
      <c r="K466" s="133">
        <v>1.9339442631501943E-2</v>
      </c>
      <c r="L466" s="133">
        <v>4.2502639894979177</v>
      </c>
      <c r="M466" s="45">
        <v>5483.418721823291</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7.3445065620287306E-5</v>
      </c>
      <c r="G478" s="133">
        <v>1.7099600850723989E-3</v>
      </c>
      <c r="H478" s="133">
        <v>9.4855461167738257E-4</v>
      </c>
      <c r="I478" s="133">
        <v>6.2168532769187035E-5</v>
      </c>
      <c r="J478" s="133">
        <v>6.2168532769187035E-5</v>
      </c>
      <c r="K478" s="133">
        <v>7.6052786091733505E-5</v>
      </c>
      <c r="L478" s="133">
        <v>1.8177149233314949E-4</v>
      </c>
      <c r="M478" s="45">
        <v>28.13716397683034</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0.75499421295289315</v>
      </c>
      <c r="G480" s="133">
        <v>0.71688497082221003</v>
      </c>
      <c r="H480" s="133">
        <v>0.85736071122434165</v>
      </c>
      <c r="I480" s="133">
        <v>0.22749888771556886</v>
      </c>
      <c r="J480" s="133">
        <v>0.22749888771556886</v>
      </c>
      <c r="K480" s="133">
        <v>2.9114877652452919E-2</v>
      </c>
      <c r="L480" s="133">
        <v>2.2655746997940058</v>
      </c>
      <c r="M480" s="45">
        <v>13319.006195435319</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1.8089196281141071E-2</v>
      </c>
      <c r="G482" s="133">
        <v>1.348885343109767E-2</v>
      </c>
      <c r="H482" s="133">
        <v>1.9241860149095024E-2</v>
      </c>
      <c r="I482" s="133">
        <v>6.1059916703365856E-3</v>
      </c>
      <c r="J482" s="133">
        <v>6.1059916703365856E-3</v>
      </c>
      <c r="K482" s="133">
        <v>5.1165608770023584E-4</v>
      </c>
      <c r="L482" s="133">
        <v>6.5374664144644198E-2</v>
      </c>
      <c r="M482" s="45">
        <v>260.01093813692933</v>
      </c>
    </row>
    <row r="483" spans="1:13" x14ac:dyDescent="0.25">
      <c r="A483" s="812" t="s">
        <v>1999</v>
      </c>
      <c r="B483" s="812">
        <v>7</v>
      </c>
      <c r="C483" s="608">
        <v>39760</v>
      </c>
      <c r="D483" s="812">
        <v>99705</v>
      </c>
      <c r="E483" s="812" t="s">
        <v>1599</v>
      </c>
      <c r="F483" s="133">
        <v>3.0843543659992472</v>
      </c>
      <c r="G483" s="133">
        <v>0.65666478594364452</v>
      </c>
      <c r="H483" s="133">
        <v>1.0908681111437784</v>
      </c>
      <c r="I483" s="133">
        <v>0.94805278199781273</v>
      </c>
      <c r="J483" s="133">
        <v>0.94805278199781273</v>
      </c>
      <c r="K483" s="133">
        <v>4.4257157308955214E-2</v>
      </c>
      <c r="L483" s="133">
        <v>10.341059553456915</v>
      </c>
      <c r="M483" s="45">
        <v>13424.454130303693</v>
      </c>
    </row>
    <row r="484" spans="1:13" x14ac:dyDescent="0.25">
      <c r="A484" s="812" t="s">
        <v>1999</v>
      </c>
      <c r="B484" s="812">
        <v>7</v>
      </c>
      <c r="C484" s="608">
        <v>39760</v>
      </c>
      <c r="D484" s="812">
        <v>99709</v>
      </c>
      <c r="E484" s="812" t="s">
        <v>1600</v>
      </c>
      <c r="F484" s="133">
        <v>2.7258137070425859</v>
      </c>
      <c r="G484" s="133">
        <v>0.78990546606943735</v>
      </c>
      <c r="H484" s="133">
        <v>1.2599775843992289</v>
      </c>
      <c r="I484" s="133">
        <v>0.75119577246742775</v>
      </c>
      <c r="J484" s="133">
        <v>0.75119577246742775</v>
      </c>
      <c r="K484" s="133">
        <v>4.221963863085644E-2</v>
      </c>
      <c r="L484" s="133">
        <v>7.8387648774290879</v>
      </c>
      <c r="M484" s="45">
        <v>16066.699565568355</v>
      </c>
    </row>
    <row r="485" spans="1:13" x14ac:dyDescent="0.25">
      <c r="A485" s="812" t="s">
        <v>1999</v>
      </c>
      <c r="B485" s="812">
        <v>7</v>
      </c>
      <c r="C485" s="608">
        <v>39760</v>
      </c>
      <c r="D485" s="812">
        <v>99712</v>
      </c>
      <c r="E485" s="812" t="s">
        <v>1601</v>
      </c>
      <c r="F485" s="133">
        <v>1.4702034890139768</v>
      </c>
      <c r="G485" s="133">
        <v>0.2645532426956847</v>
      </c>
      <c r="H485" s="133">
        <v>0.47053097767066177</v>
      </c>
      <c r="I485" s="133">
        <v>0.40520599818964365</v>
      </c>
      <c r="J485" s="133">
        <v>0.40520599818964365</v>
      </c>
      <c r="K485" s="133">
        <v>1.9111345410782604E-2</v>
      </c>
      <c r="L485" s="133">
        <v>4.2718613882526917</v>
      </c>
      <c r="M485" s="45">
        <v>5494.3089191597328</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7.12656848356304E-5</v>
      </c>
      <c r="G497" s="133">
        <v>1.6549406543236969E-3</v>
      </c>
      <c r="H497" s="133">
        <v>9.0966443271616674E-4</v>
      </c>
      <c r="I497" s="133">
        <v>6.0772882074599987E-5</v>
      </c>
      <c r="J497" s="133">
        <v>6.0772882074599987E-5</v>
      </c>
      <c r="K497" s="133">
        <v>7.5977909431968908E-5</v>
      </c>
      <c r="L497" s="133">
        <v>1.8040259161020871E-4</v>
      </c>
      <c r="M497" s="45">
        <v>27.290476070308642</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0.80958749730535129</v>
      </c>
      <c r="G499" s="133">
        <v>0.74188528361738681</v>
      </c>
      <c r="H499" s="133">
        <v>0.89756551603977286</v>
      </c>
      <c r="I499" s="133">
        <v>0.24223302045731748</v>
      </c>
      <c r="J499" s="133">
        <v>0.24223302045731748</v>
      </c>
      <c r="K499" s="133">
        <v>2.9750054469473375E-2</v>
      </c>
      <c r="L499" s="133">
        <v>2.4168170839332768</v>
      </c>
      <c r="M499" s="45">
        <v>13805.177401942217</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1.9761179662819837E-2</v>
      </c>
      <c r="G501" s="133">
        <v>1.4185841206399836E-2</v>
      </c>
      <c r="H501" s="133">
        <v>2.0542038960553392E-2</v>
      </c>
      <c r="I501" s="133">
        <v>6.6233279114242156E-3</v>
      </c>
      <c r="J501" s="133">
        <v>6.6233279114242156E-3</v>
      </c>
      <c r="K501" s="133">
        <v>5.3273588539558671E-4</v>
      </c>
      <c r="L501" s="133">
        <v>7.1042815731810774E-2</v>
      </c>
      <c r="M501" s="45">
        <v>274.41996770184716</v>
      </c>
    </row>
    <row r="502" spans="1:13" x14ac:dyDescent="0.25">
      <c r="A502" s="812" t="s">
        <v>1999</v>
      </c>
      <c r="B502" s="812">
        <v>8</v>
      </c>
      <c r="C502" s="608">
        <v>39761</v>
      </c>
      <c r="D502" s="812">
        <v>99705</v>
      </c>
      <c r="E502" s="812" t="s">
        <v>1599</v>
      </c>
      <c r="F502" s="133">
        <v>3.3349681141304335</v>
      </c>
      <c r="G502" s="133">
        <v>0.69806917152652215</v>
      </c>
      <c r="H502" s="133">
        <v>1.1634002368797629</v>
      </c>
      <c r="I502" s="133">
        <v>1.0216073299654165</v>
      </c>
      <c r="J502" s="133">
        <v>1.0216073299654165</v>
      </c>
      <c r="K502" s="133">
        <v>4.7430149375508983E-2</v>
      </c>
      <c r="L502" s="133">
        <v>11.157341781140978</v>
      </c>
      <c r="M502" s="45">
        <v>14273.80086370698</v>
      </c>
    </row>
    <row r="503" spans="1:13" x14ac:dyDescent="0.25">
      <c r="A503" s="812" t="s">
        <v>1999</v>
      </c>
      <c r="B503" s="812">
        <v>8</v>
      </c>
      <c r="C503" s="608">
        <v>39761</v>
      </c>
      <c r="D503" s="812">
        <v>99709</v>
      </c>
      <c r="E503" s="812" t="s">
        <v>1600</v>
      </c>
      <c r="F503" s="133">
        <v>2.5326479674002842</v>
      </c>
      <c r="G503" s="133">
        <v>0.7740829737285535</v>
      </c>
      <c r="H503" s="133">
        <v>1.2262611440711992</v>
      </c>
      <c r="I503" s="133">
        <v>0.70472675164313414</v>
      </c>
      <c r="J503" s="133">
        <v>0.70472675164313414</v>
      </c>
      <c r="K503" s="133">
        <v>4.0198384852641357E-2</v>
      </c>
      <c r="L503" s="133">
        <v>7.3621878131507952</v>
      </c>
      <c r="M503" s="45">
        <v>15707.48635094523</v>
      </c>
    </row>
    <row r="504" spans="1:13" x14ac:dyDescent="0.25">
      <c r="A504" s="812" t="s">
        <v>1999</v>
      </c>
      <c r="B504" s="812">
        <v>8</v>
      </c>
      <c r="C504" s="608">
        <v>39761</v>
      </c>
      <c r="D504" s="812">
        <v>99712</v>
      </c>
      <c r="E504" s="812" t="s">
        <v>1601</v>
      </c>
      <c r="F504" s="133">
        <v>1.2530706919631052</v>
      </c>
      <c r="G504" s="133">
        <v>0.23795322669873192</v>
      </c>
      <c r="H504" s="133">
        <v>0.42077044767675059</v>
      </c>
      <c r="I504" s="133">
        <v>0.35090669071214164</v>
      </c>
      <c r="J504" s="133">
        <v>0.35090669071214164</v>
      </c>
      <c r="K504" s="133">
        <v>1.6634080492594776E-2</v>
      </c>
      <c r="L504" s="133">
        <v>3.7062414445613245</v>
      </c>
      <c r="M504" s="45">
        <v>4939.5272771982964</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7.2718605358735E-5</v>
      </c>
      <c r="G516" s="133">
        <v>1.6916202748228323E-3</v>
      </c>
      <c r="H516" s="133">
        <v>9.3559121869031081E-4</v>
      </c>
      <c r="I516" s="133">
        <v>6.1703315870991352E-5</v>
      </c>
      <c r="J516" s="133">
        <v>6.1703315870991352E-5</v>
      </c>
      <c r="K516" s="133">
        <v>7.602782720514532E-5</v>
      </c>
      <c r="L516" s="133">
        <v>1.8131519209216927E-4</v>
      </c>
      <c r="M516" s="45">
        <v>27.854934674656437</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0.71007146424577661</v>
      </c>
      <c r="G518" s="133">
        <v>0.64649090800165965</v>
      </c>
      <c r="H518" s="133">
        <v>0.78484545240905179</v>
      </c>
      <c r="I518" s="133">
        <v>0.21170132887694032</v>
      </c>
      <c r="J518" s="133">
        <v>0.21170132887694032</v>
      </c>
      <c r="K518" s="133">
        <v>2.8451621394750385E-2</v>
      </c>
      <c r="L518" s="133">
        <v>2.0994481633711821</v>
      </c>
      <c r="M518" s="45">
        <v>12153.882140680424</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1.7474627296017176E-2</v>
      </c>
      <c r="G520" s="133">
        <v>1.2443625043747441E-2</v>
      </c>
      <c r="H520" s="133">
        <v>1.8163569095187595E-2</v>
      </c>
      <c r="I520" s="133">
        <v>5.8017422244865486E-3</v>
      </c>
      <c r="J520" s="133">
        <v>5.8017422244865486E-3</v>
      </c>
      <c r="K520" s="133">
        <v>4.9924674387899406E-4</v>
      </c>
      <c r="L520" s="133">
        <v>6.1712009596510041E-2</v>
      </c>
      <c r="M520" s="45">
        <v>242.97641128787805</v>
      </c>
    </row>
    <row r="521" spans="1:13" x14ac:dyDescent="0.25">
      <c r="A521" s="812" t="s">
        <v>1999</v>
      </c>
      <c r="B521" s="812">
        <v>9</v>
      </c>
      <c r="C521" s="608">
        <v>39762</v>
      </c>
      <c r="D521" s="812">
        <v>99705</v>
      </c>
      <c r="E521" s="812" t="s">
        <v>1599</v>
      </c>
      <c r="F521" s="133">
        <v>2.8590182036288154</v>
      </c>
      <c r="G521" s="133">
        <v>0.59528182786310579</v>
      </c>
      <c r="H521" s="133">
        <v>0.99369493466721515</v>
      </c>
      <c r="I521" s="133">
        <v>0.86303951251215716</v>
      </c>
      <c r="J521" s="133">
        <v>0.86303951251215716</v>
      </c>
      <c r="K521" s="133">
        <v>4.0582045227300641E-2</v>
      </c>
      <c r="L521" s="133">
        <v>9.2850085459769574</v>
      </c>
      <c r="M521" s="45">
        <v>12219.440591907283</v>
      </c>
    </row>
    <row r="522" spans="1:13" x14ac:dyDescent="0.25">
      <c r="A522" s="812" t="s">
        <v>1999</v>
      </c>
      <c r="B522" s="812">
        <v>9</v>
      </c>
      <c r="C522" s="608">
        <v>39762</v>
      </c>
      <c r="D522" s="812">
        <v>99709</v>
      </c>
      <c r="E522" s="812" t="s">
        <v>1600</v>
      </c>
      <c r="F522" s="133">
        <v>2.1826940512021884</v>
      </c>
      <c r="G522" s="133">
        <v>0.67477775846655896</v>
      </c>
      <c r="H522" s="133">
        <v>1.0745572254009048</v>
      </c>
      <c r="I522" s="133">
        <v>0.60311405956453845</v>
      </c>
      <c r="J522" s="133">
        <v>0.60311405956453845</v>
      </c>
      <c r="K522" s="133">
        <v>3.5921340568431374E-2</v>
      </c>
      <c r="L522" s="133">
        <v>6.2393986416545939</v>
      </c>
      <c r="M522" s="45">
        <v>13779.178350503211</v>
      </c>
    </row>
    <row r="523" spans="1:13" x14ac:dyDescent="0.25">
      <c r="A523" s="812" t="s">
        <v>1999</v>
      </c>
      <c r="B523" s="812">
        <v>9</v>
      </c>
      <c r="C523" s="608">
        <v>39762</v>
      </c>
      <c r="D523" s="812">
        <v>99712</v>
      </c>
      <c r="E523" s="812" t="s">
        <v>1601</v>
      </c>
      <c r="F523" s="133">
        <v>1.1128606137631236</v>
      </c>
      <c r="G523" s="133">
        <v>0.21107311139147863</v>
      </c>
      <c r="H523" s="133">
        <v>0.37564813315478568</v>
      </c>
      <c r="I523" s="133">
        <v>0.30786928974627498</v>
      </c>
      <c r="J523" s="133">
        <v>0.30786928974627498</v>
      </c>
      <c r="K523" s="133">
        <v>1.4715446124187702E-2</v>
      </c>
      <c r="L523" s="133">
        <v>3.2070440902532757</v>
      </c>
      <c r="M523" s="45">
        <v>4401.5121851482463</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6.3274621958554962E-5</v>
      </c>
      <c r="G535" s="133">
        <v>1.4532027415784551E-3</v>
      </c>
      <c r="H535" s="133">
        <v>7.670671098583741E-4</v>
      </c>
      <c r="I535" s="133">
        <v>5.5655496194447463E-5</v>
      </c>
      <c r="J535" s="133">
        <v>5.5655496194447463E-5</v>
      </c>
      <c r="K535" s="133">
        <v>7.5703361679498718E-5</v>
      </c>
      <c r="L535" s="133">
        <v>1.7538328895942576E-4</v>
      </c>
      <c r="M535" s="45">
        <v>24.18595374639575</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0.63466216198128556</v>
      </c>
      <c r="G537" s="133">
        <v>0.61638550696297667</v>
      </c>
      <c r="H537" s="133">
        <v>0.73322756030804592</v>
      </c>
      <c r="I537" s="133">
        <v>0.19191419114960195</v>
      </c>
      <c r="J537" s="133">
        <v>0.19191419114960195</v>
      </c>
      <c r="K537" s="133">
        <v>2.7588221533739552E-2</v>
      </c>
      <c r="L537" s="133">
        <v>1.8975923627800788</v>
      </c>
      <c r="M537" s="45">
        <v>11552.661776018855</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1.5734673026554784E-2</v>
      </c>
      <c r="G539" s="133">
        <v>1.1724442918343412E-2</v>
      </c>
      <c r="H539" s="133">
        <v>1.6815432020672053E-2</v>
      </c>
      <c r="I539" s="133">
        <v>5.2635948350025705E-3</v>
      </c>
      <c r="J539" s="133">
        <v>5.2635948350025705E-3</v>
      </c>
      <c r="K539" s="133">
        <v>4.7731677089110419E-4</v>
      </c>
      <c r="L539" s="133">
        <v>5.5814236871256917E-2</v>
      </c>
      <c r="M539" s="45">
        <v>228.07387462036752</v>
      </c>
    </row>
    <row r="540" spans="1:13" x14ac:dyDescent="0.25">
      <c r="A540" s="812" t="s">
        <v>1999</v>
      </c>
      <c r="B540" s="812">
        <v>10</v>
      </c>
      <c r="C540" s="608">
        <v>39763</v>
      </c>
      <c r="D540" s="812">
        <v>99705</v>
      </c>
      <c r="E540" s="812" t="s">
        <v>1599</v>
      </c>
      <c r="F540" s="133">
        <v>2.6476135680316508</v>
      </c>
      <c r="G540" s="133">
        <v>0.56235649773120233</v>
      </c>
      <c r="H540" s="133">
        <v>0.93641000866941504</v>
      </c>
      <c r="I540" s="133">
        <v>0.8038146804612134</v>
      </c>
      <c r="J540" s="133">
        <v>0.8038146804612134</v>
      </c>
      <c r="K540" s="133">
        <v>3.8010395179444351E-2</v>
      </c>
      <c r="L540" s="133">
        <v>8.6397504025877154</v>
      </c>
      <c r="M540" s="45">
        <v>11545.670238189561</v>
      </c>
    </row>
    <row r="541" spans="1:13" x14ac:dyDescent="0.25">
      <c r="A541" s="812" t="s">
        <v>1999</v>
      </c>
      <c r="B541" s="812">
        <v>10</v>
      </c>
      <c r="C541" s="608">
        <v>39763</v>
      </c>
      <c r="D541" s="812">
        <v>99709</v>
      </c>
      <c r="E541" s="812" t="s">
        <v>1600</v>
      </c>
      <c r="F541" s="133">
        <v>2.0279679015155914</v>
      </c>
      <c r="G541" s="133">
        <v>0.64532999459905849</v>
      </c>
      <c r="H541" s="133">
        <v>1.0222938184725514</v>
      </c>
      <c r="I541" s="133">
        <v>0.56477652631875375</v>
      </c>
      <c r="J541" s="133">
        <v>0.56477652631875375</v>
      </c>
      <c r="K541" s="133">
        <v>3.4251781263056814E-2</v>
      </c>
      <c r="L541" s="133">
        <v>5.8472570357038514</v>
      </c>
      <c r="M541" s="45">
        <v>13173.140114750124</v>
      </c>
    </row>
    <row r="542" spans="1:13" x14ac:dyDescent="0.25">
      <c r="A542" s="812" t="s">
        <v>1999</v>
      </c>
      <c r="B542" s="812">
        <v>10</v>
      </c>
      <c r="C542" s="608">
        <v>39763</v>
      </c>
      <c r="D542" s="812">
        <v>99712</v>
      </c>
      <c r="E542" s="812" t="s">
        <v>1601</v>
      </c>
      <c r="F542" s="133">
        <v>1.0229854393011666</v>
      </c>
      <c r="G542" s="133">
        <v>0.19906894630953115</v>
      </c>
      <c r="H542" s="133">
        <v>0.3537382300309167</v>
      </c>
      <c r="I542" s="133">
        <v>0.2855635436376649</v>
      </c>
      <c r="J542" s="133">
        <v>0.2855635436376649</v>
      </c>
      <c r="K542" s="133">
        <v>1.3698714282160688E-2</v>
      </c>
      <c r="L542" s="133">
        <v>2.9761612539187645</v>
      </c>
      <c r="M542" s="45">
        <v>4153.5499436598875</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6.1821701435450349E-5</v>
      </c>
      <c r="G554" s="133">
        <v>1.4165231210793202E-3</v>
      </c>
      <c r="H554" s="133">
        <v>7.4114032388423014E-4</v>
      </c>
      <c r="I554" s="133">
        <v>5.4725062398056098E-5</v>
      </c>
      <c r="J554" s="133">
        <v>5.4725062398056098E-5</v>
      </c>
      <c r="K554" s="133">
        <v>7.5653443906322334E-5</v>
      </c>
      <c r="L554" s="133">
        <v>1.7447068847746528E-4</v>
      </c>
      <c r="M554" s="45">
        <v>23.621495142047952</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0.63343237812565933</v>
      </c>
      <c r="G556" s="133">
        <v>0.61073247314393642</v>
      </c>
      <c r="H556" s="133">
        <v>0.72832682305739049</v>
      </c>
      <c r="I556" s="133">
        <v>0.19121465381929398</v>
      </c>
      <c r="J556" s="133">
        <v>0.19121465381929398</v>
      </c>
      <c r="K556" s="133">
        <v>2.7563683866842287E-2</v>
      </c>
      <c r="L556" s="133">
        <v>1.8903981903653202</v>
      </c>
      <c r="M556" s="45">
        <v>11463.640956550842</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1.5441548195428555E-2</v>
      </c>
      <c r="G558" s="133">
        <v>1.1550599324837835E-2</v>
      </c>
      <c r="H558" s="133">
        <v>1.6542132305812286E-2</v>
      </c>
      <c r="I558" s="133">
        <v>5.1706635078034476E-3</v>
      </c>
      <c r="J558" s="133">
        <v>5.1706635078034476E-3</v>
      </c>
      <c r="K558" s="133">
        <v>4.7358441836873314E-4</v>
      </c>
      <c r="L558" s="133">
        <v>5.4808276944454122E-2</v>
      </c>
      <c r="M558" s="45">
        <v>224.74856835133849</v>
      </c>
    </row>
    <row r="559" spans="1:13" x14ac:dyDescent="0.25">
      <c r="A559" s="812" t="s">
        <v>1999</v>
      </c>
      <c r="B559" s="812">
        <v>11</v>
      </c>
      <c r="C559" s="608">
        <v>39764</v>
      </c>
      <c r="D559" s="812">
        <v>99705</v>
      </c>
      <c r="E559" s="812" t="s">
        <v>1599</v>
      </c>
      <c r="F559" s="133">
        <v>2.6648677524950126</v>
      </c>
      <c r="G559" s="133">
        <v>0.5636239596931778</v>
      </c>
      <c r="H559" s="133">
        <v>0.94002307603734447</v>
      </c>
      <c r="I559" s="133">
        <v>0.80827225970199956</v>
      </c>
      <c r="J559" s="133">
        <v>0.80827225970199956</v>
      </c>
      <c r="K559" s="133">
        <v>3.822189775870917E-2</v>
      </c>
      <c r="L559" s="133">
        <v>8.6872764253315573</v>
      </c>
      <c r="M559" s="45">
        <v>11577.259371833301</v>
      </c>
    </row>
    <row r="560" spans="1:13" x14ac:dyDescent="0.25">
      <c r="A560" s="812" t="s">
        <v>1999</v>
      </c>
      <c r="B560" s="812">
        <v>11</v>
      </c>
      <c r="C560" s="608">
        <v>39764</v>
      </c>
      <c r="D560" s="812">
        <v>99709</v>
      </c>
      <c r="E560" s="812" t="s">
        <v>1600</v>
      </c>
      <c r="F560" s="133">
        <v>2.1846338126272369</v>
      </c>
      <c r="G560" s="133">
        <v>0.66261995191558343</v>
      </c>
      <c r="H560" s="133">
        <v>1.0578719973227357</v>
      </c>
      <c r="I560" s="133">
        <v>0.60298880478640826</v>
      </c>
      <c r="J560" s="133">
        <v>0.60298880478640826</v>
      </c>
      <c r="K560" s="133">
        <v>3.5926833385997871E-2</v>
      </c>
      <c r="L560" s="133">
        <v>6.2401663856038043</v>
      </c>
      <c r="M560" s="45">
        <v>13555.214932150971</v>
      </c>
    </row>
    <row r="561" spans="1:13" x14ac:dyDescent="0.25">
      <c r="A561" s="812" t="s">
        <v>1999</v>
      </c>
      <c r="B561" s="812">
        <v>11</v>
      </c>
      <c r="C561" s="608">
        <v>39764</v>
      </c>
      <c r="D561" s="812">
        <v>99712</v>
      </c>
      <c r="E561" s="812" t="s">
        <v>1601</v>
      </c>
      <c r="F561" s="133">
        <v>1.1567025706245273</v>
      </c>
      <c r="G561" s="133">
        <v>0.21549503804638351</v>
      </c>
      <c r="H561" s="133">
        <v>0.38433479382185748</v>
      </c>
      <c r="I561" s="133">
        <v>0.31907847307590526</v>
      </c>
      <c r="J561" s="133">
        <v>0.31907847307590526</v>
      </c>
      <c r="K561" s="133">
        <v>1.522775370907857E-2</v>
      </c>
      <c r="L561" s="133">
        <v>3.325732717455903</v>
      </c>
      <c r="M561" s="45">
        <v>4495.5047130529001</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6.1095241173898029E-5</v>
      </c>
      <c r="G573" s="133">
        <v>1.3981833108297522E-3</v>
      </c>
      <c r="H573" s="133">
        <v>7.2817693089715773E-4</v>
      </c>
      <c r="I573" s="133">
        <v>5.4259845499860415E-5</v>
      </c>
      <c r="J573" s="133">
        <v>5.4259845499860415E-5</v>
      </c>
      <c r="K573" s="133">
        <v>7.5628485019734108E-5</v>
      </c>
      <c r="L573" s="133">
        <v>1.7401438823648493E-4</v>
      </c>
      <c r="M573" s="45">
        <v>23.339265839874049</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0.67169149109770099</v>
      </c>
      <c r="G575" s="133">
        <v>0.65037295013094942</v>
      </c>
      <c r="H575" s="133">
        <v>0.77095909844108623</v>
      </c>
      <c r="I575" s="133">
        <v>0.20150814606049419</v>
      </c>
      <c r="J575" s="133">
        <v>0.20150814606049419</v>
      </c>
      <c r="K575" s="133">
        <v>2.8019658082026593E-2</v>
      </c>
      <c r="L575" s="133">
        <v>1.9878614793566907</v>
      </c>
      <c r="M575" s="45">
        <v>12127.668738944107</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1.6253588473179391E-2</v>
      </c>
      <c r="G577" s="133">
        <v>1.2219421926374003E-2</v>
      </c>
      <c r="H577" s="133">
        <v>1.7358291237061282E-2</v>
      </c>
      <c r="I577" s="133">
        <v>5.426499274551062E-3</v>
      </c>
      <c r="J577" s="133">
        <v>5.426499274551062E-3</v>
      </c>
      <c r="K577" s="133">
        <v>4.8457126126822254E-4</v>
      </c>
      <c r="L577" s="133">
        <v>5.7500874946198932E-2</v>
      </c>
      <c r="M577" s="45">
        <v>236.2725707432254</v>
      </c>
    </row>
    <row r="578" spans="1:13" x14ac:dyDescent="0.25">
      <c r="A578" s="812" t="s">
        <v>1999</v>
      </c>
      <c r="B578" s="812">
        <v>12</v>
      </c>
      <c r="C578" s="608">
        <v>39765</v>
      </c>
      <c r="D578" s="812">
        <v>99705</v>
      </c>
      <c r="E578" s="812" t="s">
        <v>1599</v>
      </c>
      <c r="F578" s="133">
        <v>2.8914210602101829</v>
      </c>
      <c r="G578" s="133">
        <v>0.60535419090469289</v>
      </c>
      <c r="H578" s="133">
        <v>1.0085815185682931</v>
      </c>
      <c r="I578" s="133">
        <v>0.87442548136095755</v>
      </c>
      <c r="J578" s="133">
        <v>0.87442548136095755</v>
      </c>
      <c r="K578" s="133">
        <v>4.1090004823855553E-2</v>
      </c>
      <c r="L578" s="133">
        <v>9.4185676285765201</v>
      </c>
      <c r="M578" s="45">
        <v>12410.064258395372</v>
      </c>
    </row>
    <row r="579" spans="1:13" x14ac:dyDescent="0.25">
      <c r="A579" s="812" t="s">
        <v>1999</v>
      </c>
      <c r="B579" s="812">
        <v>12</v>
      </c>
      <c r="C579" s="608">
        <v>39765</v>
      </c>
      <c r="D579" s="812">
        <v>99709</v>
      </c>
      <c r="E579" s="812" t="s">
        <v>1600</v>
      </c>
      <c r="F579" s="133">
        <v>2.4654216117408607</v>
      </c>
      <c r="G579" s="133">
        <v>0.71714484670341017</v>
      </c>
      <c r="H579" s="133">
        <v>1.1435954617335209</v>
      </c>
      <c r="I579" s="133">
        <v>0.67302062738637913</v>
      </c>
      <c r="J579" s="133">
        <v>0.67302062738637913</v>
      </c>
      <c r="K579" s="133">
        <v>3.8962706309014446E-2</v>
      </c>
      <c r="L579" s="133">
        <v>6.9596678942418455</v>
      </c>
      <c r="M579" s="45">
        <v>14626.133523765979</v>
      </c>
    </row>
    <row r="580" spans="1:13" x14ac:dyDescent="0.25">
      <c r="A580" s="812" t="s">
        <v>1999</v>
      </c>
      <c r="B580" s="812">
        <v>12</v>
      </c>
      <c r="C580" s="608">
        <v>39765</v>
      </c>
      <c r="D580" s="812">
        <v>99712</v>
      </c>
      <c r="E580" s="812" t="s">
        <v>1601</v>
      </c>
      <c r="F580" s="133">
        <v>1.3726207467448872</v>
      </c>
      <c r="G580" s="133">
        <v>0.24446779870369323</v>
      </c>
      <c r="H580" s="133">
        <v>0.43587846914093104</v>
      </c>
      <c r="I580" s="133">
        <v>0.3739273421145512</v>
      </c>
      <c r="J580" s="133">
        <v>0.3739273421145512</v>
      </c>
      <c r="K580" s="133">
        <v>1.7719670071771346E-2</v>
      </c>
      <c r="L580" s="133">
        <v>3.9008660494074272</v>
      </c>
      <c r="M580" s="45">
        <v>5087.8950275315065</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6.5454002743211908E-5</v>
      </c>
      <c r="G592" s="133">
        <v>1.5082221723271576E-3</v>
      </c>
      <c r="H592" s="133">
        <v>8.0595728881958982E-4</v>
      </c>
      <c r="I592" s="133">
        <v>5.7051146889034518E-5</v>
      </c>
      <c r="J592" s="133">
        <v>5.7051146889034518E-5</v>
      </c>
      <c r="K592" s="133">
        <v>7.5778238339263302E-5</v>
      </c>
      <c r="L592" s="133">
        <v>1.7675218968236654E-4</v>
      </c>
      <c r="M592" s="45">
        <v>25.032641652917444</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0.77796428962135933</v>
      </c>
      <c r="G594" s="133">
        <v>0.7136303155247038</v>
      </c>
      <c r="H594" s="133">
        <v>0.8582898156837675</v>
      </c>
      <c r="I594" s="133">
        <v>0.22990567328689321</v>
      </c>
      <c r="J594" s="133">
        <v>0.22990567328689321</v>
      </c>
      <c r="K594" s="133">
        <v>2.9257216998293895E-2</v>
      </c>
      <c r="L594" s="133">
        <v>2.2725966379917981</v>
      </c>
      <c r="M594" s="45">
        <v>13284.857818241273</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1.8873551098811028E-2</v>
      </c>
      <c r="G596" s="133">
        <v>1.3596875463105814E-2</v>
      </c>
      <c r="H596" s="133">
        <v>1.9612570837486271E-2</v>
      </c>
      <c r="I596" s="133">
        <v>6.2463982843764887E-3</v>
      </c>
      <c r="J596" s="133">
        <v>6.2463982843764887E-3</v>
      </c>
      <c r="K596" s="133">
        <v>5.1796967083044573E-4</v>
      </c>
      <c r="L596" s="133">
        <v>6.6406184466164808E-2</v>
      </c>
      <c r="M596" s="45">
        <v>263.0788669648453</v>
      </c>
    </row>
    <row r="597" spans="1:13" x14ac:dyDescent="0.25">
      <c r="A597" s="812" t="s">
        <v>1999</v>
      </c>
      <c r="B597" s="812">
        <v>13</v>
      </c>
      <c r="C597" s="608">
        <v>39766</v>
      </c>
      <c r="D597" s="812">
        <v>99705</v>
      </c>
      <c r="E597" s="812" t="s">
        <v>1599</v>
      </c>
      <c r="F597" s="133">
        <v>3.2286906378900611</v>
      </c>
      <c r="G597" s="133">
        <v>0.66656232099247903</v>
      </c>
      <c r="H597" s="133">
        <v>1.1114399591428352</v>
      </c>
      <c r="I597" s="133">
        <v>0.97395955579679749</v>
      </c>
      <c r="J597" s="133">
        <v>0.97395955579679749</v>
      </c>
      <c r="K597" s="133">
        <v>4.5387285192940767E-2</v>
      </c>
      <c r="L597" s="133">
        <v>10.523750183353068</v>
      </c>
      <c r="M597" s="45">
        <v>13643.479830019109</v>
      </c>
    </row>
    <row r="598" spans="1:13" x14ac:dyDescent="0.25">
      <c r="A598" s="812" t="s">
        <v>1999</v>
      </c>
      <c r="B598" s="812">
        <v>13</v>
      </c>
      <c r="C598" s="608">
        <v>39766</v>
      </c>
      <c r="D598" s="812">
        <v>99709</v>
      </c>
      <c r="E598" s="812" t="s">
        <v>1600</v>
      </c>
      <c r="F598" s="133">
        <v>2.5351934967411029</v>
      </c>
      <c r="G598" s="133">
        <v>0.7527478300255569</v>
      </c>
      <c r="H598" s="133">
        <v>1.1945907299447613</v>
      </c>
      <c r="I598" s="133">
        <v>0.69142550166563699</v>
      </c>
      <c r="J598" s="133">
        <v>0.69142550166563699</v>
      </c>
      <c r="K598" s="133">
        <v>3.9750066221497765E-2</v>
      </c>
      <c r="L598" s="133">
        <v>7.144994257402864</v>
      </c>
      <c r="M598" s="45">
        <v>15295.435206359618</v>
      </c>
    </row>
    <row r="599" spans="1:13" x14ac:dyDescent="0.25">
      <c r="A599" s="812" t="s">
        <v>1999</v>
      </c>
      <c r="B599" s="812">
        <v>13</v>
      </c>
      <c r="C599" s="608">
        <v>39766</v>
      </c>
      <c r="D599" s="812">
        <v>99712</v>
      </c>
      <c r="E599" s="812" t="s">
        <v>1601</v>
      </c>
      <c r="F599" s="133">
        <v>1.3045596554498402</v>
      </c>
      <c r="G599" s="133">
        <v>0.23711849435137733</v>
      </c>
      <c r="H599" s="133">
        <v>0.42038516518883901</v>
      </c>
      <c r="I599" s="133">
        <v>0.35594893854961301</v>
      </c>
      <c r="J599" s="133">
        <v>0.35594893854961301</v>
      </c>
      <c r="K599" s="133">
        <v>1.6916228423546155E-2</v>
      </c>
      <c r="L599" s="133">
        <v>3.7082817584323582</v>
      </c>
      <c r="M599" s="45">
        <v>4925.8703283574587</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7.0539224574078053E-5</v>
      </c>
      <c r="G611" s="133">
        <v>1.6366008440741294E-3</v>
      </c>
      <c r="H611" s="133">
        <v>8.9670103972909422E-4</v>
      </c>
      <c r="I611" s="133">
        <v>6.0307665176404304E-5</v>
      </c>
      <c r="J611" s="133">
        <v>6.0307665176404304E-5</v>
      </c>
      <c r="K611" s="133">
        <v>7.5952950545380695E-5</v>
      </c>
      <c r="L611" s="133">
        <v>1.7994629136922841E-4</v>
      </c>
      <c r="M611" s="45">
        <v>27.00824676813474</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0.77953169031337011</v>
      </c>
      <c r="G613" s="133">
        <v>0.66918010949146667</v>
      </c>
      <c r="H613" s="133">
        <v>0.83460596181609803</v>
      </c>
      <c r="I613" s="133">
        <v>0.232939496696939</v>
      </c>
      <c r="J613" s="133">
        <v>0.232939496696939</v>
      </c>
      <c r="K613" s="133">
        <v>2.9345636971272994E-2</v>
      </c>
      <c r="L613" s="133">
        <v>2.3368493193671473</v>
      </c>
      <c r="M613" s="45">
        <v>12663.37733383402</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1.8695440742212473E-2</v>
      </c>
      <c r="G615" s="133">
        <v>1.2910164825262629E-2</v>
      </c>
      <c r="H615" s="133">
        <v>1.9136265707612732E-2</v>
      </c>
      <c r="I615" s="133">
        <v>6.2717152526581953E-3</v>
      </c>
      <c r="J615" s="133">
        <v>6.2717152526581953E-3</v>
      </c>
      <c r="K615" s="133">
        <v>5.1796137083867481E-4</v>
      </c>
      <c r="L615" s="133">
        <v>6.7434122750023945E-2</v>
      </c>
      <c r="M615" s="45">
        <v>253.22115190747192</v>
      </c>
    </row>
    <row r="616" spans="1:13" x14ac:dyDescent="0.25">
      <c r="A616" s="812" t="s">
        <v>1999</v>
      </c>
      <c r="B616" s="812">
        <v>14</v>
      </c>
      <c r="C616" s="608">
        <v>39767</v>
      </c>
      <c r="D616" s="812">
        <v>99705</v>
      </c>
      <c r="E616" s="812" t="s">
        <v>1599</v>
      </c>
      <c r="F616" s="133">
        <v>3.1408414471446022</v>
      </c>
      <c r="G616" s="133">
        <v>0.65390375913228427</v>
      </c>
      <c r="H616" s="133">
        <v>1.0990310891074888</v>
      </c>
      <c r="I616" s="133">
        <v>0.9643839321166926</v>
      </c>
      <c r="J616" s="133">
        <v>0.9643839321166926</v>
      </c>
      <c r="K616" s="133">
        <v>4.4955206202497447E-2</v>
      </c>
      <c r="L616" s="133">
        <v>10.525097036155559</v>
      </c>
      <c r="M616" s="45">
        <v>13431.589730683008</v>
      </c>
    </row>
    <row r="617" spans="1:13" x14ac:dyDescent="0.25">
      <c r="A617" s="812" t="s">
        <v>1999</v>
      </c>
      <c r="B617" s="812">
        <v>14</v>
      </c>
      <c r="C617" s="608">
        <v>39767</v>
      </c>
      <c r="D617" s="812">
        <v>99709</v>
      </c>
      <c r="E617" s="812" t="s">
        <v>1600</v>
      </c>
      <c r="F617" s="133">
        <v>2.7193255830771643</v>
      </c>
      <c r="G617" s="133">
        <v>0.76289927814255853</v>
      </c>
      <c r="H617" s="133">
        <v>1.24399917590326</v>
      </c>
      <c r="I617" s="133">
        <v>0.74992755287019686</v>
      </c>
      <c r="J617" s="133">
        <v>0.74992755287019686</v>
      </c>
      <c r="K617" s="133">
        <v>4.2149052092336124E-2</v>
      </c>
      <c r="L617" s="133">
        <v>7.8359692623434087</v>
      </c>
      <c r="M617" s="45">
        <v>15669.618917005038</v>
      </c>
    </row>
    <row r="618" spans="1:13" x14ac:dyDescent="0.25">
      <c r="A618" s="812" t="s">
        <v>1999</v>
      </c>
      <c r="B618" s="812">
        <v>14</v>
      </c>
      <c r="C618" s="608">
        <v>39767</v>
      </c>
      <c r="D618" s="812">
        <v>99712</v>
      </c>
      <c r="E618" s="812" t="s">
        <v>1601</v>
      </c>
      <c r="F618" s="133">
        <v>1.4589143518029501</v>
      </c>
      <c r="G618" s="133">
        <v>0.26084835773054271</v>
      </c>
      <c r="H618" s="133">
        <v>0.46676430930842577</v>
      </c>
      <c r="I618" s="133">
        <v>0.40323357398449455</v>
      </c>
      <c r="J618" s="133">
        <v>0.40323357398449455</v>
      </c>
      <c r="K618" s="133">
        <v>1.9007077990359368E-2</v>
      </c>
      <c r="L618" s="133">
        <v>4.256579697439741</v>
      </c>
      <c r="M618" s="45">
        <v>5432.192405588713</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6.3274621958554975E-5</v>
      </c>
      <c r="G630" s="133">
        <v>1.4532027415784556E-3</v>
      </c>
      <c r="H630" s="133">
        <v>7.6706710985837421E-4</v>
      </c>
      <c r="I630" s="133">
        <v>5.565549619444747E-5</v>
      </c>
      <c r="J630" s="133">
        <v>5.565549619444747E-5</v>
      </c>
      <c r="K630" s="133">
        <v>7.5703361679498732E-5</v>
      </c>
      <c r="L630" s="133">
        <v>1.7538328895942579E-4</v>
      </c>
      <c r="M630" s="45">
        <v>24.18595374639575</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0.7076518259001876</v>
      </c>
      <c r="G632" s="133">
        <v>0.68987962174426698</v>
      </c>
      <c r="H632" s="133">
        <v>0.82003750286432986</v>
      </c>
      <c r="I632" s="133">
        <v>0.21530961076264923</v>
      </c>
      <c r="J632" s="133">
        <v>0.21530961076264923</v>
      </c>
      <c r="K632" s="133">
        <v>2.8573744098727198E-2</v>
      </c>
      <c r="L632" s="133">
        <v>2.1453763257957061</v>
      </c>
      <c r="M632" s="45">
        <v>12825.15100708795</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1.7228435871824644E-2</v>
      </c>
      <c r="G634" s="133">
        <v>1.2995671682159001E-2</v>
      </c>
      <c r="H634" s="133">
        <v>1.8488339431392057E-2</v>
      </c>
      <c r="I634" s="133">
        <v>5.8369642118383056E-3</v>
      </c>
      <c r="J634" s="133">
        <v>5.8369642118383056E-3</v>
      </c>
      <c r="K634" s="133">
        <v>5.0054337631476407E-4</v>
      </c>
      <c r="L634" s="133">
        <v>6.2469250153415756E-2</v>
      </c>
      <c r="M634" s="45">
        <v>250.70176160546879</v>
      </c>
    </row>
    <row r="635" spans="1:13" x14ac:dyDescent="0.25">
      <c r="A635" s="812" t="s">
        <v>1999</v>
      </c>
      <c r="B635" s="812">
        <v>15</v>
      </c>
      <c r="C635" s="608">
        <v>39768</v>
      </c>
      <c r="D635" s="812">
        <v>99705</v>
      </c>
      <c r="E635" s="812" t="s">
        <v>1599</v>
      </c>
      <c r="F635" s="133">
        <v>2.962931640581306</v>
      </c>
      <c r="G635" s="133">
        <v>0.63438785759173166</v>
      </c>
      <c r="H635" s="133">
        <v>1.0536942450561317</v>
      </c>
      <c r="I635" s="133">
        <v>0.91283921510913479</v>
      </c>
      <c r="J635" s="133">
        <v>0.91283921510913479</v>
      </c>
      <c r="K635" s="133">
        <v>4.2698136410761006E-2</v>
      </c>
      <c r="L635" s="133">
        <v>9.9522812238657341</v>
      </c>
      <c r="M635" s="45">
        <v>12979.519173875526</v>
      </c>
    </row>
    <row r="636" spans="1:13" x14ac:dyDescent="0.25">
      <c r="A636" s="812" t="s">
        <v>1999</v>
      </c>
      <c r="B636" s="812">
        <v>15</v>
      </c>
      <c r="C636" s="608">
        <v>39768</v>
      </c>
      <c r="D636" s="812">
        <v>99709</v>
      </c>
      <c r="E636" s="812" t="s">
        <v>1600</v>
      </c>
      <c r="F636" s="133">
        <v>2.4457699155173942</v>
      </c>
      <c r="G636" s="133">
        <v>0.74228158624211404</v>
      </c>
      <c r="H636" s="133">
        <v>1.1759612302524596</v>
      </c>
      <c r="I636" s="133">
        <v>0.68351033363523839</v>
      </c>
      <c r="J636" s="133">
        <v>0.68351033363523839</v>
      </c>
      <c r="K636" s="133">
        <v>3.9241890193434964E-2</v>
      </c>
      <c r="L636" s="133">
        <v>7.1529929591083841</v>
      </c>
      <c r="M636" s="45">
        <v>15089.006841319628</v>
      </c>
    </row>
    <row r="637" spans="1:13" x14ac:dyDescent="0.25">
      <c r="A637" s="812" t="s">
        <v>1999</v>
      </c>
      <c r="B637" s="812">
        <v>15</v>
      </c>
      <c r="C637" s="608">
        <v>39768</v>
      </c>
      <c r="D637" s="812">
        <v>99712</v>
      </c>
      <c r="E637" s="812" t="s">
        <v>1601</v>
      </c>
      <c r="F637" s="133">
        <v>1.3444617350529318</v>
      </c>
      <c r="G637" s="133">
        <v>0.24857467934284352</v>
      </c>
      <c r="H637" s="133">
        <v>0.44154418988401012</v>
      </c>
      <c r="I637" s="133">
        <v>0.37480596201713112</v>
      </c>
      <c r="J637" s="133">
        <v>0.37480596201713112</v>
      </c>
      <c r="K637" s="133">
        <v>1.7708866614593324E-2</v>
      </c>
      <c r="L637" s="133">
        <v>3.9609695011747066</v>
      </c>
      <c r="M637" s="45">
        <v>5165.8225426144809</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6.9086304050973454E-5</v>
      </c>
      <c r="G649" s="133">
        <v>1.5999212235749947E-3</v>
      </c>
      <c r="H649" s="133">
        <v>8.7077425375495048E-4</v>
      </c>
      <c r="I649" s="133">
        <v>5.9377231380012932E-5</v>
      </c>
      <c r="J649" s="133">
        <v>5.9377231380012932E-5</v>
      </c>
      <c r="K649" s="133">
        <v>7.5903032772204324E-5</v>
      </c>
      <c r="L649" s="133">
        <v>1.7903369088726793E-4</v>
      </c>
      <c r="M649" s="45">
        <v>26.443788163786941</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0.68672034080012978</v>
      </c>
      <c r="G651" s="133">
        <v>0.62007606613524902</v>
      </c>
      <c r="H651" s="133">
        <v>0.75657183203277145</v>
      </c>
      <c r="I651" s="133">
        <v>0.20497320301638511</v>
      </c>
      <c r="J651" s="133">
        <v>0.20497320301638511</v>
      </c>
      <c r="K651" s="133">
        <v>2.8162990399857622E-2</v>
      </c>
      <c r="L651" s="133">
        <v>2.0339383413137733</v>
      </c>
      <c r="M651" s="45">
        <v>11711.735232053939</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1.6838083499555866E-2</v>
      </c>
      <c r="G653" s="133">
        <v>1.1933185561701132E-2</v>
      </c>
      <c r="H653" s="133">
        <v>1.7472266931427193E-2</v>
      </c>
      <c r="I653" s="133">
        <v>5.5959280141048432E-3</v>
      </c>
      <c r="J653" s="133">
        <v>5.5959280141048432E-3</v>
      </c>
      <c r="K653" s="133">
        <v>4.9095482246572588E-4</v>
      </c>
      <c r="L653" s="133">
        <v>5.952085915141804E-2</v>
      </c>
      <c r="M653" s="45">
        <v>233.80356730408946</v>
      </c>
    </row>
    <row r="654" spans="1:13" x14ac:dyDescent="0.25">
      <c r="A654" s="812" t="s">
        <v>1999</v>
      </c>
      <c r="B654" s="812">
        <v>16</v>
      </c>
      <c r="C654" s="608">
        <v>39769</v>
      </c>
      <c r="D654" s="812">
        <v>99705</v>
      </c>
      <c r="E654" s="812" t="s">
        <v>1599</v>
      </c>
      <c r="F654" s="133">
        <v>2.8319949407172973</v>
      </c>
      <c r="G654" s="133">
        <v>0.5892693139524835</v>
      </c>
      <c r="H654" s="133">
        <v>0.98797917162243509</v>
      </c>
      <c r="I654" s="133">
        <v>0.85738967668588451</v>
      </c>
      <c r="J654" s="133">
        <v>0.85738967668588451</v>
      </c>
      <c r="K654" s="133">
        <v>4.0351129542779869E-2</v>
      </c>
      <c r="L654" s="133">
        <v>9.233368406603546</v>
      </c>
      <c r="M654" s="45">
        <v>12116.923155656985</v>
      </c>
    </row>
    <row r="655" spans="1:13" x14ac:dyDescent="0.25">
      <c r="A655" s="812" t="s">
        <v>1999</v>
      </c>
      <c r="B655" s="812">
        <v>16</v>
      </c>
      <c r="C655" s="608">
        <v>39769</v>
      </c>
      <c r="D655" s="812">
        <v>99709</v>
      </c>
      <c r="E655" s="812" t="s">
        <v>1600</v>
      </c>
      <c r="F655" s="133">
        <v>2.3956958389169851</v>
      </c>
      <c r="G655" s="133">
        <v>0.69103619332766952</v>
      </c>
      <c r="H655" s="133">
        <v>1.1162610980594787</v>
      </c>
      <c r="I655" s="133">
        <v>0.6561649764971178</v>
      </c>
      <c r="J655" s="133">
        <v>0.6561649764971178</v>
      </c>
      <c r="K655" s="133">
        <v>3.8219054985687381E-2</v>
      </c>
      <c r="L655" s="133">
        <v>6.7933015774145096</v>
      </c>
      <c r="M655" s="45">
        <v>14182.514970132795</v>
      </c>
    </row>
    <row r="656" spans="1:13" x14ac:dyDescent="0.25">
      <c r="A656" s="812" t="s">
        <v>1999</v>
      </c>
      <c r="B656" s="812">
        <v>16</v>
      </c>
      <c r="C656" s="608">
        <v>39769</v>
      </c>
      <c r="D656" s="812">
        <v>99712</v>
      </c>
      <c r="E656" s="812" t="s">
        <v>1601</v>
      </c>
      <c r="F656" s="133">
        <v>1.3250670960972584</v>
      </c>
      <c r="G656" s="133">
        <v>0.23639919243706617</v>
      </c>
      <c r="H656" s="133">
        <v>0.42305179812846211</v>
      </c>
      <c r="I656" s="133">
        <v>0.36165559929212215</v>
      </c>
      <c r="J656" s="133">
        <v>0.36165559929212215</v>
      </c>
      <c r="K656" s="133">
        <v>1.7165835091345224E-2</v>
      </c>
      <c r="L656" s="133">
        <v>3.7718321972541933</v>
      </c>
      <c r="M656" s="45">
        <v>4929.8064122588421</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6.0368780912345749E-5</v>
      </c>
      <c r="G668" s="133">
        <v>1.3798435005801853E-3</v>
      </c>
      <c r="H668" s="133">
        <v>7.1521353791008586E-4</v>
      </c>
      <c r="I668" s="133">
        <v>5.3794628601664733E-5</v>
      </c>
      <c r="J668" s="133">
        <v>5.3794628601664733E-5</v>
      </c>
      <c r="K668" s="133">
        <v>7.5603526133145936E-5</v>
      </c>
      <c r="L668" s="133">
        <v>1.7355808799550472E-4</v>
      </c>
      <c r="M668" s="45">
        <v>23.057036537700153</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29314-6C2A-4127-BCE7-44BAEDD1924F}">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0.65996893246541755</v>
      </c>
      <c r="G5" s="133">
        <v>0.59420024843416508</v>
      </c>
      <c r="H5" s="133">
        <v>0.75854913890387599</v>
      </c>
      <c r="I5" s="133">
        <v>0.1953171762099688</v>
      </c>
      <c r="J5" s="133">
        <v>0.1953171762099688</v>
      </c>
      <c r="K5" s="133">
        <v>1.9159267150165027E-2</v>
      </c>
      <c r="L5" s="133">
        <v>1.9423438062667722</v>
      </c>
      <c r="M5" s="45">
        <v>11042.700480429559</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1.5847669363633504E-2</v>
      </c>
      <c r="G7" s="133">
        <v>1.1342216458807586E-2</v>
      </c>
      <c r="H7" s="133">
        <v>1.7013310821386279E-2</v>
      </c>
      <c r="I7" s="133">
        <v>5.2660752609795438E-3</v>
      </c>
      <c r="J7" s="133">
        <v>5.2660752609795438E-3</v>
      </c>
      <c r="K7" s="133">
        <v>3.6161628697095252E-4</v>
      </c>
      <c r="L7" s="133">
        <v>5.6049189857600538E-2</v>
      </c>
      <c r="M7" s="45">
        <v>219.50848913127086</v>
      </c>
    </row>
    <row r="8" spans="1:13" x14ac:dyDescent="0.25">
      <c r="A8" s="812" t="s">
        <v>1996</v>
      </c>
      <c r="B8" s="812">
        <v>1</v>
      </c>
      <c r="C8" s="608">
        <v>39470</v>
      </c>
      <c r="D8" s="812">
        <v>99705</v>
      </c>
      <c r="E8" s="812" t="s">
        <v>1599</v>
      </c>
      <c r="F8" s="133">
        <v>2.7504364197498083</v>
      </c>
      <c r="G8" s="133">
        <v>0.57231797614162205</v>
      </c>
      <c r="H8" s="133">
        <v>0.96832805737058303</v>
      </c>
      <c r="I8" s="133">
        <v>0.83313891249318606</v>
      </c>
      <c r="J8" s="133">
        <v>0.83313891249318606</v>
      </c>
      <c r="K8" s="133">
        <v>3.7408230376298153E-2</v>
      </c>
      <c r="L8" s="133">
        <v>8.9656113193474525</v>
      </c>
      <c r="M8" s="45">
        <v>11755.361879936438</v>
      </c>
    </row>
    <row r="9" spans="1:13" x14ac:dyDescent="0.25">
      <c r="A9" s="812" t="s">
        <v>1996</v>
      </c>
      <c r="B9" s="812">
        <v>1</v>
      </c>
      <c r="C9" s="608">
        <v>39470</v>
      </c>
      <c r="D9" s="812">
        <v>99709</v>
      </c>
      <c r="E9" s="812" t="s">
        <v>1600</v>
      </c>
      <c r="F9" s="133">
        <v>2.569889699043697</v>
      </c>
      <c r="G9" s="133">
        <v>0.69968181785761052</v>
      </c>
      <c r="H9" s="133">
        <v>1.1624947042945803</v>
      </c>
      <c r="I9" s="133">
        <v>0.69849461487706166</v>
      </c>
      <c r="J9" s="133">
        <v>0.69849461487706166</v>
      </c>
      <c r="K9" s="133">
        <v>3.5369941554553676E-2</v>
      </c>
      <c r="L9" s="133">
        <v>7.239836326640928</v>
      </c>
      <c r="M9" s="45">
        <v>14329.23183961173</v>
      </c>
    </row>
    <row r="10" spans="1:13" x14ac:dyDescent="0.25">
      <c r="A10" s="812" t="s">
        <v>1996</v>
      </c>
      <c r="B10" s="812">
        <v>1</v>
      </c>
      <c r="C10" s="608">
        <v>39470</v>
      </c>
      <c r="D10" s="812">
        <v>99712</v>
      </c>
      <c r="E10" s="812" t="s">
        <v>1601</v>
      </c>
      <c r="F10" s="133">
        <v>1.513511796619986</v>
      </c>
      <c r="G10" s="133">
        <v>0.25979842158845368</v>
      </c>
      <c r="H10" s="133">
        <v>0.46899676539698737</v>
      </c>
      <c r="I10" s="133">
        <v>0.41008304496350417</v>
      </c>
      <c r="J10" s="133">
        <v>0.41008304496350417</v>
      </c>
      <c r="K10" s="133">
        <v>1.8904152602151583E-2</v>
      </c>
      <c r="L10" s="133">
        <v>4.2833391561358898</v>
      </c>
      <c r="M10" s="45">
        <v>5416.5617721796743</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5.5007616407841731E-5</v>
      </c>
      <c r="G22" s="133">
        <v>1.3098260434152552E-3</v>
      </c>
      <c r="H22" s="133">
        <v>7.8357151998201561E-4</v>
      </c>
      <c r="I22" s="133">
        <v>4.3504332058335996E-5</v>
      </c>
      <c r="J22" s="133">
        <v>4.3504332058335996E-5</v>
      </c>
      <c r="K22" s="133">
        <v>4.210638460802809E-5</v>
      </c>
      <c r="L22" s="133">
        <v>1.0873835085582341E-4</v>
      </c>
      <c r="M22" s="45">
        <v>21.153725242225853</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0.91431453637639593</v>
      </c>
      <c r="G24" s="133">
        <v>0.77777843675315883</v>
      </c>
      <c r="H24" s="133">
        <v>0.98898205327631505</v>
      </c>
      <c r="I24" s="133">
        <v>0.26347167974318941</v>
      </c>
      <c r="J24" s="133">
        <v>0.26347167974318941</v>
      </c>
      <c r="K24" s="133">
        <v>2.2142554861333492E-2</v>
      </c>
      <c r="L24" s="133">
        <v>2.6151338824825121</v>
      </c>
      <c r="M24" s="45">
        <v>14286.613982824092</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2.1489916377220301E-2</v>
      </c>
      <c r="G26" s="133">
        <v>1.4800295677843993E-2</v>
      </c>
      <c r="H26" s="133">
        <v>2.2072996846462963E-2</v>
      </c>
      <c r="I26" s="133">
        <v>7.0320490574431425E-3</v>
      </c>
      <c r="J26" s="133">
        <v>7.0320490574431425E-3</v>
      </c>
      <c r="K26" s="133">
        <v>4.3499366401875171E-4</v>
      </c>
      <c r="L26" s="133">
        <v>7.5045086025933155E-2</v>
      </c>
      <c r="M26" s="45">
        <v>283.62159790394833</v>
      </c>
    </row>
    <row r="27" spans="1:13" x14ac:dyDescent="0.25">
      <c r="A27" s="812" t="s">
        <v>1996</v>
      </c>
      <c r="B27" s="812">
        <v>2</v>
      </c>
      <c r="C27" s="608">
        <v>39471</v>
      </c>
      <c r="D27" s="812">
        <v>99705</v>
      </c>
      <c r="E27" s="812" t="s">
        <v>1599</v>
      </c>
      <c r="F27" s="133">
        <v>3.7130896857302549</v>
      </c>
      <c r="G27" s="133">
        <v>0.74770533427745167</v>
      </c>
      <c r="H27" s="133">
        <v>1.2592082374136202</v>
      </c>
      <c r="I27" s="133">
        <v>1.113761349535201</v>
      </c>
      <c r="J27" s="133">
        <v>1.113761349535201</v>
      </c>
      <c r="K27" s="133">
        <v>4.9624056791896715E-2</v>
      </c>
      <c r="L27" s="133">
        <v>12.067228934884151</v>
      </c>
      <c r="M27" s="45">
        <v>15269.614813997969</v>
      </c>
    </row>
    <row r="28" spans="1:13" x14ac:dyDescent="0.25">
      <c r="A28" s="812" t="s">
        <v>1996</v>
      </c>
      <c r="B28" s="812">
        <v>2</v>
      </c>
      <c r="C28" s="608">
        <v>39471</v>
      </c>
      <c r="D28" s="812">
        <v>99709</v>
      </c>
      <c r="E28" s="812" t="s">
        <v>1600</v>
      </c>
      <c r="F28" s="133">
        <v>3.427546026857323</v>
      </c>
      <c r="G28" s="133">
        <v>0.89210031105800602</v>
      </c>
      <c r="H28" s="133">
        <v>1.4683677550496606</v>
      </c>
      <c r="I28" s="133">
        <v>0.91219143021238525</v>
      </c>
      <c r="J28" s="133">
        <v>0.91219143021238525</v>
      </c>
      <c r="K28" s="133">
        <v>4.4648105134179772E-2</v>
      </c>
      <c r="L28" s="133">
        <v>9.4224289278429456</v>
      </c>
      <c r="M28" s="45">
        <v>18117.767589222716</v>
      </c>
    </row>
    <row r="29" spans="1:13" x14ac:dyDescent="0.25">
      <c r="A29" s="812" t="s">
        <v>1996</v>
      </c>
      <c r="B29" s="812">
        <v>2</v>
      </c>
      <c r="C29" s="608">
        <v>39471</v>
      </c>
      <c r="D29" s="812">
        <v>99712</v>
      </c>
      <c r="E29" s="812" t="s">
        <v>1601</v>
      </c>
      <c r="F29" s="133">
        <v>1.9096187683310402</v>
      </c>
      <c r="G29" s="133">
        <v>0.31541875374766615</v>
      </c>
      <c r="H29" s="133">
        <v>0.56514725666550691</v>
      </c>
      <c r="I29" s="133">
        <v>0.50906290111333707</v>
      </c>
      <c r="J29" s="133">
        <v>0.50906290111333707</v>
      </c>
      <c r="K29" s="133">
        <v>2.34240219048064E-2</v>
      </c>
      <c r="L29" s="133">
        <v>5.3116171859452157</v>
      </c>
      <c r="M29" s="45">
        <v>6541.3493305423135</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7.2098796072283736E-5</v>
      </c>
      <c r="G41" s="133">
        <v>1.7413004248457687E-3</v>
      </c>
      <c r="H41" s="133">
        <v>1.0885567894162772E-3</v>
      </c>
      <c r="I41" s="133">
        <v>5.4449329342849277E-5</v>
      </c>
      <c r="J41" s="133">
        <v>5.4449329342849277E-5</v>
      </c>
      <c r="K41" s="133">
        <v>4.2693583712342221E-5</v>
      </c>
      <c r="L41" s="133">
        <v>1.1947356902571686E-4</v>
      </c>
      <c r="M41" s="45">
        <v>27.793636556462094</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0.83456805630392683</v>
      </c>
      <c r="G43" s="133">
        <v>0.74656265196998628</v>
      </c>
      <c r="H43" s="133">
        <v>0.93510632009228412</v>
      </c>
      <c r="I43" s="133">
        <v>0.24270279060361302</v>
      </c>
      <c r="J43" s="133">
        <v>0.24270279060361302</v>
      </c>
      <c r="K43" s="133">
        <v>2.1233350532762065E-2</v>
      </c>
      <c r="L43" s="133">
        <v>2.4038432646912886</v>
      </c>
      <c r="M43" s="45">
        <v>13661.094481672078</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1.9808824676026168E-2</v>
      </c>
      <c r="G45" s="133">
        <v>1.4118920623167488E-2</v>
      </c>
      <c r="H45" s="133">
        <v>2.0812317532438351E-2</v>
      </c>
      <c r="I45" s="133">
        <v>6.5154586456624766E-3</v>
      </c>
      <c r="J45" s="133">
        <v>6.5154586456624766E-3</v>
      </c>
      <c r="K45" s="133">
        <v>4.1366831989236093E-4</v>
      </c>
      <c r="L45" s="133">
        <v>6.9389443595691325E-2</v>
      </c>
      <c r="M45" s="45">
        <v>269.58945987632904</v>
      </c>
    </row>
    <row r="46" spans="1:13" x14ac:dyDescent="0.25">
      <c r="A46" s="812" t="s">
        <v>1996</v>
      </c>
      <c r="B46" s="812">
        <v>3</v>
      </c>
      <c r="C46" s="608">
        <v>39472</v>
      </c>
      <c r="D46" s="812">
        <v>99705</v>
      </c>
      <c r="E46" s="812" t="s">
        <v>1599</v>
      </c>
      <c r="F46" s="133">
        <v>3.4366187827663652</v>
      </c>
      <c r="G46" s="133">
        <v>0.7023782828980325</v>
      </c>
      <c r="H46" s="133">
        <v>1.1791185509812472</v>
      </c>
      <c r="I46" s="133">
        <v>1.0334489518551231</v>
      </c>
      <c r="J46" s="133">
        <v>1.0334489518551231</v>
      </c>
      <c r="K46" s="133">
        <v>4.6125248171535106E-2</v>
      </c>
      <c r="L46" s="133">
        <v>11.179145916225412</v>
      </c>
      <c r="M46" s="45">
        <v>14337.720098662436</v>
      </c>
    </row>
    <row r="47" spans="1:13" x14ac:dyDescent="0.25">
      <c r="A47" s="812" t="s">
        <v>1996</v>
      </c>
      <c r="B47" s="812">
        <v>3</v>
      </c>
      <c r="C47" s="608">
        <v>39472</v>
      </c>
      <c r="D47" s="812">
        <v>99709</v>
      </c>
      <c r="E47" s="812" t="s">
        <v>1600</v>
      </c>
      <c r="F47" s="133">
        <v>3.04405368204569</v>
      </c>
      <c r="G47" s="133">
        <v>0.82862474587739809</v>
      </c>
      <c r="H47" s="133">
        <v>1.3494279534220639</v>
      </c>
      <c r="I47" s="133">
        <v>0.81682109870631048</v>
      </c>
      <c r="J47" s="133">
        <v>0.81682109870631048</v>
      </c>
      <c r="K47" s="133">
        <v>4.0527763441914708E-2</v>
      </c>
      <c r="L47" s="133">
        <v>8.4415453829421612</v>
      </c>
      <c r="M47" s="45">
        <v>16775.478383972986</v>
      </c>
    </row>
    <row r="48" spans="1:13" x14ac:dyDescent="0.25">
      <c r="A48" s="812" t="s">
        <v>1996</v>
      </c>
      <c r="B48" s="812">
        <v>3</v>
      </c>
      <c r="C48" s="608">
        <v>39472</v>
      </c>
      <c r="D48" s="812">
        <v>99712</v>
      </c>
      <c r="E48" s="812" t="s">
        <v>1601</v>
      </c>
      <c r="F48" s="133">
        <v>1.7218359168185768</v>
      </c>
      <c r="G48" s="133">
        <v>0.29154419695651118</v>
      </c>
      <c r="H48" s="133">
        <v>0.5217064291074982</v>
      </c>
      <c r="I48" s="133">
        <v>0.46206771676890768</v>
      </c>
      <c r="J48" s="133">
        <v>0.46206771676890768</v>
      </c>
      <c r="K48" s="133">
        <v>2.1277710814263204E-2</v>
      </c>
      <c r="L48" s="133">
        <v>4.8220388078369627</v>
      </c>
      <c r="M48" s="45">
        <v>6048.5477913997465</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7.0612606536245309E-5</v>
      </c>
      <c r="G60" s="133">
        <v>1.7037809134170291E-3</v>
      </c>
      <c r="H60" s="133">
        <v>1.0620363312046023E-3</v>
      </c>
      <c r="I60" s="133">
        <v>5.3497590448543783E-5</v>
      </c>
      <c r="J60" s="133">
        <v>5.3497590448543783E-5</v>
      </c>
      <c r="K60" s="133">
        <v>4.2642522920662747E-5</v>
      </c>
      <c r="L60" s="133">
        <v>1.1854007179355225E-4</v>
      </c>
      <c r="M60" s="45">
        <v>27.216252963919814</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1.1613175803347222</v>
      </c>
      <c r="G62" s="133">
        <v>0.93374405461216026</v>
      </c>
      <c r="H62" s="133">
        <v>1.2036469417396571</v>
      </c>
      <c r="I62" s="133">
        <v>0.33261744745290878</v>
      </c>
      <c r="J62" s="133">
        <v>0.33261744745290878</v>
      </c>
      <c r="K62" s="133">
        <v>2.5129113150431263E-2</v>
      </c>
      <c r="L62" s="133">
        <v>3.3254502017422309</v>
      </c>
      <c r="M62" s="45">
        <v>17139.511002860603</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2.7145435290137833E-2</v>
      </c>
      <c r="G64" s="133">
        <v>1.7956170810895757E-2</v>
      </c>
      <c r="H64" s="133">
        <v>2.7084099647850534E-2</v>
      </c>
      <c r="I64" s="133">
        <v>8.897392437167426E-3</v>
      </c>
      <c r="J64" s="133">
        <v>8.897392437167426E-3</v>
      </c>
      <c r="K64" s="133">
        <v>5.1096346755246931E-4</v>
      </c>
      <c r="L64" s="133">
        <v>9.5815034043292141E-2</v>
      </c>
      <c r="M64" s="45">
        <v>344.3049377285077</v>
      </c>
    </row>
    <row r="65" spans="1:13" x14ac:dyDescent="0.25">
      <c r="A65" s="812" t="s">
        <v>1996</v>
      </c>
      <c r="B65" s="812">
        <v>4</v>
      </c>
      <c r="C65" s="608">
        <v>39473</v>
      </c>
      <c r="D65" s="812">
        <v>99705</v>
      </c>
      <c r="E65" s="812" t="s">
        <v>1599</v>
      </c>
      <c r="F65" s="133">
        <v>4.5265569443838611</v>
      </c>
      <c r="G65" s="133">
        <v>0.90610295161117338</v>
      </c>
      <c r="H65" s="133">
        <v>1.52465146971668</v>
      </c>
      <c r="I65" s="133">
        <v>1.3689383551323642</v>
      </c>
      <c r="J65" s="133">
        <v>1.3689383551323642</v>
      </c>
      <c r="K65" s="133">
        <v>6.0677306828234627E-2</v>
      </c>
      <c r="L65" s="133">
        <v>15.001476467358009</v>
      </c>
      <c r="M65" s="45">
        <v>18459.185222544333</v>
      </c>
    </row>
    <row r="66" spans="1:13" x14ac:dyDescent="0.25">
      <c r="A66" s="812" t="s">
        <v>1996</v>
      </c>
      <c r="B66" s="812">
        <v>4</v>
      </c>
      <c r="C66" s="608">
        <v>39473</v>
      </c>
      <c r="D66" s="812">
        <v>99709</v>
      </c>
      <c r="E66" s="812" t="s">
        <v>1600</v>
      </c>
      <c r="F66" s="133">
        <v>4.0617400424533683</v>
      </c>
      <c r="G66" s="133">
        <v>1.0453850937693108</v>
      </c>
      <c r="H66" s="133">
        <v>1.713888203988025</v>
      </c>
      <c r="I66" s="133">
        <v>1.0840257718438333</v>
      </c>
      <c r="J66" s="133">
        <v>1.0840257718438333</v>
      </c>
      <c r="K66" s="133">
        <v>5.1953277516907037E-2</v>
      </c>
      <c r="L66" s="133">
        <v>11.262327831068058</v>
      </c>
      <c r="M66" s="45">
        <v>21152.734176227852</v>
      </c>
    </row>
    <row r="67" spans="1:13" x14ac:dyDescent="0.25">
      <c r="A67" s="812" t="s">
        <v>1996</v>
      </c>
      <c r="B67" s="812">
        <v>4</v>
      </c>
      <c r="C67" s="608">
        <v>39473</v>
      </c>
      <c r="D67" s="812">
        <v>99712</v>
      </c>
      <c r="E67" s="812" t="s">
        <v>1601</v>
      </c>
      <c r="F67" s="133">
        <v>2.2506680797473337</v>
      </c>
      <c r="G67" s="133">
        <v>0.36907119581748538</v>
      </c>
      <c r="H67" s="133">
        <v>0.65915892996169478</v>
      </c>
      <c r="I67" s="133">
        <v>0.60211040305135943</v>
      </c>
      <c r="J67" s="133">
        <v>0.60211040305135943</v>
      </c>
      <c r="K67" s="133">
        <v>2.7621680308941691E-2</v>
      </c>
      <c r="L67" s="133">
        <v>6.3295206975142344</v>
      </c>
      <c r="M67" s="45">
        <v>7633.8334577503356</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8.4731407128610446E-5</v>
      </c>
      <c r="G79" s="133">
        <v>2.0602162719900621E-3</v>
      </c>
      <c r="H79" s="133">
        <v>1.3139806842155145E-3</v>
      </c>
      <c r="I79" s="133">
        <v>6.253910994444609E-5</v>
      </c>
      <c r="J79" s="133">
        <v>6.253910994444609E-5</v>
      </c>
      <c r="K79" s="133">
        <v>4.3127600441617897E-5</v>
      </c>
      <c r="L79" s="133">
        <v>1.2740829549911641E-4</v>
      </c>
      <c r="M79" s="45">
        <v>32.701397093071492</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1.0331970342058807</v>
      </c>
      <c r="G81" s="133">
        <v>0.86522553330116037</v>
      </c>
      <c r="H81" s="133">
        <v>1.1052878560332804</v>
      </c>
      <c r="I81" s="133">
        <v>0.29940683331923185</v>
      </c>
      <c r="J81" s="133">
        <v>0.29940683331923185</v>
      </c>
      <c r="K81" s="133">
        <v>2.3661917599465485E-2</v>
      </c>
      <c r="L81" s="133">
        <v>2.9950436269484708</v>
      </c>
      <c r="M81" s="45">
        <v>15867.129537920107</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2.4615247209533838E-2</v>
      </c>
      <c r="G83" s="133">
        <v>1.6633362381358603E-2</v>
      </c>
      <c r="H83" s="133">
        <v>2.495889939096823E-2</v>
      </c>
      <c r="I83" s="133">
        <v>8.1101106897609378E-3</v>
      </c>
      <c r="J83" s="133">
        <v>8.1101106897609378E-3</v>
      </c>
      <c r="K83" s="133">
        <v>4.7849457380592876E-4</v>
      </c>
      <c r="L83" s="133">
        <v>8.727631097853876E-2</v>
      </c>
      <c r="M83" s="45">
        <v>318.76888508255115</v>
      </c>
    </row>
    <row r="84" spans="1:13" x14ac:dyDescent="0.25">
      <c r="A84" s="812" t="s">
        <v>1996</v>
      </c>
      <c r="B84" s="812">
        <v>5</v>
      </c>
      <c r="C84" s="608">
        <v>39474</v>
      </c>
      <c r="D84" s="812">
        <v>99705</v>
      </c>
      <c r="E84" s="812" t="s">
        <v>1599</v>
      </c>
      <c r="F84" s="133">
        <v>4.1057019432894766</v>
      </c>
      <c r="G84" s="133">
        <v>0.83165873381039612</v>
      </c>
      <c r="H84" s="133">
        <v>1.3975181578150822</v>
      </c>
      <c r="I84" s="133">
        <v>1.2454485134921673</v>
      </c>
      <c r="J84" s="133">
        <v>1.2454485134921673</v>
      </c>
      <c r="K84" s="133">
        <v>5.5292916010818982E-2</v>
      </c>
      <c r="L84" s="133">
        <v>13.632055496335122</v>
      </c>
      <c r="M84" s="45">
        <v>16951.261387111943</v>
      </c>
    </row>
    <row r="85" spans="1:13" x14ac:dyDescent="0.25">
      <c r="A85" s="812" t="s">
        <v>1996</v>
      </c>
      <c r="B85" s="812">
        <v>5</v>
      </c>
      <c r="C85" s="608">
        <v>39474</v>
      </c>
      <c r="D85" s="812">
        <v>99709</v>
      </c>
      <c r="E85" s="812" t="s">
        <v>1600</v>
      </c>
      <c r="F85" s="133">
        <v>3.4967800921534198</v>
      </c>
      <c r="G85" s="133">
        <v>0.94592270571648462</v>
      </c>
      <c r="H85" s="133">
        <v>1.5426390788681521</v>
      </c>
      <c r="I85" s="133">
        <v>0.94418442189776486</v>
      </c>
      <c r="J85" s="133">
        <v>0.94418442189776486</v>
      </c>
      <c r="K85" s="133">
        <v>4.5889416246159449E-2</v>
      </c>
      <c r="L85" s="133">
        <v>9.8287210212884712</v>
      </c>
      <c r="M85" s="45">
        <v>19123.925458352453</v>
      </c>
    </row>
    <row r="86" spans="1:13" x14ac:dyDescent="0.25">
      <c r="A86" s="812" t="s">
        <v>1996</v>
      </c>
      <c r="B86" s="812">
        <v>5</v>
      </c>
      <c r="C86" s="608">
        <v>39474</v>
      </c>
      <c r="D86" s="812">
        <v>99712</v>
      </c>
      <c r="E86" s="812" t="s">
        <v>1601</v>
      </c>
      <c r="F86" s="133">
        <v>1.8370519125313933</v>
      </c>
      <c r="G86" s="133">
        <v>0.31473373363114432</v>
      </c>
      <c r="H86" s="133">
        <v>0.56076451129057114</v>
      </c>
      <c r="I86" s="133">
        <v>0.49777943223629229</v>
      </c>
      <c r="J86" s="133">
        <v>0.49777943223629229</v>
      </c>
      <c r="K86" s="133">
        <v>2.2875267205303133E-2</v>
      </c>
      <c r="L86" s="133">
        <v>5.2392849177682335</v>
      </c>
      <c r="M86" s="45">
        <v>6513.5806141822222</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7.9529743752475938E-5</v>
      </c>
      <c r="G98" s="133">
        <v>1.928897981989471E-3</v>
      </c>
      <c r="H98" s="133">
        <v>1.221159080474652E-3</v>
      </c>
      <c r="I98" s="133">
        <v>5.9208023814376801E-5</v>
      </c>
      <c r="J98" s="133">
        <v>5.9208023814376801E-5</v>
      </c>
      <c r="K98" s="133">
        <v>4.2948887670739691E-5</v>
      </c>
      <c r="L98" s="133">
        <v>1.2414105518654016E-4</v>
      </c>
      <c r="M98" s="45">
        <v>30.680554519173505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0.89483045625889202</v>
      </c>
      <c r="G100" s="133">
        <v>0.76245575467019522</v>
      </c>
      <c r="H100" s="133">
        <v>0.97038640096887818</v>
      </c>
      <c r="I100" s="133">
        <v>0.25815215494361887</v>
      </c>
      <c r="J100" s="133">
        <v>0.25815215494361887</v>
      </c>
      <c r="K100" s="133">
        <v>2.1911287251471928E-2</v>
      </c>
      <c r="L100" s="133">
        <v>2.5625418123416166</v>
      </c>
      <c r="M100" s="45">
        <v>14018.931810567712</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2.1257752410179159E-2</v>
      </c>
      <c r="G102" s="133">
        <v>1.4596941095912872E-2</v>
      </c>
      <c r="H102" s="133">
        <v>2.1846352774596726E-2</v>
      </c>
      <c r="I102" s="133">
        <v>6.959987222850972E-3</v>
      </c>
      <c r="J102" s="133">
        <v>6.959987222850972E-3</v>
      </c>
      <c r="K102" s="133">
        <v>4.3175963765148731E-4</v>
      </c>
      <c r="L102" s="133">
        <v>7.4295252227008515E-2</v>
      </c>
      <c r="M102" s="45">
        <v>280.23364374420316</v>
      </c>
    </row>
    <row r="103" spans="1:13" x14ac:dyDescent="0.25">
      <c r="A103" s="812" t="s">
        <v>1996</v>
      </c>
      <c r="B103" s="812">
        <v>6</v>
      </c>
      <c r="C103" s="608">
        <v>39475</v>
      </c>
      <c r="D103" s="812">
        <v>99705</v>
      </c>
      <c r="E103" s="812" t="s">
        <v>1599</v>
      </c>
      <c r="F103" s="133">
        <v>3.6946723927654341</v>
      </c>
      <c r="G103" s="133">
        <v>0.74291300777910085</v>
      </c>
      <c r="H103" s="133">
        <v>1.2525744260430449</v>
      </c>
      <c r="I103" s="133">
        <v>1.1090793834337929</v>
      </c>
      <c r="J103" s="133">
        <v>1.1090793834337929</v>
      </c>
      <c r="K103" s="133">
        <v>4.9382249127065389E-2</v>
      </c>
      <c r="L103" s="133">
        <v>12.018513282658644</v>
      </c>
      <c r="M103" s="45">
        <v>15182.696327299436</v>
      </c>
    </row>
    <row r="104" spans="1:13" x14ac:dyDescent="0.25">
      <c r="A104" s="812" t="s">
        <v>1996</v>
      </c>
      <c r="B104" s="812">
        <v>6</v>
      </c>
      <c r="C104" s="608">
        <v>39475</v>
      </c>
      <c r="D104" s="812">
        <v>99709</v>
      </c>
      <c r="E104" s="812" t="s">
        <v>1600</v>
      </c>
      <c r="F104" s="133">
        <v>3.1646942958749489</v>
      </c>
      <c r="G104" s="133">
        <v>0.84762566688184893</v>
      </c>
      <c r="H104" s="133">
        <v>1.3881952533201996</v>
      </c>
      <c r="I104" s="133">
        <v>0.84568087088885946</v>
      </c>
      <c r="J104" s="133">
        <v>0.84568087088885946</v>
      </c>
      <c r="K104" s="133">
        <v>4.1789886697950474E-2</v>
      </c>
      <c r="L104" s="133">
        <v>8.7323003560946635</v>
      </c>
      <c r="M104" s="45">
        <v>17191.660460886102</v>
      </c>
    </row>
    <row r="105" spans="1:13" x14ac:dyDescent="0.25">
      <c r="A105" s="812" t="s">
        <v>1996</v>
      </c>
      <c r="B105" s="812">
        <v>6</v>
      </c>
      <c r="C105" s="608">
        <v>39475</v>
      </c>
      <c r="D105" s="812">
        <v>99712</v>
      </c>
      <c r="E105" s="812" t="s">
        <v>1601</v>
      </c>
      <c r="F105" s="133">
        <v>1.7303490170976401</v>
      </c>
      <c r="G105" s="133">
        <v>0.29113765203515357</v>
      </c>
      <c r="H105" s="133">
        <v>0.52125418906128518</v>
      </c>
      <c r="I105" s="133">
        <v>0.46214454345849609</v>
      </c>
      <c r="J105" s="133">
        <v>0.46214454345849609</v>
      </c>
      <c r="K105" s="133">
        <v>2.1315646643617361E-2</v>
      </c>
      <c r="L105" s="133">
        <v>4.8126491130904503</v>
      </c>
      <c r="M105" s="45">
        <v>6040.0312319840014</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7.0612606536245309E-5</v>
      </c>
      <c r="G117" s="133">
        <v>1.7037809134170293E-3</v>
      </c>
      <c r="H117" s="133">
        <v>1.0620363312046027E-3</v>
      </c>
      <c r="I117" s="133">
        <v>5.3497590448543783E-5</v>
      </c>
      <c r="J117" s="133">
        <v>5.3497590448543783E-5</v>
      </c>
      <c r="K117" s="133">
        <v>4.2642522920662747E-5</v>
      </c>
      <c r="L117" s="133">
        <v>1.1854007179355225E-4</v>
      </c>
      <c r="M117" s="45">
        <v>27.216252963919814</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1.0046313970492804</v>
      </c>
      <c r="G119" s="133">
        <v>0.83677128332656681</v>
      </c>
      <c r="H119" s="133">
        <v>1.0661101969962692</v>
      </c>
      <c r="I119" s="133">
        <v>0.28728750183744189</v>
      </c>
      <c r="J119" s="133">
        <v>0.28728750183744189</v>
      </c>
      <c r="K119" s="133">
        <v>2.3190729457189928E-2</v>
      </c>
      <c r="L119" s="133">
        <v>2.8503764549341657</v>
      </c>
      <c r="M119" s="45">
        <v>15344.246151574604</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2.3607150903461969E-2</v>
      </c>
      <c r="G121" s="133">
        <v>1.5999410611514747E-2</v>
      </c>
      <c r="H121" s="133">
        <v>2.3933484208322628E-2</v>
      </c>
      <c r="I121" s="133">
        <v>7.6949270287036209E-3</v>
      </c>
      <c r="J121" s="133">
        <v>7.6949270287036209E-3</v>
      </c>
      <c r="K121" s="133">
        <v>4.6222269409916083E-4</v>
      </c>
      <c r="L121" s="133">
        <v>8.2213528696472249E-2</v>
      </c>
      <c r="M121" s="45">
        <v>306.4235264276312</v>
      </c>
    </row>
    <row r="122" spans="1:13" x14ac:dyDescent="0.25">
      <c r="A122" s="812" t="s">
        <v>1996</v>
      </c>
      <c r="B122" s="812">
        <v>7</v>
      </c>
      <c r="C122" s="608">
        <v>39476</v>
      </c>
      <c r="D122" s="812">
        <v>99705</v>
      </c>
      <c r="E122" s="812" t="s">
        <v>1599</v>
      </c>
      <c r="F122" s="133">
        <v>4.0452777352150466</v>
      </c>
      <c r="G122" s="133">
        <v>0.80791602053157341</v>
      </c>
      <c r="H122" s="133">
        <v>1.3599273760914767</v>
      </c>
      <c r="I122" s="133">
        <v>1.2116506214001905</v>
      </c>
      <c r="J122" s="133">
        <v>1.2116506214001905</v>
      </c>
      <c r="K122" s="133">
        <v>5.3849744851077061E-2</v>
      </c>
      <c r="L122" s="133">
        <v>13.1535567628721</v>
      </c>
      <c r="M122" s="45">
        <v>16482.480051666455</v>
      </c>
    </row>
    <row r="123" spans="1:13" x14ac:dyDescent="0.25">
      <c r="A123" s="812" t="s">
        <v>1996</v>
      </c>
      <c r="B123" s="812">
        <v>7</v>
      </c>
      <c r="C123" s="608">
        <v>39476</v>
      </c>
      <c r="D123" s="812">
        <v>99709</v>
      </c>
      <c r="E123" s="812" t="s">
        <v>1600</v>
      </c>
      <c r="F123" s="133">
        <v>3.5384131611549297</v>
      </c>
      <c r="G123" s="133">
        <v>0.92874091305864037</v>
      </c>
      <c r="H123" s="133">
        <v>1.519481972414054</v>
      </c>
      <c r="I123" s="133">
        <v>0.9387322871985414</v>
      </c>
      <c r="J123" s="133">
        <v>0.9387322871985414</v>
      </c>
      <c r="K123" s="133">
        <v>4.5849177405396728E-2</v>
      </c>
      <c r="L123" s="133">
        <v>9.683480948005128</v>
      </c>
      <c r="M123" s="45">
        <v>18799.037830900055</v>
      </c>
    </row>
    <row r="124" spans="1:13" x14ac:dyDescent="0.25">
      <c r="A124" s="812" t="s">
        <v>1996</v>
      </c>
      <c r="B124" s="812">
        <v>7</v>
      </c>
      <c r="C124" s="608">
        <v>39476</v>
      </c>
      <c r="D124" s="812">
        <v>99712</v>
      </c>
      <c r="E124" s="812" t="s">
        <v>1601</v>
      </c>
      <c r="F124" s="133">
        <v>1.9026691945614973</v>
      </c>
      <c r="G124" s="133">
        <v>0.31549365850212935</v>
      </c>
      <c r="H124" s="133">
        <v>0.56343345017672752</v>
      </c>
      <c r="I124" s="133">
        <v>0.50602417375954634</v>
      </c>
      <c r="J124" s="133">
        <v>0.50602417375954634</v>
      </c>
      <c r="K124" s="133">
        <v>2.3307989361848774E-2</v>
      </c>
      <c r="L124" s="133">
        <v>5.2728933054432314</v>
      </c>
      <c r="M124" s="45">
        <v>6533.3581581515491</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7.7300459448418284E-5</v>
      </c>
      <c r="G136" s="133">
        <v>1.8726187148463606E-3</v>
      </c>
      <c r="H136" s="133">
        <v>1.1813783931571399E-3</v>
      </c>
      <c r="I136" s="133">
        <v>5.7780415472918553E-5</v>
      </c>
      <c r="J136" s="133">
        <v>5.7780415472918553E-5</v>
      </c>
      <c r="K136" s="133">
        <v>4.2872296483220447E-5</v>
      </c>
      <c r="L136" s="133">
        <v>1.2274080933829314E-4</v>
      </c>
      <c r="M136" s="45">
        <v>29.81447913036008</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1.0598597730392842</v>
      </c>
      <c r="G138" s="133">
        <v>0.83620854024210134</v>
      </c>
      <c r="H138" s="133">
        <v>1.0879282391241687</v>
      </c>
      <c r="I138" s="133">
        <v>0.3011505580582659</v>
      </c>
      <c r="J138" s="133">
        <v>0.3011505580582659</v>
      </c>
      <c r="K138" s="133">
        <v>2.3798352294677989E-2</v>
      </c>
      <c r="L138" s="133">
        <v>2.9967738837600848</v>
      </c>
      <c r="M138" s="45">
        <v>15447.558268299683</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2.4736560389798674E-2</v>
      </c>
      <c r="G140" s="133">
        <v>1.6159580267023969E-2</v>
      </c>
      <c r="H140" s="133">
        <v>2.459474790466102E-2</v>
      </c>
      <c r="I140" s="133">
        <v>8.0361070733784359E-3</v>
      </c>
      <c r="J140" s="133">
        <v>8.0361070733784359E-3</v>
      </c>
      <c r="K140" s="133">
        <v>4.7597046713418608E-4</v>
      </c>
      <c r="L140" s="133">
        <v>8.604225664609895E-2</v>
      </c>
      <c r="M140" s="45">
        <v>311.66446190855652</v>
      </c>
    </row>
    <row r="141" spans="1:13" x14ac:dyDescent="0.25">
      <c r="A141" s="812" t="s">
        <v>1996</v>
      </c>
      <c r="B141" s="812">
        <v>8</v>
      </c>
      <c r="C141" s="608">
        <v>39477</v>
      </c>
      <c r="D141" s="812">
        <v>99705</v>
      </c>
      <c r="E141" s="812" t="s">
        <v>1599</v>
      </c>
      <c r="F141" s="133">
        <v>4.1923800917858234</v>
      </c>
      <c r="G141" s="133">
        <v>0.82801900721759936</v>
      </c>
      <c r="H141" s="133">
        <v>1.4001984421523674</v>
      </c>
      <c r="I141" s="133">
        <v>1.2547524108295198</v>
      </c>
      <c r="J141" s="133">
        <v>1.2547524108295198</v>
      </c>
      <c r="K141" s="133">
        <v>5.572798858204054E-2</v>
      </c>
      <c r="L141" s="133">
        <v>13.633275510622736</v>
      </c>
      <c r="M141" s="45">
        <v>16918.618454697618</v>
      </c>
    </row>
    <row r="142" spans="1:13" x14ac:dyDescent="0.25">
      <c r="A142" s="812" t="s">
        <v>1996</v>
      </c>
      <c r="B142" s="812">
        <v>8</v>
      </c>
      <c r="C142" s="608">
        <v>39477</v>
      </c>
      <c r="D142" s="812">
        <v>99709</v>
      </c>
      <c r="E142" s="812" t="s">
        <v>1600</v>
      </c>
      <c r="F142" s="133">
        <v>3.7293655872891356</v>
      </c>
      <c r="G142" s="133">
        <v>0.94954740059282272</v>
      </c>
      <c r="H142" s="133">
        <v>1.5707145350075262</v>
      </c>
      <c r="I142" s="133">
        <v>0.98560320569848126</v>
      </c>
      <c r="J142" s="133">
        <v>0.98560320569848126</v>
      </c>
      <c r="K142" s="133">
        <v>4.7888184903466746E-2</v>
      </c>
      <c r="L142" s="133">
        <v>10.166055775876798</v>
      </c>
      <c r="M142" s="45">
        <v>19299.995185349464</v>
      </c>
    </row>
    <row r="143" spans="1:13" x14ac:dyDescent="0.25">
      <c r="A143" s="812" t="s">
        <v>1996</v>
      </c>
      <c r="B143" s="812">
        <v>8</v>
      </c>
      <c r="C143" s="608">
        <v>39477</v>
      </c>
      <c r="D143" s="812">
        <v>99712</v>
      </c>
      <c r="E143" s="812" t="s">
        <v>1601</v>
      </c>
      <c r="F143" s="133">
        <v>2.0006319322235275</v>
      </c>
      <c r="G143" s="133">
        <v>0.32717059350735433</v>
      </c>
      <c r="H143" s="133">
        <v>0.58598886567037234</v>
      </c>
      <c r="I143" s="133">
        <v>0.53065224681545298</v>
      </c>
      <c r="J143" s="133">
        <v>0.53065224681545298</v>
      </c>
      <c r="K143" s="133">
        <v>2.4428434040510642E-2</v>
      </c>
      <c r="L143" s="133">
        <v>5.5301680497637671</v>
      </c>
      <c r="M143" s="45">
        <v>6780.6586986912489</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7.5071175144360644E-5</v>
      </c>
      <c r="G155" s="133">
        <v>1.8163394477032501E-3</v>
      </c>
      <c r="H155" s="133">
        <v>1.1415977058396275E-3</v>
      </c>
      <c r="I155" s="133">
        <v>5.6352807131460306E-5</v>
      </c>
      <c r="J155" s="133">
        <v>5.6352807131460306E-5</v>
      </c>
      <c r="K155" s="133">
        <v>4.2795705295701209E-5</v>
      </c>
      <c r="L155" s="133">
        <v>1.2134056349004618E-4</v>
      </c>
      <c r="M155" s="45">
        <v>28.94840374154666</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1.0012714582301128</v>
      </c>
      <c r="G157" s="133">
        <v>0.7654628572472002</v>
      </c>
      <c r="H157" s="133">
        <v>1.0154631081153627</v>
      </c>
      <c r="I157" s="133">
        <v>0.28508090620055015</v>
      </c>
      <c r="J157" s="133">
        <v>0.28508090620055015</v>
      </c>
      <c r="K157" s="133">
        <v>2.3089143318485598E-2</v>
      </c>
      <c r="L157" s="133">
        <v>2.8464462956602792</v>
      </c>
      <c r="M157" s="45">
        <v>14279.831932141127</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2.3407872159022607E-2</v>
      </c>
      <c r="G159" s="133">
        <v>1.4920793118121558E-2</v>
      </c>
      <c r="H159" s="133">
        <v>2.3064391192101113E-2</v>
      </c>
      <c r="I159" s="133">
        <v>7.6050343066551632E-3</v>
      </c>
      <c r="J159" s="133">
        <v>7.6050343066551632E-3</v>
      </c>
      <c r="K159" s="133">
        <v>4.5822578832587521E-4</v>
      </c>
      <c r="L159" s="133">
        <v>8.1513156438825604E-2</v>
      </c>
      <c r="M159" s="45">
        <v>290.18501429945348</v>
      </c>
    </row>
    <row r="160" spans="1:13" x14ac:dyDescent="0.25">
      <c r="A160" s="812" t="s">
        <v>1996</v>
      </c>
      <c r="B160" s="812">
        <v>9</v>
      </c>
      <c r="C160" s="608">
        <v>39478</v>
      </c>
      <c r="D160" s="812">
        <v>99705</v>
      </c>
      <c r="E160" s="812" t="s">
        <v>1599</v>
      </c>
      <c r="F160" s="133">
        <v>4.095080841229171</v>
      </c>
      <c r="G160" s="133">
        <v>0.80008206498593282</v>
      </c>
      <c r="H160" s="133">
        <v>1.3628214059649084</v>
      </c>
      <c r="I160" s="133">
        <v>1.2253153499546046</v>
      </c>
      <c r="J160" s="133">
        <v>1.2253153499546046</v>
      </c>
      <c r="K160" s="133">
        <v>5.4464239706522741E-2</v>
      </c>
      <c r="L160" s="133">
        <v>13.306667588617458</v>
      </c>
      <c r="M160" s="45">
        <v>16401.446180758932</v>
      </c>
    </row>
    <row r="161" spans="1:13" x14ac:dyDescent="0.25">
      <c r="A161" s="812" t="s">
        <v>1996</v>
      </c>
      <c r="B161" s="812">
        <v>9</v>
      </c>
      <c r="C161" s="608">
        <v>39478</v>
      </c>
      <c r="D161" s="812">
        <v>99709</v>
      </c>
      <c r="E161" s="812" t="s">
        <v>1600</v>
      </c>
      <c r="F161" s="133">
        <v>3.7461676490525151</v>
      </c>
      <c r="G161" s="133">
        <v>0.91876389608922537</v>
      </c>
      <c r="H161" s="133">
        <v>1.5428368130737247</v>
      </c>
      <c r="I161" s="133">
        <v>0.9902572146979195</v>
      </c>
      <c r="J161" s="133">
        <v>0.9902572146979195</v>
      </c>
      <c r="K161" s="133">
        <v>4.804349296605806E-2</v>
      </c>
      <c r="L161" s="133">
        <v>10.228783536733092</v>
      </c>
      <c r="M161" s="45">
        <v>18806.057231334384</v>
      </c>
    </row>
    <row r="162" spans="1:13" x14ac:dyDescent="0.25">
      <c r="A162" s="812" t="s">
        <v>1996</v>
      </c>
      <c r="B162" s="812">
        <v>9</v>
      </c>
      <c r="C162" s="608">
        <v>39478</v>
      </c>
      <c r="D162" s="812">
        <v>99712</v>
      </c>
      <c r="E162" s="812" t="s">
        <v>1601</v>
      </c>
      <c r="F162" s="133">
        <v>2.152536966911669</v>
      </c>
      <c r="G162" s="133">
        <v>0.34375714773636445</v>
      </c>
      <c r="H162" s="133">
        <v>0.6196869676685397</v>
      </c>
      <c r="I162" s="133">
        <v>0.56950739472926271</v>
      </c>
      <c r="J162" s="133">
        <v>0.56950739472926271</v>
      </c>
      <c r="K162" s="133">
        <v>2.6187125849656396E-2</v>
      </c>
      <c r="L162" s="133">
        <v>5.9401892840339627</v>
      </c>
      <c r="M162" s="45">
        <v>7140.0004635304394</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6.6897132696149228E-5</v>
      </c>
      <c r="G174" s="133">
        <v>1.6099821348451778E-3</v>
      </c>
      <c r="H174" s="133">
        <v>9.9573518567541513E-4</v>
      </c>
      <c r="I174" s="133">
        <v>5.1118243212780022E-5</v>
      </c>
      <c r="J174" s="133">
        <v>5.1118243212780022E-5</v>
      </c>
      <c r="K174" s="133">
        <v>4.2514870941464015E-5</v>
      </c>
      <c r="L174" s="133">
        <v>1.162063287131406E-4</v>
      </c>
      <c r="M174" s="45">
        <v>25.772793982564107</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0.9131604693961165</v>
      </c>
      <c r="G176" s="133">
        <v>0.7372421021278438</v>
      </c>
      <c r="H176" s="133">
        <v>0.96050580795944229</v>
      </c>
      <c r="I176" s="133">
        <v>0.26241046120481776</v>
      </c>
      <c r="J176" s="133">
        <v>0.26241046120481776</v>
      </c>
      <c r="K176" s="133">
        <v>2.2093420729485499E-2</v>
      </c>
      <c r="L176" s="133">
        <v>2.6149600498688796</v>
      </c>
      <c r="M176" s="45">
        <v>13683.07374965965</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2.1408730017954888E-2</v>
      </c>
      <c r="G178" s="133">
        <v>1.4212425394069163E-2</v>
      </c>
      <c r="H178" s="133">
        <v>2.1642013882781374E-2</v>
      </c>
      <c r="I178" s="133">
        <v>6.9939403758946155E-3</v>
      </c>
      <c r="J178" s="133">
        <v>6.9939403758946155E-3</v>
      </c>
      <c r="K178" s="133">
        <v>4.3299973530790093E-4</v>
      </c>
      <c r="L178" s="133">
        <v>7.479491535535146E-2</v>
      </c>
      <c r="M178" s="45">
        <v>275.0051524681889</v>
      </c>
    </row>
    <row r="179" spans="1:13" x14ac:dyDescent="0.25">
      <c r="A179" s="812" t="s">
        <v>1996</v>
      </c>
      <c r="B179" s="812">
        <v>10</v>
      </c>
      <c r="C179" s="608">
        <v>39479</v>
      </c>
      <c r="D179" s="812">
        <v>99705</v>
      </c>
      <c r="E179" s="812" t="s">
        <v>1599</v>
      </c>
      <c r="F179" s="133">
        <v>3.6881430931814601</v>
      </c>
      <c r="G179" s="133">
        <v>0.73556217810007463</v>
      </c>
      <c r="H179" s="133">
        <v>1.2465407776217146</v>
      </c>
      <c r="I179" s="133">
        <v>1.1072761328100389</v>
      </c>
      <c r="J179" s="133">
        <v>1.1072761328100389</v>
      </c>
      <c r="K179" s="133">
        <v>4.932395398918267E-2</v>
      </c>
      <c r="L179" s="133">
        <v>12.001564668003407</v>
      </c>
      <c r="M179" s="45">
        <v>15063.700558989955</v>
      </c>
    </row>
    <row r="180" spans="1:13" x14ac:dyDescent="0.25">
      <c r="A180" s="812" t="s">
        <v>1996</v>
      </c>
      <c r="B180" s="812">
        <v>10</v>
      </c>
      <c r="C180" s="608">
        <v>39479</v>
      </c>
      <c r="D180" s="812">
        <v>99709</v>
      </c>
      <c r="E180" s="812" t="s">
        <v>1600</v>
      </c>
      <c r="F180" s="133">
        <v>3.3876993176205965</v>
      </c>
      <c r="G180" s="133">
        <v>0.864164944694371</v>
      </c>
      <c r="H180" s="133">
        <v>1.4389239271577301</v>
      </c>
      <c r="I180" s="133">
        <v>0.90215266399843552</v>
      </c>
      <c r="J180" s="133">
        <v>0.90215266399843552</v>
      </c>
      <c r="K180" s="133">
        <v>4.4198244700976178E-2</v>
      </c>
      <c r="L180" s="133">
        <v>9.3259873426421294</v>
      </c>
      <c r="M180" s="45">
        <v>17644.450198763625</v>
      </c>
    </row>
    <row r="181" spans="1:13" x14ac:dyDescent="0.25">
      <c r="A181" s="812" t="s">
        <v>1996</v>
      </c>
      <c r="B181" s="812">
        <v>10</v>
      </c>
      <c r="C181" s="608">
        <v>39479</v>
      </c>
      <c r="D181" s="812">
        <v>99712</v>
      </c>
      <c r="E181" s="812" t="s">
        <v>1601</v>
      </c>
      <c r="F181" s="133">
        <v>1.9219470343463121</v>
      </c>
      <c r="G181" s="133">
        <v>0.31498009811430749</v>
      </c>
      <c r="H181" s="133">
        <v>0.56681084949768712</v>
      </c>
      <c r="I181" s="133">
        <v>0.51211925003594017</v>
      </c>
      <c r="J181" s="133">
        <v>0.51211925003594017</v>
      </c>
      <c r="K181" s="133">
        <v>2.3561541276660363E-2</v>
      </c>
      <c r="L181" s="133">
        <v>5.3438653348946579</v>
      </c>
      <c r="M181" s="45">
        <v>6543.8083104609068</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6.6154037928130001E-5</v>
      </c>
      <c r="G193" s="133">
        <v>1.5912223791308077E-3</v>
      </c>
      <c r="H193" s="133">
        <v>9.8247495656957756E-4</v>
      </c>
      <c r="I193" s="133">
        <v>5.0642373765627275E-5</v>
      </c>
      <c r="J193" s="133">
        <v>5.0642373765627275E-5</v>
      </c>
      <c r="K193" s="133">
        <v>4.2489340545624272E-5</v>
      </c>
      <c r="L193" s="133">
        <v>1.1573958009705829E-4</v>
      </c>
      <c r="M193" s="45">
        <v>25.484102186292969</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0.8844180899957883</v>
      </c>
      <c r="G195" s="133">
        <v>0.78505849529546201</v>
      </c>
      <c r="H195" s="133">
        <v>0.98902011965422554</v>
      </c>
      <c r="I195" s="133">
        <v>0.25991962817298242</v>
      </c>
      <c r="J195" s="133">
        <v>0.25991962817298242</v>
      </c>
      <c r="K195" s="133">
        <v>2.1938674706904412E-2</v>
      </c>
      <c r="L195" s="133">
        <v>2.5974458326190244</v>
      </c>
      <c r="M195" s="45">
        <v>14371.73525553525</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2.1113343970301818E-2</v>
      </c>
      <c r="G197" s="133">
        <v>1.4919947213641776E-2</v>
      </c>
      <c r="H197" s="133">
        <v>2.2093863464418752E-2</v>
      </c>
      <c r="I197" s="133">
        <v>7.02307847559306E-3</v>
      </c>
      <c r="J197" s="133">
        <v>7.02307847559306E-3</v>
      </c>
      <c r="K197" s="133">
        <v>4.3376957226159296E-4</v>
      </c>
      <c r="L197" s="133">
        <v>7.5450870431346295E-2</v>
      </c>
      <c r="M197" s="45">
        <v>285.09451042592525</v>
      </c>
    </row>
    <row r="198" spans="1:13" x14ac:dyDescent="0.25">
      <c r="A198" s="812" t="s">
        <v>1996</v>
      </c>
      <c r="B198" s="812">
        <v>11</v>
      </c>
      <c r="C198" s="608">
        <v>39480</v>
      </c>
      <c r="D198" s="812">
        <v>99705</v>
      </c>
      <c r="E198" s="812" t="s">
        <v>1599</v>
      </c>
      <c r="F198" s="133">
        <v>3.708244116844126</v>
      </c>
      <c r="G198" s="133">
        <v>0.76098031039267944</v>
      </c>
      <c r="H198" s="133">
        <v>1.2786584981638982</v>
      </c>
      <c r="I198" s="133">
        <v>1.129859397706098</v>
      </c>
      <c r="J198" s="133">
        <v>1.129859397706098</v>
      </c>
      <c r="K198" s="133">
        <v>5.0253129606143386E-2</v>
      </c>
      <c r="L198" s="133">
        <v>12.354879137787817</v>
      </c>
      <c r="M198" s="45">
        <v>15527.471002123644</v>
      </c>
    </row>
    <row r="199" spans="1:13" x14ac:dyDescent="0.25">
      <c r="A199" s="812" t="s">
        <v>1996</v>
      </c>
      <c r="B199" s="812">
        <v>11</v>
      </c>
      <c r="C199" s="608">
        <v>39480</v>
      </c>
      <c r="D199" s="812">
        <v>99709</v>
      </c>
      <c r="E199" s="812" t="s">
        <v>1600</v>
      </c>
      <c r="F199" s="133">
        <v>3.1927744322041618</v>
      </c>
      <c r="G199" s="133">
        <v>0.87461461978100996</v>
      </c>
      <c r="H199" s="133">
        <v>1.4251889910306741</v>
      </c>
      <c r="I199" s="133">
        <v>0.86873165489335857</v>
      </c>
      <c r="J199" s="133">
        <v>0.86873165489335857</v>
      </c>
      <c r="K199" s="133">
        <v>4.2601707023920694E-2</v>
      </c>
      <c r="L199" s="133">
        <v>9.0613857403053384</v>
      </c>
      <c r="M199" s="45">
        <v>17702.470374011573</v>
      </c>
    </row>
    <row r="200" spans="1:13" x14ac:dyDescent="0.25">
      <c r="A200" s="812" t="s">
        <v>1996</v>
      </c>
      <c r="B200" s="812">
        <v>11</v>
      </c>
      <c r="C200" s="608">
        <v>39480</v>
      </c>
      <c r="D200" s="812">
        <v>99712</v>
      </c>
      <c r="E200" s="812" t="s">
        <v>1601</v>
      </c>
      <c r="F200" s="133">
        <v>1.8020716112939437</v>
      </c>
      <c r="G200" s="133">
        <v>0.30928901139987147</v>
      </c>
      <c r="H200" s="133">
        <v>0.55288448639392584</v>
      </c>
      <c r="I200" s="133">
        <v>0.4904202620820915</v>
      </c>
      <c r="J200" s="133">
        <v>0.4904202620820915</v>
      </c>
      <c r="K200" s="133">
        <v>2.2514283520614464E-2</v>
      </c>
      <c r="L200" s="133">
        <v>5.1701679660213387</v>
      </c>
      <c r="M200" s="45">
        <v>6411.6487398297677</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7.358498560832219E-5</v>
      </c>
      <c r="G212" s="133">
        <v>1.7788199362745094E-3</v>
      </c>
      <c r="H212" s="133">
        <v>1.1150772476279519E-3</v>
      </c>
      <c r="I212" s="133">
        <v>5.5401068237154785E-5</v>
      </c>
      <c r="J212" s="133">
        <v>5.5401068237154785E-5</v>
      </c>
      <c r="K212" s="133">
        <v>4.2744644504021708E-5</v>
      </c>
      <c r="L212" s="133">
        <v>1.2040706625788151E-4</v>
      </c>
      <c r="M212" s="45">
        <v>28.37102014900438</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1.041087413266474</v>
      </c>
      <c r="G214" s="133">
        <v>0.87667182775612729</v>
      </c>
      <c r="H214" s="133">
        <v>1.1154684760564706</v>
      </c>
      <c r="I214" s="133">
        <v>0.30110590774673268</v>
      </c>
      <c r="J214" s="133">
        <v>0.30110590774673268</v>
      </c>
      <c r="K214" s="133">
        <v>2.3748809158722434E-2</v>
      </c>
      <c r="L214" s="133">
        <v>3.0074626755765568</v>
      </c>
      <c r="M214" s="45">
        <v>16047.88933049592</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2.439495410553124E-2</v>
      </c>
      <c r="G216" s="133">
        <v>1.6694814838384826E-2</v>
      </c>
      <c r="H216" s="133">
        <v>2.4880264037871625E-2</v>
      </c>
      <c r="I216" s="133">
        <v>8.0447044742915017E-3</v>
      </c>
      <c r="J216" s="133">
        <v>8.0447044742915017E-3</v>
      </c>
      <c r="K216" s="133">
        <v>4.7603003776313724E-4</v>
      </c>
      <c r="L216" s="133">
        <v>8.6510599258787568E-2</v>
      </c>
      <c r="M216" s="45">
        <v>319.00893173285658</v>
      </c>
    </row>
    <row r="217" spans="1:13" x14ac:dyDescent="0.25">
      <c r="A217" s="812" t="s">
        <v>1996</v>
      </c>
      <c r="B217" s="812">
        <v>12</v>
      </c>
      <c r="C217" s="608">
        <v>39481</v>
      </c>
      <c r="D217" s="812">
        <v>99705</v>
      </c>
      <c r="E217" s="812" t="s">
        <v>1599</v>
      </c>
      <c r="F217" s="133">
        <v>4.1643414696457075</v>
      </c>
      <c r="G217" s="133">
        <v>0.84372431563391515</v>
      </c>
      <c r="H217" s="133">
        <v>1.4173375331298232</v>
      </c>
      <c r="I217" s="133">
        <v>1.2629954831395795</v>
      </c>
      <c r="J217" s="133">
        <v>1.2629954831395795</v>
      </c>
      <c r="K217" s="133">
        <v>5.6068224555697418E-2</v>
      </c>
      <c r="L217" s="133">
        <v>13.827667865622354</v>
      </c>
      <c r="M217" s="45">
        <v>17190.55824041201</v>
      </c>
    </row>
    <row r="218" spans="1:13" x14ac:dyDescent="0.25">
      <c r="A218" s="812" t="s">
        <v>1996</v>
      </c>
      <c r="B218" s="812">
        <v>12</v>
      </c>
      <c r="C218" s="608">
        <v>39481</v>
      </c>
      <c r="D218" s="812">
        <v>99709</v>
      </c>
      <c r="E218" s="812" t="s">
        <v>1600</v>
      </c>
      <c r="F218" s="133">
        <v>3.8330415809595602</v>
      </c>
      <c r="G218" s="133">
        <v>0.99441179339731978</v>
      </c>
      <c r="H218" s="133">
        <v>1.6275610728433521</v>
      </c>
      <c r="I218" s="133">
        <v>1.0271507072501447</v>
      </c>
      <c r="J218" s="133">
        <v>1.0271507072501447</v>
      </c>
      <c r="K218" s="133">
        <v>4.9492140405601313E-2</v>
      </c>
      <c r="L218" s="133">
        <v>10.682622213854501</v>
      </c>
      <c r="M218" s="45">
        <v>20123.523383423209</v>
      </c>
    </row>
    <row r="219" spans="1:13" x14ac:dyDescent="0.25">
      <c r="A219" s="812" t="s">
        <v>1996</v>
      </c>
      <c r="B219" s="812">
        <v>12</v>
      </c>
      <c r="C219" s="608">
        <v>39481</v>
      </c>
      <c r="D219" s="812">
        <v>99712</v>
      </c>
      <c r="E219" s="812" t="s">
        <v>1601</v>
      </c>
      <c r="F219" s="133">
        <v>2.1646559843021471</v>
      </c>
      <c r="G219" s="133">
        <v>0.35692801608074665</v>
      </c>
      <c r="H219" s="133">
        <v>0.63798792161298035</v>
      </c>
      <c r="I219" s="133">
        <v>0.58080051054267556</v>
      </c>
      <c r="J219" s="133">
        <v>0.58080051054267556</v>
      </c>
      <c r="K219" s="133">
        <v>2.6646566413796837E-2</v>
      </c>
      <c r="L219" s="133">
        <v>6.1091875728213934</v>
      </c>
      <c r="M219" s="45">
        <v>7387.51614835072</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8.1015933288514406E-5</v>
      </c>
      <c r="G231" s="133">
        <v>1.9664174934182119E-3</v>
      </c>
      <c r="H231" s="133">
        <v>1.2476795386863271E-3</v>
      </c>
      <c r="I231" s="133">
        <v>6.0159762708682322E-5</v>
      </c>
      <c r="J231" s="133">
        <v>6.0159762708682322E-5</v>
      </c>
      <c r="K231" s="133">
        <v>4.2999948462419185E-5</v>
      </c>
      <c r="L231" s="133">
        <v>1.250745524187048E-4</v>
      </c>
      <c r="M231" s="45">
        <v>31.257938111715788</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1.1901629886578133</v>
      </c>
      <c r="G233" s="133">
        <v>0.94639796061222281</v>
      </c>
      <c r="H233" s="133">
        <v>1.2170884808361722</v>
      </c>
      <c r="I233" s="133">
        <v>0.33633343339266525</v>
      </c>
      <c r="J233" s="133">
        <v>0.33633343339266525</v>
      </c>
      <c r="K233" s="133">
        <v>2.5340453242646301E-2</v>
      </c>
      <c r="L233" s="133">
        <v>3.3396859326015549</v>
      </c>
      <c r="M233" s="45">
        <v>17348.518407611969</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2.7668504040241654E-2</v>
      </c>
      <c r="G235" s="133">
        <v>1.8169967088263905E-2</v>
      </c>
      <c r="H235" s="133">
        <v>2.736523804620402E-2</v>
      </c>
      <c r="I235" s="133">
        <v>8.9587430460033313E-3</v>
      </c>
      <c r="J235" s="133">
        <v>8.9587430460033313E-3</v>
      </c>
      <c r="K235" s="133">
        <v>5.1447630678628533E-4</v>
      </c>
      <c r="L235" s="133">
        <v>9.5903078078010573E-2</v>
      </c>
      <c r="M235" s="45">
        <v>348.02744422305744</v>
      </c>
    </row>
    <row r="236" spans="1:13" x14ac:dyDescent="0.25">
      <c r="A236" s="812" t="s">
        <v>1996</v>
      </c>
      <c r="B236" s="812">
        <v>13</v>
      </c>
      <c r="C236" s="608">
        <v>39482</v>
      </c>
      <c r="D236" s="812">
        <v>99705</v>
      </c>
      <c r="E236" s="812" t="s">
        <v>1599</v>
      </c>
      <c r="F236" s="133">
        <v>4.673681513455497</v>
      </c>
      <c r="G236" s="133">
        <v>0.91948821711423823</v>
      </c>
      <c r="H236" s="133">
        <v>1.5482895229544731</v>
      </c>
      <c r="I236" s="133">
        <v>1.3950421943710132</v>
      </c>
      <c r="J236" s="133">
        <v>1.3950421943710132</v>
      </c>
      <c r="K236" s="133">
        <v>6.1835453126912514E-2</v>
      </c>
      <c r="L236" s="133">
        <v>15.182533524270275</v>
      </c>
      <c r="M236" s="45">
        <v>18733.770032894216</v>
      </c>
    </row>
    <row r="237" spans="1:13" x14ac:dyDescent="0.25">
      <c r="A237" s="812" t="s">
        <v>1996</v>
      </c>
      <c r="B237" s="812">
        <v>13</v>
      </c>
      <c r="C237" s="608">
        <v>39482</v>
      </c>
      <c r="D237" s="812">
        <v>99709</v>
      </c>
      <c r="E237" s="812" t="s">
        <v>1600</v>
      </c>
      <c r="F237" s="133">
        <v>4.2107240837753155</v>
      </c>
      <c r="G237" s="133">
        <v>1.0607675018491518</v>
      </c>
      <c r="H237" s="133">
        <v>1.7402984740655174</v>
      </c>
      <c r="I237" s="133">
        <v>1.105839184147118</v>
      </c>
      <c r="J237" s="133">
        <v>1.105839184147118</v>
      </c>
      <c r="K237" s="133">
        <v>5.3106584298099037E-2</v>
      </c>
      <c r="L237" s="133">
        <v>11.395179939140673</v>
      </c>
      <c r="M237" s="45">
        <v>21455.303134385846</v>
      </c>
    </row>
    <row r="238" spans="1:13" x14ac:dyDescent="0.25">
      <c r="A238" s="812" t="s">
        <v>1996</v>
      </c>
      <c r="B238" s="812">
        <v>13</v>
      </c>
      <c r="C238" s="608">
        <v>39482</v>
      </c>
      <c r="D238" s="812">
        <v>99712</v>
      </c>
      <c r="E238" s="812" t="s">
        <v>1601</v>
      </c>
      <c r="F238" s="133">
        <v>2.286322714807012</v>
      </c>
      <c r="G238" s="133">
        <v>0.36717135881762319</v>
      </c>
      <c r="H238" s="133">
        <v>0.65557820830942426</v>
      </c>
      <c r="I238" s="133">
        <v>0.60239475148476629</v>
      </c>
      <c r="J238" s="133">
        <v>0.60239475148476629</v>
      </c>
      <c r="K238" s="133">
        <v>2.7697499646409378E-2</v>
      </c>
      <c r="L238" s="133">
        <v>6.2773147532935587</v>
      </c>
      <c r="M238" s="45">
        <v>7591.9324263971175</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8.62175966646489E-5</v>
      </c>
      <c r="G250" s="133">
        <v>2.0977357834188024E-3</v>
      </c>
      <c r="H250" s="133">
        <v>1.3405011424271888E-3</v>
      </c>
      <c r="I250" s="133">
        <v>6.3490848838751584E-5</v>
      </c>
      <c r="J250" s="133">
        <v>6.3490848838751584E-5</v>
      </c>
      <c r="K250" s="133">
        <v>4.3178661233297391E-5</v>
      </c>
      <c r="L250" s="133">
        <v>1.2834179273128103E-4</v>
      </c>
      <c r="M250" s="45">
        <v>33.278780685613775</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1.2191489474335535</v>
      </c>
      <c r="G252" s="133">
        <v>0.95918066077408604</v>
      </c>
      <c r="H252" s="133">
        <v>1.2377487280497275</v>
      </c>
      <c r="I252" s="133">
        <v>0.34394617267811312</v>
      </c>
      <c r="J252" s="133">
        <v>0.34394617267811312</v>
      </c>
      <c r="K252" s="133">
        <v>2.5673020299552068E-2</v>
      </c>
      <c r="L252" s="133">
        <v>3.4169434144212132</v>
      </c>
      <c r="M252" s="45">
        <v>17597.60802413385</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2.8387577223717732E-2</v>
      </c>
      <c r="G254" s="133">
        <v>1.8482244393347939E-2</v>
      </c>
      <c r="H254" s="133">
        <v>2.7936777499255439E-2</v>
      </c>
      <c r="I254" s="133">
        <v>9.1818996835234361E-3</v>
      </c>
      <c r="J254" s="133">
        <v>9.1818996835234361E-3</v>
      </c>
      <c r="K254" s="133">
        <v>5.2354442052093548E-4</v>
      </c>
      <c r="L254" s="133">
        <v>9.8345562957068478E-2</v>
      </c>
      <c r="M254" s="45">
        <v>354.42966597028618</v>
      </c>
    </row>
    <row r="255" spans="1:13" x14ac:dyDescent="0.25">
      <c r="A255" s="812" t="s">
        <v>1996</v>
      </c>
      <c r="B255" s="812">
        <v>14</v>
      </c>
      <c r="C255" s="608">
        <v>39483</v>
      </c>
      <c r="D255" s="812">
        <v>99705</v>
      </c>
      <c r="E255" s="812" t="s">
        <v>1599</v>
      </c>
      <c r="F255" s="133">
        <v>4.7830734064692075</v>
      </c>
      <c r="G255" s="133">
        <v>0.93794957198056095</v>
      </c>
      <c r="H255" s="133">
        <v>1.5805513696154185</v>
      </c>
      <c r="I255" s="133">
        <v>1.4273314212532735</v>
      </c>
      <c r="J255" s="133">
        <v>1.4273314212532735</v>
      </c>
      <c r="K255" s="133">
        <v>6.3229645624635789E-2</v>
      </c>
      <c r="L255" s="133">
        <v>15.541602104045442</v>
      </c>
      <c r="M255" s="45">
        <v>19112.332615586078</v>
      </c>
    </row>
    <row r="256" spans="1:13" x14ac:dyDescent="0.25">
      <c r="A256" s="812" t="s">
        <v>1996</v>
      </c>
      <c r="B256" s="812">
        <v>14</v>
      </c>
      <c r="C256" s="608">
        <v>39483</v>
      </c>
      <c r="D256" s="812">
        <v>99709</v>
      </c>
      <c r="E256" s="812" t="s">
        <v>1600</v>
      </c>
      <c r="F256" s="133">
        <v>4.1961475664797625</v>
      </c>
      <c r="G256" s="133">
        <v>1.0635621930452184</v>
      </c>
      <c r="H256" s="133">
        <v>1.7442069564233837</v>
      </c>
      <c r="I256" s="133">
        <v>1.1019746368439074</v>
      </c>
      <c r="J256" s="133">
        <v>1.1019746368439074</v>
      </c>
      <c r="K256" s="133">
        <v>5.296123133042261E-2</v>
      </c>
      <c r="L256" s="133">
        <v>11.352020302054932</v>
      </c>
      <c r="M256" s="45">
        <v>21504.342743355515</v>
      </c>
    </row>
    <row r="257" spans="1:13" x14ac:dyDescent="0.25">
      <c r="A257" s="812" t="s">
        <v>1996</v>
      </c>
      <c r="B257" s="812">
        <v>14</v>
      </c>
      <c r="C257" s="608">
        <v>39483</v>
      </c>
      <c r="D257" s="812">
        <v>99712</v>
      </c>
      <c r="E257" s="812" t="s">
        <v>1601</v>
      </c>
      <c r="F257" s="133">
        <v>2.2153582440049493</v>
      </c>
      <c r="G257" s="133">
        <v>0.35897613503388731</v>
      </c>
      <c r="H257" s="133">
        <v>0.64008484036275792</v>
      </c>
      <c r="I257" s="133">
        <v>0.58516467117424487</v>
      </c>
      <c r="J257" s="133">
        <v>0.58516467117424487</v>
      </c>
      <c r="K257" s="133">
        <v>2.6902663039151276E-2</v>
      </c>
      <c r="L257" s="133">
        <v>6.1003459163534943</v>
      </c>
      <c r="M257" s="45">
        <v>7420.3952594820275</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8.6960691432668141E-5</v>
      </c>
      <c r="G269" s="133">
        <v>2.1164955391331729E-3</v>
      </c>
      <c r="H269" s="133">
        <v>1.3537613715330265E-3</v>
      </c>
      <c r="I269" s="133">
        <v>6.3966718285904351E-5</v>
      </c>
      <c r="J269" s="133">
        <v>6.3966718285904351E-5</v>
      </c>
      <c r="K269" s="133">
        <v>4.3204191629137134E-5</v>
      </c>
      <c r="L269" s="133">
        <v>1.288085413473634E-4</v>
      </c>
      <c r="M269" s="45">
        <v>33.567472481884913</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1.250615091710839</v>
      </c>
      <c r="G271" s="133">
        <v>0.96759063498412168</v>
      </c>
      <c r="H271" s="133">
        <v>1.256384048346102</v>
      </c>
      <c r="I271" s="133">
        <v>0.35211966643962683</v>
      </c>
      <c r="J271" s="133">
        <v>0.35211966643962683</v>
      </c>
      <c r="K271" s="133">
        <v>2.6029465953442424E-2</v>
      </c>
      <c r="L271" s="133">
        <v>3.5014056692609654</v>
      </c>
      <c r="M271" s="45">
        <v>17786.913524277712</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2.902377208571226E-2</v>
      </c>
      <c r="G273" s="133">
        <v>1.868031994540597E-2</v>
      </c>
      <c r="H273" s="133">
        <v>2.8362557354571681E-2</v>
      </c>
      <c r="I273" s="133">
        <v>9.374927075150875E-3</v>
      </c>
      <c r="J273" s="133">
        <v>9.374927075150875E-3</v>
      </c>
      <c r="K273" s="133">
        <v>5.3156679235785459E-4</v>
      </c>
      <c r="L273" s="133">
        <v>0.10047332605496703</v>
      </c>
      <c r="M273" s="45">
        <v>358.82124864945246</v>
      </c>
    </row>
    <row r="274" spans="1:13" x14ac:dyDescent="0.25">
      <c r="A274" s="812" t="s">
        <v>1996</v>
      </c>
      <c r="B274" s="812">
        <v>15</v>
      </c>
      <c r="C274" s="608">
        <v>39484</v>
      </c>
      <c r="D274" s="812">
        <v>99705</v>
      </c>
      <c r="E274" s="812" t="s">
        <v>1599</v>
      </c>
      <c r="F274" s="133">
        <v>4.906525783352139</v>
      </c>
      <c r="G274" s="133">
        <v>0.95753785772899724</v>
      </c>
      <c r="H274" s="133">
        <v>1.6162865240609123</v>
      </c>
      <c r="I274" s="133">
        <v>1.4634586042452222</v>
      </c>
      <c r="J274" s="133">
        <v>1.4634586042452222</v>
      </c>
      <c r="K274" s="133">
        <v>6.480875474567728E-2</v>
      </c>
      <c r="L274" s="133">
        <v>15.942645777258004</v>
      </c>
      <c r="M274" s="45">
        <v>19519.907879289553</v>
      </c>
    </row>
    <row r="275" spans="1:13" x14ac:dyDescent="0.25">
      <c r="A275" s="812" t="s">
        <v>1996</v>
      </c>
      <c r="B275" s="812">
        <v>15</v>
      </c>
      <c r="C275" s="608">
        <v>39484</v>
      </c>
      <c r="D275" s="812">
        <v>99709</v>
      </c>
      <c r="E275" s="812" t="s">
        <v>1600</v>
      </c>
      <c r="F275" s="133">
        <v>4.3066882084288212</v>
      </c>
      <c r="G275" s="133">
        <v>1.0804437972229644</v>
      </c>
      <c r="H275" s="133">
        <v>1.7783236193910676</v>
      </c>
      <c r="I275" s="133">
        <v>1.1284662762292803</v>
      </c>
      <c r="J275" s="133">
        <v>1.1284662762292803</v>
      </c>
      <c r="K275" s="133">
        <v>5.4124363585026578E-2</v>
      </c>
      <c r="L275" s="133">
        <v>11.619481045653892</v>
      </c>
      <c r="M275" s="45">
        <v>21872.360585079332</v>
      </c>
    </row>
    <row r="276" spans="1:13" x14ac:dyDescent="0.25">
      <c r="A276" s="812" t="s">
        <v>1996</v>
      </c>
      <c r="B276" s="812">
        <v>15</v>
      </c>
      <c r="C276" s="608">
        <v>39484</v>
      </c>
      <c r="D276" s="812">
        <v>99712</v>
      </c>
      <c r="E276" s="812" t="s">
        <v>1601</v>
      </c>
      <c r="F276" s="133">
        <v>2.2387335201485081</v>
      </c>
      <c r="G276" s="133">
        <v>0.36098069995881255</v>
      </c>
      <c r="H276" s="133">
        <v>0.64395301770354663</v>
      </c>
      <c r="I276" s="133">
        <v>0.58976795111102331</v>
      </c>
      <c r="J276" s="133">
        <v>0.58976795111102331</v>
      </c>
      <c r="K276" s="133">
        <v>2.71341115630001E-2</v>
      </c>
      <c r="L276" s="133">
        <v>6.1421567492869125</v>
      </c>
      <c r="M276" s="45">
        <v>7461.8899920839976</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8.6960691432668127E-5</v>
      </c>
      <c r="G288" s="133">
        <v>2.1164955391331729E-3</v>
      </c>
      <c r="H288" s="133">
        <v>1.353761371533027E-3</v>
      </c>
      <c r="I288" s="133">
        <v>6.3966718285904338E-5</v>
      </c>
      <c r="J288" s="133">
        <v>6.3966718285904338E-5</v>
      </c>
      <c r="K288" s="133">
        <v>4.3204191629137141E-5</v>
      </c>
      <c r="L288" s="133">
        <v>1.288085413473634E-4</v>
      </c>
      <c r="M288" s="45">
        <v>33.567472481884913</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1.2648037984685081</v>
      </c>
      <c r="G290" s="133">
        <v>0.97627420736290438</v>
      </c>
      <c r="H290" s="133">
        <v>1.2679873243738493</v>
      </c>
      <c r="I290" s="133">
        <v>0.35579269691274013</v>
      </c>
      <c r="J290" s="133">
        <v>0.35579269691274013</v>
      </c>
      <c r="K290" s="133">
        <v>2.6192454870415396E-2</v>
      </c>
      <c r="L290" s="133">
        <v>3.5375258090981072</v>
      </c>
      <c r="M290" s="45">
        <v>17943.807677371628</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2.928744045852703E-2</v>
      </c>
      <c r="G292" s="133">
        <v>1.8833467079445811E-2</v>
      </c>
      <c r="H292" s="133">
        <v>2.8587849640067348E-2</v>
      </c>
      <c r="I292" s="133">
        <v>9.4567444720655945E-3</v>
      </c>
      <c r="J292" s="133">
        <v>9.4567444720655945E-3</v>
      </c>
      <c r="K292" s="133">
        <v>5.3500802271673139E-4</v>
      </c>
      <c r="L292" s="133">
        <v>0.1013541258607653</v>
      </c>
      <c r="M292" s="45">
        <v>361.66578730781242</v>
      </c>
    </row>
    <row r="293" spans="1:13" x14ac:dyDescent="0.25">
      <c r="A293" s="812" t="s">
        <v>1996</v>
      </c>
      <c r="B293" s="812">
        <v>16</v>
      </c>
      <c r="C293" s="608">
        <v>39485</v>
      </c>
      <c r="D293" s="812">
        <v>99705</v>
      </c>
      <c r="E293" s="812" t="s">
        <v>1599</v>
      </c>
      <c r="F293" s="133">
        <v>4.9445677861281379</v>
      </c>
      <c r="G293" s="133">
        <v>0.96411781317378598</v>
      </c>
      <c r="H293" s="133">
        <v>1.6271234596727067</v>
      </c>
      <c r="I293" s="133">
        <v>1.4739153654405996</v>
      </c>
      <c r="J293" s="133">
        <v>1.4739153654405996</v>
      </c>
      <c r="K293" s="133">
        <v>6.5274683594631289E-2</v>
      </c>
      <c r="L293" s="133">
        <v>16.05554145526332</v>
      </c>
      <c r="M293" s="45">
        <v>19650.902515879687</v>
      </c>
    </row>
    <row r="294" spans="1:13" x14ac:dyDescent="0.25">
      <c r="A294" s="812" t="s">
        <v>1996</v>
      </c>
      <c r="B294" s="812">
        <v>16</v>
      </c>
      <c r="C294" s="608">
        <v>39485</v>
      </c>
      <c r="D294" s="812">
        <v>99709</v>
      </c>
      <c r="E294" s="812" t="s">
        <v>1600</v>
      </c>
      <c r="F294" s="133">
        <v>4.4794824935593613</v>
      </c>
      <c r="G294" s="133">
        <v>1.1061618346111188</v>
      </c>
      <c r="H294" s="133">
        <v>1.8238280853028286</v>
      </c>
      <c r="I294" s="133">
        <v>1.1715779150153989</v>
      </c>
      <c r="J294" s="133">
        <v>1.1715779150153989</v>
      </c>
      <c r="K294" s="133">
        <v>5.5969258959389701E-2</v>
      </c>
      <c r="L294" s="133">
        <v>12.065111675717462</v>
      </c>
      <c r="M294" s="45">
        <v>22406.305880958756</v>
      </c>
    </row>
    <row r="295" spans="1:13" x14ac:dyDescent="0.25">
      <c r="A295" s="812" t="s">
        <v>1996</v>
      </c>
      <c r="B295" s="812">
        <v>16</v>
      </c>
      <c r="C295" s="608">
        <v>39485</v>
      </c>
      <c r="D295" s="812">
        <v>99712</v>
      </c>
      <c r="E295" s="812" t="s">
        <v>1601</v>
      </c>
      <c r="F295" s="133">
        <v>2.3939529866039919</v>
      </c>
      <c r="G295" s="133">
        <v>0.38024914433999596</v>
      </c>
      <c r="H295" s="133">
        <v>0.67931147677145098</v>
      </c>
      <c r="I295" s="133">
        <v>0.62811465306774061</v>
      </c>
      <c r="J295" s="133">
        <v>0.62811465306774061</v>
      </c>
      <c r="K295" s="133">
        <v>2.8892283021103318E-2</v>
      </c>
      <c r="L295" s="133">
        <v>6.5391077942460116</v>
      </c>
      <c r="M295" s="45">
        <v>7860.7393494892458</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8.7703786200687368E-5</v>
      </c>
      <c r="G307" s="133">
        <v>2.135255294847543E-3</v>
      </c>
      <c r="H307" s="133">
        <v>1.3670216006388645E-3</v>
      </c>
      <c r="I307" s="133">
        <v>6.4442587733057105E-5</v>
      </c>
      <c r="J307" s="133">
        <v>6.4442587733057105E-5</v>
      </c>
      <c r="K307" s="133">
        <v>4.3229722024976871E-5</v>
      </c>
      <c r="L307" s="133">
        <v>1.2927528996344571E-4</v>
      </c>
      <c r="M307" s="45">
        <v>33.856164278156058</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1.2306334139281294</v>
      </c>
      <c r="G309" s="133">
        <v>0.95213855049576979</v>
      </c>
      <c r="H309" s="133">
        <v>1.2374938752428151</v>
      </c>
      <c r="I309" s="133">
        <v>0.34669698869170307</v>
      </c>
      <c r="J309" s="133">
        <v>0.34669698869170307</v>
      </c>
      <c r="K309" s="133">
        <v>2.5793143803594525E-2</v>
      </c>
      <c r="L309" s="133">
        <v>3.447875871066278</v>
      </c>
      <c r="M309" s="45">
        <v>17516.359676680579</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2.8620071393578094E-2</v>
      </c>
      <c r="G311" s="133">
        <v>1.8411780047161121E-2</v>
      </c>
      <c r="H311" s="133">
        <v>2.7992950666585716E-2</v>
      </c>
      <c r="I311" s="133">
        <v>9.2486697259053785E-3</v>
      </c>
      <c r="J311" s="133">
        <v>9.2486697259053785E-3</v>
      </c>
      <c r="K311" s="133">
        <v>5.2624830526783227E-4</v>
      </c>
      <c r="L311" s="133">
        <v>9.9123585222878688E-2</v>
      </c>
      <c r="M311" s="45">
        <v>353.96797297581196</v>
      </c>
    </row>
    <row r="312" spans="1:13" x14ac:dyDescent="0.25">
      <c r="A312" s="812" t="s">
        <v>1996</v>
      </c>
      <c r="B312" s="812">
        <v>17</v>
      </c>
      <c r="C312" s="608">
        <v>39486</v>
      </c>
      <c r="D312" s="812">
        <v>99705</v>
      </c>
      <c r="E312" s="812" t="s">
        <v>1599</v>
      </c>
      <c r="F312" s="133">
        <v>4.8152721077888856</v>
      </c>
      <c r="G312" s="133">
        <v>0.94076850132558565</v>
      </c>
      <c r="H312" s="133">
        <v>1.588211947322564</v>
      </c>
      <c r="I312" s="133">
        <v>1.436485001603252</v>
      </c>
      <c r="J312" s="133">
        <v>1.436485001603252</v>
      </c>
      <c r="K312" s="133">
        <v>6.3632539870803584E-2</v>
      </c>
      <c r="L312" s="133">
        <v>15.64276261191007</v>
      </c>
      <c r="M312" s="45">
        <v>19183.0317998141</v>
      </c>
    </row>
    <row r="313" spans="1:13" x14ac:dyDescent="0.25">
      <c r="A313" s="812" t="s">
        <v>1996</v>
      </c>
      <c r="B313" s="812">
        <v>17</v>
      </c>
      <c r="C313" s="608">
        <v>39486</v>
      </c>
      <c r="D313" s="812">
        <v>99709</v>
      </c>
      <c r="E313" s="812" t="s">
        <v>1600</v>
      </c>
      <c r="F313" s="133">
        <v>4.3295258493265161</v>
      </c>
      <c r="G313" s="133">
        <v>1.0764496720874388</v>
      </c>
      <c r="H313" s="133">
        <v>1.7747582885543891</v>
      </c>
      <c r="I313" s="133">
        <v>1.1353960820651294</v>
      </c>
      <c r="J313" s="133">
        <v>1.1353960820651294</v>
      </c>
      <c r="K313" s="133">
        <v>5.4386393063752064E-2</v>
      </c>
      <c r="L313" s="133">
        <v>11.700585232621851</v>
      </c>
      <c r="M313" s="45">
        <v>21812.127490741717</v>
      </c>
    </row>
    <row r="314" spans="1:13" x14ac:dyDescent="0.25">
      <c r="A314" s="812" t="s">
        <v>1996</v>
      </c>
      <c r="B314" s="812">
        <v>17</v>
      </c>
      <c r="C314" s="608">
        <v>39486</v>
      </c>
      <c r="D314" s="812">
        <v>99712</v>
      </c>
      <c r="E314" s="812" t="s">
        <v>1601</v>
      </c>
      <c r="F314" s="133">
        <v>2.3244626416985383</v>
      </c>
      <c r="G314" s="133">
        <v>0.37140243697297587</v>
      </c>
      <c r="H314" s="133">
        <v>0.6636987017034458</v>
      </c>
      <c r="I314" s="133">
        <v>0.61163197433459271</v>
      </c>
      <c r="J314" s="133">
        <v>0.61163197433459271</v>
      </c>
      <c r="K314" s="133">
        <v>2.8124985184964757E-2</v>
      </c>
      <c r="L314" s="133">
        <v>6.3721854209465176</v>
      </c>
      <c r="M314" s="45">
        <v>7680.9710938073076</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8.54745018966297E-5</v>
      </c>
      <c r="G326" s="133">
        <v>2.0789760277044327E-3</v>
      </c>
      <c r="H326" s="133">
        <v>1.3272409133213521E-3</v>
      </c>
      <c r="I326" s="133">
        <v>6.3014979391598844E-5</v>
      </c>
      <c r="J326" s="133">
        <v>6.3014979391598844E-5</v>
      </c>
      <c r="K326" s="133">
        <v>4.3153130837457661E-5</v>
      </c>
      <c r="L326" s="133">
        <v>1.2787504411519875E-4</v>
      </c>
      <c r="M326" s="45">
        <v>32.990088889342637</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1.0486733507148263</v>
      </c>
      <c r="G328" s="133">
        <v>0.8795276573674119</v>
      </c>
      <c r="H328" s="133">
        <v>1.121612689477506</v>
      </c>
      <c r="I328" s="133">
        <v>0.30371251981486952</v>
      </c>
      <c r="J328" s="133">
        <v>0.30371251981486952</v>
      </c>
      <c r="K328" s="133">
        <v>2.3848482402794156E-2</v>
      </c>
      <c r="L328" s="133">
        <v>3.0372808836127061</v>
      </c>
      <c r="M328" s="45">
        <v>16111.767237256649</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2.4665971581084294E-2</v>
      </c>
      <c r="G330" s="133">
        <v>1.6814937581835655E-2</v>
      </c>
      <c r="H330" s="133">
        <v>2.5147100358107861E-2</v>
      </c>
      <c r="I330" s="133">
        <v>8.1334572025227939E-3</v>
      </c>
      <c r="J330" s="133">
        <v>8.1334572025227939E-3</v>
      </c>
      <c r="K330" s="133">
        <v>4.792090107751969E-4</v>
      </c>
      <c r="L330" s="133">
        <v>8.749652844830802E-2</v>
      </c>
      <c r="M330" s="45">
        <v>321.73314332955999</v>
      </c>
    </row>
    <row r="331" spans="1:13" x14ac:dyDescent="0.25">
      <c r="A331" s="812" t="s">
        <v>1996</v>
      </c>
      <c r="B331" s="812">
        <v>18</v>
      </c>
      <c r="C331" s="608">
        <v>39487</v>
      </c>
      <c r="D331" s="812">
        <v>99705</v>
      </c>
      <c r="E331" s="812" t="s">
        <v>1599</v>
      </c>
      <c r="F331" s="133">
        <v>3.952094984120893</v>
      </c>
      <c r="G331" s="133">
        <v>0.81008371838539117</v>
      </c>
      <c r="H331" s="133">
        <v>1.3561367924541761</v>
      </c>
      <c r="I331" s="133">
        <v>1.2007219912507057</v>
      </c>
      <c r="J331" s="133">
        <v>1.2007219912507057</v>
      </c>
      <c r="K331" s="133">
        <v>5.3361374435643559E-2</v>
      </c>
      <c r="L331" s="133">
        <v>13.136136413979466</v>
      </c>
      <c r="M331" s="45">
        <v>16490.487658749284</v>
      </c>
    </row>
    <row r="332" spans="1:13" x14ac:dyDescent="0.25">
      <c r="A332" s="812" t="s">
        <v>1996</v>
      </c>
      <c r="B332" s="812">
        <v>18</v>
      </c>
      <c r="C332" s="608">
        <v>39487</v>
      </c>
      <c r="D332" s="812">
        <v>99709</v>
      </c>
      <c r="E332" s="812" t="s">
        <v>1600</v>
      </c>
      <c r="F332" s="133">
        <v>3.5034763365964965</v>
      </c>
      <c r="G332" s="133">
        <v>0.95354036768707673</v>
      </c>
      <c r="H332" s="133">
        <v>1.5520377730047548</v>
      </c>
      <c r="I332" s="133">
        <v>0.94575895868643334</v>
      </c>
      <c r="J332" s="133">
        <v>0.94575895868643334</v>
      </c>
      <c r="K332" s="133">
        <v>4.597052827027262E-2</v>
      </c>
      <c r="L332" s="133">
        <v>9.8419249192276261</v>
      </c>
      <c r="M332" s="45">
        <v>19258.381308807609</v>
      </c>
    </row>
    <row r="333" spans="1:13" x14ac:dyDescent="0.25">
      <c r="A333" s="812" t="s">
        <v>1996</v>
      </c>
      <c r="B333" s="812">
        <v>18</v>
      </c>
      <c r="C333" s="608">
        <v>39487</v>
      </c>
      <c r="D333" s="812">
        <v>99712</v>
      </c>
      <c r="E333" s="812" t="s">
        <v>1601</v>
      </c>
      <c r="F333" s="133">
        <v>1.8071215252525648</v>
      </c>
      <c r="G333" s="133">
        <v>0.31200044974680885</v>
      </c>
      <c r="H333" s="133">
        <v>0.5550577543784696</v>
      </c>
      <c r="I333" s="133">
        <v>0.49091317735099288</v>
      </c>
      <c r="J333" s="133">
        <v>0.49091317735099288</v>
      </c>
      <c r="K333" s="133">
        <v>2.2551376568211403E-2</v>
      </c>
      <c r="L333" s="133">
        <v>5.1706409099821222</v>
      </c>
      <c r="M333" s="45">
        <v>6454.2019652896715</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8.1015933288514392E-5</v>
      </c>
      <c r="G345" s="133">
        <v>1.9664174934182119E-3</v>
      </c>
      <c r="H345" s="133">
        <v>1.2476795386863273E-3</v>
      </c>
      <c r="I345" s="133">
        <v>6.0159762708682315E-5</v>
      </c>
      <c r="J345" s="133">
        <v>6.0159762708682315E-5</v>
      </c>
      <c r="K345" s="133">
        <v>4.2999948462419185E-5</v>
      </c>
      <c r="L345" s="133">
        <v>1.2507455241870483E-4</v>
      </c>
      <c r="M345" s="45">
        <v>31.257938111715788</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1.1128783520346308</v>
      </c>
      <c r="G347" s="133">
        <v>0.90098525270169472</v>
      </c>
      <c r="H347" s="133">
        <v>1.1616742337464261</v>
      </c>
      <c r="I347" s="133">
        <v>0.31987566179824106</v>
      </c>
      <c r="J347" s="133">
        <v>0.31987566179824106</v>
      </c>
      <c r="K347" s="133">
        <v>2.4566656059673772E-2</v>
      </c>
      <c r="L347" s="133">
        <v>3.2001604781175605</v>
      </c>
      <c r="M347" s="45">
        <v>16556.520026345006</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2.6264345083876192E-2</v>
      </c>
      <c r="G349" s="133">
        <v>1.7390068513050139E-2</v>
      </c>
      <c r="H349" s="133">
        <v>2.6281033299727991E-2</v>
      </c>
      <c r="I349" s="133">
        <v>8.6214102135669587E-3</v>
      </c>
      <c r="J349" s="133">
        <v>8.6214102135669587E-3</v>
      </c>
      <c r="K349" s="133">
        <v>4.9943785807964709E-4</v>
      </c>
      <c r="L349" s="133">
        <v>9.2855574785115608E-2</v>
      </c>
      <c r="M349" s="45">
        <v>333.94455526659641</v>
      </c>
    </row>
    <row r="350" spans="1:13" x14ac:dyDescent="0.25">
      <c r="A350" s="812" t="s">
        <v>1996</v>
      </c>
      <c r="B350" s="812">
        <v>19</v>
      </c>
      <c r="C350" s="608">
        <v>39488</v>
      </c>
      <c r="D350" s="812">
        <v>99705</v>
      </c>
      <c r="E350" s="812" t="s">
        <v>1599</v>
      </c>
      <c r="F350" s="133">
        <v>4.2670295014781026</v>
      </c>
      <c r="G350" s="133">
        <v>0.85880539587970428</v>
      </c>
      <c r="H350" s="133">
        <v>1.4434477038014308</v>
      </c>
      <c r="I350" s="133">
        <v>1.2906382624018629</v>
      </c>
      <c r="J350" s="133">
        <v>1.2906382624018629</v>
      </c>
      <c r="K350" s="133">
        <v>5.7265799826887079E-2</v>
      </c>
      <c r="L350" s="133">
        <v>14.123679369871523</v>
      </c>
      <c r="M350" s="45">
        <v>17499.906135765188</v>
      </c>
    </row>
    <row r="351" spans="1:13" x14ac:dyDescent="0.25">
      <c r="A351" s="812" t="s">
        <v>1996</v>
      </c>
      <c r="B351" s="812">
        <v>19</v>
      </c>
      <c r="C351" s="608">
        <v>39488</v>
      </c>
      <c r="D351" s="812">
        <v>99709</v>
      </c>
      <c r="E351" s="812" t="s">
        <v>1600</v>
      </c>
      <c r="F351" s="133">
        <v>3.8184072565448428</v>
      </c>
      <c r="G351" s="133">
        <v>0.9999001540237773</v>
      </c>
      <c r="H351" s="133">
        <v>1.6391083606151937</v>
      </c>
      <c r="I351" s="133">
        <v>1.0223088185705562</v>
      </c>
      <c r="J351" s="133">
        <v>1.0223088185705562</v>
      </c>
      <c r="K351" s="133">
        <v>4.9315719506532504E-2</v>
      </c>
      <c r="L351" s="133">
        <v>10.622401599941139</v>
      </c>
      <c r="M351" s="45">
        <v>20239.830363070047</v>
      </c>
    </row>
    <row r="352" spans="1:13" x14ac:dyDescent="0.25">
      <c r="A352" s="812" t="s">
        <v>1996</v>
      </c>
      <c r="B352" s="812">
        <v>19</v>
      </c>
      <c r="C352" s="608">
        <v>39488</v>
      </c>
      <c r="D352" s="812">
        <v>99712</v>
      </c>
      <c r="E352" s="812" t="s">
        <v>1601</v>
      </c>
      <c r="F352" s="133">
        <v>1.9940840961665902</v>
      </c>
      <c r="G352" s="133">
        <v>0.33403241152468388</v>
      </c>
      <c r="H352" s="133">
        <v>0.59568864699073887</v>
      </c>
      <c r="I352" s="133">
        <v>0.53564078474981347</v>
      </c>
      <c r="J352" s="133">
        <v>0.53564078474981347</v>
      </c>
      <c r="K352" s="133">
        <v>2.4628707840953553E-2</v>
      </c>
      <c r="L352" s="133">
        <v>5.6264511274787123</v>
      </c>
      <c r="M352" s="45">
        <v>6910.0184527557631</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8.1759028056533592E-5</v>
      </c>
      <c r="G364" s="133">
        <v>1.9851772491325816E-3</v>
      </c>
      <c r="H364" s="133">
        <v>1.2609397677921642E-3</v>
      </c>
      <c r="I364" s="133">
        <v>6.0635632155835075E-5</v>
      </c>
      <c r="J364" s="133">
        <v>6.0635632155835075E-5</v>
      </c>
      <c r="K364" s="133">
        <v>4.3025478858258915E-5</v>
      </c>
      <c r="L364" s="133">
        <v>1.2554130103478709E-4</v>
      </c>
      <c r="M364" s="45">
        <v>31.546629907986926</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0.7545330116294463</v>
      </c>
      <c r="G366" s="133">
        <v>0.69251249812175442</v>
      </c>
      <c r="H366" s="133">
        <v>0.8394417877143574</v>
      </c>
      <c r="I366" s="133">
        <v>0.22724169744930045</v>
      </c>
      <c r="J366" s="133">
        <v>0.22724169744930045</v>
      </c>
      <c r="K366" s="133">
        <v>2.9166922093283761E-2</v>
      </c>
      <c r="L366" s="133">
        <v>2.2709659581275208</v>
      </c>
      <c r="M366" s="45">
        <v>12959.053674908402</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1.8332332688864222E-2</v>
      </c>
      <c r="G368" s="133">
        <v>1.3145303925515439E-2</v>
      </c>
      <c r="H368" s="133">
        <v>1.9091199430268789E-2</v>
      </c>
      <c r="I368" s="133">
        <v>6.1726940563699133E-3</v>
      </c>
      <c r="J368" s="133">
        <v>6.1726940563699133E-3</v>
      </c>
      <c r="K368" s="133">
        <v>5.123037154311699E-4</v>
      </c>
      <c r="L368" s="133">
        <v>6.6243361818272908E-2</v>
      </c>
      <c r="M368" s="45">
        <v>255.4838808009398</v>
      </c>
    </row>
    <row r="369" spans="1:13" x14ac:dyDescent="0.25">
      <c r="A369" s="812" t="s">
        <v>1999</v>
      </c>
      <c r="B369" s="812">
        <v>1</v>
      </c>
      <c r="C369" s="608">
        <v>39754</v>
      </c>
      <c r="D369" s="812">
        <v>99705</v>
      </c>
      <c r="E369" s="812" t="s">
        <v>1599</v>
      </c>
      <c r="F369" s="133">
        <v>3.1457094394885443</v>
      </c>
      <c r="G369" s="133">
        <v>0.65920248996472197</v>
      </c>
      <c r="H369" s="133">
        <v>1.0991434067336319</v>
      </c>
      <c r="I369" s="133">
        <v>0.9660301526421996</v>
      </c>
      <c r="J369" s="133">
        <v>0.9660301526421996</v>
      </c>
      <c r="K369" s="133">
        <v>4.5013844714688923E-2</v>
      </c>
      <c r="L369" s="133">
        <v>10.538978669950581</v>
      </c>
      <c r="M369" s="45">
        <v>13499.981644648018</v>
      </c>
    </row>
    <row r="370" spans="1:13" x14ac:dyDescent="0.25">
      <c r="A370" s="812" t="s">
        <v>1999</v>
      </c>
      <c r="B370" s="812">
        <v>1</v>
      </c>
      <c r="C370" s="608">
        <v>39754</v>
      </c>
      <c r="D370" s="812">
        <v>99709</v>
      </c>
      <c r="E370" s="812" t="s">
        <v>1600</v>
      </c>
      <c r="F370" s="133">
        <v>2.5741099343560339</v>
      </c>
      <c r="G370" s="133">
        <v>0.75381378772699814</v>
      </c>
      <c r="H370" s="133">
        <v>1.2080926901301761</v>
      </c>
      <c r="I370" s="133">
        <v>0.71560797909166718</v>
      </c>
      <c r="J370" s="133">
        <v>0.71560797909166718</v>
      </c>
      <c r="K370" s="133">
        <v>4.0528748686185175E-2</v>
      </c>
      <c r="L370" s="133">
        <v>7.4860317813920494</v>
      </c>
      <c r="M370" s="45">
        <v>15382.865426525363</v>
      </c>
    </row>
    <row r="371" spans="1:13" x14ac:dyDescent="0.25">
      <c r="A371" s="812" t="s">
        <v>1999</v>
      </c>
      <c r="B371" s="812">
        <v>1</v>
      </c>
      <c r="C371" s="608">
        <v>39754</v>
      </c>
      <c r="D371" s="812">
        <v>99712</v>
      </c>
      <c r="E371" s="812" t="s">
        <v>1601</v>
      </c>
      <c r="F371" s="133">
        <v>1.4410922352783959</v>
      </c>
      <c r="G371" s="133">
        <v>0.26012169137246716</v>
      </c>
      <c r="H371" s="133">
        <v>0.46342327822153562</v>
      </c>
      <c r="I371" s="133">
        <v>0.39954858836194124</v>
      </c>
      <c r="J371" s="133">
        <v>0.39954858836194124</v>
      </c>
      <c r="K371" s="133">
        <v>1.8800958891325732E-2</v>
      </c>
      <c r="L371" s="133">
        <v>4.2200482784766198</v>
      </c>
      <c r="M371" s="45">
        <v>5409.437567599879</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6.816095262569E-5</v>
      </c>
      <c r="G383" s="133">
        <v>1.5752223197644185E-3</v>
      </c>
      <c r="H383" s="133">
        <v>8.5090225049786676E-4</v>
      </c>
      <c r="I383" s="133">
        <v>5.892508912517547E-5</v>
      </c>
      <c r="J383" s="133">
        <v>5.892508912517547E-5</v>
      </c>
      <c r="K383" s="133">
        <v>7.6553536142689256E-5</v>
      </c>
      <c r="L383" s="133">
        <v>1.7971109304715992E-4</v>
      </c>
      <c r="M383" s="45">
        <v>26.080613428460993</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0.70983788382367863</v>
      </c>
      <c r="G385" s="133">
        <v>0.64532863545873365</v>
      </c>
      <c r="H385" s="133">
        <v>0.78165851400695563</v>
      </c>
      <c r="I385" s="133">
        <v>0.21110875822769137</v>
      </c>
      <c r="J385" s="133">
        <v>0.21110875822769137</v>
      </c>
      <c r="K385" s="133">
        <v>2.8509682496131193E-2</v>
      </c>
      <c r="L385" s="133">
        <v>2.0909152958973301</v>
      </c>
      <c r="M385" s="45">
        <v>12130.464685207538</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1.710956795232333E-2</v>
      </c>
      <c r="G387" s="133">
        <v>1.2219141489076513E-2</v>
      </c>
      <c r="H387" s="133">
        <v>1.7747078870194014E-2</v>
      </c>
      <c r="I387" s="133">
        <v>5.6838782563549328E-3</v>
      </c>
      <c r="J387" s="133">
        <v>5.6838782563549328E-3</v>
      </c>
      <c r="K387" s="133">
        <v>4.9306001774285907E-4</v>
      </c>
      <c r="L387" s="133">
        <v>6.042541689016169E-2</v>
      </c>
      <c r="M387" s="45">
        <v>238.30073001645846</v>
      </c>
    </row>
    <row r="388" spans="1:13" x14ac:dyDescent="0.25">
      <c r="A388" s="812" t="s">
        <v>1999</v>
      </c>
      <c r="B388" s="812">
        <v>2</v>
      </c>
      <c r="C388" s="608">
        <v>39755</v>
      </c>
      <c r="D388" s="812">
        <v>99705</v>
      </c>
      <c r="E388" s="812" t="s">
        <v>1599</v>
      </c>
      <c r="F388" s="133">
        <v>3.0127703424864478</v>
      </c>
      <c r="G388" s="133">
        <v>0.61982556707707837</v>
      </c>
      <c r="H388" s="133">
        <v>1.0368590788331746</v>
      </c>
      <c r="I388" s="133">
        <v>0.90978571405931163</v>
      </c>
      <c r="J388" s="133">
        <v>0.90978571405931163</v>
      </c>
      <c r="K388" s="133">
        <v>4.2626147038177589E-2</v>
      </c>
      <c r="L388" s="133">
        <v>9.8076417422245488</v>
      </c>
      <c r="M388" s="45">
        <v>12723.327356024514</v>
      </c>
    </row>
    <row r="389" spans="1:13" x14ac:dyDescent="0.25">
      <c r="A389" s="812" t="s">
        <v>1999</v>
      </c>
      <c r="B389" s="812">
        <v>2</v>
      </c>
      <c r="C389" s="608">
        <v>39755</v>
      </c>
      <c r="D389" s="812">
        <v>99709</v>
      </c>
      <c r="E389" s="812" t="s">
        <v>1600</v>
      </c>
      <c r="F389" s="133">
        <v>2.5560977325704828</v>
      </c>
      <c r="G389" s="133">
        <v>0.72030956813602642</v>
      </c>
      <c r="H389" s="133">
        <v>1.1625853431869684</v>
      </c>
      <c r="I389" s="133">
        <v>0.69570050288883745</v>
      </c>
      <c r="J389" s="133">
        <v>0.69570050288883745</v>
      </c>
      <c r="K389" s="133">
        <v>3.9831870234839681E-2</v>
      </c>
      <c r="L389" s="133">
        <v>7.1959287037673922</v>
      </c>
      <c r="M389" s="45">
        <v>14756.781170191322</v>
      </c>
    </row>
    <row r="390" spans="1:13" x14ac:dyDescent="0.25">
      <c r="A390" s="812" t="s">
        <v>1999</v>
      </c>
      <c r="B390" s="812">
        <v>2</v>
      </c>
      <c r="C390" s="608">
        <v>39755</v>
      </c>
      <c r="D390" s="812">
        <v>99712</v>
      </c>
      <c r="E390" s="812" t="s">
        <v>1601</v>
      </c>
      <c r="F390" s="133">
        <v>1.4529160741613574</v>
      </c>
      <c r="G390" s="133">
        <v>0.25331003348916986</v>
      </c>
      <c r="H390" s="133">
        <v>0.45294961612783324</v>
      </c>
      <c r="I390" s="133">
        <v>0.39431737389331878</v>
      </c>
      <c r="J390" s="133">
        <v>0.39431737389331878</v>
      </c>
      <c r="K390" s="133">
        <v>1.8619344026906137E-2</v>
      </c>
      <c r="L390" s="133">
        <v>4.1134579176031139</v>
      </c>
      <c r="M390" s="45">
        <v>5275.9453940424983</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6.3702384017574705E-5</v>
      </c>
      <c r="G402" s="133">
        <v>1.4626637854781976E-3</v>
      </c>
      <c r="H402" s="133">
        <v>7.7134087586284202E-4</v>
      </c>
      <c r="I402" s="133">
        <v>5.6069872442258948E-5</v>
      </c>
      <c r="J402" s="133">
        <v>5.6069872442258948E-5</v>
      </c>
      <c r="K402" s="133">
        <v>7.6400353767650767E-5</v>
      </c>
      <c r="L402" s="133">
        <v>1.7691060135066592E-4</v>
      </c>
      <c r="M402" s="45">
        <v>24.348462650834151</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0.66562791380977648</v>
      </c>
      <c r="G404" s="133">
        <v>0.63881975065403906</v>
      </c>
      <c r="H404" s="133">
        <v>0.75953171971006939</v>
      </c>
      <c r="I404" s="133">
        <v>0.19990298675588589</v>
      </c>
      <c r="J404" s="133">
        <v>0.19990298675588589</v>
      </c>
      <c r="K404" s="133">
        <v>2.8017819452296939E-2</v>
      </c>
      <c r="L404" s="133">
        <v>1.9745857172112982</v>
      </c>
      <c r="M404" s="45">
        <v>11945.412204903567</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1.6152968147544564E-2</v>
      </c>
      <c r="G406" s="133">
        <v>1.1987938141795237E-2</v>
      </c>
      <c r="H406" s="133">
        <v>1.714532902640455E-2</v>
      </c>
      <c r="I406" s="133">
        <v>5.3944426032392027E-3</v>
      </c>
      <c r="J406" s="133">
        <v>5.3944426032392027E-3</v>
      </c>
      <c r="K406" s="133">
        <v>4.8116038127235528E-4</v>
      </c>
      <c r="L406" s="133">
        <v>5.7212240450500863E-2</v>
      </c>
      <c r="M406" s="45">
        <v>232.62012953331654</v>
      </c>
    </row>
    <row r="407" spans="1:13" x14ac:dyDescent="0.25">
      <c r="A407" s="812" t="s">
        <v>1999</v>
      </c>
      <c r="B407" s="812">
        <v>3</v>
      </c>
      <c r="C407" s="608">
        <v>39756</v>
      </c>
      <c r="D407" s="812">
        <v>99705</v>
      </c>
      <c r="E407" s="812" t="s">
        <v>1599</v>
      </c>
      <c r="F407" s="133">
        <v>2.8041910950738798</v>
      </c>
      <c r="G407" s="133">
        <v>0.58840332558637143</v>
      </c>
      <c r="H407" s="133">
        <v>0.97865366799695241</v>
      </c>
      <c r="I407" s="133">
        <v>0.84900363138313073</v>
      </c>
      <c r="J407" s="133">
        <v>0.84900363138313073</v>
      </c>
      <c r="K407" s="133">
        <v>3.9990631776822598E-2</v>
      </c>
      <c r="L407" s="133">
        <v>9.1339085724801858</v>
      </c>
      <c r="M407" s="45">
        <v>12064.269900593783</v>
      </c>
    </row>
    <row r="408" spans="1:13" x14ac:dyDescent="0.25">
      <c r="A408" s="812" t="s">
        <v>1999</v>
      </c>
      <c r="B408" s="812">
        <v>3</v>
      </c>
      <c r="C408" s="608">
        <v>39756</v>
      </c>
      <c r="D408" s="812">
        <v>99709</v>
      </c>
      <c r="E408" s="812" t="s">
        <v>1600</v>
      </c>
      <c r="F408" s="133">
        <v>2.4394901674927216</v>
      </c>
      <c r="G408" s="133">
        <v>0.7046838141317403</v>
      </c>
      <c r="H408" s="133">
        <v>1.1275967099518387</v>
      </c>
      <c r="I408" s="133">
        <v>0.66736920572849079</v>
      </c>
      <c r="J408" s="133">
        <v>0.66736920572849079</v>
      </c>
      <c r="K408" s="133">
        <v>3.8592897564882669E-2</v>
      </c>
      <c r="L408" s="133">
        <v>6.9069916721747608</v>
      </c>
      <c r="M408" s="45">
        <v>14399.372809834676</v>
      </c>
    </row>
    <row r="409" spans="1:13" x14ac:dyDescent="0.25">
      <c r="A409" s="812" t="s">
        <v>1999</v>
      </c>
      <c r="B409" s="812">
        <v>3</v>
      </c>
      <c r="C409" s="608">
        <v>39756</v>
      </c>
      <c r="D409" s="812">
        <v>99712</v>
      </c>
      <c r="E409" s="812" t="s">
        <v>1601</v>
      </c>
      <c r="F409" s="133">
        <v>1.3953286029506859</v>
      </c>
      <c r="G409" s="133">
        <v>0.24666202780193691</v>
      </c>
      <c r="H409" s="133">
        <v>0.44020252893504108</v>
      </c>
      <c r="I409" s="133">
        <v>0.38046531198658379</v>
      </c>
      <c r="J409" s="133">
        <v>0.38046531198658379</v>
      </c>
      <c r="K409" s="133">
        <v>1.7979875633132223E-2</v>
      </c>
      <c r="L409" s="133">
        <v>3.9719706203688929</v>
      </c>
      <c r="M409" s="45">
        <v>5136.127832048347</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6.4445478785593905E-5</v>
      </c>
      <c r="G421" s="133">
        <v>1.4814235411925675E-3</v>
      </c>
      <c r="H421" s="133">
        <v>7.8460110496867926E-4</v>
      </c>
      <c r="I421" s="133">
        <v>5.6545741889411715E-5</v>
      </c>
      <c r="J421" s="133">
        <v>5.6545741889411715E-5</v>
      </c>
      <c r="K421" s="133">
        <v>7.6425884163490497E-5</v>
      </c>
      <c r="L421" s="133">
        <v>1.7737734996674823E-4</v>
      </c>
      <c r="M421" s="45">
        <v>24.637154447105289</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0.72876126103754024</v>
      </c>
      <c r="G423" s="133">
        <v>0.690646213039948</v>
      </c>
      <c r="H423" s="133">
        <v>0.82070789301612379</v>
      </c>
      <c r="I423" s="133">
        <v>0.21681685148963351</v>
      </c>
      <c r="J423" s="133">
        <v>0.21681685148963351</v>
      </c>
      <c r="K423" s="133">
        <v>2.8760986746807486E-2</v>
      </c>
      <c r="L423" s="133">
        <v>2.1392644495163644</v>
      </c>
      <c r="M423" s="45">
        <v>12841.42893410953</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1.7577511318551894E-2</v>
      </c>
      <c r="G425" s="133">
        <v>1.2950807726964369E-2</v>
      </c>
      <c r="H425" s="133">
        <v>1.8492691087341053E-2</v>
      </c>
      <c r="I425" s="133">
        <v>5.8437115282675787E-3</v>
      </c>
      <c r="J425" s="133">
        <v>5.8437115282675787E-3</v>
      </c>
      <c r="K425" s="133">
        <v>4.9976749753367282E-4</v>
      </c>
      <c r="L425" s="133">
        <v>6.2022740665511229E-2</v>
      </c>
      <c r="M425" s="45">
        <v>250.14323211831268</v>
      </c>
    </row>
    <row r="426" spans="1:13" x14ac:dyDescent="0.25">
      <c r="A426" s="812" t="s">
        <v>1999</v>
      </c>
      <c r="B426" s="812">
        <v>4</v>
      </c>
      <c r="C426" s="608">
        <v>39757</v>
      </c>
      <c r="D426" s="812">
        <v>99705</v>
      </c>
      <c r="E426" s="812" t="s">
        <v>1599</v>
      </c>
      <c r="F426" s="133">
        <v>3.0929714098059322</v>
      </c>
      <c r="G426" s="133">
        <v>0.64135313510180547</v>
      </c>
      <c r="H426" s="133">
        <v>1.0659600772581554</v>
      </c>
      <c r="I426" s="133">
        <v>0.93399347202458582</v>
      </c>
      <c r="J426" s="133">
        <v>0.93399347202458582</v>
      </c>
      <c r="K426" s="133">
        <v>4.3649310016141772E-2</v>
      </c>
      <c r="L426" s="133">
        <v>10.07619146076645</v>
      </c>
      <c r="M426" s="45">
        <v>13124.35414165009</v>
      </c>
    </row>
    <row r="427" spans="1:13" x14ac:dyDescent="0.25">
      <c r="A427" s="812" t="s">
        <v>1999</v>
      </c>
      <c r="B427" s="812">
        <v>4</v>
      </c>
      <c r="C427" s="608">
        <v>39757</v>
      </c>
      <c r="D427" s="812">
        <v>99709</v>
      </c>
      <c r="E427" s="812" t="s">
        <v>1600</v>
      </c>
      <c r="F427" s="133">
        <v>2.4515255936738956</v>
      </c>
      <c r="G427" s="133">
        <v>0.72943267164246106</v>
      </c>
      <c r="H427" s="133">
        <v>1.1568835480080379</v>
      </c>
      <c r="I427" s="133">
        <v>0.66965349919661954</v>
      </c>
      <c r="J427" s="133">
        <v>0.66965349919661954</v>
      </c>
      <c r="K427" s="133">
        <v>3.8730773024798201E-2</v>
      </c>
      <c r="L427" s="133">
        <v>6.9180575485164741</v>
      </c>
      <c r="M427" s="45">
        <v>14830.33844436025</v>
      </c>
    </row>
    <row r="428" spans="1:13" x14ac:dyDescent="0.25">
      <c r="A428" s="812" t="s">
        <v>1999</v>
      </c>
      <c r="B428" s="812">
        <v>4</v>
      </c>
      <c r="C428" s="608">
        <v>39757</v>
      </c>
      <c r="D428" s="812">
        <v>99712</v>
      </c>
      <c r="E428" s="812" t="s">
        <v>1601</v>
      </c>
      <c r="F428" s="133">
        <v>1.2682110367495021</v>
      </c>
      <c r="G428" s="133">
        <v>0.2318267858305538</v>
      </c>
      <c r="H428" s="133">
        <v>0.41099256593725131</v>
      </c>
      <c r="I428" s="133">
        <v>0.34738962365041454</v>
      </c>
      <c r="J428" s="133">
        <v>0.34738962365041454</v>
      </c>
      <c r="K428" s="133">
        <v>1.64933806786841E-2</v>
      </c>
      <c r="L428" s="133">
        <v>3.6204627881349616</v>
      </c>
      <c r="M428" s="45">
        <v>4819.0246308246233</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6.964714216172844E-5</v>
      </c>
      <c r="G440" s="133">
        <v>1.6127418311931594E-3</v>
      </c>
      <c r="H440" s="133">
        <v>8.7742270870954178E-4</v>
      </c>
      <c r="I440" s="133">
        <v>5.9876828019480977E-5</v>
      </c>
      <c r="J440" s="133">
        <v>5.9876828019480977E-5</v>
      </c>
      <c r="K440" s="133">
        <v>7.6604596934368743E-5</v>
      </c>
      <c r="L440" s="133">
        <v>1.8064459027932457E-4</v>
      </c>
      <c r="M440" s="45">
        <v>26.657997021003276</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0.74532065921019341</v>
      </c>
      <c r="G442" s="133">
        <v>0.69524747310799018</v>
      </c>
      <c r="H442" s="133">
        <v>0.83085733633083536</v>
      </c>
      <c r="I442" s="133">
        <v>0.22125474483697202</v>
      </c>
      <c r="J442" s="133">
        <v>0.22125474483697202</v>
      </c>
      <c r="K442" s="133">
        <v>2.8951345630638264E-2</v>
      </c>
      <c r="L442" s="133">
        <v>2.1857437350482263</v>
      </c>
      <c r="M442" s="45">
        <v>12944.806408961449</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1.8164798918053098E-2</v>
      </c>
      <c r="G444" s="133">
        <v>1.31462172919496E-2</v>
      </c>
      <c r="H444" s="133">
        <v>1.8915628310194239E-2</v>
      </c>
      <c r="I444" s="133">
        <v>6.0243295793592343E-3</v>
      </c>
      <c r="J444" s="133">
        <v>6.0243295793592343E-3</v>
      </c>
      <c r="K444" s="133">
        <v>5.0707920843119766E-4</v>
      </c>
      <c r="L444" s="133">
        <v>6.4016856392737395E-2</v>
      </c>
      <c r="M444" s="45">
        <v>254.49462379829157</v>
      </c>
    </row>
    <row r="445" spans="1:13" x14ac:dyDescent="0.25">
      <c r="A445" s="812" t="s">
        <v>1999</v>
      </c>
      <c r="B445" s="812">
        <v>5</v>
      </c>
      <c r="C445" s="608">
        <v>39758</v>
      </c>
      <c r="D445" s="812">
        <v>99705</v>
      </c>
      <c r="E445" s="812" t="s">
        <v>1599</v>
      </c>
      <c r="F445" s="133">
        <v>3.1709203246103619</v>
      </c>
      <c r="G445" s="133">
        <v>0.6534643390146585</v>
      </c>
      <c r="H445" s="133">
        <v>1.0877781525539088</v>
      </c>
      <c r="I445" s="133">
        <v>0.95686021122579223</v>
      </c>
      <c r="J445" s="133">
        <v>0.95686021122579223</v>
      </c>
      <c r="K445" s="133">
        <v>4.4629846596939714E-2</v>
      </c>
      <c r="L445" s="133">
        <v>10.330077252283536</v>
      </c>
      <c r="M445" s="45">
        <v>13376.212806457856</v>
      </c>
    </row>
    <row r="446" spans="1:13" x14ac:dyDescent="0.25">
      <c r="A446" s="812" t="s">
        <v>1999</v>
      </c>
      <c r="B446" s="812">
        <v>5</v>
      </c>
      <c r="C446" s="608">
        <v>39758</v>
      </c>
      <c r="D446" s="812">
        <v>99709</v>
      </c>
      <c r="E446" s="812" t="s">
        <v>1600</v>
      </c>
      <c r="F446" s="133">
        <v>2.4027788038319877</v>
      </c>
      <c r="G446" s="133">
        <v>0.72425836480416594</v>
      </c>
      <c r="H446" s="133">
        <v>1.1473097828153738</v>
      </c>
      <c r="I446" s="133">
        <v>0.65861913347043677</v>
      </c>
      <c r="J446" s="133">
        <v>0.65861913347043677</v>
      </c>
      <c r="K446" s="133">
        <v>3.8237025306828466E-2</v>
      </c>
      <c r="L446" s="133">
        <v>6.8090861246423717</v>
      </c>
      <c r="M446" s="45">
        <v>14721.457621900277</v>
      </c>
    </row>
    <row r="447" spans="1:13" x14ac:dyDescent="0.25">
      <c r="A447" s="812" t="s">
        <v>1999</v>
      </c>
      <c r="B447" s="812">
        <v>5</v>
      </c>
      <c r="C447" s="608">
        <v>39758</v>
      </c>
      <c r="D447" s="812">
        <v>99712</v>
      </c>
      <c r="E447" s="812" t="s">
        <v>1601</v>
      </c>
      <c r="F447" s="133">
        <v>1.2584245823580598</v>
      </c>
      <c r="G447" s="133">
        <v>0.23122990898885851</v>
      </c>
      <c r="H447" s="133">
        <v>0.40980727348680801</v>
      </c>
      <c r="I447" s="133">
        <v>0.34574860681898106</v>
      </c>
      <c r="J447" s="133">
        <v>0.34574860681898106</v>
      </c>
      <c r="K447" s="133">
        <v>1.6404318180612977E-2</v>
      </c>
      <c r="L447" s="133">
        <v>3.607318576786045</v>
      </c>
      <c r="M447" s="45">
        <v>4806.8619416016945</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6.964714216172844E-5</v>
      </c>
      <c r="G459" s="133">
        <v>1.6127418311931592E-3</v>
      </c>
      <c r="H459" s="133">
        <v>8.7742270870954189E-4</v>
      </c>
      <c r="I459" s="133">
        <v>5.9876828019480984E-5</v>
      </c>
      <c r="J459" s="133">
        <v>5.9876828019480984E-5</v>
      </c>
      <c r="K459" s="133">
        <v>7.660459693436873E-5</v>
      </c>
      <c r="L459" s="133">
        <v>1.8064459027932454E-4</v>
      </c>
      <c r="M459" s="45">
        <v>26.657997021003276</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0.85691601581482613</v>
      </c>
      <c r="G461" s="133">
        <v>0.7594267935382607</v>
      </c>
      <c r="H461" s="133">
        <v>0.91950449577401894</v>
      </c>
      <c r="I461" s="133">
        <v>0.25033235256399894</v>
      </c>
      <c r="J461" s="133">
        <v>0.25033235256399894</v>
      </c>
      <c r="K461" s="133">
        <v>3.0234182700732842E-2</v>
      </c>
      <c r="L461" s="133">
        <v>2.4742209302338578</v>
      </c>
      <c r="M461" s="45">
        <v>14118.871514200631</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2.0271365236002953E-2</v>
      </c>
      <c r="G463" s="133">
        <v>1.4325809960196535E-2</v>
      </c>
      <c r="H463" s="133">
        <v>2.0729754421234637E-2</v>
      </c>
      <c r="I463" s="133">
        <v>6.6814765047926499E-3</v>
      </c>
      <c r="J463" s="133">
        <v>6.6814765047926499E-3</v>
      </c>
      <c r="K463" s="133">
        <v>5.3424526249491136E-4</v>
      </c>
      <c r="L463" s="133">
        <v>7.1120233897963153E-2</v>
      </c>
      <c r="M463" s="45">
        <v>276.82740477920782</v>
      </c>
    </row>
    <row r="464" spans="1:13" x14ac:dyDescent="0.25">
      <c r="A464" s="812" t="s">
        <v>1999</v>
      </c>
      <c r="B464" s="812">
        <v>6</v>
      </c>
      <c r="C464" s="608">
        <v>39759</v>
      </c>
      <c r="D464" s="812">
        <v>99705</v>
      </c>
      <c r="E464" s="812" t="s">
        <v>1599</v>
      </c>
      <c r="F464" s="133">
        <v>3.4418783940498394</v>
      </c>
      <c r="G464" s="133">
        <v>0.70367471071609544</v>
      </c>
      <c r="H464" s="133">
        <v>1.1708430508265244</v>
      </c>
      <c r="I464" s="133">
        <v>1.035803805295495</v>
      </c>
      <c r="J464" s="133">
        <v>1.035803805295495</v>
      </c>
      <c r="K464" s="133">
        <v>4.8081748142830436E-2</v>
      </c>
      <c r="L464" s="133">
        <v>11.20236425219217</v>
      </c>
      <c r="M464" s="45">
        <v>14378.715933255287</v>
      </c>
    </row>
    <row r="465" spans="1:13" x14ac:dyDescent="0.25">
      <c r="A465" s="812" t="s">
        <v>1999</v>
      </c>
      <c r="B465" s="812">
        <v>6</v>
      </c>
      <c r="C465" s="608">
        <v>39759</v>
      </c>
      <c r="D465" s="812">
        <v>99709</v>
      </c>
      <c r="E465" s="812" t="s">
        <v>1600</v>
      </c>
      <c r="F465" s="133">
        <v>2.9641021677076869</v>
      </c>
      <c r="G465" s="133">
        <v>0.82231669693277598</v>
      </c>
      <c r="H465" s="133">
        <v>1.3165569803138852</v>
      </c>
      <c r="I465" s="133">
        <v>0.79561909904032635</v>
      </c>
      <c r="J465" s="133">
        <v>0.79561909904032635</v>
      </c>
      <c r="K465" s="133">
        <v>4.4217887642251777E-2</v>
      </c>
      <c r="L465" s="133">
        <v>8.2033862050925741</v>
      </c>
      <c r="M465" s="45">
        <v>16719.360701836369</v>
      </c>
    </row>
    <row r="466" spans="1:13" x14ac:dyDescent="0.25">
      <c r="A466" s="812" t="s">
        <v>1999</v>
      </c>
      <c r="B466" s="812">
        <v>6</v>
      </c>
      <c r="C466" s="608">
        <v>39759</v>
      </c>
      <c r="D466" s="812">
        <v>99712</v>
      </c>
      <c r="E466" s="812" t="s">
        <v>1601</v>
      </c>
      <c r="F466" s="133">
        <v>1.5385450962022249</v>
      </c>
      <c r="G466" s="133">
        <v>0.26613611146398358</v>
      </c>
      <c r="H466" s="133">
        <v>0.47237845916240995</v>
      </c>
      <c r="I466" s="133">
        <v>0.41352135107358651</v>
      </c>
      <c r="J466" s="133">
        <v>0.41352135107358651</v>
      </c>
      <c r="K466" s="133">
        <v>1.9536728755683803E-2</v>
      </c>
      <c r="L466" s="133">
        <v>4.3014183863379367</v>
      </c>
      <c r="M466" s="45">
        <v>5520.6486109935995</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7.4848805537862948E-5</v>
      </c>
      <c r="G478" s="133">
        <v>1.7440601211937503E-3</v>
      </c>
      <c r="H478" s="133">
        <v>9.7024431245040408E-4</v>
      </c>
      <c r="I478" s="133">
        <v>6.3207914149550267E-5</v>
      </c>
      <c r="J478" s="133">
        <v>6.3207914149550267E-5</v>
      </c>
      <c r="K478" s="133">
        <v>7.6783309705246976E-5</v>
      </c>
      <c r="L478" s="133">
        <v>1.8391183059190088E-4</v>
      </c>
      <c r="M478" s="45">
        <v>28.678839594901262</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0.76425245964372646</v>
      </c>
      <c r="G480" s="133">
        <v>0.72507172180127788</v>
      </c>
      <c r="H480" s="133">
        <v>0.86561032333219656</v>
      </c>
      <c r="I480" s="133">
        <v>0.23019632848161678</v>
      </c>
      <c r="J480" s="133">
        <v>0.23019632848161678</v>
      </c>
      <c r="K480" s="133">
        <v>2.9301347104820956E-2</v>
      </c>
      <c r="L480" s="133">
        <v>2.2927848215360531</v>
      </c>
      <c r="M480" s="45">
        <v>13460.264254753203</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1.8307440789727535E-2</v>
      </c>
      <c r="G482" s="133">
        <v>1.3563949647762136E-2</v>
      </c>
      <c r="H482" s="133">
        <v>1.9367677664459335E-2</v>
      </c>
      <c r="I482" s="133">
        <v>6.1760506900321961E-3</v>
      </c>
      <c r="J482" s="133">
        <v>6.1760506900321961E-3</v>
      </c>
      <c r="K482" s="133">
        <v>5.1268851824202283E-4</v>
      </c>
      <c r="L482" s="133">
        <v>6.6153844010157239E-2</v>
      </c>
      <c r="M482" s="45">
        <v>261.46052452332833</v>
      </c>
    </row>
    <row r="483" spans="1:13" x14ac:dyDescent="0.25">
      <c r="A483" s="812" t="s">
        <v>1999</v>
      </c>
      <c r="B483" s="812">
        <v>7</v>
      </c>
      <c r="C483" s="608">
        <v>39760</v>
      </c>
      <c r="D483" s="812">
        <v>99705</v>
      </c>
      <c r="E483" s="812" t="s">
        <v>1599</v>
      </c>
      <c r="F483" s="133">
        <v>3.1221584620260643</v>
      </c>
      <c r="G483" s="133">
        <v>0.66240998931619299</v>
      </c>
      <c r="H483" s="133">
        <v>1.0978451566696348</v>
      </c>
      <c r="I483" s="133">
        <v>0.95947639451771283</v>
      </c>
      <c r="J483" s="133">
        <v>0.95947639451771283</v>
      </c>
      <c r="K483" s="133">
        <v>4.47288689258988E-2</v>
      </c>
      <c r="L483" s="133">
        <v>10.465408853698989</v>
      </c>
      <c r="M483" s="45">
        <v>13531.943688203093</v>
      </c>
    </row>
    <row r="484" spans="1:13" x14ac:dyDescent="0.25">
      <c r="A484" s="812" t="s">
        <v>1999</v>
      </c>
      <c r="B484" s="812">
        <v>7</v>
      </c>
      <c r="C484" s="608">
        <v>39760</v>
      </c>
      <c r="D484" s="812">
        <v>99709</v>
      </c>
      <c r="E484" s="812" t="s">
        <v>1600</v>
      </c>
      <c r="F484" s="133">
        <v>2.7592301372258188</v>
      </c>
      <c r="G484" s="133">
        <v>0.79443690892598151</v>
      </c>
      <c r="H484" s="133">
        <v>1.2676831092536673</v>
      </c>
      <c r="I484" s="133">
        <v>0.76019889077296576</v>
      </c>
      <c r="J484" s="133">
        <v>0.76019889077296576</v>
      </c>
      <c r="K484" s="133">
        <v>4.2492888500741427E-2</v>
      </c>
      <c r="L484" s="133">
        <v>7.934019545648634</v>
      </c>
      <c r="M484" s="45">
        <v>16157.269727707926</v>
      </c>
    </row>
    <row r="485" spans="1:13" x14ac:dyDescent="0.25">
      <c r="A485" s="812" t="s">
        <v>1999</v>
      </c>
      <c r="B485" s="812">
        <v>7</v>
      </c>
      <c r="C485" s="608">
        <v>39760</v>
      </c>
      <c r="D485" s="812">
        <v>99712</v>
      </c>
      <c r="E485" s="812" t="s">
        <v>1601</v>
      </c>
      <c r="F485" s="133">
        <v>1.4882594025479543</v>
      </c>
      <c r="G485" s="133">
        <v>0.26645292308704049</v>
      </c>
      <c r="H485" s="133">
        <v>0.4733594805315573</v>
      </c>
      <c r="I485" s="133">
        <v>0.41008829662097135</v>
      </c>
      <c r="J485" s="133">
        <v>0.41008829662097135</v>
      </c>
      <c r="K485" s="133">
        <v>1.9305778134811255E-2</v>
      </c>
      <c r="L485" s="133">
        <v>4.3232809509575407</v>
      </c>
      <c r="M485" s="45">
        <v>5531.6563456712147</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7.2619521233805307E-5</v>
      </c>
      <c r="G497" s="133">
        <v>1.6877808540506397E-3</v>
      </c>
      <c r="H497" s="133">
        <v>9.3046362513289182E-4</v>
      </c>
      <c r="I497" s="133">
        <v>6.1780305808091979E-5</v>
      </c>
      <c r="J497" s="133">
        <v>6.1780305808091979E-5</v>
      </c>
      <c r="K497" s="133">
        <v>7.6706718517727704E-5</v>
      </c>
      <c r="L497" s="133">
        <v>1.8251158474365384E-4</v>
      </c>
      <c r="M497" s="45">
        <v>27.812764206087842</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0.81951817433908614</v>
      </c>
      <c r="G499" s="133">
        <v>0.75035145383531709</v>
      </c>
      <c r="H499" s="133">
        <v>0.90615711514257902</v>
      </c>
      <c r="I499" s="133">
        <v>0.24510938442509439</v>
      </c>
      <c r="J499" s="133">
        <v>0.24510938442509439</v>
      </c>
      <c r="K499" s="133">
        <v>2.9944067287579371E-2</v>
      </c>
      <c r="L499" s="133">
        <v>2.4458751432120227</v>
      </c>
      <c r="M499" s="45">
        <v>13951.455144028174</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1.9999882566249558E-2</v>
      </c>
      <c r="G501" s="133">
        <v>1.4265977120098717E-2</v>
      </c>
      <c r="H501" s="133">
        <v>2.0676475684937523E-2</v>
      </c>
      <c r="I501" s="133">
        <v>6.6995984491950381E-3</v>
      </c>
      <c r="J501" s="133">
        <v>6.6995984491950381E-3</v>
      </c>
      <c r="K501" s="133">
        <v>5.3401358264621585E-4</v>
      </c>
      <c r="L501" s="133">
        <v>7.1891150900623021E-2</v>
      </c>
      <c r="M501" s="45">
        <v>275.97259612188697</v>
      </c>
    </row>
    <row r="502" spans="1:13" x14ac:dyDescent="0.25">
      <c r="A502" s="812" t="s">
        <v>1999</v>
      </c>
      <c r="B502" s="812">
        <v>8</v>
      </c>
      <c r="C502" s="608">
        <v>39761</v>
      </c>
      <c r="D502" s="812">
        <v>99705</v>
      </c>
      <c r="E502" s="812" t="s">
        <v>1599</v>
      </c>
      <c r="F502" s="133">
        <v>3.3758503028465121</v>
      </c>
      <c r="G502" s="133">
        <v>0.70415623542235006</v>
      </c>
      <c r="H502" s="133">
        <v>1.1708136316351905</v>
      </c>
      <c r="I502" s="133">
        <v>1.0339211808493551</v>
      </c>
      <c r="J502" s="133">
        <v>1.0339211808493551</v>
      </c>
      <c r="K502" s="133">
        <v>4.7938479959312483E-2</v>
      </c>
      <c r="L502" s="133">
        <v>11.291561879106375</v>
      </c>
      <c r="M502" s="45">
        <v>14387.758437948329</v>
      </c>
    </row>
    <row r="503" spans="1:13" x14ac:dyDescent="0.25">
      <c r="A503" s="812" t="s">
        <v>1999</v>
      </c>
      <c r="B503" s="812">
        <v>8</v>
      </c>
      <c r="C503" s="608">
        <v>39761</v>
      </c>
      <c r="D503" s="812">
        <v>99709</v>
      </c>
      <c r="E503" s="812" t="s">
        <v>1600</v>
      </c>
      <c r="F503" s="133">
        <v>2.5636771449490787</v>
      </c>
      <c r="G503" s="133">
        <v>0.77847289460698954</v>
      </c>
      <c r="H503" s="133">
        <v>1.233764737083286</v>
      </c>
      <c r="I503" s="133">
        <v>0.71315983053112941</v>
      </c>
      <c r="J503" s="133">
        <v>0.71315983053112941</v>
      </c>
      <c r="K503" s="133">
        <v>4.0447288573058807E-2</v>
      </c>
      <c r="L503" s="133">
        <v>7.451593891037394</v>
      </c>
      <c r="M503" s="45">
        <v>15795.22218910939</v>
      </c>
    </row>
    <row r="504" spans="1:13" x14ac:dyDescent="0.25">
      <c r="A504" s="812" t="s">
        <v>1999</v>
      </c>
      <c r="B504" s="812">
        <v>8</v>
      </c>
      <c r="C504" s="608">
        <v>39761</v>
      </c>
      <c r="D504" s="812">
        <v>99712</v>
      </c>
      <c r="E504" s="812" t="s">
        <v>1601</v>
      </c>
      <c r="F504" s="133">
        <v>1.2684505912099302</v>
      </c>
      <c r="G504" s="133">
        <v>0.23964533158310958</v>
      </c>
      <c r="H504" s="133">
        <v>0.42330007845468959</v>
      </c>
      <c r="I504" s="133">
        <v>0.35512987131042612</v>
      </c>
      <c r="J504" s="133">
        <v>0.35512987131042612</v>
      </c>
      <c r="K504" s="133">
        <v>1.67996127254764E-2</v>
      </c>
      <c r="L504" s="133">
        <v>3.7508106834422765</v>
      </c>
      <c r="M504" s="45">
        <v>4972.8347031535714</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7.4105710769843748E-5</v>
      </c>
      <c r="G516" s="133">
        <v>1.7253003654793802E-3</v>
      </c>
      <c r="H516" s="133">
        <v>9.5698408334456641E-4</v>
      </c>
      <c r="I516" s="133">
        <v>6.27320447023975E-5</v>
      </c>
      <c r="J516" s="133">
        <v>6.27320447023975E-5</v>
      </c>
      <c r="K516" s="133">
        <v>7.6757779309407205E-5</v>
      </c>
      <c r="L516" s="133">
        <v>1.8344508197581848E-4</v>
      </c>
      <c r="M516" s="45">
        <v>28.390147798630117</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0.71876972861115884</v>
      </c>
      <c r="G518" s="133">
        <v>0.65364578387002226</v>
      </c>
      <c r="H518" s="133">
        <v>0.79221853156810851</v>
      </c>
      <c r="I518" s="133">
        <v>0.21420425519915043</v>
      </c>
      <c r="J518" s="133">
        <v>0.21420425519915043</v>
      </c>
      <c r="K518" s="133">
        <v>2.8629977253113639E-2</v>
      </c>
      <c r="L518" s="133">
        <v>2.1246323975726304</v>
      </c>
      <c r="M518" s="45">
        <v>12278.512999263381</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1.768561616783379E-2</v>
      </c>
      <c r="G520" s="133">
        <v>1.2511904085201477E-2</v>
      </c>
      <c r="H520" s="133">
        <v>1.828254147854284E-2</v>
      </c>
      <c r="I520" s="133">
        <v>5.8683757680950271E-3</v>
      </c>
      <c r="J520" s="133">
        <v>5.8683757680950271E-3</v>
      </c>
      <c r="K520" s="133">
        <v>5.0014882071592757E-4</v>
      </c>
      <c r="L520" s="133">
        <v>6.2447726390311556E-2</v>
      </c>
      <c r="M520" s="45">
        <v>244.31022875987836</v>
      </c>
    </row>
    <row r="521" spans="1:13" x14ac:dyDescent="0.25">
      <c r="A521" s="812" t="s">
        <v>1999</v>
      </c>
      <c r="B521" s="812">
        <v>9</v>
      </c>
      <c r="C521" s="608">
        <v>39762</v>
      </c>
      <c r="D521" s="812">
        <v>99705</v>
      </c>
      <c r="E521" s="812" t="s">
        <v>1599</v>
      </c>
      <c r="F521" s="133">
        <v>2.8940657695985759</v>
      </c>
      <c r="G521" s="133">
        <v>0.600419507108092</v>
      </c>
      <c r="H521" s="133">
        <v>0.99999833023314322</v>
      </c>
      <c r="I521" s="133">
        <v>0.8734371695994354</v>
      </c>
      <c r="J521" s="133">
        <v>0.8734371695994354</v>
      </c>
      <c r="K521" s="133">
        <v>4.1011880391175662E-2</v>
      </c>
      <c r="L521" s="133">
        <v>9.3966147084881033</v>
      </c>
      <c r="M521" s="45">
        <v>12316.090234532889</v>
      </c>
    </row>
    <row r="522" spans="1:13" x14ac:dyDescent="0.25">
      <c r="A522" s="812" t="s">
        <v>1999</v>
      </c>
      <c r="B522" s="812">
        <v>9</v>
      </c>
      <c r="C522" s="608">
        <v>39762</v>
      </c>
      <c r="D522" s="812">
        <v>99709</v>
      </c>
      <c r="E522" s="812" t="s">
        <v>1600</v>
      </c>
      <c r="F522" s="133">
        <v>2.2094248892073902</v>
      </c>
      <c r="G522" s="133">
        <v>0.67850362990207658</v>
      </c>
      <c r="H522" s="133">
        <v>1.0811415783292191</v>
      </c>
      <c r="I522" s="133">
        <v>0.61031651995471647</v>
      </c>
      <c r="J522" s="133">
        <v>0.61031651995471647</v>
      </c>
      <c r="K522" s="133">
        <v>3.6119804881950421E-2</v>
      </c>
      <c r="L522" s="133">
        <v>6.3150664213672325</v>
      </c>
      <c r="M522" s="45">
        <v>13854.132877889699</v>
      </c>
    </row>
    <row r="523" spans="1:13" x14ac:dyDescent="0.25">
      <c r="A523" s="812" t="s">
        <v>1999</v>
      </c>
      <c r="B523" s="812">
        <v>9</v>
      </c>
      <c r="C523" s="608">
        <v>39762</v>
      </c>
      <c r="D523" s="812">
        <v>99712</v>
      </c>
      <c r="E523" s="812" t="s">
        <v>1601</v>
      </c>
      <c r="F523" s="133">
        <v>1.1265185589332638</v>
      </c>
      <c r="G523" s="133">
        <v>0.21255862094414807</v>
      </c>
      <c r="H523" s="133">
        <v>0.37790505558120702</v>
      </c>
      <c r="I523" s="133">
        <v>0.31157205590936665</v>
      </c>
      <c r="J523" s="133">
        <v>0.31157205590936665</v>
      </c>
      <c r="K523" s="133">
        <v>1.4858835543034637E-2</v>
      </c>
      <c r="L523" s="133">
        <v>3.2455706360768408</v>
      </c>
      <c r="M523" s="45">
        <v>4430.9129968025172</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6.4445478785593905E-5</v>
      </c>
      <c r="G535" s="133">
        <v>1.4814235411925675E-3</v>
      </c>
      <c r="H535" s="133">
        <v>7.8460110496867926E-4</v>
      </c>
      <c r="I535" s="133">
        <v>5.6545741889411715E-5</v>
      </c>
      <c r="J535" s="133">
        <v>5.6545741889411715E-5</v>
      </c>
      <c r="K535" s="133">
        <v>7.6425884163490511E-5</v>
      </c>
      <c r="L535" s="133">
        <v>1.7737734996674823E-4</v>
      </c>
      <c r="M535" s="45">
        <v>24.637154447105289</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0.64243208530496276</v>
      </c>
      <c r="G537" s="133">
        <v>0.6232222662653536</v>
      </c>
      <c r="H537" s="133">
        <v>0.74018040013959119</v>
      </c>
      <c r="I537" s="133">
        <v>0.19417711864620052</v>
      </c>
      <c r="J537" s="133">
        <v>0.19417711864620052</v>
      </c>
      <c r="K537" s="133">
        <v>2.7756354044498093E-2</v>
      </c>
      <c r="L537" s="133">
        <v>1.9203118863465263</v>
      </c>
      <c r="M537" s="45">
        <v>11671.42862891056</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1.5924370172110215E-2</v>
      </c>
      <c r="G539" s="133">
        <v>1.1787515216380107E-2</v>
      </c>
      <c r="H539" s="133">
        <v>1.6925465319179767E-2</v>
      </c>
      <c r="I539" s="133">
        <v>5.323765281714579E-3</v>
      </c>
      <c r="J539" s="133">
        <v>5.323765281714579E-3</v>
      </c>
      <c r="K539" s="133">
        <v>4.7796361414180656E-4</v>
      </c>
      <c r="L539" s="133">
        <v>5.6477990979858395E-2</v>
      </c>
      <c r="M539" s="45">
        <v>229.30106298957386</v>
      </c>
    </row>
    <row r="540" spans="1:13" x14ac:dyDescent="0.25">
      <c r="A540" s="812" t="s">
        <v>1999</v>
      </c>
      <c r="B540" s="812">
        <v>10</v>
      </c>
      <c r="C540" s="608">
        <v>39763</v>
      </c>
      <c r="D540" s="812">
        <v>99705</v>
      </c>
      <c r="E540" s="812" t="s">
        <v>1599</v>
      </c>
      <c r="F540" s="133">
        <v>2.6800616989977497</v>
      </c>
      <c r="G540" s="133">
        <v>0.56721663466373939</v>
      </c>
      <c r="H540" s="133">
        <v>0.942362501551401</v>
      </c>
      <c r="I540" s="133">
        <v>0.81349419396999723</v>
      </c>
      <c r="J540" s="133">
        <v>0.81349419396999723</v>
      </c>
      <c r="K540" s="133">
        <v>3.8410352383398287E-2</v>
      </c>
      <c r="L540" s="133">
        <v>8.7435392470421842</v>
      </c>
      <c r="M540" s="45">
        <v>11637.095190009723</v>
      </c>
    </row>
    <row r="541" spans="1:13" x14ac:dyDescent="0.25">
      <c r="A541" s="812" t="s">
        <v>1999</v>
      </c>
      <c r="B541" s="812">
        <v>10</v>
      </c>
      <c r="C541" s="608">
        <v>39763</v>
      </c>
      <c r="D541" s="812">
        <v>99709</v>
      </c>
      <c r="E541" s="812" t="s">
        <v>1600</v>
      </c>
      <c r="F541" s="133">
        <v>2.0527924490329208</v>
      </c>
      <c r="G541" s="133">
        <v>0.64884545880752531</v>
      </c>
      <c r="H541" s="133">
        <v>1.0285513959076156</v>
      </c>
      <c r="I541" s="133">
        <v>0.57151262065532493</v>
      </c>
      <c r="J541" s="133">
        <v>0.57151262065532493</v>
      </c>
      <c r="K541" s="133">
        <v>3.4430383387734229E-2</v>
      </c>
      <c r="L541" s="133">
        <v>5.9181234954253368</v>
      </c>
      <c r="M541" s="45">
        <v>13243.885044055793</v>
      </c>
    </row>
    <row r="542" spans="1:13" x14ac:dyDescent="0.25">
      <c r="A542" s="812" t="s">
        <v>1999</v>
      </c>
      <c r="B542" s="812">
        <v>10</v>
      </c>
      <c r="C542" s="608">
        <v>39763</v>
      </c>
      <c r="D542" s="812">
        <v>99712</v>
      </c>
      <c r="E542" s="812" t="s">
        <v>1601</v>
      </c>
      <c r="F542" s="133">
        <v>1.0355356075071898</v>
      </c>
      <c r="G542" s="133">
        <v>0.20046187180218325</v>
      </c>
      <c r="H542" s="133">
        <v>0.35586174500138229</v>
      </c>
      <c r="I542" s="133">
        <v>0.28899553878574108</v>
      </c>
      <c r="J542" s="133">
        <v>0.28899553878574108</v>
      </c>
      <c r="K542" s="133">
        <v>1.3830225083434072E-2</v>
      </c>
      <c r="L542" s="133">
        <v>3.011889143570849</v>
      </c>
      <c r="M542" s="45">
        <v>4181.1529846892472</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6.2959289249555478E-5</v>
      </c>
      <c r="G554" s="133">
        <v>1.4439040297638272E-3</v>
      </c>
      <c r="H554" s="133">
        <v>7.5808064675700435E-4</v>
      </c>
      <c r="I554" s="133">
        <v>5.5594002995106208E-5</v>
      </c>
      <c r="J554" s="133">
        <v>5.5594002995106208E-5</v>
      </c>
      <c r="K554" s="133">
        <v>7.637482337181101E-5</v>
      </c>
      <c r="L554" s="133">
        <v>1.7644385273458358E-4</v>
      </c>
      <c r="M554" s="45">
        <v>24.059770854563006</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0.64118641708483681</v>
      </c>
      <c r="G556" s="133">
        <v>0.61748133202671174</v>
      </c>
      <c r="H556" s="133">
        <v>0.73521221748119781</v>
      </c>
      <c r="I556" s="133">
        <v>0.19346874966646666</v>
      </c>
      <c r="J556" s="133">
        <v>0.19346874966646666</v>
      </c>
      <c r="K556" s="133">
        <v>2.7731490378846809E-2</v>
      </c>
      <c r="L556" s="133">
        <v>1.9130290124773659</v>
      </c>
      <c r="M556" s="45">
        <v>11581.025942067125</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1.5627671033095286E-2</v>
      </c>
      <c r="G558" s="133">
        <v>1.1612466598848379E-2</v>
      </c>
      <c r="H558" s="133">
        <v>1.6650366611503455E-2</v>
      </c>
      <c r="I558" s="133">
        <v>5.2297308659982828E-3</v>
      </c>
      <c r="J558" s="133">
        <v>5.2297308659982828E-3</v>
      </c>
      <c r="K558" s="133">
        <v>4.7418827662637481E-4</v>
      </c>
      <c r="L558" s="133">
        <v>5.5459783132600048E-2</v>
      </c>
      <c r="M558" s="45">
        <v>225.95242917528168</v>
      </c>
    </row>
    <row r="559" spans="1:13" x14ac:dyDescent="0.25">
      <c r="A559" s="812" t="s">
        <v>1999</v>
      </c>
      <c r="B559" s="812">
        <v>11</v>
      </c>
      <c r="C559" s="608">
        <v>39764</v>
      </c>
      <c r="D559" s="812">
        <v>99705</v>
      </c>
      <c r="E559" s="812" t="s">
        <v>1599</v>
      </c>
      <c r="F559" s="133">
        <v>2.6975273768833223</v>
      </c>
      <c r="G559" s="133">
        <v>0.56848194375483818</v>
      </c>
      <c r="H559" s="133">
        <v>0.94598765864620005</v>
      </c>
      <c r="I559" s="133">
        <v>0.81800519319674447</v>
      </c>
      <c r="J559" s="133">
        <v>0.81800519319674447</v>
      </c>
      <c r="K559" s="133">
        <v>3.8624240862890603E-2</v>
      </c>
      <c r="L559" s="133">
        <v>8.7916330709364683</v>
      </c>
      <c r="M559" s="45">
        <v>11668.721297671114</v>
      </c>
    </row>
    <row r="560" spans="1:13" x14ac:dyDescent="0.25">
      <c r="A560" s="812" t="s">
        <v>1999</v>
      </c>
      <c r="B560" s="812">
        <v>11</v>
      </c>
      <c r="C560" s="608">
        <v>39764</v>
      </c>
      <c r="D560" s="812">
        <v>99709</v>
      </c>
      <c r="E560" s="812" t="s">
        <v>1600</v>
      </c>
      <c r="F560" s="133">
        <v>2.2113922117536986</v>
      </c>
      <c r="G560" s="133">
        <v>0.66627840611075662</v>
      </c>
      <c r="H560" s="133">
        <v>1.0643496752981991</v>
      </c>
      <c r="I560" s="133">
        <v>0.6101920245949598</v>
      </c>
      <c r="J560" s="133">
        <v>0.6101920245949598</v>
      </c>
      <c r="K560" s="133">
        <v>3.6125450760420737E-2</v>
      </c>
      <c r="L560" s="133">
        <v>6.3158416850909047</v>
      </c>
      <c r="M560" s="45">
        <v>13628.854229439554</v>
      </c>
    </row>
    <row r="561" spans="1:13" x14ac:dyDescent="0.25">
      <c r="A561" s="812" t="s">
        <v>1999</v>
      </c>
      <c r="B561" s="812">
        <v>11</v>
      </c>
      <c r="C561" s="608">
        <v>39764</v>
      </c>
      <c r="D561" s="812">
        <v>99712</v>
      </c>
      <c r="E561" s="812" t="s">
        <v>1601</v>
      </c>
      <c r="F561" s="133">
        <v>1.1709005926899112</v>
      </c>
      <c r="G561" s="133">
        <v>0.21701608782000134</v>
      </c>
      <c r="H561" s="133">
        <v>0.38664178845083019</v>
      </c>
      <c r="I561" s="133">
        <v>0.32291723887224505</v>
      </c>
      <c r="J561" s="133">
        <v>0.32291723887224505</v>
      </c>
      <c r="K561" s="133">
        <v>1.5377094825179988E-2</v>
      </c>
      <c r="L561" s="133">
        <v>3.3656935942971118</v>
      </c>
      <c r="M561" s="45">
        <v>4525.5968601084678</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6.2216194481536238E-5</v>
      </c>
      <c r="G573" s="133">
        <v>1.4251442740494571E-3</v>
      </c>
      <c r="H573" s="133">
        <v>7.4482041765116678E-4</v>
      </c>
      <c r="I573" s="133">
        <v>5.511813354795344E-5</v>
      </c>
      <c r="J573" s="133">
        <v>5.511813354795344E-5</v>
      </c>
      <c r="K573" s="133">
        <v>7.6349292975971266E-5</v>
      </c>
      <c r="L573" s="133">
        <v>1.7597710411850127E-4</v>
      </c>
      <c r="M573" s="45">
        <v>23.771079058291868</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0.6799210162194288</v>
      </c>
      <c r="G575" s="133">
        <v>0.65769296639286667</v>
      </c>
      <c r="H575" s="133">
        <v>0.77834268702571452</v>
      </c>
      <c r="I575" s="133">
        <v>0.20388874916148977</v>
      </c>
      <c r="J575" s="133">
        <v>0.20388874916148977</v>
      </c>
      <c r="K575" s="133">
        <v>2.8193027466566212E-2</v>
      </c>
      <c r="L575" s="133">
        <v>2.0116803142276152</v>
      </c>
      <c r="M575" s="45">
        <v>12254.309312103091</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1.6449532317116475E-2</v>
      </c>
      <c r="G577" s="133">
        <v>1.2285710463502903E-2</v>
      </c>
      <c r="H577" s="133">
        <v>1.7471762818973266E-2</v>
      </c>
      <c r="I577" s="133">
        <v>5.4885158198047642E-3</v>
      </c>
      <c r="J577" s="133">
        <v>5.4885158198047642E-3</v>
      </c>
      <c r="K577" s="133">
        <v>4.8529534041961118E-4</v>
      </c>
      <c r="L577" s="133">
        <v>5.8184468815556938E-2</v>
      </c>
      <c r="M577" s="45">
        <v>237.55507265487461</v>
      </c>
    </row>
    <row r="578" spans="1:13" x14ac:dyDescent="0.25">
      <c r="A578" s="812" t="s">
        <v>1999</v>
      </c>
      <c r="B578" s="812">
        <v>12</v>
      </c>
      <c r="C578" s="608">
        <v>39765</v>
      </c>
      <c r="D578" s="812">
        <v>99705</v>
      </c>
      <c r="E578" s="812" t="s">
        <v>1599</v>
      </c>
      <c r="F578" s="133">
        <v>2.9268640017095366</v>
      </c>
      <c r="G578" s="133">
        <v>0.61060446706461458</v>
      </c>
      <c r="H578" s="133">
        <v>1.0150005094716088</v>
      </c>
      <c r="I578" s="133">
        <v>0.88495941238612696</v>
      </c>
      <c r="J578" s="133">
        <v>0.88495941238612696</v>
      </c>
      <c r="K578" s="133">
        <v>4.1525447744533393E-2</v>
      </c>
      <c r="L578" s="133">
        <v>9.5317614250419158</v>
      </c>
      <c r="M578" s="45">
        <v>12508.649840449287</v>
      </c>
    </row>
    <row r="579" spans="1:13" x14ac:dyDescent="0.25">
      <c r="A579" s="812" t="s">
        <v>1999</v>
      </c>
      <c r="B579" s="812">
        <v>12</v>
      </c>
      <c r="C579" s="608">
        <v>39765</v>
      </c>
      <c r="D579" s="812">
        <v>99709</v>
      </c>
      <c r="E579" s="812" t="s">
        <v>1600</v>
      </c>
      <c r="F579" s="133">
        <v>2.4956385632450546</v>
      </c>
      <c r="G579" s="133">
        <v>0.72117583216787073</v>
      </c>
      <c r="H579" s="133">
        <v>1.1505851364726796</v>
      </c>
      <c r="I579" s="133">
        <v>0.68107552177330788</v>
      </c>
      <c r="J579" s="133">
        <v>0.68107552177330788</v>
      </c>
      <c r="K579" s="133">
        <v>3.9197445956048294E-2</v>
      </c>
      <c r="L579" s="133">
        <v>7.0441535708813348</v>
      </c>
      <c r="M579" s="45">
        <v>14706.936764447013</v>
      </c>
    </row>
    <row r="580" spans="1:13" x14ac:dyDescent="0.25">
      <c r="A580" s="812" t="s">
        <v>1999</v>
      </c>
      <c r="B580" s="812">
        <v>12</v>
      </c>
      <c r="C580" s="608">
        <v>39765</v>
      </c>
      <c r="D580" s="812">
        <v>99712</v>
      </c>
      <c r="E580" s="812" t="s">
        <v>1601</v>
      </c>
      <c r="F580" s="133">
        <v>1.3894783516436588</v>
      </c>
      <c r="G580" s="133">
        <v>0.2462120939320511</v>
      </c>
      <c r="H580" s="133">
        <v>0.43849408971182158</v>
      </c>
      <c r="I580" s="133">
        <v>0.37843131870515651</v>
      </c>
      <c r="J580" s="133">
        <v>0.37843131870515651</v>
      </c>
      <c r="K580" s="133">
        <v>1.7898030129719914E-2</v>
      </c>
      <c r="L580" s="133">
        <v>3.9477898330903169</v>
      </c>
      <c r="M580" s="45">
        <v>5122.2700120355785</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6.6674763089651545E-5</v>
      </c>
      <c r="G592" s="133">
        <v>1.5377028083356779E-3</v>
      </c>
      <c r="H592" s="133">
        <v>8.2438179228619163E-4</v>
      </c>
      <c r="I592" s="133">
        <v>5.7973350230869949E-5</v>
      </c>
      <c r="J592" s="133">
        <v>5.7973350230869949E-5</v>
      </c>
      <c r="K592" s="133">
        <v>7.6502475351009728E-5</v>
      </c>
      <c r="L592" s="133">
        <v>1.7877759581499519E-4</v>
      </c>
      <c r="M592" s="45">
        <v>25.50322983591871</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0.78750578993670062</v>
      </c>
      <c r="G594" s="133">
        <v>0.72174523560033543</v>
      </c>
      <c r="H594" s="133">
        <v>0.86650950784823122</v>
      </c>
      <c r="I594" s="133">
        <v>0.23263214759021031</v>
      </c>
      <c r="J594" s="133">
        <v>0.23263214759021031</v>
      </c>
      <c r="K594" s="133">
        <v>2.9445384069421536E-2</v>
      </c>
      <c r="L594" s="133">
        <v>2.2998919846861798</v>
      </c>
      <c r="M594" s="45">
        <v>13425.092353148299</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1.9101473010451994E-2</v>
      </c>
      <c r="G596" s="133">
        <v>1.3672810543634697E-2</v>
      </c>
      <c r="H596" s="133">
        <v>1.9740886830130731E-2</v>
      </c>
      <c r="I596" s="133">
        <v>6.3181757596151127E-3</v>
      </c>
      <c r="J596" s="133">
        <v>6.3181757596151127E-3</v>
      </c>
      <c r="K596" s="133">
        <v>5.1907837973648376E-4</v>
      </c>
      <c r="L596" s="133">
        <v>6.7198096822437089E-2</v>
      </c>
      <c r="M596" s="45">
        <v>264.55028804639898</v>
      </c>
    </row>
    <row r="597" spans="1:13" x14ac:dyDescent="0.25">
      <c r="A597" s="812" t="s">
        <v>1999</v>
      </c>
      <c r="B597" s="812">
        <v>13</v>
      </c>
      <c r="C597" s="608">
        <v>39766</v>
      </c>
      <c r="D597" s="812">
        <v>99705</v>
      </c>
      <c r="E597" s="812" t="s">
        <v>1599</v>
      </c>
      <c r="F597" s="133">
        <v>3.2682760910612143</v>
      </c>
      <c r="G597" s="133">
        <v>0.6723660754962234</v>
      </c>
      <c r="H597" s="133">
        <v>1.1185209221999493</v>
      </c>
      <c r="I597" s="133">
        <v>0.98569827845481528</v>
      </c>
      <c r="J597" s="133">
        <v>0.98569827845481528</v>
      </c>
      <c r="K597" s="133">
        <v>4.5872291091351561E-2</v>
      </c>
      <c r="L597" s="133">
        <v>10.650301573840867</v>
      </c>
      <c r="M597" s="45">
        <v>13752.247999423787</v>
      </c>
    </row>
    <row r="598" spans="1:13" x14ac:dyDescent="0.25">
      <c r="A598" s="812" t="s">
        <v>1999</v>
      </c>
      <c r="B598" s="812">
        <v>13</v>
      </c>
      <c r="C598" s="608">
        <v>39766</v>
      </c>
      <c r="D598" s="812">
        <v>99709</v>
      </c>
      <c r="E598" s="812" t="s">
        <v>1600</v>
      </c>
      <c r="F598" s="133">
        <v>2.5662631040356216</v>
      </c>
      <c r="G598" s="133">
        <v>0.75699338202619415</v>
      </c>
      <c r="H598" s="133">
        <v>1.2018959325691938</v>
      </c>
      <c r="I598" s="133">
        <v>0.69969992169950479</v>
      </c>
      <c r="J598" s="133">
        <v>0.69969992169950479</v>
      </c>
      <c r="K598" s="133">
        <v>3.999397895239664E-2</v>
      </c>
      <c r="L598" s="133">
        <v>7.2317479717084661</v>
      </c>
      <c r="M598" s="45">
        <v>15380.374966431578</v>
      </c>
    </row>
    <row r="599" spans="1:13" x14ac:dyDescent="0.25">
      <c r="A599" s="812" t="s">
        <v>1999</v>
      </c>
      <c r="B599" s="812">
        <v>13</v>
      </c>
      <c r="C599" s="608">
        <v>39766</v>
      </c>
      <c r="D599" s="812">
        <v>99712</v>
      </c>
      <c r="E599" s="812" t="s">
        <v>1601</v>
      </c>
      <c r="F599" s="133">
        <v>1.3205788223148789</v>
      </c>
      <c r="G599" s="133">
        <v>0.23880356588937504</v>
      </c>
      <c r="H599" s="133">
        <v>0.42291005124709447</v>
      </c>
      <c r="I599" s="133">
        <v>0.36023458560270238</v>
      </c>
      <c r="J599" s="133">
        <v>0.36023458560270238</v>
      </c>
      <c r="K599" s="133">
        <v>1.7085227601720303E-2</v>
      </c>
      <c r="L599" s="133">
        <v>3.7528727228029699</v>
      </c>
      <c r="M599" s="45">
        <v>4959.0512245399814</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7.1876426465786094E-5</v>
      </c>
      <c r="G611" s="133">
        <v>1.6690210983362694E-3</v>
      </c>
      <c r="H611" s="133">
        <v>9.1720339602705415E-4</v>
      </c>
      <c r="I611" s="133">
        <v>6.1304436360939252E-5</v>
      </c>
      <c r="J611" s="133">
        <v>6.1304436360939252E-5</v>
      </c>
      <c r="K611" s="133">
        <v>7.6681188121888001E-5</v>
      </c>
      <c r="L611" s="133">
        <v>1.8204483612757158E-4</v>
      </c>
      <c r="M611" s="45">
        <v>27.524072409816696</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0.78908166536280577</v>
      </c>
      <c r="G613" s="133">
        <v>0.67650865180230613</v>
      </c>
      <c r="H613" s="133">
        <v>0.84231940338186728</v>
      </c>
      <c r="I613" s="133">
        <v>0.23569901413547795</v>
      </c>
      <c r="J613" s="133">
        <v>0.23569901413547795</v>
      </c>
      <c r="K613" s="133">
        <v>2.9534449910340273E-2</v>
      </c>
      <c r="L613" s="133">
        <v>2.3649327361754762</v>
      </c>
      <c r="M613" s="45">
        <v>12791.778951793072</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1.8921354689103113E-2</v>
      </c>
      <c r="G615" s="133">
        <v>1.298203311938209E-2</v>
      </c>
      <c r="H615" s="133">
        <v>1.9261721874760628E-2</v>
      </c>
      <c r="I615" s="133">
        <v>6.3440286578547974E-3</v>
      </c>
      <c r="J615" s="133">
        <v>6.3440286578547974E-3</v>
      </c>
      <c r="K615" s="133">
        <v>5.190812289970325E-4</v>
      </c>
      <c r="L615" s="133">
        <v>6.8239712509882991E-2</v>
      </c>
      <c r="M615" s="45">
        <v>254.63073861066044</v>
      </c>
    </row>
    <row r="616" spans="1:13" x14ac:dyDescent="0.25">
      <c r="A616" s="812" t="s">
        <v>1999</v>
      </c>
      <c r="B616" s="812">
        <v>14</v>
      </c>
      <c r="C616" s="608">
        <v>39767</v>
      </c>
      <c r="D616" s="812">
        <v>99705</v>
      </c>
      <c r="E616" s="812" t="s">
        <v>1599</v>
      </c>
      <c r="F616" s="133">
        <v>3.1793369535706217</v>
      </c>
      <c r="G616" s="133">
        <v>0.65949590382952317</v>
      </c>
      <c r="H616" s="133">
        <v>1.1059464549947653</v>
      </c>
      <c r="I616" s="133">
        <v>0.97600362883768255</v>
      </c>
      <c r="J616" s="133">
        <v>0.97600362883768255</v>
      </c>
      <c r="K616" s="133">
        <v>4.5434902182435427E-2</v>
      </c>
      <c r="L616" s="133">
        <v>10.651676332430645</v>
      </c>
      <c r="M616" s="45">
        <v>13537.009058581325</v>
      </c>
    </row>
    <row r="617" spans="1:13" x14ac:dyDescent="0.25">
      <c r="A617" s="812" t="s">
        <v>1999</v>
      </c>
      <c r="B617" s="812">
        <v>14</v>
      </c>
      <c r="C617" s="608">
        <v>39767</v>
      </c>
      <c r="D617" s="812">
        <v>99709</v>
      </c>
      <c r="E617" s="812" t="s">
        <v>1600</v>
      </c>
      <c r="F617" s="133">
        <v>2.7526702550530784</v>
      </c>
      <c r="G617" s="133">
        <v>0.76731206017675391</v>
      </c>
      <c r="H617" s="133">
        <v>1.2516431028054229</v>
      </c>
      <c r="I617" s="133">
        <v>0.75892089206594271</v>
      </c>
      <c r="J617" s="133">
        <v>0.75892089206594271</v>
      </c>
      <c r="K617" s="133">
        <v>4.2421713303575408E-2</v>
      </c>
      <c r="L617" s="133">
        <v>7.9311965343136563</v>
      </c>
      <c r="M617" s="45">
        <v>15758.468354704593</v>
      </c>
    </row>
    <row r="618" spans="1:13" x14ac:dyDescent="0.25">
      <c r="A618" s="812" t="s">
        <v>1999</v>
      </c>
      <c r="B618" s="812">
        <v>14</v>
      </c>
      <c r="C618" s="608">
        <v>39767</v>
      </c>
      <c r="D618" s="812">
        <v>99712</v>
      </c>
      <c r="E618" s="812" t="s">
        <v>1601</v>
      </c>
      <c r="F618" s="133">
        <v>1.4768311978795332</v>
      </c>
      <c r="G618" s="133">
        <v>0.26272264975571724</v>
      </c>
      <c r="H618" s="133">
        <v>0.46956747766574475</v>
      </c>
      <c r="I618" s="133">
        <v>0.40809221664348228</v>
      </c>
      <c r="J618" s="133">
        <v>0.40809221664348228</v>
      </c>
      <c r="K618" s="133">
        <v>1.9200289477949897E-2</v>
      </c>
      <c r="L618" s="133">
        <v>4.3078143888630054</v>
      </c>
      <c r="M618" s="45">
        <v>5469.1179695452474</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6.4445478785593892E-5</v>
      </c>
      <c r="G630" s="133">
        <v>1.481423541192567E-3</v>
      </c>
      <c r="H630" s="133">
        <v>7.8460110496867904E-4</v>
      </c>
      <c r="I630" s="133">
        <v>5.6545741889411702E-5</v>
      </c>
      <c r="J630" s="133">
        <v>5.6545741889411702E-5</v>
      </c>
      <c r="K630" s="133">
        <v>7.6425884163490524E-5</v>
      </c>
      <c r="L630" s="133">
        <v>1.7737734996674825E-4</v>
      </c>
      <c r="M630" s="45">
        <v>24.637154447105289</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0.71632554419677053</v>
      </c>
      <c r="G632" s="133">
        <v>0.69772638313110347</v>
      </c>
      <c r="H632" s="133">
        <v>0.82792864965735835</v>
      </c>
      <c r="I632" s="133">
        <v>0.21785864088859999</v>
      </c>
      <c r="J632" s="133">
        <v>0.21785864088859999</v>
      </c>
      <c r="K632" s="133">
        <v>2.8753750682690222E-2</v>
      </c>
      <c r="L632" s="133">
        <v>2.1711205319678148</v>
      </c>
      <c r="M632" s="45">
        <v>12960.595065672653</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1.7436191850450256E-2</v>
      </c>
      <c r="G634" s="133">
        <v>1.3067363515365296E-2</v>
      </c>
      <c r="H634" s="133">
        <v>1.8609224288897629E-2</v>
      </c>
      <c r="I634" s="133">
        <v>5.9038394063226102E-3</v>
      </c>
      <c r="J634" s="133">
        <v>5.9038394063226102E-3</v>
      </c>
      <c r="K634" s="133">
        <v>5.01449194466224E-4</v>
      </c>
      <c r="L634" s="133">
        <v>6.3213241143344284E-2</v>
      </c>
      <c r="M634" s="45">
        <v>252.08623424799623</v>
      </c>
    </row>
    <row r="635" spans="1:13" x14ac:dyDescent="0.25">
      <c r="A635" s="812" t="s">
        <v>1999</v>
      </c>
      <c r="B635" s="812">
        <v>15</v>
      </c>
      <c r="C635" s="608">
        <v>39768</v>
      </c>
      <c r="D635" s="812">
        <v>99705</v>
      </c>
      <c r="E635" s="812" t="s">
        <v>1599</v>
      </c>
      <c r="F635" s="133">
        <v>2.9992453094593508</v>
      </c>
      <c r="G635" s="133">
        <v>0.63992613411945831</v>
      </c>
      <c r="H635" s="133">
        <v>1.0604250406312625</v>
      </c>
      <c r="I635" s="133">
        <v>0.92383759097729079</v>
      </c>
      <c r="J635" s="133">
        <v>0.92383759097729079</v>
      </c>
      <c r="K635" s="133">
        <v>4.31520035590661E-2</v>
      </c>
      <c r="L635" s="133">
        <v>10.071950280767661</v>
      </c>
      <c r="M635" s="45">
        <v>13083.238592379326</v>
      </c>
    </row>
    <row r="636" spans="1:13" x14ac:dyDescent="0.25">
      <c r="A636" s="812" t="s">
        <v>1999</v>
      </c>
      <c r="B636" s="812">
        <v>15</v>
      </c>
      <c r="C636" s="608">
        <v>39768</v>
      </c>
      <c r="D636" s="812">
        <v>99709</v>
      </c>
      <c r="E636" s="812" t="s">
        <v>1600</v>
      </c>
      <c r="F636" s="133">
        <v>2.4757339901616211</v>
      </c>
      <c r="G636" s="133">
        <v>0.74646948666587853</v>
      </c>
      <c r="H636" s="133">
        <v>1.1831447469711101</v>
      </c>
      <c r="I636" s="133">
        <v>0.69168920732153483</v>
      </c>
      <c r="J636" s="133">
        <v>0.69168920732153483</v>
      </c>
      <c r="K636" s="133">
        <v>3.9479669390569405E-2</v>
      </c>
      <c r="L636" s="133">
        <v>7.2398526794701681</v>
      </c>
      <c r="M636" s="45">
        <v>15172.75397144998</v>
      </c>
    </row>
    <row r="637" spans="1:13" x14ac:dyDescent="0.25">
      <c r="A637" s="812" t="s">
        <v>1999</v>
      </c>
      <c r="B637" s="812">
        <v>15</v>
      </c>
      <c r="C637" s="608">
        <v>39768</v>
      </c>
      <c r="D637" s="812">
        <v>99712</v>
      </c>
      <c r="E637" s="812" t="s">
        <v>1601</v>
      </c>
      <c r="F637" s="133">
        <v>1.3609672383368452</v>
      </c>
      <c r="G637" s="133">
        <v>0.25035088274099004</v>
      </c>
      <c r="H637" s="133">
        <v>0.44419566147501288</v>
      </c>
      <c r="I637" s="133">
        <v>0.37931917313725549</v>
      </c>
      <c r="J637" s="133">
        <v>0.37931917313725549</v>
      </c>
      <c r="K637" s="133">
        <v>1.7886907405775143E-2</v>
      </c>
      <c r="L637" s="133">
        <v>4.0086224264115105</v>
      </c>
      <c r="M637" s="45">
        <v>5200.7843491287613</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7.0390236929747653E-5</v>
      </c>
      <c r="G649" s="133">
        <v>1.6315015869075296E-3</v>
      </c>
      <c r="H649" s="133">
        <v>8.9068293781537924E-4</v>
      </c>
      <c r="I649" s="133">
        <v>6.0352697466633745E-5</v>
      </c>
      <c r="J649" s="133">
        <v>6.0352697466633745E-5</v>
      </c>
      <c r="K649" s="133">
        <v>7.6630127330208514E-5</v>
      </c>
      <c r="L649" s="133">
        <v>1.8111133889540693E-4</v>
      </c>
      <c r="M649" s="45">
        <v>26.946688817274421</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0.69512825707532211</v>
      </c>
      <c r="G651" s="133">
        <v>0.6268503681388371</v>
      </c>
      <c r="H651" s="133">
        <v>0.76361457856586157</v>
      </c>
      <c r="I651" s="133">
        <v>0.20739336627977362</v>
      </c>
      <c r="J651" s="133">
        <v>0.20739336627977362</v>
      </c>
      <c r="K651" s="133">
        <v>2.8337812701946026E-2</v>
      </c>
      <c r="L651" s="133">
        <v>2.0583224144619949</v>
      </c>
      <c r="M651" s="45">
        <v>11830.202716306198</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1.7041348777229771E-2</v>
      </c>
      <c r="G653" s="133">
        <v>1.1998035229035017E-2</v>
      </c>
      <c r="H653" s="133">
        <v>1.7586733570636233E-2</v>
      </c>
      <c r="I653" s="133">
        <v>5.6601581349895475E-3</v>
      </c>
      <c r="J653" s="133">
        <v>5.6601581349895475E-3</v>
      </c>
      <c r="K653" s="133">
        <v>4.9176337639195036E-4</v>
      </c>
      <c r="L653" s="133">
        <v>6.0230071194362453E-2</v>
      </c>
      <c r="M653" s="45">
        <v>235.07409194342554</v>
      </c>
    </row>
    <row r="654" spans="1:13" x14ac:dyDescent="0.25">
      <c r="A654" s="812" t="s">
        <v>1999</v>
      </c>
      <c r="B654" s="812">
        <v>16</v>
      </c>
      <c r="C654" s="608">
        <v>39769</v>
      </c>
      <c r="D654" s="812">
        <v>99705</v>
      </c>
      <c r="E654" s="812" t="s">
        <v>1599</v>
      </c>
      <c r="F654" s="133">
        <v>2.8667058930244624</v>
      </c>
      <c r="G654" s="133">
        <v>0.59431196994428048</v>
      </c>
      <c r="H654" s="133">
        <v>0.99421113894091973</v>
      </c>
      <c r="I654" s="133">
        <v>0.86771612840010193</v>
      </c>
      <c r="J654" s="133">
        <v>0.86771612840010193</v>
      </c>
      <c r="K654" s="133">
        <v>4.0777949976767425E-2</v>
      </c>
      <c r="L654" s="133">
        <v>9.3443205930873123</v>
      </c>
      <c r="M654" s="45">
        <v>12212.057630085314</v>
      </c>
    </row>
    <row r="655" spans="1:13" x14ac:dyDescent="0.25">
      <c r="A655" s="812" t="s">
        <v>1999</v>
      </c>
      <c r="B655" s="812">
        <v>16</v>
      </c>
      <c r="C655" s="608">
        <v>39769</v>
      </c>
      <c r="D655" s="812">
        <v>99709</v>
      </c>
      <c r="E655" s="812" t="s">
        <v>1600</v>
      </c>
      <c r="F655" s="133">
        <v>2.4250579993604937</v>
      </c>
      <c r="G655" s="133">
        <v>0.69492248242294663</v>
      </c>
      <c r="H655" s="133">
        <v>1.123105024306335</v>
      </c>
      <c r="I655" s="133">
        <v>0.66401769381767028</v>
      </c>
      <c r="J655" s="133">
        <v>0.66401769381767028</v>
      </c>
      <c r="K655" s="133">
        <v>3.8445062510201668E-2</v>
      </c>
      <c r="L655" s="133">
        <v>6.8757533866912111</v>
      </c>
      <c r="M655" s="45">
        <v>14260.830018389706</v>
      </c>
    </row>
    <row r="656" spans="1:13" x14ac:dyDescent="0.25">
      <c r="A656" s="812" t="s">
        <v>1999</v>
      </c>
      <c r="B656" s="812">
        <v>16</v>
      </c>
      <c r="C656" s="608">
        <v>39769</v>
      </c>
      <c r="D656" s="812">
        <v>99712</v>
      </c>
      <c r="E656" s="812" t="s">
        <v>1601</v>
      </c>
      <c r="F656" s="133">
        <v>1.3413395008569036</v>
      </c>
      <c r="G656" s="133">
        <v>0.23808316063893595</v>
      </c>
      <c r="H656" s="133">
        <v>0.42559004582703003</v>
      </c>
      <c r="I656" s="133">
        <v>0.36601098809679711</v>
      </c>
      <c r="J656" s="133">
        <v>0.36601098809679711</v>
      </c>
      <c r="K656" s="133">
        <v>1.7337757155870378E-2</v>
      </c>
      <c r="L656" s="133">
        <v>3.8171936575794247</v>
      </c>
      <c r="M656" s="45">
        <v>4963.0566847047394</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6.1473099713517051E-5</v>
      </c>
      <c r="G668" s="133">
        <v>1.4063845183350872E-3</v>
      </c>
      <c r="H668" s="133">
        <v>7.3156018854532944E-4</v>
      </c>
      <c r="I668" s="133">
        <v>5.46422641008007E-5</v>
      </c>
      <c r="J668" s="133">
        <v>5.46422641008007E-5</v>
      </c>
      <c r="K668" s="133">
        <v>7.6323762580131536E-5</v>
      </c>
      <c r="L668" s="133">
        <v>1.7551035550241896E-4</v>
      </c>
      <c r="M668" s="45">
        <v>23.482387262020726</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E50C-B681-4DFE-BB4F-37B0E35D6E2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0.66994223991135515</v>
      </c>
      <c r="G5" s="133">
        <v>0.60130665814375828</v>
      </c>
      <c r="H5" s="133">
        <v>0.76576843190282351</v>
      </c>
      <c r="I5" s="133">
        <v>0.19815561165894138</v>
      </c>
      <c r="J5" s="133">
        <v>0.19815561165894138</v>
      </c>
      <c r="K5" s="133">
        <v>1.931656949406263E-2</v>
      </c>
      <c r="L5" s="133">
        <v>1.9711852521023756</v>
      </c>
      <c r="M5" s="45">
        <v>11164.917953450424</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1.6084354574762875E-2</v>
      </c>
      <c r="G7" s="133">
        <v>1.141242017953357E-2</v>
      </c>
      <c r="H7" s="133">
        <v>1.7122079258811568E-2</v>
      </c>
      <c r="I7" s="133">
        <v>5.3410602301472449E-3</v>
      </c>
      <c r="J7" s="133">
        <v>5.3410602301472449E-3</v>
      </c>
      <c r="K7" s="133">
        <v>3.63549924208538E-4</v>
      </c>
      <c r="L7" s="133">
        <v>5.6877677641261101E-2</v>
      </c>
      <c r="M7" s="45">
        <v>220.858412826006</v>
      </c>
    </row>
    <row r="8" spans="1:13" x14ac:dyDescent="0.25">
      <c r="A8" s="812" t="s">
        <v>1996</v>
      </c>
      <c r="B8" s="812">
        <v>1</v>
      </c>
      <c r="C8" s="608">
        <v>39470</v>
      </c>
      <c r="D8" s="812">
        <v>99705</v>
      </c>
      <c r="E8" s="812" t="s">
        <v>1599</v>
      </c>
      <c r="F8" s="133">
        <v>2.7921229818888373</v>
      </c>
      <c r="G8" s="133">
        <v>0.57745999278597238</v>
      </c>
      <c r="H8" s="133">
        <v>0.97383632871419989</v>
      </c>
      <c r="I8" s="133">
        <v>0.84549133144272481</v>
      </c>
      <c r="J8" s="133">
        <v>0.84549133144272481</v>
      </c>
      <c r="K8" s="133">
        <v>3.7894718338298647E-2</v>
      </c>
      <c r="L8" s="133">
        <v>9.0981874236777891</v>
      </c>
      <c r="M8" s="45">
        <v>11849.672264956884</v>
      </c>
    </row>
    <row r="9" spans="1:13" x14ac:dyDescent="0.25">
      <c r="A9" s="812" t="s">
        <v>1996</v>
      </c>
      <c r="B9" s="812">
        <v>1</v>
      </c>
      <c r="C9" s="608">
        <v>39470</v>
      </c>
      <c r="D9" s="812">
        <v>99709</v>
      </c>
      <c r="E9" s="812" t="s">
        <v>1600</v>
      </c>
      <c r="F9" s="133">
        <v>2.6089317305851938</v>
      </c>
      <c r="G9" s="133">
        <v>0.70414194929863638</v>
      </c>
      <c r="H9" s="133">
        <v>1.1691616745523936</v>
      </c>
      <c r="I9" s="133">
        <v>0.70886769821635609</v>
      </c>
      <c r="J9" s="133">
        <v>0.70886769821635609</v>
      </c>
      <c r="K9" s="133">
        <v>3.5735645266408024E-2</v>
      </c>
      <c r="L9" s="133">
        <v>7.3487520214633753</v>
      </c>
      <c r="M9" s="45">
        <v>14416.851669211956</v>
      </c>
    </row>
    <row r="10" spans="1:13" x14ac:dyDescent="0.25">
      <c r="A10" s="812" t="s">
        <v>1996</v>
      </c>
      <c r="B10" s="812">
        <v>1</v>
      </c>
      <c r="C10" s="608">
        <v>39470</v>
      </c>
      <c r="D10" s="812">
        <v>99712</v>
      </c>
      <c r="E10" s="812" t="s">
        <v>1601</v>
      </c>
      <c r="F10" s="133">
        <v>1.5365286033269305</v>
      </c>
      <c r="G10" s="133">
        <v>0.26177052650209282</v>
      </c>
      <c r="H10" s="133">
        <v>0.47153625166812746</v>
      </c>
      <c r="I10" s="133">
        <v>0.4161769264423732</v>
      </c>
      <c r="J10" s="133">
        <v>0.4161769264423732</v>
      </c>
      <c r="K10" s="133">
        <v>1.9148812859020009E-2</v>
      </c>
      <c r="L10" s="133">
        <v>4.346841970738212</v>
      </c>
      <c r="M10" s="45">
        <v>5454.3486286196448</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5.6127471564207211E-5</v>
      </c>
      <c r="G22" s="133">
        <v>1.3373662975571961E-3</v>
      </c>
      <c r="H22" s="133">
        <v>8.0171951603482999E-4</v>
      </c>
      <c r="I22" s="133">
        <v>4.4298201932320449E-5</v>
      </c>
      <c r="J22" s="133">
        <v>4.4298201932320449E-5</v>
      </c>
      <c r="K22" s="133">
        <v>4.2517615494271923E-5</v>
      </c>
      <c r="L22" s="133">
        <v>1.1012937053868904E-4</v>
      </c>
      <c r="M22" s="45">
        <v>21.586779694392423</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0.92816471368802356</v>
      </c>
      <c r="G24" s="133">
        <v>0.78738611319828444</v>
      </c>
      <c r="H24" s="133">
        <v>0.99858412186976087</v>
      </c>
      <c r="I24" s="133">
        <v>0.26732553241459955</v>
      </c>
      <c r="J24" s="133">
        <v>0.26732553241459955</v>
      </c>
      <c r="K24" s="133">
        <v>2.2343216643954372E-2</v>
      </c>
      <c r="L24" s="133">
        <v>2.6541115360783509</v>
      </c>
      <c r="M24" s="45">
        <v>14450.483165462154</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2.1811460046358835E-2</v>
      </c>
      <c r="G26" s="133">
        <v>1.4894936226129692E-2</v>
      </c>
      <c r="H26" s="133">
        <v>2.2214158846142393E-2</v>
      </c>
      <c r="I26" s="133">
        <v>7.1326332297135071E-3</v>
      </c>
      <c r="J26" s="133">
        <v>7.1326332297135071E-3</v>
      </c>
      <c r="K26" s="133">
        <v>4.3793970319214414E-4</v>
      </c>
      <c r="L26" s="133">
        <v>7.6157174692148055E-2</v>
      </c>
      <c r="M26" s="45">
        <v>285.42749646850859</v>
      </c>
    </row>
    <row r="27" spans="1:13" x14ac:dyDescent="0.25">
      <c r="A27" s="812" t="s">
        <v>1996</v>
      </c>
      <c r="B27" s="812">
        <v>2</v>
      </c>
      <c r="C27" s="608">
        <v>39471</v>
      </c>
      <c r="D27" s="812">
        <v>99705</v>
      </c>
      <c r="E27" s="812" t="s">
        <v>1599</v>
      </c>
      <c r="F27" s="133">
        <v>3.7694039282092286</v>
      </c>
      <c r="G27" s="133">
        <v>0.75453430456567316</v>
      </c>
      <c r="H27" s="133">
        <v>1.2664383365341034</v>
      </c>
      <c r="I27" s="133">
        <v>1.1302964553263866</v>
      </c>
      <c r="J27" s="133">
        <v>1.1302964553263866</v>
      </c>
      <c r="K27" s="133">
        <v>5.0281584196588285E-2</v>
      </c>
      <c r="L27" s="133">
        <v>12.24595341867049</v>
      </c>
      <c r="M27" s="45">
        <v>15393.970249700877</v>
      </c>
    </row>
    <row r="28" spans="1:13" x14ac:dyDescent="0.25">
      <c r="A28" s="812" t="s">
        <v>1996</v>
      </c>
      <c r="B28" s="812">
        <v>2</v>
      </c>
      <c r="C28" s="608">
        <v>39471</v>
      </c>
      <c r="D28" s="812">
        <v>99709</v>
      </c>
      <c r="E28" s="812" t="s">
        <v>1600</v>
      </c>
      <c r="F28" s="133">
        <v>3.4796640077010941</v>
      </c>
      <c r="G28" s="133">
        <v>0.89791043578850882</v>
      </c>
      <c r="H28" s="133">
        <v>1.4768034585148986</v>
      </c>
      <c r="I28" s="133">
        <v>0.9257673881178492</v>
      </c>
      <c r="J28" s="133">
        <v>0.9257673881178492</v>
      </c>
      <c r="K28" s="133">
        <v>4.5149087806260209E-2</v>
      </c>
      <c r="L28" s="133">
        <v>9.5643971661632872</v>
      </c>
      <c r="M28" s="45">
        <v>18231.101104947025</v>
      </c>
    </row>
    <row r="29" spans="1:13" x14ac:dyDescent="0.25">
      <c r="A29" s="812" t="s">
        <v>1996</v>
      </c>
      <c r="B29" s="812">
        <v>2</v>
      </c>
      <c r="C29" s="608">
        <v>39471</v>
      </c>
      <c r="D29" s="812">
        <v>99712</v>
      </c>
      <c r="E29" s="812" t="s">
        <v>1601</v>
      </c>
      <c r="F29" s="133">
        <v>1.9386796400666839</v>
      </c>
      <c r="G29" s="133">
        <v>0.31783656657812626</v>
      </c>
      <c r="H29" s="133">
        <v>0.56821561009861243</v>
      </c>
      <c r="I29" s="133">
        <v>0.51663748426450684</v>
      </c>
      <c r="J29" s="133">
        <v>0.51663748426450684</v>
      </c>
      <c r="K29" s="133">
        <v>2.3732978100681073E-2</v>
      </c>
      <c r="L29" s="133">
        <v>5.3904734881817555</v>
      </c>
      <c r="M29" s="45">
        <v>6587.388372479435</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7.3614863051008389E-5</v>
      </c>
      <c r="G41" s="133">
        <v>1.7788432214876605E-3</v>
      </c>
      <c r="H41" s="133">
        <v>1.1137750270655015E-3</v>
      </c>
      <c r="I41" s="133">
        <v>5.549692876651694E-5</v>
      </c>
      <c r="J41" s="133">
        <v>5.549692876651694E-5</v>
      </c>
      <c r="K41" s="133">
        <v>4.311842718892657E-5</v>
      </c>
      <c r="L41" s="133">
        <v>1.2111345510856344E-4</v>
      </c>
      <c r="M41" s="45">
        <v>28.380619023766783</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0.84720460408285081</v>
      </c>
      <c r="G43" s="133">
        <v>0.75583300970244727</v>
      </c>
      <c r="H43" s="133">
        <v>0.94427541751793553</v>
      </c>
      <c r="I43" s="133">
        <v>0.24624708189867861</v>
      </c>
      <c r="J43" s="133">
        <v>0.24624708189867861</v>
      </c>
      <c r="K43" s="133">
        <v>2.1420891211070901E-2</v>
      </c>
      <c r="L43" s="133">
        <v>2.4396342789495944</v>
      </c>
      <c r="M43" s="45">
        <v>13818.773787290034</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2.0104939335226165E-2</v>
      </c>
      <c r="G45" s="133">
        <v>1.4208467702947453E-2</v>
      </c>
      <c r="H45" s="133">
        <v>2.0945373038986352E-2</v>
      </c>
      <c r="I45" s="133">
        <v>6.6084125118140461E-3</v>
      </c>
      <c r="J45" s="133">
        <v>6.6084125118140461E-3</v>
      </c>
      <c r="K45" s="133">
        <v>4.163129364955441E-4</v>
      </c>
      <c r="L45" s="133">
        <v>7.0416465615534843E-2</v>
      </c>
      <c r="M45" s="45">
        <v>271.29315776589618</v>
      </c>
    </row>
    <row r="46" spans="1:13" x14ac:dyDescent="0.25">
      <c r="A46" s="812" t="s">
        <v>1996</v>
      </c>
      <c r="B46" s="812">
        <v>3</v>
      </c>
      <c r="C46" s="608">
        <v>39472</v>
      </c>
      <c r="D46" s="812">
        <v>99705</v>
      </c>
      <c r="E46" s="812" t="s">
        <v>1599</v>
      </c>
      <c r="F46" s="133">
        <v>3.4887324066168439</v>
      </c>
      <c r="G46" s="133">
        <v>0.70881927073041606</v>
      </c>
      <c r="H46" s="133">
        <v>1.1859205423560473</v>
      </c>
      <c r="I46" s="133">
        <v>1.0487874072072574</v>
      </c>
      <c r="J46" s="133">
        <v>1.0487874072072574</v>
      </c>
      <c r="K46" s="133">
        <v>4.6733811865669245E-2</v>
      </c>
      <c r="L46" s="133">
        <v>11.344656530721846</v>
      </c>
      <c r="M46" s="45">
        <v>14454.927525344012</v>
      </c>
    </row>
    <row r="47" spans="1:13" x14ac:dyDescent="0.25">
      <c r="A47" s="812" t="s">
        <v>1996</v>
      </c>
      <c r="B47" s="812">
        <v>3</v>
      </c>
      <c r="C47" s="608">
        <v>39472</v>
      </c>
      <c r="D47" s="812">
        <v>99709</v>
      </c>
      <c r="E47" s="812" t="s">
        <v>1600</v>
      </c>
      <c r="F47" s="133">
        <v>3.0903143451804138</v>
      </c>
      <c r="G47" s="133">
        <v>0.83393952640772873</v>
      </c>
      <c r="H47" s="133">
        <v>1.3571654208680815</v>
      </c>
      <c r="I47" s="133">
        <v>0.82896035875454688</v>
      </c>
      <c r="J47" s="133">
        <v>0.82896035875454688</v>
      </c>
      <c r="K47" s="133">
        <v>4.0968248153100129E-2</v>
      </c>
      <c r="L47" s="133">
        <v>8.5686390410554036</v>
      </c>
      <c r="M47" s="45">
        <v>16879.042198130384</v>
      </c>
    </row>
    <row r="48" spans="1:13" x14ac:dyDescent="0.25">
      <c r="A48" s="812" t="s">
        <v>1996</v>
      </c>
      <c r="B48" s="812">
        <v>3</v>
      </c>
      <c r="C48" s="608">
        <v>39472</v>
      </c>
      <c r="D48" s="812">
        <v>99712</v>
      </c>
      <c r="E48" s="812" t="s">
        <v>1601</v>
      </c>
      <c r="F48" s="133">
        <v>1.7480307786294575</v>
      </c>
      <c r="G48" s="133">
        <v>0.29376738678767345</v>
      </c>
      <c r="H48" s="133">
        <v>0.52453919811307759</v>
      </c>
      <c r="I48" s="133">
        <v>0.46893883418438703</v>
      </c>
      <c r="J48" s="133">
        <v>0.46893883418438703</v>
      </c>
      <c r="K48" s="133">
        <v>2.1556129682787046E-2</v>
      </c>
      <c r="L48" s="133">
        <v>4.8935865361123785</v>
      </c>
      <c r="M48" s="45">
        <v>6090.9463901168801</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7.2094220313025654E-5</v>
      </c>
      <c r="G60" s="133">
        <v>1.740453923754576E-3</v>
      </c>
      <c r="H60" s="133">
        <v>1.0866397652367469E-3</v>
      </c>
      <c r="I60" s="133">
        <v>5.4523126433108537E-5</v>
      </c>
      <c r="J60" s="133">
        <v>5.4523126433108537E-5</v>
      </c>
      <c r="K60" s="133">
        <v>4.3066182693739217E-5</v>
      </c>
      <c r="L60" s="133">
        <v>1.201583173198787E-4</v>
      </c>
      <c r="M60" s="45">
        <v>27.78985038642988</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1.1789276725885509</v>
      </c>
      <c r="G62" s="133">
        <v>0.94536284799786841</v>
      </c>
      <c r="H62" s="133">
        <v>1.2153083219713174</v>
      </c>
      <c r="I62" s="133">
        <v>0.33750122285852735</v>
      </c>
      <c r="J62" s="133">
        <v>0.33750122285852735</v>
      </c>
      <c r="K62" s="133">
        <v>2.5372979425136805E-2</v>
      </c>
      <c r="L62" s="133">
        <v>3.375135717334719</v>
      </c>
      <c r="M62" s="45">
        <v>17337.633376630023</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2.7552177014652676E-2</v>
      </c>
      <c r="G64" s="133">
        <v>1.807366251054118E-2</v>
      </c>
      <c r="H64" s="133">
        <v>2.7257482070941357E-2</v>
      </c>
      <c r="I64" s="133">
        <v>9.0252632942589128E-3</v>
      </c>
      <c r="J64" s="133">
        <v>9.0252632942589128E-3</v>
      </c>
      <c r="K64" s="133">
        <v>5.1497112027175634E-4</v>
      </c>
      <c r="L64" s="133">
        <v>9.723888903635125E-2</v>
      </c>
      <c r="M64" s="45">
        <v>346.54834815726798</v>
      </c>
    </row>
    <row r="65" spans="1:13" x14ac:dyDescent="0.25">
      <c r="A65" s="812" t="s">
        <v>1996</v>
      </c>
      <c r="B65" s="812">
        <v>4</v>
      </c>
      <c r="C65" s="608">
        <v>39473</v>
      </c>
      <c r="D65" s="812">
        <v>99705</v>
      </c>
      <c r="E65" s="812" t="s">
        <v>1599</v>
      </c>
      <c r="F65" s="133">
        <v>4.5952168287949773</v>
      </c>
      <c r="G65" s="133">
        <v>0.91441761774351604</v>
      </c>
      <c r="H65" s="133">
        <v>1.5334112091778414</v>
      </c>
      <c r="I65" s="133">
        <v>1.3892744312213379</v>
      </c>
      <c r="J65" s="133">
        <v>1.3892744312213379</v>
      </c>
      <c r="K65" s="133">
        <v>6.1489235880701022E-2</v>
      </c>
      <c r="L65" s="133">
        <v>15.223891161426341</v>
      </c>
      <c r="M65" s="45">
        <v>18610.169439132413</v>
      </c>
    </row>
    <row r="66" spans="1:13" x14ac:dyDescent="0.25">
      <c r="A66" s="812" t="s">
        <v>1996</v>
      </c>
      <c r="B66" s="812">
        <v>4</v>
      </c>
      <c r="C66" s="608">
        <v>39473</v>
      </c>
      <c r="D66" s="812">
        <v>99709</v>
      </c>
      <c r="E66" s="812" t="s">
        <v>1600</v>
      </c>
      <c r="F66" s="133">
        <v>4.1235200905806355</v>
      </c>
      <c r="G66" s="133">
        <v>1.052291353473334</v>
      </c>
      <c r="H66" s="133">
        <v>1.7237455800401766</v>
      </c>
      <c r="I66" s="133">
        <v>1.1001776663036675</v>
      </c>
      <c r="J66" s="133">
        <v>1.1001776663036675</v>
      </c>
      <c r="K66" s="133">
        <v>5.2560629409781144E-2</v>
      </c>
      <c r="L66" s="133">
        <v>11.432175416139101</v>
      </c>
      <c r="M66" s="45">
        <v>21286.991073727542</v>
      </c>
    </row>
    <row r="67" spans="1:13" x14ac:dyDescent="0.25">
      <c r="A67" s="812" t="s">
        <v>1996</v>
      </c>
      <c r="B67" s="812">
        <v>4</v>
      </c>
      <c r="C67" s="608">
        <v>39473</v>
      </c>
      <c r="D67" s="812">
        <v>99712</v>
      </c>
      <c r="E67" s="812" t="s">
        <v>1601</v>
      </c>
      <c r="F67" s="133">
        <v>2.2849260553824022</v>
      </c>
      <c r="G67" s="133">
        <v>0.37192349339536696</v>
      </c>
      <c r="H67" s="133">
        <v>0.66274644000868133</v>
      </c>
      <c r="I67" s="133">
        <v>0.6110753840786497</v>
      </c>
      <c r="J67" s="133">
        <v>0.6110753840786497</v>
      </c>
      <c r="K67" s="133">
        <v>2.7990089985663286E-2</v>
      </c>
      <c r="L67" s="133">
        <v>6.4235802907148942</v>
      </c>
      <c r="M67" s="45">
        <v>7687.9635381279322</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8.6540326323861374E-5</v>
      </c>
      <c r="G79" s="133">
        <v>2.1051522522188724E-3</v>
      </c>
      <c r="H79" s="133">
        <v>1.3444247526099098E-3</v>
      </c>
      <c r="I79" s="133">
        <v>6.3774248600488207E-5</v>
      </c>
      <c r="J79" s="133">
        <v>6.3774248600488207E-5</v>
      </c>
      <c r="K79" s="133">
        <v>4.3562505398019131E-5</v>
      </c>
      <c r="L79" s="133">
        <v>1.2923212631238361E-4</v>
      </c>
      <c r="M79" s="45">
        <v>33.40215244113044</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1.048855579005094</v>
      </c>
      <c r="G81" s="133">
        <v>0.87598348946139915</v>
      </c>
      <c r="H81" s="133">
        <v>1.1160339358934133</v>
      </c>
      <c r="I81" s="133">
        <v>0.30379581203082473</v>
      </c>
      <c r="J81" s="133">
        <v>0.30379581203082473</v>
      </c>
      <c r="K81" s="133">
        <v>2.388455243332353E-2</v>
      </c>
      <c r="L81" s="133">
        <v>3.0397521102473126</v>
      </c>
      <c r="M81" s="45">
        <v>16050.436681851666</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2.4983831360282715E-2</v>
      </c>
      <c r="G83" s="133">
        <v>1.6741310515081931E-2</v>
      </c>
      <c r="H83" s="133">
        <v>2.5118634371444678E-2</v>
      </c>
      <c r="I83" s="133">
        <v>8.2264662388573384E-3</v>
      </c>
      <c r="J83" s="133">
        <v>8.2264662388573384E-3</v>
      </c>
      <c r="K83" s="133">
        <v>4.8204838974166998E-4</v>
      </c>
      <c r="L83" s="133">
        <v>8.8572121253690836E-2</v>
      </c>
      <c r="M83" s="45">
        <v>320.82895314317972</v>
      </c>
    </row>
    <row r="84" spans="1:13" x14ac:dyDescent="0.25">
      <c r="A84" s="812" t="s">
        <v>1996</v>
      </c>
      <c r="B84" s="812">
        <v>5</v>
      </c>
      <c r="C84" s="608">
        <v>39474</v>
      </c>
      <c r="D84" s="812">
        <v>99705</v>
      </c>
      <c r="E84" s="812" t="s">
        <v>1599</v>
      </c>
      <c r="F84" s="133">
        <v>4.1679700576706331</v>
      </c>
      <c r="G84" s="133">
        <v>0.83929171043275375</v>
      </c>
      <c r="H84" s="133">
        <v>1.4055568973455179</v>
      </c>
      <c r="I84" s="133">
        <v>1.2639459085132967</v>
      </c>
      <c r="J84" s="133">
        <v>1.2639459085132967</v>
      </c>
      <c r="K84" s="133">
        <v>5.6029700655880241E-2</v>
      </c>
      <c r="L84" s="133">
        <v>13.834116735889552</v>
      </c>
      <c r="M84" s="45">
        <v>17089.934221550011</v>
      </c>
    </row>
    <row r="85" spans="1:13" x14ac:dyDescent="0.25">
      <c r="A85" s="812" t="s">
        <v>1996</v>
      </c>
      <c r="B85" s="812">
        <v>5</v>
      </c>
      <c r="C85" s="608">
        <v>39474</v>
      </c>
      <c r="D85" s="812">
        <v>99709</v>
      </c>
      <c r="E85" s="812" t="s">
        <v>1600</v>
      </c>
      <c r="F85" s="133">
        <v>3.5499332659352398</v>
      </c>
      <c r="G85" s="133">
        <v>0.95208452326093918</v>
      </c>
      <c r="H85" s="133">
        <v>1.5515148316765959</v>
      </c>
      <c r="I85" s="133">
        <v>0.95823180645554773</v>
      </c>
      <c r="J85" s="133">
        <v>0.95823180645554773</v>
      </c>
      <c r="K85" s="133">
        <v>4.6407875810001005E-2</v>
      </c>
      <c r="L85" s="133">
        <v>9.9768387608388132</v>
      </c>
      <c r="M85" s="45">
        <v>19243.844030632743</v>
      </c>
    </row>
    <row r="86" spans="1:13" x14ac:dyDescent="0.25">
      <c r="A86" s="812" t="s">
        <v>1996</v>
      </c>
      <c r="B86" s="812">
        <v>5</v>
      </c>
      <c r="C86" s="608">
        <v>39474</v>
      </c>
      <c r="D86" s="812">
        <v>99712</v>
      </c>
      <c r="E86" s="812" t="s">
        <v>1601</v>
      </c>
      <c r="F86" s="133">
        <v>1.8649983139668698</v>
      </c>
      <c r="G86" s="133">
        <v>0.31714478040462868</v>
      </c>
      <c r="H86" s="133">
        <v>0.56381736368070523</v>
      </c>
      <c r="I86" s="133">
        <v>0.50518291892356793</v>
      </c>
      <c r="J86" s="133">
        <v>0.50518291892356793</v>
      </c>
      <c r="K86" s="133">
        <v>2.3176152970595252E-2</v>
      </c>
      <c r="L86" s="133">
        <v>5.3170647250964853</v>
      </c>
      <c r="M86" s="45">
        <v>6559.4506594771947</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8.1218076740921893E-5</v>
      </c>
      <c r="G98" s="133">
        <v>1.9707897101530784E-3</v>
      </c>
      <c r="H98" s="133">
        <v>1.2494513362092707E-3</v>
      </c>
      <c r="I98" s="133">
        <v>6.0365940433558842E-5</v>
      </c>
      <c r="J98" s="133">
        <v>6.0365940433558842E-5</v>
      </c>
      <c r="K98" s="133">
        <v>4.3379649664863368E-5</v>
      </c>
      <c r="L98" s="133">
        <v>1.2588914405198704E-4</v>
      </c>
      <c r="M98" s="45">
        <v>31.334462210451285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0.90838357790634328</v>
      </c>
      <c r="G100" s="133">
        <v>0.77185097539530811</v>
      </c>
      <c r="H100" s="133">
        <v>0.97979117299777985</v>
      </c>
      <c r="I100" s="133">
        <v>0.26192673699073149</v>
      </c>
      <c r="J100" s="133">
        <v>0.26192673699073149</v>
      </c>
      <c r="K100" s="133">
        <v>2.2108582342849056E-2</v>
      </c>
      <c r="L100" s="133">
        <v>2.6007268458731807</v>
      </c>
      <c r="M100" s="45">
        <v>14179.287561739493</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2.157584234826411E-2</v>
      </c>
      <c r="G102" s="133">
        <v>1.4690213078958616E-2</v>
      </c>
      <c r="H102" s="133">
        <v>2.1986095766082771E-2</v>
      </c>
      <c r="I102" s="133">
        <v>7.059566267497693E-3</v>
      </c>
      <c r="J102" s="133">
        <v>7.059566267497693E-3</v>
      </c>
      <c r="K102" s="133">
        <v>4.3466395598714173E-4</v>
      </c>
      <c r="L102" s="133">
        <v>7.5396473716764542E-2</v>
      </c>
      <c r="M102" s="45">
        <v>282.01609284577739</v>
      </c>
    </row>
    <row r="103" spans="1:13" x14ac:dyDescent="0.25">
      <c r="A103" s="812" t="s">
        <v>1996</v>
      </c>
      <c r="B103" s="812">
        <v>6</v>
      </c>
      <c r="C103" s="608">
        <v>39475</v>
      </c>
      <c r="D103" s="812">
        <v>99705</v>
      </c>
      <c r="E103" s="812" t="s">
        <v>1599</v>
      </c>
      <c r="F103" s="133">
        <v>3.7507080345323707</v>
      </c>
      <c r="G103" s="133">
        <v>0.74967912804378734</v>
      </c>
      <c r="H103" s="133">
        <v>1.2597450160527297</v>
      </c>
      <c r="I103" s="133">
        <v>1.1255461372079894</v>
      </c>
      <c r="J103" s="133">
        <v>1.1255461372079894</v>
      </c>
      <c r="K103" s="133">
        <v>5.0036582695001948E-2</v>
      </c>
      <c r="L103" s="133">
        <v>12.19654033988914</v>
      </c>
      <c r="M103" s="45">
        <v>15306.01263840548</v>
      </c>
    </row>
    <row r="104" spans="1:13" x14ac:dyDescent="0.25">
      <c r="A104" s="812" t="s">
        <v>1996</v>
      </c>
      <c r="B104" s="812">
        <v>6</v>
      </c>
      <c r="C104" s="608">
        <v>39475</v>
      </c>
      <c r="D104" s="812">
        <v>99709</v>
      </c>
      <c r="E104" s="812" t="s">
        <v>1600</v>
      </c>
      <c r="F104" s="133">
        <v>3.2127992495447582</v>
      </c>
      <c r="G104" s="133">
        <v>0.85309366172029466</v>
      </c>
      <c r="H104" s="133">
        <v>1.3961716668770323</v>
      </c>
      <c r="I104" s="133">
        <v>0.85825543920534098</v>
      </c>
      <c r="J104" s="133">
        <v>0.85825543920534098</v>
      </c>
      <c r="K104" s="133">
        <v>4.2248974791689355E-2</v>
      </c>
      <c r="L104" s="133">
        <v>8.8638093425576852</v>
      </c>
      <c r="M104" s="45">
        <v>17298.336291712109</v>
      </c>
    </row>
    <row r="105" spans="1:13" x14ac:dyDescent="0.25">
      <c r="A105" s="812" t="s">
        <v>1996</v>
      </c>
      <c r="B105" s="812">
        <v>6</v>
      </c>
      <c r="C105" s="608">
        <v>39475</v>
      </c>
      <c r="D105" s="812">
        <v>99712</v>
      </c>
      <c r="E105" s="812" t="s">
        <v>1601</v>
      </c>
      <c r="F105" s="133">
        <v>1.7566766821168045</v>
      </c>
      <c r="G105" s="133">
        <v>0.2933584102880889</v>
      </c>
      <c r="H105" s="133">
        <v>0.52408970155760848</v>
      </c>
      <c r="I105" s="133">
        <v>0.46901740341000797</v>
      </c>
      <c r="J105" s="133">
        <v>0.46901740341000797</v>
      </c>
      <c r="K105" s="133">
        <v>2.1594690823304862E-2</v>
      </c>
      <c r="L105" s="133">
        <v>4.8840572144953027</v>
      </c>
      <c r="M105" s="45">
        <v>6082.3874240579935</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7.2094220313025626E-5</v>
      </c>
      <c r="G117" s="133">
        <v>1.7404539237545753E-3</v>
      </c>
      <c r="H117" s="133">
        <v>1.0866397652367463E-3</v>
      </c>
      <c r="I117" s="133">
        <v>5.4523126433108496E-5</v>
      </c>
      <c r="J117" s="133">
        <v>5.4523126433108496E-5</v>
      </c>
      <c r="K117" s="133">
        <v>4.306618269373919E-5</v>
      </c>
      <c r="L117" s="133">
        <v>1.2015831731987864E-4</v>
      </c>
      <c r="M117" s="45">
        <v>27.78985038642988</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1.0198579269378512</v>
      </c>
      <c r="G119" s="133">
        <v>0.8471648193518323</v>
      </c>
      <c r="H119" s="133">
        <v>1.0764849512324133</v>
      </c>
      <c r="I119" s="133">
        <v>0.29149615185547439</v>
      </c>
      <c r="J119" s="133">
        <v>0.29149615185547439</v>
      </c>
      <c r="K119" s="133">
        <v>2.34065999383627E-2</v>
      </c>
      <c r="L119" s="133">
        <v>2.8928974000577923</v>
      </c>
      <c r="M119" s="45">
        <v>15521.320881154126</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2.396059447241693E-2</v>
      </c>
      <c r="G121" s="133">
        <v>1.6102628584286745E-2</v>
      </c>
      <c r="H121" s="133">
        <v>2.4086600508746153E-2</v>
      </c>
      <c r="I121" s="133">
        <v>7.8051788687391937E-3</v>
      </c>
      <c r="J121" s="133">
        <v>7.8051788687391937E-3</v>
      </c>
      <c r="K121" s="133">
        <v>4.6554854028839414E-4</v>
      </c>
      <c r="L121" s="133">
        <v>8.3433094151851753E-2</v>
      </c>
      <c r="M121" s="45">
        <v>308.39255886432642</v>
      </c>
    </row>
    <row r="122" spans="1:13" x14ac:dyDescent="0.25">
      <c r="A122" s="812" t="s">
        <v>1996</v>
      </c>
      <c r="B122" s="812">
        <v>7</v>
      </c>
      <c r="C122" s="608">
        <v>39476</v>
      </c>
      <c r="D122" s="812">
        <v>99705</v>
      </c>
      <c r="E122" s="812" t="s">
        <v>1599</v>
      </c>
      <c r="F122" s="133">
        <v>4.1066399502144373</v>
      </c>
      <c r="G122" s="133">
        <v>0.81531290469672268</v>
      </c>
      <c r="H122" s="133">
        <v>1.3677397191812488</v>
      </c>
      <c r="I122" s="133">
        <v>1.2296456798131692</v>
      </c>
      <c r="J122" s="133">
        <v>1.2296456798131692</v>
      </c>
      <c r="K122" s="133">
        <v>5.4566556425495509E-2</v>
      </c>
      <c r="L122" s="133">
        <v>13.348464483914224</v>
      </c>
      <c r="M122" s="45">
        <v>16617.006109771581</v>
      </c>
    </row>
    <row r="123" spans="1:13" x14ac:dyDescent="0.25">
      <c r="A123" s="812" t="s">
        <v>1996</v>
      </c>
      <c r="B123" s="812">
        <v>7</v>
      </c>
      <c r="C123" s="608">
        <v>39476</v>
      </c>
      <c r="D123" s="812">
        <v>99709</v>
      </c>
      <c r="E123" s="812" t="s">
        <v>1600</v>
      </c>
      <c r="F123" s="133">
        <v>3.5922158246510962</v>
      </c>
      <c r="G123" s="133">
        <v>0.93478411122899996</v>
      </c>
      <c r="H123" s="133">
        <v>1.5282199344716836</v>
      </c>
      <c r="I123" s="133">
        <v>0.95270116505423474</v>
      </c>
      <c r="J123" s="133">
        <v>0.95270116505423474</v>
      </c>
      <c r="K123" s="133">
        <v>4.6367317503431989E-2</v>
      </c>
      <c r="L123" s="133">
        <v>9.8293762546938321</v>
      </c>
      <c r="M123" s="45">
        <v>18916.704972195603</v>
      </c>
    </row>
    <row r="124" spans="1:13" x14ac:dyDescent="0.25">
      <c r="A124" s="812" t="s">
        <v>1996</v>
      </c>
      <c r="B124" s="812">
        <v>7</v>
      </c>
      <c r="C124" s="608">
        <v>39476</v>
      </c>
      <c r="D124" s="812">
        <v>99712</v>
      </c>
      <c r="E124" s="812" t="s">
        <v>1601</v>
      </c>
      <c r="F124" s="133">
        <v>1.9316250670365043</v>
      </c>
      <c r="G124" s="133">
        <v>0.31790980142512631</v>
      </c>
      <c r="H124" s="133">
        <v>0.5664978418932537</v>
      </c>
      <c r="I124" s="133">
        <v>0.51355319676578204</v>
      </c>
      <c r="J124" s="133">
        <v>0.51355319676578204</v>
      </c>
      <c r="K124" s="133">
        <v>2.3615327080575635E-2</v>
      </c>
      <c r="L124" s="133">
        <v>5.3511710282535256</v>
      </c>
      <c r="M124" s="45">
        <v>6579.3292072107797</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7.893711263394783E-5</v>
      </c>
      <c r="G136" s="133">
        <v>1.9132057635534532E-3</v>
      </c>
      <c r="H136" s="133">
        <v>1.2087484434661398E-3</v>
      </c>
      <c r="I136" s="133">
        <v>5.8905236933446257E-5</v>
      </c>
      <c r="J136" s="133">
        <v>5.8905236933446257E-5</v>
      </c>
      <c r="K136" s="133">
        <v>4.3301282922082325E-5</v>
      </c>
      <c r="L136" s="133">
        <v>1.2445643736895995E-4</v>
      </c>
      <c r="M136" s="45">
        <v>30.448309254445935</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1.0759251810835708</v>
      </c>
      <c r="G138" s="133">
        <v>0.84645951007473008</v>
      </c>
      <c r="H138" s="133">
        <v>1.0983383755831777</v>
      </c>
      <c r="I138" s="133">
        <v>0.30556593020429679</v>
      </c>
      <c r="J138" s="133">
        <v>0.30556593020429679</v>
      </c>
      <c r="K138" s="133">
        <v>2.4022908044877445E-2</v>
      </c>
      <c r="L138" s="133">
        <v>3.0415051996752172</v>
      </c>
      <c r="M138" s="45">
        <v>15623.13664062613</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2.5107224710448722E-2</v>
      </c>
      <c r="G140" s="133">
        <v>1.6264374454681933E-2</v>
      </c>
      <c r="H140" s="133">
        <v>2.4752177505103758E-2</v>
      </c>
      <c r="I140" s="133">
        <v>8.1515356395478345E-3</v>
      </c>
      <c r="J140" s="133">
        <v>8.1515356395478345E-3</v>
      </c>
      <c r="K140" s="133">
        <v>4.7949860621454804E-4</v>
      </c>
      <c r="L140" s="133">
        <v>8.7320162214805458E-2</v>
      </c>
      <c r="M140" s="45">
        <v>313.67465858619096</v>
      </c>
    </row>
    <row r="141" spans="1:13" x14ac:dyDescent="0.25">
      <c r="A141" s="812" t="s">
        <v>1996</v>
      </c>
      <c r="B141" s="812">
        <v>8</v>
      </c>
      <c r="C141" s="608">
        <v>39477</v>
      </c>
      <c r="D141" s="812">
        <v>99705</v>
      </c>
      <c r="E141" s="812" t="s">
        <v>1599</v>
      </c>
      <c r="F141" s="133">
        <v>4.2559758805423744</v>
      </c>
      <c r="G141" s="133">
        <v>0.83554047890845295</v>
      </c>
      <c r="H141" s="133">
        <v>1.4081824340365563</v>
      </c>
      <c r="I141" s="133">
        <v>1.2733888087497494</v>
      </c>
      <c r="J141" s="133">
        <v>1.2733888087497494</v>
      </c>
      <c r="K141" s="133">
        <v>5.6470985604904725E-2</v>
      </c>
      <c r="L141" s="133">
        <v>13.835314756213984</v>
      </c>
      <c r="M141" s="45">
        <v>17055.698286402392</v>
      </c>
    </row>
    <row r="142" spans="1:13" x14ac:dyDescent="0.25">
      <c r="A142" s="812" t="s">
        <v>1996</v>
      </c>
      <c r="B142" s="812">
        <v>8</v>
      </c>
      <c r="C142" s="608">
        <v>39477</v>
      </c>
      <c r="D142" s="812">
        <v>99709</v>
      </c>
      <c r="E142" s="812" t="s">
        <v>1600</v>
      </c>
      <c r="F142" s="133">
        <v>3.7860894111934233</v>
      </c>
      <c r="G142" s="133">
        <v>0.95578557359645933</v>
      </c>
      <c r="H142" s="133">
        <v>1.5797632172078584</v>
      </c>
      <c r="I142" s="133">
        <v>1.0002808456695929</v>
      </c>
      <c r="J142" s="133">
        <v>1.0002808456695929</v>
      </c>
      <c r="K142" s="133">
        <v>4.8436346246583731E-2</v>
      </c>
      <c r="L142" s="133">
        <v>10.319265336538347</v>
      </c>
      <c r="M142" s="45">
        <v>19421.717002457357</v>
      </c>
    </row>
    <row r="143" spans="1:13" x14ac:dyDescent="0.25">
      <c r="A143" s="812" t="s">
        <v>1996</v>
      </c>
      <c r="B143" s="812">
        <v>8</v>
      </c>
      <c r="C143" s="608">
        <v>39477</v>
      </c>
      <c r="D143" s="812">
        <v>99712</v>
      </c>
      <c r="E143" s="812" t="s">
        <v>1601</v>
      </c>
      <c r="F143" s="133">
        <v>2.0310833307236353</v>
      </c>
      <c r="G143" s="133">
        <v>0.32968334175251124</v>
      </c>
      <c r="H143" s="133">
        <v>0.589175272671983</v>
      </c>
      <c r="I143" s="133">
        <v>0.53855020854183544</v>
      </c>
      <c r="J143" s="133">
        <v>0.53855020854183544</v>
      </c>
      <c r="K143" s="133">
        <v>2.4751734210258929E-2</v>
      </c>
      <c r="L143" s="133">
        <v>5.6122888307061372</v>
      </c>
      <c r="M143" s="45">
        <v>6828.468363398606</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7.6656148526973753E-5</v>
      </c>
      <c r="G155" s="133">
        <v>1.8556218169538273E-3</v>
      </c>
      <c r="H155" s="133">
        <v>1.1680455507230084E-3</v>
      </c>
      <c r="I155" s="133">
        <v>5.7444533433333693E-5</v>
      </c>
      <c r="J155" s="133">
        <v>5.7444533433333693E-5</v>
      </c>
      <c r="K155" s="133">
        <v>4.3222916179301282E-5</v>
      </c>
      <c r="L155" s="133">
        <v>1.2302373068593287E-4</v>
      </c>
      <c r="M155" s="45">
        <v>29.562156298440581</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1.0164415484812381</v>
      </c>
      <c r="G157" s="133">
        <v>0.77465141916352054</v>
      </c>
      <c r="H157" s="133">
        <v>1.0249846167122276</v>
      </c>
      <c r="I157" s="133">
        <v>0.28925703142359854</v>
      </c>
      <c r="J157" s="133">
        <v>0.28925703142359854</v>
      </c>
      <c r="K157" s="133">
        <v>2.33032898345296E-2</v>
      </c>
      <c r="L157" s="133">
        <v>2.8889177553766938</v>
      </c>
      <c r="M157" s="45">
        <v>14438.355785736707</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2.3758710933618751E-2</v>
      </c>
      <c r="G159" s="133">
        <v>1.5017141240388093E-2</v>
      </c>
      <c r="H159" s="133">
        <v>2.3212025546885201E-2</v>
      </c>
      <c r="I159" s="133">
        <v>7.7143639146782655E-3</v>
      </c>
      <c r="J159" s="133">
        <v>7.7143639146782655E-3</v>
      </c>
      <c r="K159" s="133">
        <v>4.6151528884367241E-4</v>
      </c>
      <c r="L159" s="133">
        <v>8.2723872021923078E-2</v>
      </c>
      <c r="M159" s="45">
        <v>292.04502054462222</v>
      </c>
    </row>
    <row r="160" spans="1:13" x14ac:dyDescent="0.25">
      <c r="A160" s="812" t="s">
        <v>1996</v>
      </c>
      <c r="B160" s="812">
        <v>9</v>
      </c>
      <c r="C160" s="608">
        <v>39478</v>
      </c>
      <c r="D160" s="812">
        <v>99705</v>
      </c>
      <c r="E160" s="812" t="s">
        <v>1599</v>
      </c>
      <c r="F160" s="133">
        <v>4.1571977006372309</v>
      </c>
      <c r="G160" s="133">
        <v>0.80724591120373057</v>
      </c>
      <c r="H160" s="133">
        <v>1.3704980703903862</v>
      </c>
      <c r="I160" s="133">
        <v>1.2435121284829571</v>
      </c>
      <c r="J160" s="133">
        <v>1.2435121284829571</v>
      </c>
      <c r="K160" s="133">
        <v>5.5189479362014321E-2</v>
      </c>
      <c r="L160" s="133">
        <v>13.503842839045562</v>
      </c>
      <c r="M160" s="45">
        <v>16532.585230608776</v>
      </c>
    </row>
    <row r="161" spans="1:13" x14ac:dyDescent="0.25">
      <c r="A161" s="812" t="s">
        <v>1996</v>
      </c>
      <c r="B161" s="812">
        <v>9</v>
      </c>
      <c r="C161" s="608">
        <v>39478</v>
      </c>
      <c r="D161" s="812">
        <v>99709</v>
      </c>
      <c r="E161" s="812" t="s">
        <v>1600</v>
      </c>
      <c r="F161" s="133">
        <v>3.8031635938551225</v>
      </c>
      <c r="G161" s="133">
        <v>0.92485357878180574</v>
      </c>
      <c r="H161" s="133">
        <v>1.5517183554824323</v>
      </c>
      <c r="I161" s="133">
        <v>1.0050160194869677</v>
      </c>
      <c r="J161" s="133">
        <v>1.0050160194869677</v>
      </c>
      <c r="K161" s="133">
        <v>4.8594576778414188E-2</v>
      </c>
      <c r="L161" s="133">
        <v>10.382975455421445</v>
      </c>
      <c r="M161" s="45">
        <v>18925.268129793618</v>
      </c>
    </row>
    <row r="162" spans="1:13" x14ac:dyDescent="0.25">
      <c r="A162" s="812" t="s">
        <v>1996</v>
      </c>
      <c r="B162" s="812">
        <v>9</v>
      </c>
      <c r="C162" s="608">
        <v>39478</v>
      </c>
      <c r="D162" s="812">
        <v>99712</v>
      </c>
      <c r="E162" s="812" t="s">
        <v>1601</v>
      </c>
      <c r="F162" s="133">
        <v>2.1853069581928017</v>
      </c>
      <c r="G162" s="133">
        <v>0.34640976773251037</v>
      </c>
      <c r="H162" s="133">
        <v>0.62305059572152066</v>
      </c>
      <c r="I162" s="133">
        <v>0.5779875310870406</v>
      </c>
      <c r="J162" s="133">
        <v>0.5779875310870406</v>
      </c>
      <c r="K162" s="133">
        <v>2.6535452661299218E-2</v>
      </c>
      <c r="L162" s="133">
        <v>6.0284324454659153</v>
      </c>
      <c r="M162" s="45">
        <v>7190.4954924513358</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6.8292613468068854E-5</v>
      </c>
      <c r="G174" s="133">
        <v>1.6444806794218662E-3</v>
      </c>
      <c r="H174" s="133">
        <v>1.0188016106648615E-3</v>
      </c>
      <c r="I174" s="133">
        <v>5.2088620599587541E-5</v>
      </c>
      <c r="J174" s="133">
        <v>5.2088620599587541E-5</v>
      </c>
      <c r="K174" s="133">
        <v>4.2935571455770787E-5</v>
      </c>
      <c r="L174" s="133">
        <v>1.1777047284816682E-4</v>
      </c>
      <c r="M174" s="45">
        <v>26.312928793087629</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0.92699002055019442</v>
      </c>
      <c r="G176" s="133">
        <v>0.74616287835473338</v>
      </c>
      <c r="H176" s="133">
        <v>0.96962341638395066</v>
      </c>
      <c r="I176" s="133">
        <v>0.26624869073316559</v>
      </c>
      <c r="J176" s="133">
        <v>0.26624869073316559</v>
      </c>
      <c r="K176" s="133">
        <v>2.2293223833544769E-2</v>
      </c>
      <c r="L176" s="133">
        <v>2.6539404771173878</v>
      </c>
      <c r="M176" s="45">
        <v>13836.37752401587</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2.1729288631758645E-2</v>
      </c>
      <c r="G178" s="133">
        <v>1.4303359045497125E-2</v>
      </c>
      <c r="H178" s="133">
        <v>2.1780494468396795E-2</v>
      </c>
      <c r="I178" s="133">
        <v>7.0942042652530953E-3</v>
      </c>
      <c r="J178" s="133">
        <v>7.0942042652530953E-3</v>
      </c>
      <c r="K178" s="133">
        <v>4.3593084576066968E-4</v>
      </c>
      <c r="L178" s="133">
        <v>7.5904438245793793E-2</v>
      </c>
      <c r="M178" s="45">
        <v>276.7536815668721</v>
      </c>
    </row>
    <row r="179" spans="1:13" x14ac:dyDescent="0.25">
      <c r="A179" s="812" t="s">
        <v>1996</v>
      </c>
      <c r="B179" s="812">
        <v>10</v>
      </c>
      <c r="C179" s="608">
        <v>39479</v>
      </c>
      <c r="D179" s="812">
        <v>99705</v>
      </c>
      <c r="E179" s="812" t="s">
        <v>1599</v>
      </c>
      <c r="F179" s="133">
        <v>3.7440767969454525</v>
      </c>
      <c r="G179" s="133">
        <v>0.74219620376083517</v>
      </c>
      <c r="H179" s="133">
        <v>1.2536163353866403</v>
      </c>
      <c r="I179" s="133">
        <v>1.1237140418783957</v>
      </c>
      <c r="J179" s="133">
        <v>1.1237140418783957</v>
      </c>
      <c r="K179" s="133">
        <v>4.9977235803578643E-2</v>
      </c>
      <c r="L179" s="133">
        <v>12.179317175243316</v>
      </c>
      <c r="M179" s="45">
        <v>15184.952635507369</v>
      </c>
    </row>
    <row r="180" spans="1:13" x14ac:dyDescent="0.25">
      <c r="A180" s="812" t="s">
        <v>1996</v>
      </c>
      <c r="B180" s="812">
        <v>10</v>
      </c>
      <c r="C180" s="608">
        <v>39479</v>
      </c>
      <c r="D180" s="812">
        <v>99709</v>
      </c>
      <c r="E180" s="812" t="s">
        <v>1600</v>
      </c>
      <c r="F180" s="133">
        <v>3.4392185303085236</v>
      </c>
      <c r="G180" s="133">
        <v>0.86982088521876855</v>
      </c>
      <c r="H180" s="133">
        <v>1.4471975252374174</v>
      </c>
      <c r="I180" s="133">
        <v>0.91558412534415534</v>
      </c>
      <c r="J180" s="133">
        <v>0.91558412534415534</v>
      </c>
      <c r="K180" s="133">
        <v>4.469299327688319E-2</v>
      </c>
      <c r="L180" s="133">
        <v>9.4665089616134832</v>
      </c>
      <c r="M180" s="45">
        <v>17755.120699600775</v>
      </c>
    </row>
    <row r="181" spans="1:13" x14ac:dyDescent="0.25">
      <c r="A181" s="812" t="s">
        <v>1996</v>
      </c>
      <c r="B181" s="812">
        <v>10</v>
      </c>
      <c r="C181" s="608">
        <v>39479</v>
      </c>
      <c r="D181" s="812">
        <v>99712</v>
      </c>
      <c r="E181" s="812" t="s">
        <v>1601</v>
      </c>
      <c r="F181" s="133">
        <v>1.9511970417823352</v>
      </c>
      <c r="G181" s="133">
        <v>0.31739746205668201</v>
      </c>
      <c r="H181" s="133">
        <v>0.56988691264906055</v>
      </c>
      <c r="I181" s="133">
        <v>0.51974014392724155</v>
      </c>
      <c r="J181" s="133">
        <v>0.51974014392724155</v>
      </c>
      <c r="K181" s="133">
        <v>2.3872489985480295E-2</v>
      </c>
      <c r="L181" s="133">
        <v>5.4232054588331264</v>
      </c>
      <c r="M181" s="45">
        <v>6589.8911637834881</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6.75322920990775E-5</v>
      </c>
      <c r="G193" s="133">
        <v>1.6252860305553244E-3</v>
      </c>
      <c r="H193" s="133">
        <v>1.0052339797504849E-3</v>
      </c>
      <c r="I193" s="133">
        <v>5.1601719432883353E-5</v>
      </c>
      <c r="J193" s="133">
        <v>5.1601719432883353E-5</v>
      </c>
      <c r="K193" s="133">
        <v>4.2909449208177124E-5</v>
      </c>
      <c r="L193" s="133">
        <v>1.1729290395382449E-4</v>
      </c>
      <c r="M193" s="45">
        <v>26.017544474419175</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0.89781105150324503</v>
      </c>
      <c r="G195" s="133">
        <v>0.79481840032807549</v>
      </c>
      <c r="H195" s="133">
        <v>0.99869711393680849</v>
      </c>
      <c r="I195" s="133">
        <v>0.2637201363650718</v>
      </c>
      <c r="J195" s="133">
        <v>0.2637201363650718</v>
      </c>
      <c r="K195" s="133">
        <v>2.2136359538990343E-2</v>
      </c>
      <c r="L195" s="133">
        <v>2.6361593307753051</v>
      </c>
      <c r="M195" s="45">
        <v>14537.812977903719</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2.1429063782100917E-2</v>
      </c>
      <c r="G197" s="133">
        <v>1.501541726590176E-2</v>
      </c>
      <c r="H197" s="133">
        <v>2.2235179619031768E-2</v>
      </c>
      <c r="I197" s="133">
        <v>7.123482303835707E-3</v>
      </c>
      <c r="J197" s="133">
        <v>7.123482303835707E-3</v>
      </c>
      <c r="K197" s="133">
        <v>4.366953366672251E-4</v>
      </c>
      <c r="L197" s="133">
        <v>7.6569078619543776E-2</v>
      </c>
      <c r="M197" s="45">
        <v>286.91182218813032</v>
      </c>
    </row>
    <row r="198" spans="1:13" x14ac:dyDescent="0.25">
      <c r="A198" s="812" t="s">
        <v>1996</v>
      </c>
      <c r="B198" s="812">
        <v>11</v>
      </c>
      <c r="C198" s="608">
        <v>39480</v>
      </c>
      <c r="D198" s="812">
        <v>99705</v>
      </c>
      <c r="E198" s="812" t="s">
        <v>1599</v>
      </c>
      <c r="F198" s="133">
        <v>3.7644729239679364</v>
      </c>
      <c r="G198" s="133">
        <v>0.76794872299906392</v>
      </c>
      <c r="H198" s="133">
        <v>1.2860073679825279</v>
      </c>
      <c r="I198" s="133">
        <v>1.1466342058881231</v>
      </c>
      <c r="J198" s="133">
        <v>1.1466342058881231</v>
      </c>
      <c r="K198" s="133">
        <v>5.0919372585133391E-2</v>
      </c>
      <c r="L198" s="133">
        <v>12.537940264799392</v>
      </c>
      <c r="M198" s="45">
        <v>15654.230276813558</v>
      </c>
    </row>
    <row r="199" spans="1:13" x14ac:dyDescent="0.25">
      <c r="A199" s="812" t="s">
        <v>1996</v>
      </c>
      <c r="B199" s="812">
        <v>11</v>
      </c>
      <c r="C199" s="608">
        <v>39480</v>
      </c>
      <c r="D199" s="812">
        <v>99709</v>
      </c>
      <c r="E199" s="812" t="s">
        <v>1600</v>
      </c>
      <c r="F199" s="133">
        <v>3.2412941560000395</v>
      </c>
      <c r="G199" s="133">
        <v>0.88027343627783416</v>
      </c>
      <c r="H199" s="133">
        <v>1.4333667955028251</v>
      </c>
      <c r="I199" s="133">
        <v>0.88164935203767547</v>
      </c>
      <c r="J199" s="133">
        <v>0.88164935203767547</v>
      </c>
      <c r="K199" s="133">
        <v>4.3072307251243384E-2</v>
      </c>
      <c r="L199" s="133">
        <v>9.1978873800559331</v>
      </c>
      <c r="M199" s="45">
        <v>17812.661482132171</v>
      </c>
    </row>
    <row r="200" spans="1:13" x14ac:dyDescent="0.25">
      <c r="A200" s="812" t="s">
        <v>1996</v>
      </c>
      <c r="B200" s="812">
        <v>11</v>
      </c>
      <c r="C200" s="608">
        <v>39480</v>
      </c>
      <c r="D200" s="812">
        <v>99712</v>
      </c>
      <c r="E200" s="812" t="s">
        <v>1601</v>
      </c>
      <c r="F200" s="133">
        <v>1.8294830318164939</v>
      </c>
      <c r="G200" s="133">
        <v>0.31165811141411326</v>
      </c>
      <c r="H200" s="133">
        <v>0.55588908148408256</v>
      </c>
      <c r="I200" s="133">
        <v>0.49771369527219611</v>
      </c>
      <c r="J200" s="133">
        <v>0.49771369527219611</v>
      </c>
      <c r="K200" s="133">
        <v>2.2810002000456468E-2</v>
      </c>
      <c r="L200" s="133">
        <v>5.2469170449850058</v>
      </c>
      <c r="M200" s="45">
        <v>6456.7756551967268</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7.5135505788991085E-5</v>
      </c>
      <c r="G212" s="133">
        <v>1.8172325192207439E-3</v>
      </c>
      <c r="H212" s="133">
        <v>1.1409102888942551E-3</v>
      </c>
      <c r="I212" s="133">
        <v>5.6470731099925316E-5</v>
      </c>
      <c r="J212" s="133">
        <v>5.6470731099925316E-5</v>
      </c>
      <c r="K212" s="133">
        <v>4.3170671684113936E-5</v>
      </c>
      <c r="L212" s="133">
        <v>1.2206859289724817E-4</v>
      </c>
      <c r="M212" s="45">
        <v>28.971387661103677</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1.0568670497006782</v>
      </c>
      <c r="G214" s="133">
        <v>0.88761202840379083</v>
      </c>
      <c r="H214" s="133">
        <v>1.1263576340325487</v>
      </c>
      <c r="I214" s="133">
        <v>0.30552007312003032</v>
      </c>
      <c r="J214" s="133">
        <v>0.30552007312003032</v>
      </c>
      <c r="K214" s="133">
        <v>2.397272131065974E-2</v>
      </c>
      <c r="L214" s="133">
        <v>3.052354002080842</v>
      </c>
      <c r="M214" s="45">
        <v>16234.067231803368</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2.4760132944255959E-2</v>
      </c>
      <c r="G216" s="133">
        <v>1.6803024447858219E-2</v>
      </c>
      <c r="H216" s="133">
        <v>2.5039454747597896E-2</v>
      </c>
      <c r="I216" s="133">
        <v>8.160020140904686E-3</v>
      </c>
      <c r="J216" s="133">
        <v>8.160020140904686E-3</v>
      </c>
      <c r="K216" s="133">
        <v>4.7954446968838686E-4</v>
      </c>
      <c r="L216" s="133">
        <v>8.7794446768773876E-2</v>
      </c>
      <c r="M216" s="45">
        <v>321.06917113352614</v>
      </c>
    </row>
    <row r="217" spans="1:13" x14ac:dyDescent="0.25">
      <c r="A217" s="812" t="s">
        <v>1996</v>
      </c>
      <c r="B217" s="812">
        <v>12</v>
      </c>
      <c r="C217" s="608">
        <v>39481</v>
      </c>
      <c r="D217" s="812">
        <v>99705</v>
      </c>
      <c r="E217" s="812" t="s">
        <v>1599</v>
      </c>
      <c r="F217" s="133">
        <v>4.2274986212243482</v>
      </c>
      <c r="G217" s="133">
        <v>0.85147787170566736</v>
      </c>
      <c r="H217" s="133">
        <v>1.4255003248783591</v>
      </c>
      <c r="I217" s="133">
        <v>1.2817531155677102</v>
      </c>
      <c r="J217" s="133">
        <v>1.2817531155677102</v>
      </c>
      <c r="K217" s="133">
        <v>5.6815686873925852E-2</v>
      </c>
      <c r="L217" s="133">
        <v>14.032620689019815</v>
      </c>
      <c r="M217" s="45">
        <v>17331.361462265719</v>
      </c>
    </row>
    <row r="218" spans="1:13" x14ac:dyDescent="0.25">
      <c r="A218" s="812" t="s">
        <v>1996</v>
      </c>
      <c r="B218" s="812">
        <v>12</v>
      </c>
      <c r="C218" s="608">
        <v>39481</v>
      </c>
      <c r="D218" s="812">
        <v>99709</v>
      </c>
      <c r="E218" s="812" t="s">
        <v>1600</v>
      </c>
      <c r="F218" s="133">
        <v>3.8913336366616758</v>
      </c>
      <c r="G218" s="133">
        <v>1.0009521332590048</v>
      </c>
      <c r="H218" s="133">
        <v>1.6369045622956757</v>
      </c>
      <c r="I218" s="133">
        <v>1.0424493902957837</v>
      </c>
      <c r="J218" s="133">
        <v>1.0424493902957837</v>
      </c>
      <c r="K218" s="133">
        <v>5.0063507746236684E-2</v>
      </c>
      <c r="L218" s="133">
        <v>10.843678904799711</v>
      </c>
      <c r="M218" s="45">
        <v>20250.653133342097</v>
      </c>
    </row>
    <row r="219" spans="1:13" x14ac:dyDescent="0.25">
      <c r="A219" s="812" t="s">
        <v>1996</v>
      </c>
      <c r="B219" s="812">
        <v>12</v>
      </c>
      <c r="C219" s="608">
        <v>39481</v>
      </c>
      <c r="D219" s="812">
        <v>99712</v>
      </c>
      <c r="E219" s="812" t="s">
        <v>1601</v>
      </c>
      <c r="F219" s="133">
        <v>2.1976012525114026</v>
      </c>
      <c r="G219" s="133">
        <v>0.35968304433516546</v>
      </c>
      <c r="H219" s="133">
        <v>0.64145748336480513</v>
      </c>
      <c r="I219" s="133">
        <v>0.58944663832206634</v>
      </c>
      <c r="J219" s="133">
        <v>0.58944663832206634</v>
      </c>
      <c r="K219" s="133">
        <v>2.7001090411696835E-2</v>
      </c>
      <c r="L219" s="133">
        <v>6.1999561392156277</v>
      </c>
      <c r="M219" s="45">
        <v>7439.8365501977487</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8.2738719478904629E-5</v>
      </c>
      <c r="G231" s="133">
        <v>2.0091790078861629E-3</v>
      </c>
      <c r="H231" s="133">
        <v>1.276586598038025E-3</v>
      </c>
      <c r="I231" s="133">
        <v>6.1339742766967253E-5</v>
      </c>
      <c r="J231" s="133">
        <v>6.1339742766967253E-5</v>
      </c>
      <c r="K231" s="133">
        <v>4.3431894160050742E-5</v>
      </c>
      <c r="L231" s="133">
        <v>1.2684428184067182E-4</v>
      </c>
      <c r="M231" s="45">
        <v>31.925230847788185</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1.2082157927131261</v>
      </c>
      <c r="G233" s="133">
        <v>0.95820531957043154</v>
      </c>
      <c r="H233" s="133">
        <v>1.2289120051318145</v>
      </c>
      <c r="I233" s="133">
        <v>0.34127289427393032</v>
      </c>
      <c r="J233" s="133">
        <v>0.34127289427393032</v>
      </c>
      <c r="K233" s="133">
        <v>2.5587479598314623E-2</v>
      </c>
      <c r="L233" s="133">
        <v>3.3895810212507715</v>
      </c>
      <c r="M233" s="45">
        <v>17549.65723490094</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2.8083170314384665E-2</v>
      </c>
      <c r="G235" s="133">
        <v>1.8288789798332518E-2</v>
      </c>
      <c r="H235" s="133">
        <v>2.754037340976442E-2</v>
      </c>
      <c r="I235" s="133">
        <v>9.0874534214337305E-3</v>
      </c>
      <c r="J235" s="133">
        <v>9.0874534214337305E-3</v>
      </c>
      <c r="K235" s="133">
        <v>5.1853067563047616E-4</v>
      </c>
      <c r="L235" s="133">
        <v>9.7327730964048648E-2</v>
      </c>
      <c r="M235" s="45">
        <v>350.29469741041083</v>
      </c>
    </row>
    <row r="236" spans="1:13" x14ac:dyDescent="0.25">
      <c r="A236" s="812" t="s">
        <v>1996</v>
      </c>
      <c r="B236" s="812">
        <v>13</v>
      </c>
      <c r="C236" s="608">
        <v>39482</v>
      </c>
      <c r="D236" s="812">
        <v>99705</v>
      </c>
      <c r="E236" s="812" t="s">
        <v>1599</v>
      </c>
      <c r="F236" s="133">
        <v>4.7445912691213774</v>
      </c>
      <c r="G236" s="133">
        <v>0.92792604425606362</v>
      </c>
      <c r="H236" s="133">
        <v>1.5571862093315612</v>
      </c>
      <c r="I236" s="133">
        <v>1.415769972087886</v>
      </c>
      <c r="J236" s="133">
        <v>1.415769972087886</v>
      </c>
      <c r="K236" s="133">
        <v>6.2663995027522831E-2</v>
      </c>
      <c r="L236" s="133">
        <v>15.407624274735337</v>
      </c>
      <c r="M236" s="45">
        <v>18886.994840442519</v>
      </c>
    </row>
    <row r="237" spans="1:13" x14ac:dyDescent="0.25">
      <c r="A237" s="812" t="s">
        <v>1996</v>
      </c>
      <c r="B237" s="812">
        <v>13</v>
      </c>
      <c r="C237" s="608">
        <v>39482</v>
      </c>
      <c r="D237" s="812">
        <v>99709</v>
      </c>
      <c r="E237" s="812" t="s">
        <v>1600</v>
      </c>
      <c r="F237" s="133">
        <v>4.2747849249825878</v>
      </c>
      <c r="G237" s="133">
        <v>1.06777215212898</v>
      </c>
      <c r="H237" s="133">
        <v>1.7503120071792693</v>
      </c>
      <c r="I237" s="133">
        <v>1.122317872524137</v>
      </c>
      <c r="J237" s="133">
        <v>1.122317872524137</v>
      </c>
      <c r="K237" s="133">
        <v>5.3730768136957319E-2</v>
      </c>
      <c r="L237" s="133">
        <v>11.566999063584342</v>
      </c>
      <c r="M237" s="45">
        <v>21591.439938331871</v>
      </c>
    </row>
    <row r="238" spans="1:13" x14ac:dyDescent="0.25">
      <c r="A238" s="812" t="s">
        <v>1996</v>
      </c>
      <c r="B238" s="812">
        <v>13</v>
      </c>
      <c r="C238" s="608">
        <v>39482</v>
      </c>
      <c r="D238" s="812">
        <v>99712</v>
      </c>
      <c r="E238" s="812" t="s">
        <v>1601</v>
      </c>
      <c r="F238" s="133">
        <v>2.3211331089730001</v>
      </c>
      <c r="G238" s="133">
        <v>0.37000507949987893</v>
      </c>
      <c r="H238" s="133">
        <v>0.65914627674251602</v>
      </c>
      <c r="I238" s="133">
        <v>0.61136599745183151</v>
      </c>
      <c r="J238" s="133">
        <v>0.61136599745183151</v>
      </c>
      <c r="K238" s="133">
        <v>2.8067299302492466E-2</v>
      </c>
      <c r="L238" s="133">
        <v>6.3705923493280237</v>
      </c>
      <c r="M238" s="45">
        <v>7645.6955329818429</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8.8060969061844096E-5</v>
      </c>
      <c r="G250" s="133">
        <v>2.1435415499519565E-3</v>
      </c>
      <c r="H250" s="133">
        <v>1.3715600144386642E-3</v>
      </c>
      <c r="I250" s="133">
        <v>6.4748050933896611E-5</v>
      </c>
      <c r="J250" s="133">
        <v>6.4748050933896611E-5</v>
      </c>
      <c r="K250" s="133">
        <v>4.361474989320649E-5</v>
      </c>
      <c r="L250" s="133">
        <v>1.3018726410106833E-4</v>
      </c>
      <c r="M250" s="45">
        <v>33.99292107846734</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1.2376429472038084</v>
      </c>
      <c r="G252" s="133">
        <v>0.97113446769858791</v>
      </c>
      <c r="H252" s="133">
        <v>1.2497467843102035</v>
      </c>
      <c r="I252" s="133">
        <v>0.34899909531335827</v>
      </c>
      <c r="J252" s="133">
        <v>0.34899909531335827</v>
      </c>
      <c r="K252" s="133">
        <v>2.5924851416753103E-2</v>
      </c>
      <c r="L252" s="133">
        <v>3.4680036774394547</v>
      </c>
      <c r="M252" s="45">
        <v>17801.36535086979</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2.8813120716975234E-2</v>
      </c>
      <c r="G254" s="133">
        <v>1.8603390336775369E-2</v>
      </c>
      <c r="H254" s="133">
        <v>2.8115603357672943E-2</v>
      </c>
      <c r="I254" s="133">
        <v>9.3139075126084537E-3</v>
      </c>
      <c r="J254" s="133">
        <v>9.3139075126084537E-3</v>
      </c>
      <c r="K254" s="133">
        <v>5.2772771601849468E-4</v>
      </c>
      <c r="L254" s="133">
        <v>9.9807067301987407E-2</v>
      </c>
      <c r="M254" s="45">
        <v>356.74349650928383</v>
      </c>
    </row>
    <row r="255" spans="1:13" x14ac:dyDescent="0.25">
      <c r="A255" s="812" t="s">
        <v>1996</v>
      </c>
      <c r="B255" s="812">
        <v>14</v>
      </c>
      <c r="C255" s="608">
        <v>39483</v>
      </c>
      <c r="D255" s="812">
        <v>99705</v>
      </c>
      <c r="E255" s="812" t="s">
        <v>1599</v>
      </c>
      <c r="F255" s="133">
        <v>4.8556451650780623</v>
      </c>
      <c r="G255" s="133">
        <v>0.9465475483987944</v>
      </c>
      <c r="H255" s="133">
        <v>1.5896209025057464</v>
      </c>
      <c r="I255" s="133">
        <v>1.4485405582965443</v>
      </c>
      <c r="J255" s="133">
        <v>1.4485405582965443</v>
      </c>
      <c r="K255" s="133">
        <v>6.4077724425616725E-2</v>
      </c>
      <c r="L255" s="133">
        <v>15.772040723818643</v>
      </c>
      <c r="M255" s="45">
        <v>19268.493757559885</v>
      </c>
    </row>
    <row r="256" spans="1:13" x14ac:dyDescent="0.25">
      <c r="A256" s="812" t="s">
        <v>1996</v>
      </c>
      <c r="B256" s="812">
        <v>14</v>
      </c>
      <c r="C256" s="608">
        <v>39483</v>
      </c>
      <c r="D256" s="812">
        <v>99709</v>
      </c>
      <c r="E256" s="812" t="s">
        <v>1600</v>
      </c>
      <c r="F256" s="133">
        <v>4.2599827174962215</v>
      </c>
      <c r="G256" s="133">
        <v>1.0705791371929028</v>
      </c>
      <c r="H256" s="133">
        <v>1.7542540201904773</v>
      </c>
      <c r="I256" s="133">
        <v>1.1183927166705947</v>
      </c>
      <c r="J256" s="133">
        <v>1.1183927166705947</v>
      </c>
      <c r="K256" s="133">
        <v>5.3583081818588014E-2</v>
      </c>
      <c r="L256" s="133">
        <v>11.523169433003387</v>
      </c>
      <c r="M256" s="45">
        <v>21640.745307279147</v>
      </c>
    </row>
    <row r="257" spans="1:13" x14ac:dyDescent="0.25">
      <c r="A257" s="812" t="s">
        <v>1996</v>
      </c>
      <c r="B257" s="812">
        <v>14</v>
      </c>
      <c r="C257" s="608">
        <v>39483</v>
      </c>
      <c r="D257" s="812">
        <v>99712</v>
      </c>
      <c r="E257" s="812" t="s">
        <v>1601</v>
      </c>
      <c r="F257" s="133">
        <v>2.2490846273019938</v>
      </c>
      <c r="G257" s="133">
        <v>0.36174215293937811</v>
      </c>
      <c r="H257" s="133">
        <v>0.64356798962609851</v>
      </c>
      <c r="I257" s="133">
        <v>0.59387771088922048</v>
      </c>
      <c r="J257" s="133">
        <v>0.59387771088922048</v>
      </c>
      <c r="K257" s="133">
        <v>2.7261121879799319E-2</v>
      </c>
      <c r="L257" s="133">
        <v>6.190980709381237</v>
      </c>
      <c r="M257" s="45">
        <v>7472.8807708341947</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8.8821290430835396E-5</v>
      </c>
      <c r="G269" s="133">
        <v>2.162736198818497E-3</v>
      </c>
      <c r="H269" s="133">
        <v>1.3851276453530404E-3</v>
      </c>
      <c r="I269" s="133">
        <v>6.5234952100600772E-5</v>
      </c>
      <c r="J269" s="133">
        <v>6.5234952100600772E-5</v>
      </c>
      <c r="K269" s="133">
        <v>4.3640872140800153E-5</v>
      </c>
      <c r="L269" s="133">
        <v>1.3066483299541064E-4</v>
      </c>
      <c r="M269" s="45">
        <v>34.288305397135787</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1.2695876231935557</v>
      </c>
      <c r="G271" s="133">
        <v>0.97961048286066654</v>
      </c>
      <c r="H271" s="133">
        <v>1.2685062216953109</v>
      </c>
      <c r="I271" s="133">
        <v>0.35729444020809348</v>
      </c>
      <c r="J271" s="133">
        <v>0.35729444020809348</v>
      </c>
      <c r="K271" s="133">
        <v>2.6286426429571765E-2</v>
      </c>
      <c r="L271" s="133">
        <v>3.5537405225804028</v>
      </c>
      <c r="M271" s="45">
        <v>17992.085540832806</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2.9458959376262372E-2</v>
      </c>
      <c r="G273" s="133">
        <v>1.8803011508455342E-2</v>
      </c>
      <c r="H273" s="133">
        <v>2.8544119133679709E-2</v>
      </c>
      <c r="I273" s="133">
        <v>9.5098056755741761E-3</v>
      </c>
      <c r="J273" s="133">
        <v>9.5098056755741761E-3</v>
      </c>
      <c r="K273" s="133">
        <v>5.3586413000119182E-4</v>
      </c>
      <c r="L273" s="133">
        <v>0.10196686429417348</v>
      </c>
      <c r="M273" s="45">
        <v>361.1675515907736</v>
      </c>
    </row>
    <row r="274" spans="1:13" x14ac:dyDescent="0.25">
      <c r="A274" s="812" t="s">
        <v>1996</v>
      </c>
      <c r="B274" s="812">
        <v>15</v>
      </c>
      <c r="C274" s="608">
        <v>39484</v>
      </c>
      <c r="D274" s="812">
        <v>99705</v>
      </c>
      <c r="E274" s="812" t="s">
        <v>1599</v>
      </c>
      <c r="F274" s="133">
        <v>4.9809721265511397</v>
      </c>
      <c r="G274" s="133">
        <v>0.96629280865123979</v>
      </c>
      <c r="H274" s="133">
        <v>1.6255378531985947</v>
      </c>
      <c r="I274" s="133">
        <v>1.4852053181917635</v>
      </c>
      <c r="J274" s="133">
        <v>1.4852053181917635</v>
      </c>
      <c r="K274" s="133">
        <v>6.5678838568451067E-2</v>
      </c>
      <c r="L274" s="133">
        <v>16.179042605223831</v>
      </c>
      <c r="M274" s="45">
        <v>19679.018739897721</v>
      </c>
    </row>
    <row r="275" spans="1:13" x14ac:dyDescent="0.25">
      <c r="A275" s="812" t="s">
        <v>1996</v>
      </c>
      <c r="B275" s="812">
        <v>15</v>
      </c>
      <c r="C275" s="608">
        <v>39484</v>
      </c>
      <c r="D275" s="812">
        <v>99709</v>
      </c>
      <c r="E275" s="812" t="s">
        <v>1600</v>
      </c>
      <c r="F275" s="133">
        <v>4.3722130605587175</v>
      </c>
      <c r="G275" s="133">
        <v>1.0875970900950769</v>
      </c>
      <c r="H275" s="133">
        <v>1.7885787564189601</v>
      </c>
      <c r="I275" s="133">
        <v>1.1452837405526615</v>
      </c>
      <c r="J275" s="133">
        <v>1.1452837405526615</v>
      </c>
      <c r="K275" s="133">
        <v>5.4763309207172442E-2</v>
      </c>
      <c r="L275" s="133">
        <v>11.794685635183265</v>
      </c>
      <c r="M275" s="45">
        <v>22011.512888303936</v>
      </c>
    </row>
    <row r="276" spans="1:13" x14ac:dyDescent="0.25">
      <c r="A276" s="812" t="s">
        <v>1996</v>
      </c>
      <c r="B276" s="812">
        <v>15</v>
      </c>
      <c r="C276" s="608">
        <v>39484</v>
      </c>
      <c r="D276" s="812">
        <v>99712</v>
      </c>
      <c r="E276" s="812" t="s">
        <v>1601</v>
      </c>
      <c r="F276" s="133">
        <v>2.2728183903929557</v>
      </c>
      <c r="G276" s="133">
        <v>0.36376367907011942</v>
      </c>
      <c r="H276" s="133">
        <v>0.64746019281767075</v>
      </c>
      <c r="I276" s="133">
        <v>0.59855024527480605</v>
      </c>
      <c r="J276" s="133">
        <v>0.59855024527480605</v>
      </c>
      <c r="K276" s="133">
        <v>2.7495913279974655E-2</v>
      </c>
      <c r="L276" s="133">
        <v>6.2334156581920794</v>
      </c>
      <c r="M276" s="45">
        <v>7514.6950744049882</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8.8821290430835437E-5</v>
      </c>
      <c r="G288" s="133">
        <v>2.1627361988184979E-3</v>
      </c>
      <c r="H288" s="133">
        <v>1.3851276453530406E-3</v>
      </c>
      <c r="I288" s="133">
        <v>6.5234952100600772E-5</v>
      </c>
      <c r="J288" s="133">
        <v>6.5234952100600772E-5</v>
      </c>
      <c r="K288" s="133">
        <v>4.3640872140800167E-5</v>
      </c>
      <c r="L288" s="133">
        <v>1.3066483299541067E-4</v>
      </c>
      <c r="M288" s="45">
        <v>34.288305397135787</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1.2839925534367149</v>
      </c>
      <c r="G290" s="133">
        <v>0.98840835796740212</v>
      </c>
      <c r="H290" s="133">
        <v>1.2802239557276565</v>
      </c>
      <c r="I290" s="133">
        <v>0.36102218128082408</v>
      </c>
      <c r="J290" s="133">
        <v>0.36102218128082408</v>
      </c>
      <c r="K290" s="133">
        <v>2.6451777204846809E-2</v>
      </c>
      <c r="L290" s="133">
        <v>3.59040438363041</v>
      </c>
      <c r="M290" s="45">
        <v>18150.910297103281</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2.9726594195957617E-2</v>
      </c>
      <c r="G292" s="133">
        <v>1.8957243491486194E-2</v>
      </c>
      <c r="H292" s="133">
        <v>2.8770849252468818E-2</v>
      </c>
      <c r="I292" s="133">
        <v>9.5928094596377158E-3</v>
      </c>
      <c r="J292" s="133">
        <v>9.5928094596377158E-3</v>
      </c>
      <c r="K292" s="133">
        <v>5.3935267083880421E-4</v>
      </c>
      <c r="L292" s="133">
        <v>0.10286078392532889</v>
      </c>
      <c r="M292" s="45">
        <v>364.03233185949006</v>
      </c>
    </row>
    <row r="293" spans="1:13" x14ac:dyDescent="0.25">
      <c r="A293" s="812" t="s">
        <v>1996</v>
      </c>
      <c r="B293" s="812">
        <v>16</v>
      </c>
      <c r="C293" s="608">
        <v>39485</v>
      </c>
      <c r="D293" s="812">
        <v>99705</v>
      </c>
      <c r="E293" s="812" t="s">
        <v>1599</v>
      </c>
      <c r="F293" s="133">
        <v>5.0195926784065712</v>
      </c>
      <c r="G293" s="133">
        <v>0.97293794159415703</v>
      </c>
      <c r="H293" s="133">
        <v>1.6364419791416571</v>
      </c>
      <c r="I293" s="133">
        <v>1.4958179657685453</v>
      </c>
      <c r="J293" s="133">
        <v>1.4958179657685453</v>
      </c>
      <c r="K293" s="133">
        <v>6.6151302216734015E-2</v>
      </c>
      <c r="L293" s="133">
        <v>16.293616202720838</v>
      </c>
      <c r="M293" s="45">
        <v>19811.167396157969</v>
      </c>
    </row>
    <row r="294" spans="1:13" x14ac:dyDescent="0.25">
      <c r="A294" s="812" t="s">
        <v>1996</v>
      </c>
      <c r="B294" s="812">
        <v>16</v>
      </c>
      <c r="C294" s="608">
        <v>39485</v>
      </c>
      <c r="D294" s="812">
        <v>99709</v>
      </c>
      <c r="E294" s="812" t="s">
        <v>1600</v>
      </c>
      <c r="F294" s="133">
        <v>4.5476487006975317</v>
      </c>
      <c r="G294" s="133">
        <v>1.1135159831616566</v>
      </c>
      <c r="H294" s="133">
        <v>1.834334972860268</v>
      </c>
      <c r="I294" s="133">
        <v>1.1890465002296187</v>
      </c>
      <c r="J294" s="133">
        <v>1.1890465002296187</v>
      </c>
      <c r="K294" s="133">
        <v>5.6635452334797276E-2</v>
      </c>
      <c r="L294" s="133">
        <v>12.247087675118356</v>
      </c>
      <c r="M294" s="45">
        <v>22549.314123510088</v>
      </c>
    </row>
    <row r="295" spans="1:13" x14ac:dyDescent="0.25">
      <c r="A295" s="812" t="s">
        <v>1996</v>
      </c>
      <c r="B295" s="812">
        <v>16</v>
      </c>
      <c r="C295" s="608">
        <v>39485</v>
      </c>
      <c r="D295" s="812">
        <v>99712</v>
      </c>
      <c r="E295" s="812" t="s">
        <v>1601</v>
      </c>
      <c r="F295" s="133">
        <v>2.4304076762880698</v>
      </c>
      <c r="G295" s="133">
        <v>0.38318960867856455</v>
      </c>
      <c r="H295" s="133">
        <v>0.68301175264558178</v>
      </c>
      <c r="I295" s="133">
        <v>0.63747119827924104</v>
      </c>
      <c r="J295" s="133">
        <v>0.63747119827924104</v>
      </c>
      <c r="K295" s="133">
        <v>2.9279132033001809E-2</v>
      </c>
      <c r="L295" s="133">
        <v>6.6362940265474872</v>
      </c>
      <c r="M295" s="45">
        <v>7916.4975201029847</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8.9581611799826778E-5</v>
      </c>
      <c r="G307" s="133">
        <v>2.1819308476850397E-3</v>
      </c>
      <c r="H307" s="133">
        <v>1.3986952762674173E-3</v>
      </c>
      <c r="I307" s="133">
        <v>6.572185326730496E-5</v>
      </c>
      <c r="J307" s="133">
        <v>6.572185326730496E-5</v>
      </c>
      <c r="K307" s="133">
        <v>4.3666994388393837E-5</v>
      </c>
      <c r="L307" s="133">
        <v>1.3114240188975303E-4</v>
      </c>
      <c r="M307" s="45">
        <v>34.583689715804233</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1.2493013278677458</v>
      </c>
      <c r="G309" s="133">
        <v>0.96394492881643923</v>
      </c>
      <c r="H309" s="133">
        <v>1.2494166570708425</v>
      </c>
      <c r="I309" s="133">
        <v>0.35179096602649373</v>
      </c>
      <c r="J309" s="133">
        <v>0.35179096602649373</v>
      </c>
      <c r="K309" s="133">
        <v>2.60466652872712E-2</v>
      </c>
      <c r="L309" s="133">
        <v>3.4994040848183232</v>
      </c>
      <c r="M309" s="45">
        <v>17717.996520404602</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2.9049199615539253E-2</v>
      </c>
      <c r="G311" s="133">
        <v>1.8532596658664809E-2</v>
      </c>
      <c r="H311" s="133">
        <v>2.8172155931985909E-2</v>
      </c>
      <c r="I311" s="133">
        <v>9.3817310582113775E-3</v>
      </c>
      <c r="J311" s="133">
        <v>9.3817310582113775E-3</v>
      </c>
      <c r="K311" s="133">
        <v>5.3047318530942227E-4</v>
      </c>
      <c r="L311" s="133">
        <v>0.10059707504557354</v>
      </c>
      <c r="M311" s="45">
        <v>356.27997155934543</v>
      </c>
    </row>
    <row r="312" spans="1:13" x14ac:dyDescent="0.25">
      <c r="A312" s="812" t="s">
        <v>1996</v>
      </c>
      <c r="B312" s="812">
        <v>17</v>
      </c>
      <c r="C312" s="608">
        <v>39486</v>
      </c>
      <c r="D312" s="812">
        <v>99705</v>
      </c>
      <c r="E312" s="812" t="s">
        <v>1599</v>
      </c>
      <c r="F312" s="133">
        <v>4.8883327842282283</v>
      </c>
      <c r="G312" s="133">
        <v>0.94936476248908686</v>
      </c>
      <c r="H312" s="133">
        <v>1.5972995841391997</v>
      </c>
      <c r="I312" s="133">
        <v>1.4578302151820832</v>
      </c>
      <c r="J312" s="133">
        <v>1.4578302151820832</v>
      </c>
      <c r="K312" s="133">
        <v>6.4486231462497628E-2</v>
      </c>
      <c r="L312" s="133">
        <v>15.874704605965423</v>
      </c>
      <c r="M312" s="45">
        <v>19339.305911269726</v>
      </c>
    </row>
    <row r="313" spans="1:13" x14ac:dyDescent="0.25">
      <c r="A313" s="812" t="s">
        <v>1996</v>
      </c>
      <c r="B313" s="812">
        <v>17</v>
      </c>
      <c r="C313" s="608">
        <v>39486</v>
      </c>
      <c r="D313" s="812">
        <v>99709</v>
      </c>
      <c r="E313" s="812" t="s">
        <v>1600</v>
      </c>
      <c r="F313" s="133">
        <v>4.3954027841326528</v>
      </c>
      <c r="G313" s="133">
        <v>1.0835898068839693</v>
      </c>
      <c r="H313" s="133">
        <v>1.7849782839841386</v>
      </c>
      <c r="I313" s="133">
        <v>1.1523209372980028</v>
      </c>
      <c r="J313" s="133">
        <v>1.1523209372980028</v>
      </c>
      <c r="K313" s="133">
        <v>5.5029379114355945E-2</v>
      </c>
      <c r="L313" s="133">
        <v>11.877032584359736</v>
      </c>
      <c r="M313" s="45">
        <v>21951.025905890758</v>
      </c>
    </row>
    <row r="314" spans="1:13" x14ac:dyDescent="0.25">
      <c r="A314" s="812" t="s">
        <v>1996</v>
      </c>
      <c r="B314" s="812">
        <v>17</v>
      </c>
      <c r="C314" s="608">
        <v>39486</v>
      </c>
      <c r="D314" s="812">
        <v>99712</v>
      </c>
      <c r="E314" s="812" t="s">
        <v>1601</v>
      </c>
      <c r="F314" s="133">
        <v>2.3598556672717832</v>
      </c>
      <c r="G314" s="133">
        <v>0.37427135489423041</v>
      </c>
      <c r="H314" s="133">
        <v>0.66731109333931116</v>
      </c>
      <c r="I314" s="133">
        <v>0.62074163242004221</v>
      </c>
      <c r="J314" s="133">
        <v>0.62074163242004221</v>
      </c>
      <c r="K314" s="133">
        <v>2.8500879415534433E-2</v>
      </c>
      <c r="L314" s="133">
        <v>6.4668788640953272</v>
      </c>
      <c r="M314" s="45">
        <v>7735.3993883339408</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8.7300647692852714E-5</v>
      </c>
      <c r="G326" s="133">
        <v>2.1243469010854134E-3</v>
      </c>
      <c r="H326" s="133">
        <v>1.3579923835242867E-3</v>
      </c>
      <c r="I326" s="133">
        <v>6.4261149767192395E-5</v>
      </c>
      <c r="J326" s="133">
        <v>6.4261149767192395E-5</v>
      </c>
      <c r="K326" s="133">
        <v>4.3588627645612794E-5</v>
      </c>
      <c r="L326" s="133">
        <v>1.2970969520672591E-4</v>
      </c>
      <c r="M326" s="45">
        <v>33.697536759798886</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1.0645679728122011</v>
      </c>
      <c r="G328" s="133">
        <v>0.89049004096771012</v>
      </c>
      <c r="H328" s="133">
        <v>1.1325408974654416</v>
      </c>
      <c r="I328" s="133">
        <v>0.30816565091858839</v>
      </c>
      <c r="J328" s="133">
        <v>0.30816565091858839</v>
      </c>
      <c r="K328" s="133">
        <v>2.4073840260168924E-2</v>
      </c>
      <c r="L328" s="133">
        <v>3.0826257987584182</v>
      </c>
      <c r="M328" s="45">
        <v>16298.415351355576</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2.5035274094355252E-2</v>
      </c>
      <c r="G330" s="133">
        <v>1.6924077652673678E-2</v>
      </c>
      <c r="H330" s="133">
        <v>2.5308062948550526E-2</v>
      </c>
      <c r="I330" s="133">
        <v>8.2501114202822804E-3</v>
      </c>
      <c r="J330" s="133">
        <v>8.2501114202822804E-3</v>
      </c>
      <c r="K330" s="133">
        <v>4.8277198695939496E-4</v>
      </c>
      <c r="L330" s="133">
        <v>8.8795673059132232E-2</v>
      </c>
      <c r="M330" s="45">
        <v>323.81358676881899</v>
      </c>
    </row>
    <row r="331" spans="1:13" x14ac:dyDescent="0.25">
      <c r="A331" s="812" t="s">
        <v>1996</v>
      </c>
      <c r="B331" s="812">
        <v>18</v>
      </c>
      <c r="C331" s="608">
        <v>39487</v>
      </c>
      <c r="D331" s="812">
        <v>99705</v>
      </c>
      <c r="E331" s="812" t="s">
        <v>1599</v>
      </c>
      <c r="F331" s="133">
        <v>4.0120285741774246</v>
      </c>
      <c r="G331" s="133">
        <v>0.81756783620560458</v>
      </c>
      <c r="H331" s="133">
        <v>1.3639905080588444</v>
      </c>
      <c r="I331" s="133">
        <v>1.2185523436839549</v>
      </c>
      <c r="J331" s="133">
        <v>1.2185523436839549</v>
      </c>
      <c r="K331" s="133">
        <v>5.4071039416855628E-2</v>
      </c>
      <c r="L331" s="133">
        <v>13.330804937103469</v>
      </c>
      <c r="M331" s="45">
        <v>16626.230540128505</v>
      </c>
    </row>
    <row r="332" spans="1:13" x14ac:dyDescent="0.25">
      <c r="A332" s="812" t="s">
        <v>1996</v>
      </c>
      <c r="B332" s="812">
        <v>18</v>
      </c>
      <c r="C332" s="608">
        <v>39487</v>
      </c>
      <c r="D332" s="812">
        <v>99709</v>
      </c>
      <c r="E332" s="812" t="s">
        <v>1600</v>
      </c>
      <c r="F332" s="133">
        <v>3.5567284525956939</v>
      </c>
      <c r="G332" s="133">
        <v>0.95974516010518685</v>
      </c>
      <c r="H332" s="133">
        <v>1.5609718682325882</v>
      </c>
      <c r="I332" s="133">
        <v>0.95982765005868997</v>
      </c>
      <c r="J332" s="133">
        <v>0.95982765005868997</v>
      </c>
      <c r="K332" s="133">
        <v>4.6490011859037873E-2</v>
      </c>
      <c r="L332" s="133">
        <v>9.9902324623264711</v>
      </c>
      <c r="M332" s="45">
        <v>19379.089148870004</v>
      </c>
    </row>
    <row r="333" spans="1:13" x14ac:dyDescent="0.25">
      <c r="A333" s="812" t="s">
        <v>1996</v>
      </c>
      <c r="B333" s="812">
        <v>18</v>
      </c>
      <c r="C333" s="608">
        <v>39487</v>
      </c>
      <c r="D333" s="812">
        <v>99712</v>
      </c>
      <c r="E333" s="812" t="s">
        <v>1601</v>
      </c>
      <c r="F333" s="133">
        <v>1.8346100758907458</v>
      </c>
      <c r="G333" s="133">
        <v>0.31438803415786798</v>
      </c>
      <c r="H333" s="133">
        <v>0.55807878803585242</v>
      </c>
      <c r="I333" s="133">
        <v>0.4982135803127053</v>
      </c>
      <c r="J333" s="133">
        <v>0.4982135803127053</v>
      </c>
      <c r="K333" s="133">
        <v>2.2847622803219933E-2</v>
      </c>
      <c r="L333" s="133">
        <v>5.2473958271111645</v>
      </c>
      <c r="M333" s="45">
        <v>6499.6202029550113</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8.2738719478904629E-5</v>
      </c>
      <c r="G345" s="133">
        <v>2.0091790078861633E-3</v>
      </c>
      <c r="H345" s="133">
        <v>1.2765865980380253E-3</v>
      </c>
      <c r="I345" s="133">
        <v>6.1339742766967253E-5</v>
      </c>
      <c r="J345" s="133">
        <v>6.1339742766967253E-5</v>
      </c>
      <c r="K345" s="133">
        <v>4.3431894160050742E-5</v>
      </c>
      <c r="L345" s="133">
        <v>1.2684428184067182E-4</v>
      </c>
      <c r="M345" s="45">
        <v>31.925230847788185</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1.1297501451134553</v>
      </c>
      <c r="G347" s="133">
        <v>0.91216242102256151</v>
      </c>
      <c r="H347" s="133">
        <v>1.1729080261433145</v>
      </c>
      <c r="I347" s="133">
        <v>0.32456964100774299</v>
      </c>
      <c r="J347" s="133">
        <v>0.32456964100774299</v>
      </c>
      <c r="K347" s="133">
        <v>2.4802360499192679E-2</v>
      </c>
      <c r="L347" s="133">
        <v>3.2479597150031965</v>
      </c>
      <c r="M347" s="45">
        <v>16747.255587658019</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2.6657849028478224E-2</v>
      </c>
      <c r="G349" s="133">
        <v>1.7503585011740312E-2</v>
      </c>
      <c r="H349" s="133">
        <v>2.6449282654153021E-2</v>
      </c>
      <c r="I349" s="133">
        <v>8.7452943550696393E-3</v>
      </c>
      <c r="J349" s="133">
        <v>8.7452943550696393E-3</v>
      </c>
      <c r="K349" s="133">
        <v>5.03287392750828E-4</v>
      </c>
      <c r="L349" s="133">
        <v>9.4235341749218424E-2</v>
      </c>
      <c r="M349" s="45">
        <v>336.1145120941855</v>
      </c>
    </row>
    <row r="350" spans="1:13" x14ac:dyDescent="0.25">
      <c r="A350" s="812" t="s">
        <v>1996</v>
      </c>
      <c r="B350" s="812">
        <v>19</v>
      </c>
      <c r="C350" s="608">
        <v>39488</v>
      </c>
      <c r="D350" s="812">
        <v>99705</v>
      </c>
      <c r="E350" s="812" t="s">
        <v>1599</v>
      </c>
      <c r="F350" s="133">
        <v>4.3317521150120655</v>
      </c>
      <c r="G350" s="133">
        <v>0.86669327176440636</v>
      </c>
      <c r="H350" s="133">
        <v>1.4517545489671559</v>
      </c>
      <c r="I350" s="133">
        <v>1.3098106504965417</v>
      </c>
      <c r="J350" s="133">
        <v>1.3098106504965417</v>
      </c>
      <c r="K350" s="133">
        <v>5.8030431985345736E-2</v>
      </c>
      <c r="L350" s="133">
        <v>14.33307431111535</v>
      </c>
      <c r="M350" s="45">
        <v>17643.165318851683</v>
      </c>
    </row>
    <row r="351" spans="1:13" x14ac:dyDescent="0.25">
      <c r="A351" s="812" t="s">
        <v>1996</v>
      </c>
      <c r="B351" s="812">
        <v>19</v>
      </c>
      <c r="C351" s="608">
        <v>39488</v>
      </c>
      <c r="D351" s="812">
        <v>99709</v>
      </c>
      <c r="E351" s="812" t="s">
        <v>1600</v>
      </c>
      <c r="F351" s="133">
        <v>3.8764730157329201</v>
      </c>
      <c r="G351" s="133">
        <v>1.0064729982261653</v>
      </c>
      <c r="H351" s="133">
        <v>1.6485480244933957</v>
      </c>
      <c r="I351" s="133">
        <v>1.0375318207579676</v>
      </c>
      <c r="J351" s="133">
        <v>1.0375318207579676</v>
      </c>
      <c r="K351" s="133">
        <v>4.9884332918477887E-2</v>
      </c>
      <c r="L351" s="133">
        <v>10.782537372161647</v>
      </c>
      <c r="M351" s="45">
        <v>20367.743722543302</v>
      </c>
    </row>
    <row r="352" spans="1:13" x14ac:dyDescent="0.25">
      <c r="A352" s="812" t="s">
        <v>1996</v>
      </c>
      <c r="B352" s="812">
        <v>19</v>
      </c>
      <c r="C352" s="608">
        <v>39488</v>
      </c>
      <c r="D352" s="812">
        <v>99712</v>
      </c>
      <c r="E352" s="812" t="s">
        <v>1601</v>
      </c>
      <c r="F352" s="133">
        <v>2.0244290598450876</v>
      </c>
      <c r="G352" s="133">
        <v>0.3366008468751932</v>
      </c>
      <c r="H352" s="133">
        <v>0.59893497878187574</v>
      </c>
      <c r="I352" s="133">
        <v>0.5436113486926285</v>
      </c>
      <c r="J352" s="133">
        <v>0.5436113486926285</v>
      </c>
      <c r="K352" s="133">
        <v>2.4954597281570415E-2</v>
      </c>
      <c r="L352" s="133">
        <v>5.7100110053205269</v>
      </c>
      <c r="M352" s="45">
        <v>6958.827333092725</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8.3499040847895956E-5</v>
      </c>
      <c r="G364" s="133">
        <v>2.0283736567527043E-3</v>
      </c>
      <c r="H364" s="133">
        <v>1.2901542289524017E-3</v>
      </c>
      <c r="I364" s="133">
        <v>6.1826643933671427E-5</v>
      </c>
      <c r="J364" s="133">
        <v>6.1826643933671427E-5</v>
      </c>
      <c r="K364" s="133">
        <v>4.3458016407644398E-5</v>
      </c>
      <c r="L364" s="133">
        <v>1.2732185073501413E-4</v>
      </c>
      <c r="M364" s="45">
        <v>32.220615166456632</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0.76591643316119273</v>
      </c>
      <c r="G366" s="133">
        <v>0.70045340826788993</v>
      </c>
      <c r="H366" s="133">
        <v>0.84738455142554769</v>
      </c>
      <c r="I366" s="133">
        <v>0.23051925714461013</v>
      </c>
      <c r="J366" s="133">
        <v>0.23051925714461013</v>
      </c>
      <c r="K366" s="133">
        <v>2.9376226486901212E-2</v>
      </c>
      <c r="L366" s="133">
        <v>2.3045751611087053</v>
      </c>
      <c r="M366" s="45">
        <v>13096.280021724424</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1.8605814187455296E-2</v>
      </c>
      <c r="G368" s="133">
        <v>1.3220771002522596E-2</v>
      </c>
      <c r="H368" s="133">
        <v>1.9213328887397726E-2</v>
      </c>
      <c r="I368" s="133">
        <v>6.2601014968343008E-3</v>
      </c>
      <c r="J368" s="133">
        <v>6.2601014968343008E-3</v>
      </c>
      <c r="K368" s="133">
        <v>5.1394916276150348E-4</v>
      </c>
      <c r="L368" s="133">
        <v>6.7220401968478574E-2</v>
      </c>
      <c r="M368" s="45">
        <v>256.93215334824771</v>
      </c>
    </row>
    <row r="369" spans="1:13" x14ac:dyDescent="0.25">
      <c r="A369" s="812" t="s">
        <v>1999</v>
      </c>
      <c r="B369" s="812">
        <v>1</v>
      </c>
      <c r="C369" s="608">
        <v>39754</v>
      </c>
      <c r="D369" s="812">
        <v>99705</v>
      </c>
      <c r="E369" s="812" t="s">
        <v>1599</v>
      </c>
      <c r="F369" s="133">
        <v>3.1933867409058116</v>
      </c>
      <c r="G369" s="133">
        <v>0.66509447418305701</v>
      </c>
      <c r="H369" s="133">
        <v>1.1053720606604547</v>
      </c>
      <c r="I369" s="133">
        <v>0.98035681334686153</v>
      </c>
      <c r="J369" s="133">
        <v>0.98035681334686153</v>
      </c>
      <c r="K369" s="133">
        <v>4.55905232707811E-2</v>
      </c>
      <c r="L369" s="133">
        <v>10.694995498889892</v>
      </c>
      <c r="M369" s="45">
        <v>13607.761258835959</v>
      </c>
    </row>
    <row r="370" spans="1:13" x14ac:dyDescent="0.25">
      <c r="A370" s="812" t="s">
        <v>1999</v>
      </c>
      <c r="B370" s="812">
        <v>1</v>
      </c>
      <c r="C370" s="608">
        <v>39754</v>
      </c>
      <c r="D370" s="812">
        <v>99709</v>
      </c>
      <c r="E370" s="812" t="s">
        <v>1600</v>
      </c>
      <c r="F370" s="133">
        <v>2.6131697190281291</v>
      </c>
      <c r="G370" s="133">
        <v>0.75827864186721983</v>
      </c>
      <c r="H370" s="133">
        <v>1.2150494150030862</v>
      </c>
      <c r="I370" s="133">
        <v>0.72618983844713614</v>
      </c>
      <c r="J370" s="133">
        <v>0.72618983844713614</v>
      </c>
      <c r="K370" s="133">
        <v>4.0859484018295908E-2</v>
      </c>
      <c r="L370" s="133">
        <v>7.5984603806788851</v>
      </c>
      <c r="M370" s="45">
        <v>15470.211800940375</v>
      </c>
    </row>
    <row r="371" spans="1:13" x14ac:dyDescent="0.25">
      <c r="A371" s="812" t="s">
        <v>1999</v>
      </c>
      <c r="B371" s="812">
        <v>1</v>
      </c>
      <c r="C371" s="608">
        <v>39754</v>
      </c>
      <c r="D371" s="812">
        <v>99712</v>
      </c>
      <c r="E371" s="812" t="s">
        <v>1601</v>
      </c>
      <c r="F371" s="133">
        <v>1.4629954561874714</v>
      </c>
      <c r="G371" s="133">
        <v>0.26206407639644042</v>
      </c>
      <c r="H371" s="133">
        <v>0.46594085808702668</v>
      </c>
      <c r="I371" s="133">
        <v>0.40547988936403079</v>
      </c>
      <c r="J371" s="133">
        <v>0.40547988936403079</v>
      </c>
      <c r="K371" s="133">
        <v>1.9034237272027653E-2</v>
      </c>
      <c r="L371" s="133">
        <v>4.2826054044195843</v>
      </c>
      <c r="M371" s="45">
        <v>5446.538627631885</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6.9454417866191115E-5</v>
      </c>
      <c r="G383" s="133">
        <v>1.6065275320176714E-3</v>
      </c>
      <c r="H383" s="133">
        <v>8.7059679854748179E-4</v>
      </c>
      <c r="I383" s="133">
        <v>5.9894995015551662E-5</v>
      </c>
      <c r="J383" s="133">
        <v>5.9894995015551662E-5</v>
      </c>
      <c r="K383" s="133">
        <v>7.7285824757793558E-5</v>
      </c>
      <c r="L383" s="133">
        <v>1.8179241106150733E-4</v>
      </c>
      <c r="M383" s="45">
        <v>26.579417487328325</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0.72054250341062809</v>
      </c>
      <c r="G385" s="133">
        <v>0.65261952625154429</v>
      </c>
      <c r="H385" s="133">
        <v>0.78899401854481976</v>
      </c>
      <c r="I385" s="133">
        <v>0.21414626318059735</v>
      </c>
      <c r="J385" s="133">
        <v>0.21414626318059735</v>
      </c>
      <c r="K385" s="133">
        <v>2.8709493062542377E-2</v>
      </c>
      <c r="L385" s="133">
        <v>2.1218073384525726</v>
      </c>
      <c r="M385" s="45">
        <v>12256.897923760511</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1.7364738523682574E-2</v>
      </c>
      <c r="G387" s="133">
        <v>1.2287927479735153E-2</v>
      </c>
      <c r="H387" s="133">
        <v>1.786054819370304E-2</v>
      </c>
      <c r="I387" s="133">
        <v>5.7641697286511893E-3</v>
      </c>
      <c r="J387" s="133">
        <v>5.7641697286511893E-3</v>
      </c>
      <c r="K387" s="133">
        <v>4.9443867536395816E-4</v>
      </c>
      <c r="L387" s="133">
        <v>6.1315080203913679E-2</v>
      </c>
      <c r="M387" s="45">
        <v>239.62454656978863</v>
      </c>
    </row>
    <row r="388" spans="1:13" x14ac:dyDescent="0.25">
      <c r="A388" s="812" t="s">
        <v>1999</v>
      </c>
      <c r="B388" s="812">
        <v>2</v>
      </c>
      <c r="C388" s="608">
        <v>39755</v>
      </c>
      <c r="D388" s="812">
        <v>99705</v>
      </c>
      <c r="E388" s="812" t="s">
        <v>1599</v>
      </c>
      <c r="F388" s="133">
        <v>3.0584400785713588</v>
      </c>
      <c r="G388" s="133">
        <v>0.62531974570982474</v>
      </c>
      <c r="H388" s="133">
        <v>1.0427055353241668</v>
      </c>
      <c r="I388" s="133">
        <v>0.92327483202891902</v>
      </c>
      <c r="J388" s="133">
        <v>0.92327483202891902</v>
      </c>
      <c r="K388" s="133">
        <v>4.3169557256077455E-2</v>
      </c>
      <c r="L388" s="133">
        <v>9.9527294833875839</v>
      </c>
      <c r="M388" s="45">
        <v>12824.142287506624</v>
      </c>
    </row>
    <row r="389" spans="1:13" x14ac:dyDescent="0.25">
      <c r="A389" s="812" t="s">
        <v>1999</v>
      </c>
      <c r="B389" s="812">
        <v>2</v>
      </c>
      <c r="C389" s="608">
        <v>39755</v>
      </c>
      <c r="D389" s="812">
        <v>99709</v>
      </c>
      <c r="E389" s="812" t="s">
        <v>1600</v>
      </c>
      <c r="F389" s="133">
        <v>2.5948996654030778</v>
      </c>
      <c r="G389" s="133">
        <v>0.72455004116602129</v>
      </c>
      <c r="H389" s="133">
        <v>1.1692770198626785</v>
      </c>
      <c r="I389" s="133">
        <v>0.70598918732268523</v>
      </c>
      <c r="J389" s="133">
        <v>0.70598918732268523</v>
      </c>
      <c r="K389" s="133">
        <v>4.0152918323515495E-2</v>
      </c>
      <c r="L389" s="133">
        <v>7.3039610742627312</v>
      </c>
      <c r="M389" s="45">
        <v>14839.952557631659</v>
      </c>
    </row>
    <row r="390" spans="1:13" x14ac:dyDescent="0.25">
      <c r="A390" s="812" t="s">
        <v>1999</v>
      </c>
      <c r="B390" s="812">
        <v>2</v>
      </c>
      <c r="C390" s="608">
        <v>39755</v>
      </c>
      <c r="D390" s="812">
        <v>99712</v>
      </c>
      <c r="E390" s="812" t="s">
        <v>1601</v>
      </c>
      <c r="F390" s="133">
        <v>1.4750078607717398</v>
      </c>
      <c r="G390" s="133">
        <v>0.25519674258579028</v>
      </c>
      <c r="H390" s="133">
        <v>0.45540625010674235</v>
      </c>
      <c r="I390" s="133">
        <v>0.40017256123777195</v>
      </c>
      <c r="J390" s="133">
        <v>0.40017256123777195</v>
      </c>
      <c r="K390" s="133">
        <v>1.8850328941576518E-2</v>
      </c>
      <c r="L390" s="133">
        <v>4.1744186814543482</v>
      </c>
      <c r="M390" s="45">
        <v>5312.022457283043</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6.4892489652242975E-5</v>
      </c>
      <c r="G402" s="133">
        <v>1.4913596388184199E-3</v>
      </c>
      <c r="H402" s="133">
        <v>7.8919101306121927E-4</v>
      </c>
      <c r="I402" s="133">
        <v>5.6973588015326478E-5</v>
      </c>
      <c r="J402" s="133">
        <v>5.6973588015326478E-5</v>
      </c>
      <c r="K402" s="133">
        <v>7.7129091272231458E-5</v>
      </c>
      <c r="L402" s="133">
        <v>1.789269976954531E-4</v>
      </c>
      <c r="M402" s="45">
        <v>24.80711157531762</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0.67566040980638054</v>
      </c>
      <c r="G404" s="133">
        <v>0.64610546163762506</v>
      </c>
      <c r="H404" s="133">
        <v>0.76675613397910913</v>
      </c>
      <c r="I404" s="133">
        <v>0.20277339767818214</v>
      </c>
      <c r="J404" s="133">
        <v>0.20277339767818214</v>
      </c>
      <c r="K404" s="133">
        <v>2.8210569558173575E-2</v>
      </c>
      <c r="L404" s="133">
        <v>2.0037221577250532</v>
      </c>
      <c r="M404" s="45">
        <v>12071.217363684467</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1.6393603954030396E-2</v>
      </c>
      <c r="G406" s="133">
        <v>1.2054808789183226E-2</v>
      </c>
      <c r="H406" s="133">
        <v>1.7254912052787785E-2</v>
      </c>
      <c r="I406" s="133">
        <v>5.4703952301908502E-3</v>
      </c>
      <c r="J406" s="133">
        <v>5.4703952301908502E-3</v>
      </c>
      <c r="K406" s="133">
        <v>4.8236765597901979E-4</v>
      </c>
      <c r="L406" s="133">
        <v>5.8053308382029128E-2</v>
      </c>
      <c r="M406" s="45">
        <v>233.90114094854147</v>
      </c>
    </row>
    <row r="407" spans="1:13" x14ac:dyDescent="0.25">
      <c r="A407" s="812" t="s">
        <v>1999</v>
      </c>
      <c r="B407" s="812">
        <v>3</v>
      </c>
      <c r="C407" s="608">
        <v>39756</v>
      </c>
      <c r="D407" s="812">
        <v>99705</v>
      </c>
      <c r="E407" s="812" t="s">
        <v>1599</v>
      </c>
      <c r="F407" s="133">
        <v>2.846691499596893</v>
      </c>
      <c r="G407" s="133">
        <v>0.59365718665283029</v>
      </c>
      <c r="H407" s="133">
        <v>0.98421698411061986</v>
      </c>
      <c r="I407" s="133">
        <v>0.86158677148317697</v>
      </c>
      <c r="J407" s="133">
        <v>0.86158677148317697</v>
      </c>
      <c r="K407" s="133">
        <v>4.0497110641213224E-2</v>
      </c>
      <c r="L407" s="133">
        <v>9.2689629274300156</v>
      </c>
      <c r="M407" s="45">
        <v>12160.516816711423</v>
      </c>
    </row>
    <row r="408" spans="1:13" x14ac:dyDescent="0.25">
      <c r="A408" s="812" t="s">
        <v>1999</v>
      </c>
      <c r="B408" s="812">
        <v>3</v>
      </c>
      <c r="C408" s="608">
        <v>39756</v>
      </c>
      <c r="D408" s="812">
        <v>99709</v>
      </c>
      <c r="E408" s="812" t="s">
        <v>1600</v>
      </c>
      <c r="F408" s="133">
        <v>2.4765091346730022</v>
      </c>
      <c r="G408" s="133">
        <v>0.70878928186693124</v>
      </c>
      <c r="H408" s="133">
        <v>1.1340728895120864</v>
      </c>
      <c r="I408" s="133">
        <v>0.67723026406077136</v>
      </c>
      <c r="J408" s="133">
        <v>0.67723026406077136</v>
      </c>
      <c r="K408" s="133">
        <v>3.8895735268341912E-2</v>
      </c>
      <c r="L408" s="133">
        <v>7.0106447275882617</v>
      </c>
      <c r="M408" s="45">
        <v>14479.768555373645</v>
      </c>
    </row>
    <row r="409" spans="1:13" x14ac:dyDescent="0.25">
      <c r="A409" s="812" t="s">
        <v>1999</v>
      </c>
      <c r="B409" s="812">
        <v>3</v>
      </c>
      <c r="C409" s="608">
        <v>39756</v>
      </c>
      <c r="D409" s="812">
        <v>99712</v>
      </c>
      <c r="E409" s="812" t="s">
        <v>1601</v>
      </c>
      <c r="F409" s="133">
        <v>1.4165403441916635</v>
      </c>
      <c r="G409" s="133">
        <v>0.2484937152032802</v>
      </c>
      <c r="H409" s="133">
        <v>0.44258815374813926</v>
      </c>
      <c r="I409" s="133">
        <v>0.38611278183444808</v>
      </c>
      <c r="J409" s="133">
        <v>0.38611278183444808</v>
      </c>
      <c r="K409" s="133">
        <v>1.8201717021837271E-2</v>
      </c>
      <c r="L409" s="133">
        <v>4.0308165612046087</v>
      </c>
      <c r="M409" s="45">
        <v>5171.1613872166654</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6.5652811021234356E-5</v>
      </c>
      <c r="G421" s="133">
        <v>1.510554287684963E-3</v>
      </c>
      <c r="H421" s="133">
        <v>8.0275864397559669E-4</v>
      </c>
      <c r="I421" s="133">
        <v>5.7460489182030694E-5</v>
      </c>
      <c r="J421" s="133">
        <v>5.7460489182030694E-5</v>
      </c>
      <c r="K421" s="133">
        <v>7.7155213519825168E-5</v>
      </c>
      <c r="L421" s="133">
        <v>1.7940456658979554E-4</v>
      </c>
      <c r="M421" s="45">
        <v>25.102495893986074</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0.73975670520173686</v>
      </c>
      <c r="G423" s="133">
        <v>0.69866156134644775</v>
      </c>
      <c r="H423" s="133">
        <v>0.82859821889421836</v>
      </c>
      <c r="I423" s="133">
        <v>0.21993925157311064</v>
      </c>
      <c r="J423" s="133">
        <v>0.21993925157311064</v>
      </c>
      <c r="K423" s="133">
        <v>2.8964564322489516E-2</v>
      </c>
      <c r="L423" s="133">
        <v>2.1708806771128453</v>
      </c>
      <c r="M423" s="45">
        <v>12979.230009337307</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1.7839540550068859E-2</v>
      </c>
      <c r="G425" s="133">
        <v>1.3024419093160749E-2</v>
      </c>
      <c r="H425" s="133">
        <v>1.8610902263013641E-2</v>
      </c>
      <c r="I425" s="133">
        <v>5.9261464851377453E-3</v>
      </c>
      <c r="J425" s="133">
        <v>5.9261464851377453E-3</v>
      </c>
      <c r="K425" s="133">
        <v>5.0123037545156239E-4</v>
      </c>
      <c r="L425" s="133">
        <v>6.2935559058525561E-2</v>
      </c>
      <c r="M425" s="45">
        <v>251.5483130642875</v>
      </c>
    </row>
    <row r="426" spans="1:13" x14ac:dyDescent="0.25">
      <c r="A426" s="812" t="s">
        <v>1999</v>
      </c>
      <c r="B426" s="812">
        <v>4</v>
      </c>
      <c r="C426" s="608">
        <v>39757</v>
      </c>
      <c r="D426" s="812">
        <v>99705</v>
      </c>
      <c r="E426" s="812" t="s">
        <v>1599</v>
      </c>
      <c r="F426" s="133">
        <v>3.139861431118931</v>
      </c>
      <c r="G426" s="133">
        <v>0.64711741136344014</v>
      </c>
      <c r="H426" s="133">
        <v>1.0720373951198023</v>
      </c>
      <c r="I426" s="133">
        <v>0.94784508625591835</v>
      </c>
      <c r="J426" s="133">
        <v>0.94784508625591835</v>
      </c>
      <c r="K426" s="133">
        <v>4.4207228513912594E-2</v>
      </c>
      <c r="L426" s="133">
        <v>10.225294582605473</v>
      </c>
      <c r="M426" s="45">
        <v>13229.666684293266</v>
      </c>
    </row>
    <row r="427" spans="1:13" x14ac:dyDescent="0.25">
      <c r="A427" s="812" t="s">
        <v>1999</v>
      </c>
      <c r="B427" s="812">
        <v>4</v>
      </c>
      <c r="C427" s="608">
        <v>39757</v>
      </c>
      <c r="D427" s="812">
        <v>99709</v>
      </c>
      <c r="E427" s="812" t="s">
        <v>1600</v>
      </c>
      <c r="F427" s="133">
        <v>2.48871813573454</v>
      </c>
      <c r="G427" s="133">
        <v>0.73367338127765969</v>
      </c>
      <c r="H427" s="133">
        <v>1.1635443999480699</v>
      </c>
      <c r="I427" s="133">
        <v>0.67954141707840154</v>
      </c>
      <c r="J427" s="133">
        <v>0.67954141707840154</v>
      </c>
      <c r="K427" s="133">
        <v>3.9035198381037042E-2</v>
      </c>
      <c r="L427" s="133">
        <v>7.0218572198411398</v>
      </c>
      <c r="M427" s="45">
        <v>14913.209033131658</v>
      </c>
    </row>
    <row r="428" spans="1:13" x14ac:dyDescent="0.25">
      <c r="A428" s="812" t="s">
        <v>1999</v>
      </c>
      <c r="B428" s="812">
        <v>4</v>
      </c>
      <c r="C428" s="608">
        <v>39757</v>
      </c>
      <c r="D428" s="812">
        <v>99712</v>
      </c>
      <c r="E428" s="812" t="s">
        <v>1601</v>
      </c>
      <c r="F428" s="133">
        <v>1.2874833685403748</v>
      </c>
      <c r="G428" s="133">
        <v>0.23353456336026582</v>
      </c>
      <c r="H428" s="133">
        <v>0.41322502803731836</v>
      </c>
      <c r="I428" s="133">
        <v>0.35254170212259089</v>
      </c>
      <c r="J428" s="133">
        <v>0.35254170212259089</v>
      </c>
      <c r="K428" s="133">
        <v>1.6694084771190325E-2</v>
      </c>
      <c r="L428" s="133">
        <v>3.6740588523044333</v>
      </c>
      <c r="M428" s="45">
        <v>4851.7023135306772</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7.0975060604173837E-5</v>
      </c>
      <c r="G440" s="133">
        <v>1.6449168297507557E-3</v>
      </c>
      <c r="H440" s="133">
        <v>8.9773206037623563E-4</v>
      </c>
      <c r="I440" s="133">
        <v>6.0868797348960031E-5</v>
      </c>
      <c r="J440" s="133">
        <v>6.0868797348960031E-5</v>
      </c>
      <c r="K440" s="133">
        <v>7.733806925298091E-5</v>
      </c>
      <c r="L440" s="133">
        <v>1.8274754885019205E-4</v>
      </c>
      <c r="M440" s="45">
        <v>27.170186124665229</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0.75656786612310511</v>
      </c>
      <c r="G442" s="133">
        <v>0.70329892451650733</v>
      </c>
      <c r="H442" s="133">
        <v>0.838814899549295</v>
      </c>
      <c r="I442" s="133">
        <v>0.22444333979214792</v>
      </c>
      <c r="J442" s="133">
        <v>0.22444333979214792</v>
      </c>
      <c r="K442" s="133">
        <v>2.9157666572152716E-2</v>
      </c>
      <c r="L442" s="133">
        <v>2.2180623034774261</v>
      </c>
      <c r="M442" s="45">
        <v>13083.378494682596</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1.8435737105621949E-2</v>
      </c>
      <c r="G444" s="133">
        <v>1.3221352241256945E-2</v>
      </c>
      <c r="H444" s="133">
        <v>1.9036578947012314E-2</v>
      </c>
      <c r="I444" s="133">
        <v>6.109458222172787E-3</v>
      </c>
      <c r="J444" s="133">
        <v>6.109458222172787E-3</v>
      </c>
      <c r="K444" s="133">
        <v>5.0864732695972989E-4</v>
      </c>
      <c r="L444" s="133">
        <v>6.4959870392287247E-2</v>
      </c>
      <c r="M444" s="45">
        <v>255.93190268390603</v>
      </c>
    </row>
    <row r="445" spans="1:13" x14ac:dyDescent="0.25">
      <c r="A445" s="812" t="s">
        <v>1999</v>
      </c>
      <c r="B445" s="812">
        <v>5</v>
      </c>
      <c r="C445" s="608">
        <v>39758</v>
      </c>
      <c r="D445" s="812">
        <v>99705</v>
      </c>
      <c r="E445" s="812" t="s">
        <v>1599</v>
      </c>
      <c r="F445" s="133">
        <v>3.21899535880639</v>
      </c>
      <c r="G445" s="133">
        <v>0.65932597126567971</v>
      </c>
      <c r="H445" s="133">
        <v>1.0939641317486963</v>
      </c>
      <c r="I445" s="133">
        <v>0.97105323170173063</v>
      </c>
      <c r="J445" s="133">
        <v>0.97105323170173063</v>
      </c>
      <c r="K445" s="133">
        <v>4.5201577291361476E-2</v>
      </c>
      <c r="L445" s="133">
        <v>10.482970005943141</v>
      </c>
      <c r="M445" s="45">
        <v>13483.345134184847</v>
      </c>
    </row>
    <row r="446" spans="1:13" x14ac:dyDescent="0.25">
      <c r="A446" s="812" t="s">
        <v>1999</v>
      </c>
      <c r="B446" s="812">
        <v>5</v>
      </c>
      <c r="C446" s="608">
        <v>39758</v>
      </c>
      <c r="D446" s="812">
        <v>99709</v>
      </c>
      <c r="E446" s="812" t="s">
        <v>1600</v>
      </c>
      <c r="F446" s="133">
        <v>2.439224740659284</v>
      </c>
      <c r="G446" s="133">
        <v>0.72845601884363653</v>
      </c>
      <c r="H446" s="133">
        <v>1.1539169885699248</v>
      </c>
      <c r="I446" s="133">
        <v>0.6683399959763946</v>
      </c>
      <c r="J446" s="133">
        <v>0.6683399959763946</v>
      </c>
      <c r="K446" s="133">
        <v>3.8534144647109372E-2</v>
      </c>
      <c r="L446" s="133">
        <v>6.9112320983178082</v>
      </c>
      <c r="M446" s="45">
        <v>14803.510205730272</v>
      </c>
    </row>
    <row r="447" spans="1:13" x14ac:dyDescent="0.25">
      <c r="A447" s="812" t="s">
        <v>1999</v>
      </c>
      <c r="B447" s="812">
        <v>5</v>
      </c>
      <c r="C447" s="608">
        <v>39758</v>
      </c>
      <c r="D447" s="812">
        <v>99712</v>
      </c>
      <c r="E447" s="812" t="s">
        <v>1601</v>
      </c>
      <c r="F447" s="133">
        <v>1.2775465237110399</v>
      </c>
      <c r="G447" s="133">
        <v>0.2329324183603716</v>
      </c>
      <c r="H447" s="133">
        <v>0.41203149497491393</v>
      </c>
      <c r="I447" s="133">
        <v>0.35087592383898808</v>
      </c>
      <c r="J447" s="133">
        <v>0.35087592383898808</v>
      </c>
      <c r="K447" s="133">
        <v>1.6603726057952198E-2</v>
      </c>
      <c r="L447" s="133">
        <v>3.6607189270890212</v>
      </c>
      <c r="M447" s="45">
        <v>4839.4416409066916</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7.0975060604173837E-5</v>
      </c>
      <c r="G459" s="133">
        <v>1.6449168297507557E-3</v>
      </c>
      <c r="H459" s="133">
        <v>8.9773206037623552E-4</v>
      </c>
      <c r="I459" s="133">
        <v>6.0868797348960025E-5</v>
      </c>
      <c r="J459" s="133">
        <v>6.0868797348960025E-5</v>
      </c>
      <c r="K459" s="133">
        <v>7.7338069252980883E-5</v>
      </c>
      <c r="L459" s="133">
        <v>1.82747548850192E-4</v>
      </c>
      <c r="M459" s="45">
        <v>27.170186124665229</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0.86986346708369533</v>
      </c>
      <c r="G461" s="133">
        <v>0.76830512216098723</v>
      </c>
      <c r="H461" s="133">
        <v>0.92831221520481844</v>
      </c>
      <c r="I461" s="133">
        <v>0.253954229366261</v>
      </c>
      <c r="J461" s="133">
        <v>0.253954229366261</v>
      </c>
      <c r="K461" s="133">
        <v>3.0459091343765732E-2</v>
      </c>
      <c r="L461" s="133">
        <v>2.5108852111446081</v>
      </c>
      <c r="M461" s="45">
        <v>14271.522177494093</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2.0574038501907338E-2</v>
      </c>
      <c r="G463" s="133">
        <v>1.4409377259795512E-2</v>
      </c>
      <c r="H463" s="133">
        <v>2.0862341441395153E-2</v>
      </c>
      <c r="I463" s="133">
        <v>6.7761824734080328E-3</v>
      </c>
      <c r="J463" s="133">
        <v>6.7761824734080328E-3</v>
      </c>
      <c r="K463" s="133">
        <v>5.3619120673955103E-4</v>
      </c>
      <c r="L463" s="133">
        <v>7.2169590293082578E-2</v>
      </c>
      <c r="M463" s="45">
        <v>278.42432618602777</v>
      </c>
    </row>
    <row r="464" spans="1:13" x14ac:dyDescent="0.25">
      <c r="A464" s="812" t="s">
        <v>1999</v>
      </c>
      <c r="B464" s="812">
        <v>6</v>
      </c>
      <c r="C464" s="608">
        <v>39759</v>
      </c>
      <c r="D464" s="812">
        <v>99705</v>
      </c>
      <c r="E464" s="812" t="s">
        <v>1599</v>
      </c>
      <c r="F464" s="133">
        <v>3.494069633005112</v>
      </c>
      <c r="G464" s="133">
        <v>0.71002462544682665</v>
      </c>
      <c r="H464" s="133">
        <v>1.1775292787148066</v>
      </c>
      <c r="I464" s="133">
        <v>1.0511726037509608</v>
      </c>
      <c r="J464" s="133">
        <v>1.0511726037509608</v>
      </c>
      <c r="K464" s="133">
        <v>4.8701694035233854E-2</v>
      </c>
      <c r="L464" s="133">
        <v>11.368221243995999</v>
      </c>
      <c r="M464" s="45">
        <v>14494.511314715444</v>
      </c>
    </row>
    <row r="465" spans="1:13" x14ac:dyDescent="0.25">
      <c r="A465" s="812" t="s">
        <v>1999</v>
      </c>
      <c r="B465" s="812">
        <v>6</v>
      </c>
      <c r="C465" s="608">
        <v>39759</v>
      </c>
      <c r="D465" s="812">
        <v>99709</v>
      </c>
      <c r="E465" s="812" t="s">
        <v>1600</v>
      </c>
      <c r="F465" s="133">
        <v>3.0091206887727457</v>
      </c>
      <c r="G465" s="133">
        <v>0.82724840061713867</v>
      </c>
      <c r="H465" s="133">
        <v>1.324144147722975</v>
      </c>
      <c r="I465" s="133">
        <v>0.80740144530109026</v>
      </c>
      <c r="J465" s="133">
        <v>0.80740144530109026</v>
      </c>
      <c r="K465" s="133">
        <v>4.4602658449901696E-2</v>
      </c>
      <c r="L465" s="133">
        <v>8.3266601413222467</v>
      </c>
      <c r="M465" s="45">
        <v>16815.543446551248</v>
      </c>
    </row>
    <row r="466" spans="1:13" x14ac:dyDescent="0.25">
      <c r="A466" s="812" t="s">
        <v>1999</v>
      </c>
      <c r="B466" s="812">
        <v>6</v>
      </c>
      <c r="C466" s="608">
        <v>39759</v>
      </c>
      <c r="D466" s="812">
        <v>99712</v>
      </c>
      <c r="E466" s="812" t="s">
        <v>1601</v>
      </c>
      <c r="F466" s="133">
        <v>1.561945284756765</v>
      </c>
      <c r="G466" s="133">
        <v>0.26812289928783334</v>
      </c>
      <c r="H466" s="133">
        <v>0.47494911033309622</v>
      </c>
      <c r="I466" s="133">
        <v>0.41966371683399434</v>
      </c>
      <c r="J466" s="133">
        <v>0.41966371683399434</v>
      </c>
      <c r="K466" s="133">
        <v>1.9780807883616653E-2</v>
      </c>
      <c r="L466" s="133">
        <v>4.3651825517149918</v>
      </c>
      <c r="M466" s="45">
        <v>5558.5111059846577</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7.6297310187113304E-5</v>
      </c>
      <c r="G478" s="133">
        <v>1.7792793718165488E-3</v>
      </c>
      <c r="H478" s="133">
        <v>9.9270547677687447E-4</v>
      </c>
      <c r="I478" s="133">
        <v>6.4277105515889396E-5</v>
      </c>
      <c r="J478" s="133">
        <v>6.4277105515889396E-5</v>
      </c>
      <c r="K478" s="133">
        <v>7.752092498613668E-5</v>
      </c>
      <c r="L478" s="133">
        <v>1.8609053111058862E-4</v>
      </c>
      <c r="M478" s="45">
        <v>29.237876355344376</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0.77578607701746738</v>
      </c>
      <c r="G480" s="133">
        <v>0.73354481784947334</v>
      </c>
      <c r="H480" s="133">
        <v>0.87394886976380826</v>
      </c>
      <c r="I480" s="133">
        <v>0.23351775362183305</v>
      </c>
      <c r="J480" s="133">
        <v>0.23351775362183305</v>
      </c>
      <c r="K480" s="133">
        <v>2.9512694622465724E-2</v>
      </c>
      <c r="L480" s="133">
        <v>2.3267181196116513</v>
      </c>
      <c r="M480" s="45">
        <v>13605.779125018695</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1.858036259378075E-2</v>
      </c>
      <c r="G482" s="133">
        <v>1.3642022277014042E-2</v>
      </c>
      <c r="H482" s="133">
        <v>1.9491524730883E-2</v>
      </c>
      <c r="I482" s="133">
        <v>6.263325433868522E-3</v>
      </c>
      <c r="J482" s="133">
        <v>6.263325433868522E-3</v>
      </c>
      <c r="K482" s="133">
        <v>5.1432978214580819E-4</v>
      </c>
      <c r="L482" s="133">
        <v>6.7128691431522031E-2</v>
      </c>
      <c r="M482" s="45">
        <v>262.94824029561011</v>
      </c>
    </row>
    <row r="483" spans="1:13" x14ac:dyDescent="0.25">
      <c r="A483" s="812" t="s">
        <v>1999</v>
      </c>
      <c r="B483" s="812">
        <v>7</v>
      </c>
      <c r="C483" s="608">
        <v>39760</v>
      </c>
      <c r="D483" s="812">
        <v>99705</v>
      </c>
      <c r="E483" s="812" t="s">
        <v>1599</v>
      </c>
      <c r="F483" s="133">
        <v>3.1694781836189727</v>
      </c>
      <c r="G483" s="133">
        <v>0.66840046702740707</v>
      </c>
      <c r="H483" s="133">
        <v>1.1041334598737449</v>
      </c>
      <c r="I483" s="133">
        <v>0.97370567689868903</v>
      </c>
      <c r="J483" s="133">
        <v>0.97370567689868903</v>
      </c>
      <c r="K483" s="133">
        <v>4.530156575114179E-2</v>
      </c>
      <c r="L483" s="133">
        <v>10.620327639262483</v>
      </c>
      <c r="M483" s="45">
        <v>13641.156905865106</v>
      </c>
    </row>
    <row r="484" spans="1:13" x14ac:dyDescent="0.25">
      <c r="A484" s="812" t="s">
        <v>1999</v>
      </c>
      <c r="B484" s="812">
        <v>7</v>
      </c>
      <c r="C484" s="608">
        <v>39760</v>
      </c>
      <c r="D484" s="812">
        <v>99709</v>
      </c>
      <c r="E484" s="812" t="s">
        <v>1600</v>
      </c>
      <c r="F484" s="133">
        <v>2.8011134225910657</v>
      </c>
      <c r="G484" s="133">
        <v>0.7991787042473919</v>
      </c>
      <c r="H484" s="133">
        <v>1.2749759219409811</v>
      </c>
      <c r="I484" s="133">
        <v>0.77144899669731681</v>
      </c>
      <c r="J484" s="133">
        <v>0.77144899669731681</v>
      </c>
      <c r="K484" s="133">
        <v>4.2852268514215454E-2</v>
      </c>
      <c r="L484" s="133">
        <v>8.0532291352381673</v>
      </c>
      <c r="M484" s="45">
        <v>16249.74296416341</v>
      </c>
    </row>
    <row r="485" spans="1:13" x14ac:dyDescent="0.25">
      <c r="A485" s="812" t="s">
        <v>1999</v>
      </c>
      <c r="B485" s="812">
        <v>7</v>
      </c>
      <c r="C485" s="608">
        <v>39760</v>
      </c>
      <c r="D485" s="812">
        <v>99712</v>
      </c>
      <c r="E485" s="812" t="s">
        <v>1601</v>
      </c>
      <c r="F485" s="133">
        <v>1.5108835582766824</v>
      </c>
      <c r="G485" s="133">
        <v>0.26844544183494784</v>
      </c>
      <c r="H485" s="133">
        <v>0.47593463220064763</v>
      </c>
      <c r="I485" s="133">
        <v>0.41617733490594117</v>
      </c>
      <c r="J485" s="133">
        <v>0.41617733490594117</v>
      </c>
      <c r="K485" s="133">
        <v>1.9546264212736746E-2</v>
      </c>
      <c r="L485" s="133">
        <v>4.3873771749335262</v>
      </c>
      <c r="M485" s="45">
        <v>5569.6552306376943</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7.4016346080139241E-5</v>
      </c>
      <c r="G497" s="133">
        <v>1.7216954252169238E-3</v>
      </c>
      <c r="H497" s="133">
        <v>9.5200258403374386E-4</v>
      </c>
      <c r="I497" s="133">
        <v>6.2816402015776818E-5</v>
      </c>
      <c r="J497" s="133">
        <v>6.2816402015776818E-5</v>
      </c>
      <c r="K497" s="133">
        <v>7.7442558243355643E-5</v>
      </c>
      <c r="L497" s="133">
        <v>1.8465782442756156E-4</v>
      </c>
      <c r="M497" s="45">
        <v>28.351723399339029</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0.83189283709111628</v>
      </c>
      <c r="G499" s="133">
        <v>0.75911514892591769</v>
      </c>
      <c r="H499" s="133">
        <v>0.91483843391987818</v>
      </c>
      <c r="I499" s="133">
        <v>0.248653171321118</v>
      </c>
      <c r="J499" s="133">
        <v>0.248653171321118</v>
      </c>
      <c r="K499" s="133">
        <v>3.0164711051568351E-2</v>
      </c>
      <c r="L499" s="133">
        <v>2.4821196391655009</v>
      </c>
      <c r="M499" s="45">
        <v>14102.150334466469</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2.0298415973476258E-2</v>
      </c>
      <c r="G501" s="133">
        <v>1.4349304466911883E-2</v>
      </c>
      <c r="H501" s="133">
        <v>2.080877068617619E-2</v>
      </c>
      <c r="I501" s="133">
        <v>6.794618565230507E-3</v>
      </c>
      <c r="J501" s="133">
        <v>6.794618565230507E-3</v>
      </c>
      <c r="K501" s="133">
        <v>5.3595822251124956E-4</v>
      </c>
      <c r="L501" s="133">
        <v>7.295255292402622E-2</v>
      </c>
      <c r="M501" s="45">
        <v>277.56609443570113</v>
      </c>
    </row>
    <row r="502" spans="1:13" x14ac:dyDescent="0.25">
      <c r="A502" s="812" t="s">
        <v>1999</v>
      </c>
      <c r="B502" s="812">
        <v>8</v>
      </c>
      <c r="C502" s="608">
        <v>39761</v>
      </c>
      <c r="D502" s="812">
        <v>99705</v>
      </c>
      <c r="E502" s="812" t="s">
        <v>1599</v>
      </c>
      <c r="F502" s="133">
        <v>3.4270257881447428</v>
      </c>
      <c r="G502" s="133">
        <v>0.71050651276877685</v>
      </c>
      <c r="H502" s="133">
        <v>1.1774889980149363</v>
      </c>
      <c r="I502" s="133">
        <v>1.0492610989814481</v>
      </c>
      <c r="J502" s="133">
        <v>1.0492610989814481</v>
      </c>
      <c r="K502" s="133">
        <v>4.8556261568348628E-2</v>
      </c>
      <c r="L502" s="133">
        <v>11.45879574166452</v>
      </c>
      <c r="M502" s="45">
        <v>14503.558825603201</v>
      </c>
    </row>
    <row r="503" spans="1:13" x14ac:dyDescent="0.25">
      <c r="A503" s="812" t="s">
        <v>1999</v>
      </c>
      <c r="B503" s="812">
        <v>8</v>
      </c>
      <c r="C503" s="608">
        <v>39761</v>
      </c>
      <c r="D503" s="812">
        <v>99709</v>
      </c>
      <c r="E503" s="812" t="s">
        <v>1600</v>
      </c>
      <c r="F503" s="133">
        <v>2.6025651380630737</v>
      </c>
      <c r="G503" s="133">
        <v>0.78306296843707857</v>
      </c>
      <c r="H503" s="133">
        <v>1.2408803959891614</v>
      </c>
      <c r="I503" s="133">
        <v>0.72369626666200837</v>
      </c>
      <c r="J503" s="133">
        <v>0.72369626666200837</v>
      </c>
      <c r="K503" s="133">
        <v>4.0776337681189961E-2</v>
      </c>
      <c r="L503" s="133">
        <v>7.5634783384899826</v>
      </c>
      <c r="M503" s="45">
        <v>15884.787830171281</v>
      </c>
    </row>
    <row r="504" spans="1:13" x14ac:dyDescent="0.25">
      <c r="A504" s="812" t="s">
        <v>1999</v>
      </c>
      <c r="B504" s="812">
        <v>8</v>
      </c>
      <c r="C504" s="608">
        <v>39761</v>
      </c>
      <c r="D504" s="812">
        <v>99712</v>
      </c>
      <c r="E504" s="812" t="s">
        <v>1601</v>
      </c>
      <c r="F504" s="133">
        <v>1.2877191427921741</v>
      </c>
      <c r="G504" s="133">
        <v>0.24141736042149778</v>
      </c>
      <c r="H504" s="133">
        <v>0.42560408569145619</v>
      </c>
      <c r="I504" s="133">
        <v>0.36039572963502975</v>
      </c>
      <c r="J504" s="133">
        <v>0.36039572963502975</v>
      </c>
      <c r="K504" s="133">
        <v>1.7004395069195363E-2</v>
      </c>
      <c r="L504" s="133">
        <v>3.8063565812514812</v>
      </c>
      <c r="M504" s="45">
        <v>5006.6919213559631</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7.5536988818121937E-5</v>
      </c>
      <c r="G516" s="133">
        <v>1.7600847229500068E-3</v>
      </c>
      <c r="H516" s="133">
        <v>9.7913784586249738E-4</v>
      </c>
      <c r="I516" s="133">
        <v>6.3790204349185194E-5</v>
      </c>
      <c r="J516" s="133">
        <v>6.3790204349185194E-5</v>
      </c>
      <c r="K516" s="133">
        <v>7.7494802738542983E-5</v>
      </c>
      <c r="L516" s="133">
        <v>1.856129622162462E-4</v>
      </c>
      <c r="M516" s="45">
        <v>28.94249203667593</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0.72961014577927064</v>
      </c>
      <c r="G518" s="133">
        <v>0.66104780878057723</v>
      </c>
      <c r="H518" s="133">
        <v>0.79965928137849451</v>
      </c>
      <c r="I518" s="133">
        <v>0.21728799535902649</v>
      </c>
      <c r="J518" s="133">
        <v>0.21728799535902649</v>
      </c>
      <c r="K518" s="133">
        <v>2.8831550682003701E-2</v>
      </c>
      <c r="L518" s="133">
        <v>2.1560364888645749</v>
      </c>
      <c r="M518" s="45">
        <v>12406.801812754222</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1.7949507780153105E-2</v>
      </c>
      <c r="G520" s="133">
        <v>1.2582857462361714E-2</v>
      </c>
      <c r="H520" s="133">
        <v>1.8399511210558123E-2</v>
      </c>
      <c r="I520" s="133">
        <v>5.9514036835136451E-3</v>
      </c>
      <c r="J520" s="133">
        <v>5.9514036835136451E-3</v>
      </c>
      <c r="K520" s="133">
        <v>5.0163073494125258E-4</v>
      </c>
      <c r="L520" s="133">
        <v>6.3368246993612445E-2</v>
      </c>
      <c r="M520" s="45">
        <v>245.67776255360536</v>
      </c>
    </row>
    <row r="521" spans="1:13" x14ac:dyDescent="0.25">
      <c r="A521" s="812" t="s">
        <v>1999</v>
      </c>
      <c r="B521" s="812">
        <v>9</v>
      </c>
      <c r="C521" s="608">
        <v>39762</v>
      </c>
      <c r="D521" s="812">
        <v>99705</v>
      </c>
      <c r="E521" s="812" t="s">
        <v>1599</v>
      </c>
      <c r="F521" s="133">
        <v>2.9379384570636007</v>
      </c>
      <c r="G521" s="133">
        <v>0.60577112622193274</v>
      </c>
      <c r="H521" s="133">
        <v>1.0056665458356435</v>
      </c>
      <c r="I521" s="133">
        <v>0.8863888561356793</v>
      </c>
      <c r="J521" s="133">
        <v>0.8863888561356793</v>
      </c>
      <c r="K521" s="133">
        <v>4.1533277159010465E-2</v>
      </c>
      <c r="L521" s="133">
        <v>9.5356439795179799</v>
      </c>
      <c r="M521" s="45">
        <v>12414.168491992104</v>
      </c>
    </row>
    <row r="522" spans="1:13" x14ac:dyDescent="0.25">
      <c r="A522" s="812" t="s">
        <v>1999</v>
      </c>
      <c r="B522" s="812">
        <v>9</v>
      </c>
      <c r="C522" s="608">
        <v>39762</v>
      </c>
      <c r="D522" s="812">
        <v>99709</v>
      </c>
      <c r="E522" s="812" t="s">
        <v>1600</v>
      </c>
      <c r="F522" s="133">
        <v>2.2429254843757187</v>
      </c>
      <c r="G522" s="133">
        <v>0.68239234634273349</v>
      </c>
      <c r="H522" s="133">
        <v>1.087379859406322</v>
      </c>
      <c r="I522" s="133">
        <v>0.61931534261635879</v>
      </c>
      <c r="J522" s="133">
        <v>0.61931534261635879</v>
      </c>
      <c r="K522" s="133">
        <v>3.6386273612085324E-2</v>
      </c>
      <c r="L522" s="133">
        <v>6.4097535959103542</v>
      </c>
      <c r="M522" s="45">
        <v>13930.491093486284</v>
      </c>
    </row>
    <row r="523" spans="1:13" x14ac:dyDescent="0.25">
      <c r="A523" s="812" t="s">
        <v>1999</v>
      </c>
      <c r="B523" s="812">
        <v>9</v>
      </c>
      <c r="C523" s="608">
        <v>39762</v>
      </c>
      <c r="D523" s="812">
        <v>99712</v>
      </c>
      <c r="E523" s="812" t="s">
        <v>1601</v>
      </c>
      <c r="F523" s="133">
        <v>1.1436296880916634</v>
      </c>
      <c r="G523" s="133">
        <v>0.2141111564633196</v>
      </c>
      <c r="H523" s="133">
        <v>0.37995932187057069</v>
      </c>
      <c r="I523" s="133">
        <v>0.31618855774876081</v>
      </c>
      <c r="J523" s="133">
        <v>0.31618855774876081</v>
      </c>
      <c r="K523" s="133">
        <v>1.5036341589744843E-2</v>
      </c>
      <c r="L523" s="133">
        <v>3.293574946606133</v>
      </c>
      <c r="M523" s="45">
        <v>4460.7442355235016</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6.5652811021234329E-5</v>
      </c>
      <c r="G535" s="133">
        <v>1.5105542876849621E-3</v>
      </c>
      <c r="H535" s="133">
        <v>8.0275864397559669E-4</v>
      </c>
      <c r="I535" s="133">
        <v>5.7460489182030687E-5</v>
      </c>
      <c r="J535" s="133">
        <v>5.7460489182030687E-5</v>
      </c>
      <c r="K535" s="133">
        <v>7.7155213519825168E-5</v>
      </c>
      <c r="L535" s="133">
        <v>1.7940456658979554E-4</v>
      </c>
      <c r="M535" s="45">
        <v>25.102495893986074</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0.6521107670623576</v>
      </c>
      <c r="G537" s="133">
        <v>0.63029313162661105</v>
      </c>
      <c r="H537" s="133">
        <v>0.74720077392059114</v>
      </c>
      <c r="I537" s="133">
        <v>0.19696230580997376</v>
      </c>
      <c r="J537" s="133">
        <v>0.19696230580997376</v>
      </c>
      <c r="K537" s="133">
        <v>2.794531429503239E-2</v>
      </c>
      <c r="L537" s="133">
        <v>1.9486336811356368</v>
      </c>
      <c r="M537" s="45">
        <v>11793.666993545452</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1.6161606674098043E-2</v>
      </c>
      <c r="G539" s="133">
        <v>1.1853039429626852E-2</v>
      </c>
      <c r="H539" s="133">
        <v>1.7033675194944805E-2</v>
      </c>
      <c r="I539" s="133">
        <v>5.3987339743786405E-3</v>
      </c>
      <c r="J539" s="133">
        <v>5.3987339743786405E-3</v>
      </c>
      <c r="K539" s="133">
        <v>4.7912982255875132E-4</v>
      </c>
      <c r="L539" s="133">
        <v>5.7308444117353495E-2</v>
      </c>
      <c r="M539" s="45">
        <v>230.55913684936829</v>
      </c>
    </row>
    <row r="540" spans="1:13" x14ac:dyDescent="0.25">
      <c r="A540" s="812" t="s">
        <v>1999</v>
      </c>
      <c r="B540" s="812">
        <v>10</v>
      </c>
      <c r="C540" s="608">
        <v>39763</v>
      </c>
      <c r="D540" s="812">
        <v>99705</v>
      </c>
      <c r="E540" s="812" t="s">
        <v>1599</v>
      </c>
      <c r="F540" s="133">
        <v>2.7206773235955439</v>
      </c>
      <c r="G540" s="133">
        <v>0.57227587881440134</v>
      </c>
      <c r="H540" s="133">
        <v>0.94771706982623549</v>
      </c>
      <c r="I540" s="133">
        <v>0.82554955656405327</v>
      </c>
      <c r="J540" s="133">
        <v>0.82554955656405327</v>
      </c>
      <c r="K540" s="133">
        <v>3.889489684491218E-2</v>
      </c>
      <c r="L540" s="133">
        <v>8.8728105190398274</v>
      </c>
      <c r="M540" s="45">
        <v>11729.842292836183</v>
      </c>
    </row>
    <row r="541" spans="1:13" x14ac:dyDescent="0.25">
      <c r="A541" s="812" t="s">
        <v>1999</v>
      </c>
      <c r="B541" s="812">
        <v>10</v>
      </c>
      <c r="C541" s="608">
        <v>39763</v>
      </c>
      <c r="D541" s="812">
        <v>99709</v>
      </c>
      <c r="E541" s="812" t="s">
        <v>1600</v>
      </c>
      <c r="F541" s="133">
        <v>2.083902501983006</v>
      </c>
      <c r="G541" s="133">
        <v>0.65251238024780689</v>
      </c>
      <c r="H541" s="133">
        <v>1.0344785649756747</v>
      </c>
      <c r="I541" s="133">
        <v>0.57992840936316492</v>
      </c>
      <c r="J541" s="133">
        <v>0.57992840936316492</v>
      </c>
      <c r="K541" s="133">
        <v>3.467216856547467E-2</v>
      </c>
      <c r="L541" s="133">
        <v>6.00680001869185</v>
      </c>
      <c r="M541" s="45">
        <v>13315.914803016874</v>
      </c>
    </row>
    <row r="542" spans="1:13" x14ac:dyDescent="0.25">
      <c r="A542" s="812" t="s">
        <v>1999</v>
      </c>
      <c r="B542" s="812">
        <v>10</v>
      </c>
      <c r="C542" s="608">
        <v>39763</v>
      </c>
      <c r="D542" s="812">
        <v>99712</v>
      </c>
      <c r="E542" s="812" t="s">
        <v>1601</v>
      </c>
      <c r="F542" s="133">
        <v>1.0512575557031638</v>
      </c>
      <c r="G542" s="133">
        <v>0.20191630318180598</v>
      </c>
      <c r="H542" s="133">
        <v>0.35779352241322343</v>
      </c>
      <c r="I542" s="133">
        <v>0.29327385273520268</v>
      </c>
      <c r="J542" s="133">
        <v>0.29327385273520268</v>
      </c>
      <c r="K542" s="133">
        <v>1.3993049373516088E-2</v>
      </c>
      <c r="L542" s="133">
        <v>3.0563993867804418</v>
      </c>
      <c r="M542" s="45">
        <v>4209.1403074880482</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6.4132168283251648E-5</v>
      </c>
      <c r="G554" s="133">
        <v>1.4721649899518787E-3</v>
      </c>
      <c r="H554" s="133">
        <v>7.7562338214684284E-4</v>
      </c>
      <c r="I554" s="133">
        <v>5.6486686848622304E-5</v>
      </c>
      <c r="J554" s="133">
        <v>5.6486686848622304E-5</v>
      </c>
      <c r="K554" s="133">
        <v>7.7102969024637815E-5</v>
      </c>
      <c r="L554" s="133">
        <v>1.7844942880111084E-4</v>
      </c>
      <c r="M554" s="45">
        <v>24.51172725664917</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0.65084594845596155</v>
      </c>
      <c r="G556" s="133">
        <v>0.62446115131427393</v>
      </c>
      <c r="H556" s="133">
        <v>0.74216349158603767</v>
      </c>
      <c r="I556" s="133">
        <v>0.19624335406258872</v>
      </c>
      <c r="J556" s="133">
        <v>0.19624335406258872</v>
      </c>
      <c r="K556" s="133">
        <v>2.7920068646865793E-2</v>
      </c>
      <c r="L556" s="133">
        <v>1.9412399406312029</v>
      </c>
      <c r="M556" s="45">
        <v>11701.835105581073</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1.5860434823158652E-2</v>
      </c>
      <c r="G558" s="133">
        <v>1.167673669040822E-2</v>
      </c>
      <c r="H558" s="133">
        <v>1.6756799157469665E-2</v>
      </c>
      <c r="I558" s="133">
        <v>5.3033249619791776E-3</v>
      </c>
      <c r="J558" s="133">
        <v>5.3033249619791776E-3</v>
      </c>
      <c r="K558" s="133">
        <v>4.7530127382320442E-4</v>
      </c>
      <c r="L558" s="133">
        <v>5.6274893073137461E-2</v>
      </c>
      <c r="M558" s="45">
        <v>227.18651362442534</v>
      </c>
    </row>
    <row r="559" spans="1:13" x14ac:dyDescent="0.25">
      <c r="A559" s="812" t="s">
        <v>1999</v>
      </c>
      <c r="B559" s="812">
        <v>11</v>
      </c>
      <c r="C559" s="608">
        <v>39764</v>
      </c>
      <c r="D559" s="812">
        <v>99705</v>
      </c>
      <c r="E559" s="812" t="s">
        <v>1599</v>
      </c>
      <c r="F559" s="133">
        <v>2.7384080686222232</v>
      </c>
      <c r="G559" s="133">
        <v>0.57353935794963595</v>
      </c>
      <c r="H559" s="133">
        <v>0.95135145534369869</v>
      </c>
      <c r="I559" s="133">
        <v>0.83012719959075165</v>
      </c>
      <c r="J559" s="133">
        <v>0.83012719959075165</v>
      </c>
      <c r="K559" s="133">
        <v>3.9111712502214305E-2</v>
      </c>
      <c r="L559" s="133">
        <v>8.9216104579371951</v>
      </c>
      <c r="M559" s="45">
        <v>11761.502202831669</v>
      </c>
    </row>
    <row r="560" spans="1:13" x14ac:dyDescent="0.25">
      <c r="A560" s="812" t="s">
        <v>1999</v>
      </c>
      <c r="B560" s="812">
        <v>11</v>
      </c>
      <c r="C560" s="608">
        <v>39764</v>
      </c>
      <c r="D560" s="812">
        <v>99709</v>
      </c>
      <c r="E560" s="812" t="s">
        <v>1600</v>
      </c>
      <c r="F560" s="133">
        <v>2.244928028275182</v>
      </c>
      <c r="G560" s="133">
        <v>0.67009749558524689</v>
      </c>
      <c r="H560" s="133">
        <v>1.0704781025810324</v>
      </c>
      <c r="I560" s="133">
        <v>0.61919218136579546</v>
      </c>
      <c r="J560" s="133">
        <v>0.61919218136579546</v>
      </c>
      <c r="K560" s="133">
        <v>3.6392121187322754E-2</v>
      </c>
      <c r="L560" s="133">
        <v>6.410536972177141</v>
      </c>
      <c r="M560" s="45">
        <v>13703.855180674569</v>
      </c>
    </row>
    <row r="561" spans="1:13" x14ac:dyDescent="0.25">
      <c r="A561" s="812" t="s">
        <v>1999</v>
      </c>
      <c r="B561" s="812">
        <v>11</v>
      </c>
      <c r="C561" s="608">
        <v>39764</v>
      </c>
      <c r="D561" s="812">
        <v>99712</v>
      </c>
      <c r="E561" s="812" t="s">
        <v>1601</v>
      </c>
      <c r="F561" s="133">
        <v>1.1886888398940849</v>
      </c>
      <c r="G561" s="133">
        <v>0.2186066108032477</v>
      </c>
      <c r="H561" s="133">
        <v>0.38873984548123602</v>
      </c>
      <c r="I561" s="133">
        <v>0.32770355650097388</v>
      </c>
      <c r="J561" s="133">
        <v>0.32770355650097388</v>
      </c>
      <c r="K561" s="133">
        <v>1.556194404998346E-2</v>
      </c>
      <c r="L561" s="133">
        <v>3.4154870577615108</v>
      </c>
      <c r="M561" s="45">
        <v>4556.1357577235303</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6.3371846914260293E-5</v>
      </c>
      <c r="G573" s="133">
        <v>1.4529703410853362E-3</v>
      </c>
      <c r="H573" s="133">
        <v>7.6205575123246554E-4</v>
      </c>
      <c r="I573" s="133">
        <v>5.5999785681918102E-5</v>
      </c>
      <c r="J573" s="133">
        <v>5.5999785681918102E-5</v>
      </c>
      <c r="K573" s="133">
        <v>7.7076846777044092E-5</v>
      </c>
      <c r="L573" s="133">
        <v>1.7797185990676834E-4</v>
      </c>
      <c r="M573" s="45">
        <v>24.216342937980723</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0.69017204608939564</v>
      </c>
      <c r="G575" s="133">
        <v>0.66526512852165187</v>
      </c>
      <c r="H575" s="133">
        <v>0.78580298168700102</v>
      </c>
      <c r="I575" s="133">
        <v>0.20681850691747844</v>
      </c>
      <c r="J575" s="133">
        <v>0.20681850691747844</v>
      </c>
      <c r="K575" s="133">
        <v>2.838835534780737E-2</v>
      </c>
      <c r="L575" s="133">
        <v>2.0413743957336079</v>
      </c>
      <c r="M575" s="45">
        <v>12384.693694345257</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1.6694569650103169E-2</v>
      </c>
      <c r="G577" s="133">
        <v>1.2354576147585228E-2</v>
      </c>
      <c r="H577" s="133">
        <v>1.7583402371308128E-2</v>
      </c>
      <c r="I577" s="133">
        <v>5.5657726780838288E-3</v>
      </c>
      <c r="J577" s="133">
        <v>5.5657726780838288E-3</v>
      </c>
      <c r="K577" s="133">
        <v>4.8655590506697358E-4</v>
      </c>
      <c r="L577" s="133">
        <v>5.9039660326323837E-2</v>
      </c>
      <c r="M577" s="45">
        <v>238.87018707254143</v>
      </c>
    </row>
    <row r="578" spans="1:13" x14ac:dyDescent="0.25">
      <c r="A578" s="812" t="s">
        <v>1999</v>
      </c>
      <c r="B578" s="812">
        <v>12</v>
      </c>
      <c r="C578" s="608">
        <v>39765</v>
      </c>
      <c r="D578" s="812">
        <v>99705</v>
      </c>
      <c r="E578" s="812" t="s">
        <v>1599</v>
      </c>
      <c r="F578" s="133">
        <v>2.9712304217440053</v>
      </c>
      <c r="G578" s="133">
        <v>0.6160733220339546</v>
      </c>
      <c r="H578" s="133">
        <v>1.0207771040359574</v>
      </c>
      <c r="I578" s="133">
        <v>0.89808017518471484</v>
      </c>
      <c r="J578" s="133">
        <v>0.89808017518471484</v>
      </c>
      <c r="K578" s="133">
        <v>4.2053637984809884E-2</v>
      </c>
      <c r="L578" s="133">
        <v>9.6727622467602004</v>
      </c>
      <c r="M578" s="45">
        <v>12608.709384876323</v>
      </c>
    </row>
    <row r="579" spans="1:13" x14ac:dyDescent="0.25">
      <c r="A579" s="812" t="s">
        <v>1999</v>
      </c>
      <c r="B579" s="812">
        <v>12</v>
      </c>
      <c r="C579" s="608">
        <v>39765</v>
      </c>
      <c r="D579" s="812">
        <v>99709</v>
      </c>
      <c r="E579" s="812" t="s">
        <v>1600</v>
      </c>
      <c r="F579" s="133">
        <v>2.5335116265776847</v>
      </c>
      <c r="G579" s="133">
        <v>0.72538792355476678</v>
      </c>
      <c r="H579" s="133">
        <v>1.1571936791871189</v>
      </c>
      <c r="I579" s="133">
        <v>0.69114061935896776</v>
      </c>
      <c r="J579" s="133">
        <v>0.69114061935896776</v>
      </c>
      <c r="K579" s="133">
        <v>3.9509023105849438E-2</v>
      </c>
      <c r="L579" s="133">
        <v>7.1498791338085192</v>
      </c>
      <c r="M579" s="45">
        <v>14789.30187500596</v>
      </c>
    </row>
    <row r="580" spans="1:13" x14ac:dyDescent="0.25">
      <c r="A580" s="812" t="s">
        <v>1999</v>
      </c>
      <c r="B580" s="812">
        <v>12</v>
      </c>
      <c r="C580" s="608">
        <v>39765</v>
      </c>
      <c r="D580" s="812">
        <v>99712</v>
      </c>
      <c r="E580" s="812" t="s">
        <v>1601</v>
      </c>
      <c r="F580" s="133">
        <v>1.4106011999745824</v>
      </c>
      <c r="G580" s="133">
        <v>0.2480391904866566</v>
      </c>
      <c r="H580" s="133">
        <v>0.44087213893659921</v>
      </c>
      <c r="I580" s="133">
        <v>0.38404827209849796</v>
      </c>
      <c r="J580" s="133">
        <v>0.38404827209849796</v>
      </c>
      <c r="K580" s="133">
        <v>1.8118713655484186E-2</v>
      </c>
      <c r="L580" s="133">
        <v>4.0062734631139598</v>
      </c>
      <c r="M580" s="45">
        <v>5157.1970848944238</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6.7933775128208406E-5</v>
      </c>
      <c r="G592" s="133">
        <v>1.5681382342845878E-3</v>
      </c>
      <c r="H592" s="133">
        <v>8.4346153671872762E-4</v>
      </c>
      <c r="I592" s="133">
        <v>5.8921192682143265E-5</v>
      </c>
      <c r="J592" s="133">
        <v>5.8921192682143265E-5</v>
      </c>
      <c r="K592" s="133">
        <v>7.7233580262606191E-5</v>
      </c>
      <c r="L592" s="133">
        <v>1.808372732728226E-4</v>
      </c>
      <c r="M592" s="45">
        <v>25.988648849991421</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0.79939565037640326</v>
      </c>
      <c r="G594" s="133">
        <v>0.73014299898298451</v>
      </c>
      <c r="H594" s="133">
        <v>0.87481471959496093</v>
      </c>
      <c r="I594" s="133">
        <v>0.23599033274575118</v>
      </c>
      <c r="J594" s="133">
        <v>0.23599033274575118</v>
      </c>
      <c r="K594" s="133">
        <v>2.965887621839924E-2</v>
      </c>
      <c r="L594" s="133">
        <v>2.3339320845560483</v>
      </c>
      <c r="M594" s="45">
        <v>13569.522790723093</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1.9386529817545663E-2</v>
      </c>
      <c r="G596" s="133">
        <v>1.3751721716503656E-2</v>
      </c>
      <c r="H596" s="133">
        <v>1.9867148424661505E-2</v>
      </c>
      <c r="I596" s="133">
        <v>6.4075961149225556E-3</v>
      </c>
      <c r="J596" s="133">
        <v>6.4075961149225556E-3</v>
      </c>
      <c r="K596" s="133">
        <v>5.2081448592797611E-4</v>
      </c>
      <c r="L596" s="133">
        <v>6.8188882029009731E-2</v>
      </c>
      <c r="M596" s="45">
        <v>266.05958535045153</v>
      </c>
    </row>
    <row r="597" spans="1:13" x14ac:dyDescent="0.25">
      <c r="A597" s="812" t="s">
        <v>1999</v>
      </c>
      <c r="B597" s="812">
        <v>13</v>
      </c>
      <c r="C597" s="608">
        <v>39766</v>
      </c>
      <c r="D597" s="812">
        <v>99705</v>
      </c>
      <c r="E597" s="812" t="s">
        <v>1599</v>
      </c>
      <c r="F597" s="133">
        <v>3.3178305882790537</v>
      </c>
      <c r="G597" s="133">
        <v>0.67841581223731384</v>
      </c>
      <c r="H597" s="133">
        <v>1.1248950251625025</v>
      </c>
      <c r="I597" s="133">
        <v>1.0003214717912297</v>
      </c>
      <c r="J597" s="133">
        <v>1.0003214717912297</v>
      </c>
      <c r="K597" s="133">
        <v>4.6461457574015416E-2</v>
      </c>
      <c r="L597" s="133">
        <v>10.807965387202714</v>
      </c>
      <c r="M597" s="45">
        <v>13862.700231034423</v>
      </c>
    </row>
    <row r="598" spans="1:13" x14ac:dyDescent="0.25">
      <c r="A598" s="812" t="s">
        <v>1999</v>
      </c>
      <c r="B598" s="812">
        <v>13</v>
      </c>
      <c r="C598" s="608">
        <v>39766</v>
      </c>
      <c r="D598" s="812">
        <v>99709</v>
      </c>
      <c r="E598" s="812" t="s">
        <v>1600</v>
      </c>
      <c r="F598" s="133">
        <v>2.6052042284410244</v>
      </c>
      <c r="G598" s="133">
        <v>0.76142923344256797</v>
      </c>
      <c r="H598" s="133">
        <v>1.2088173264716087</v>
      </c>
      <c r="I598" s="133">
        <v>0.710038765737948</v>
      </c>
      <c r="J598" s="133">
        <v>0.710038765737948</v>
      </c>
      <c r="K598" s="133">
        <v>4.0316926873508956E-2</v>
      </c>
      <c r="L598" s="133">
        <v>7.3403138428418524</v>
      </c>
      <c r="M598" s="45">
        <v>15467.001977181822</v>
      </c>
    </row>
    <row r="599" spans="1:13" x14ac:dyDescent="0.25">
      <c r="A599" s="812" t="s">
        <v>1999</v>
      </c>
      <c r="B599" s="812">
        <v>13</v>
      </c>
      <c r="C599" s="608">
        <v>39766</v>
      </c>
      <c r="D599" s="812">
        <v>99712</v>
      </c>
      <c r="E599" s="812" t="s">
        <v>1601</v>
      </c>
      <c r="F599" s="133">
        <v>1.3406505070519319</v>
      </c>
      <c r="G599" s="133">
        <v>0.24056750702858665</v>
      </c>
      <c r="H599" s="133">
        <v>0.42520786683650441</v>
      </c>
      <c r="I599" s="133">
        <v>0.36557886669476514</v>
      </c>
      <c r="J599" s="133">
        <v>0.36557886669476514</v>
      </c>
      <c r="K599" s="133">
        <v>1.7294353053089555E-2</v>
      </c>
      <c r="L599" s="133">
        <v>3.8084446700296271</v>
      </c>
      <c r="M599" s="45">
        <v>4992.7580153149829</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7.3256024711147873E-5</v>
      </c>
      <c r="G611" s="133">
        <v>1.7025007763503805E-3</v>
      </c>
      <c r="H611" s="133">
        <v>9.3843495311936613E-4</v>
      </c>
      <c r="I611" s="133">
        <v>6.2329500849072603E-5</v>
      </c>
      <c r="J611" s="133">
        <v>6.2329500849072603E-5</v>
      </c>
      <c r="K611" s="133">
        <v>7.7416435995761906E-5</v>
      </c>
      <c r="L611" s="133">
        <v>1.8418025553321906E-4</v>
      </c>
      <c r="M611" s="45">
        <v>28.056339080670575</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0.80098865343400882</v>
      </c>
      <c r="G613" s="133">
        <v>0.68409360135693587</v>
      </c>
      <c r="H613" s="133">
        <v>0.85009721071052247</v>
      </c>
      <c r="I613" s="133">
        <v>0.23910281040294987</v>
      </c>
      <c r="J613" s="133">
        <v>0.23910281040294987</v>
      </c>
      <c r="K613" s="133">
        <v>2.9748951534324955E-2</v>
      </c>
      <c r="L613" s="133">
        <v>2.3999634905152192</v>
      </c>
      <c r="M613" s="45">
        <v>12923.97124063824</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1.920392169309329E-2</v>
      </c>
      <c r="G615" s="133">
        <v>1.3056776645074058E-2</v>
      </c>
      <c r="H615" s="133">
        <v>1.9385011692753328E-2</v>
      </c>
      <c r="I615" s="133">
        <v>6.4341418431640898E-3</v>
      </c>
      <c r="J615" s="133">
        <v>6.4341418431640898E-3</v>
      </c>
      <c r="K615" s="133">
        <v>5.2083199866067827E-4</v>
      </c>
      <c r="L615" s="133">
        <v>6.9247636231786897E-2</v>
      </c>
      <c r="M615" s="45">
        <v>256.07667681529995</v>
      </c>
    </row>
    <row r="616" spans="1:13" x14ac:dyDescent="0.25">
      <c r="A616" s="812" t="s">
        <v>1999</v>
      </c>
      <c r="B616" s="812">
        <v>14</v>
      </c>
      <c r="C616" s="608">
        <v>39767</v>
      </c>
      <c r="D616" s="812">
        <v>99705</v>
      </c>
      <c r="E616" s="812" t="s">
        <v>1599</v>
      </c>
      <c r="F616" s="133">
        <v>3.2275247982150961</v>
      </c>
      <c r="G616" s="133">
        <v>0.66532918424785858</v>
      </c>
      <c r="H616" s="133">
        <v>1.112156184535519</v>
      </c>
      <c r="I616" s="133">
        <v>0.9904788070008973</v>
      </c>
      <c r="J616" s="133">
        <v>0.9904788070008973</v>
      </c>
      <c r="K616" s="133">
        <v>4.601749485409011E-2</v>
      </c>
      <c r="L616" s="133">
        <v>10.809379011398416</v>
      </c>
      <c r="M616" s="45">
        <v>13644.053349838177</v>
      </c>
    </row>
    <row r="617" spans="1:13" x14ac:dyDescent="0.25">
      <c r="A617" s="812" t="s">
        <v>1999</v>
      </c>
      <c r="B617" s="812">
        <v>14</v>
      </c>
      <c r="C617" s="608">
        <v>39767</v>
      </c>
      <c r="D617" s="812">
        <v>99709</v>
      </c>
      <c r="E617" s="812" t="s">
        <v>1600</v>
      </c>
      <c r="F617" s="133">
        <v>2.7944642830741171</v>
      </c>
      <c r="G617" s="133">
        <v>0.77193080217724064</v>
      </c>
      <c r="H617" s="133">
        <v>1.2588715728600823</v>
      </c>
      <c r="I617" s="133">
        <v>0.77015928481394746</v>
      </c>
      <c r="J617" s="133">
        <v>0.77015928481394746</v>
      </c>
      <c r="K617" s="133">
        <v>4.2780380617876514E-2</v>
      </c>
      <c r="L617" s="133">
        <v>8.0503716189133705</v>
      </c>
      <c r="M617" s="45">
        <v>15849.155993060504</v>
      </c>
    </row>
    <row r="618" spans="1:13" x14ac:dyDescent="0.25">
      <c r="A618" s="812" t="s">
        <v>1999</v>
      </c>
      <c r="B618" s="812">
        <v>14</v>
      </c>
      <c r="C618" s="608">
        <v>39767</v>
      </c>
      <c r="D618" s="812">
        <v>99712</v>
      </c>
      <c r="E618" s="812" t="s">
        <v>1601</v>
      </c>
      <c r="F618" s="133">
        <v>1.4992808586500714</v>
      </c>
      <c r="G618" s="133">
        <v>0.2646887624288094</v>
      </c>
      <c r="H618" s="133">
        <v>0.47211691593390503</v>
      </c>
      <c r="I618" s="133">
        <v>0.41415174838321756</v>
      </c>
      <c r="J618" s="133">
        <v>0.41415174838321756</v>
      </c>
      <c r="K618" s="133">
        <v>1.9439261567536392E-2</v>
      </c>
      <c r="L618" s="133">
        <v>4.3716796157203586</v>
      </c>
      <c r="M618" s="45">
        <v>5506.6807956823213</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6.5652811021234343E-5</v>
      </c>
      <c r="G630" s="133">
        <v>1.5105542876849625E-3</v>
      </c>
      <c r="H630" s="133">
        <v>8.0275864397559679E-4</v>
      </c>
      <c r="I630" s="133">
        <v>5.7460489182030687E-5</v>
      </c>
      <c r="J630" s="133">
        <v>5.7460489182030687E-5</v>
      </c>
      <c r="K630" s="133">
        <v>7.7155213519825128E-5</v>
      </c>
      <c r="L630" s="133">
        <v>1.7940456658979546E-4</v>
      </c>
      <c r="M630" s="45">
        <v>25.102495893986074</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0.72712886490794226</v>
      </c>
      <c r="G632" s="133">
        <v>0.70584630589130049</v>
      </c>
      <c r="H632" s="133">
        <v>0.83590445073678421</v>
      </c>
      <c r="I632" s="133">
        <v>0.22099624552467789</v>
      </c>
      <c r="J632" s="133">
        <v>0.22099624552467789</v>
      </c>
      <c r="K632" s="133">
        <v>2.8957165550071315E-2</v>
      </c>
      <c r="L632" s="133">
        <v>2.2032218424961743</v>
      </c>
      <c r="M632" s="45">
        <v>13100.100707549334</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1.7695991070955028E-2</v>
      </c>
      <c r="G634" s="133">
        <v>1.3141892373867346E-2</v>
      </c>
      <c r="H634" s="133">
        <v>1.8728205298542976E-2</v>
      </c>
      <c r="I634" s="133">
        <v>5.9871493207773021E-3</v>
      </c>
      <c r="J634" s="133">
        <v>5.9871493207773021E-3</v>
      </c>
      <c r="K634" s="133">
        <v>5.0293419030948596E-4</v>
      </c>
      <c r="L634" s="133">
        <v>6.4144064172833484E-2</v>
      </c>
      <c r="M634" s="45">
        <v>253.50698633024015</v>
      </c>
    </row>
    <row r="635" spans="1:13" x14ac:dyDescent="0.25">
      <c r="A635" s="812" t="s">
        <v>1999</v>
      </c>
      <c r="B635" s="812">
        <v>15</v>
      </c>
      <c r="C635" s="608">
        <v>39768</v>
      </c>
      <c r="D635" s="812">
        <v>99705</v>
      </c>
      <c r="E635" s="812" t="s">
        <v>1599</v>
      </c>
      <c r="F635" s="133">
        <v>3.0446988508117294</v>
      </c>
      <c r="G635" s="133">
        <v>0.64569954990849721</v>
      </c>
      <c r="H635" s="133">
        <v>1.066488531983621</v>
      </c>
      <c r="I635" s="133">
        <v>0.93753700059336564</v>
      </c>
      <c r="J635" s="133">
        <v>0.93753700059336564</v>
      </c>
      <c r="K635" s="133">
        <v>4.3702798477358855E-2</v>
      </c>
      <c r="L635" s="133">
        <v>10.221036930186145</v>
      </c>
      <c r="M635" s="45">
        <v>13188.598427468945</v>
      </c>
    </row>
    <row r="636" spans="1:13" x14ac:dyDescent="0.25">
      <c r="A636" s="812" t="s">
        <v>1999</v>
      </c>
      <c r="B636" s="812">
        <v>15</v>
      </c>
      <c r="C636" s="608">
        <v>39768</v>
      </c>
      <c r="D636" s="812">
        <v>99709</v>
      </c>
      <c r="E636" s="812" t="s">
        <v>1600</v>
      </c>
      <c r="F636" s="133">
        <v>2.513287339509664</v>
      </c>
      <c r="G636" s="133">
        <v>0.7508483756959099</v>
      </c>
      <c r="H636" s="133">
        <v>1.1899432826877365</v>
      </c>
      <c r="I636" s="133">
        <v>0.70190864830736832</v>
      </c>
      <c r="J636" s="133">
        <v>0.70190864830736832</v>
      </c>
      <c r="K636" s="133">
        <v>3.9794956509033606E-2</v>
      </c>
      <c r="L636" s="133">
        <v>7.3485534489520941</v>
      </c>
      <c r="M636" s="45">
        <v>15258.207746953027</v>
      </c>
    </row>
    <row r="637" spans="1:13" x14ac:dyDescent="0.25">
      <c r="A637" s="812" t="s">
        <v>1999</v>
      </c>
      <c r="B637" s="812">
        <v>15</v>
      </c>
      <c r="C637" s="608">
        <v>39768</v>
      </c>
      <c r="D637" s="812">
        <v>99712</v>
      </c>
      <c r="E637" s="812" t="s">
        <v>1601</v>
      </c>
      <c r="F637" s="133">
        <v>1.3816469512551643</v>
      </c>
      <c r="G637" s="133">
        <v>0.25221239855988753</v>
      </c>
      <c r="H637" s="133">
        <v>0.44660788725674766</v>
      </c>
      <c r="I637" s="133">
        <v>0.38494720602727073</v>
      </c>
      <c r="J637" s="133">
        <v>0.38494720602727073</v>
      </c>
      <c r="K637" s="133">
        <v>1.8107130936809927E-2</v>
      </c>
      <c r="L637" s="133">
        <v>4.0680166765375327</v>
      </c>
      <c r="M637" s="45">
        <v>5236.3334831976208</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7.1735381973165178E-5</v>
      </c>
      <c r="G649" s="133">
        <v>1.6641114786172973E-3</v>
      </c>
      <c r="H649" s="133">
        <v>9.1129969129061261E-4</v>
      </c>
      <c r="I649" s="133">
        <v>6.1355698515664226E-5</v>
      </c>
      <c r="J649" s="133">
        <v>6.1355698515664226E-5</v>
      </c>
      <c r="K649" s="133">
        <v>7.7364191500574607E-5</v>
      </c>
      <c r="L649" s="133">
        <v>1.8322511774453444E-4</v>
      </c>
      <c r="M649" s="45">
        <v>27.465570443333675</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0.70560777891373883</v>
      </c>
      <c r="G651" s="133">
        <v>0.63385776215111611</v>
      </c>
      <c r="H651" s="133">
        <v>0.77071822738907347</v>
      </c>
      <c r="I651" s="133">
        <v>0.21037562030959311</v>
      </c>
      <c r="J651" s="133">
        <v>0.21037562030959311</v>
      </c>
      <c r="K651" s="133">
        <v>2.8535101213340495E-2</v>
      </c>
      <c r="L651" s="133">
        <v>2.0887270014187158</v>
      </c>
      <c r="M651" s="45">
        <v>11952.11699016399</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1.7295582036427313E-2</v>
      </c>
      <c r="G653" s="133">
        <v>1.2065423812304934E-2</v>
      </c>
      <c r="H653" s="133">
        <v>1.7699223179745042E-2</v>
      </c>
      <c r="I653" s="133">
        <v>5.7401949550204955E-3</v>
      </c>
      <c r="J653" s="133">
        <v>5.7401949550204955E-3</v>
      </c>
      <c r="K653" s="133">
        <v>4.9312966260860343E-4</v>
      </c>
      <c r="L653" s="133">
        <v>6.1117383366845766E-2</v>
      </c>
      <c r="M653" s="45">
        <v>236.37644710599002</v>
      </c>
    </row>
    <row r="654" spans="1:13" x14ac:dyDescent="0.25">
      <c r="A654" s="812" t="s">
        <v>1999</v>
      </c>
      <c r="B654" s="812">
        <v>16</v>
      </c>
      <c r="C654" s="608">
        <v>39769</v>
      </c>
      <c r="D654" s="812">
        <v>99705</v>
      </c>
      <c r="E654" s="812" t="s">
        <v>1599</v>
      </c>
      <c r="F654" s="133">
        <v>2.9101562973707735</v>
      </c>
      <c r="G654" s="133">
        <v>0.59956442516826791</v>
      </c>
      <c r="H654" s="133">
        <v>0.99980844132519386</v>
      </c>
      <c r="I654" s="133">
        <v>0.88057863707577411</v>
      </c>
      <c r="J654" s="133">
        <v>0.88057863707577411</v>
      </c>
      <c r="K654" s="133">
        <v>4.129554270665587E-2</v>
      </c>
      <c r="L654" s="133">
        <v>9.4825241059044298</v>
      </c>
      <c r="M654" s="45">
        <v>12308.56671931884</v>
      </c>
    </row>
    <row r="655" spans="1:13" x14ac:dyDescent="0.25">
      <c r="A655" s="812" t="s">
        <v>1999</v>
      </c>
      <c r="B655" s="812">
        <v>16</v>
      </c>
      <c r="C655" s="608">
        <v>39769</v>
      </c>
      <c r="D655" s="812">
        <v>99709</v>
      </c>
      <c r="E655" s="812" t="s">
        <v>1600</v>
      </c>
      <c r="F655" s="133">
        <v>2.4618594434372425</v>
      </c>
      <c r="G655" s="133">
        <v>0.69898293238381837</v>
      </c>
      <c r="H655" s="133">
        <v>1.129573566476713</v>
      </c>
      <c r="I655" s="133">
        <v>0.67383022763069989</v>
      </c>
      <c r="J655" s="133">
        <v>0.67383022763069989</v>
      </c>
      <c r="K655" s="133">
        <v>3.8745789793981252E-2</v>
      </c>
      <c r="L655" s="133">
        <v>6.9789324629611018</v>
      </c>
      <c r="M655" s="45">
        <v>14340.627709382528</v>
      </c>
    </row>
    <row r="656" spans="1:13" x14ac:dyDescent="0.25">
      <c r="A656" s="812" t="s">
        <v>1999</v>
      </c>
      <c r="B656" s="812">
        <v>16</v>
      </c>
      <c r="C656" s="608">
        <v>39769</v>
      </c>
      <c r="D656" s="812">
        <v>99712</v>
      </c>
      <c r="E656" s="812" t="s">
        <v>1601</v>
      </c>
      <c r="F656" s="133">
        <v>1.3617287379931429</v>
      </c>
      <c r="G656" s="133">
        <v>0.2398466928069887</v>
      </c>
      <c r="H656" s="133">
        <v>0.42789707278379679</v>
      </c>
      <c r="I656" s="133">
        <v>0.37144245587832853</v>
      </c>
      <c r="J656" s="133">
        <v>0.37144245587832853</v>
      </c>
      <c r="K656" s="133">
        <v>1.7550492895810066E-2</v>
      </c>
      <c r="L656" s="133">
        <v>3.8737271992982514</v>
      </c>
      <c r="M656" s="45">
        <v>4996.8316728156524</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6.2611525545268939E-5</v>
      </c>
      <c r="G668" s="133">
        <v>1.4337756922187946E-3</v>
      </c>
      <c r="H668" s="133">
        <v>7.4848812031808878E-4</v>
      </c>
      <c r="I668" s="133">
        <v>5.5512884515213927E-5</v>
      </c>
      <c r="J668" s="133">
        <v>5.5512884515213927E-5</v>
      </c>
      <c r="K668" s="133">
        <v>7.7050724529450449E-5</v>
      </c>
      <c r="L668" s="133">
        <v>1.7749429101242609E-4</v>
      </c>
      <c r="M668" s="45">
        <v>23.92095861931227</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6BC8E-2E28-4763-8246-0528701CEB4A}">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0.67518419993252687</v>
      </c>
      <c r="G5" s="133">
        <v>0.60855240998842786</v>
      </c>
      <c r="H5" s="133">
        <v>0.77364253371025438</v>
      </c>
      <c r="I5" s="133">
        <v>0.19972425363548882</v>
      </c>
      <c r="J5" s="133">
        <v>0.19972425363548882</v>
      </c>
      <c r="K5" s="133">
        <v>1.9425186852217367E-2</v>
      </c>
      <c r="L5" s="133">
        <v>1.9862623950930713</v>
      </c>
      <c r="M5" s="45">
        <v>11291.045983938255</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1.6206816785339997E-2</v>
      </c>
      <c r="G7" s="133">
        <v>1.1483960279599833E-2</v>
      </c>
      <c r="H7" s="133">
        <v>1.7248894028154074E-2</v>
      </c>
      <c r="I7" s="133">
        <v>5.3806974967560463E-3</v>
      </c>
      <c r="J7" s="133">
        <v>5.3806974967560463E-3</v>
      </c>
      <c r="K7" s="133">
        <v>3.642321492069655E-4</v>
      </c>
      <c r="L7" s="133">
        <v>5.7306036796357387E-2</v>
      </c>
      <c r="M7" s="45">
        <v>222.2811400382831</v>
      </c>
    </row>
    <row r="8" spans="1:13" x14ac:dyDescent="0.25">
      <c r="A8" s="812" t="s">
        <v>1996</v>
      </c>
      <c r="B8" s="812">
        <v>1</v>
      </c>
      <c r="C8" s="608">
        <v>39470</v>
      </c>
      <c r="D8" s="812">
        <v>99705</v>
      </c>
      <c r="E8" s="812" t="s">
        <v>1599</v>
      </c>
      <c r="F8" s="133">
        <v>2.8135696068178757</v>
      </c>
      <c r="G8" s="133">
        <v>0.58259311008617987</v>
      </c>
      <c r="H8" s="133">
        <v>0.98181519482987822</v>
      </c>
      <c r="I8" s="133">
        <v>0.85199274474728082</v>
      </c>
      <c r="J8" s="133">
        <v>0.85199274474728082</v>
      </c>
      <c r="K8" s="133">
        <v>3.8176579717956058E-2</v>
      </c>
      <c r="L8" s="133">
        <v>9.1679579376520728</v>
      </c>
      <c r="M8" s="45">
        <v>11950.789954106553</v>
      </c>
    </row>
    <row r="9" spans="1:13" x14ac:dyDescent="0.25">
      <c r="A9" s="812" t="s">
        <v>1996</v>
      </c>
      <c r="B9" s="812">
        <v>1</v>
      </c>
      <c r="C9" s="608">
        <v>39470</v>
      </c>
      <c r="D9" s="812">
        <v>99709</v>
      </c>
      <c r="E9" s="812" t="s">
        <v>1600</v>
      </c>
      <c r="F9" s="133">
        <v>2.6289014948888405</v>
      </c>
      <c r="G9" s="133">
        <v>0.7085925025767511</v>
      </c>
      <c r="H9" s="133">
        <v>1.1777778239965624</v>
      </c>
      <c r="I9" s="133">
        <v>0.71425704511753185</v>
      </c>
      <c r="J9" s="133">
        <v>0.71425704511753185</v>
      </c>
      <c r="K9" s="133">
        <v>3.5910548525860453E-2</v>
      </c>
      <c r="L9" s="133">
        <v>7.4049077171894409</v>
      </c>
      <c r="M9" s="45">
        <v>14510.28113875274</v>
      </c>
    </row>
    <row r="10" spans="1:13" x14ac:dyDescent="0.25">
      <c r="A10" s="812" t="s">
        <v>1996</v>
      </c>
      <c r="B10" s="812">
        <v>1</v>
      </c>
      <c r="C10" s="608">
        <v>39470</v>
      </c>
      <c r="D10" s="812">
        <v>99712</v>
      </c>
      <c r="E10" s="812" t="s">
        <v>1601</v>
      </c>
      <c r="F10" s="133">
        <v>1.5483125335648953</v>
      </c>
      <c r="G10" s="133">
        <v>0.2636998758835708</v>
      </c>
      <c r="H10" s="133">
        <v>0.4751284234437797</v>
      </c>
      <c r="I10" s="133">
        <v>0.41936557879661879</v>
      </c>
      <c r="J10" s="133">
        <v>0.41936557879661879</v>
      </c>
      <c r="K10" s="133">
        <v>1.9283676009181235E-2</v>
      </c>
      <c r="L10" s="133">
        <v>4.3801577745595575</v>
      </c>
      <c r="M10" s="45">
        <v>5494.61679346245</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5.7271407822894691E-5</v>
      </c>
      <c r="G22" s="133">
        <v>1.36551712026486E-3</v>
      </c>
      <c r="H22" s="133">
        <v>8.2030383444977825E-4</v>
      </c>
      <c r="I22" s="133">
        <v>4.5107216961733654E-5</v>
      </c>
      <c r="J22" s="133">
        <v>4.5107216961733654E-5</v>
      </c>
      <c r="K22" s="133">
        <v>4.2928332341341058E-5</v>
      </c>
      <c r="L22" s="133">
        <v>1.1153304145293263E-4</v>
      </c>
      <c r="M22" s="45">
        <v>22.029196865622662</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0.93543231990110298</v>
      </c>
      <c r="G24" s="133">
        <v>0.79717079830802617</v>
      </c>
      <c r="H24" s="133">
        <v>1.0090263458675366</v>
      </c>
      <c r="I24" s="133">
        <v>0.26944962848825954</v>
      </c>
      <c r="J24" s="133">
        <v>0.26944962848825954</v>
      </c>
      <c r="K24" s="133">
        <v>2.247657324318543E-2</v>
      </c>
      <c r="L24" s="133">
        <v>2.6744444253474922</v>
      </c>
      <c r="M24" s="45">
        <v>14619.33418997998</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2.197771889907844E-2</v>
      </c>
      <c r="G26" s="133">
        <v>1.4990998576519995E-2</v>
      </c>
      <c r="H26" s="133">
        <v>2.2378343430188314E-2</v>
      </c>
      <c r="I26" s="133">
        <v>7.1857860715101238E-3</v>
      </c>
      <c r="J26" s="133">
        <v>7.1857860715101238E-3</v>
      </c>
      <c r="K26" s="133">
        <v>4.3917938914245908E-4</v>
      </c>
      <c r="L26" s="133">
        <v>7.6731946372668655E-2</v>
      </c>
      <c r="M26" s="45">
        <v>287.32216493563527</v>
      </c>
    </row>
    <row r="27" spans="1:13" x14ac:dyDescent="0.25">
      <c r="A27" s="812" t="s">
        <v>1996</v>
      </c>
      <c r="B27" s="812">
        <v>2</v>
      </c>
      <c r="C27" s="608">
        <v>39471</v>
      </c>
      <c r="D27" s="812">
        <v>99705</v>
      </c>
      <c r="E27" s="812" t="s">
        <v>1599</v>
      </c>
      <c r="F27" s="133">
        <v>3.7983593111915552</v>
      </c>
      <c r="G27" s="133">
        <v>0.76131914663945544</v>
      </c>
      <c r="H27" s="133">
        <v>1.2768628014114454</v>
      </c>
      <c r="I27" s="133">
        <v>1.1389895563151959</v>
      </c>
      <c r="J27" s="133">
        <v>1.1389895563151959</v>
      </c>
      <c r="K27" s="133">
        <v>5.0658770244456461E-2</v>
      </c>
      <c r="L27" s="133">
        <v>12.339870612961835</v>
      </c>
      <c r="M27" s="45">
        <v>15526.767156297274</v>
      </c>
    </row>
    <row r="28" spans="1:13" x14ac:dyDescent="0.25">
      <c r="A28" s="812" t="s">
        <v>1996</v>
      </c>
      <c r="B28" s="812">
        <v>2</v>
      </c>
      <c r="C28" s="608">
        <v>39471</v>
      </c>
      <c r="D28" s="812">
        <v>99709</v>
      </c>
      <c r="E28" s="812" t="s">
        <v>1600</v>
      </c>
      <c r="F28" s="133">
        <v>3.5063067478460259</v>
      </c>
      <c r="G28" s="133">
        <v>0.90366966613440247</v>
      </c>
      <c r="H28" s="133">
        <v>1.4876478743360946</v>
      </c>
      <c r="I28" s="133">
        <v>0.9328153458867886</v>
      </c>
      <c r="J28" s="133">
        <v>0.9328153458867886</v>
      </c>
      <c r="K28" s="133">
        <v>4.5395930360460773E-2</v>
      </c>
      <c r="L28" s="133">
        <v>9.6375414540633102</v>
      </c>
      <c r="M28" s="45">
        <v>18351.093653498352</v>
      </c>
    </row>
    <row r="29" spans="1:13" x14ac:dyDescent="0.25">
      <c r="A29" s="812" t="s">
        <v>1996</v>
      </c>
      <c r="B29" s="812">
        <v>2</v>
      </c>
      <c r="C29" s="608">
        <v>39471</v>
      </c>
      <c r="D29" s="812">
        <v>99712</v>
      </c>
      <c r="E29" s="812" t="s">
        <v>1601</v>
      </c>
      <c r="F29" s="133">
        <v>1.9535484934261274</v>
      </c>
      <c r="G29" s="133">
        <v>0.32018916004617315</v>
      </c>
      <c r="H29" s="133">
        <v>0.57254249265094825</v>
      </c>
      <c r="I29" s="133">
        <v>0.52059654583758941</v>
      </c>
      <c r="J29" s="133">
        <v>0.52059654583758941</v>
      </c>
      <c r="K29" s="133">
        <v>2.3902977609325807E-2</v>
      </c>
      <c r="L29" s="133">
        <v>5.4317936693004834</v>
      </c>
      <c r="M29" s="45">
        <v>6636.2305113986304</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7.5164543853589131E-5</v>
      </c>
      <c r="G41" s="133">
        <v>1.8172372444619142E-3</v>
      </c>
      <c r="H41" s="133">
        <v>1.1395996946822211E-3</v>
      </c>
      <c r="I41" s="133">
        <v>5.6565777992182651E-5</v>
      </c>
      <c r="J41" s="133">
        <v>5.6565777992182651E-5</v>
      </c>
      <c r="K41" s="133">
        <v>4.3543084140624636E-5</v>
      </c>
      <c r="L41" s="133">
        <v>1.2277198006363133E-4</v>
      </c>
      <c r="M41" s="45">
        <v>28.980667665766227</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0.85384719659906172</v>
      </c>
      <c r="G43" s="133">
        <v>0.76527940819216567</v>
      </c>
      <c r="H43" s="133">
        <v>0.95423408684766331</v>
      </c>
      <c r="I43" s="133">
        <v>0.24820732384211236</v>
      </c>
      <c r="J43" s="133">
        <v>0.24820732384211236</v>
      </c>
      <c r="K43" s="133">
        <v>2.1547041743624196E-2</v>
      </c>
      <c r="L43" s="133">
        <v>2.458320332412308</v>
      </c>
      <c r="M43" s="45">
        <v>13981.265273527835</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2.0258117986426162E-2</v>
      </c>
      <c r="G45" s="133">
        <v>1.4299464824182428E-2</v>
      </c>
      <c r="H45" s="133">
        <v>2.1099997600021132E-2</v>
      </c>
      <c r="I45" s="133">
        <v>6.6575638439750522E-3</v>
      </c>
      <c r="J45" s="133">
        <v>6.6575638439750522E-3</v>
      </c>
      <c r="K45" s="133">
        <v>4.1738790816770187E-4</v>
      </c>
      <c r="L45" s="133">
        <v>7.0947326254385948E-2</v>
      </c>
      <c r="M45" s="45">
        <v>273.08166878137382</v>
      </c>
    </row>
    <row r="46" spans="1:13" x14ac:dyDescent="0.25">
      <c r="A46" s="812" t="s">
        <v>1996</v>
      </c>
      <c r="B46" s="812">
        <v>3</v>
      </c>
      <c r="C46" s="608">
        <v>39472</v>
      </c>
      <c r="D46" s="812">
        <v>99705</v>
      </c>
      <c r="E46" s="812" t="s">
        <v>1599</v>
      </c>
      <c r="F46" s="133">
        <v>3.5155334769028372</v>
      </c>
      <c r="G46" s="133">
        <v>0.71522856680104441</v>
      </c>
      <c r="H46" s="133">
        <v>1.1957115539684053</v>
      </c>
      <c r="I46" s="133">
        <v>1.0568546454126406</v>
      </c>
      <c r="J46" s="133">
        <v>1.0568546454126406</v>
      </c>
      <c r="K46" s="133">
        <v>4.7083765730437932E-2</v>
      </c>
      <c r="L46" s="133">
        <v>11.431659982799863</v>
      </c>
      <c r="M46" s="45">
        <v>14580.145303100688</v>
      </c>
    </row>
    <row r="47" spans="1:13" x14ac:dyDescent="0.25">
      <c r="A47" s="812" t="s">
        <v>1996</v>
      </c>
      <c r="B47" s="812">
        <v>3</v>
      </c>
      <c r="C47" s="608">
        <v>39472</v>
      </c>
      <c r="D47" s="812">
        <v>99709</v>
      </c>
      <c r="E47" s="812" t="s">
        <v>1600</v>
      </c>
      <c r="F47" s="133">
        <v>3.1139704647997104</v>
      </c>
      <c r="G47" s="133">
        <v>0.839224586513038</v>
      </c>
      <c r="H47" s="133">
        <v>1.3671064061196159</v>
      </c>
      <c r="I47" s="133">
        <v>0.83526610358974673</v>
      </c>
      <c r="J47" s="133">
        <v>0.83526610358974673</v>
      </c>
      <c r="K47" s="133">
        <v>4.1183045785766724E-2</v>
      </c>
      <c r="L47" s="133">
        <v>8.6341447183127933</v>
      </c>
      <c r="M47" s="45">
        <v>16988.923476634805</v>
      </c>
    </row>
    <row r="48" spans="1:13" x14ac:dyDescent="0.25">
      <c r="A48" s="812" t="s">
        <v>1996</v>
      </c>
      <c r="B48" s="812">
        <v>3</v>
      </c>
      <c r="C48" s="608">
        <v>39472</v>
      </c>
      <c r="D48" s="812">
        <v>99712</v>
      </c>
      <c r="E48" s="812" t="s">
        <v>1601</v>
      </c>
      <c r="F48" s="133">
        <v>1.7614369528465925</v>
      </c>
      <c r="G48" s="133">
        <v>0.29593635453519707</v>
      </c>
      <c r="H48" s="133">
        <v>0.52853271946894009</v>
      </c>
      <c r="I48" s="133">
        <v>0.47253201126929312</v>
      </c>
      <c r="J48" s="133">
        <v>0.47253201126929312</v>
      </c>
      <c r="K48" s="133">
        <v>2.1709438536406025E-2</v>
      </c>
      <c r="L48" s="133">
        <v>4.9310952674560413</v>
      </c>
      <c r="M48" s="45">
        <v>6136.0000237736185</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7.360861898135485E-5</v>
      </c>
      <c r="G60" s="133">
        <v>1.7779572336621714E-3</v>
      </c>
      <c r="H60" s="133">
        <v>1.1118348372707041E-3</v>
      </c>
      <c r="I60" s="133">
        <v>5.5569381380839279E-5</v>
      </c>
      <c r="J60" s="133">
        <v>5.5569381380839279E-5</v>
      </c>
      <c r="K60" s="133">
        <v>4.3489627462426082E-5</v>
      </c>
      <c r="L60" s="133">
        <v>1.2179468105400541E-4</v>
      </c>
      <c r="M60" s="45">
        <v>28.376191944014614</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1.188152070468067</v>
      </c>
      <c r="G62" s="133">
        <v>0.95718039214417072</v>
      </c>
      <c r="H62" s="133">
        <v>1.2279897877848236</v>
      </c>
      <c r="I62" s="133">
        <v>0.34018200352737543</v>
      </c>
      <c r="J62" s="133">
        <v>0.34018200352737543</v>
      </c>
      <c r="K62" s="133">
        <v>2.553070002614178E-2</v>
      </c>
      <c r="L62" s="133">
        <v>3.4010123051112608</v>
      </c>
      <c r="M62" s="45">
        <v>17541.568156439916</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2.7762373863390522E-2</v>
      </c>
      <c r="G64" s="133">
        <v>1.8192473078586211E-2</v>
      </c>
      <c r="H64" s="133">
        <v>2.7459063926258829E-2</v>
      </c>
      <c r="I64" s="133">
        <v>9.0927664034097435E-3</v>
      </c>
      <c r="J64" s="133">
        <v>9.0927664034097435E-3</v>
      </c>
      <c r="K64" s="133">
        <v>5.1679192651427866E-4</v>
      </c>
      <c r="L64" s="133">
        <v>9.7974291535421767E-2</v>
      </c>
      <c r="M64" s="45">
        <v>348.89423879969189</v>
      </c>
    </row>
    <row r="65" spans="1:13" x14ac:dyDescent="0.25">
      <c r="A65" s="812" t="s">
        <v>1996</v>
      </c>
      <c r="B65" s="812">
        <v>4</v>
      </c>
      <c r="C65" s="608">
        <v>39473</v>
      </c>
      <c r="D65" s="812">
        <v>99705</v>
      </c>
      <c r="E65" s="812" t="s">
        <v>1599</v>
      </c>
      <c r="F65" s="133">
        <v>4.6305159835224075</v>
      </c>
      <c r="G65" s="133">
        <v>0.92264518579546884</v>
      </c>
      <c r="H65" s="133">
        <v>1.5460306837039834</v>
      </c>
      <c r="I65" s="133">
        <v>1.3999592795664604</v>
      </c>
      <c r="J65" s="133">
        <v>1.3999592795664604</v>
      </c>
      <c r="K65" s="133">
        <v>6.1952611767253488E-2</v>
      </c>
      <c r="L65" s="133">
        <v>15.340652216129751</v>
      </c>
      <c r="M65" s="45">
        <v>18770.943689357919</v>
      </c>
    </row>
    <row r="66" spans="1:13" x14ac:dyDescent="0.25">
      <c r="A66" s="812" t="s">
        <v>1996</v>
      </c>
      <c r="B66" s="812">
        <v>4</v>
      </c>
      <c r="C66" s="608">
        <v>39473</v>
      </c>
      <c r="D66" s="812">
        <v>99709</v>
      </c>
      <c r="E66" s="812" t="s">
        <v>1600</v>
      </c>
      <c r="F66" s="133">
        <v>4.155097083372767</v>
      </c>
      <c r="G66" s="133">
        <v>1.0591032562444227</v>
      </c>
      <c r="H66" s="133">
        <v>1.7363863866770235</v>
      </c>
      <c r="I66" s="133">
        <v>1.1085596685050259</v>
      </c>
      <c r="J66" s="133">
        <v>1.1085596685050259</v>
      </c>
      <c r="K66" s="133">
        <v>5.2864124039491381E-2</v>
      </c>
      <c r="L66" s="133">
        <v>11.51964205103474</v>
      </c>
      <c r="M66" s="45">
        <v>21428.42733347938</v>
      </c>
    </row>
    <row r="67" spans="1:13" x14ac:dyDescent="0.25">
      <c r="A67" s="812" t="s">
        <v>1996</v>
      </c>
      <c r="B67" s="812">
        <v>4</v>
      </c>
      <c r="C67" s="608">
        <v>39473</v>
      </c>
      <c r="D67" s="812">
        <v>99712</v>
      </c>
      <c r="E67" s="812" t="s">
        <v>1601</v>
      </c>
      <c r="F67" s="133">
        <v>2.3024510194955559</v>
      </c>
      <c r="G67" s="133">
        <v>0.37468566296554923</v>
      </c>
      <c r="H67" s="133">
        <v>0.66779265141010469</v>
      </c>
      <c r="I67" s="133">
        <v>0.61575870998606796</v>
      </c>
      <c r="J67" s="133">
        <v>0.61575870998606796</v>
      </c>
      <c r="K67" s="133">
        <v>2.8192720688797725E-2</v>
      </c>
      <c r="L67" s="133">
        <v>6.4728244442288556</v>
      </c>
      <c r="M67" s="45">
        <v>7745.1550941324376</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8.8389905267580689E-5</v>
      </c>
      <c r="G79" s="133">
        <v>2.1511173362597385E-3</v>
      </c>
      <c r="H79" s="133">
        <v>1.3756009826801133E-3</v>
      </c>
      <c r="I79" s="133">
        <v>6.5035149188601499E-5</v>
      </c>
      <c r="J79" s="133">
        <v>6.5035149188601499E-5</v>
      </c>
      <c r="K79" s="133">
        <v>4.3997465905312532E-5</v>
      </c>
      <c r="L79" s="133">
        <v>1.3107902164545218E-4</v>
      </c>
      <c r="M79" s="45">
        <v>34.118711300654951</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1.057068489106844</v>
      </c>
      <c r="G81" s="133">
        <v>0.88693087921632974</v>
      </c>
      <c r="H81" s="133">
        <v>1.1277166974946988</v>
      </c>
      <c r="I81" s="133">
        <v>0.30621047541639679</v>
      </c>
      <c r="J81" s="133">
        <v>0.30621047541639679</v>
      </c>
      <c r="K81" s="133">
        <v>2.4030393443106656E-2</v>
      </c>
      <c r="L81" s="133">
        <v>3.0630507249289649</v>
      </c>
      <c r="M81" s="45">
        <v>16239.173498415606</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2.5174366903513202E-2</v>
      </c>
      <c r="G83" s="133">
        <v>1.6850574952709984E-2</v>
      </c>
      <c r="H83" s="133">
        <v>2.5304342306574176E-2</v>
      </c>
      <c r="I83" s="133">
        <v>8.2879110144830296E-3</v>
      </c>
      <c r="J83" s="133">
        <v>8.2879110144830296E-3</v>
      </c>
      <c r="K83" s="133">
        <v>4.8362067963518546E-4</v>
      </c>
      <c r="L83" s="133">
        <v>8.924148906725661E-2</v>
      </c>
      <c r="M83" s="45">
        <v>322.98483038081906</v>
      </c>
    </row>
    <row r="84" spans="1:13" x14ac:dyDescent="0.25">
      <c r="A84" s="812" t="s">
        <v>1996</v>
      </c>
      <c r="B84" s="812">
        <v>5</v>
      </c>
      <c r="C84" s="608">
        <v>39474</v>
      </c>
      <c r="D84" s="812">
        <v>99705</v>
      </c>
      <c r="E84" s="812" t="s">
        <v>1599</v>
      </c>
      <c r="F84" s="133">
        <v>4.1999879942234424</v>
      </c>
      <c r="G84" s="133">
        <v>0.84685415199665148</v>
      </c>
      <c r="H84" s="133">
        <v>1.4171355980821749</v>
      </c>
      <c r="I84" s="133">
        <v>1.2736672518194498</v>
      </c>
      <c r="J84" s="133">
        <v>1.2736672518194498</v>
      </c>
      <c r="K84" s="133">
        <v>5.6451110893251874E-2</v>
      </c>
      <c r="L84" s="133">
        <v>13.940216949947878</v>
      </c>
      <c r="M84" s="45">
        <v>17237.690344775208</v>
      </c>
    </row>
    <row r="85" spans="1:13" x14ac:dyDescent="0.25">
      <c r="A85" s="812" t="s">
        <v>1996</v>
      </c>
      <c r="B85" s="812">
        <v>5</v>
      </c>
      <c r="C85" s="608">
        <v>39474</v>
      </c>
      <c r="D85" s="812">
        <v>99709</v>
      </c>
      <c r="E85" s="812" t="s">
        <v>1600</v>
      </c>
      <c r="F85" s="133">
        <v>3.5771117464504014</v>
      </c>
      <c r="G85" s="133">
        <v>0.95818275078677695</v>
      </c>
      <c r="H85" s="133">
        <v>1.562876939360172</v>
      </c>
      <c r="I85" s="133">
        <v>0.96552646814966092</v>
      </c>
      <c r="J85" s="133">
        <v>0.96552646814966092</v>
      </c>
      <c r="K85" s="133">
        <v>4.6664257639155916E-2</v>
      </c>
      <c r="L85" s="133">
        <v>10.053143047338033</v>
      </c>
      <c r="M85" s="45">
        <v>19370.449609127892</v>
      </c>
    </row>
    <row r="86" spans="1:13" x14ac:dyDescent="0.25">
      <c r="A86" s="812" t="s">
        <v>1996</v>
      </c>
      <c r="B86" s="812">
        <v>5</v>
      </c>
      <c r="C86" s="608">
        <v>39474</v>
      </c>
      <c r="D86" s="812">
        <v>99712</v>
      </c>
      <c r="E86" s="812" t="s">
        <v>1601</v>
      </c>
      <c r="F86" s="133">
        <v>1.8793016063801906</v>
      </c>
      <c r="G86" s="133">
        <v>0.31948964020626647</v>
      </c>
      <c r="H86" s="133">
        <v>0.56810892231393162</v>
      </c>
      <c r="I86" s="133">
        <v>0.509053996804402</v>
      </c>
      <c r="J86" s="133">
        <v>0.509053996804402</v>
      </c>
      <c r="K86" s="133">
        <v>2.3341875159038662E-2</v>
      </c>
      <c r="L86" s="133">
        <v>5.3578212826731546</v>
      </c>
      <c r="M86" s="45">
        <v>6608.0398807075344</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8.2944168214760667E-5</v>
      </c>
      <c r="G98" s="133">
        <v>2.013637298460636E-3</v>
      </c>
      <c r="H98" s="133">
        <v>1.2784239817398052E-3</v>
      </c>
      <c r="I98" s="133">
        <v>6.1547761048899639E-5</v>
      </c>
      <c r="J98" s="133">
        <v>6.1547761048899639E-5</v>
      </c>
      <c r="K98" s="133">
        <v>4.3810367531617535E-5</v>
      </c>
      <c r="L98" s="133">
        <v>1.276584751117613E-4</v>
      </c>
      <c r="M98" s="45">
        <v>32.003046274524301</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0.91549554880083905</v>
      </c>
      <c r="G100" s="133">
        <v>0.78141981906283331</v>
      </c>
      <c r="H100" s="133">
        <v>0.99002117403500189</v>
      </c>
      <c r="I100" s="133">
        <v>0.26400725779843565</v>
      </c>
      <c r="J100" s="133">
        <v>0.26400725779843565</v>
      </c>
      <c r="K100" s="133">
        <v>2.2240006660105342E-2</v>
      </c>
      <c r="L100" s="133">
        <v>2.6206487434626786</v>
      </c>
      <c r="M100" s="45">
        <v>14344.534400825929</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2.1740305915036784E-2</v>
      </c>
      <c r="G102" s="133">
        <v>1.4784893000214508E-2</v>
      </c>
      <c r="H102" s="133">
        <v>2.2148671264107453E-2</v>
      </c>
      <c r="I102" s="133">
        <v>7.112178436317786E-3</v>
      </c>
      <c r="J102" s="133">
        <v>7.112178436317786E-3</v>
      </c>
      <c r="K102" s="133">
        <v>4.3587965804148536E-4</v>
      </c>
      <c r="L102" s="133">
        <v>7.5965540232076939E-2</v>
      </c>
      <c r="M102" s="45">
        <v>283.88656279922878</v>
      </c>
    </row>
    <row r="103" spans="1:13" x14ac:dyDescent="0.25">
      <c r="A103" s="812" t="s">
        <v>1996</v>
      </c>
      <c r="B103" s="812">
        <v>6</v>
      </c>
      <c r="C103" s="608">
        <v>39475</v>
      </c>
      <c r="D103" s="812">
        <v>99705</v>
      </c>
      <c r="E103" s="812" t="s">
        <v>1599</v>
      </c>
      <c r="F103" s="133">
        <v>3.7795190414232533</v>
      </c>
      <c r="G103" s="133">
        <v>0.75640099582381037</v>
      </c>
      <c r="H103" s="133">
        <v>1.2701000834619647</v>
      </c>
      <c r="I103" s="133">
        <v>1.1342022025804521</v>
      </c>
      <c r="J103" s="133">
        <v>1.1342022025804521</v>
      </c>
      <c r="K103" s="133">
        <v>5.0411860577666702E-2</v>
      </c>
      <c r="L103" s="133">
        <v>12.290078549510479</v>
      </c>
      <c r="M103" s="45">
        <v>15437.739257071893</v>
      </c>
    </row>
    <row r="104" spans="1:13" x14ac:dyDescent="0.25">
      <c r="A104" s="812" t="s">
        <v>1996</v>
      </c>
      <c r="B104" s="812">
        <v>6</v>
      </c>
      <c r="C104" s="608">
        <v>39475</v>
      </c>
      <c r="D104" s="812">
        <v>99709</v>
      </c>
      <c r="E104" s="812" t="s">
        <v>1600</v>
      </c>
      <c r="F104" s="133">
        <v>3.2373951368594587</v>
      </c>
      <c r="G104" s="133">
        <v>0.85852519002073868</v>
      </c>
      <c r="H104" s="133">
        <v>1.4064106613796752</v>
      </c>
      <c r="I104" s="133">
        <v>0.86478592831969914</v>
      </c>
      <c r="J104" s="133">
        <v>0.86478592831969914</v>
      </c>
      <c r="K104" s="133">
        <v>4.2473595948688561E-2</v>
      </c>
      <c r="L104" s="133">
        <v>8.9315795799234738</v>
      </c>
      <c r="M104" s="45">
        <v>17411.422990901676</v>
      </c>
    </row>
    <row r="105" spans="1:13" x14ac:dyDescent="0.25">
      <c r="A105" s="812" t="s">
        <v>1996</v>
      </c>
      <c r="B105" s="812">
        <v>6</v>
      </c>
      <c r="C105" s="608">
        <v>39475</v>
      </c>
      <c r="D105" s="812">
        <v>99712</v>
      </c>
      <c r="E105" s="812" t="s">
        <v>1601</v>
      </c>
      <c r="F105" s="133">
        <v>1.7701491960470235</v>
      </c>
      <c r="G105" s="133">
        <v>0.29552424513740311</v>
      </c>
      <c r="H105" s="133">
        <v>0.52807978701952829</v>
      </c>
      <c r="I105" s="133">
        <v>0.47261118358736431</v>
      </c>
      <c r="J105" s="133">
        <v>0.47261118358736431</v>
      </c>
      <c r="K105" s="133">
        <v>2.174829556967869E-2</v>
      </c>
      <c r="L105" s="133">
        <v>4.9214928288109743</v>
      </c>
      <c r="M105" s="45">
        <v>6127.3755041546447</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7.3608618981354837E-5</v>
      </c>
      <c r="G117" s="133">
        <v>1.7779572336621709E-3</v>
      </c>
      <c r="H117" s="133">
        <v>1.1118348372707043E-3</v>
      </c>
      <c r="I117" s="133">
        <v>5.5569381380839259E-5</v>
      </c>
      <c r="J117" s="133">
        <v>5.5569381380839259E-5</v>
      </c>
      <c r="K117" s="133">
        <v>4.3489627462426076E-5</v>
      </c>
      <c r="L117" s="133">
        <v>1.2179468105400539E-4</v>
      </c>
      <c r="M117" s="45">
        <v>28.376191944014614</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1.0278425693661171</v>
      </c>
      <c r="G119" s="133">
        <v>0.85774626984453883</v>
      </c>
      <c r="H119" s="133">
        <v>1.0877625909100042</v>
      </c>
      <c r="I119" s="133">
        <v>0.29381322402275012</v>
      </c>
      <c r="J119" s="133">
        <v>0.29381322402275012</v>
      </c>
      <c r="K119" s="133">
        <v>2.3548576578943783E-2</v>
      </c>
      <c r="L119" s="133">
        <v>2.9150672083557447</v>
      </c>
      <c r="M119" s="45">
        <v>15703.716286225583</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2.4143298424943178E-2</v>
      </c>
      <c r="G121" s="133">
        <v>1.6207284039808811E-2</v>
      </c>
      <c r="H121" s="133">
        <v>2.4264623708886501E-2</v>
      </c>
      <c r="I121" s="133">
        <v>7.8634215877543649E-3</v>
      </c>
      <c r="J121" s="133">
        <v>7.8634215877543649E-3</v>
      </c>
      <c r="K121" s="133">
        <v>4.6699599659144787E-4</v>
      </c>
      <c r="L121" s="133">
        <v>8.406323081771401E-2</v>
      </c>
      <c r="M121" s="45">
        <v>310.4561877459758</v>
      </c>
    </row>
    <row r="122" spans="1:13" x14ac:dyDescent="0.25">
      <c r="A122" s="812" t="s">
        <v>1996</v>
      </c>
      <c r="B122" s="812">
        <v>7</v>
      </c>
      <c r="C122" s="608">
        <v>39476</v>
      </c>
      <c r="D122" s="812">
        <v>99705</v>
      </c>
      <c r="E122" s="812" t="s">
        <v>1599</v>
      </c>
      <c r="F122" s="133">
        <v>4.1381859849794047</v>
      </c>
      <c r="G122" s="133">
        <v>0.82265312888111641</v>
      </c>
      <c r="H122" s="133">
        <v>1.379002083142322</v>
      </c>
      <c r="I122" s="133">
        <v>1.2391030087604495</v>
      </c>
      <c r="J122" s="133">
        <v>1.2391030087604495</v>
      </c>
      <c r="K122" s="133">
        <v>5.4976703971595757E-2</v>
      </c>
      <c r="L122" s="133">
        <v>13.450839154795007</v>
      </c>
      <c r="M122" s="45">
        <v>16760.548416921007</v>
      </c>
    </row>
    <row r="123" spans="1:13" x14ac:dyDescent="0.25">
      <c r="A123" s="812" t="s">
        <v>1996</v>
      </c>
      <c r="B123" s="812">
        <v>7</v>
      </c>
      <c r="C123" s="608">
        <v>39476</v>
      </c>
      <c r="D123" s="812">
        <v>99709</v>
      </c>
      <c r="E123" s="812" t="s">
        <v>1600</v>
      </c>
      <c r="F123" s="133">
        <v>3.6197197593161827</v>
      </c>
      <c r="G123" s="133">
        <v>0.94077260512929051</v>
      </c>
      <c r="H123" s="133">
        <v>1.5394199941993774</v>
      </c>
      <c r="I123" s="133">
        <v>0.95995410377991319</v>
      </c>
      <c r="J123" s="133">
        <v>0.95995410377991319</v>
      </c>
      <c r="K123" s="133">
        <v>4.6623423131321541E-2</v>
      </c>
      <c r="L123" s="133">
        <v>9.9045503790400709</v>
      </c>
      <c r="M123" s="45">
        <v>19041.147981128848</v>
      </c>
    </row>
    <row r="124" spans="1:13" x14ac:dyDescent="0.25">
      <c r="A124" s="812" t="s">
        <v>1996</v>
      </c>
      <c r="B124" s="812">
        <v>7</v>
      </c>
      <c r="C124" s="608">
        <v>39476</v>
      </c>
      <c r="D124" s="812">
        <v>99712</v>
      </c>
      <c r="E124" s="812" t="s">
        <v>1601</v>
      </c>
      <c r="F124" s="133">
        <v>1.9464396400989086</v>
      </c>
      <c r="G124" s="133">
        <v>0.32026124073565754</v>
      </c>
      <c r="H124" s="133">
        <v>0.57081039464894989</v>
      </c>
      <c r="I124" s="133">
        <v>0.51748852403354895</v>
      </c>
      <c r="J124" s="133">
        <v>0.51748852403354895</v>
      </c>
      <c r="K124" s="133">
        <v>2.3784420032430937E-2</v>
      </c>
      <c r="L124" s="133">
        <v>5.3921893478184204</v>
      </c>
      <c r="M124" s="45">
        <v>6628.0821099634031</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8.0610280906409206E-5</v>
      </c>
      <c r="G136" s="133">
        <v>1.9547172822610192E-3</v>
      </c>
      <c r="H136" s="133">
        <v>1.2367766956225298E-3</v>
      </c>
      <c r="I136" s="133">
        <v>6.0053166131884551E-5</v>
      </c>
      <c r="J136" s="133">
        <v>6.0053166131884551E-5</v>
      </c>
      <c r="K136" s="133">
        <v>4.3730182514319674E-5</v>
      </c>
      <c r="L136" s="133">
        <v>1.2619252659732235E-4</v>
      </c>
      <c r="M136" s="45">
        <v>31.09633269189688</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1.0843341782164486</v>
      </c>
      <c r="G138" s="133">
        <v>0.85688993946507597</v>
      </c>
      <c r="H138" s="133">
        <v>1.1096799962527801</v>
      </c>
      <c r="I138" s="133">
        <v>0.30798769052647812</v>
      </c>
      <c r="J138" s="133">
        <v>0.30798769052647812</v>
      </c>
      <c r="K138" s="133">
        <v>2.4169411687212046E-2</v>
      </c>
      <c r="L138" s="133">
        <v>3.0648129115186338</v>
      </c>
      <c r="M138" s="45">
        <v>15804.013012506879</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2.5298744275994267E-2</v>
      </c>
      <c r="G140" s="133">
        <v>1.6370540406967587E-2</v>
      </c>
      <c r="H140" s="133">
        <v>2.4935485524998292E-2</v>
      </c>
      <c r="I140" s="133">
        <v>8.2124649829293898E-3</v>
      </c>
      <c r="J140" s="133">
        <v>8.2124649829293898E-3</v>
      </c>
      <c r="K140" s="133">
        <v>4.810547393339998E-4</v>
      </c>
      <c r="L140" s="133">
        <v>8.7980314904575599E-2</v>
      </c>
      <c r="M140" s="45">
        <v>315.7814755319954</v>
      </c>
    </row>
    <row r="141" spans="1:13" x14ac:dyDescent="0.25">
      <c r="A141" s="812" t="s">
        <v>1996</v>
      </c>
      <c r="B141" s="812">
        <v>8</v>
      </c>
      <c r="C141" s="608">
        <v>39477</v>
      </c>
      <c r="D141" s="812">
        <v>99705</v>
      </c>
      <c r="E141" s="812" t="s">
        <v>1599</v>
      </c>
      <c r="F141" s="133">
        <v>4.2886662294759432</v>
      </c>
      <c r="G141" s="133">
        <v>0.84299667849026549</v>
      </c>
      <c r="H141" s="133">
        <v>1.419726411008132</v>
      </c>
      <c r="I141" s="133">
        <v>1.2831807869506833</v>
      </c>
      <c r="J141" s="133">
        <v>1.2831807869506833</v>
      </c>
      <c r="K141" s="133">
        <v>5.6895688663382536E-2</v>
      </c>
      <c r="L141" s="133">
        <v>13.94142383449331</v>
      </c>
      <c r="M141" s="45">
        <v>17201.99894320111</v>
      </c>
    </row>
    <row r="142" spans="1:13" x14ac:dyDescent="0.25">
      <c r="A142" s="812" t="s">
        <v>1996</v>
      </c>
      <c r="B142" s="812">
        <v>8</v>
      </c>
      <c r="C142" s="608">
        <v>39477</v>
      </c>
      <c r="D142" s="812">
        <v>99709</v>
      </c>
      <c r="E142" s="812" t="s">
        <v>1600</v>
      </c>
      <c r="F142" s="133">
        <v>3.815081848761964</v>
      </c>
      <c r="G142" s="133">
        <v>0.96195726689899774</v>
      </c>
      <c r="H142" s="133">
        <v>1.5913730086909081</v>
      </c>
      <c r="I142" s="133">
        <v>1.0078995043815995</v>
      </c>
      <c r="J142" s="133">
        <v>1.0078995043815995</v>
      </c>
      <c r="K142" s="133">
        <v>4.8708355514475714E-2</v>
      </c>
      <c r="L142" s="133">
        <v>10.398199114587364</v>
      </c>
      <c r="M142" s="45">
        <v>19550.360009769462</v>
      </c>
    </row>
    <row r="143" spans="1:13" x14ac:dyDescent="0.25">
      <c r="A143" s="812" t="s">
        <v>1996</v>
      </c>
      <c r="B143" s="812">
        <v>8</v>
      </c>
      <c r="C143" s="608">
        <v>39477</v>
      </c>
      <c r="D143" s="812">
        <v>99712</v>
      </c>
      <c r="E143" s="812" t="s">
        <v>1601</v>
      </c>
      <c r="F143" s="133">
        <v>2.0466610499970237</v>
      </c>
      <c r="G143" s="133">
        <v>0.33212557313541885</v>
      </c>
      <c r="H143" s="133">
        <v>0.59366160572940208</v>
      </c>
      <c r="I143" s="133">
        <v>0.54267732484403597</v>
      </c>
      <c r="J143" s="133">
        <v>0.54267732484403597</v>
      </c>
      <c r="K143" s="133">
        <v>2.492954305966941E-2</v>
      </c>
      <c r="L143" s="133">
        <v>5.6553103156624331</v>
      </c>
      <c r="M143" s="45">
        <v>6879.1382422617962</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7.8276393598057718E-5</v>
      </c>
      <c r="G155" s="133">
        <v>1.8957972660614024E-3</v>
      </c>
      <c r="H155" s="133">
        <v>1.1951294095052546E-3</v>
      </c>
      <c r="I155" s="133">
        <v>5.8558571214869436E-5</v>
      </c>
      <c r="J155" s="133">
        <v>5.8558571214869436E-5</v>
      </c>
      <c r="K155" s="133">
        <v>4.3649997497021792E-5</v>
      </c>
      <c r="L155" s="133">
        <v>1.2472657808288332E-4</v>
      </c>
      <c r="M155" s="45">
        <v>30.189619109269458</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1.0243728875937841</v>
      </c>
      <c r="G157" s="133">
        <v>0.78399895472732928</v>
      </c>
      <c r="H157" s="133">
        <v>1.0353882617212187</v>
      </c>
      <c r="I157" s="133">
        <v>0.29154180120904505</v>
      </c>
      <c r="J157" s="133">
        <v>0.29154180120904505</v>
      </c>
      <c r="K157" s="133">
        <v>2.3443543894865616E-2</v>
      </c>
      <c r="L157" s="133">
        <v>2.9110469486547337</v>
      </c>
      <c r="M157" s="45">
        <v>14601.753996098965</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2.3939952542723984E-2</v>
      </c>
      <c r="G159" s="133">
        <v>1.5114777191894926E-2</v>
      </c>
      <c r="H159" s="133">
        <v>2.3384300170060796E-2</v>
      </c>
      <c r="I159" s="133">
        <v>7.7720485071672866E-3</v>
      </c>
      <c r="J159" s="133">
        <v>7.7720485071672866E-3</v>
      </c>
      <c r="K159" s="133">
        <v>4.6293972293440602E-4</v>
      </c>
      <c r="L159" s="133">
        <v>8.3349476568952391E-2</v>
      </c>
      <c r="M159" s="45">
        <v>293.99683875046532</v>
      </c>
    </row>
    <row r="160" spans="1:13" x14ac:dyDescent="0.25">
      <c r="A160" s="812" t="s">
        <v>1996</v>
      </c>
      <c r="B160" s="812">
        <v>9</v>
      </c>
      <c r="C160" s="608">
        <v>39478</v>
      </c>
      <c r="D160" s="812">
        <v>99705</v>
      </c>
      <c r="E160" s="812" t="s">
        <v>1599</v>
      </c>
      <c r="F160" s="133">
        <v>4.1891250088450516</v>
      </c>
      <c r="G160" s="133">
        <v>0.81434354775729256</v>
      </c>
      <c r="H160" s="133">
        <v>1.3816536958843975</v>
      </c>
      <c r="I160" s="133">
        <v>1.2530716043086636</v>
      </c>
      <c r="J160" s="133">
        <v>1.2530716043086636</v>
      </c>
      <c r="K160" s="133">
        <v>5.5604188528686156E-2</v>
      </c>
      <c r="L160" s="133">
        <v>13.607408865873049</v>
      </c>
      <c r="M160" s="45">
        <v>16672.69784051257</v>
      </c>
    </row>
    <row r="161" spans="1:13" x14ac:dyDescent="0.25">
      <c r="A161" s="812" t="s">
        <v>1996</v>
      </c>
      <c r="B161" s="812">
        <v>9</v>
      </c>
      <c r="C161" s="608">
        <v>39478</v>
      </c>
      <c r="D161" s="812">
        <v>99709</v>
      </c>
      <c r="E161" s="812" t="s">
        <v>1600</v>
      </c>
      <c r="F161" s="133">
        <v>3.8322907410505258</v>
      </c>
      <c r="G161" s="133">
        <v>0.93087158985259533</v>
      </c>
      <c r="H161" s="133">
        <v>1.5631723165555742</v>
      </c>
      <c r="I161" s="133">
        <v>1.0126735920517453</v>
      </c>
      <c r="J161" s="133">
        <v>1.0126735920517453</v>
      </c>
      <c r="K161" s="133">
        <v>4.8867926144570174E-2</v>
      </c>
      <c r="L161" s="133">
        <v>10.46240275893468</v>
      </c>
      <c r="M161" s="45">
        <v>19051.359197580416</v>
      </c>
    </row>
    <row r="162" spans="1:13" x14ac:dyDescent="0.25">
      <c r="A162" s="812" t="s">
        <v>1996</v>
      </c>
      <c r="B162" s="812">
        <v>9</v>
      </c>
      <c r="C162" s="608">
        <v>39478</v>
      </c>
      <c r="D162" s="812">
        <v>99712</v>
      </c>
      <c r="E162" s="812" t="s">
        <v>1601</v>
      </c>
      <c r="F162" s="133">
        <v>2.2020681817294063</v>
      </c>
      <c r="G162" s="133">
        <v>0.34898263718258982</v>
      </c>
      <c r="H162" s="133">
        <v>0.62779764294371765</v>
      </c>
      <c r="I162" s="133">
        <v>0.58241729554274746</v>
      </c>
      <c r="J162" s="133">
        <v>0.58241729554274746</v>
      </c>
      <c r="K162" s="133">
        <v>2.6726946028301096E-2</v>
      </c>
      <c r="L162" s="133">
        <v>6.0746466959430556</v>
      </c>
      <c r="M162" s="45">
        <v>7243.9771674618769</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6.9718806800769082E-5</v>
      </c>
      <c r="G174" s="133">
        <v>1.679757206662811E-3</v>
      </c>
      <c r="H174" s="133">
        <v>1.0424226937419123E-3</v>
      </c>
      <c r="I174" s="133">
        <v>5.3078389852480785E-5</v>
      </c>
      <c r="J174" s="133">
        <v>5.3078389852480785E-5</v>
      </c>
      <c r="K174" s="133">
        <v>4.3355985766929633E-5</v>
      </c>
      <c r="L174" s="133">
        <v>1.1935143352994042E-4</v>
      </c>
      <c r="M174" s="45">
        <v>26.865002639635581</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0.93423313297290222</v>
      </c>
      <c r="G176" s="133">
        <v>0.75524409736658515</v>
      </c>
      <c r="H176" s="133">
        <v>0.97956979069519223</v>
      </c>
      <c r="I176" s="133">
        <v>0.26835588282362971</v>
      </c>
      <c r="J176" s="133">
        <v>0.26835588282362971</v>
      </c>
      <c r="K176" s="133">
        <v>2.2425665431520699E-2</v>
      </c>
      <c r="L176" s="133">
        <v>2.674266290633788</v>
      </c>
      <c r="M176" s="45">
        <v>13994.409171047184</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2.1894966536503378E-2</v>
      </c>
      <c r="G178" s="133">
        <v>1.4395629607975835E-2</v>
      </c>
      <c r="H178" s="133">
        <v>2.194189907512082E-2</v>
      </c>
      <c r="I178" s="133">
        <v>7.1471415110847545E-3</v>
      </c>
      <c r="J178" s="133">
        <v>7.1471415110847545E-3</v>
      </c>
      <c r="K178" s="133">
        <v>4.3715965239156704E-4</v>
      </c>
      <c r="L178" s="133">
        <v>7.647779131628156E-2</v>
      </c>
      <c r="M178" s="45">
        <v>278.58956016930011</v>
      </c>
    </row>
    <row r="179" spans="1:13" x14ac:dyDescent="0.25">
      <c r="A179" s="812" t="s">
        <v>1996</v>
      </c>
      <c r="B179" s="812">
        <v>10</v>
      </c>
      <c r="C179" s="608">
        <v>39479</v>
      </c>
      <c r="D179" s="812">
        <v>99705</v>
      </c>
      <c r="E179" s="812" t="s">
        <v>1599</v>
      </c>
      <c r="F179" s="133">
        <v>3.7728340851743449</v>
      </c>
      <c r="G179" s="133">
        <v>0.74878330957522432</v>
      </c>
      <c r="H179" s="133">
        <v>1.2638697993838328</v>
      </c>
      <c r="I179" s="133">
        <v>1.1323542383094689</v>
      </c>
      <c r="J179" s="133">
        <v>1.1323542383094689</v>
      </c>
      <c r="K179" s="133">
        <v>5.0351966044739078E-2</v>
      </c>
      <c r="L179" s="133">
        <v>12.272722971514947</v>
      </c>
      <c r="M179" s="45">
        <v>15314.560258937721</v>
      </c>
    </row>
    <row r="180" spans="1:13" x14ac:dyDescent="0.25">
      <c r="A180" s="812" t="s">
        <v>1996</v>
      </c>
      <c r="B180" s="812">
        <v>10</v>
      </c>
      <c r="C180" s="608">
        <v>39479</v>
      </c>
      <c r="D180" s="812">
        <v>99709</v>
      </c>
      <c r="E180" s="812" t="s">
        <v>1600</v>
      </c>
      <c r="F180" s="133">
        <v>3.4655536412030905</v>
      </c>
      <c r="G180" s="133">
        <v>0.8754255430376745</v>
      </c>
      <c r="H180" s="133">
        <v>1.4578582398133579</v>
      </c>
      <c r="I180" s="133">
        <v>0.92255583530381102</v>
      </c>
      <c r="J180" s="133">
        <v>0.92255583530381102</v>
      </c>
      <c r="K180" s="133">
        <v>4.4936429053873024E-2</v>
      </c>
      <c r="L180" s="133">
        <v>9.5389056652207795</v>
      </c>
      <c r="M180" s="45">
        <v>17872.378150139375</v>
      </c>
    </row>
    <row r="181" spans="1:13" x14ac:dyDescent="0.25">
      <c r="A181" s="812" t="s">
        <v>1996</v>
      </c>
      <c r="B181" s="812">
        <v>10</v>
      </c>
      <c r="C181" s="608">
        <v>39479</v>
      </c>
      <c r="D181" s="812">
        <v>99712</v>
      </c>
      <c r="E181" s="812" t="s">
        <v>1601</v>
      </c>
      <c r="F181" s="133">
        <v>1.9661621143360821</v>
      </c>
      <c r="G181" s="133">
        <v>0.31974865080528247</v>
      </c>
      <c r="H181" s="133">
        <v>0.57422794052189441</v>
      </c>
      <c r="I181" s="133">
        <v>0.52372309173285203</v>
      </c>
      <c r="J181" s="133">
        <v>0.52372309173285203</v>
      </c>
      <c r="K181" s="133">
        <v>2.4043564502840606E-2</v>
      </c>
      <c r="L181" s="133">
        <v>5.4647771459097676</v>
      </c>
      <c r="M181" s="45">
        <v>6638.7838825856506</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6.8940844364651969E-5</v>
      </c>
      <c r="G193" s="133">
        <v>1.6601172012629404E-3</v>
      </c>
      <c r="H193" s="133">
        <v>1.028540265036155E-3</v>
      </c>
      <c r="I193" s="133">
        <v>5.258019154680913E-5</v>
      </c>
      <c r="J193" s="133">
        <v>5.258019154680913E-5</v>
      </c>
      <c r="K193" s="133">
        <v>4.332925742783038E-5</v>
      </c>
      <c r="L193" s="133">
        <v>1.1886278402512752E-4</v>
      </c>
      <c r="M193" s="45">
        <v>26.562764778759774</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0.90484963488610393</v>
      </c>
      <c r="G195" s="133">
        <v>0.80475699671006473</v>
      </c>
      <c r="H195" s="133">
        <v>1.0092088532718426</v>
      </c>
      <c r="I195" s="133">
        <v>0.26581873463401767</v>
      </c>
      <c r="J195" s="133">
        <v>0.26581873463401767</v>
      </c>
      <c r="K195" s="133">
        <v>2.2268262312443249E-2</v>
      </c>
      <c r="L195" s="133">
        <v>2.6563559515888762</v>
      </c>
      <c r="M195" s="45">
        <v>14708.86313262504</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2.1592376276943336E-2</v>
      </c>
      <c r="G197" s="133">
        <v>1.5112218397452904E-2</v>
      </c>
      <c r="H197" s="133">
        <v>2.2399391610813644E-2</v>
      </c>
      <c r="I197" s="133">
        <v>7.1765452036897113E-3</v>
      </c>
      <c r="J197" s="133">
        <v>7.1765452036897113E-3</v>
      </c>
      <c r="K197" s="133">
        <v>4.3792435032033439E-4</v>
      </c>
      <c r="L197" s="133">
        <v>7.7146881395775233E-2</v>
      </c>
      <c r="M197" s="45">
        <v>288.81596637986985</v>
      </c>
    </row>
    <row r="198" spans="1:13" x14ac:dyDescent="0.25">
      <c r="A198" s="812" t="s">
        <v>1996</v>
      </c>
      <c r="B198" s="812">
        <v>11</v>
      </c>
      <c r="C198" s="608">
        <v>39480</v>
      </c>
      <c r="D198" s="812">
        <v>99705</v>
      </c>
      <c r="E198" s="812" t="s">
        <v>1599</v>
      </c>
      <c r="F198" s="133">
        <v>3.7933913720015831</v>
      </c>
      <c r="G198" s="133">
        <v>0.77486205337931935</v>
      </c>
      <c r="H198" s="133">
        <v>1.2965996171977225</v>
      </c>
      <c r="I198" s="133">
        <v>1.1554532346118407</v>
      </c>
      <c r="J198" s="133">
        <v>1.1554532346118407</v>
      </c>
      <c r="K198" s="133">
        <v>5.1301478522776015E-2</v>
      </c>
      <c r="L198" s="133">
        <v>12.634097505483078</v>
      </c>
      <c r="M198" s="45">
        <v>15789.415834334739</v>
      </c>
    </row>
    <row r="199" spans="1:13" x14ac:dyDescent="0.25">
      <c r="A199" s="812" t="s">
        <v>1996</v>
      </c>
      <c r="B199" s="812">
        <v>11</v>
      </c>
      <c r="C199" s="608">
        <v>39480</v>
      </c>
      <c r="D199" s="812">
        <v>99709</v>
      </c>
      <c r="E199" s="812" t="s">
        <v>1600</v>
      </c>
      <c r="F199" s="133">
        <v>3.2661072960651114</v>
      </c>
      <c r="G199" s="133">
        <v>0.88588275376133652</v>
      </c>
      <c r="H199" s="133">
        <v>1.4438687346939822</v>
      </c>
      <c r="I199" s="133">
        <v>0.88835837298627152</v>
      </c>
      <c r="J199" s="133">
        <v>0.88835837298627152</v>
      </c>
      <c r="K199" s="133">
        <v>4.3303196725451507E-2</v>
      </c>
      <c r="L199" s="133">
        <v>9.2682189977381508</v>
      </c>
      <c r="M199" s="45">
        <v>17929.229475656419</v>
      </c>
    </row>
    <row r="200" spans="1:13" x14ac:dyDescent="0.25">
      <c r="A200" s="812" t="s">
        <v>1996</v>
      </c>
      <c r="B200" s="812">
        <v>11</v>
      </c>
      <c r="C200" s="608">
        <v>39480</v>
      </c>
      <c r="D200" s="812">
        <v>99712</v>
      </c>
      <c r="E200" s="812" t="s">
        <v>1601</v>
      </c>
      <c r="F200" s="133">
        <v>1.8435140162275077</v>
      </c>
      <c r="G200" s="133">
        <v>0.31396296018167891</v>
      </c>
      <c r="H200" s="133">
        <v>0.56012144223655969</v>
      </c>
      <c r="I200" s="133">
        <v>0.50152756005771726</v>
      </c>
      <c r="J200" s="133">
        <v>0.50152756005771726</v>
      </c>
      <c r="K200" s="133">
        <v>2.2972921630954803E-2</v>
      </c>
      <c r="L200" s="133">
        <v>5.287135941347576</v>
      </c>
      <c r="M200" s="45">
        <v>6504.6112417159475</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7.6720468725823424E-5</v>
      </c>
      <c r="G212" s="133">
        <v>1.8565172552616586E-3</v>
      </c>
      <c r="H212" s="133">
        <v>1.1673645520937376E-3</v>
      </c>
      <c r="I212" s="133">
        <v>5.7562174603526043E-5</v>
      </c>
      <c r="J212" s="133">
        <v>5.7562174603526043E-5</v>
      </c>
      <c r="K212" s="133">
        <v>4.3596540818823217E-5</v>
      </c>
      <c r="L212" s="133">
        <v>1.2374927907325733E-4</v>
      </c>
      <c r="M212" s="45">
        <v>29.585143387517842</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1.0651452965665489</v>
      </c>
      <c r="G214" s="133">
        <v>0.89874539436105494</v>
      </c>
      <c r="H214" s="133">
        <v>1.1381879149356211</v>
      </c>
      <c r="I214" s="133">
        <v>0.30795012358893625</v>
      </c>
      <c r="J214" s="133">
        <v>0.30795012358893625</v>
      </c>
      <c r="K214" s="133">
        <v>2.4119371313823877E-2</v>
      </c>
      <c r="L214" s="133">
        <v>3.0757507197647738</v>
      </c>
      <c r="M214" s="45">
        <v>16425.738939299979</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2.4948939868739188E-2</v>
      </c>
      <c r="G216" s="133">
        <v>1.6912578028559919E-2</v>
      </c>
      <c r="H216" s="133">
        <v>2.5224424483575481E-2</v>
      </c>
      <c r="I216" s="133">
        <v>8.2209353903337258E-3</v>
      </c>
      <c r="J216" s="133">
        <v>8.2209353903337258E-3</v>
      </c>
      <c r="K216" s="133">
        <v>4.810964234020095E-4</v>
      </c>
      <c r="L216" s="133">
        <v>8.8457717960764154E-2</v>
      </c>
      <c r="M216" s="45">
        <v>323.22500804434583</v>
      </c>
    </row>
    <row r="217" spans="1:13" x14ac:dyDescent="0.25">
      <c r="A217" s="812" t="s">
        <v>1996</v>
      </c>
      <c r="B217" s="812">
        <v>12</v>
      </c>
      <c r="C217" s="608">
        <v>39481</v>
      </c>
      <c r="D217" s="812">
        <v>99705</v>
      </c>
      <c r="E217" s="812" t="s">
        <v>1599</v>
      </c>
      <c r="F217" s="133">
        <v>4.2599742094303545</v>
      </c>
      <c r="G217" s="133">
        <v>0.8591593687500132</v>
      </c>
      <c r="H217" s="133">
        <v>1.4372496607172585</v>
      </c>
      <c r="I217" s="133">
        <v>1.2916116563393483</v>
      </c>
      <c r="J217" s="133">
        <v>1.2916116563393483</v>
      </c>
      <c r="K217" s="133">
        <v>5.7243153300040914E-2</v>
      </c>
      <c r="L217" s="133">
        <v>14.140243579877174</v>
      </c>
      <c r="M217" s="45">
        <v>17481.361574205897</v>
      </c>
    </row>
    <row r="218" spans="1:13" x14ac:dyDescent="0.25">
      <c r="A218" s="812" t="s">
        <v>1996</v>
      </c>
      <c r="B218" s="812">
        <v>12</v>
      </c>
      <c r="C218" s="608">
        <v>39481</v>
      </c>
      <c r="D218" s="812">
        <v>99709</v>
      </c>
      <c r="E218" s="812" t="s">
        <v>1600</v>
      </c>
      <c r="F218" s="133">
        <v>3.9211308587177678</v>
      </c>
      <c r="G218" s="133">
        <v>1.007409086766359</v>
      </c>
      <c r="H218" s="133">
        <v>1.6489084538650907</v>
      </c>
      <c r="I218" s="133">
        <v>1.0503896883846018</v>
      </c>
      <c r="J218" s="133">
        <v>1.0503896883846018</v>
      </c>
      <c r="K218" s="133">
        <v>5.0347906119718504E-2</v>
      </c>
      <c r="L218" s="133">
        <v>10.926632697472421</v>
      </c>
      <c r="M218" s="45">
        <v>20384.731446247784</v>
      </c>
    </row>
    <row r="219" spans="1:13" x14ac:dyDescent="0.25">
      <c r="A219" s="812" t="s">
        <v>1996</v>
      </c>
      <c r="B219" s="812">
        <v>12</v>
      </c>
      <c r="C219" s="608">
        <v>39481</v>
      </c>
      <c r="D219" s="812">
        <v>99712</v>
      </c>
      <c r="E219" s="812" t="s">
        <v>1601</v>
      </c>
      <c r="F219" s="133">
        <v>2.2144563428663644</v>
      </c>
      <c r="G219" s="133">
        <v>0.36235280753904558</v>
      </c>
      <c r="H219" s="133">
        <v>0.64634189978522272</v>
      </c>
      <c r="I219" s="133">
        <v>0.59396409872820344</v>
      </c>
      <c r="J219" s="133">
        <v>0.59396409872820344</v>
      </c>
      <c r="K219" s="133">
        <v>2.719614068324783E-2</v>
      </c>
      <c r="L219" s="133">
        <v>6.2474851555463999</v>
      </c>
      <c r="M219" s="45">
        <v>7495.1503732632</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8.450009308699492E-5</v>
      </c>
      <c r="G231" s="133">
        <v>2.0529173092603786E-3</v>
      </c>
      <c r="H231" s="133">
        <v>1.3061888391513211E-3</v>
      </c>
      <c r="I231" s="133">
        <v>6.2544157660243005E-5</v>
      </c>
      <c r="J231" s="133">
        <v>6.2544157660243005E-5</v>
      </c>
      <c r="K231" s="133">
        <v>4.3863824209816089E-5</v>
      </c>
      <c r="L231" s="133">
        <v>1.2863577412138726E-4</v>
      </c>
      <c r="M231" s="45">
        <v>32.607521996275914</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1.2176687788523848</v>
      </c>
      <c r="G233" s="133">
        <v>0.97021811047338458</v>
      </c>
      <c r="H233" s="133">
        <v>1.2417660461591677</v>
      </c>
      <c r="I233" s="133">
        <v>0.34398477001544964</v>
      </c>
      <c r="J233" s="133">
        <v>0.34398477001544964</v>
      </c>
      <c r="K233" s="133">
        <v>2.5746978447413259E-2</v>
      </c>
      <c r="L233" s="133">
        <v>3.4155698565964578</v>
      </c>
      <c r="M233" s="45">
        <v>17756.7437311016</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2.8297428841776759E-2</v>
      </c>
      <c r="G235" s="133">
        <v>1.8409061874826174E-2</v>
      </c>
      <c r="H235" s="133">
        <v>2.7743983117799839E-2</v>
      </c>
      <c r="I235" s="133">
        <v>9.1554137530117773E-3</v>
      </c>
      <c r="J235" s="133">
        <v>9.1554137530117773E-3</v>
      </c>
      <c r="K235" s="133">
        <v>5.2037764769402909E-4</v>
      </c>
      <c r="L235" s="133">
        <v>9.80636840894413E-2</v>
      </c>
      <c r="M235" s="45">
        <v>352.66733836039811</v>
      </c>
    </row>
    <row r="236" spans="1:13" x14ac:dyDescent="0.25">
      <c r="A236" s="812" t="s">
        <v>1996</v>
      </c>
      <c r="B236" s="812">
        <v>13</v>
      </c>
      <c r="C236" s="608">
        <v>39482</v>
      </c>
      <c r="D236" s="812">
        <v>99705</v>
      </c>
      <c r="E236" s="812" t="s">
        <v>1599</v>
      </c>
      <c r="F236" s="133">
        <v>4.7810374584588118</v>
      </c>
      <c r="G236" s="133">
        <v>0.93628276393404775</v>
      </c>
      <c r="H236" s="133">
        <v>1.570005589251998</v>
      </c>
      <c r="I236" s="133">
        <v>1.426658685309085</v>
      </c>
      <c r="J236" s="133">
        <v>1.426658685309085</v>
      </c>
      <c r="K236" s="133">
        <v>6.3136410744968202E-2</v>
      </c>
      <c r="L236" s="133">
        <v>15.525794744070936</v>
      </c>
      <c r="M236" s="45">
        <v>19050.283445547357</v>
      </c>
    </row>
    <row r="237" spans="1:13" x14ac:dyDescent="0.25">
      <c r="A237" s="812" t="s">
        <v>1996</v>
      </c>
      <c r="B237" s="812">
        <v>13</v>
      </c>
      <c r="C237" s="608">
        <v>39482</v>
      </c>
      <c r="D237" s="812">
        <v>99709</v>
      </c>
      <c r="E237" s="812" t="s">
        <v>1600</v>
      </c>
      <c r="F237" s="133">
        <v>4.3075218497453758</v>
      </c>
      <c r="G237" s="133">
        <v>1.0746873485069592</v>
      </c>
      <c r="H237" s="133">
        <v>1.7631451514883139</v>
      </c>
      <c r="I237" s="133">
        <v>1.1308692573892434</v>
      </c>
      <c r="J237" s="133">
        <v>1.1308692573892434</v>
      </c>
      <c r="K237" s="133">
        <v>5.4043214930028512E-2</v>
      </c>
      <c r="L237" s="133">
        <v>11.655499046909082</v>
      </c>
      <c r="M237" s="45">
        <v>21734.977124830439</v>
      </c>
    </row>
    <row r="238" spans="1:13" x14ac:dyDescent="0.25">
      <c r="A238" s="812" t="s">
        <v>1996</v>
      </c>
      <c r="B238" s="812">
        <v>13</v>
      </c>
      <c r="C238" s="608">
        <v>39482</v>
      </c>
      <c r="D238" s="812">
        <v>99712</v>
      </c>
      <c r="E238" s="812" t="s">
        <v>1601</v>
      </c>
      <c r="F238" s="133">
        <v>2.3389358515294463</v>
      </c>
      <c r="G238" s="133">
        <v>0.37275207785989212</v>
      </c>
      <c r="H238" s="133">
        <v>0.66416463488274957</v>
      </c>
      <c r="I238" s="133">
        <v>0.61605153932269008</v>
      </c>
      <c r="J238" s="133">
        <v>0.61605153932269008</v>
      </c>
      <c r="K238" s="133">
        <v>2.8270522091071615E-2</v>
      </c>
      <c r="L238" s="133">
        <v>6.4194299171185234</v>
      </c>
      <c r="M238" s="45">
        <v>7702.5558191054988</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8.9945830139814996E-5</v>
      </c>
      <c r="G250" s="133">
        <v>2.190397347059482E-3</v>
      </c>
      <c r="H250" s="133">
        <v>1.4033658400916301E-3</v>
      </c>
      <c r="I250" s="133">
        <v>6.6031545799944904E-5</v>
      </c>
      <c r="J250" s="133">
        <v>6.6031545799944904E-5</v>
      </c>
      <c r="K250" s="133">
        <v>4.4050922583511093E-5</v>
      </c>
      <c r="L250" s="133">
        <v>1.3205632065507817E-4</v>
      </c>
      <c r="M250" s="45">
        <v>34.723187022406563</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1.2473236398762755</v>
      </c>
      <c r="G252" s="133">
        <v>0.98329463562914821</v>
      </c>
      <c r="H252" s="133">
        <v>1.2627943226725931</v>
      </c>
      <c r="I252" s="133">
        <v>0.35177131937122047</v>
      </c>
      <c r="J252" s="133">
        <v>0.35177131937122047</v>
      </c>
      <c r="K252" s="133">
        <v>2.6087003969391977E-2</v>
      </c>
      <c r="L252" s="133">
        <v>3.4945948654720511</v>
      </c>
      <c r="M252" s="45">
        <v>18011.141353310133</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2.9032973321966148E-2</v>
      </c>
      <c r="G254" s="133">
        <v>1.8725976094863966E-2</v>
      </c>
      <c r="H254" s="133">
        <v>2.8323541074139914E-2</v>
      </c>
      <c r="I254" s="133">
        <v>9.3835951033565887E-3</v>
      </c>
      <c r="J254" s="133">
        <v>9.3835951033565887E-3</v>
      </c>
      <c r="K254" s="133">
        <v>5.2964465465104161E-4</v>
      </c>
      <c r="L254" s="133">
        <v>0.10056197674734083</v>
      </c>
      <c r="M254" s="45">
        <v>359.16448911156851</v>
      </c>
    </row>
    <row r="255" spans="1:13" x14ac:dyDescent="0.25">
      <c r="A255" s="812" t="s">
        <v>1996</v>
      </c>
      <c r="B255" s="812">
        <v>14</v>
      </c>
      <c r="C255" s="608">
        <v>39483</v>
      </c>
      <c r="D255" s="812">
        <v>99705</v>
      </c>
      <c r="E255" s="812" t="s">
        <v>1599</v>
      </c>
      <c r="F255" s="133">
        <v>4.8929438547813193</v>
      </c>
      <c r="G255" s="133">
        <v>0.9550596388081678</v>
      </c>
      <c r="H255" s="133">
        <v>1.6026972290468893</v>
      </c>
      <c r="I255" s="133">
        <v>1.4596809590166424</v>
      </c>
      <c r="J255" s="133">
        <v>1.4596809590166424</v>
      </c>
      <c r="K255" s="133">
        <v>6.4560994956729664E-2</v>
      </c>
      <c r="L255" s="133">
        <v>15.893006620112049</v>
      </c>
      <c r="M255" s="45">
        <v>19434.898806308818</v>
      </c>
    </row>
    <row r="256" spans="1:13" x14ac:dyDescent="0.25">
      <c r="A256" s="812" t="s">
        <v>1996</v>
      </c>
      <c r="B256" s="812">
        <v>14</v>
      </c>
      <c r="C256" s="608">
        <v>39483</v>
      </c>
      <c r="D256" s="812">
        <v>99709</v>
      </c>
      <c r="E256" s="812" t="s">
        <v>1600</v>
      </c>
      <c r="F256" s="133">
        <v>4.2926057266251929</v>
      </c>
      <c r="G256" s="133">
        <v>1.0775082462369165</v>
      </c>
      <c r="H256" s="133">
        <v>1.767111964479624</v>
      </c>
      <c r="I256" s="133">
        <v>1.1269137472526052</v>
      </c>
      <c r="J256" s="133">
        <v>1.1269137472526052</v>
      </c>
      <c r="K256" s="133">
        <v>5.3894383702148101E-2</v>
      </c>
      <c r="L256" s="133">
        <v>11.611332665091464</v>
      </c>
      <c r="M256" s="45">
        <v>21784.546043589977</v>
      </c>
    </row>
    <row r="257" spans="1:13" x14ac:dyDescent="0.25">
      <c r="A257" s="812" t="s">
        <v>1996</v>
      </c>
      <c r="B257" s="812">
        <v>14</v>
      </c>
      <c r="C257" s="608">
        <v>39483</v>
      </c>
      <c r="D257" s="812">
        <v>99712</v>
      </c>
      <c r="E257" s="812" t="s">
        <v>1601</v>
      </c>
      <c r="F257" s="133">
        <v>2.2663345646506037</v>
      </c>
      <c r="G257" s="133">
        <v>0.36442570168844524</v>
      </c>
      <c r="H257" s="133">
        <v>0.64846715179669434</v>
      </c>
      <c r="I257" s="133">
        <v>0.59842908582350385</v>
      </c>
      <c r="J257" s="133">
        <v>0.59842908582350385</v>
      </c>
      <c r="K257" s="133">
        <v>2.7458162221343375E-2</v>
      </c>
      <c r="L257" s="133">
        <v>6.2384404501908275</v>
      </c>
      <c r="M257" s="45">
        <v>7528.4156084714687</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9.0723792575932096E-5</v>
      </c>
      <c r="G269" s="133">
        <v>2.2100373524593527E-3</v>
      </c>
      <c r="H269" s="133">
        <v>1.4172482687973881E-3</v>
      </c>
      <c r="I269" s="133">
        <v>6.6529744105616573E-5</v>
      </c>
      <c r="J269" s="133">
        <v>6.6529744105616573E-5</v>
      </c>
      <c r="K269" s="133">
        <v>4.4077650922610366E-5</v>
      </c>
      <c r="L269" s="133">
        <v>1.325449701598911E-4</v>
      </c>
      <c r="M269" s="45">
        <v>35.025424883282369</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1.2795134021984063</v>
      </c>
      <c r="G271" s="133">
        <v>0.99183544396870171</v>
      </c>
      <c r="H271" s="133">
        <v>1.281697077712358</v>
      </c>
      <c r="I271" s="133">
        <v>0.36013029808326463</v>
      </c>
      <c r="J271" s="133">
        <v>0.36013029808326463</v>
      </c>
      <c r="K271" s="133">
        <v>2.6451351844318526E-2</v>
      </c>
      <c r="L271" s="133">
        <v>3.5809894549129369</v>
      </c>
      <c r="M271" s="45">
        <v>18203.319198769619</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2.9683766896808416E-2</v>
      </c>
      <c r="G273" s="133">
        <v>1.8927123348147432E-2</v>
      </c>
      <c r="H273" s="133">
        <v>2.8755330643346698E-2</v>
      </c>
      <c r="I273" s="133">
        <v>9.5809959900690859E-3</v>
      </c>
      <c r="J273" s="133">
        <v>9.5809959900690859E-3</v>
      </c>
      <c r="K273" s="133">
        <v>5.3784346029263732E-4</v>
      </c>
      <c r="L273" s="133">
        <v>0.10273834273840034</v>
      </c>
      <c r="M273" s="45">
        <v>363.62235938240849</v>
      </c>
    </row>
    <row r="274" spans="1:13" x14ac:dyDescent="0.25">
      <c r="A274" s="812" t="s">
        <v>1996</v>
      </c>
      <c r="B274" s="812">
        <v>15</v>
      </c>
      <c r="C274" s="608">
        <v>39484</v>
      </c>
      <c r="D274" s="812">
        <v>99705</v>
      </c>
      <c r="E274" s="812" t="s">
        <v>1599</v>
      </c>
      <c r="F274" s="133">
        <v>5.0192323456680583</v>
      </c>
      <c r="G274" s="133">
        <v>0.97495594318222378</v>
      </c>
      <c r="H274" s="133">
        <v>1.6388886020126112</v>
      </c>
      <c r="I274" s="133">
        <v>1.4966269734439799</v>
      </c>
      <c r="J274" s="133">
        <v>1.4966269734439799</v>
      </c>
      <c r="K274" s="133">
        <v>6.6174384844439105E-2</v>
      </c>
      <c r="L274" s="133">
        <v>16.303130497076847</v>
      </c>
      <c r="M274" s="45">
        <v>19848.563295383745</v>
      </c>
    </row>
    <row r="275" spans="1:13" x14ac:dyDescent="0.25">
      <c r="A275" s="812" t="s">
        <v>1996</v>
      </c>
      <c r="B275" s="812">
        <v>15</v>
      </c>
      <c r="C275" s="608">
        <v>39484</v>
      </c>
      <c r="D275" s="812">
        <v>99709</v>
      </c>
      <c r="E275" s="812" t="s">
        <v>1600</v>
      </c>
      <c r="F275" s="133">
        <v>4.4056971581199313</v>
      </c>
      <c r="G275" s="133">
        <v>1.0946563365811004</v>
      </c>
      <c r="H275" s="133">
        <v>1.8016989441267264</v>
      </c>
      <c r="I275" s="133">
        <v>1.154011071216438</v>
      </c>
      <c r="J275" s="133">
        <v>1.154011071216438</v>
      </c>
      <c r="K275" s="133">
        <v>5.5083663542571971E-2</v>
      </c>
      <c r="L275" s="133">
        <v>11.88493192531328</v>
      </c>
      <c r="M275" s="45">
        <v>22158.148148474847</v>
      </c>
    </row>
    <row r="276" spans="1:13" x14ac:dyDescent="0.25">
      <c r="A276" s="812" t="s">
        <v>1996</v>
      </c>
      <c r="B276" s="812">
        <v>15</v>
      </c>
      <c r="C276" s="608">
        <v>39484</v>
      </c>
      <c r="D276" s="812">
        <v>99712</v>
      </c>
      <c r="E276" s="812" t="s">
        <v>1601</v>
      </c>
      <c r="F276" s="133">
        <v>2.2902504246047108</v>
      </c>
      <c r="G276" s="133">
        <v>0.36646268866319903</v>
      </c>
      <c r="H276" s="133">
        <v>0.65238909206310547</v>
      </c>
      <c r="I276" s="133">
        <v>0.60313746430891502</v>
      </c>
      <c r="J276" s="133">
        <v>0.60313746430891502</v>
      </c>
      <c r="K276" s="133">
        <v>2.7694754106137594E-2</v>
      </c>
      <c r="L276" s="133">
        <v>6.2812008992874988</v>
      </c>
      <c r="M276" s="45">
        <v>7570.5496132779726</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9.072379257593215E-5</v>
      </c>
      <c r="G288" s="133">
        <v>2.2100373524593544E-3</v>
      </c>
      <c r="H288" s="133">
        <v>1.4172482687973887E-3</v>
      </c>
      <c r="I288" s="133">
        <v>6.6529744105616601E-5</v>
      </c>
      <c r="J288" s="133">
        <v>6.6529744105616601E-5</v>
      </c>
      <c r="K288" s="133">
        <v>4.4077650922610387E-5</v>
      </c>
      <c r="L288" s="133">
        <v>1.3254497015989118E-4</v>
      </c>
      <c r="M288" s="45">
        <v>35.025424883282369</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1.2940307854099828</v>
      </c>
      <c r="G290" s="133">
        <v>1.0007491152099599</v>
      </c>
      <c r="H290" s="133">
        <v>1.2935386569447438</v>
      </c>
      <c r="I290" s="133">
        <v>0.36388771505329287</v>
      </c>
      <c r="J290" s="133">
        <v>0.36388771505329287</v>
      </c>
      <c r="K290" s="133">
        <v>2.6618037106335448E-2</v>
      </c>
      <c r="L290" s="133">
        <v>3.6179353060228139</v>
      </c>
      <c r="M290" s="45">
        <v>18364.123557772487</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2.9953448844885888E-2</v>
      </c>
      <c r="G292" s="133">
        <v>1.9082443070846469E-2</v>
      </c>
      <c r="H292" s="133">
        <v>2.8983726300246787E-2</v>
      </c>
      <c r="I292" s="133">
        <v>9.6646265943433878E-3</v>
      </c>
      <c r="J292" s="133">
        <v>9.6646265943433878E-3</v>
      </c>
      <c r="K292" s="133">
        <v>5.4135818663863101E-4</v>
      </c>
      <c r="L292" s="133">
        <v>0.10363905512834655</v>
      </c>
      <c r="M292" s="45">
        <v>366.50809796933146</v>
      </c>
    </row>
    <row r="293" spans="1:13" x14ac:dyDescent="0.25">
      <c r="A293" s="812" t="s">
        <v>1996</v>
      </c>
      <c r="B293" s="812">
        <v>16</v>
      </c>
      <c r="C293" s="608">
        <v>39485</v>
      </c>
      <c r="D293" s="812">
        <v>99705</v>
      </c>
      <c r="E293" s="812" t="s">
        <v>1599</v>
      </c>
      <c r="F293" s="133">
        <v>5.0581496757364182</v>
      </c>
      <c r="G293" s="133">
        <v>0.98166482799006183</v>
      </c>
      <c r="H293" s="133">
        <v>1.6498851697647725</v>
      </c>
      <c r="I293" s="133">
        <v>1.5073213323611314</v>
      </c>
      <c r="J293" s="133">
        <v>1.5073213323611314</v>
      </c>
      <c r="K293" s="133">
        <v>6.6650486287809785E-2</v>
      </c>
      <c r="L293" s="133">
        <v>16.418582989446612</v>
      </c>
      <c r="M293" s="45">
        <v>19981.921404888388</v>
      </c>
    </row>
    <row r="294" spans="1:13" x14ac:dyDescent="0.25">
      <c r="A294" s="812" t="s">
        <v>1996</v>
      </c>
      <c r="B294" s="812">
        <v>16</v>
      </c>
      <c r="C294" s="608">
        <v>39485</v>
      </c>
      <c r="D294" s="812">
        <v>99709</v>
      </c>
      <c r="E294" s="812" t="s">
        <v>1600</v>
      </c>
      <c r="F294" s="133">
        <v>4.5824785065967326</v>
      </c>
      <c r="G294" s="133">
        <v>1.1207659493042892</v>
      </c>
      <c r="H294" s="133">
        <v>1.8477994415194021</v>
      </c>
      <c r="I294" s="133">
        <v>1.1981093424986502</v>
      </c>
      <c r="J294" s="133">
        <v>1.1981093424986502</v>
      </c>
      <c r="K294" s="133">
        <v>5.6970155654227528E-2</v>
      </c>
      <c r="L294" s="133">
        <v>12.340804434266014</v>
      </c>
      <c r="M294" s="45">
        <v>22699.948712718811</v>
      </c>
    </row>
    <row r="295" spans="1:13" x14ac:dyDescent="0.25">
      <c r="A295" s="812" t="s">
        <v>1996</v>
      </c>
      <c r="B295" s="812">
        <v>16</v>
      </c>
      <c r="C295" s="608">
        <v>39485</v>
      </c>
      <c r="D295" s="812">
        <v>99712</v>
      </c>
      <c r="E295" s="812" t="s">
        <v>1601</v>
      </c>
      <c r="F295" s="133">
        <v>2.4490487692708411</v>
      </c>
      <c r="G295" s="133">
        <v>0.38603696876164822</v>
      </c>
      <c r="H295" s="133">
        <v>0.68821210747116046</v>
      </c>
      <c r="I295" s="133">
        <v>0.64235697730315933</v>
      </c>
      <c r="J295" s="133">
        <v>0.64235697730315933</v>
      </c>
      <c r="K295" s="133">
        <v>2.949164592273747E-2</v>
      </c>
      <c r="L295" s="133">
        <v>6.687169642606416</v>
      </c>
      <c r="M295" s="45">
        <v>7975.4207383920493</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9.1501755012049263E-5</v>
      </c>
      <c r="G307" s="133">
        <v>2.2296773578592264E-3</v>
      </c>
      <c r="H307" s="133">
        <v>1.4311306975031471E-3</v>
      </c>
      <c r="I307" s="133">
        <v>6.7027942411288297E-5</v>
      </c>
      <c r="J307" s="133">
        <v>6.7027942411288297E-5</v>
      </c>
      <c r="K307" s="133">
        <v>4.410437926170966E-5</v>
      </c>
      <c r="L307" s="133">
        <v>1.3303361966470411E-4</v>
      </c>
      <c r="M307" s="45">
        <v>35.327662744158175</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1.2590675958610242</v>
      </c>
      <c r="G309" s="133">
        <v>0.97595305178294267</v>
      </c>
      <c r="H309" s="133">
        <v>1.2623930241096633</v>
      </c>
      <c r="I309" s="133">
        <v>0.35458244568972153</v>
      </c>
      <c r="J309" s="133">
        <v>0.35458244568972153</v>
      </c>
      <c r="K309" s="133">
        <v>2.6209619105155294E-2</v>
      </c>
      <c r="L309" s="133">
        <v>3.5262347244509518</v>
      </c>
      <c r="M309" s="45">
        <v>17925.603882997933</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2.9270875797679702E-2</v>
      </c>
      <c r="G311" s="133">
        <v>1.8654823902735665E-2</v>
      </c>
      <c r="H311" s="133">
        <v>2.838065899056046E-2</v>
      </c>
      <c r="I311" s="133">
        <v>9.4519587121142442E-3</v>
      </c>
      <c r="J311" s="133">
        <v>9.4519587121142442E-3</v>
      </c>
      <c r="K311" s="133">
        <v>5.32412307097357E-4</v>
      </c>
      <c r="L311" s="133">
        <v>0.10135817502485203</v>
      </c>
      <c r="M311" s="45">
        <v>358.69929842301508</v>
      </c>
    </row>
    <row r="312" spans="1:13" x14ac:dyDescent="0.25">
      <c r="A312" s="812" t="s">
        <v>1996</v>
      </c>
      <c r="B312" s="812">
        <v>17</v>
      </c>
      <c r="C312" s="608">
        <v>39486</v>
      </c>
      <c r="D312" s="812">
        <v>99705</v>
      </c>
      <c r="E312" s="812" t="s">
        <v>1599</v>
      </c>
      <c r="F312" s="133">
        <v>4.9258813147645135</v>
      </c>
      <c r="G312" s="133">
        <v>0.95787256307357183</v>
      </c>
      <c r="H312" s="133">
        <v>1.6104163200659098</v>
      </c>
      <c r="I312" s="133">
        <v>1.4690412738383569</v>
      </c>
      <c r="J312" s="133">
        <v>1.4690412738383569</v>
      </c>
      <c r="K312" s="133">
        <v>6.4972603469686266E-2</v>
      </c>
      <c r="L312" s="133">
        <v>15.996457941162344</v>
      </c>
      <c r="M312" s="45">
        <v>19505.854755330121</v>
      </c>
    </row>
    <row r="313" spans="1:13" x14ac:dyDescent="0.25">
      <c r="A313" s="812" t="s">
        <v>1996</v>
      </c>
      <c r="B313" s="812">
        <v>17</v>
      </c>
      <c r="C313" s="608">
        <v>39486</v>
      </c>
      <c r="D313" s="812">
        <v>99709</v>
      </c>
      <c r="E313" s="812" t="s">
        <v>1600</v>
      </c>
      <c r="F313" s="133">
        <v>4.4290654846951591</v>
      </c>
      <c r="G313" s="133">
        <v>1.0906334995296827</v>
      </c>
      <c r="H313" s="133">
        <v>1.7980815947851916</v>
      </c>
      <c r="I313" s="133">
        <v>1.1611027310478168</v>
      </c>
      <c r="J313" s="133">
        <v>1.1611027310478168</v>
      </c>
      <c r="K313" s="133">
        <v>5.5351797629955221E-2</v>
      </c>
      <c r="L313" s="133">
        <v>11.967911543379172</v>
      </c>
      <c r="M313" s="45">
        <v>22097.425276049475</v>
      </c>
    </row>
    <row r="314" spans="1:13" x14ac:dyDescent="0.25">
      <c r="A314" s="812" t="s">
        <v>1996</v>
      </c>
      <c r="B314" s="812">
        <v>17</v>
      </c>
      <c r="C314" s="608">
        <v>39486</v>
      </c>
      <c r="D314" s="812">
        <v>99712</v>
      </c>
      <c r="E314" s="812" t="s">
        <v>1601</v>
      </c>
      <c r="F314" s="133">
        <v>2.3779555260992251</v>
      </c>
      <c r="G314" s="133">
        <v>0.37705123173321459</v>
      </c>
      <c r="H314" s="133">
        <v>0.67239200582983139</v>
      </c>
      <c r="I314" s="133">
        <v>0.62549910720460511</v>
      </c>
      <c r="J314" s="133">
        <v>0.62549910720460511</v>
      </c>
      <c r="K314" s="133">
        <v>2.870742753589195E-2</v>
      </c>
      <c r="L314" s="133">
        <v>6.516455080246514</v>
      </c>
      <c r="M314" s="45">
        <v>7792.9495782307758</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8.9167867703697829E-5</v>
      </c>
      <c r="G326" s="133">
        <v>2.17075734165961E-3</v>
      </c>
      <c r="H326" s="133">
        <v>1.3894834113858719E-3</v>
      </c>
      <c r="I326" s="133">
        <v>6.5533347494273195E-5</v>
      </c>
      <c r="J326" s="133">
        <v>6.5533347494273195E-5</v>
      </c>
      <c r="K326" s="133">
        <v>4.4024194244411806E-5</v>
      </c>
      <c r="L326" s="133">
        <v>1.3156767115026516E-4</v>
      </c>
      <c r="M326" s="45">
        <v>34.420949161530757</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1.07290530188906</v>
      </c>
      <c r="G328" s="133">
        <v>0.90164540934687587</v>
      </c>
      <c r="H328" s="133">
        <v>1.1444184176351109</v>
      </c>
      <c r="I328" s="133">
        <v>0.31061599640995002</v>
      </c>
      <c r="J328" s="133">
        <v>0.31061599640995002</v>
      </c>
      <c r="K328" s="133">
        <v>2.4221265795958083E-2</v>
      </c>
      <c r="L328" s="133">
        <v>3.1062547686060706</v>
      </c>
      <c r="M328" s="45">
        <v>16490.578909287713</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2.5226191990378365E-2</v>
      </c>
      <c r="G330" s="133">
        <v>1.7034556552502401E-2</v>
      </c>
      <c r="H330" s="133">
        <v>2.5495084780914005E-2</v>
      </c>
      <c r="I330" s="133">
        <v>8.3117178367602233E-3</v>
      </c>
      <c r="J330" s="133">
        <v>8.3117178367602233E-3</v>
      </c>
      <c r="K330" s="133">
        <v>4.8434870463585287E-4</v>
      </c>
      <c r="L330" s="133">
        <v>8.9466627173689389E-2</v>
      </c>
      <c r="M330" s="45">
        <v>325.99039840432232</v>
      </c>
    </row>
    <row r="331" spans="1:13" x14ac:dyDescent="0.25">
      <c r="A331" s="812" t="s">
        <v>1996</v>
      </c>
      <c r="B331" s="812">
        <v>18</v>
      </c>
      <c r="C331" s="608">
        <v>39487</v>
      </c>
      <c r="D331" s="812">
        <v>99705</v>
      </c>
      <c r="E331" s="812" t="s">
        <v>1599</v>
      </c>
      <c r="F331" s="133">
        <v>4.0428510366835875</v>
      </c>
      <c r="G331" s="133">
        <v>0.82498993096747575</v>
      </c>
      <c r="H331" s="133">
        <v>1.3752698793718265</v>
      </c>
      <c r="I331" s="133">
        <v>1.2279260697252785</v>
      </c>
      <c r="J331" s="133">
        <v>1.2279260697252785</v>
      </c>
      <c r="K331" s="133">
        <v>5.4477462249446704E-2</v>
      </c>
      <c r="L331" s="133">
        <v>13.43304435115463</v>
      </c>
      <c r="M331" s="45">
        <v>16770.838085445776</v>
      </c>
    </row>
    <row r="332" spans="1:13" x14ac:dyDescent="0.25">
      <c r="A332" s="812" t="s">
        <v>1996</v>
      </c>
      <c r="B332" s="812">
        <v>18</v>
      </c>
      <c r="C332" s="608">
        <v>39487</v>
      </c>
      <c r="D332" s="812">
        <v>99709</v>
      </c>
      <c r="E332" s="812" t="s">
        <v>1600</v>
      </c>
      <c r="F332" s="133">
        <v>3.5839583924281899</v>
      </c>
      <c r="G332" s="133">
        <v>0.96588690038020053</v>
      </c>
      <c r="H332" s="133">
        <v>1.5723956030119777</v>
      </c>
      <c r="I332" s="133">
        <v>0.96713408237299792</v>
      </c>
      <c r="J332" s="133">
        <v>0.96713408237299792</v>
      </c>
      <c r="K332" s="133">
        <v>4.6747000465725046E-2</v>
      </c>
      <c r="L332" s="133">
        <v>10.066638621180756</v>
      </c>
      <c r="M332" s="45">
        <v>19506.502539513956</v>
      </c>
    </row>
    <row r="333" spans="1:13" x14ac:dyDescent="0.25">
      <c r="A333" s="812" t="s">
        <v>1996</v>
      </c>
      <c r="B333" s="812">
        <v>18</v>
      </c>
      <c r="C333" s="608">
        <v>39487</v>
      </c>
      <c r="D333" s="812">
        <v>99712</v>
      </c>
      <c r="E333" s="812" t="s">
        <v>1601</v>
      </c>
      <c r="F333" s="133">
        <v>1.8486801722705513</v>
      </c>
      <c r="G333" s="133">
        <v>0.31671131877956071</v>
      </c>
      <c r="H333" s="133">
        <v>0.56232615799465224</v>
      </c>
      <c r="I333" s="133">
        <v>0.50203117368656025</v>
      </c>
      <c r="J333" s="133">
        <v>0.50203117368656025</v>
      </c>
      <c r="K333" s="133">
        <v>2.301082448208357E-2</v>
      </c>
      <c r="L333" s="133">
        <v>5.2876178655570234</v>
      </c>
      <c r="M333" s="45">
        <v>6547.7440508815043</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8.4500093086994934E-5</v>
      </c>
      <c r="G345" s="133">
        <v>2.0529173092603782E-3</v>
      </c>
      <c r="H345" s="133">
        <v>1.3061888391513209E-3</v>
      </c>
      <c r="I345" s="133">
        <v>6.2544157660243005E-5</v>
      </c>
      <c r="J345" s="133">
        <v>6.2544157660243005E-5</v>
      </c>
      <c r="K345" s="133">
        <v>4.3863824209816076E-5</v>
      </c>
      <c r="L345" s="133">
        <v>1.2863577412138721E-4</v>
      </c>
      <c r="M345" s="45">
        <v>32.607521996275914</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1.1385895017334211</v>
      </c>
      <c r="G347" s="133">
        <v>0.92353200019030068</v>
      </c>
      <c r="H347" s="133">
        <v>1.1851282655650692</v>
      </c>
      <c r="I347" s="133">
        <v>0.327146901767635</v>
      </c>
      <c r="J347" s="133">
        <v>0.327146901767635</v>
      </c>
      <c r="K347" s="133">
        <v>2.4955439346756252E-2</v>
      </c>
      <c r="L347" s="133">
        <v>3.2728577774772436</v>
      </c>
      <c r="M347" s="45">
        <v>16943.615268560963</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2.6861209252992759E-2</v>
      </c>
      <c r="G349" s="133">
        <v>1.7618402812642289E-2</v>
      </c>
      <c r="H349" s="133">
        <v>2.6644956576335799E-2</v>
      </c>
      <c r="I349" s="133">
        <v>8.8106894094917565E-3</v>
      </c>
      <c r="J349" s="133">
        <v>8.8106894094917565E-3</v>
      </c>
      <c r="K349" s="133">
        <v>5.0502086400771001E-4</v>
      </c>
      <c r="L349" s="133">
        <v>9.4947961934012365E-2</v>
      </c>
      <c r="M349" s="45">
        <v>338.3844066709338</v>
      </c>
    </row>
    <row r="350" spans="1:13" x14ac:dyDescent="0.25">
      <c r="A350" s="812" t="s">
        <v>1996</v>
      </c>
      <c r="B350" s="812">
        <v>19</v>
      </c>
      <c r="C350" s="608">
        <v>39488</v>
      </c>
      <c r="D350" s="812">
        <v>99705</v>
      </c>
      <c r="E350" s="812" t="s">
        <v>1599</v>
      </c>
      <c r="F350" s="133">
        <v>4.3650280490184281</v>
      </c>
      <c r="G350" s="133">
        <v>0.87450408519283596</v>
      </c>
      <c r="H350" s="133">
        <v>1.4637136096159051</v>
      </c>
      <c r="I350" s="133">
        <v>1.3198847346627867</v>
      </c>
      <c r="J350" s="133">
        <v>1.3198847346627867</v>
      </c>
      <c r="K350" s="133">
        <v>5.84672291085548E-2</v>
      </c>
      <c r="L350" s="133">
        <v>14.443002109859396</v>
      </c>
      <c r="M350" s="45">
        <v>17795.74885783434</v>
      </c>
    </row>
    <row r="351" spans="1:13" x14ac:dyDescent="0.25">
      <c r="A351" s="812" t="s">
        <v>1996</v>
      </c>
      <c r="B351" s="812">
        <v>19</v>
      </c>
      <c r="C351" s="608">
        <v>39488</v>
      </c>
      <c r="D351" s="812">
        <v>99709</v>
      </c>
      <c r="E351" s="812" t="s">
        <v>1600</v>
      </c>
      <c r="F351" s="133">
        <v>3.9061558706004353</v>
      </c>
      <c r="G351" s="133">
        <v>1.0129645866594932</v>
      </c>
      <c r="H351" s="133">
        <v>1.6606355477401429</v>
      </c>
      <c r="I351" s="133">
        <v>1.0454341482085947</v>
      </c>
      <c r="J351" s="133">
        <v>1.0454341482085947</v>
      </c>
      <c r="K351" s="133">
        <v>5.0167344949483557E-2</v>
      </c>
      <c r="L351" s="133">
        <v>10.865021617831765</v>
      </c>
      <c r="M351" s="45">
        <v>20502.603244350692</v>
      </c>
    </row>
    <row r="352" spans="1:13" x14ac:dyDescent="0.25">
      <c r="A352" s="812" t="s">
        <v>1996</v>
      </c>
      <c r="B352" s="812">
        <v>19</v>
      </c>
      <c r="C352" s="608">
        <v>39488</v>
      </c>
      <c r="D352" s="812">
        <v>99712</v>
      </c>
      <c r="E352" s="812" t="s">
        <v>1601</v>
      </c>
      <c r="F352" s="133">
        <v>2.039955496231217</v>
      </c>
      <c r="G352" s="133">
        <v>0.33909379716441879</v>
      </c>
      <c r="H352" s="133">
        <v>0.60349433280967746</v>
      </c>
      <c r="I352" s="133">
        <v>0.54777718701197031</v>
      </c>
      <c r="J352" s="133">
        <v>0.54777718701197031</v>
      </c>
      <c r="K352" s="133">
        <v>2.5133954680790802E-2</v>
      </c>
      <c r="L352" s="133">
        <v>5.7537816321372359</v>
      </c>
      <c r="M352" s="45">
        <v>7010.4587781333257</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8.5278055523112088E-5</v>
      </c>
      <c r="G364" s="133">
        <v>2.0725573146602515E-3</v>
      </c>
      <c r="H364" s="133">
        <v>1.3200712678570804E-3</v>
      </c>
      <c r="I364" s="133">
        <v>6.3042355965914741E-5</v>
      </c>
      <c r="J364" s="133">
        <v>6.3042355965914741E-5</v>
      </c>
      <c r="K364" s="133">
        <v>4.3890552548915383E-5</v>
      </c>
      <c r="L364" s="133">
        <v>1.2912442362620022E-4</v>
      </c>
      <c r="M364" s="45">
        <v>32.909759857151727</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0.77189525733802333</v>
      </c>
      <c r="G366" s="133">
        <v>0.70853485893928525</v>
      </c>
      <c r="H366" s="133">
        <v>0.8560528202888652</v>
      </c>
      <c r="I366" s="133">
        <v>0.23232885035705772</v>
      </c>
      <c r="J366" s="133">
        <v>0.23232885035705772</v>
      </c>
      <c r="K366" s="133">
        <v>2.9529131623108964E-2</v>
      </c>
      <c r="L366" s="133">
        <v>2.322147164403181</v>
      </c>
      <c r="M366" s="45">
        <v>13237.652626945872</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1.8747134414358633E-2</v>
      </c>
      <c r="G368" s="133">
        <v>1.329740591818373E-2</v>
      </c>
      <c r="H368" s="133">
        <v>1.9355737757876374E-2</v>
      </c>
      <c r="I368" s="133">
        <v>6.3061070620514829E-3</v>
      </c>
      <c r="J368" s="133">
        <v>6.3061070620514829E-3</v>
      </c>
      <c r="K368" s="133">
        <v>5.1412487015973986E-4</v>
      </c>
      <c r="L368" s="133">
        <v>6.7724469603073281E-2</v>
      </c>
      <c r="M368" s="45">
        <v>258.45802609820907</v>
      </c>
    </row>
    <row r="369" spans="1:13" x14ac:dyDescent="0.25">
      <c r="A369" s="812" t="s">
        <v>1999</v>
      </c>
      <c r="B369" s="812">
        <v>1</v>
      </c>
      <c r="C369" s="608">
        <v>39754</v>
      </c>
      <c r="D369" s="812">
        <v>99705</v>
      </c>
      <c r="E369" s="812" t="s">
        <v>1599</v>
      </c>
      <c r="F369" s="133">
        <v>3.2179131306445155</v>
      </c>
      <c r="G369" s="133">
        <v>0.6709421803527974</v>
      </c>
      <c r="H369" s="133">
        <v>1.1144014625825602</v>
      </c>
      <c r="I369" s="133">
        <v>0.98789262624516871</v>
      </c>
      <c r="J369" s="133">
        <v>0.98789262624516871</v>
      </c>
      <c r="K369" s="133">
        <v>4.5927361030680264E-2</v>
      </c>
      <c r="L369" s="133">
        <v>10.777007008876112</v>
      </c>
      <c r="M369" s="45">
        <v>13722.923460809841</v>
      </c>
    </row>
    <row r="370" spans="1:13" x14ac:dyDescent="0.25">
      <c r="A370" s="812" t="s">
        <v>1999</v>
      </c>
      <c r="B370" s="812">
        <v>1</v>
      </c>
      <c r="C370" s="608">
        <v>39754</v>
      </c>
      <c r="D370" s="812">
        <v>99709</v>
      </c>
      <c r="E370" s="812" t="s">
        <v>1600</v>
      </c>
      <c r="F370" s="133">
        <v>2.6331490700951803</v>
      </c>
      <c r="G370" s="133">
        <v>0.76272038382866014</v>
      </c>
      <c r="H370" s="133">
        <v>1.2239872862170307</v>
      </c>
      <c r="I370" s="133">
        <v>0.73168142386872048</v>
      </c>
      <c r="J370" s="133">
        <v>0.73168142386872048</v>
      </c>
      <c r="K370" s="133">
        <v>4.0996517910996753E-2</v>
      </c>
      <c r="L370" s="133">
        <v>7.6563755011729624</v>
      </c>
      <c r="M370" s="45">
        <v>15563.323207458781</v>
      </c>
    </row>
    <row r="371" spans="1:13" x14ac:dyDescent="0.25">
      <c r="A371" s="812" t="s">
        <v>1999</v>
      </c>
      <c r="B371" s="812">
        <v>1</v>
      </c>
      <c r="C371" s="608">
        <v>39754</v>
      </c>
      <c r="D371" s="812">
        <v>99712</v>
      </c>
      <c r="E371" s="812" t="s">
        <v>1601</v>
      </c>
      <c r="F371" s="133">
        <v>1.4742132077019303</v>
      </c>
      <c r="G371" s="133">
        <v>0.26396040090707601</v>
      </c>
      <c r="H371" s="133">
        <v>0.46948921742853722</v>
      </c>
      <c r="I371" s="133">
        <v>0.40858375235140965</v>
      </c>
      <c r="J371" s="133">
        <v>0.40858375235140965</v>
      </c>
      <c r="K371" s="133">
        <v>1.9161412255672139E-2</v>
      </c>
      <c r="L371" s="133">
        <v>4.3154146601993784</v>
      </c>
      <c r="M371" s="45">
        <v>5486.0375715819391</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7.0773721747210142E-5</v>
      </c>
      <c r="G383" s="133">
        <v>1.6384899062411239E-3</v>
      </c>
      <c r="H383" s="133">
        <v>8.9076461453243183E-4</v>
      </c>
      <c r="I383" s="133">
        <v>6.0880938172336828E-5</v>
      </c>
      <c r="J383" s="133">
        <v>6.0880938172336828E-5</v>
      </c>
      <c r="K383" s="133">
        <v>7.8016525832218269E-5</v>
      </c>
      <c r="L383" s="133">
        <v>1.8388539256775912E-4</v>
      </c>
      <c r="M383" s="45">
        <v>27.088273177232846</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0.72616161127454215</v>
      </c>
      <c r="G385" s="133">
        <v>0.66004405205765149</v>
      </c>
      <c r="H385" s="133">
        <v>0.79701024708984491</v>
      </c>
      <c r="I385" s="133">
        <v>0.21582377757853391</v>
      </c>
      <c r="J385" s="133">
        <v>0.21582377757853391</v>
      </c>
      <c r="K385" s="133">
        <v>2.8856886777692492E-2</v>
      </c>
      <c r="L385" s="133">
        <v>2.1379728719552786</v>
      </c>
      <c r="M385" s="45">
        <v>12387.260631080835</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1.7496574402927779E-2</v>
      </c>
      <c r="G387" s="133">
        <v>1.2357978651675719E-2</v>
      </c>
      <c r="H387" s="133">
        <v>1.7993021814155217E-2</v>
      </c>
      <c r="I387" s="133">
        <v>5.8064302989678076E-3</v>
      </c>
      <c r="J387" s="133">
        <v>5.8064302989678076E-3</v>
      </c>
      <c r="K387" s="133">
        <v>4.9446815285905633E-4</v>
      </c>
      <c r="L387" s="133">
        <v>6.1774232201214391E-2</v>
      </c>
      <c r="M387" s="45">
        <v>241.02375451239243</v>
      </c>
    </row>
    <row r="388" spans="1:13" x14ac:dyDescent="0.25">
      <c r="A388" s="812" t="s">
        <v>1999</v>
      </c>
      <c r="B388" s="812">
        <v>2</v>
      </c>
      <c r="C388" s="608">
        <v>39755</v>
      </c>
      <c r="D388" s="812">
        <v>99705</v>
      </c>
      <c r="E388" s="812" t="s">
        <v>1599</v>
      </c>
      <c r="F388" s="133">
        <v>3.0819283478874064</v>
      </c>
      <c r="G388" s="133">
        <v>0.63078563883197891</v>
      </c>
      <c r="H388" s="133">
        <v>1.0512013503184003</v>
      </c>
      <c r="I388" s="133">
        <v>0.93037096303175548</v>
      </c>
      <c r="J388" s="133">
        <v>0.93037096303175548</v>
      </c>
      <c r="K388" s="133">
        <v>4.348774224883846E-2</v>
      </c>
      <c r="L388" s="133">
        <v>10.02904684601075</v>
      </c>
      <c r="M388" s="45">
        <v>12932.118037107306</v>
      </c>
    </row>
    <row r="389" spans="1:13" x14ac:dyDescent="0.25">
      <c r="A389" s="812" t="s">
        <v>1999</v>
      </c>
      <c r="B389" s="812">
        <v>2</v>
      </c>
      <c r="C389" s="608">
        <v>39755</v>
      </c>
      <c r="D389" s="812">
        <v>99709</v>
      </c>
      <c r="E389" s="812" t="s">
        <v>1600</v>
      </c>
      <c r="F389" s="133">
        <v>2.6147408925105373</v>
      </c>
      <c r="G389" s="133">
        <v>0.72877900182088506</v>
      </c>
      <c r="H389" s="133">
        <v>1.1778970456145552</v>
      </c>
      <c r="I389" s="133">
        <v>0.71132721253529507</v>
      </c>
      <c r="J389" s="133">
        <v>0.71132721253529507</v>
      </c>
      <c r="K389" s="133">
        <v>4.0284602655354773E-2</v>
      </c>
      <c r="L389" s="133">
        <v>7.3596193316925929</v>
      </c>
      <c r="M389" s="45">
        <v>14928.922844784842</v>
      </c>
    </row>
    <row r="390" spans="1:13" x14ac:dyDescent="0.25">
      <c r="A390" s="812" t="s">
        <v>1999</v>
      </c>
      <c r="B390" s="812">
        <v>2</v>
      </c>
      <c r="C390" s="608">
        <v>39755</v>
      </c>
      <c r="D390" s="812">
        <v>99712</v>
      </c>
      <c r="E390" s="812" t="s">
        <v>1601</v>
      </c>
      <c r="F390" s="133">
        <v>1.48631794032797</v>
      </c>
      <c r="G390" s="133">
        <v>0.25704199788123872</v>
      </c>
      <c r="H390" s="133">
        <v>0.4588751513660918</v>
      </c>
      <c r="I390" s="133">
        <v>0.40323578161826573</v>
      </c>
      <c r="J390" s="133">
        <v>0.40323578161826573</v>
      </c>
      <c r="K390" s="133">
        <v>1.8976098830107004E-2</v>
      </c>
      <c r="L390" s="133">
        <v>4.2063983389134965</v>
      </c>
      <c r="M390" s="45">
        <v>5350.5162223708758</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6.6105947130507261E-5</v>
      </c>
      <c r="G402" s="133">
        <v>1.5206498738418925E-3</v>
      </c>
      <c r="H402" s="133">
        <v>8.0747004229788136E-4</v>
      </c>
      <c r="I402" s="133">
        <v>5.7891748338306651E-5</v>
      </c>
      <c r="J402" s="133">
        <v>5.7891748338306651E-5</v>
      </c>
      <c r="K402" s="133">
        <v>7.7856155797622532E-5</v>
      </c>
      <c r="L402" s="133">
        <v>1.8095349553888117E-4</v>
      </c>
      <c r="M402" s="45">
        <v>25.274846011978003</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0.68093710739431179</v>
      </c>
      <c r="G404" s="133">
        <v>0.65352873526960764</v>
      </c>
      <c r="H404" s="133">
        <v>0.77463679506803096</v>
      </c>
      <c r="I404" s="133">
        <v>0.20436475098752613</v>
      </c>
      <c r="J404" s="133">
        <v>0.20436475098752613</v>
      </c>
      <c r="K404" s="133">
        <v>2.8354203558809916E-2</v>
      </c>
      <c r="L404" s="133">
        <v>2.0189825047222962</v>
      </c>
      <c r="M404" s="45">
        <v>12200.926674826145</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1.65179830273419E-2</v>
      </c>
      <c r="G406" s="133">
        <v>1.2122986459356907E-2</v>
      </c>
      <c r="H406" s="133">
        <v>1.7382692066538058E-2</v>
      </c>
      <c r="I406" s="133">
        <v>5.5103923592899617E-3</v>
      </c>
      <c r="J406" s="133">
        <v>5.5103923592899617E-3</v>
      </c>
      <c r="K406" s="133">
        <v>4.8230400246606855E-4</v>
      </c>
      <c r="L406" s="133">
        <v>5.8487372183804447E-2</v>
      </c>
      <c r="M406" s="45">
        <v>235.25566391017043</v>
      </c>
    </row>
    <row r="407" spans="1:13" x14ac:dyDescent="0.25">
      <c r="A407" s="812" t="s">
        <v>1999</v>
      </c>
      <c r="B407" s="812">
        <v>3</v>
      </c>
      <c r="C407" s="608">
        <v>39756</v>
      </c>
      <c r="D407" s="812">
        <v>99705</v>
      </c>
      <c r="E407" s="812" t="s">
        <v>1599</v>
      </c>
      <c r="F407" s="133">
        <v>2.8685556614118415</v>
      </c>
      <c r="G407" s="133">
        <v>0.59889378681626537</v>
      </c>
      <c r="H407" s="133">
        <v>0.99227504726186133</v>
      </c>
      <c r="I407" s="133">
        <v>0.86820998938501559</v>
      </c>
      <c r="J407" s="133">
        <v>0.86820998938501559</v>
      </c>
      <c r="K407" s="133">
        <v>4.0794820368657114E-2</v>
      </c>
      <c r="L407" s="133">
        <v>9.3400352435278542</v>
      </c>
      <c r="M407" s="45">
        <v>12263.616260783647</v>
      </c>
    </row>
    <row r="408" spans="1:13" x14ac:dyDescent="0.25">
      <c r="A408" s="812" t="s">
        <v>1999</v>
      </c>
      <c r="B408" s="812">
        <v>3</v>
      </c>
      <c r="C408" s="608">
        <v>39756</v>
      </c>
      <c r="D408" s="812">
        <v>99709</v>
      </c>
      <c r="E408" s="812" t="s">
        <v>1600</v>
      </c>
      <c r="F408" s="133">
        <v>2.4954416756569726</v>
      </c>
      <c r="G408" s="133">
        <v>0.71289019048430635</v>
      </c>
      <c r="H408" s="133">
        <v>1.1424186419508846</v>
      </c>
      <c r="I408" s="133">
        <v>0.68234742615429855</v>
      </c>
      <c r="J408" s="133">
        <v>0.68234742615429855</v>
      </c>
      <c r="K408" s="133">
        <v>3.9017765647054739E-2</v>
      </c>
      <c r="L408" s="133">
        <v>7.0640522666921983</v>
      </c>
      <c r="M408" s="45">
        <v>14565.872268462428</v>
      </c>
    </row>
    <row r="409" spans="1:13" x14ac:dyDescent="0.25">
      <c r="A409" s="812" t="s">
        <v>1999</v>
      </c>
      <c r="B409" s="812">
        <v>3</v>
      </c>
      <c r="C409" s="608">
        <v>39756</v>
      </c>
      <c r="D409" s="812">
        <v>99712</v>
      </c>
      <c r="E409" s="812" t="s">
        <v>1601</v>
      </c>
      <c r="F409" s="133">
        <v>1.4274018161294351</v>
      </c>
      <c r="G409" s="133">
        <v>0.25028745457155249</v>
      </c>
      <c r="H409" s="133">
        <v>0.44595894839743128</v>
      </c>
      <c r="I409" s="133">
        <v>0.38906813579807453</v>
      </c>
      <c r="J409" s="133">
        <v>0.38906813579807453</v>
      </c>
      <c r="K409" s="133">
        <v>1.8322512615148463E-2</v>
      </c>
      <c r="L409" s="133">
        <v>4.0616946097345643</v>
      </c>
      <c r="M409" s="45">
        <v>5208.5740910765908</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6.6883909566624414E-5</v>
      </c>
      <c r="G421" s="133">
        <v>1.5402898792417647E-3</v>
      </c>
      <c r="H421" s="133">
        <v>8.2135247100363997E-4</v>
      </c>
      <c r="I421" s="133">
        <v>5.8389946643978354E-5</v>
      </c>
      <c r="J421" s="133">
        <v>5.8389946643978354E-5</v>
      </c>
      <c r="K421" s="133">
        <v>7.788288413672184E-5</v>
      </c>
      <c r="L421" s="133">
        <v>1.8144214504369418E-4</v>
      </c>
      <c r="M421" s="45">
        <v>25.577083872853809</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0.74553870971241587</v>
      </c>
      <c r="G423" s="133">
        <v>0.70682638972463718</v>
      </c>
      <c r="H423" s="133">
        <v>0.83719161094471317</v>
      </c>
      <c r="I423" s="133">
        <v>0.22166984764676292</v>
      </c>
      <c r="J423" s="133">
        <v>0.22166984764676292</v>
      </c>
      <c r="K423" s="133">
        <v>2.9114445750259267E-2</v>
      </c>
      <c r="L423" s="133">
        <v>2.1874284482712221</v>
      </c>
      <c r="M423" s="45">
        <v>13121.239259271093</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1.7974969714364731E-2</v>
      </c>
      <c r="G425" s="133">
        <v>1.3099369831537262E-2</v>
      </c>
      <c r="H425" s="133">
        <v>1.8748575302345721E-2</v>
      </c>
      <c r="I425" s="133">
        <v>5.9695704361091275E-3</v>
      </c>
      <c r="J425" s="133">
        <v>5.9695704361091275E-3</v>
      </c>
      <c r="K425" s="133">
        <v>5.0130741808491379E-4</v>
      </c>
      <c r="L425" s="133">
        <v>6.3406623704933024E-2</v>
      </c>
      <c r="M425" s="45">
        <v>253.03115036343115</v>
      </c>
    </row>
    <row r="426" spans="1:13" x14ac:dyDescent="0.25">
      <c r="A426" s="812" t="s">
        <v>1999</v>
      </c>
      <c r="B426" s="812">
        <v>4</v>
      </c>
      <c r="C426" s="608">
        <v>39757</v>
      </c>
      <c r="D426" s="812">
        <v>99705</v>
      </c>
      <c r="E426" s="812" t="s">
        <v>1599</v>
      </c>
      <c r="F426" s="133">
        <v>3.1639781651806422</v>
      </c>
      <c r="G426" s="133">
        <v>0.65285341318708923</v>
      </c>
      <c r="H426" s="133">
        <v>1.0808303571154358</v>
      </c>
      <c r="I426" s="133">
        <v>0.95513211385999841</v>
      </c>
      <c r="J426" s="133">
        <v>0.95513211385999841</v>
      </c>
      <c r="K426" s="133">
        <v>4.4533492564936016E-2</v>
      </c>
      <c r="L426" s="133">
        <v>10.303703097446551</v>
      </c>
      <c r="M426" s="45">
        <v>13342.334687195138</v>
      </c>
    </row>
    <row r="427" spans="1:13" x14ac:dyDescent="0.25">
      <c r="A427" s="812" t="s">
        <v>1999</v>
      </c>
      <c r="B427" s="812">
        <v>4</v>
      </c>
      <c r="C427" s="608">
        <v>39757</v>
      </c>
      <c r="D427" s="812">
        <v>99709</v>
      </c>
      <c r="E427" s="812" t="s">
        <v>1600</v>
      </c>
      <c r="F427" s="133">
        <v>2.5077419869219337</v>
      </c>
      <c r="G427" s="133">
        <v>0.73791183742120003</v>
      </c>
      <c r="H427" s="133">
        <v>1.1720781273357619</v>
      </c>
      <c r="I427" s="133">
        <v>0.68467466057928972</v>
      </c>
      <c r="J427" s="133">
        <v>0.68467466057928972</v>
      </c>
      <c r="K427" s="133">
        <v>3.9158217822369806E-2</v>
      </c>
      <c r="L427" s="133">
        <v>7.0753477524754542</v>
      </c>
      <c r="M427" s="45">
        <v>15001.83485695421</v>
      </c>
    </row>
    <row r="428" spans="1:13" x14ac:dyDescent="0.25">
      <c r="A428" s="812" t="s">
        <v>1999</v>
      </c>
      <c r="B428" s="812">
        <v>4</v>
      </c>
      <c r="C428" s="608">
        <v>39757</v>
      </c>
      <c r="D428" s="812">
        <v>99712</v>
      </c>
      <c r="E428" s="812" t="s">
        <v>1601</v>
      </c>
      <c r="F428" s="133">
        <v>1.2973545146442087</v>
      </c>
      <c r="G428" s="133">
        <v>0.23521215982821478</v>
      </c>
      <c r="H428" s="133">
        <v>0.41637027126998233</v>
      </c>
      <c r="I428" s="133">
        <v>0.35523945116016464</v>
      </c>
      <c r="J428" s="133">
        <v>0.35523945116016464</v>
      </c>
      <c r="K428" s="133">
        <v>1.6803315444673263E-2</v>
      </c>
      <c r="L428" s="133">
        <v>3.7021998753149026</v>
      </c>
      <c r="M428" s="45">
        <v>4886.6444673018223</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7.2329646619444476E-5</v>
      </c>
      <c r="G440" s="133">
        <v>1.6777699170408681E-3</v>
      </c>
      <c r="H440" s="133">
        <v>9.1852947194394905E-4</v>
      </c>
      <c r="I440" s="133">
        <v>6.1877334783680247E-5</v>
      </c>
      <c r="J440" s="133">
        <v>6.1877334783680247E-5</v>
      </c>
      <c r="K440" s="133">
        <v>7.8069982510416857E-5</v>
      </c>
      <c r="L440" s="133">
        <v>1.8486269157738514E-4</v>
      </c>
      <c r="M440" s="45">
        <v>27.692748898984462</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0.76247884930055798</v>
      </c>
      <c r="G442" s="133">
        <v>0.71149920273818079</v>
      </c>
      <c r="H442" s="133">
        <v>0.84748634475474194</v>
      </c>
      <c r="I442" s="133">
        <v>0.22620848705774116</v>
      </c>
      <c r="J442" s="133">
        <v>0.22620848705774116</v>
      </c>
      <c r="K442" s="133">
        <v>2.9309028892254861E-2</v>
      </c>
      <c r="L442" s="133">
        <v>2.2349720406795601</v>
      </c>
      <c r="M442" s="45">
        <v>13226.18374922534</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1.8575740357575057E-2</v>
      </c>
      <c r="G444" s="133">
        <v>1.3297808471972733E-2</v>
      </c>
      <c r="H444" s="133">
        <v>1.9177504080011586E-2</v>
      </c>
      <c r="I444" s="133">
        <v>6.1542883798273102E-3</v>
      </c>
      <c r="J444" s="133">
        <v>6.1542883798273102E-3</v>
      </c>
      <c r="K444" s="133">
        <v>5.0878124996392871E-4</v>
      </c>
      <c r="L444" s="133">
        <v>6.5446465403049492E-2</v>
      </c>
      <c r="M444" s="45">
        <v>257.44824506169977</v>
      </c>
    </row>
    <row r="445" spans="1:13" x14ac:dyDescent="0.25">
      <c r="A445" s="812" t="s">
        <v>1999</v>
      </c>
      <c r="B445" s="812">
        <v>5</v>
      </c>
      <c r="C445" s="608">
        <v>39758</v>
      </c>
      <c r="D445" s="812">
        <v>99705</v>
      </c>
      <c r="E445" s="812" t="s">
        <v>1599</v>
      </c>
      <c r="F445" s="133">
        <v>3.243719227858807</v>
      </c>
      <c r="G445" s="133">
        <v>0.66515536862707514</v>
      </c>
      <c r="H445" s="133">
        <v>1.1029246254936931</v>
      </c>
      <c r="I445" s="133">
        <v>0.97851829349131259</v>
      </c>
      <c r="J445" s="133">
        <v>0.97851829349131259</v>
      </c>
      <c r="K445" s="133">
        <v>4.5535465663976045E-2</v>
      </c>
      <c r="L445" s="133">
        <v>10.563355152625034</v>
      </c>
      <c r="M445" s="45">
        <v>13597.953217738732</v>
      </c>
    </row>
    <row r="446" spans="1:13" x14ac:dyDescent="0.25">
      <c r="A446" s="812" t="s">
        <v>1999</v>
      </c>
      <c r="B446" s="812">
        <v>5</v>
      </c>
      <c r="C446" s="608">
        <v>39758</v>
      </c>
      <c r="D446" s="812">
        <v>99709</v>
      </c>
      <c r="E446" s="812" t="s">
        <v>1600</v>
      </c>
      <c r="F446" s="133">
        <v>2.4578688480187312</v>
      </c>
      <c r="G446" s="133">
        <v>0.73265456531241413</v>
      </c>
      <c r="H446" s="133">
        <v>1.1623771589075111</v>
      </c>
      <c r="I446" s="133">
        <v>0.6733873027616184</v>
      </c>
      <c r="J446" s="133">
        <v>0.6733873027616184</v>
      </c>
      <c r="K446" s="133">
        <v>3.8653320766919359E-2</v>
      </c>
      <c r="L446" s="133">
        <v>6.9638739172565671</v>
      </c>
      <c r="M446" s="45">
        <v>14891.297177699567</v>
      </c>
    </row>
    <row r="447" spans="1:13" x14ac:dyDescent="0.25">
      <c r="A447" s="812" t="s">
        <v>1999</v>
      </c>
      <c r="B447" s="812">
        <v>5</v>
      </c>
      <c r="C447" s="608">
        <v>39758</v>
      </c>
      <c r="D447" s="812">
        <v>99712</v>
      </c>
      <c r="E447" s="812" t="s">
        <v>1601</v>
      </c>
      <c r="F447" s="133">
        <v>1.2873414288561769</v>
      </c>
      <c r="G447" s="133">
        <v>0.23460541012728184</v>
      </c>
      <c r="H447" s="133">
        <v>0.41516761963454346</v>
      </c>
      <c r="I447" s="133">
        <v>0.35356089429001525</v>
      </c>
      <c r="J447" s="133">
        <v>0.35356089429001525</v>
      </c>
      <c r="K447" s="133">
        <v>1.6712263799138039E-2</v>
      </c>
      <c r="L447" s="133">
        <v>3.6887576307585093</v>
      </c>
      <c r="M447" s="45">
        <v>4874.290067577931</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7.2329646619444436E-5</v>
      </c>
      <c r="G459" s="133">
        <v>1.6777699170408679E-3</v>
      </c>
      <c r="H459" s="133">
        <v>9.1852947194394862E-4</v>
      </c>
      <c r="I459" s="133">
        <v>6.187733478368022E-5</v>
      </c>
      <c r="J459" s="133">
        <v>6.187733478368022E-5</v>
      </c>
      <c r="K459" s="133">
        <v>7.806998251041683E-5</v>
      </c>
      <c r="L459" s="133">
        <v>1.8486269157738509E-4</v>
      </c>
      <c r="M459" s="45">
        <v>27.692748898984462</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0.87665722543736202</v>
      </c>
      <c r="G461" s="133">
        <v>0.77734212627191723</v>
      </c>
      <c r="H461" s="133">
        <v>0.93790767044064272</v>
      </c>
      <c r="I461" s="133">
        <v>0.25595331811356126</v>
      </c>
      <c r="J461" s="133">
        <v>0.25595331811356126</v>
      </c>
      <c r="K461" s="133">
        <v>3.062089920817546E-2</v>
      </c>
      <c r="L461" s="133">
        <v>2.530046416621238</v>
      </c>
      <c r="M461" s="45">
        <v>14428.768354687241</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2.0730403725913941E-2</v>
      </c>
      <c r="G463" s="133">
        <v>1.4494276302743702E-2</v>
      </c>
      <c r="H463" s="133">
        <v>2.1016748583582833E-2</v>
      </c>
      <c r="I463" s="133">
        <v>6.8260578294293975E-3</v>
      </c>
      <c r="J463" s="133">
        <v>6.8260578294293975E-3</v>
      </c>
      <c r="K463" s="133">
        <v>5.3653239718478977E-4</v>
      </c>
      <c r="L463" s="133">
        <v>7.2711041765792836E-2</v>
      </c>
      <c r="M463" s="45">
        <v>280.10601717192236</v>
      </c>
    </row>
    <row r="464" spans="1:13" x14ac:dyDescent="0.25">
      <c r="A464" s="812" t="s">
        <v>1999</v>
      </c>
      <c r="B464" s="812">
        <v>6</v>
      </c>
      <c r="C464" s="608">
        <v>39759</v>
      </c>
      <c r="D464" s="812">
        <v>99705</v>
      </c>
      <c r="E464" s="812" t="s">
        <v>1599</v>
      </c>
      <c r="F464" s="133">
        <v>3.5209072279926992</v>
      </c>
      <c r="G464" s="133">
        <v>0.7163322875976682</v>
      </c>
      <c r="H464" s="133">
        <v>1.1871921556703313</v>
      </c>
      <c r="I464" s="133">
        <v>1.0592543712823586</v>
      </c>
      <c r="J464" s="133">
        <v>1.0592543712823586</v>
      </c>
      <c r="K464" s="133">
        <v>4.9062525130575865E-2</v>
      </c>
      <c r="L464" s="133">
        <v>11.455397156245921</v>
      </c>
      <c r="M464" s="45">
        <v>14618.244324205265</v>
      </c>
    </row>
    <row r="465" spans="1:13" x14ac:dyDescent="0.25">
      <c r="A465" s="812" t="s">
        <v>1999</v>
      </c>
      <c r="B465" s="812">
        <v>6</v>
      </c>
      <c r="C465" s="608">
        <v>39759</v>
      </c>
      <c r="D465" s="812">
        <v>99709</v>
      </c>
      <c r="E465" s="812" t="s">
        <v>1600</v>
      </c>
      <c r="F465" s="133">
        <v>3.0321349900182009</v>
      </c>
      <c r="G465" s="133">
        <v>0.83214979305158265</v>
      </c>
      <c r="H465" s="133">
        <v>1.3338677059172468</v>
      </c>
      <c r="I465" s="133">
        <v>0.8135139616277357</v>
      </c>
      <c r="J465" s="133">
        <v>0.8135139616277357</v>
      </c>
      <c r="K465" s="133">
        <v>4.4768301042638896E-2</v>
      </c>
      <c r="L465" s="133">
        <v>8.3901580923631833</v>
      </c>
      <c r="M465" s="45">
        <v>16917.922934209055</v>
      </c>
    </row>
    <row r="466" spans="1:13" x14ac:dyDescent="0.25">
      <c r="A466" s="812" t="s">
        <v>1999</v>
      </c>
      <c r="B466" s="812">
        <v>6</v>
      </c>
      <c r="C466" s="608">
        <v>39759</v>
      </c>
      <c r="D466" s="812">
        <v>99712</v>
      </c>
      <c r="E466" s="812" t="s">
        <v>1601</v>
      </c>
      <c r="F466" s="133">
        <v>1.5739220447007873</v>
      </c>
      <c r="G466" s="133">
        <v>0.2700633617944691</v>
      </c>
      <c r="H466" s="133">
        <v>0.47856474503772417</v>
      </c>
      <c r="I466" s="133">
        <v>0.42287629878536032</v>
      </c>
      <c r="J466" s="133">
        <v>0.42287629878536032</v>
      </c>
      <c r="K466" s="133">
        <v>1.9913703091855348E-2</v>
      </c>
      <c r="L466" s="133">
        <v>4.3986247255734137</v>
      </c>
      <c r="M466" s="45">
        <v>5598.8307196257301</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7.7775383672264511E-5</v>
      </c>
      <c r="G478" s="133">
        <v>1.8152499548399713E-3</v>
      </c>
      <c r="H478" s="133">
        <v>1.0157064728842575E-3</v>
      </c>
      <c r="I478" s="133">
        <v>6.5364722923382093E-5</v>
      </c>
      <c r="J478" s="133">
        <v>6.5364722923382093E-5</v>
      </c>
      <c r="K478" s="133">
        <v>7.8257080884111847E-5</v>
      </c>
      <c r="L478" s="133">
        <v>1.8828323811107602E-4</v>
      </c>
      <c r="M478" s="45">
        <v>29.808413925115111</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0.78185223431142536</v>
      </c>
      <c r="G480" s="133">
        <v>0.74217048633152483</v>
      </c>
      <c r="H480" s="133">
        <v>0.88302603118691925</v>
      </c>
      <c r="I480" s="133">
        <v>0.23535683079343594</v>
      </c>
      <c r="J480" s="133">
        <v>0.23535683079343594</v>
      </c>
      <c r="K480" s="133">
        <v>2.9667044995982956E-2</v>
      </c>
      <c r="L480" s="133">
        <v>2.3444643136085017</v>
      </c>
      <c r="M480" s="45">
        <v>13755.640144528395</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1.8721450455644353E-2</v>
      </c>
      <c r="G482" s="133">
        <v>1.3721329531442564E-2</v>
      </c>
      <c r="H482" s="133">
        <v>1.9635659107570213E-2</v>
      </c>
      <c r="I482" s="133">
        <v>6.3092963467953822E-3</v>
      </c>
      <c r="J482" s="133">
        <v>6.3092963467953822E-3</v>
      </c>
      <c r="K482" s="133">
        <v>5.1450501624995815E-4</v>
      </c>
      <c r="L482" s="133">
        <v>6.7631665539956226E-2</v>
      </c>
      <c r="M482" s="45">
        <v>264.51446541862458</v>
      </c>
    </row>
    <row r="483" spans="1:13" x14ac:dyDescent="0.25">
      <c r="A483" s="812" t="s">
        <v>1999</v>
      </c>
      <c r="B483" s="812">
        <v>7</v>
      </c>
      <c r="C483" s="608">
        <v>39760</v>
      </c>
      <c r="D483" s="812">
        <v>99705</v>
      </c>
      <c r="E483" s="812" t="s">
        <v>1599</v>
      </c>
      <c r="F483" s="133">
        <v>3.1938239745558712</v>
      </c>
      <c r="G483" s="133">
        <v>0.67435097884724926</v>
      </c>
      <c r="H483" s="133">
        <v>1.1132081746441793</v>
      </c>
      <c r="I483" s="133">
        <v>0.98119227625661121</v>
      </c>
      <c r="J483" s="133">
        <v>0.98119227625661121</v>
      </c>
      <c r="K483" s="133">
        <v>4.563627963446814E-2</v>
      </c>
      <c r="L483" s="133">
        <v>10.701766575758368</v>
      </c>
      <c r="M483" s="45">
        <v>13757.767629017626</v>
      </c>
    </row>
    <row r="484" spans="1:13" x14ac:dyDescent="0.25">
      <c r="A484" s="812" t="s">
        <v>1999</v>
      </c>
      <c r="B484" s="812">
        <v>7</v>
      </c>
      <c r="C484" s="608">
        <v>39760</v>
      </c>
      <c r="D484" s="812">
        <v>99709</v>
      </c>
      <c r="E484" s="812" t="s">
        <v>1600</v>
      </c>
      <c r="F484" s="133">
        <v>2.822532765628206</v>
      </c>
      <c r="G484" s="133">
        <v>0.80388807058139233</v>
      </c>
      <c r="H484" s="133">
        <v>1.2843397761448736</v>
      </c>
      <c r="I484" s="133">
        <v>0.77728639625815765</v>
      </c>
      <c r="J484" s="133">
        <v>0.77728639625815765</v>
      </c>
      <c r="K484" s="133">
        <v>4.3004518911613172E-2</v>
      </c>
      <c r="L484" s="133">
        <v>8.1146306684815119</v>
      </c>
      <c r="M484" s="45">
        <v>16348.136599926927</v>
      </c>
    </row>
    <row r="485" spans="1:13" x14ac:dyDescent="0.25">
      <c r="A485" s="812" t="s">
        <v>1999</v>
      </c>
      <c r="B485" s="812">
        <v>7</v>
      </c>
      <c r="C485" s="608">
        <v>39760</v>
      </c>
      <c r="D485" s="812">
        <v>99712</v>
      </c>
      <c r="E485" s="812" t="s">
        <v>1601</v>
      </c>
      <c r="F485" s="133">
        <v>1.5224685913900617</v>
      </c>
      <c r="G485" s="133">
        <v>0.2703891124614427</v>
      </c>
      <c r="H485" s="133">
        <v>0.47955831534455962</v>
      </c>
      <c r="I485" s="133">
        <v>0.41936319651879239</v>
      </c>
      <c r="J485" s="133">
        <v>0.41936319651879239</v>
      </c>
      <c r="K485" s="133">
        <v>1.9677361583455559E-2</v>
      </c>
      <c r="L485" s="133">
        <v>4.4209897903190178</v>
      </c>
      <c r="M485" s="45">
        <v>5610.0720380377843</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7.5441496363913078E-5</v>
      </c>
      <c r="G497" s="133">
        <v>1.7563299386403558E-3</v>
      </c>
      <c r="H497" s="133">
        <v>9.7405918676698219E-4</v>
      </c>
      <c r="I497" s="133">
        <v>6.3870128006367005E-5</v>
      </c>
      <c r="J497" s="133">
        <v>6.3870128006367005E-5</v>
      </c>
      <c r="K497" s="133">
        <v>7.8176895866813965E-5</v>
      </c>
      <c r="L497" s="133">
        <v>1.8681728959663702E-4</v>
      </c>
      <c r="M497" s="45">
        <v>28.90170034248769</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0.83839332731221139</v>
      </c>
      <c r="G499" s="133">
        <v>0.76803337181096654</v>
      </c>
      <c r="H499" s="133">
        <v>0.92429663150017927</v>
      </c>
      <c r="I499" s="133">
        <v>0.25061051410449287</v>
      </c>
      <c r="J499" s="133">
        <v>0.25061051410449287</v>
      </c>
      <c r="K499" s="133">
        <v>3.0324194591733987E-2</v>
      </c>
      <c r="L499" s="133">
        <v>2.5010594734163587</v>
      </c>
      <c r="M499" s="45">
        <v>14257.336549379115</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2.0452672563291089E-2</v>
      </c>
      <c r="G501" s="133">
        <v>1.4433836017996419E-2</v>
      </c>
      <c r="H501" s="133">
        <v>2.0962835301910895E-2</v>
      </c>
      <c r="I501" s="133">
        <v>6.8446452903243929E-3</v>
      </c>
      <c r="J501" s="133">
        <v>6.8446452903243929E-3</v>
      </c>
      <c r="K501" s="133">
        <v>5.3629819228039348E-4</v>
      </c>
      <c r="L501" s="133">
        <v>7.350007709899678E-2</v>
      </c>
      <c r="M501" s="45">
        <v>279.24217156607534</v>
      </c>
    </row>
    <row r="502" spans="1:13" x14ac:dyDescent="0.25">
      <c r="A502" s="812" t="s">
        <v>1999</v>
      </c>
      <c r="B502" s="812">
        <v>8</v>
      </c>
      <c r="C502" s="608">
        <v>39761</v>
      </c>
      <c r="D502" s="812">
        <v>99705</v>
      </c>
      <c r="E502" s="812" t="s">
        <v>1599</v>
      </c>
      <c r="F502" s="133">
        <v>3.4533484867213633</v>
      </c>
      <c r="G502" s="133">
        <v>0.71680497179905789</v>
      </c>
      <c r="H502" s="133">
        <v>1.1871424456333264</v>
      </c>
      <c r="I502" s="133">
        <v>1.0573278969141873</v>
      </c>
      <c r="J502" s="133">
        <v>1.0573278969141873</v>
      </c>
      <c r="K502" s="133">
        <v>4.8915961292709968E-2</v>
      </c>
      <c r="L502" s="133">
        <v>11.546666572938825</v>
      </c>
      <c r="M502" s="45">
        <v>14627.162690807661</v>
      </c>
    </row>
    <row r="503" spans="1:13" x14ac:dyDescent="0.25">
      <c r="A503" s="812" t="s">
        <v>1999</v>
      </c>
      <c r="B503" s="812">
        <v>8</v>
      </c>
      <c r="C503" s="608">
        <v>39761</v>
      </c>
      <c r="D503" s="812">
        <v>99709</v>
      </c>
      <c r="E503" s="812" t="s">
        <v>1600</v>
      </c>
      <c r="F503" s="133">
        <v>2.6224604250004075</v>
      </c>
      <c r="G503" s="133">
        <v>0.78763396717549194</v>
      </c>
      <c r="H503" s="133">
        <v>1.2499731173312163</v>
      </c>
      <c r="I503" s="133">
        <v>0.7291668389168896</v>
      </c>
      <c r="J503" s="133">
        <v>0.7291668389168896</v>
      </c>
      <c r="K503" s="133">
        <v>4.0912641792725211E-2</v>
      </c>
      <c r="L503" s="133">
        <v>7.6211216350516704</v>
      </c>
      <c r="M503" s="45">
        <v>15980.164182043409</v>
      </c>
    </row>
    <row r="504" spans="1:13" x14ac:dyDescent="0.25">
      <c r="A504" s="812" t="s">
        <v>1999</v>
      </c>
      <c r="B504" s="812">
        <v>8</v>
      </c>
      <c r="C504" s="608">
        <v>39761</v>
      </c>
      <c r="D504" s="812">
        <v>99712</v>
      </c>
      <c r="E504" s="812" t="s">
        <v>1601</v>
      </c>
      <c r="F504" s="133">
        <v>1.2975919343062383</v>
      </c>
      <c r="G504" s="133">
        <v>0.24315379392823772</v>
      </c>
      <c r="H504" s="133">
        <v>0.42884287930338133</v>
      </c>
      <c r="I504" s="133">
        <v>0.363153657427432</v>
      </c>
      <c r="J504" s="133">
        <v>0.363153657427432</v>
      </c>
      <c r="K504" s="133">
        <v>1.7116000092854952E-2</v>
      </c>
      <c r="L504" s="133">
        <v>3.8355121447995848</v>
      </c>
      <c r="M504" s="45">
        <v>5042.7958159131522</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7.6997421236147344E-5</v>
      </c>
      <c r="G516" s="133">
        <v>1.7956099494400993E-3</v>
      </c>
      <c r="H516" s="133">
        <v>1.0018240441784989E-3</v>
      </c>
      <c r="I516" s="133">
        <v>6.4866524617710397E-5</v>
      </c>
      <c r="J516" s="133">
        <v>6.4866524617710397E-5</v>
      </c>
      <c r="K516" s="133">
        <v>7.8230352545012539E-5</v>
      </c>
      <c r="L516" s="133">
        <v>1.8779458860626301E-4</v>
      </c>
      <c r="M516" s="45">
        <v>29.506176064239302</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0.7353007567258284</v>
      </c>
      <c r="G518" s="133">
        <v>0.66858530791728199</v>
      </c>
      <c r="H518" s="133">
        <v>0.80779131522667558</v>
      </c>
      <c r="I518" s="133">
        <v>0.21899069129613566</v>
      </c>
      <c r="J518" s="133">
        <v>0.21899069129613566</v>
      </c>
      <c r="K518" s="133">
        <v>2.8979946965216673E-2</v>
      </c>
      <c r="L518" s="133">
        <v>2.1724653561172071</v>
      </c>
      <c r="M518" s="45">
        <v>12539.075993877153</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1.8085823952072606E-2</v>
      </c>
      <c r="G520" s="133">
        <v>1.2655071855859569E-2</v>
      </c>
      <c r="H520" s="133">
        <v>1.8536035746766676E-2</v>
      </c>
      <c r="I520" s="133">
        <v>5.9950907187643005E-3</v>
      </c>
      <c r="J520" s="133">
        <v>5.9950907187643005E-3</v>
      </c>
      <c r="K520" s="133">
        <v>5.0171481521906305E-4</v>
      </c>
      <c r="L520" s="133">
        <v>6.3843087361526524E-2</v>
      </c>
      <c r="M520" s="45">
        <v>247.12229694800325</v>
      </c>
    </row>
    <row r="521" spans="1:13" x14ac:dyDescent="0.25">
      <c r="A521" s="812" t="s">
        <v>1999</v>
      </c>
      <c r="B521" s="812">
        <v>9</v>
      </c>
      <c r="C521" s="608">
        <v>39762</v>
      </c>
      <c r="D521" s="812">
        <v>99705</v>
      </c>
      <c r="E521" s="812" t="s">
        <v>1599</v>
      </c>
      <c r="F521" s="133">
        <v>2.9605027121084797</v>
      </c>
      <c r="G521" s="133">
        <v>0.61110040453149017</v>
      </c>
      <c r="H521" s="133">
        <v>1.0138884963074404</v>
      </c>
      <c r="I521" s="133">
        <v>0.89320235108424662</v>
      </c>
      <c r="J521" s="133">
        <v>0.89320235108424662</v>
      </c>
      <c r="K521" s="133">
        <v>4.1838934079540313E-2</v>
      </c>
      <c r="L521" s="133">
        <v>9.6087622338266705</v>
      </c>
      <c r="M521" s="45">
        <v>12519.207881385864</v>
      </c>
    </row>
    <row r="522" spans="1:13" x14ac:dyDescent="0.25">
      <c r="A522" s="812" t="s">
        <v>1999</v>
      </c>
      <c r="B522" s="812">
        <v>9</v>
      </c>
      <c r="C522" s="608">
        <v>39762</v>
      </c>
      <c r="D522" s="812">
        <v>99709</v>
      </c>
      <c r="E522" s="812" t="s">
        <v>1600</v>
      </c>
      <c r="F522" s="133">
        <v>2.2600658366711541</v>
      </c>
      <c r="G522" s="133">
        <v>0.68629130476390832</v>
      </c>
      <c r="H522" s="133">
        <v>1.0953688506211012</v>
      </c>
      <c r="I522" s="133">
        <v>0.62398818666818867</v>
      </c>
      <c r="J522" s="133">
        <v>0.62398818666818867</v>
      </c>
      <c r="K522" s="133">
        <v>3.648905595460105E-2</v>
      </c>
      <c r="L522" s="133">
        <v>6.458551146513928</v>
      </c>
      <c r="M522" s="45">
        <v>14012.393961830572</v>
      </c>
    </row>
    <row r="523" spans="1:13" x14ac:dyDescent="0.25">
      <c r="A523" s="812" t="s">
        <v>1999</v>
      </c>
      <c r="B523" s="812">
        <v>9</v>
      </c>
      <c r="C523" s="608">
        <v>39762</v>
      </c>
      <c r="D523" s="812">
        <v>99712</v>
      </c>
      <c r="E523" s="812" t="s">
        <v>1601</v>
      </c>
      <c r="F523" s="133">
        <v>1.1523972983055442</v>
      </c>
      <c r="G523" s="133">
        <v>0.21564188171472568</v>
      </c>
      <c r="H523" s="133">
        <v>0.38285160458671968</v>
      </c>
      <c r="I523" s="133">
        <v>0.31860750938760091</v>
      </c>
      <c r="J523" s="133">
        <v>0.31860750938760091</v>
      </c>
      <c r="K523" s="133">
        <v>1.5132865459532484E-2</v>
      </c>
      <c r="L523" s="133">
        <v>3.3187977042539685</v>
      </c>
      <c r="M523" s="45">
        <v>4492.7241173623734</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6.6883909566624414E-5</v>
      </c>
      <c r="G535" s="133">
        <v>1.5402898792417645E-3</v>
      </c>
      <c r="H535" s="133">
        <v>8.2135247100364008E-4</v>
      </c>
      <c r="I535" s="133">
        <v>5.8389946643978341E-5</v>
      </c>
      <c r="J535" s="133">
        <v>5.8389946643978341E-5</v>
      </c>
      <c r="K535" s="133">
        <v>7.7882884136721813E-5</v>
      </c>
      <c r="L535" s="133">
        <v>1.8144214504369413E-4</v>
      </c>
      <c r="M535" s="45">
        <v>25.577083872853809</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0.65720291580919654</v>
      </c>
      <c r="G537" s="133">
        <v>0.63749844672262901</v>
      </c>
      <c r="H537" s="133">
        <v>0.75486338793980767</v>
      </c>
      <c r="I537" s="133">
        <v>0.19850692179233018</v>
      </c>
      <c r="J537" s="133">
        <v>0.19850692179233018</v>
      </c>
      <c r="K537" s="133">
        <v>2.8086781251260479E-2</v>
      </c>
      <c r="L537" s="133">
        <v>1.9634699812461467</v>
      </c>
      <c r="M537" s="45">
        <v>11919.723591588037</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1.6284218239437084E-2</v>
      </c>
      <c r="G539" s="133">
        <v>1.1919857245337916E-2</v>
      </c>
      <c r="H539" s="133">
        <v>1.7159898272354774E-2</v>
      </c>
      <c r="I539" s="133">
        <v>5.4382012163309013E-3</v>
      </c>
      <c r="J539" s="133">
        <v>5.4382012163309013E-3</v>
      </c>
      <c r="K539" s="133">
        <v>4.7904247643246E-4</v>
      </c>
      <c r="L539" s="133">
        <v>5.7736924322919901E-2</v>
      </c>
      <c r="M539" s="45">
        <v>231.8899916605647</v>
      </c>
    </row>
    <row r="540" spans="1:13" x14ac:dyDescent="0.25">
      <c r="A540" s="812" t="s">
        <v>1999</v>
      </c>
      <c r="B540" s="812">
        <v>10</v>
      </c>
      <c r="C540" s="608">
        <v>39763</v>
      </c>
      <c r="D540" s="812">
        <v>99705</v>
      </c>
      <c r="E540" s="812" t="s">
        <v>1599</v>
      </c>
      <c r="F540" s="133">
        <v>2.7415737413344008</v>
      </c>
      <c r="G540" s="133">
        <v>0.57732308205221317</v>
      </c>
      <c r="H540" s="133">
        <v>0.95547799817810286</v>
      </c>
      <c r="I540" s="133">
        <v>0.83189573477386547</v>
      </c>
      <c r="J540" s="133">
        <v>0.83189573477386547</v>
      </c>
      <c r="K540" s="133">
        <v>3.9180292277309695E-2</v>
      </c>
      <c r="L540" s="133">
        <v>8.9408440700420844</v>
      </c>
      <c r="M540" s="45">
        <v>11829.250457707891</v>
      </c>
    </row>
    <row r="541" spans="1:13" x14ac:dyDescent="0.25">
      <c r="A541" s="812" t="s">
        <v>1999</v>
      </c>
      <c r="B541" s="812">
        <v>10</v>
      </c>
      <c r="C541" s="608">
        <v>39763</v>
      </c>
      <c r="D541" s="812">
        <v>99709</v>
      </c>
      <c r="E541" s="812" t="s">
        <v>1600</v>
      </c>
      <c r="F541" s="133">
        <v>2.0998234231867041</v>
      </c>
      <c r="G541" s="133">
        <v>0.65619789334078449</v>
      </c>
      <c r="H541" s="133">
        <v>1.0420740067202108</v>
      </c>
      <c r="I541" s="133">
        <v>0.5842995574328731</v>
      </c>
      <c r="J541" s="133">
        <v>0.5842995574328731</v>
      </c>
      <c r="K541" s="133">
        <v>3.4761826621272758E-2</v>
      </c>
      <c r="L541" s="133">
        <v>6.052506993814136</v>
      </c>
      <c r="M541" s="45">
        <v>13393.345017661051</v>
      </c>
    </row>
    <row r="542" spans="1:13" x14ac:dyDescent="0.25">
      <c r="A542" s="812" t="s">
        <v>1999</v>
      </c>
      <c r="B542" s="812">
        <v>10</v>
      </c>
      <c r="C542" s="608">
        <v>39763</v>
      </c>
      <c r="D542" s="812">
        <v>99712</v>
      </c>
      <c r="E542" s="812" t="s">
        <v>1601</v>
      </c>
      <c r="F542" s="133">
        <v>1.0593164986464747</v>
      </c>
      <c r="G542" s="133">
        <v>0.20335423830928448</v>
      </c>
      <c r="H542" s="133">
        <v>0.36051679482844035</v>
      </c>
      <c r="I542" s="133">
        <v>0.29551704150821279</v>
      </c>
      <c r="J542" s="133">
        <v>0.29551704150821279</v>
      </c>
      <c r="K542" s="133">
        <v>1.4081574448262793E-2</v>
      </c>
      <c r="L542" s="133">
        <v>3.0798028863434772</v>
      </c>
      <c r="M542" s="45">
        <v>4239.2040916240467</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6.5327984694390107E-5</v>
      </c>
      <c r="G554" s="133">
        <v>1.5010098684420208E-3</v>
      </c>
      <c r="H554" s="133">
        <v>7.9358761359212329E-4</v>
      </c>
      <c r="I554" s="133">
        <v>5.7393550032634962E-5</v>
      </c>
      <c r="J554" s="133">
        <v>5.7393550032634962E-5</v>
      </c>
      <c r="K554" s="133">
        <v>7.7829427458523252E-5</v>
      </c>
      <c r="L554" s="133">
        <v>1.8046484603406819E-4</v>
      </c>
      <c r="M554" s="45">
        <v>24.972608151102197</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0.65592645849484588</v>
      </c>
      <c r="G556" s="133">
        <v>0.63157334117304287</v>
      </c>
      <c r="H556" s="133">
        <v>0.74975329709601468</v>
      </c>
      <c r="I556" s="133">
        <v>0.19778137417774749</v>
      </c>
      <c r="J556" s="133">
        <v>0.19778137417774749</v>
      </c>
      <c r="K556" s="133">
        <v>2.8061275515291088E-2</v>
      </c>
      <c r="L556" s="133">
        <v>1.95601879016467</v>
      </c>
      <c r="M556" s="45">
        <v>11826.424093414906</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1.598074193651193E-2</v>
      </c>
      <c r="G558" s="133">
        <v>1.17422980755191E-2</v>
      </c>
      <c r="H558" s="133">
        <v>1.6880973598662325E-2</v>
      </c>
      <c r="I558" s="133">
        <v>5.3420701953210848E-3</v>
      </c>
      <c r="J558" s="133">
        <v>5.3420701953210848E-3</v>
      </c>
      <c r="K558" s="133">
        <v>4.7518512989528505E-4</v>
      </c>
      <c r="L558" s="133">
        <v>5.6695508661609488E-2</v>
      </c>
      <c r="M558" s="45">
        <v>228.49252915909437</v>
      </c>
    </row>
    <row r="559" spans="1:13" x14ac:dyDescent="0.25">
      <c r="A559" s="812" t="s">
        <v>1999</v>
      </c>
      <c r="B559" s="812">
        <v>11</v>
      </c>
      <c r="C559" s="608">
        <v>39764</v>
      </c>
      <c r="D559" s="812">
        <v>99705</v>
      </c>
      <c r="E559" s="812" t="s">
        <v>1599</v>
      </c>
      <c r="F559" s="133">
        <v>2.7594400462293818</v>
      </c>
      <c r="G559" s="133">
        <v>0.57858330493280941</v>
      </c>
      <c r="H559" s="133">
        <v>0.95913102206271705</v>
      </c>
      <c r="I559" s="133">
        <v>0.8365081893100571</v>
      </c>
      <c r="J559" s="133">
        <v>0.8365081893100571</v>
      </c>
      <c r="K559" s="133">
        <v>3.9398754737686899E-2</v>
      </c>
      <c r="L559" s="133">
        <v>8.99001826656189</v>
      </c>
      <c r="M559" s="45">
        <v>11860.953595130144</v>
      </c>
    </row>
    <row r="560" spans="1:13" x14ac:dyDescent="0.25">
      <c r="A560" s="812" t="s">
        <v>1999</v>
      </c>
      <c r="B560" s="812">
        <v>11</v>
      </c>
      <c r="C560" s="608">
        <v>39764</v>
      </c>
      <c r="D560" s="812">
        <v>99709</v>
      </c>
      <c r="E560" s="812" t="s">
        <v>1600</v>
      </c>
      <c r="F560" s="133">
        <v>2.2620847594965623</v>
      </c>
      <c r="G560" s="133">
        <v>0.67392505127080116</v>
      </c>
      <c r="H560" s="133">
        <v>1.0783539046010506</v>
      </c>
      <c r="I560" s="133">
        <v>0.62386478656968081</v>
      </c>
      <c r="J560" s="133">
        <v>0.62386478656968081</v>
      </c>
      <c r="K560" s="133">
        <v>3.6494982594071849E-2</v>
      </c>
      <c r="L560" s="133">
        <v>6.4593417707292371</v>
      </c>
      <c r="M560" s="45">
        <v>13784.364869567882</v>
      </c>
    </row>
    <row r="561" spans="1:13" x14ac:dyDescent="0.25">
      <c r="A561" s="812" t="s">
        <v>1999</v>
      </c>
      <c r="B561" s="812">
        <v>11</v>
      </c>
      <c r="C561" s="608">
        <v>39764</v>
      </c>
      <c r="D561" s="812">
        <v>99712</v>
      </c>
      <c r="E561" s="812" t="s">
        <v>1601</v>
      </c>
      <c r="F561" s="133">
        <v>1.1978022264921624</v>
      </c>
      <c r="G561" s="133">
        <v>0.22017246180162844</v>
      </c>
      <c r="H561" s="133">
        <v>0.39169973242963718</v>
      </c>
      <c r="I561" s="133">
        <v>0.33021087328635551</v>
      </c>
      <c r="J561" s="133">
        <v>0.33021087328635551</v>
      </c>
      <c r="K561" s="133">
        <v>1.5662500013832036E-2</v>
      </c>
      <c r="L561" s="133">
        <v>3.4416451292616856</v>
      </c>
      <c r="M561" s="45">
        <v>4588.8570063706566</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6.455002225827294E-5</v>
      </c>
      <c r="G573" s="133">
        <v>1.4813698630421483E-3</v>
      </c>
      <c r="H573" s="133">
        <v>7.7970518488636468E-4</v>
      </c>
      <c r="I573" s="133">
        <v>5.6895351726963272E-5</v>
      </c>
      <c r="J573" s="133">
        <v>5.6895351726963272E-5</v>
      </c>
      <c r="K573" s="133">
        <v>7.7802699119423972E-5</v>
      </c>
      <c r="L573" s="133">
        <v>1.799761965292552E-4</v>
      </c>
      <c r="M573" s="45">
        <v>24.670370290226387</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0.69556588555222354</v>
      </c>
      <c r="G575" s="133">
        <v>0.6729804931732265</v>
      </c>
      <c r="H575" s="133">
        <v>0.79393212997120177</v>
      </c>
      <c r="I575" s="133">
        <v>0.2084441316783178</v>
      </c>
      <c r="J575" s="133">
        <v>0.2084441316783178</v>
      </c>
      <c r="K575" s="133">
        <v>2.8533552112950587E-2</v>
      </c>
      <c r="L575" s="133">
        <v>2.0569257588180263</v>
      </c>
      <c r="M575" s="45">
        <v>12519.096058983736</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1.6821239189096969E-2</v>
      </c>
      <c r="G577" s="133">
        <v>1.2424771492531711E-2</v>
      </c>
      <c r="H577" s="133">
        <v>1.7713492072654435E-2</v>
      </c>
      <c r="I577" s="133">
        <v>5.6064717349746966E-3</v>
      </c>
      <c r="J577" s="133">
        <v>5.6064717349746966E-3</v>
      </c>
      <c r="K577" s="133">
        <v>4.8652266899223544E-4</v>
      </c>
      <c r="L577" s="133">
        <v>5.948109560477801E-2</v>
      </c>
      <c r="M577" s="45">
        <v>240.25987555458715</v>
      </c>
    </row>
    <row r="578" spans="1:13" x14ac:dyDescent="0.25">
      <c r="A578" s="812" t="s">
        <v>1999</v>
      </c>
      <c r="B578" s="812">
        <v>12</v>
      </c>
      <c r="C578" s="608">
        <v>39765</v>
      </c>
      <c r="D578" s="812">
        <v>99705</v>
      </c>
      <c r="E578" s="812" t="s">
        <v>1599</v>
      </c>
      <c r="F578" s="133">
        <v>2.99405149701533</v>
      </c>
      <c r="G578" s="133">
        <v>0.62152016486750872</v>
      </c>
      <c r="H578" s="133">
        <v>1.0291418943163781</v>
      </c>
      <c r="I578" s="133">
        <v>0.90498424764571017</v>
      </c>
      <c r="J578" s="133">
        <v>0.90498424764571017</v>
      </c>
      <c r="K578" s="133">
        <v>4.2363328811825966E-2</v>
      </c>
      <c r="L578" s="133">
        <v>9.7469322478244447</v>
      </c>
      <c r="M578" s="45">
        <v>12715.833098944611</v>
      </c>
    </row>
    <row r="579" spans="1:13" x14ac:dyDescent="0.25">
      <c r="A579" s="812" t="s">
        <v>1999</v>
      </c>
      <c r="B579" s="812">
        <v>12</v>
      </c>
      <c r="C579" s="608">
        <v>39765</v>
      </c>
      <c r="D579" s="812">
        <v>99709</v>
      </c>
      <c r="E579" s="812" t="s">
        <v>1600</v>
      </c>
      <c r="F579" s="133">
        <v>2.5528805118314737</v>
      </c>
      <c r="G579" s="133">
        <v>0.7295931796623345</v>
      </c>
      <c r="H579" s="133">
        <v>1.1657001430084466</v>
      </c>
      <c r="I579" s="133">
        <v>0.69636379479894817</v>
      </c>
      <c r="J579" s="133">
        <v>0.69636379479894817</v>
      </c>
      <c r="K579" s="133">
        <v>3.963572315001751E-2</v>
      </c>
      <c r="L579" s="133">
        <v>7.204353593152022</v>
      </c>
      <c r="M579" s="45">
        <v>14877.433104257603</v>
      </c>
    </row>
    <row r="580" spans="1:13" x14ac:dyDescent="0.25">
      <c r="A580" s="812" t="s">
        <v>1999</v>
      </c>
      <c r="B580" s="812">
        <v>12</v>
      </c>
      <c r="C580" s="608">
        <v>39765</v>
      </c>
      <c r="D580" s="812">
        <v>99712</v>
      </c>
      <c r="E580" s="812" t="s">
        <v>1601</v>
      </c>
      <c r="F580" s="133">
        <v>1.4214170381754145</v>
      </c>
      <c r="G580" s="133">
        <v>0.24982871940152121</v>
      </c>
      <c r="H580" s="133">
        <v>0.4442293062712297</v>
      </c>
      <c r="I580" s="133">
        <v>0.38698775691923426</v>
      </c>
      <c r="J580" s="133">
        <v>0.38698775691923426</v>
      </c>
      <c r="K580" s="133">
        <v>1.8238870862402019E-2</v>
      </c>
      <c r="L580" s="133">
        <v>4.036963078630075</v>
      </c>
      <c r="M580" s="45">
        <v>5194.4911923418704</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6.9217796874975862E-5</v>
      </c>
      <c r="G592" s="133">
        <v>1.5992098954413802E-3</v>
      </c>
      <c r="H592" s="133">
        <v>8.6299975712091515E-4</v>
      </c>
      <c r="I592" s="133">
        <v>5.9884541560993436E-5</v>
      </c>
      <c r="J592" s="133">
        <v>5.9884541560993436E-5</v>
      </c>
      <c r="K592" s="133">
        <v>7.7963069154019668E-5</v>
      </c>
      <c r="L592" s="133">
        <v>1.829080935581331E-4</v>
      </c>
      <c r="M592" s="45">
        <v>26.483797455481234</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0.80564102285244721</v>
      </c>
      <c r="G594" s="133">
        <v>0.73869411071836466</v>
      </c>
      <c r="H594" s="133">
        <v>0.88386416885500785</v>
      </c>
      <c r="I594" s="133">
        <v>0.23784729888648037</v>
      </c>
      <c r="J594" s="133">
        <v>0.23784729888648037</v>
      </c>
      <c r="K594" s="133">
        <v>2.9814281617199141E-2</v>
      </c>
      <c r="L594" s="133">
        <v>2.3517329017408812</v>
      </c>
      <c r="M594" s="45">
        <v>13718.340792101799</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1.953380911327646E-2</v>
      </c>
      <c r="G596" s="133">
        <v>1.3831958453689758E-2</v>
      </c>
      <c r="H596" s="133">
        <v>2.0014219028604178E-2</v>
      </c>
      <c r="I596" s="133">
        <v>6.4546836362654918E-3</v>
      </c>
      <c r="J596" s="133">
        <v>6.4546836362654918E-3</v>
      </c>
      <c r="K596" s="133">
        <v>5.2104002298195581E-4</v>
      </c>
      <c r="L596" s="133">
        <v>6.8700054888661294E-2</v>
      </c>
      <c r="M596" s="45">
        <v>267.65052135121567</v>
      </c>
    </row>
    <row r="597" spans="1:13" x14ac:dyDescent="0.25">
      <c r="A597" s="812" t="s">
        <v>1999</v>
      </c>
      <c r="B597" s="812">
        <v>13</v>
      </c>
      <c r="C597" s="608">
        <v>39766</v>
      </c>
      <c r="D597" s="812">
        <v>99705</v>
      </c>
      <c r="E597" s="812" t="s">
        <v>1599</v>
      </c>
      <c r="F597" s="133">
        <v>3.3433141585446542</v>
      </c>
      <c r="G597" s="133">
        <v>0.68443000095238848</v>
      </c>
      <c r="H597" s="133">
        <v>1.1341192343683359</v>
      </c>
      <c r="I597" s="133">
        <v>1.00801195748461</v>
      </c>
      <c r="J597" s="133">
        <v>1.00801195748461</v>
      </c>
      <c r="K597" s="133">
        <v>4.6805051789642595E-2</v>
      </c>
      <c r="L597" s="133">
        <v>10.890843641838288</v>
      </c>
      <c r="M597" s="45">
        <v>13980.806045070103</v>
      </c>
    </row>
    <row r="598" spans="1:13" x14ac:dyDescent="0.25">
      <c r="A598" s="812" t="s">
        <v>1999</v>
      </c>
      <c r="B598" s="812">
        <v>13</v>
      </c>
      <c r="C598" s="608">
        <v>39766</v>
      </c>
      <c r="D598" s="812">
        <v>99709</v>
      </c>
      <c r="E598" s="812" t="s">
        <v>1600</v>
      </c>
      <c r="F598" s="133">
        <v>2.6251208136134303</v>
      </c>
      <c r="G598" s="133">
        <v>0.76585736357789636</v>
      </c>
      <c r="H598" s="133">
        <v>1.2176810111211889</v>
      </c>
      <c r="I598" s="133">
        <v>0.71540527745773186</v>
      </c>
      <c r="J598" s="133">
        <v>0.71540527745773186</v>
      </c>
      <c r="K598" s="133">
        <v>4.0449743554417973E-2</v>
      </c>
      <c r="L598" s="133">
        <v>7.396246369709119</v>
      </c>
      <c r="M598" s="45">
        <v>15559.52281273581</v>
      </c>
    </row>
    <row r="599" spans="1:13" x14ac:dyDescent="0.25">
      <c r="A599" s="812" t="s">
        <v>1999</v>
      </c>
      <c r="B599" s="812">
        <v>13</v>
      </c>
      <c r="C599" s="608">
        <v>39766</v>
      </c>
      <c r="D599" s="812">
        <v>99712</v>
      </c>
      <c r="E599" s="812" t="s">
        <v>1601</v>
      </c>
      <c r="F599" s="133">
        <v>1.3509295028243329</v>
      </c>
      <c r="G599" s="133">
        <v>0.24229816869176904</v>
      </c>
      <c r="H599" s="133">
        <v>0.42844414782133367</v>
      </c>
      <c r="I599" s="133">
        <v>0.36837659462375388</v>
      </c>
      <c r="J599" s="133">
        <v>0.36837659462375388</v>
      </c>
      <c r="K599" s="133">
        <v>1.7408184618759953E-2</v>
      </c>
      <c r="L599" s="133">
        <v>3.8376163878239455</v>
      </c>
      <c r="M599" s="45">
        <v>5028.7670525449785</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7.4663533927795897E-5</v>
      </c>
      <c r="G611" s="133">
        <v>1.7366899332404841E-3</v>
      </c>
      <c r="H611" s="133">
        <v>9.601767580612238E-4</v>
      </c>
      <c r="I611" s="133">
        <v>6.3371929700695308E-5</v>
      </c>
      <c r="J611" s="133">
        <v>6.3371929700695308E-5</v>
      </c>
      <c r="K611" s="133">
        <v>7.8150167527714698E-5</v>
      </c>
      <c r="L611" s="133">
        <v>1.8632864009182406E-4</v>
      </c>
      <c r="M611" s="45">
        <v>28.59946248161188</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0.80722688358107586</v>
      </c>
      <c r="G613" s="133">
        <v>0.69180727826729915</v>
      </c>
      <c r="H613" s="133">
        <v>0.8586145806888239</v>
      </c>
      <c r="I613" s="133">
        <v>0.24097284620250664</v>
      </c>
      <c r="J613" s="133">
        <v>0.24097284620250664</v>
      </c>
      <c r="K613" s="133">
        <v>2.9904382793683529E-2</v>
      </c>
      <c r="L613" s="133">
        <v>2.4182636794328962</v>
      </c>
      <c r="M613" s="45">
        <v>13060.198261139996</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1.9349861576361618E-2</v>
      </c>
      <c r="G615" s="133">
        <v>1.3132614548938158E-2</v>
      </c>
      <c r="H615" s="133">
        <v>1.952906540853876E-2</v>
      </c>
      <c r="I615" s="133">
        <v>6.4815319714720647E-3</v>
      </c>
      <c r="J615" s="133">
        <v>6.4815319714720647E-3</v>
      </c>
      <c r="K615" s="133">
        <v>5.2106331573871273E-4</v>
      </c>
      <c r="L615" s="133">
        <v>6.9767581408487073E-2</v>
      </c>
      <c r="M615" s="45">
        <v>257.60070307296974</v>
      </c>
    </row>
    <row r="616" spans="1:13" x14ac:dyDescent="0.25">
      <c r="A616" s="812" t="s">
        <v>1999</v>
      </c>
      <c r="B616" s="812">
        <v>14</v>
      </c>
      <c r="C616" s="608">
        <v>39767</v>
      </c>
      <c r="D616" s="812">
        <v>99705</v>
      </c>
      <c r="E616" s="812" t="s">
        <v>1599</v>
      </c>
      <c r="F616" s="133">
        <v>3.2523107414770371</v>
      </c>
      <c r="G616" s="133">
        <v>0.67111408571362585</v>
      </c>
      <c r="H616" s="133">
        <v>1.1211917723783187</v>
      </c>
      <c r="I616" s="133">
        <v>0.99809076081684511</v>
      </c>
      <c r="J616" s="133">
        <v>0.99809076081684511</v>
      </c>
      <c r="K616" s="133">
        <v>4.6357530105502066E-2</v>
      </c>
      <c r="L616" s="133">
        <v>10.892267807995248</v>
      </c>
      <c r="M616" s="45">
        <v>13758.498753638682</v>
      </c>
    </row>
    <row r="617" spans="1:13" x14ac:dyDescent="0.25">
      <c r="A617" s="812" t="s">
        <v>1999</v>
      </c>
      <c r="B617" s="812">
        <v>14</v>
      </c>
      <c r="C617" s="608">
        <v>39767</v>
      </c>
      <c r="D617" s="812">
        <v>99709</v>
      </c>
      <c r="E617" s="812" t="s">
        <v>1600</v>
      </c>
      <c r="F617" s="133">
        <v>2.8158362951060756</v>
      </c>
      <c r="G617" s="133">
        <v>0.77651459524052591</v>
      </c>
      <c r="H617" s="133">
        <v>1.268170807073006</v>
      </c>
      <c r="I617" s="133">
        <v>0.77598936062113977</v>
      </c>
      <c r="J617" s="133">
        <v>0.77598936062113977</v>
      </c>
      <c r="K617" s="133">
        <v>4.2932204656917217E-2</v>
      </c>
      <c r="L617" s="133">
        <v>8.1117558584105129</v>
      </c>
      <c r="M617" s="45">
        <v>15945.729440918309</v>
      </c>
    </row>
    <row r="618" spans="1:13" x14ac:dyDescent="0.25">
      <c r="A618" s="812" t="s">
        <v>1999</v>
      </c>
      <c r="B618" s="812">
        <v>14</v>
      </c>
      <c r="C618" s="608">
        <v>39767</v>
      </c>
      <c r="D618" s="812">
        <v>99712</v>
      </c>
      <c r="E618" s="812" t="s">
        <v>1601</v>
      </c>
      <c r="F618" s="133">
        <v>1.5107771182669101</v>
      </c>
      <c r="G618" s="133">
        <v>0.26660638799099523</v>
      </c>
      <c r="H618" s="133">
        <v>0.47571332339036682</v>
      </c>
      <c r="I618" s="133">
        <v>0.41732218768838147</v>
      </c>
      <c r="J618" s="133">
        <v>0.41732218768838147</v>
      </c>
      <c r="K618" s="133">
        <v>1.9569545460619318E-2</v>
      </c>
      <c r="L618" s="133">
        <v>4.4051723944446932</v>
      </c>
      <c r="M618" s="45">
        <v>5546.6593481635337</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6.6883909566624414E-5</v>
      </c>
      <c r="G630" s="133">
        <v>1.5402898792417643E-3</v>
      </c>
      <c r="H630" s="133">
        <v>8.2135247100363997E-4</v>
      </c>
      <c r="I630" s="133">
        <v>5.8389946643978347E-5</v>
      </c>
      <c r="J630" s="133">
        <v>5.8389946643978347E-5</v>
      </c>
      <c r="K630" s="133">
        <v>7.7882884136721826E-5</v>
      </c>
      <c r="L630" s="133">
        <v>1.8144214504369415E-4</v>
      </c>
      <c r="M630" s="45">
        <v>25.577083872853809</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0.73281590754000803</v>
      </c>
      <c r="G632" s="133">
        <v>0.71411461101137419</v>
      </c>
      <c r="H632" s="133">
        <v>0.84458798835824622</v>
      </c>
      <c r="I632" s="133">
        <v>0.22273602889089911</v>
      </c>
      <c r="J632" s="133">
        <v>0.22273602889089911</v>
      </c>
      <c r="K632" s="133">
        <v>2.910705633327549E-2</v>
      </c>
      <c r="L632" s="133">
        <v>2.2200184627845396</v>
      </c>
      <c r="M632" s="45">
        <v>13243.799720174595</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1.7830312496309467E-2</v>
      </c>
      <c r="G634" s="133">
        <v>1.3217650268210243E-2</v>
      </c>
      <c r="H634" s="133">
        <v>1.8866707976584501E-2</v>
      </c>
      <c r="I634" s="133">
        <v>6.031031360131364E-3</v>
      </c>
      <c r="J634" s="133">
        <v>6.031031360131364E-3</v>
      </c>
      <c r="K634" s="133">
        <v>5.0302373092139135E-4</v>
      </c>
      <c r="L634" s="133">
        <v>6.4624335776087685E-2</v>
      </c>
      <c r="M634" s="45">
        <v>255.00386394584405</v>
      </c>
    </row>
    <row r="635" spans="1:13" x14ac:dyDescent="0.25">
      <c r="A635" s="812" t="s">
        <v>1999</v>
      </c>
      <c r="B635" s="812">
        <v>15</v>
      </c>
      <c r="C635" s="608">
        <v>39768</v>
      </c>
      <c r="D635" s="812">
        <v>99705</v>
      </c>
      <c r="E635" s="812" t="s">
        <v>1599</v>
      </c>
      <c r="F635" s="133">
        <v>3.0680858998168246</v>
      </c>
      <c r="G635" s="133">
        <v>0.65143765016544131</v>
      </c>
      <c r="H635" s="133">
        <v>1.0752482338648046</v>
      </c>
      <c r="I635" s="133">
        <v>0.94474524983596275</v>
      </c>
      <c r="J635" s="133">
        <v>0.94474524983596275</v>
      </c>
      <c r="K635" s="133">
        <v>4.4025209152115816E-2</v>
      </c>
      <c r="L635" s="133">
        <v>10.299412979998253</v>
      </c>
      <c r="M635" s="45">
        <v>13301.151644845891</v>
      </c>
    </row>
    <row r="636" spans="1:13" x14ac:dyDescent="0.25">
      <c r="A636" s="812" t="s">
        <v>1999</v>
      </c>
      <c r="B636" s="812">
        <v>15</v>
      </c>
      <c r="C636" s="608">
        <v>39768</v>
      </c>
      <c r="D636" s="812">
        <v>99709</v>
      </c>
      <c r="E636" s="812" t="s">
        <v>1600</v>
      </c>
      <c r="F636" s="133">
        <v>2.5324993386346017</v>
      </c>
      <c r="G636" s="133">
        <v>0.75521071136297924</v>
      </c>
      <c r="H636" s="133">
        <v>1.1986734072983218</v>
      </c>
      <c r="I636" s="133">
        <v>0.70721325557672887</v>
      </c>
      <c r="J636" s="133">
        <v>0.70721325557672887</v>
      </c>
      <c r="K636" s="133">
        <v>3.9923791558477278E-2</v>
      </c>
      <c r="L636" s="133">
        <v>7.4045500667364541</v>
      </c>
      <c r="M636" s="45">
        <v>15349.359456728682</v>
      </c>
    </row>
    <row r="637" spans="1:13" x14ac:dyDescent="0.25">
      <c r="A637" s="812" t="s">
        <v>1999</v>
      </c>
      <c r="B637" s="812">
        <v>15</v>
      </c>
      <c r="C637" s="608">
        <v>39768</v>
      </c>
      <c r="D637" s="812">
        <v>99712</v>
      </c>
      <c r="E637" s="812" t="s">
        <v>1601</v>
      </c>
      <c r="F637" s="133">
        <v>1.3922405003588307</v>
      </c>
      <c r="G637" s="133">
        <v>0.25403263443063351</v>
      </c>
      <c r="H637" s="133">
        <v>0.45000801995709377</v>
      </c>
      <c r="I637" s="133">
        <v>0.38789352604499472</v>
      </c>
      <c r="J637" s="133">
        <v>0.38789352604499472</v>
      </c>
      <c r="K637" s="133">
        <v>1.822719480918876E-2</v>
      </c>
      <c r="L637" s="133">
        <v>4.0991796682261743</v>
      </c>
      <c r="M637" s="45">
        <v>5274.2132386366329</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7.3107609055561617E-5</v>
      </c>
      <c r="G649" s="133">
        <v>1.6974099224407405E-3</v>
      </c>
      <c r="H649" s="133">
        <v>9.3241190064970733E-4</v>
      </c>
      <c r="I649" s="133">
        <v>6.2375533089351916E-5</v>
      </c>
      <c r="J649" s="133">
        <v>6.2375533089351916E-5</v>
      </c>
      <c r="K649" s="133">
        <v>7.8096710849516151E-5</v>
      </c>
      <c r="L649" s="133">
        <v>1.8535134108219815E-4</v>
      </c>
      <c r="M649" s="45">
        <v>27.994986759860268</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0.71110649836018613</v>
      </c>
      <c r="G651" s="133">
        <v>0.6409932397761019</v>
      </c>
      <c r="H651" s="133">
        <v>0.7784918597720667</v>
      </c>
      <c r="I651" s="133">
        <v>0.21202096914478835</v>
      </c>
      <c r="J651" s="133">
        <v>0.21202096914478835</v>
      </c>
      <c r="K651" s="133">
        <v>2.8680958235937366E-2</v>
      </c>
      <c r="L651" s="133">
        <v>2.1046366036672466</v>
      </c>
      <c r="M651" s="45">
        <v>12077.853127031722</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1.7426905917923688E-2</v>
      </c>
      <c r="G653" s="133">
        <v>1.2134047964084712E-2</v>
      </c>
      <c r="H653" s="133">
        <v>1.7830664225102325E-2</v>
      </c>
      <c r="I653" s="133">
        <v>5.7823013377209078E-3</v>
      </c>
      <c r="J653" s="133">
        <v>5.7823013377209078E-3</v>
      </c>
      <c r="K653" s="133">
        <v>4.9315080372637921E-4</v>
      </c>
      <c r="L653" s="133">
        <v>6.1575214427346939E-2</v>
      </c>
      <c r="M653" s="45">
        <v>237.75364319642699</v>
      </c>
    </row>
    <row r="654" spans="1:13" x14ac:dyDescent="0.25">
      <c r="A654" s="812" t="s">
        <v>1999</v>
      </c>
      <c r="B654" s="812">
        <v>16</v>
      </c>
      <c r="C654" s="608">
        <v>39769</v>
      </c>
      <c r="D654" s="812">
        <v>99705</v>
      </c>
      <c r="E654" s="812" t="s">
        <v>1599</v>
      </c>
      <c r="F654" s="133">
        <v>2.9325054882211687</v>
      </c>
      <c r="G654" s="133">
        <v>0.60479453711439968</v>
      </c>
      <c r="H654" s="133">
        <v>1.0079491131969058</v>
      </c>
      <c r="I654" s="133">
        <v>0.88734634119672895</v>
      </c>
      <c r="J654" s="133">
        <v>0.88734634119672895</v>
      </c>
      <c r="K654" s="133">
        <v>4.1599313599197767E-2</v>
      </c>
      <c r="L654" s="133">
        <v>9.5552345566488111</v>
      </c>
      <c r="M654" s="45">
        <v>12412.00296475108</v>
      </c>
    </row>
    <row r="655" spans="1:13" x14ac:dyDescent="0.25">
      <c r="A655" s="812" t="s">
        <v>1999</v>
      </c>
      <c r="B655" s="812">
        <v>16</v>
      </c>
      <c r="C655" s="608">
        <v>39769</v>
      </c>
      <c r="D655" s="812">
        <v>99709</v>
      </c>
      <c r="E655" s="812" t="s">
        <v>1600</v>
      </c>
      <c r="F655" s="133">
        <v>2.48068091898518</v>
      </c>
      <c r="G655" s="133">
        <v>0.70303894181096638</v>
      </c>
      <c r="H655" s="133">
        <v>1.1379061828027874</v>
      </c>
      <c r="I655" s="133">
        <v>0.67892223674704111</v>
      </c>
      <c r="J655" s="133">
        <v>0.67892223674704111</v>
      </c>
      <c r="K655" s="133">
        <v>3.886671526211434E-2</v>
      </c>
      <c r="L655" s="133">
        <v>7.0320983714124106</v>
      </c>
      <c r="M655" s="45">
        <v>14426.119156066448</v>
      </c>
    </row>
    <row r="656" spans="1:13" x14ac:dyDescent="0.25">
      <c r="A656" s="812" t="s">
        <v>1999</v>
      </c>
      <c r="B656" s="812">
        <v>16</v>
      </c>
      <c r="C656" s="608">
        <v>39769</v>
      </c>
      <c r="D656" s="812">
        <v>99712</v>
      </c>
      <c r="E656" s="812" t="s">
        <v>1601</v>
      </c>
      <c r="F656" s="133">
        <v>1.3721697687400971</v>
      </c>
      <c r="G656" s="133">
        <v>0.24157526481036481</v>
      </c>
      <c r="H656" s="133">
        <v>0.4311563095114137</v>
      </c>
      <c r="I656" s="133">
        <v>0.37428531309965291</v>
      </c>
      <c r="J656" s="133">
        <v>0.37428531309965291</v>
      </c>
      <c r="K656" s="133">
        <v>1.7666297554407982E-2</v>
      </c>
      <c r="L656" s="133">
        <v>3.9034004264702586</v>
      </c>
      <c r="M656" s="45">
        <v>5032.9269689422372</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6.3772059822155827E-5</v>
      </c>
      <c r="G668" s="133">
        <v>1.461729857642277E-3</v>
      </c>
      <c r="H668" s="133">
        <v>7.6582275618060662E-4</v>
      </c>
      <c r="I668" s="133">
        <v>5.639715342129157E-5</v>
      </c>
      <c r="J668" s="133">
        <v>5.639715342129157E-5</v>
      </c>
      <c r="K668" s="133">
        <v>7.7775970780324691E-5</v>
      </c>
      <c r="L668" s="133">
        <v>1.7948754702444222E-4</v>
      </c>
      <c r="M668" s="45">
        <v>24.368132429350581</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266D-41AF-4012-AC44-02235CEE7252}">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0.6800990831882503</v>
      </c>
      <c r="G5" s="133">
        <v>0.61545741039436885</v>
      </c>
      <c r="H5" s="133">
        <v>0.78108891525422253</v>
      </c>
      <c r="I5" s="133">
        <v>0.20119647001965821</v>
      </c>
      <c r="J5" s="133">
        <v>0.20119647001965821</v>
      </c>
      <c r="K5" s="133">
        <v>1.9527163069636522E-2</v>
      </c>
      <c r="L5" s="133">
        <v>2.0003867395792256</v>
      </c>
      <c r="M5" s="45">
        <v>11410.95261689455</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1.6321548508055221E-2</v>
      </c>
      <c r="G7" s="133">
        <v>1.1551473902289592E-2</v>
      </c>
      <c r="H7" s="133">
        <v>1.7367711360977506E-2</v>
      </c>
      <c r="I7" s="133">
        <v>5.4178360682191054E-3</v>
      </c>
      <c r="J7" s="133">
        <v>5.4178360682191054E-3</v>
      </c>
      <c r="K7" s="133">
        <v>3.6487487786348286E-4</v>
      </c>
      <c r="L7" s="133">
        <v>5.7707267028984592E-2</v>
      </c>
      <c r="M7" s="45">
        <v>223.62026559846186</v>
      </c>
    </row>
    <row r="8" spans="1:13" x14ac:dyDescent="0.25">
      <c r="A8" s="812" t="s">
        <v>1996</v>
      </c>
      <c r="B8" s="812">
        <v>1</v>
      </c>
      <c r="C8" s="608">
        <v>39470</v>
      </c>
      <c r="D8" s="812">
        <v>99705</v>
      </c>
      <c r="E8" s="812" t="s">
        <v>1599</v>
      </c>
      <c r="F8" s="133">
        <v>2.8336594469134986</v>
      </c>
      <c r="G8" s="133">
        <v>0.58742018157446896</v>
      </c>
      <c r="H8" s="133">
        <v>0.98928214250465685</v>
      </c>
      <c r="I8" s="133">
        <v>0.85808225788105663</v>
      </c>
      <c r="J8" s="133">
        <v>0.85808225788105663</v>
      </c>
      <c r="K8" s="133">
        <v>3.8440444712202773E-2</v>
      </c>
      <c r="L8" s="133">
        <v>9.2332979625900755</v>
      </c>
      <c r="M8" s="45">
        <v>12045.716420132001</v>
      </c>
    </row>
    <row r="9" spans="1:13" x14ac:dyDescent="0.25">
      <c r="A9" s="812" t="s">
        <v>1996</v>
      </c>
      <c r="B9" s="812">
        <v>1</v>
      </c>
      <c r="C9" s="608">
        <v>39470</v>
      </c>
      <c r="D9" s="812">
        <v>99709</v>
      </c>
      <c r="E9" s="812" t="s">
        <v>1600</v>
      </c>
      <c r="F9" s="133">
        <v>2.6476081671273635</v>
      </c>
      <c r="G9" s="133">
        <v>0.71276584754026107</v>
      </c>
      <c r="H9" s="133">
        <v>1.1858279297885714</v>
      </c>
      <c r="I9" s="133">
        <v>0.71930518201641969</v>
      </c>
      <c r="J9" s="133">
        <v>0.71930518201641969</v>
      </c>
      <c r="K9" s="133">
        <v>3.6074441109669599E-2</v>
      </c>
      <c r="L9" s="133">
        <v>7.4575059259539929</v>
      </c>
      <c r="M9" s="45">
        <v>14597.766689097363</v>
      </c>
    </row>
    <row r="10" spans="1:13" x14ac:dyDescent="0.25">
      <c r="A10" s="812" t="s">
        <v>1996</v>
      </c>
      <c r="B10" s="812">
        <v>1</v>
      </c>
      <c r="C10" s="608">
        <v>39470</v>
      </c>
      <c r="D10" s="812">
        <v>99712</v>
      </c>
      <c r="E10" s="812" t="s">
        <v>1601</v>
      </c>
      <c r="F10" s="133">
        <v>1.5593502480802948</v>
      </c>
      <c r="G10" s="133">
        <v>0.26549608661270441</v>
      </c>
      <c r="H10" s="133">
        <v>0.47847615683426087</v>
      </c>
      <c r="I10" s="133">
        <v>0.42235166746202435</v>
      </c>
      <c r="J10" s="133">
        <v>0.42235166746202435</v>
      </c>
      <c r="K10" s="133">
        <v>1.9409675612366742E-2</v>
      </c>
      <c r="L10" s="133">
        <v>4.4113572613314718</v>
      </c>
      <c r="M10" s="45">
        <v>5532.120185126586</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5.8367783877790212E-5</v>
      </c>
      <c r="G22" s="133">
        <v>1.3925132838023915E-3</v>
      </c>
      <c r="H22" s="133">
        <v>8.3815500607543946E-4</v>
      </c>
      <c r="I22" s="133">
        <v>4.5880944597230703E-5</v>
      </c>
      <c r="J22" s="133">
        <v>4.5880944597230703E-5</v>
      </c>
      <c r="K22" s="133">
        <v>4.3313948259270527E-5</v>
      </c>
      <c r="L22" s="133">
        <v>1.1286354976268609E-4</v>
      </c>
      <c r="M22" s="45">
        <v>22.453263375807417</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0.94224653649733525</v>
      </c>
      <c r="G24" s="133">
        <v>0.8065005732639946</v>
      </c>
      <c r="H24" s="133">
        <v>1.0189078817141077</v>
      </c>
      <c r="I24" s="133">
        <v>0.2714432899514691</v>
      </c>
      <c r="J24" s="133">
        <v>0.2714432899514691</v>
      </c>
      <c r="K24" s="133">
        <v>2.2601779310118909E-2</v>
      </c>
      <c r="L24" s="133">
        <v>2.6934926667024421</v>
      </c>
      <c r="M24" s="45">
        <v>14779.961264763577</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2.2133484261662062E-2</v>
      </c>
      <c r="G26" s="133">
        <v>1.508168990714545E-2</v>
      </c>
      <c r="H26" s="133">
        <v>2.2532225507789681E-2</v>
      </c>
      <c r="I26" s="133">
        <v>7.2355891817573971E-3</v>
      </c>
      <c r="J26" s="133">
        <v>7.2355891817573971E-3</v>
      </c>
      <c r="K26" s="133">
        <v>4.4034439308717469E-4</v>
      </c>
      <c r="L26" s="133">
        <v>7.7270318670942584E-2</v>
      </c>
      <c r="M26" s="45">
        <v>289.10618019278138</v>
      </c>
    </row>
    <row r="27" spans="1:13" x14ac:dyDescent="0.25">
      <c r="A27" s="812" t="s">
        <v>1996</v>
      </c>
      <c r="B27" s="812">
        <v>2</v>
      </c>
      <c r="C27" s="608">
        <v>39471</v>
      </c>
      <c r="D27" s="812">
        <v>99705</v>
      </c>
      <c r="E27" s="812" t="s">
        <v>1599</v>
      </c>
      <c r="F27" s="133">
        <v>3.8254830384163263</v>
      </c>
      <c r="G27" s="133">
        <v>0.76770177813584639</v>
      </c>
      <c r="H27" s="133">
        <v>1.286620506448982</v>
      </c>
      <c r="I27" s="133">
        <v>1.1471320027962004</v>
      </c>
      <c r="J27" s="133">
        <v>1.1471320027962004</v>
      </c>
      <c r="K27" s="133">
        <v>5.1011883523324898E-2</v>
      </c>
      <c r="L27" s="133">
        <v>12.427824929000248</v>
      </c>
      <c r="M27" s="45">
        <v>15651.472886907533</v>
      </c>
    </row>
    <row r="28" spans="1:13" x14ac:dyDescent="0.25">
      <c r="A28" s="812" t="s">
        <v>1996</v>
      </c>
      <c r="B28" s="812">
        <v>2</v>
      </c>
      <c r="C28" s="608">
        <v>39471</v>
      </c>
      <c r="D28" s="812">
        <v>99709</v>
      </c>
      <c r="E28" s="812" t="s">
        <v>1600</v>
      </c>
      <c r="F28" s="133">
        <v>3.5312644727951188</v>
      </c>
      <c r="G28" s="133">
        <v>0.90907212893489997</v>
      </c>
      <c r="H28" s="133">
        <v>1.4977816777268214</v>
      </c>
      <c r="I28" s="133">
        <v>0.9394171617908178</v>
      </c>
      <c r="J28" s="133">
        <v>0.9394171617908178</v>
      </c>
      <c r="K28" s="133">
        <v>4.5627197802947647E-2</v>
      </c>
      <c r="L28" s="133">
        <v>9.7060524385659726</v>
      </c>
      <c r="M28" s="45">
        <v>18463.485893630888</v>
      </c>
    </row>
    <row r="29" spans="1:13" x14ac:dyDescent="0.25">
      <c r="A29" s="812" t="s">
        <v>1996</v>
      </c>
      <c r="B29" s="812">
        <v>2</v>
      </c>
      <c r="C29" s="608">
        <v>39471</v>
      </c>
      <c r="D29" s="812">
        <v>99712</v>
      </c>
      <c r="E29" s="812" t="s">
        <v>1601</v>
      </c>
      <c r="F29" s="133">
        <v>1.9674758330825075</v>
      </c>
      <c r="G29" s="133">
        <v>0.32237900759231536</v>
      </c>
      <c r="H29" s="133">
        <v>0.57657442345725807</v>
      </c>
      <c r="I29" s="133">
        <v>0.52430413560609168</v>
      </c>
      <c r="J29" s="133">
        <v>0.52430413560609168</v>
      </c>
      <c r="K29" s="133">
        <v>2.4061868716787303E-2</v>
      </c>
      <c r="L29" s="133">
        <v>5.4704894880014097</v>
      </c>
      <c r="M29" s="45">
        <v>6681.7137697588769</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7.6650663761977083E-5</v>
      </c>
      <c r="G41" s="133">
        <v>1.8540726637678389E-3</v>
      </c>
      <c r="H41" s="133">
        <v>1.1644056895852386E-3</v>
      </c>
      <c r="I41" s="133">
        <v>5.7589093163583111E-5</v>
      </c>
      <c r="J41" s="133">
        <v>5.7589093163583111E-5</v>
      </c>
      <c r="K41" s="133">
        <v>4.3942090429855316E-5</v>
      </c>
      <c r="L41" s="133">
        <v>1.2434729214818338E-4</v>
      </c>
      <c r="M41" s="45">
        <v>29.556149389720137</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0.86007579746143448</v>
      </c>
      <c r="G43" s="133">
        <v>0.77428866834108512</v>
      </c>
      <c r="H43" s="133">
        <v>0.96366114984547524</v>
      </c>
      <c r="I43" s="133">
        <v>0.25004742024788362</v>
      </c>
      <c r="J43" s="133">
        <v>0.25004742024788362</v>
      </c>
      <c r="K43" s="133">
        <v>2.1665495080302133E-2</v>
      </c>
      <c r="L43" s="133">
        <v>2.4758259946475154</v>
      </c>
      <c r="M43" s="45">
        <v>14135.883949817411</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2.0401630483763245E-2</v>
      </c>
      <c r="G45" s="133">
        <v>1.4385403445581677E-2</v>
      </c>
      <c r="H45" s="133">
        <v>2.1244944859665795E-2</v>
      </c>
      <c r="I45" s="133">
        <v>6.7036187753265709E-3</v>
      </c>
      <c r="J45" s="133">
        <v>6.7036187753265709E-3</v>
      </c>
      <c r="K45" s="133">
        <v>4.1839866926709937E-4</v>
      </c>
      <c r="L45" s="133">
        <v>7.1444569378765491E-2</v>
      </c>
      <c r="M45" s="45">
        <v>274.7662331686675</v>
      </c>
    </row>
    <row r="46" spans="1:13" x14ac:dyDescent="0.25">
      <c r="A46" s="812" t="s">
        <v>1996</v>
      </c>
      <c r="B46" s="812">
        <v>3</v>
      </c>
      <c r="C46" s="608">
        <v>39472</v>
      </c>
      <c r="D46" s="812">
        <v>99705</v>
      </c>
      <c r="E46" s="812" t="s">
        <v>1599</v>
      </c>
      <c r="F46" s="133">
        <v>3.5406392271884726</v>
      </c>
      <c r="G46" s="133">
        <v>0.72125934114455537</v>
      </c>
      <c r="H46" s="133">
        <v>1.2048775606906563</v>
      </c>
      <c r="I46" s="133">
        <v>1.0644109114138425</v>
      </c>
      <c r="J46" s="133">
        <v>1.0644109114138425</v>
      </c>
      <c r="K46" s="133">
        <v>4.7411385976574225E-2</v>
      </c>
      <c r="L46" s="133">
        <v>11.513139380161405</v>
      </c>
      <c r="M46" s="45">
        <v>14697.757219039593</v>
      </c>
    </row>
    <row r="47" spans="1:13" x14ac:dyDescent="0.25">
      <c r="A47" s="812" t="s">
        <v>1996</v>
      </c>
      <c r="B47" s="812">
        <v>3</v>
      </c>
      <c r="C47" s="608">
        <v>39472</v>
      </c>
      <c r="D47" s="812">
        <v>99709</v>
      </c>
      <c r="E47" s="812" t="s">
        <v>1600</v>
      </c>
      <c r="F47" s="133">
        <v>3.1361304946832136</v>
      </c>
      <c r="G47" s="133">
        <v>0.84418370090109962</v>
      </c>
      <c r="H47" s="133">
        <v>1.3763970898261362</v>
      </c>
      <c r="I47" s="133">
        <v>0.84117271681536543</v>
      </c>
      <c r="J47" s="133">
        <v>0.84117271681536543</v>
      </c>
      <c r="K47" s="133">
        <v>4.1384304157311293E-2</v>
      </c>
      <c r="L47" s="133">
        <v>8.6955008195684247</v>
      </c>
      <c r="M47" s="45">
        <v>17091.868031401144</v>
      </c>
    </row>
    <row r="48" spans="1:13" x14ac:dyDescent="0.25">
      <c r="A48" s="812" t="s">
        <v>1996</v>
      </c>
      <c r="B48" s="812">
        <v>3</v>
      </c>
      <c r="C48" s="608">
        <v>39472</v>
      </c>
      <c r="D48" s="812">
        <v>99712</v>
      </c>
      <c r="E48" s="812" t="s">
        <v>1601</v>
      </c>
      <c r="F48" s="133">
        <v>1.7739941855411017</v>
      </c>
      <c r="G48" s="133">
        <v>0.29795485894114893</v>
      </c>
      <c r="H48" s="133">
        <v>0.53225380095045438</v>
      </c>
      <c r="I48" s="133">
        <v>0.47589692744715217</v>
      </c>
      <c r="J48" s="133">
        <v>0.47589692744715217</v>
      </c>
      <c r="K48" s="133">
        <v>2.185270452989015E-2</v>
      </c>
      <c r="L48" s="133">
        <v>4.9662215447518925</v>
      </c>
      <c r="M48" s="45">
        <v>6177.9484839688757</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7.5060848119873881E-5</v>
      </c>
      <c r="G60" s="133">
        <v>1.8139370655099747E-3</v>
      </c>
      <c r="H60" s="133">
        <v>1.1360360649322126E-3</v>
      </c>
      <c r="I60" s="133">
        <v>5.6570993288248129E-5</v>
      </c>
      <c r="J60" s="133">
        <v>5.6570993288248129E-5</v>
      </c>
      <c r="K60" s="133">
        <v>4.3887469371543621E-5</v>
      </c>
      <c r="L60" s="133">
        <v>1.2334870585379237E-4</v>
      </c>
      <c r="M60" s="45">
        <v>28.938507127640769</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1.1968006130514008</v>
      </c>
      <c r="G62" s="133">
        <v>0.96844822512512896</v>
      </c>
      <c r="H62" s="133">
        <v>1.2399893266612152</v>
      </c>
      <c r="I62" s="133">
        <v>0.34269793856823044</v>
      </c>
      <c r="J62" s="133">
        <v>0.34269793856823044</v>
      </c>
      <c r="K62" s="133">
        <v>2.5678766743985101E-2</v>
      </c>
      <c r="L62" s="133">
        <v>3.425253832916475</v>
      </c>
      <c r="M62" s="45">
        <v>17735.564357896652</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2.7959302472572528E-2</v>
      </c>
      <c r="G64" s="133">
        <v>1.8304610809076291E-2</v>
      </c>
      <c r="H64" s="133">
        <v>2.7647981564387657E-2</v>
      </c>
      <c r="I64" s="133">
        <v>9.1560141818953465E-3</v>
      </c>
      <c r="J64" s="133">
        <v>9.1560141818953465E-3</v>
      </c>
      <c r="K64" s="133">
        <v>5.1850127394595781E-4</v>
      </c>
      <c r="L64" s="133">
        <v>9.8663123767816802E-2</v>
      </c>
      <c r="M64" s="45">
        <v>351.10264029544703</v>
      </c>
    </row>
    <row r="65" spans="1:13" x14ac:dyDescent="0.25">
      <c r="A65" s="812" t="s">
        <v>1996</v>
      </c>
      <c r="B65" s="812">
        <v>4</v>
      </c>
      <c r="C65" s="608">
        <v>39473</v>
      </c>
      <c r="D65" s="812">
        <v>99705</v>
      </c>
      <c r="E65" s="812" t="s">
        <v>1599</v>
      </c>
      <c r="F65" s="133">
        <v>4.6635821831408864</v>
      </c>
      <c r="G65" s="133">
        <v>0.93038482710305836</v>
      </c>
      <c r="H65" s="133">
        <v>1.5578429122884196</v>
      </c>
      <c r="I65" s="133">
        <v>1.4099673168273152</v>
      </c>
      <c r="J65" s="133">
        <v>1.4099673168273152</v>
      </c>
      <c r="K65" s="133">
        <v>6.2386416399652124E-2</v>
      </c>
      <c r="L65" s="133">
        <v>15.450000710417923</v>
      </c>
      <c r="M65" s="45">
        <v>18921.920208117386</v>
      </c>
    </row>
    <row r="66" spans="1:13" x14ac:dyDescent="0.25">
      <c r="A66" s="812" t="s">
        <v>1996</v>
      </c>
      <c r="B66" s="812">
        <v>4</v>
      </c>
      <c r="C66" s="608">
        <v>39473</v>
      </c>
      <c r="D66" s="812">
        <v>99709</v>
      </c>
      <c r="E66" s="812" t="s">
        <v>1600</v>
      </c>
      <c r="F66" s="133">
        <v>4.1846770475425989</v>
      </c>
      <c r="G66" s="133">
        <v>1.0654939562465455</v>
      </c>
      <c r="H66" s="133">
        <v>1.7481996843961327</v>
      </c>
      <c r="I66" s="133">
        <v>1.1164111164816133</v>
      </c>
      <c r="J66" s="133">
        <v>1.1164111164816133</v>
      </c>
      <c r="K66" s="133">
        <v>5.31484477446654E-2</v>
      </c>
      <c r="L66" s="133">
        <v>11.601568425945359</v>
      </c>
      <c r="M66" s="45">
        <v>21560.919123494077</v>
      </c>
    </row>
    <row r="67" spans="1:13" x14ac:dyDescent="0.25">
      <c r="A67" s="812" t="s">
        <v>1996</v>
      </c>
      <c r="B67" s="812">
        <v>4</v>
      </c>
      <c r="C67" s="608">
        <v>39473</v>
      </c>
      <c r="D67" s="812">
        <v>99712</v>
      </c>
      <c r="E67" s="812" t="s">
        <v>1601</v>
      </c>
      <c r="F67" s="133">
        <v>2.3188663003915986</v>
      </c>
      <c r="G67" s="133">
        <v>0.37725680886040069</v>
      </c>
      <c r="H67" s="133">
        <v>0.67249472288577283</v>
      </c>
      <c r="I67" s="133">
        <v>0.620144587055797</v>
      </c>
      <c r="J67" s="133">
        <v>0.620144587055797</v>
      </c>
      <c r="K67" s="133">
        <v>2.8382157473134634E-2</v>
      </c>
      <c r="L67" s="133">
        <v>6.5189413187125895</v>
      </c>
      <c r="M67" s="45">
        <v>7798.4151152262484</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9.0164096719854347E-5</v>
      </c>
      <c r="G79" s="133">
        <v>2.1952252489596921E-3</v>
      </c>
      <c r="H79" s="133">
        <v>1.40554749913596E-3</v>
      </c>
      <c r="I79" s="133">
        <v>6.6242942103930574E-5</v>
      </c>
      <c r="J79" s="133">
        <v>6.6242942103930574E-5</v>
      </c>
      <c r="K79" s="133">
        <v>4.4406369425504979E-5</v>
      </c>
      <c r="L79" s="133">
        <v>1.3283527565050756E-4</v>
      </c>
      <c r="M79" s="45">
        <v>34.806108617394756</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1.0647689895313472</v>
      </c>
      <c r="G81" s="133">
        <v>0.89736980839953628</v>
      </c>
      <c r="H81" s="133">
        <v>1.138772616524018</v>
      </c>
      <c r="I81" s="133">
        <v>0.30847680318097964</v>
      </c>
      <c r="J81" s="133">
        <v>0.30847680318097964</v>
      </c>
      <c r="K81" s="133">
        <v>2.4167317208690912E-2</v>
      </c>
      <c r="L81" s="133">
        <v>3.084877295958655</v>
      </c>
      <c r="M81" s="45">
        <v>16418.728187971497</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2.5352876026587229E-2</v>
      </c>
      <c r="G83" s="133">
        <v>1.6953714705377036E-2</v>
      </c>
      <c r="H83" s="133">
        <v>2.5478390508012282E-2</v>
      </c>
      <c r="I83" s="133">
        <v>8.345482853596901E-3</v>
      </c>
      <c r="J83" s="133">
        <v>8.345482853596901E-3</v>
      </c>
      <c r="K83" s="133">
        <v>4.8509724334861343E-4</v>
      </c>
      <c r="L83" s="133">
        <v>8.986846827973792E-2</v>
      </c>
      <c r="M83" s="45">
        <v>325.01455333572142</v>
      </c>
    </row>
    <row r="84" spans="1:13" x14ac:dyDescent="0.25">
      <c r="A84" s="812" t="s">
        <v>1996</v>
      </c>
      <c r="B84" s="812">
        <v>5</v>
      </c>
      <c r="C84" s="608">
        <v>39474</v>
      </c>
      <c r="D84" s="812">
        <v>99705</v>
      </c>
      <c r="E84" s="812" t="s">
        <v>1599</v>
      </c>
      <c r="F84" s="133">
        <v>4.2299805585981129</v>
      </c>
      <c r="G84" s="133">
        <v>0.85396867229429074</v>
      </c>
      <c r="H84" s="133">
        <v>1.4279741108837547</v>
      </c>
      <c r="I84" s="133">
        <v>1.2827728293959404</v>
      </c>
      <c r="J84" s="133">
        <v>1.2827728293959404</v>
      </c>
      <c r="K84" s="133">
        <v>5.6845628034828642E-2</v>
      </c>
      <c r="L84" s="133">
        <v>14.039581285964859</v>
      </c>
      <c r="M84" s="45">
        <v>17376.451069829342</v>
      </c>
    </row>
    <row r="85" spans="1:13" x14ac:dyDescent="0.25">
      <c r="A85" s="812" t="s">
        <v>1996</v>
      </c>
      <c r="B85" s="812">
        <v>5</v>
      </c>
      <c r="C85" s="608">
        <v>39474</v>
      </c>
      <c r="D85" s="812">
        <v>99709</v>
      </c>
      <c r="E85" s="812" t="s">
        <v>1600</v>
      </c>
      <c r="F85" s="133">
        <v>3.6025713849919523</v>
      </c>
      <c r="G85" s="133">
        <v>0.96390487331637231</v>
      </c>
      <c r="H85" s="133">
        <v>1.5734959262720445</v>
      </c>
      <c r="I85" s="133">
        <v>0.97235941382842339</v>
      </c>
      <c r="J85" s="133">
        <v>0.97235941382842339</v>
      </c>
      <c r="K85" s="133">
        <v>4.6904460152901277E-2</v>
      </c>
      <c r="L85" s="133">
        <v>10.124613954008437</v>
      </c>
      <c r="M85" s="45">
        <v>19489.06349247789</v>
      </c>
    </row>
    <row r="86" spans="1:13" x14ac:dyDescent="0.25">
      <c r="A86" s="812" t="s">
        <v>1996</v>
      </c>
      <c r="B86" s="812">
        <v>5</v>
      </c>
      <c r="C86" s="608">
        <v>39474</v>
      </c>
      <c r="D86" s="812">
        <v>99712</v>
      </c>
      <c r="E86" s="812" t="s">
        <v>1601</v>
      </c>
      <c r="F86" s="133">
        <v>1.8926991227032077</v>
      </c>
      <c r="G86" s="133">
        <v>0.32167156519896822</v>
      </c>
      <c r="H86" s="133">
        <v>0.57210742267549231</v>
      </c>
      <c r="I86" s="133">
        <v>0.51267915752158744</v>
      </c>
      <c r="J86" s="133">
        <v>0.51267915752158744</v>
      </c>
      <c r="K86" s="133">
        <v>2.3496759895049502E-2</v>
      </c>
      <c r="L86" s="133">
        <v>5.3959892387066857</v>
      </c>
      <c r="M86" s="45">
        <v>6653.2763341641967</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8.4599741972493124E-5</v>
      </c>
      <c r="G98" s="133">
        <v>2.0547506550571636E-3</v>
      </c>
      <c r="H98" s="133">
        <v>1.3062538128503685E-3</v>
      </c>
      <c r="I98" s="133">
        <v>6.2679592540258071E-5</v>
      </c>
      <c r="J98" s="133">
        <v>6.2679592540258071E-5</v>
      </c>
      <c r="K98" s="133">
        <v>4.4215195721413946E-5</v>
      </c>
      <c r="L98" s="133">
        <v>1.2934022362013877E-4</v>
      </c>
      <c r="M98" s="45">
        <v>32.64436070011697</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0.92216381567554673</v>
      </c>
      <c r="G100" s="133">
        <v>0.79054334953726346</v>
      </c>
      <c r="H100" s="133">
        <v>0.99970130252885547</v>
      </c>
      <c r="I100" s="133">
        <v>0.26596000139756087</v>
      </c>
      <c r="J100" s="133">
        <v>0.26596000139756087</v>
      </c>
      <c r="K100" s="133">
        <v>2.2363397737959513E-2</v>
      </c>
      <c r="L100" s="133">
        <v>2.6393119310006337</v>
      </c>
      <c r="M100" s="45">
        <v>14501.723997658628</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2.1894388813014948E-2</v>
      </c>
      <c r="G102" s="133">
        <v>1.4874268756865976E-2</v>
      </c>
      <c r="H102" s="133">
        <v>2.230103426472814E-2</v>
      </c>
      <c r="I102" s="133">
        <v>7.161474642888294E-3</v>
      </c>
      <c r="J102" s="133">
        <v>7.161474642888294E-3</v>
      </c>
      <c r="K102" s="133">
        <v>4.370221818382392E-4</v>
      </c>
      <c r="L102" s="133">
        <v>7.6498569014066792E-2</v>
      </c>
      <c r="M102" s="45">
        <v>285.64760501010625</v>
      </c>
    </row>
    <row r="103" spans="1:13" x14ac:dyDescent="0.25">
      <c r="A103" s="812" t="s">
        <v>1996</v>
      </c>
      <c r="B103" s="812">
        <v>6</v>
      </c>
      <c r="C103" s="608">
        <v>39475</v>
      </c>
      <c r="D103" s="812">
        <v>99705</v>
      </c>
      <c r="E103" s="812" t="s">
        <v>1599</v>
      </c>
      <c r="F103" s="133">
        <v>3.8065074987953946</v>
      </c>
      <c r="G103" s="133">
        <v>0.76272369107545768</v>
      </c>
      <c r="H103" s="133">
        <v>1.2797922254918841</v>
      </c>
      <c r="I103" s="133">
        <v>1.1423099440706186</v>
      </c>
      <c r="J103" s="133">
        <v>1.1423099440706186</v>
      </c>
      <c r="K103" s="133">
        <v>5.0763187077198096E-2</v>
      </c>
      <c r="L103" s="133">
        <v>12.377678022647313</v>
      </c>
      <c r="M103" s="45">
        <v>15561.42825463486</v>
      </c>
    </row>
    <row r="104" spans="1:13" x14ac:dyDescent="0.25">
      <c r="A104" s="812" t="s">
        <v>1996</v>
      </c>
      <c r="B104" s="812">
        <v>6</v>
      </c>
      <c r="C104" s="608">
        <v>39475</v>
      </c>
      <c r="D104" s="812">
        <v>99709</v>
      </c>
      <c r="E104" s="812" t="s">
        <v>1600</v>
      </c>
      <c r="F104" s="133">
        <v>3.2604354806151745</v>
      </c>
      <c r="G104" s="133">
        <v>0.86362104077627788</v>
      </c>
      <c r="H104" s="133">
        <v>1.4159793026719101</v>
      </c>
      <c r="I104" s="133">
        <v>0.87090304598146184</v>
      </c>
      <c r="J104" s="133">
        <v>0.87090304598146184</v>
      </c>
      <c r="K104" s="133">
        <v>4.2684053646506737E-2</v>
      </c>
      <c r="L104" s="133">
        <v>8.9950568433509872</v>
      </c>
      <c r="M104" s="45">
        <v>17517.359185634032</v>
      </c>
    </row>
    <row r="105" spans="1:13" x14ac:dyDescent="0.25">
      <c r="A105" s="812" t="s">
        <v>1996</v>
      </c>
      <c r="B105" s="812">
        <v>6</v>
      </c>
      <c r="C105" s="608">
        <v>39475</v>
      </c>
      <c r="D105" s="812">
        <v>99712</v>
      </c>
      <c r="E105" s="812" t="s">
        <v>1601</v>
      </c>
      <c r="F105" s="133">
        <v>1.7827685751632545</v>
      </c>
      <c r="G105" s="133">
        <v>0.29753981955783121</v>
      </c>
      <c r="H105" s="133">
        <v>0.53179766215626589</v>
      </c>
      <c r="I105" s="133">
        <v>0.47597666495746815</v>
      </c>
      <c r="J105" s="133">
        <v>0.47597666495746815</v>
      </c>
      <c r="K105" s="133">
        <v>2.1891838766419806E-2</v>
      </c>
      <c r="L105" s="133">
        <v>4.9565506118205045</v>
      </c>
      <c r="M105" s="45">
        <v>6169.2626670194013</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7.506084811987384E-5</v>
      </c>
      <c r="G117" s="133">
        <v>1.813937065509974E-3</v>
      </c>
      <c r="H117" s="133">
        <v>1.1360360649322122E-3</v>
      </c>
      <c r="I117" s="133">
        <v>5.6570993288248123E-5</v>
      </c>
      <c r="J117" s="133">
        <v>5.6570993288248123E-5</v>
      </c>
      <c r="K117" s="133">
        <v>4.3887469371543607E-5</v>
      </c>
      <c r="L117" s="133">
        <v>1.2334870585379231E-4</v>
      </c>
      <c r="M117" s="45">
        <v>28.938507127640769</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1.0353290153605468</v>
      </c>
      <c r="G119" s="133">
        <v>0.86783645993724046</v>
      </c>
      <c r="H119" s="133">
        <v>1.0984354509673673</v>
      </c>
      <c r="I119" s="133">
        <v>0.29598799268394893</v>
      </c>
      <c r="J119" s="133">
        <v>0.29598799268394893</v>
      </c>
      <c r="K119" s="133">
        <v>2.3681873780489346E-2</v>
      </c>
      <c r="L119" s="133">
        <v>2.9358363235690104</v>
      </c>
      <c r="M119" s="45">
        <v>15877.241990213784</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2.4314470728568086E-2</v>
      </c>
      <c r="G121" s="133">
        <v>1.6306083857994761E-2</v>
      </c>
      <c r="H121" s="133">
        <v>2.4431476911350548E-2</v>
      </c>
      <c r="I121" s="133">
        <v>7.9179936485070154E-3</v>
      </c>
      <c r="J121" s="133">
        <v>7.9179936485070154E-3</v>
      </c>
      <c r="K121" s="133">
        <v>4.6835563962693957E-4</v>
      </c>
      <c r="L121" s="133">
        <v>8.4653462969925597E-2</v>
      </c>
      <c r="M121" s="45">
        <v>312.3992358215159</v>
      </c>
    </row>
    <row r="122" spans="1:13" x14ac:dyDescent="0.25">
      <c r="A122" s="812" t="s">
        <v>1996</v>
      </c>
      <c r="B122" s="812">
        <v>7</v>
      </c>
      <c r="C122" s="608">
        <v>39476</v>
      </c>
      <c r="D122" s="812">
        <v>99705</v>
      </c>
      <c r="E122" s="812" t="s">
        <v>1599</v>
      </c>
      <c r="F122" s="133">
        <v>4.1677365097442802</v>
      </c>
      <c r="G122" s="133">
        <v>0.82955839735065873</v>
      </c>
      <c r="H122" s="133">
        <v>1.3895442709396395</v>
      </c>
      <c r="I122" s="133">
        <v>1.2479612918688101</v>
      </c>
      <c r="J122" s="133">
        <v>1.2479612918688101</v>
      </c>
      <c r="K122" s="133">
        <v>5.5360677520535369E-2</v>
      </c>
      <c r="L122" s="133">
        <v>13.546714292662054</v>
      </c>
      <c r="M122" s="45">
        <v>16895.348130214934</v>
      </c>
    </row>
    <row r="123" spans="1:13" x14ac:dyDescent="0.25">
      <c r="A123" s="812" t="s">
        <v>1996</v>
      </c>
      <c r="B123" s="812">
        <v>7</v>
      </c>
      <c r="C123" s="608">
        <v>39476</v>
      </c>
      <c r="D123" s="812">
        <v>99709</v>
      </c>
      <c r="E123" s="812" t="s">
        <v>1600</v>
      </c>
      <c r="F123" s="133">
        <v>3.6454842612144009</v>
      </c>
      <c r="G123" s="133">
        <v>0.94639131089796502</v>
      </c>
      <c r="H123" s="133">
        <v>1.5498871336642153</v>
      </c>
      <c r="I123" s="133">
        <v>0.9667479532065395</v>
      </c>
      <c r="J123" s="133">
        <v>0.9667479532065395</v>
      </c>
      <c r="K123" s="133">
        <v>4.6863366508571848E-2</v>
      </c>
      <c r="L123" s="133">
        <v>9.9749625824560315</v>
      </c>
      <c r="M123" s="45">
        <v>19157.728234405669</v>
      </c>
    </row>
    <row r="124" spans="1:13" x14ac:dyDescent="0.25">
      <c r="A124" s="812" t="s">
        <v>1996</v>
      </c>
      <c r="B124" s="812">
        <v>7</v>
      </c>
      <c r="C124" s="608">
        <v>39476</v>
      </c>
      <c r="D124" s="812">
        <v>99712</v>
      </c>
      <c r="E124" s="812" t="s">
        <v>1601</v>
      </c>
      <c r="F124" s="133">
        <v>1.9603161169168517</v>
      </c>
      <c r="G124" s="133">
        <v>0.3224495154977654</v>
      </c>
      <c r="H124" s="133">
        <v>0.57482862040783567</v>
      </c>
      <c r="I124" s="133">
        <v>0.52117387176098007</v>
      </c>
      <c r="J124" s="133">
        <v>0.52117387176098007</v>
      </c>
      <c r="K124" s="133">
        <v>2.3942461867572078E-2</v>
      </c>
      <c r="L124" s="133">
        <v>5.430602439286317</v>
      </c>
      <c r="M124" s="45">
        <v>6673.4744715893157</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8.2215018509338307E-5</v>
      </c>
      <c r="G136" s="133">
        <v>1.994547257670367E-3</v>
      </c>
      <c r="H136" s="133">
        <v>1.26369937587083E-3</v>
      </c>
      <c r="I136" s="133">
        <v>6.1152442727255572E-5</v>
      </c>
      <c r="J136" s="133">
        <v>6.1152442727255572E-5</v>
      </c>
      <c r="K136" s="133">
        <v>4.4133264133946363E-5</v>
      </c>
      <c r="L136" s="133">
        <v>1.2784234417855217E-4</v>
      </c>
      <c r="M136" s="45">
        <v>31.717897306997923</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1.0922178668670275</v>
      </c>
      <c r="G138" s="133">
        <v>0.86683197219099029</v>
      </c>
      <c r="H138" s="133">
        <v>1.1204073232830762</v>
      </c>
      <c r="I138" s="133">
        <v>0.31026034394605967</v>
      </c>
      <c r="J138" s="133">
        <v>0.31026034394605967</v>
      </c>
      <c r="K138" s="133">
        <v>2.4306938693298055E-2</v>
      </c>
      <c r="L138" s="133">
        <v>3.0866476597380128</v>
      </c>
      <c r="M138" s="45">
        <v>15976.009568007905</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2.5478172708704658E-2</v>
      </c>
      <c r="G140" s="133">
        <v>1.6470711987645777E-2</v>
      </c>
      <c r="H140" s="133">
        <v>2.5107240375925172E-2</v>
      </c>
      <c r="I140" s="133">
        <v>8.2695523782666952E-3</v>
      </c>
      <c r="J140" s="133">
        <v>8.2695523782666952E-3</v>
      </c>
      <c r="K140" s="133">
        <v>4.8251608841670272E-4</v>
      </c>
      <c r="L140" s="133">
        <v>8.8598660887197908E-2</v>
      </c>
      <c r="M140" s="45">
        <v>317.76423535780049</v>
      </c>
    </row>
    <row r="141" spans="1:13" x14ac:dyDescent="0.25">
      <c r="A141" s="812" t="s">
        <v>1996</v>
      </c>
      <c r="B141" s="812">
        <v>8</v>
      </c>
      <c r="C141" s="608">
        <v>39477</v>
      </c>
      <c r="D141" s="812">
        <v>99705</v>
      </c>
      <c r="E141" s="812" t="s">
        <v>1599</v>
      </c>
      <c r="F141" s="133">
        <v>4.3192885652321005</v>
      </c>
      <c r="G141" s="133">
        <v>0.85000856400539837</v>
      </c>
      <c r="H141" s="133">
        <v>1.4305300293781129</v>
      </c>
      <c r="I141" s="133">
        <v>1.2923524464214662</v>
      </c>
      <c r="J141" s="133">
        <v>1.2923524464214662</v>
      </c>
      <c r="K141" s="133">
        <v>5.7293284944390538E-2</v>
      </c>
      <c r="L141" s="133">
        <v>14.0407962688388</v>
      </c>
      <c r="M141" s="45">
        <v>17339.347668096605</v>
      </c>
    </row>
    <row r="142" spans="1:13" x14ac:dyDescent="0.25">
      <c r="A142" s="812" t="s">
        <v>1996</v>
      </c>
      <c r="B142" s="812">
        <v>8</v>
      </c>
      <c r="C142" s="608">
        <v>39477</v>
      </c>
      <c r="D142" s="812">
        <v>99709</v>
      </c>
      <c r="E142" s="812" t="s">
        <v>1600</v>
      </c>
      <c r="F142" s="133">
        <v>3.8422406489568837</v>
      </c>
      <c r="G142" s="133">
        <v>0.96774606872940661</v>
      </c>
      <c r="H142" s="133">
        <v>1.6022216204277837</v>
      </c>
      <c r="I142" s="133">
        <v>1.0150358794535637</v>
      </c>
      <c r="J142" s="133">
        <v>1.0150358794535637</v>
      </c>
      <c r="K142" s="133">
        <v>4.8963190309540744E-2</v>
      </c>
      <c r="L142" s="133">
        <v>10.472132818369639</v>
      </c>
      <c r="M142" s="45">
        <v>19670.845748399472</v>
      </c>
    </row>
    <row r="143" spans="1:13" x14ac:dyDescent="0.25">
      <c r="A143" s="812" t="s">
        <v>1996</v>
      </c>
      <c r="B143" s="812">
        <v>8</v>
      </c>
      <c r="C143" s="608">
        <v>39477</v>
      </c>
      <c r="D143" s="812">
        <v>99712</v>
      </c>
      <c r="E143" s="812" t="s">
        <v>1601</v>
      </c>
      <c r="F143" s="133">
        <v>2.0612523858265255</v>
      </c>
      <c r="G143" s="133">
        <v>0.334398845634158</v>
      </c>
      <c r="H143" s="133">
        <v>0.59784207103043208</v>
      </c>
      <c r="I143" s="133">
        <v>0.54654230282108207</v>
      </c>
      <c r="J143" s="133">
        <v>0.54654230282108207</v>
      </c>
      <c r="K143" s="133">
        <v>2.5095744810569528E-2</v>
      </c>
      <c r="L143" s="133">
        <v>5.6955994493938569</v>
      </c>
      <c r="M143" s="45">
        <v>6926.3234831456884</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7.9830295046183543E-5</v>
      </c>
      <c r="G155" s="133">
        <v>1.9343438602835695E-3</v>
      </c>
      <c r="H155" s="133">
        <v>1.2211449388912908E-3</v>
      </c>
      <c r="I155" s="133">
        <v>5.9625292914253114E-5</v>
      </c>
      <c r="J155" s="133">
        <v>5.9625292914253114E-5</v>
      </c>
      <c r="K155" s="133">
        <v>4.405133254647878E-5</v>
      </c>
      <c r="L155" s="133">
        <v>1.2634446473696557E-4</v>
      </c>
      <c r="M155" s="45">
        <v>30.791433913878873</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1.0318082389374059</v>
      </c>
      <c r="G157" s="133">
        <v>0.79290392132107435</v>
      </c>
      <c r="H157" s="133">
        <v>1.0452216665477818</v>
      </c>
      <c r="I157" s="133">
        <v>0.29368556605750645</v>
      </c>
      <c r="J157" s="133">
        <v>0.29368556605750645</v>
      </c>
      <c r="K157" s="133">
        <v>2.3575187525926123E-2</v>
      </c>
      <c r="L157" s="133">
        <v>2.931777287386113</v>
      </c>
      <c r="M157" s="45">
        <v>14757.032392555251</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2.4109748914600812E-2</v>
      </c>
      <c r="G159" s="133">
        <v>1.5206848595934916E-2</v>
      </c>
      <c r="H159" s="133">
        <v>2.354566371751764E-2</v>
      </c>
      <c r="I159" s="133">
        <v>7.8260938571845674E-3</v>
      </c>
      <c r="J159" s="133">
        <v>7.8260938571845674E-3</v>
      </c>
      <c r="K159" s="133">
        <v>4.6427758945912639E-4</v>
      </c>
      <c r="L159" s="133">
        <v>8.3935458977023328E-2</v>
      </c>
      <c r="M159" s="45">
        <v>295.83281055217435</v>
      </c>
    </row>
    <row r="160" spans="1:13" x14ac:dyDescent="0.25">
      <c r="A160" s="812" t="s">
        <v>1996</v>
      </c>
      <c r="B160" s="812">
        <v>9</v>
      </c>
      <c r="C160" s="608">
        <v>39478</v>
      </c>
      <c r="D160" s="812">
        <v>99705</v>
      </c>
      <c r="E160" s="812" t="s">
        <v>1599</v>
      </c>
      <c r="F160" s="133">
        <v>4.2190323873489364</v>
      </c>
      <c r="G160" s="133">
        <v>0.82101435474665441</v>
      </c>
      <c r="H160" s="133">
        <v>1.3920904911456733</v>
      </c>
      <c r="I160" s="133">
        <v>1.2620253690949295</v>
      </c>
      <c r="J160" s="133">
        <v>1.2620253690949295</v>
      </c>
      <c r="K160" s="133">
        <v>5.5992421750338965E-2</v>
      </c>
      <c r="L160" s="133">
        <v>13.704399489025777</v>
      </c>
      <c r="M160" s="45">
        <v>16804.172540573018</v>
      </c>
    </row>
    <row r="161" spans="1:13" x14ac:dyDescent="0.25">
      <c r="A161" s="812" t="s">
        <v>1996</v>
      </c>
      <c r="B161" s="812">
        <v>9</v>
      </c>
      <c r="C161" s="608">
        <v>39478</v>
      </c>
      <c r="D161" s="812">
        <v>99709</v>
      </c>
      <c r="E161" s="812" t="s">
        <v>1600</v>
      </c>
      <c r="F161" s="133">
        <v>3.859575622903328</v>
      </c>
      <c r="G161" s="133">
        <v>0.93651347287565412</v>
      </c>
      <c r="H161" s="133">
        <v>1.5738730417941851</v>
      </c>
      <c r="I161" s="133">
        <v>1.0198463494615024</v>
      </c>
      <c r="J161" s="133">
        <v>1.0198463494615024</v>
      </c>
      <c r="K161" s="133">
        <v>4.9124012677342982E-2</v>
      </c>
      <c r="L161" s="133">
        <v>10.536798748414352</v>
      </c>
      <c r="M161" s="45">
        <v>19169.409713182398</v>
      </c>
    </row>
    <row r="162" spans="1:13" x14ac:dyDescent="0.25">
      <c r="A162" s="812" t="s">
        <v>1996</v>
      </c>
      <c r="B162" s="812">
        <v>9</v>
      </c>
      <c r="C162" s="608">
        <v>39478</v>
      </c>
      <c r="D162" s="812">
        <v>99712</v>
      </c>
      <c r="E162" s="812" t="s">
        <v>1601</v>
      </c>
      <c r="F162" s="133">
        <v>2.2177681540156708</v>
      </c>
      <c r="G162" s="133">
        <v>0.35137868444135639</v>
      </c>
      <c r="H162" s="133">
        <v>0.63222182329941123</v>
      </c>
      <c r="I162" s="133">
        <v>0.58656574634354131</v>
      </c>
      <c r="J162" s="133">
        <v>0.58656574634354131</v>
      </c>
      <c r="K162" s="133">
        <v>2.6905959862834991E-2</v>
      </c>
      <c r="L162" s="133">
        <v>6.1179259851297223</v>
      </c>
      <c r="M162" s="45">
        <v>7293.7993579830518</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7.1086309014615847E-5</v>
      </c>
      <c r="G174" s="133">
        <v>1.7135980698653112E-3</v>
      </c>
      <c r="H174" s="133">
        <v>1.0651120032996477E-3</v>
      </c>
      <c r="I174" s="133">
        <v>5.4025743599910649E-5</v>
      </c>
      <c r="J174" s="133">
        <v>5.4025743599910649E-5</v>
      </c>
      <c r="K174" s="133">
        <v>4.3750916725764309E-5</v>
      </c>
      <c r="L174" s="133">
        <v>1.2085224011781466E-4</v>
      </c>
      <c r="M174" s="45">
        <v>27.39440147244235</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0.94102374018891666</v>
      </c>
      <c r="G176" s="133">
        <v>0.76389812117093325</v>
      </c>
      <c r="H176" s="133">
        <v>0.98897497294579406</v>
      </c>
      <c r="I176" s="133">
        <v>0.27033328365780301</v>
      </c>
      <c r="J176" s="133">
        <v>0.27033328365780301</v>
      </c>
      <c r="K176" s="133">
        <v>2.2549991506401357E-2</v>
      </c>
      <c r="L176" s="133">
        <v>2.6933074836812692</v>
      </c>
      <c r="M176" s="45">
        <v>14144.642954524303</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2.2050184237371786E-2</v>
      </c>
      <c r="G178" s="133">
        <v>1.448268080247331E-2</v>
      </c>
      <c r="H178" s="133">
        <v>2.2093115130833185E-2</v>
      </c>
      <c r="I178" s="133">
        <v>7.1967404595484931E-3</v>
      </c>
      <c r="J178" s="133">
        <v>7.1967404595484931E-3</v>
      </c>
      <c r="K178" s="133">
        <v>4.3831435076016286E-4</v>
      </c>
      <c r="L178" s="133">
        <v>7.7014833078853998E-2</v>
      </c>
      <c r="M178" s="45">
        <v>280.31714877620976</v>
      </c>
    </row>
    <row r="179" spans="1:13" x14ac:dyDescent="0.25">
      <c r="A179" s="812" t="s">
        <v>1996</v>
      </c>
      <c r="B179" s="812">
        <v>10</v>
      </c>
      <c r="C179" s="608">
        <v>39479</v>
      </c>
      <c r="D179" s="812">
        <v>99705</v>
      </c>
      <c r="E179" s="812" t="s">
        <v>1599</v>
      </c>
      <c r="F179" s="133">
        <v>3.7997720961042902</v>
      </c>
      <c r="G179" s="133">
        <v>0.75497675982081569</v>
      </c>
      <c r="H179" s="133">
        <v>1.2734646701287313</v>
      </c>
      <c r="I179" s="133">
        <v>1.140447034041066</v>
      </c>
      <c r="J179" s="133">
        <v>1.140447034041066</v>
      </c>
      <c r="K179" s="133">
        <v>5.0702774795142347E-2</v>
      </c>
      <c r="L179" s="133">
        <v>12.360198259348106</v>
      </c>
      <c r="M179" s="45">
        <v>15436.21819329722</v>
      </c>
    </row>
    <row r="180" spans="1:13" x14ac:dyDescent="0.25">
      <c r="A180" s="812" t="s">
        <v>1996</v>
      </c>
      <c r="B180" s="812">
        <v>10</v>
      </c>
      <c r="C180" s="608">
        <v>39479</v>
      </c>
      <c r="D180" s="812">
        <v>99709</v>
      </c>
      <c r="E180" s="812" t="s">
        <v>1600</v>
      </c>
      <c r="F180" s="133">
        <v>3.4902231153780803</v>
      </c>
      <c r="G180" s="133">
        <v>0.88068116700897614</v>
      </c>
      <c r="H180" s="133">
        <v>1.4678188468185041</v>
      </c>
      <c r="I180" s="133">
        <v>0.92908618106362162</v>
      </c>
      <c r="J180" s="133">
        <v>0.92908618106362162</v>
      </c>
      <c r="K180" s="133">
        <v>4.516450352095272E-2</v>
      </c>
      <c r="L180" s="133">
        <v>9.6067163866796221</v>
      </c>
      <c r="M180" s="45">
        <v>17982.178287760107</v>
      </c>
    </row>
    <row r="181" spans="1:13" x14ac:dyDescent="0.25">
      <c r="A181" s="812" t="s">
        <v>1996</v>
      </c>
      <c r="B181" s="812">
        <v>10</v>
      </c>
      <c r="C181" s="608">
        <v>39479</v>
      </c>
      <c r="D181" s="812">
        <v>99712</v>
      </c>
      <c r="E181" s="812" t="s">
        <v>1601</v>
      </c>
      <c r="F181" s="133">
        <v>1.9801796079276832</v>
      </c>
      <c r="G181" s="133">
        <v>0.32193774732485575</v>
      </c>
      <c r="H181" s="133">
        <v>0.57827345113159112</v>
      </c>
      <c r="I181" s="133">
        <v>0.52745306808965431</v>
      </c>
      <c r="J181" s="133">
        <v>0.52745306808965431</v>
      </c>
      <c r="K181" s="133">
        <v>2.4203462848239803E-2</v>
      </c>
      <c r="L181" s="133">
        <v>5.5037085279307405</v>
      </c>
      <c r="M181" s="45">
        <v>6684.3229279223779</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7.0291401193564246E-5</v>
      </c>
      <c r="G193" s="133">
        <v>1.693530270736379E-3</v>
      </c>
      <c r="H193" s="133">
        <v>1.0509271909731343E-3</v>
      </c>
      <c r="I193" s="133">
        <v>5.3516693662243131E-5</v>
      </c>
      <c r="J193" s="133">
        <v>5.3516693662243131E-5</v>
      </c>
      <c r="K193" s="133">
        <v>4.3723606196608442E-5</v>
      </c>
      <c r="L193" s="133">
        <v>1.2035294697061911E-4</v>
      </c>
      <c r="M193" s="45">
        <v>27.085580341402668</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0.91144948012260041</v>
      </c>
      <c r="G195" s="133">
        <v>0.81423523010657006</v>
      </c>
      <c r="H195" s="133">
        <v>1.0191586985645016</v>
      </c>
      <c r="I195" s="133">
        <v>0.26778862187435232</v>
      </c>
      <c r="J195" s="133">
        <v>0.26778862187435232</v>
      </c>
      <c r="K195" s="133">
        <v>2.2392112656632462E-2</v>
      </c>
      <c r="L195" s="133">
        <v>2.6752766782353032</v>
      </c>
      <c r="M195" s="45">
        <v>14871.616872149985</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2.1745382512899217E-2</v>
      </c>
      <c r="G197" s="133">
        <v>1.5203624928964038E-2</v>
      </c>
      <c r="H197" s="133">
        <v>2.2553317637333953E-2</v>
      </c>
      <c r="I197" s="133">
        <v>7.226264690496146E-3</v>
      </c>
      <c r="J197" s="133">
        <v>7.226264690496146E-3</v>
      </c>
      <c r="K197" s="133">
        <v>4.3907939386095312E-4</v>
      </c>
      <c r="L197" s="133">
        <v>7.7688094283748094E-2</v>
      </c>
      <c r="M197" s="45">
        <v>290.60922267633902</v>
      </c>
    </row>
    <row r="198" spans="1:13" x14ac:dyDescent="0.25">
      <c r="A198" s="812" t="s">
        <v>1996</v>
      </c>
      <c r="B198" s="812">
        <v>11</v>
      </c>
      <c r="C198" s="608">
        <v>39480</v>
      </c>
      <c r="D198" s="812">
        <v>99705</v>
      </c>
      <c r="E198" s="812" t="s">
        <v>1599</v>
      </c>
      <c r="F198" s="133">
        <v>3.8204804971405255</v>
      </c>
      <c r="G198" s="133">
        <v>0.78136584199767212</v>
      </c>
      <c r="H198" s="133">
        <v>1.306514667248561</v>
      </c>
      <c r="I198" s="133">
        <v>1.1637136425120436</v>
      </c>
      <c r="J198" s="133">
        <v>1.1637136425120436</v>
      </c>
      <c r="K198" s="133">
        <v>5.1659197935619051E-2</v>
      </c>
      <c r="L198" s="133">
        <v>12.724149902100564</v>
      </c>
      <c r="M198" s="45">
        <v>15916.369821668441</v>
      </c>
    </row>
    <row r="199" spans="1:13" x14ac:dyDescent="0.25">
      <c r="A199" s="812" t="s">
        <v>1996</v>
      </c>
      <c r="B199" s="812">
        <v>11</v>
      </c>
      <c r="C199" s="608">
        <v>39480</v>
      </c>
      <c r="D199" s="812">
        <v>99709</v>
      </c>
      <c r="E199" s="812" t="s">
        <v>1600</v>
      </c>
      <c r="F199" s="133">
        <v>3.2893511613613717</v>
      </c>
      <c r="G199" s="133">
        <v>0.89114590791380177</v>
      </c>
      <c r="H199" s="133">
        <v>1.4536835723292845</v>
      </c>
      <c r="I199" s="133">
        <v>0.89464273506753345</v>
      </c>
      <c r="J199" s="133">
        <v>0.89464273506753345</v>
      </c>
      <c r="K199" s="133">
        <v>4.3519524764507496E-2</v>
      </c>
      <c r="L199" s="133">
        <v>9.3340954830237983</v>
      </c>
      <c r="M199" s="45">
        <v>18038.435650909792</v>
      </c>
    </row>
    <row r="200" spans="1:13" x14ac:dyDescent="0.25">
      <c r="A200" s="812" t="s">
        <v>1996</v>
      </c>
      <c r="B200" s="812">
        <v>11</v>
      </c>
      <c r="C200" s="608">
        <v>39480</v>
      </c>
      <c r="D200" s="812">
        <v>99712</v>
      </c>
      <c r="E200" s="812" t="s">
        <v>1601</v>
      </c>
      <c r="F200" s="133">
        <v>1.8566564781525474</v>
      </c>
      <c r="G200" s="133">
        <v>0.31610808489140857</v>
      </c>
      <c r="H200" s="133">
        <v>0.56406511222859534</v>
      </c>
      <c r="I200" s="133">
        <v>0.50509915163809438</v>
      </c>
      <c r="J200" s="133">
        <v>0.50509915163809438</v>
      </c>
      <c r="K200" s="133">
        <v>2.3125183375128623E-2</v>
      </c>
      <c r="L200" s="133">
        <v>5.3248003888710711</v>
      </c>
      <c r="M200" s="45">
        <v>6549.1527600205754</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7.8240479404080286E-5</v>
      </c>
      <c r="G212" s="133">
        <v>1.894208262025704E-3</v>
      </c>
      <c r="H212" s="133">
        <v>1.1927753142382648E-3</v>
      </c>
      <c r="I212" s="133">
        <v>5.8607193038918106E-5</v>
      </c>
      <c r="J212" s="133">
        <v>5.8607193038918106E-5</v>
      </c>
      <c r="K212" s="133">
        <v>4.3996711488167051E-5</v>
      </c>
      <c r="L212" s="133">
        <v>1.2534587844257447E-4</v>
      </c>
      <c r="M212" s="45">
        <v>30.173791651799505</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1.0729071650198794</v>
      </c>
      <c r="G214" s="133">
        <v>0.90936269454462682</v>
      </c>
      <c r="H214" s="133">
        <v>1.1493848929307808</v>
      </c>
      <c r="I214" s="133">
        <v>0.31023096883581003</v>
      </c>
      <c r="J214" s="133">
        <v>0.31023096883581003</v>
      </c>
      <c r="K214" s="133">
        <v>2.4257058288680095E-2</v>
      </c>
      <c r="L214" s="133">
        <v>3.0976692677610576</v>
      </c>
      <c r="M214" s="45">
        <v>16608.106566732065</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2.5125830684879412E-2</v>
      </c>
      <c r="G216" s="133">
        <v>1.7016012975849322E-2</v>
      </c>
      <c r="H216" s="133">
        <v>2.5397802472877058E-2</v>
      </c>
      <c r="I216" s="133">
        <v>8.2780118450343915E-3</v>
      </c>
      <c r="J216" s="133">
        <v>8.2780118450343915E-3</v>
      </c>
      <c r="K216" s="133">
        <v>4.8255397426977189E-4</v>
      </c>
      <c r="L216" s="133">
        <v>8.9078986885615746E-2</v>
      </c>
      <c r="M216" s="45">
        <v>325.25508581110603</v>
      </c>
    </row>
    <row r="217" spans="1:13" x14ac:dyDescent="0.25">
      <c r="A217" s="812" t="s">
        <v>1996</v>
      </c>
      <c r="B217" s="812">
        <v>12</v>
      </c>
      <c r="C217" s="608">
        <v>39481</v>
      </c>
      <c r="D217" s="812">
        <v>99705</v>
      </c>
      <c r="E217" s="812" t="s">
        <v>1599</v>
      </c>
      <c r="F217" s="133">
        <v>4.2903954869309882</v>
      </c>
      <c r="G217" s="133">
        <v>0.86638620159262347</v>
      </c>
      <c r="H217" s="133">
        <v>1.4482481683284119</v>
      </c>
      <c r="I217" s="133">
        <v>1.3008457476460855</v>
      </c>
      <c r="J217" s="133">
        <v>1.3008457476460855</v>
      </c>
      <c r="K217" s="133">
        <v>5.7643340276386845E-2</v>
      </c>
      <c r="L217" s="133">
        <v>14.241033896975276</v>
      </c>
      <c r="M217" s="45">
        <v>17622.234887490617</v>
      </c>
    </row>
    <row r="218" spans="1:13" x14ac:dyDescent="0.25">
      <c r="A218" s="812" t="s">
        <v>1996</v>
      </c>
      <c r="B218" s="812">
        <v>12</v>
      </c>
      <c r="C218" s="608">
        <v>39481</v>
      </c>
      <c r="D218" s="812">
        <v>99709</v>
      </c>
      <c r="E218" s="812" t="s">
        <v>1600</v>
      </c>
      <c r="F218" s="133">
        <v>3.9490435991255568</v>
      </c>
      <c r="G218" s="133">
        <v>1.013466829431126</v>
      </c>
      <c r="H218" s="133">
        <v>1.660126529912461</v>
      </c>
      <c r="I218" s="133">
        <v>1.0578273853946087</v>
      </c>
      <c r="J218" s="133">
        <v>1.0578273853946087</v>
      </c>
      <c r="K218" s="133">
        <v>5.0614345398936417E-2</v>
      </c>
      <c r="L218" s="133">
        <v>11.004331977987395</v>
      </c>
      <c r="M218" s="45">
        <v>20510.331241403026</v>
      </c>
    </row>
    <row r="219" spans="1:13" x14ac:dyDescent="0.25">
      <c r="A219" s="812" t="s">
        <v>1996</v>
      </c>
      <c r="B219" s="812">
        <v>12</v>
      </c>
      <c r="C219" s="608">
        <v>39481</v>
      </c>
      <c r="D219" s="812">
        <v>99712</v>
      </c>
      <c r="E219" s="812" t="s">
        <v>1601</v>
      </c>
      <c r="F219" s="133">
        <v>2.2302441574718159</v>
      </c>
      <c r="G219" s="133">
        <v>0.36483801190539944</v>
      </c>
      <c r="H219" s="133">
        <v>0.65089329763804971</v>
      </c>
      <c r="I219" s="133">
        <v>0.59819464001042721</v>
      </c>
      <c r="J219" s="133">
        <v>0.59819464001042721</v>
      </c>
      <c r="K219" s="133">
        <v>2.7378481306432997E-2</v>
      </c>
      <c r="L219" s="133">
        <v>6.291995751589968</v>
      </c>
      <c r="M219" s="45">
        <v>7546.6627772742122</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8.6189557614596327E-5</v>
      </c>
      <c r="G231" s="133">
        <v>2.0948862533150293E-3</v>
      </c>
      <c r="H231" s="133">
        <v>1.3346234375033949E-3</v>
      </c>
      <c r="I231" s="133">
        <v>6.369769241559308E-5</v>
      </c>
      <c r="J231" s="133">
        <v>6.369769241559308E-5</v>
      </c>
      <c r="K231" s="133">
        <v>4.4269816779725661E-5</v>
      </c>
      <c r="L231" s="133">
        <v>1.3033880991452984E-4</v>
      </c>
      <c r="M231" s="45">
        <v>33.262002962196341</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1.2265316186388138</v>
      </c>
      <c r="G233" s="133">
        <v>0.98167295749505123</v>
      </c>
      <c r="H233" s="133">
        <v>1.2539300108801701</v>
      </c>
      <c r="I233" s="133">
        <v>0.34652993601095439</v>
      </c>
      <c r="J233" s="133">
        <v>0.34652993601095439</v>
      </c>
      <c r="K233" s="133">
        <v>2.5896716286773633E-2</v>
      </c>
      <c r="L233" s="133">
        <v>3.4399166119897595</v>
      </c>
      <c r="M233" s="45">
        <v>17953.755011216523</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2.8498163037887395E-2</v>
      </c>
      <c r="G235" s="133">
        <v>1.8522588549482348E-2</v>
      </c>
      <c r="H235" s="133">
        <v>2.7934810305560363E-2</v>
      </c>
      <c r="I235" s="133">
        <v>9.2190902661237039E-3</v>
      </c>
      <c r="J235" s="133">
        <v>9.2190902661237039E-3</v>
      </c>
      <c r="K235" s="133">
        <v>5.221115233239906E-4</v>
      </c>
      <c r="L235" s="133">
        <v>9.8753031693147003E-2</v>
      </c>
      <c r="M235" s="45">
        <v>354.9010861551173</v>
      </c>
    </row>
    <row r="236" spans="1:13" x14ac:dyDescent="0.25">
      <c r="A236" s="812" t="s">
        <v>1996</v>
      </c>
      <c r="B236" s="812">
        <v>13</v>
      </c>
      <c r="C236" s="608">
        <v>39482</v>
      </c>
      <c r="D236" s="812">
        <v>99705</v>
      </c>
      <c r="E236" s="812" t="s">
        <v>1599</v>
      </c>
      <c r="F236" s="133">
        <v>4.8151781774762537</v>
      </c>
      <c r="G236" s="133">
        <v>0.94414412889783716</v>
      </c>
      <c r="H236" s="133">
        <v>1.5820051105562012</v>
      </c>
      <c r="I236" s="133">
        <v>1.4368576917214857</v>
      </c>
      <c r="J236" s="133">
        <v>1.4368576917214857</v>
      </c>
      <c r="K236" s="133">
        <v>6.3578680828719134E-2</v>
      </c>
      <c r="L236" s="133">
        <v>15.636463186461336</v>
      </c>
      <c r="M236" s="45">
        <v>19203.624653707979</v>
      </c>
    </row>
    <row r="237" spans="1:13" x14ac:dyDescent="0.25">
      <c r="A237" s="812" t="s">
        <v>1996</v>
      </c>
      <c r="B237" s="812">
        <v>13</v>
      </c>
      <c r="C237" s="608">
        <v>39482</v>
      </c>
      <c r="D237" s="812">
        <v>99709</v>
      </c>
      <c r="E237" s="812" t="s">
        <v>1600</v>
      </c>
      <c r="F237" s="133">
        <v>4.3381884052696895</v>
      </c>
      <c r="G237" s="133">
        <v>1.0811750851450024</v>
      </c>
      <c r="H237" s="133">
        <v>1.7751383011203006</v>
      </c>
      <c r="I237" s="133">
        <v>1.1388793670074702</v>
      </c>
      <c r="J237" s="133">
        <v>1.1388793670074702</v>
      </c>
      <c r="K237" s="133">
        <v>5.4335922423821126E-2</v>
      </c>
      <c r="L237" s="133">
        <v>11.738393179379328</v>
      </c>
      <c r="M237" s="45">
        <v>21869.439003355372</v>
      </c>
    </row>
    <row r="238" spans="1:13" x14ac:dyDescent="0.25">
      <c r="A238" s="812" t="s">
        <v>1996</v>
      </c>
      <c r="B238" s="812">
        <v>13</v>
      </c>
      <c r="C238" s="608">
        <v>39482</v>
      </c>
      <c r="D238" s="812">
        <v>99712</v>
      </c>
      <c r="E238" s="812" t="s">
        <v>1601</v>
      </c>
      <c r="F238" s="133">
        <v>2.3556113545468325</v>
      </c>
      <c r="G238" s="133">
        <v>0.3753089079629951</v>
      </c>
      <c r="H238" s="133">
        <v>0.66884062709160685</v>
      </c>
      <c r="I238" s="133">
        <v>0.62043949541912469</v>
      </c>
      <c r="J238" s="133">
        <v>0.62043949541912469</v>
      </c>
      <c r="K238" s="133">
        <v>2.8460514243219062E-2</v>
      </c>
      <c r="L238" s="133">
        <v>6.4651659905380949</v>
      </c>
      <c r="M238" s="45">
        <v>7755.5042551584602</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9.1753912361957536E-5</v>
      </c>
      <c r="G250" s="133">
        <v>2.2353608472175566E-3</v>
      </c>
      <c r="H250" s="133">
        <v>1.4339171237889856E-3</v>
      </c>
      <c r="I250" s="133">
        <v>6.7261041979265528E-5</v>
      </c>
      <c r="J250" s="133">
        <v>6.7261041979265528E-5</v>
      </c>
      <c r="K250" s="133">
        <v>4.4460990483816694E-5</v>
      </c>
      <c r="L250" s="133">
        <v>1.338338619448986E-4</v>
      </c>
      <c r="M250" s="45">
        <v>35.423750879474127</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1.2563998551440738</v>
      </c>
      <c r="G252" s="133">
        <v>0.99488942691941873</v>
      </c>
      <c r="H252" s="133">
        <v>1.2751404940542965</v>
      </c>
      <c r="I252" s="133">
        <v>0.35437305831536836</v>
      </c>
      <c r="J252" s="133">
        <v>0.35437305831536836</v>
      </c>
      <c r="K252" s="133">
        <v>2.6239229336194294E-2</v>
      </c>
      <c r="L252" s="133">
        <v>3.5195058552278611</v>
      </c>
      <c r="M252" s="45">
        <v>18210.699385784756</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2.9238947847798857E-2</v>
      </c>
      <c r="G254" s="133">
        <v>1.8841674760457894E-2</v>
      </c>
      <c r="H254" s="133">
        <v>2.8518414085021204E-2</v>
      </c>
      <c r="I254" s="133">
        <v>9.4488895863199477E-3</v>
      </c>
      <c r="J254" s="133">
        <v>9.4488895863199477E-3</v>
      </c>
      <c r="K254" s="133">
        <v>5.314440552789708E-4</v>
      </c>
      <c r="L254" s="133">
        <v>0.10126908032483495</v>
      </c>
      <c r="M254" s="45">
        <v>361.44355076547049</v>
      </c>
    </row>
    <row r="255" spans="1:13" x14ac:dyDescent="0.25">
      <c r="A255" s="812" t="s">
        <v>1996</v>
      </c>
      <c r="B255" s="812">
        <v>14</v>
      </c>
      <c r="C255" s="608">
        <v>39483</v>
      </c>
      <c r="D255" s="812">
        <v>99705</v>
      </c>
      <c r="E255" s="812" t="s">
        <v>1599</v>
      </c>
      <c r="F255" s="133">
        <v>4.9278831281520983</v>
      </c>
      <c r="G255" s="133">
        <v>0.96306667326421791</v>
      </c>
      <c r="H255" s="133">
        <v>1.6149368391707273</v>
      </c>
      <c r="I255" s="133">
        <v>1.4701156986463926</v>
      </c>
      <c r="J255" s="133">
        <v>1.4701156986463926</v>
      </c>
      <c r="K255" s="133">
        <v>6.5013426891080847E-2</v>
      </c>
      <c r="L255" s="133">
        <v>16.006293086638927</v>
      </c>
      <c r="M255" s="45">
        <v>19591.15849774767</v>
      </c>
    </row>
    <row r="256" spans="1:13" x14ac:dyDescent="0.25">
      <c r="A256" s="812" t="s">
        <v>1996</v>
      </c>
      <c r="B256" s="812">
        <v>14</v>
      </c>
      <c r="C256" s="608">
        <v>39483</v>
      </c>
      <c r="D256" s="812">
        <v>99709</v>
      </c>
      <c r="E256" s="812" t="s">
        <v>1600</v>
      </c>
      <c r="F256" s="133">
        <v>4.3231655750108491</v>
      </c>
      <c r="G256" s="133">
        <v>1.0840092654908715</v>
      </c>
      <c r="H256" s="133">
        <v>1.7791284716616951</v>
      </c>
      <c r="I256" s="133">
        <v>1.1348954258400803</v>
      </c>
      <c r="J256" s="133">
        <v>1.1348954258400803</v>
      </c>
      <c r="K256" s="133">
        <v>5.4186018738895919E-2</v>
      </c>
      <c r="L256" s="133">
        <v>11.693911314839042</v>
      </c>
      <c r="M256" s="45">
        <v>21919.258423180941</v>
      </c>
    </row>
    <row r="257" spans="1:13" x14ac:dyDescent="0.25">
      <c r="A257" s="812" t="s">
        <v>1996</v>
      </c>
      <c r="B257" s="812">
        <v>14</v>
      </c>
      <c r="C257" s="608">
        <v>39483</v>
      </c>
      <c r="D257" s="812">
        <v>99712</v>
      </c>
      <c r="E257" s="812" t="s">
        <v>1601</v>
      </c>
      <c r="F257" s="133">
        <v>2.2824922425240466</v>
      </c>
      <c r="G257" s="133">
        <v>0.36692320859245348</v>
      </c>
      <c r="H257" s="133">
        <v>0.65303191497815671</v>
      </c>
      <c r="I257" s="133">
        <v>0.60269138271438627</v>
      </c>
      <c r="J257" s="133">
        <v>0.60269138271438627</v>
      </c>
      <c r="K257" s="133">
        <v>2.7642366372942373E-2</v>
      </c>
      <c r="L257" s="133">
        <v>6.2828861448702273</v>
      </c>
      <c r="M257" s="45">
        <v>7580.1255588166705</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9.2548820183009178E-5</v>
      </c>
      <c r="G269" s="133">
        <v>2.2554286463464901E-3</v>
      </c>
      <c r="H269" s="133">
        <v>1.448101936115499E-3</v>
      </c>
      <c r="I269" s="133">
        <v>6.7770091916933073E-5</v>
      </c>
      <c r="J269" s="133">
        <v>6.7770091916933073E-5</v>
      </c>
      <c r="K269" s="133">
        <v>4.4488301012972569E-5</v>
      </c>
      <c r="L269" s="133">
        <v>1.3433315509209416E-4</v>
      </c>
      <c r="M269" s="45">
        <v>35.732572010513813</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1.2888191893075869</v>
      </c>
      <c r="G271" s="133">
        <v>1.0034907030827607</v>
      </c>
      <c r="H271" s="133">
        <v>1.29417691864229</v>
      </c>
      <c r="I271" s="133">
        <v>0.36279163339044024</v>
      </c>
      <c r="J271" s="133">
        <v>0.36279163339044024</v>
      </c>
      <c r="K271" s="133">
        <v>2.6606173392904837E-2</v>
      </c>
      <c r="L271" s="133">
        <v>3.6065165079157966</v>
      </c>
      <c r="M271" s="45">
        <v>18404.237326237802</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2.9894382590904923E-2</v>
      </c>
      <c r="G273" s="133">
        <v>1.9044246331856293E-2</v>
      </c>
      <c r="H273" s="133">
        <v>2.8953257089075767E-2</v>
      </c>
      <c r="I273" s="133">
        <v>9.6476978360614616E-3</v>
      </c>
      <c r="J273" s="133">
        <v>9.6476978360614616E-3</v>
      </c>
      <c r="K273" s="133">
        <v>5.3970127218381494E-4</v>
      </c>
      <c r="L273" s="133">
        <v>0.10346096511658096</v>
      </c>
      <c r="M273" s="45">
        <v>365.93297542897704</v>
      </c>
    </row>
    <row r="274" spans="1:13" x14ac:dyDescent="0.25">
      <c r="A274" s="812" t="s">
        <v>1996</v>
      </c>
      <c r="B274" s="812">
        <v>15</v>
      </c>
      <c r="C274" s="608">
        <v>39484</v>
      </c>
      <c r="D274" s="812">
        <v>99705</v>
      </c>
      <c r="E274" s="812" t="s">
        <v>1599</v>
      </c>
      <c r="F274" s="133">
        <v>5.0550722762535685</v>
      </c>
      <c r="G274" s="133">
        <v>0.98310403875501418</v>
      </c>
      <c r="H274" s="133">
        <v>1.6513841843920762</v>
      </c>
      <c r="I274" s="133">
        <v>1.5073251207550447</v>
      </c>
      <c r="J274" s="133">
        <v>1.5073251207550447</v>
      </c>
      <c r="K274" s="133">
        <v>6.6638307551513523E-2</v>
      </c>
      <c r="L274" s="133">
        <v>16.41934075387325</v>
      </c>
      <c r="M274" s="45">
        <v>20007.75417603433</v>
      </c>
    </row>
    <row r="275" spans="1:13" x14ac:dyDescent="0.25">
      <c r="A275" s="812" t="s">
        <v>1996</v>
      </c>
      <c r="B275" s="812">
        <v>15</v>
      </c>
      <c r="C275" s="608">
        <v>39484</v>
      </c>
      <c r="D275" s="812">
        <v>99709</v>
      </c>
      <c r="E275" s="812" t="s">
        <v>1600</v>
      </c>
      <c r="F275" s="133">
        <v>4.4370636178094021</v>
      </c>
      <c r="G275" s="133">
        <v>1.1012788505477553</v>
      </c>
      <c r="H275" s="133">
        <v>1.813960050611245</v>
      </c>
      <c r="I275" s="133">
        <v>1.1621859778219727</v>
      </c>
      <c r="J275" s="133">
        <v>1.1621859778219727</v>
      </c>
      <c r="K275" s="133">
        <v>5.538377562385436E-2</v>
      </c>
      <c r="L275" s="133">
        <v>11.969461703072879</v>
      </c>
      <c r="M275" s="45">
        <v>22295.506082413933</v>
      </c>
    </row>
    <row r="276" spans="1:13" x14ac:dyDescent="0.25">
      <c r="A276" s="812" t="s">
        <v>1996</v>
      </c>
      <c r="B276" s="812">
        <v>15</v>
      </c>
      <c r="C276" s="608">
        <v>39484</v>
      </c>
      <c r="D276" s="812">
        <v>99712</v>
      </c>
      <c r="E276" s="812" t="s">
        <v>1601</v>
      </c>
      <c r="F276" s="133">
        <v>2.3065786782695721</v>
      </c>
      <c r="G276" s="133">
        <v>0.36897463161015559</v>
      </c>
      <c r="H276" s="133">
        <v>0.65698159191413741</v>
      </c>
      <c r="I276" s="133">
        <v>0.60743333196330884</v>
      </c>
      <c r="J276" s="133">
        <v>0.60743333196330884</v>
      </c>
      <c r="K276" s="133">
        <v>2.788064393086875E-2</v>
      </c>
      <c r="L276" s="133">
        <v>6.3259514235088199</v>
      </c>
      <c r="M276" s="45">
        <v>7622.5579800087608</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9.2548820183009192E-5</v>
      </c>
      <c r="G288" s="133">
        <v>2.2554286463464901E-3</v>
      </c>
      <c r="H288" s="133">
        <v>1.448101936115499E-3</v>
      </c>
      <c r="I288" s="133">
        <v>6.7770091916933073E-5</v>
      </c>
      <c r="J288" s="133">
        <v>6.7770091916933073E-5</v>
      </c>
      <c r="K288" s="133">
        <v>4.4488301012972569E-5</v>
      </c>
      <c r="L288" s="133">
        <v>1.3433315509209416E-4</v>
      </c>
      <c r="M288" s="45">
        <v>35.732572010513813</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1.3034419903540668</v>
      </c>
      <c r="G290" s="133">
        <v>1.0125148457194135</v>
      </c>
      <c r="H290" s="133">
        <v>1.3061357412958823</v>
      </c>
      <c r="I290" s="133">
        <v>0.36657689688459799</v>
      </c>
      <c r="J290" s="133">
        <v>0.36657689688459799</v>
      </c>
      <c r="K290" s="133">
        <v>2.6774111009386033E-2</v>
      </c>
      <c r="L290" s="133">
        <v>3.6437265290465635</v>
      </c>
      <c r="M290" s="45">
        <v>18566.926042811454</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3.0165982481178404E-2</v>
      </c>
      <c r="G292" s="133">
        <v>1.9200593907751407E-2</v>
      </c>
      <c r="H292" s="133">
        <v>2.9183215322045174E-2</v>
      </c>
      <c r="I292" s="133">
        <v>9.7319157659150196E-3</v>
      </c>
      <c r="J292" s="133">
        <v>9.7319157659150196E-3</v>
      </c>
      <c r="K292" s="133">
        <v>5.4324052880876073E-4</v>
      </c>
      <c r="L292" s="133">
        <v>0.10436803998589812</v>
      </c>
      <c r="M292" s="45">
        <v>368.83846698826</v>
      </c>
    </row>
    <row r="293" spans="1:13" x14ac:dyDescent="0.25">
      <c r="A293" s="812" t="s">
        <v>1996</v>
      </c>
      <c r="B293" s="812">
        <v>16</v>
      </c>
      <c r="C293" s="608">
        <v>39485</v>
      </c>
      <c r="D293" s="812">
        <v>99705</v>
      </c>
      <c r="E293" s="812" t="s">
        <v>1599</v>
      </c>
      <c r="F293" s="133">
        <v>5.0942676186608509</v>
      </c>
      <c r="G293" s="133">
        <v>0.98987302583961634</v>
      </c>
      <c r="H293" s="133">
        <v>1.6624673950112518</v>
      </c>
      <c r="I293" s="133">
        <v>1.5180960195229323</v>
      </c>
      <c r="J293" s="133">
        <v>1.5180960195229323</v>
      </c>
      <c r="K293" s="133">
        <v>6.7117815004260672E-2</v>
      </c>
      <c r="L293" s="133">
        <v>16.535616357115199</v>
      </c>
      <c r="M293" s="45">
        <v>20142.250243850289</v>
      </c>
    </row>
    <row r="294" spans="1:13" x14ac:dyDescent="0.25">
      <c r="A294" s="812" t="s">
        <v>1996</v>
      </c>
      <c r="B294" s="812">
        <v>16</v>
      </c>
      <c r="C294" s="608">
        <v>39485</v>
      </c>
      <c r="D294" s="812">
        <v>99709</v>
      </c>
      <c r="E294" s="812" t="s">
        <v>1600</v>
      </c>
      <c r="F294" s="133">
        <v>4.6151055603615214</v>
      </c>
      <c r="G294" s="133">
        <v>1.1275668758734556</v>
      </c>
      <c r="H294" s="133">
        <v>1.8603819079991066</v>
      </c>
      <c r="I294" s="133">
        <v>1.2065985182675474</v>
      </c>
      <c r="J294" s="133">
        <v>1.2065985182675474</v>
      </c>
      <c r="K294" s="133">
        <v>5.7283705853022678E-2</v>
      </c>
      <c r="L294" s="133">
        <v>12.428584968542214</v>
      </c>
      <c r="M294" s="45">
        <v>22841.04503221155</v>
      </c>
    </row>
    <row r="295" spans="1:13" x14ac:dyDescent="0.25">
      <c r="A295" s="812" t="s">
        <v>1996</v>
      </c>
      <c r="B295" s="812">
        <v>16</v>
      </c>
      <c r="C295" s="608">
        <v>39485</v>
      </c>
      <c r="D295" s="812">
        <v>99712</v>
      </c>
      <c r="E295" s="812" t="s">
        <v>1601</v>
      </c>
      <c r="F295" s="133">
        <v>2.4665095644426782</v>
      </c>
      <c r="G295" s="133">
        <v>0.38868738087295901</v>
      </c>
      <c r="H295" s="133">
        <v>0.69305776134071451</v>
      </c>
      <c r="I295" s="133">
        <v>0.64693246647574865</v>
      </c>
      <c r="J295" s="133">
        <v>0.64693246647574865</v>
      </c>
      <c r="K295" s="133">
        <v>2.9690336063850593E-2</v>
      </c>
      <c r="L295" s="133">
        <v>6.7348144007373421</v>
      </c>
      <c r="M295" s="45">
        <v>8030.2929146247952</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9.3343728004060753E-5</v>
      </c>
      <c r="G307" s="133">
        <v>2.2754964454754214E-3</v>
      </c>
      <c r="H307" s="133">
        <v>1.4622867484420118E-3</v>
      </c>
      <c r="I307" s="133">
        <v>6.827914185460055E-5</v>
      </c>
      <c r="J307" s="133">
        <v>6.827914185460055E-5</v>
      </c>
      <c r="K307" s="133">
        <v>4.4515611542128416E-5</v>
      </c>
      <c r="L307" s="133">
        <v>1.3483244823928967E-4</v>
      </c>
      <c r="M307" s="45">
        <v>36.041393141553492</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1.268223802893701</v>
      </c>
      <c r="G309" s="133">
        <v>0.98740113648107553</v>
      </c>
      <c r="H309" s="133">
        <v>1.2746693442704509</v>
      </c>
      <c r="I309" s="133">
        <v>0.35720211117739609</v>
      </c>
      <c r="J309" s="133">
        <v>0.35720211117739609</v>
      </c>
      <c r="K309" s="133">
        <v>2.6362588856771094E-2</v>
      </c>
      <c r="L309" s="133">
        <v>3.5513698857222238</v>
      </c>
      <c r="M309" s="45">
        <v>18123.063906387419</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2.9478557551967557E-2</v>
      </c>
      <c r="G311" s="133">
        <v>1.8770162669147009E-2</v>
      </c>
      <c r="H311" s="133">
        <v>2.8576041001061241E-2</v>
      </c>
      <c r="I311" s="133">
        <v>9.5177584200077346E-3</v>
      </c>
      <c r="J311" s="133">
        <v>9.5177584200077346E-3</v>
      </c>
      <c r="K311" s="133">
        <v>5.3423244472515085E-4</v>
      </c>
      <c r="L311" s="133">
        <v>0.10207107618491774</v>
      </c>
      <c r="M311" s="45">
        <v>360.97641400096177</v>
      </c>
    </row>
    <row r="312" spans="1:13" x14ac:dyDescent="0.25">
      <c r="A312" s="812" t="s">
        <v>1996</v>
      </c>
      <c r="B312" s="812">
        <v>17</v>
      </c>
      <c r="C312" s="608">
        <v>39486</v>
      </c>
      <c r="D312" s="812">
        <v>99705</v>
      </c>
      <c r="E312" s="812" t="s">
        <v>1599</v>
      </c>
      <c r="F312" s="133">
        <v>4.9610545725892674</v>
      </c>
      <c r="G312" s="133">
        <v>0.96587446088670559</v>
      </c>
      <c r="H312" s="133">
        <v>1.6226927896230485</v>
      </c>
      <c r="I312" s="133">
        <v>1.4795421619867921</v>
      </c>
      <c r="J312" s="133">
        <v>1.4795421619867921</v>
      </c>
      <c r="K312" s="133">
        <v>6.542793715810602E-2</v>
      </c>
      <c r="L312" s="133">
        <v>16.110481826672931</v>
      </c>
      <c r="M312" s="45">
        <v>19662.231128978518</v>
      </c>
    </row>
    <row r="313" spans="1:13" x14ac:dyDescent="0.25">
      <c r="A313" s="812" t="s">
        <v>1996</v>
      </c>
      <c r="B313" s="812">
        <v>17</v>
      </c>
      <c r="C313" s="608">
        <v>39486</v>
      </c>
      <c r="D313" s="812">
        <v>99709</v>
      </c>
      <c r="E313" s="812" t="s">
        <v>1600</v>
      </c>
      <c r="F313" s="133">
        <v>4.4605992339824914</v>
      </c>
      <c r="G313" s="133">
        <v>1.0972408905883833</v>
      </c>
      <c r="H313" s="133">
        <v>1.8103265041495036</v>
      </c>
      <c r="I313" s="133">
        <v>1.1693286428809915</v>
      </c>
      <c r="J313" s="133">
        <v>1.1693286428809915</v>
      </c>
      <c r="K313" s="133">
        <v>5.5653842492344605E-2</v>
      </c>
      <c r="L313" s="133">
        <v>12.053033965588616</v>
      </c>
      <c r="M313" s="45">
        <v>22234.553768819227</v>
      </c>
    </row>
    <row r="314" spans="1:13" x14ac:dyDescent="0.25">
      <c r="A314" s="812" t="s">
        <v>1996</v>
      </c>
      <c r="B314" s="812">
        <v>17</v>
      </c>
      <c r="C314" s="608">
        <v>39486</v>
      </c>
      <c r="D314" s="812">
        <v>99712</v>
      </c>
      <c r="E314" s="812" t="s">
        <v>1601</v>
      </c>
      <c r="F314" s="133">
        <v>2.3949093458920481</v>
      </c>
      <c r="G314" s="133">
        <v>0.37963883616613475</v>
      </c>
      <c r="H314" s="133">
        <v>0.67712639430705079</v>
      </c>
      <c r="I314" s="133">
        <v>0.62995443556172559</v>
      </c>
      <c r="J314" s="133">
        <v>0.62995443556172559</v>
      </c>
      <c r="K314" s="133">
        <v>2.8900532882415578E-2</v>
      </c>
      <c r="L314" s="133">
        <v>6.5628829186646671</v>
      </c>
      <c r="M314" s="45">
        <v>7846.5431728020176</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9.0959004540905976E-5</v>
      </c>
      <c r="G326" s="133">
        <v>2.2152930480886244E-3</v>
      </c>
      <c r="H326" s="133">
        <v>1.4197323114624725E-3</v>
      </c>
      <c r="I326" s="133">
        <v>6.6751992041598065E-5</v>
      </c>
      <c r="J326" s="133">
        <v>6.6751992041598065E-5</v>
      </c>
      <c r="K326" s="133">
        <v>4.4433679954660833E-5</v>
      </c>
      <c r="L326" s="133">
        <v>1.3333456879770306E-4</v>
      </c>
      <c r="M326" s="45">
        <v>35.114929748434442</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1.0807225116664156</v>
      </c>
      <c r="G328" s="133">
        <v>0.91228324508750702</v>
      </c>
      <c r="H328" s="133">
        <v>1.1556594553316768</v>
      </c>
      <c r="I328" s="133">
        <v>0.31291584967952146</v>
      </c>
      <c r="J328" s="133">
        <v>0.31291584967952146</v>
      </c>
      <c r="K328" s="133">
        <v>2.4359678951941882E-2</v>
      </c>
      <c r="L328" s="133">
        <v>3.1283908671939424</v>
      </c>
      <c r="M328" s="45">
        <v>16673.405509645225</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2.5405060177646425E-2</v>
      </c>
      <c r="G330" s="133">
        <v>1.7138855002906066E-2</v>
      </c>
      <c r="H330" s="133">
        <v>2.567037671375319E-2</v>
      </c>
      <c r="I330" s="133">
        <v>8.3694416755403928E-3</v>
      </c>
      <c r="J330" s="133">
        <v>8.3694416755403928E-3</v>
      </c>
      <c r="K330" s="133">
        <v>4.8582945352440907E-4</v>
      </c>
      <c r="L330" s="133">
        <v>9.0095093907185161E-2</v>
      </c>
      <c r="M330" s="45">
        <v>328.04004651994205</v>
      </c>
    </row>
    <row r="331" spans="1:13" x14ac:dyDescent="0.25">
      <c r="A331" s="812" t="s">
        <v>1996</v>
      </c>
      <c r="B331" s="812">
        <v>18</v>
      </c>
      <c r="C331" s="608">
        <v>39487</v>
      </c>
      <c r="D331" s="812">
        <v>99705</v>
      </c>
      <c r="E331" s="812" t="s">
        <v>1599</v>
      </c>
      <c r="F331" s="133">
        <v>4.0717238407742498</v>
      </c>
      <c r="G331" s="133">
        <v>0.83197450368426107</v>
      </c>
      <c r="H331" s="133">
        <v>1.3858300184470096</v>
      </c>
      <c r="I331" s="133">
        <v>1.2367061070584666</v>
      </c>
      <c r="J331" s="133">
        <v>1.2367061070584666</v>
      </c>
      <c r="K331" s="133">
        <v>5.4857950907623569E-2</v>
      </c>
      <c r="L331" s="133">
        <v>13.528792925395001</v>
      </c>
      <c r="M331" s="45">
        <v>16906.67660191613</v>
      </c>
    </row>
    <row r="332" spans="1:13" x14ac:dyDescent="0.25">
      <c r="A332" s="812" t="s">
        <v>1996</v>
      </c>
      <c r="B332" s="812">
        <v>18</v>
      </c>
      <c r="C332" s="608">
        <v>39487</v>
      </c>
      <c r="D332" s="812">
        <v>99709</v>
      </c>
      <c r="E332" s="812" t="s">
        <v>1600</v>
      </c>
      <c r="F332" s="133">
        <v>3.6094662513423916</v>
      </c>
      <c r="G332" s="133">
        <v>0.97165026828135315</v>
      </c>
      <c r="H332" s="133">
        <v>1.5830725317177743</v>
      </c>
      <c r="I332" s="133">
        <v>0.97397806302732137</v>
      </c>
      <c r="J332" s="133">
        <v>0.97397806302732137</v>
      </c>
      <c r="K332" s="133">
        <v>4.6987771556370954E-2</v>
      </c>
      <c r="L332" s="133">
        <v>10.138204925338593</v>
      </c>
      <c r="M332" s="45">
        <v>19625.880032766465</v>
      </c>
    </row>
    <row r="333" spans="1:13" x14ac:dyDescent="0.25">
      <c r="A333" s="812" t="s">
        <v>1996</v>
      </c>
      <c r="B333" s="812">
        <v>18</v>
      </c>
      <c r="C333" s="608">
        <v>39487</v>
      </c>
      <c r="D333" s="812">
        <v>99712</v>
      </c>
      <c r="E333" s="812" t="s">
        <v>1601</v>
      </c>
      <c r="F333" s="133">
        <v>1.8618592429838918</v>
      </c>
      <c r="G333" s="133">
        <v>0.31887295578034403</v>
      </c>
      <c r="H333" s="133">
        <v>0.56628334484459697</v>
      </c>
      <c r="I333" s="133">
        <v>0.5056062383723352</v>
      </c>
      <c r="J333" s="133">
        <v>0.5056062383723352</v>
      </c>
      <c r="K333" s="133">
        <v>2.3163349331665133E-2</v>
      </c>
      <c r="L333" s="133">
        <v>5.325285229497088</v>
      </c>
      <c r="M333" s="45">
        <v>6592.5439097399194</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8.618955761459634E-5</v>
      </c>
      <c r="G345" s="133">
        <v>2.0948862533150293E-3</v>
      </c>
      <c r="H345" s="133">
        <v>1.3346234375033947E-3</v>
      </c>
      <c r="I345" s="133">
        <v>6.3697692415593066E-5</v>
      </c>
      <c r="J345" s="133">
        <v>6.3697692415593066E-5</v>
      </c>
      <c r="K345" s="133">
        <v>4.4269816779725661E-5</v>
      </c>
      <c r="L345" s="133">
        <v>1.3033880991452984E-4</v>
      </c>
      <c r="M345" s="45">
        <v>33.262002962196341</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1.1468770437696258</v>
      </c>
      <c r="G347" s="133">
        <v>0.93437215039057231</v>
      </c>
      <c r="H347" s="133">
        <v>1.1966906856868431</v>
      </c>
      <c r="I347" s="133">
        <v>0.32956567080943039</v>
      </c>
      <c r="J347" s="133">
        <v>0.32956567080943039</v>
      </c>
      <c r="K347" s="133">
        <v>2.5099148465214702E-2</v>
      </c>
      <c r="L347" s="133">
        <v>3.2961825859465876</v>
      </c>
      <c r="M347" s="45">
        <v>17130.394358277637</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2.705173236630519E-2</v>
      </c>
      <c r="G349" s="133">
        <v>1.7726763460553498E-2</v>
      </c>
      <c r="H349" s="133">
        <v>2.6828327368786049E-2</v>
      </c>
      <c r="I349" s="133">
        <v>8.8719617610618293E-3</v>
      </c>
      <c r="J349" s="133">
        <v>8.8719617610618293E-3</v>
      </c>
      <c r="K349" s="133">
        <v>5.0664838391150052E-4</v>
      </c>
      <c r="L349" s="133">
        <v>9.561545440581172E-2</v>
      </c>
      <c r="M349" s="45">
        <v>340.52110994437282</v>
      </c>
    </row>
    <row r="350" spans="1:13" x14ac:dyDescent="0.25">
      <c r="A350" s="812" t="s">
        <v>1996</v>
      </c>
      <c r="B350" s="812">
        <v>19</v>
      </c>
      <c r="C350" s="608">
        <v>39488</v>
      </c>
      <c r="D350" s="812">
        <v>99705</v>
      </c>
      <c r="E350" s="812" t="s">
        <v>1599</v>
      </c>
      <c r="F350" s="133">
        <v>4.3961990463072755</v>
      </c>
      <c r="G350" s="133">
        <v>0.88185225626159014</v>
      </c>
      <c r="H350" s="133">
        <v>1.4749081589284738</v>
      </c>
      <c r="I350" s="133">
        <v>1.3293207176724979</v>
      </c>
      <c r="J350" s="133">
        <v>1.3293207176724979</v>
      </c>
      <c r="K350" s="133">
        <v>5.8876152694808323E-2</v>
      </c>
      <c r="L350" s="133">
        <v>14.545951188484119</v>
      </c>
      <c r="M350" s="45">
        <v>17939.042985666292</v>
      </c>
    </row>
    <row r="351" spans="1:13" x14ac:dyDescent="0.25">
      <c r="A351" s="812" t="s">
        <v>1996</v>
      </c>
      <c r="B351" s="812">
        <v>19</v>
      </c>
      <c r="C351" s="608">
        <v>39488</v>
      </c>
      <c r="D351" s="812">
        <v>99709</v>
      </c>
      <c r="E351" s="812" t="s">
        <v>1600</v>
      </c>
      <c r="F351" s="133">
        <v>3.9339614776884115</v>
      </c>
      <c r="G351" s="133">
        <v>1.0190549286018633</v>
      </c>
      <c r="H351" s="133">
        <v>1.6719318472296496</v>
      </c>
      <c r="I351" s="133">
        <v>1.0528362777446301</v>
      </c>
      <c r="J351" s="133">
        <v>1.0528362777446301</v>
      </c>
      <c r="K351" s="133">
        <v>5.0432485767167655E-2</v>
      </c>
      <c r="L351" s="133">
        <v>10.94228104959215</v>
      </c>
      <c r="M351" s="45">
        <v>20628.936157279444</v>
      </c>
    </row>
    <row r="352" spans="1:13" x14ac:dyDescent="0.25">
      <c r="A352" s="812" t="s">
        <v>1996</v>
      </c>
      <c r="B352" s="812">
        <v>19</v>
      </c>
      <c r="C352" s="608">
        <v>39488</v>
      </c>
      <c r="D352" s="812">
        <v>99712</v>
      </c>
      <c r="E352" s="812" t="s">
        <v>1601</v>
      </c>
      <c r="F352" s="133">
        <v>2.0544987439657567</v>
      </c>
      <c r="G352" s="133">
        <v>0.34141380642143376</v>
      </c>
      <c r="H352" s="133">
        <v>0.60774247604749632</v>
      </c>
      <c r="I352" s="133">
        <v>0.55167840681530833</v>
      </c>
      <c r="J352" s="133">
        <v>0.55167840681530833</v>
      </c>
      <c r="K352" s="133">
        <v>2.5301604148691391E-2</v>
      </c>
      <c r="L352" s="133">
        <v>5.7947723428436646</v>
      </c>
      <c r="M352" s="45">
        <v>7058.5321578766807</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8.6984465435647928E-5</v>
      </c>
      <c r="G364" s="133">
        <v>2.1149540524439611E-3</v>
      </c>
      <c r="H364" s="133">
        <v>1.3488082498299076E-3</v>
      </c>
      <c r="I364" s="133">
        <v>6.4206742353260571E-5</v>
      </c>
      <c r="J364" s="133">
        <v>6.4206742353260571E-5</v>
      </c>
      <c r="K364" s="133">
        <v>4.4297127308881522E-5</v>
      </c>
      <c r="L364" s="133">
        <v>1.3083810306172537E-4</v>
      </c>
      <c r="M364" s="45">
        <v>33.57082409323602</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0.77750078957692614</v>
      </c>
      <c r="G366" s="133">
        <v>0.71623284157628309</v>
      </c>
      <c r="H366" s="133">
        <v>0.86424859430512235</v>
      </c>
      <c r="I366" s="133">
        <v>0.23402703340069633</v>
      </c>
      <c r="J366" s="133">
        <v>0.23402703340069633</v>
      </c>
      <c r="K366" s="133">
        <v>2.9672688119825673E-2</v>
      </c>
      <c r="L366" s="133">
        <v>2.3386087409552418</v>
      </c>
      <c r="M366" s="45">
        <v>13371.991477368247</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1.8879533037588745E-2</v>
      </c>
      <c r="G368" s="133">
        <v>1.3369740841411581E-2</v>
      </c>
      <c r="H368" s="133">
        <v>1.9489145392172159E-2</v>
      </c>
      <c r="I368" s="133">
        <v>6.3492125378944121E-3</v>
      </c>
      <c r="J368" s="133">
        <v>6.3492125378944121E-3</v>
      </c>
      <c r="K368" s="133">
        <v>5.1429622560735704E-4</v>
      </c>
      <c r="L368" s="133">
        <v>6.8196620383079248E-2</v>
      </c>
      <c r="M368" s="45">
        <v>259.89442360532996</v>
      </c>
    </row>
    <row r="369" spans="1:13" x14ac:dyDescent="0.25">
      <c r="A369" s="812" t="s">
        <v>1999</v>
      </c>
      <c r="B369" s="812">
        <v>1</v>
      </c>
      <c r="C369" s="608">
        <v>39754</v>
      </c>
      <c r="D369" s="812">
        <v>99705</v>
      </c>
      <c r="E369" s="812" t="s">
        <v>1599</v>
      </c>
      <c r="F369" s="133">
        <v>3.2408878370841019</v>
      </c>
      <c r="G369" s="133">
        <v>0.6764396480544741</v>
      </c>
      <c r="H369" s="133">
        <v>1.122850414327589</v>
      </c>
      <c r="I369" s="133">
        <v>0.99495097881795302</v>
      </c>
      <c r="J369" s="133">
        <v>0.99495097881795302</v>
      </c>
      <c r="K369" s="133">
        <v>4.6242699985748002E-2</v>
      </c>
      <c r="L369" s="133">
        <v>10.853811338616612</v>
      </c>
      <c r="M369" s="45">
        <v>13831.010495637865</v>
      </c>
    </row>
    <row r="370" spans="1:13" x14ac:dyDescent="0.25">
      <c r="A370" s="812" t="s">
        <v>1999</v>
      </c>
      <c r="B370" s="812">
        <v>1</v>
      </c>
      <c r="C370" s="608">
        <v>39754</v>
      </c>
      <c r="D370" s="812">
        <v>99709</v>
      </c>
      <c r="E370" s="812" t="s">
        <v>1600</v>
      </c>
      <c r="F370" s="133">
        <v>2.6518647660418684</v>
      </c>
      <c r="G370" s="133">
        <v>0.76688695368944437</v>
      </c>
      <c r="H370" s="133">
        <v>1.2323386268956686</v>
      </c>
      <c r="I370" s="133">
        <v>0.73682538348335858</v>
      </c>
      <c r="J370" s="133">
        <v>0.73682538348335858</v>
      </c>
      <c r="K370" s="133">
        <v>4.1125041128986912E-2</v>
      </c>
      <c r="L370" s="133">
        <v>7.7106219655303025</v>
      </c>
      <c r="M370" s="45">
        <v>15650.532545750191</v>
      </c>
    </row>
    <row r="371" spans="1:13" x14ac:dyDescent="0.25">
      <c r="A371" s="812" t="s">
        <v>1999</v>
      </c>
      <c r="B371" s="812">
        <v>1</v>
      </c>
      <c r="C371" s="608">
        <v>39754</v>
      </c>
      <c r="D371" s="812">
        <v>99712</v>
      </c>
      <c r="E371" s="812" t="s">
        <v>1601</v>
      </c>
      <c r="F371" s="133">
        <v>1.4847204859010228</v>
      </c>
      <c r="G371" s="133">
        <v>0.26572441173155875</v>
      </c>
      <c r="H371" s="133">
        <v>0.47279583937019465</v>
      </c>
      <c r="I371" s="133">
        <v>0.41149034361935072</v>
      </c>
      <c r="J371" s="133">
        <v>0.41149034361935072</v>
      </c>
      <c r="K371" s="133">
        <v>1.9280017984927796E-2</v>
      </c>
      <c r="L371" s="133">
        <v>4.3461394242660152</v>
      </c>
      <c r="M371" s="45">
        <v>5522.7967502522888</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7.2036479883539115E-5</v>
      </c>
      <c r="G383" s="133">
        <v>1.6691096776377979E-3</v>
      </c>
      <c r="H383" s="133">
        <v>9.1013661209714898E-4</v>
      </c>
      <c r="I383" s="133">
        <v>6.1821756548064691E-5</v>
      </c>
      <c r="J383" s="133">
        <v>6.1821756548064691E-5</v>
      </c>
      <c r="K383" s="133">
        <v>7.8701980543198534E-5</v>
      </c>
      <c r="L383" s="133">
        <v>1.8586297477496118E-4</v>
      </c>
      <c r="M383" s="45">
        <v>27.575394214277924</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0.73142971080869446</v>
      </c>
      <c r="G385" s="133">
        <v>0.66711451899137364</v>
      </c>
      <c r="H385" s="133">
        <v>0.80458745991366531</v>
      </c>
      <c r="I385" s="133">
        <v>0.21739794151139688</v>
      </c>
      <c r="J385" s="133">
        <v>0.21739794151139688</v>
      </c>
      <c r="K385" s="133">
        <v>2.8995265903092898E-2</v>
      </c>
      <c r="L385" s="133">
        <v>2.1531167774960576</v>
      </c>
      <c r="M385" s="45">
        <v>12511.102732909014</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1.7620086755127863E-2</v>
      </c>
      <c r="G387" s="133">
        <v>1.2424092649643056E-2</v>
      </c>
      <c r="H387" s="133">
        <v>1.8117107988056685E-2</v>
      </c>
      <c r="I387" s="133">
        <v>5.8460266300468539E-3</v>
      </c>
      <c r="J387" s="133">
        <v>5.8460266300468539E-3</v>
      </c>
      <c r="K387" s="133">
        <v>4.9450250457775085E-4</v>
      </c>
      <c r="L387" s="133">
        <v>6.2204310171674444E-2</v>
      </c>
      <c r="M387" s="45">
        <v>242.34077485737814</v>
      </c>
    </row>
    <row r="388" spans="1:13" x14ac:dyDescent="0.25">
      <c r="A388" s="812" t="s">
        <v>1999</v>
      </c>
      <c r="B388" s="812">
        <v>2</v>
      </c>
      <c r="C388" s="608">
        <v>39755</v>
      </c>
      <c r="D388" s="812">
        <v>99705</v>
      </c>
      <c r="E388" s="812" t="s">
        <v>1599</v>
      </c>
      <c r="F388" s="133">
        <v>3.1039305789509353</v>
      </c>
      <c r="G388" s="133">
        <v>0.63592311000591628</v>
      </c>
      <c r="H388" s="133">
        <v>1.0591500828867644</v>
      </c>
      <c r="I388" s="133">
        <v>0.9370174569495312</v>
      </c>
      <c r="J388" s="133">
        <v>0.9370174569495312</v>
      </c>
      <c r="K388" s="133">
        <v>4.3785617397601749E-2</v>
      </c>
      <c r="L388" s="133">
        <v>10.100518223391619</v>
      </c>
      <c r="M388" s="45">
        <v>13033.44231148958</v>
      </c>
    </row>
    <row r="389" spans="1:13" x14ac:dyDescent="0.25">
      <c r="A389" s="812" t="s">
        <v>1999</v>
      </c>
      <c r="B389" s="812">
        <v>2</v>
      </c>
      <c r="C389" s="608">
        <v>39755</v>
      </c>
      <c r="D389" s="812">
        <v>99709</v>
      </c>
      <c r="E389" s="812" t="s">
        <v>1600</v>
      </c>
      <c r="F389" s="133">
        <v>2.6333271745328748</v>
      </c>
      <c r="G389" s="133">
        <v>0.73274499525282188</v>
      </c>
      <c r="H389" s="133">
        <v>1.1859505264970658</v>
      </c>
      <c r="I389" s="133">
        <v>0.71632730839321679</v>
      </c>
      <c r="J389" s="133">
        <v>0.71632730839321679</v>
      </c>
      <c r="K389" s="133">
        <v>4.0408115455356927E-2</v>
      </c>
      <c r="L389" s="133">
        <v>7.4117518162559746</v>
      </c>
      <c r="M389" s="45">
        <v>15012.237049674428</v>
      </c>
    </row>
    <row r="390" spans="1:13" x14ac:dyDescent="0.25">
      <c r="A390" s="812" t="s">
        <v>1999</v>
      </c>
      <c r="B390" s="812">
        <v>2</v>
      </c>
      <c r="C390" s="608">
        <v>39755</v>
      </c>
      <c r="D390" s="812">
        <v>99712</v>
      </c>
      <c r="E390" s="812" t="s">
        <v>1601</v>
      </c>
      <c r="F390" s="133">
        <v>1.4969117487012122</v>
      </c>
      <c r="G390" s="133">
        <v>0.25875873328750681</v>
      </c>
      <c r="H390" s="133">
        <v>0.46210794592654375</v>
      </c>
      <c r="I390" s="133">
        <v>0.4061043264071898</v>
      </c>
      <c r="J390" s="133">
        <v>0.4061043264071898</v>
      </c>
      <c r="K390" s="133">
        <v>1.9093390894972105E-2</v>
      </c>
      <c r="L390" s="133">
        <v>4.2363461443146297</v>
      </c>
      <c r="M390" s="45">
        <v>5386.3433032502498</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6.7267032957229453E-5</v>
      </c>
      <c r="G402" s="133">
        <v>1.5487028828642024E-3</v>
      </c>
      <c r="H402" s="133">
        <v>8.2502773813807062E-4</v>
      </c>
      <c r="I402" s="133">
        <v>5.8767456922059706E-5</v>
      </c>
      <c r="J402" s="133">
        <v>5.8767456922059706E-5</v>
      </c>
      <c r="K402" s="133">
        <v>7.8538117368263341E-5</v>
      </c>
      <c r="L402" s="133">
        <v>1.828672158917879E-4</v>
      </c>
      <c r="M402" s="45">
        <v>25.722467428039824</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0.68588455475466292</v>
      </c>
      <c r="G404" s="133">
        <v>0.66060043967448756</v>
      </c>
      <c r="H404" s="133">
        <v>0.78208930245763986</v>
      </c>
      <c r="I404" s="133">
        <v>0.20585827428253217</v>
      </c>
      <c r="J404" s="133">
        <v>0.20585827428253217</v>
      </c>
      <c r="K404" s="133">
        <v>2.8489065441408279E-2</v>
      </c>
      <c r="L404" s="133">
        <v>2.0332786405429433</v>
      </c>
      <c r="M404" s="45">
        <v>12324.196381237018</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1.6634511165103439E-2</v>
      </c>
      <c r="G406" s="133">
        <v>1.2187364543848226E-2</v>
      </c>
      <c r="H406" s="133">
        <v>1.7502409706933172E-2</v>
      </c>
      <c r="I406" s="133">
        <v>5.5478691508035645E-3</v>
      </c>
      <c r="J406" s="133">
        <v>5.5478691508035645E-3</v>
      </c>
      <c r="K406" s="133">
        <v>4.8225117743799507E-4</v>
      </c>
      <c r="L406" s="133">
        <v>5.8893952075012204E-2</v>
      </c>
      <c r="M406" s="45">
        <v>236.53118300561906</v>
      </c>
    </row>
    <row r="407" spans="1:13" x14ac:dyDescent="0.25">
      <c r="A407" s="812" t="s">
        <v>1999</v>
      </c>
      <c r="B407" s="812">
        <v>3</v>
      </c>
      <c r="C407" s="608">
        <v>39756</v>
      </c>
      <c r="D407" s="812">
        <v>99705</v>
      </c>
      <c r="E407" s="812" t="s">
        <v>1599</v>
      </c>
      <c r="F407" s="133">
        <v>2.8890366147056072</v>
      </c>
      <c r="G407" s="133">
        <v>0.60381767919751772</v>
      </c>
      <c r="H407" s="133">
        <v>0.99981587399966754</v>
      </c>
      <c r="I407" s="133">
        <v>0.8744135851291398</v>
      </c>
      <c r="J407" s="133">
        <v>0.8744135851291398</v>
      </c>
      <c r="K407" s="133">
        <v>4.1073529402278097E-2</v>
      </c>
      <c r="L407" s="133">
        <v>9.4065944834981643</v>
      </c>
      <c r="M407" s="45">
        <v>12360.396505514698</v>
      </c>
    </row>
    <row r="408" spans="1:13" x14ac:dyDescent="0.25">
      <c r="A408" s="812" t="s">
        <v>1999</v>
      </c>
      <c r="B408" s="812">
        <v>3</v>
      </c>
      <c r="C408" s="608">
        <v>39756</v>
      </c>
      <c r="D408" s="812">
        <v>99709</v>
      </c>
      <c r="E408" s="812" t="s">
        <v>1600</v>
      </c>
      <c r="F408" s="133">
        <v>2.5131767728576913</v>
      </c>
      <c r="G408" s="133">
        <v>0.71673695290381723</v>
      </c>
      <c r="H408" s="133">
        <v>1.1502165348898072</v>
      </c>
      <c r="I408" s="133">
        <v>0.68714066171916011</v>
      </c>
      <c r="J408" s="133">
        <v>0.68714066171916011</v>
      </c>
      <c r="K408" s="133">
        <v>3.9132238661994882E-2</v>
      </c>
      <c r="L408" s="133">
        <v>7.1140765995986683</v>
      </c>
      <c r="M408" s="45">
        <v>14646.515933764458</v>
      </c>
    </row>
    <row r="409" spans="1:13" x14ac:dyDescent="0.25">
      <c r="A409" s="812" t="s">
        <v>1999</v>
      </c>
      <c r="B409" s="812">
        <v>3</v>
      </c>
      <c r="C409" s="608">
        <v>39756</v>
      </c>
      <c r="D409" s="812">
        <v>99712</v>
      </c>
      <c r="E409" s="812" t="s">
        <v>1601</v>
      </c>
      <c r="F409" s="133">
        <v>1.4375754024770269</v>
      </c>
      <c r="G409" s="133">
        <v>0.25195601269119577</v>
      </c>
      <c r="H409" s="133">
        <v>0.44910018560845971</v>
      </c>
      <c r="I409" s="133">
        <v>0.39183565350809851</v>
      </c>
      <c r="J409" s="133">
        <v>0.39183565350809851</v>
      </c>
      <c r="K409" s="133">
        <v>1.8435147667705282E-2</v>
      </c>
      <c r="L409" s="133">
        <v>4.0906107175832123</v>
      </c>
      <c r="M409" s="45">
        <v>5243.3908765909573</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6.8061940778281068E-5</v>
      </c>
      <c r="G421" s="133">
        <v>1.5687706819931346E-3</v>
      </c>
      <c r="H421" s="133">
        <v>8.3921255046458362E-4</v>
      </c>
      <c r="I421" s="133">
        <v>5.9276506859727176E-5</v>
      </c>
      <c r="J421" s="133">
        <v>5.9276506859727176E-5</v>
      </c>
      <c r="K421" s="133">
        <v>7.8565427897419216E-5</v>
      </c>
      <c r="L421" s="133">
        <v>1.8336650903898346E-4</v>
      </c>
      <c r="M421" s="45">
        <v>26.03128855907951</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0.75096006020794925</v>
      </c>
      <c r="G423" s="133">
        <v>0.71460698534393807</v>
      </c>
      <c r="H423" s="133">
        <v>0.84532101719792929</v>
      </c>
      <c r="I423" s="133">
        <v>0.22329415449207696</v>
      </c>
      <c r="J423" s="133">
        <v>0.22329415449207696</v>
      </c>
      <c r="K423" s="133">
        <v>2.9255177366609254E-2</v>
      </c>
      <c r="L423" s="133">
        <v>2.2029307901534296</v>
      </c>
      <c r="M423" s="45">
        <v>13256.24645667639</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1.8101851370112179E-2</v>
      </c>
      <c r="G425" s="133">
        <v>1.3170157802019118E-2</v>
      </c>
      <c r="H425" s="133">
        <v>1.8877584070547789E-2</v>
      </c>
      <c r="I425" s="133">
        <v>6.0102586220913013E-3</v>
      </c>
      <c r="J425" s="133">
        <v>6.0102586220913013E-3</v>
      </c>
      <c r="K425" s="133">
        <v>5.0138643023851109E-4</v>
      </c>
      <c r="L425" s="133">
        <v>6.3847862360850577E-2</v>
      </c>
      <c r="M425" s="45">
        <v>254.4277747619991</v>
      </c>
    </row>
    <row r="426" spans="1:13" x14ac:dyDescent="0.25">
      <c r="A426" s="812" t="s">
        <v>1999</v>
      </c>
      <c r="B426" s="812">
        <v>4</v>
      </c>
      <c r="C426" s="608">
        <v>39757</v>
      </c>
      <c r="D426" s="812">
        <v>99705</v>
      </c>
      <c r="E426" s="812" t="s">
        <v>1599</v>
      </c>
      <c r="F426" s="133">
        <v>3.1865692422365024</v>
      </c>
      <c r="G426" s="133">
        <v>0.65824766437941151</v>
      </c>
      <c r="H426" s="133">
        <v>1.0890595919521113</v>
      </c>
      <c r="I426" s="133">
        <v>0.96195750167430727</v>
      </c>
      <c r="J426" s="133">
        <v>0.96195750167430727</v>
      </c>
      <c r="K426" s="133">
        <v>4.4838936732764678E-2</v>
      </c>
      <c r="L426" s="133">
        <v>10.377133089226039</v>
      </c>
      <c r="M426" s="45">
        <v>13448.110167909506</v>
      </c>
    </row>
    <row r="427" spans="1:13" x14ac:dyDescent="0.25">
      <c r="A427" s="812" t="s">
        <v>1999</v>
      </c>
      <c r="B427" s="812">
        <v>4</v>
      </c>
      <c r="C427" s="608">
        <v>39757</v>
      </c>
      <c r="D427" s="812">
        <v>99709</v>
      </c>
      <c r="E427" s="812" t="s">
        <v>1600</v>
      </c>
      <c r="F427" s="133">
        <v>2.5255626809255793</v>
      </c>
      <c r="G427" s="133">
        <v>0.74188918850619145</v>
      </c>
      <c r="H427" s="133">
        <v>1.180052960930243</v>
      </c>
      <c r="I427" s="133">
        <v>0.68948299774504151</v>
      </c>
      <c r="J427" s="133">
        <v>0.68948299774504151</v>
      </c>
      <c r="K427" s="133">
        <v>3.9273618902643574E-2</v>
      </c>
      <c r="L427" s="133">
        <v>7.1254498031141225</v>
      </c>
      <c r="M427" s="45">
        <v>15084.866214839751</v>
      </c>
    </row>
    <row r="428" spans="1:13" x14ac:dyDescent="0.25">
      <c r="A428" s="812" t="s">
        <v>1999</v>
      </c>
      <c r="B428" s="812">
        <v>4</v>
      </c>
      <c r="C428" s="608">
        <v>39757</v>
      </c>
      <c r="D428" s="812">
        <v>99712</v>
      </c>
      <c r="E428" s="812" t="s">
        <v>1601</v>
      </c>
      <c r="F428" s="133">
        <v>1.3066004300231935</v>
      </c>
      <c r="G428" s="133">
        <v>0.23677175981762785</v>
      </c>
      <c r="H428" s="133">
        <v>0.41930078443862295</v>
      </c>
      <c r="I428" s="133">
        <v>0.35776568958740146</v>
      </c>
      <c r="J428" s="133">
        <v>0.35776568958740146</v>
      </c>
      <c r="K428" s="133">
        <v>1.6905123109517948E-2</v>
      </c>
      <c r="L428" s="133">
        <v>3.7285526404060092</v>
      </c>
      <c r="M428" s="45">
        <v>4919.1471739735998</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7.3626295525642318E-5</v>
      </c>
      <c r="G440" s="133">
        <v>1.7092452758956627E-3</v>
      </c>
      <c r="H440" s="133">
        <v>9.3850623675017521E-4</v>
      </c>
      <c r="I440" s="133">
        <v>6.2839856423399672E-5</v>
      </c>
      <c r="J440" s="133">
        <v>6.2839856423399672E-5</v>
      </c>
      <c r="K440" s="133">
        <v>7.8756601601510256E-5</v>
      </c>
      <c r="L440" s="133">
        <v>1.8686156106935225E-4</v>
      </c>
      <c r="M440" s="45">
        <v>28.193036476357292</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0.76802101371633502</v>
      </c>
      <c r="G442" s="133">
        <v>0.71931288213869438</v>
      </c>
      <c r="H442" s="133">
        <v>0.8556885497750476</v>
      </c>
      <c r="I442" s="133">
        <v>0.22786515307930083</v>
      </c>
      <c r="J442" s="133">
        <v>0.22786515307930083</v>
      </c>
      <c r="K442" s="133">
        <v>2.9451147062213426E-2</v>
      </c>
      <c r="L442" s="133">
        <v>2.2508134151311281</v>
      </c>
      <c r="M442" s="45">
        <v>13361.933682516006</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1.8706906495772949E-2</v>
      </c>
      <c r="G444" s="133">
        <v>1.3370001506642866E-2</v>
      </c>
      <c r="H444" s="133">
        <v>1.9309546035270526E-2</v>
      </c>
      <c r="I444" s="133">
        <v>6.1962935675456158E-3</v>
      </c>
      <c r="J444" s="133">
        <v>6.1962935675456158E-3</v>
      </c>
      <c r="K444" s="133">
        <v>5.089135190855012E-4</v>
      </c>
      <c r="L444" s="133">
        <v>6.5902250767667453E-2</v>
      </c>
      <c r="M444" s="45">
        <v>258.87613370293758</v>
      </c>
    </row>
    <row r="445" spans="1:13" x14ac:dyDescent="0.25">
      <c r="A445" s="812" t="s">
        <v>1999</v>
      </c>
      <c r="B445" s="812">
        <v>5</v>
      </c>
      <c r="C445" s="608">
        <v>39758</v>
      </c>
      <c r="D445" s="812">
        <v>99705</v>
      </c>
      <c r="E445" s="812" t="s">
        <v>1599</v>
      </c>
      <c r="F445" s="133">
        <v>3.2668790095170581</v>
      </c>
      <c r="G445" s="133">
        <v>0.67063684676527724</v>
      </c>
      <c r="H445" s="133">
        <v>1.1113101297306704</v>
      </c>
      <c r="I445" s="133">
        <v>0.98551042319284599</v>
      </c>
      <c r="J445" s="133">
        <v>0.98551042319284599</v>
      </c>
      <c r="K445" s="133">
        <v>4.5848047229547086E-2</v>
      </c>
      <c r="L445" s="133">
        <v>10.638636359227071</v>
      </c>
      <c r="M445" s="45">
        <v>13705.540108761557</v>
      </c>
    </row>
    <row r="446" spans="1:13" x14ac:dyDescent="0.25">
      <c r="A446" s="812" t="s">
        <v>1999</v>
      </c>
      <c r="B446" s="812">
        <v>5</v>
      </c>
      <c r="C446" s="608">
        <v>39758</v>
      </c>
      <c r="D446" s="812">
        <v>99709</v>
      </c>
      <c r="E446" s="812" t="s">
        <v>1600</v>
      </c>
      <c r="F446" s="133">
        <v>2.4753338178769901</v>
      </c>
      <c r="G446" s="133">
        <v>0.73659464568655464</v>
      </c>
      <c r="H446" s="133">
        <v>1.1702833816795872</v>
      </c>
      <c r="I446" s="133">
        <v>0.67811514599373424</v>
      </c>
      <c r="J446" s="133">
        <v>0.67811514599373424</v>
      </c>
      <c r="K446" s="133">
        <v>3.876512263819025E-2</v>
      </c>
      <c r="L446" s="133">
        <v>7.0131810039173237</v>
      </c>
      <c r="M446" s="45">
        <v>14973.545415212098</v>
      </c>
    </row>
    <row r="447" spans="1:13" x14ac:dyDescent="0.25">
      <c r="A447" s="812" t="s">
        <v>1999</v>
      </c>
      <c r="B447" s="812">
        <v>5</v>
      </c>
      <c r="C447" s="608">
        <v>39758</v>
      </c>
      <c r="D447" s="812">
        <v>99712</v>
      </c>
      <c r="E447" s="812" t="s">
        <v>1601</v>
      </c>
      <c r="F447" s="133">
        <v>1.2965159262988262</v>
      </c>
      <c r="G447" s="133">
        <v>0.23616071117013757</v>
      </c>
      <c r="H447" s="133">
        <v>0.4180896278398889</v>
      </c>
      <c r="I447" s="133">
        <v>0.35607516457302374</v>
      </c>
      <c r="J447" s="133">
        <v>0.35607516457302374</v>
      </c>
      <c r="K447" s="133">
        <v>1.6813422697454398E-2</v>
      </c>
      <c r="L447" s="133">
        <v>3.7150145794560121</v>
      </c>
      <c r="M447" s="45">
        <v>4906.7053012945771</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7.3626295525642304E-5</v>
      </c>
      <c r="G459" s="133">
        <v>1.7092452758956625E-3</v>
      </c>
      <c r="H459" s="133">
        <v>9.3850623675017478E-4</v>
      </c>
      <c r="I459" s="133">
        <v>6.2839856423399672E-5</v>
      </c>
      <c r="J459" s="133">
        <v>6.2839856423399672E-5</v>
      </c>
      <c r="K459" s="133">
        <v>7.8756601601510243E-5</v>
      </c>
      <c r="L459" s="133">
        <v>1.8686156106935219E-4</v>
      </c>
      <c r="M459" s="45">
        <v>28.193036476357292</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0.88302686739265268</v>
      </c>
      <c r="G461" s="133">
        <v>0.78595351370757127</v>
      </c>
      <c r="H461" s="133">
        <v>0.94698382982120932</v>
      </c>
      <c r="I461" s="133">
        <v>0.25782945756744835</v>
      </c>
      <c r="J461" s="133">
        <v>0.25782945756744835</v>
      </c>
      <c r="K461" s="133">
        <v>3.0772817699066281E-2</v>
      </c>
      <c r="L461" s="133">
        <v>2.547996939762657</v>
      </c>
      <c r="M461" s="45">
        <v>14578.253438970905</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2.0876898925897048E-2</v>
      </c>
      <c r="G463" s="133">
        <v>1.4574437612624121E-2</v>
      </c>
      <c r="H463" s="133">
        <v>2.1161429073809659E-2</v>
      </c>
      <c r="I463" s="133">
        <v>6.8727901020011559E-3</v>
      </c>
      <c r="J463" s="133">
        <v>6.8727901020011559E-3</v>
      </c>
      <c r="K463" s="133">
        <v>5.3685883002139523E-4</v>
      </c>
      <c r="L463" s="133">
        <v>7.3218210059136896E-2</v>
      </c>
      <c r="M463" s="45">
        <v>281.68956906162049</v>
      </c>
    </row>
    <row r="464" spans="1:13" x14ac:dyDescent="0.25">
      <c r="A464" s="812" t="s">
        <v>1999</v>
      </c>
      <c r="B464" s="812">
        <v>6</v>
      </c>
      <c r="C464" s="608">
        <v>39759</v>
      </c>
      <c r="D464" s="812">
        <v>99705</v>
      </c>
      <c r="E464" s="812" t="s">
        <v>1599</v>
      </c>
      <c r="F464" s="133">
        <v>3.5460470644633153</v>
      </c>
      <c r="G464" s="133">
        <v>0.72226437343806804</v>
      </c>
      <c r="H464" s="133">
        <v>1.1962357352127044</v>
      </c>
      <c r="I464" s="133">
        <v>1.06682416643995</v>
      </c>
      <c r="J464" s="133">
        <v>1.06682416643995</v>
      </c>
      <c r="K464" s="133">
        <v>4.940033184280266E-2</v>
      </c>
      <c r="L464" s="133">
        <v>11.537038124263045</v>
      </c>
      <c r="M464" s="45">
        <v>14734.412064920021</v>
      </c>
    </row>
    <row r="465" spans="1:13" x14ac:dyDescent="0.25">
      <c r="A465" s="812" t="s">
        <v>1999</v>
      </c>
      <c r="B465" s="812">
        <v>6</v>
      </c>
      <c r="C465" s="608">
        <v>39759</v>
      </c>
      <c r="D465" s="812">
        <v>99709</v>
      </c>
      <c r="E465" s="812" t="s">
        <v>1600</v>
      </c>
      <c r="F465" s="133">
        <v>3.0536937585907573</v>
      </c>
      <c r="G465" s="133">
        <v>0.83674832857765202</v>
      </c>
      <c r="H465" s="133">
        <v>1.342953955196835</v>
      </c>
      <c r="I465" s="133">
        <v>0.81923957603580988</v>
      </c>
      <c r="J465" s="133">
        <v>0.81923957603580988</v>
      </c>
      <c r="K465" s="133">
        <v>4.4923618670797361E-2</v>
      </c>
      <c r="L465" s="133">
        <v>8.4496337877327186</v>
      </c>
      <c r="M465" s="45">
        <v>17013.826505783862</v>
      </c>
    </row>
    <row r="466" spans="1:13" x14ac:dyDescent="0.25">
      <c r="A466" s="812" t="s">
        <v>1999</v>
      </c>
      <c r="B466" s="812">
        <v>6</v>
      </c>
      <c r="C466" s="608">
        <v>39759</v>
      </c>
      <c r="D466" s="812">
        <v>99712</v>
      </c>
      <c r="E466" s="812" t="s">
        <v>1601</v>
      </c>
      <c r="F466" s="133">
        <v>1.585140303181968</v>
      </c>
      <c r="G466" s="133">
        <v>0.27186795175142003</v>
      </c>
      <c r="H466" s="133">
        <v>0.48193368165810341</v>
      </c>
      <c r="I466" s="133">
        <v>0.42588470331211631</v>
      </c>
      <c r="J466" s="133">
        <v>0.42588470331211631</v>
      </c>
      <c r="K466" s="133">
        <v>2.0037664359369996E-2</v>
      </c>
      <c r="L466" s="133">
        <v>4.4299421736402005</v>
      </c>
      <c r="M466" s="45">
        <v>5636.3462191740782</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7.9190650273003554E-5</v>
      </c>
      <c r="G478" s="133">
        <v>1.8497198697981906E-3</v>
      </c>
      <c r="H478" s="133">
        <v>1.0377999230357664E-3</v>
      </c>
      <c r="I478" s="133">
        <v>6.6403205987072161E-5</v>
      </c>
      <c r="J478" s="133">
        <v>6.6403205987072161E-5</v>
      </c>
      <c r="K478" s="133">
        <v>7.8947775305601269E-5</v>
      </c>
      <c r="L478" s="133">
        <v>1.9035661309972098E-4</v>
      </c>
      <c r="M478" s="45">
        <v>30.354784393635079</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0.7875400710041397</v>
      </c>
      <c r="G480" s="133">
        <v>0.75039079087636429</v>
      </c>
      <c r="H480" s="133">
        <v>0.89161358440721494</v>
      </c>
      <c r="I480" s="133">
        <v>0.23708294876757335</v>
      </c>
      <c r="J480" s="133">
        <v>0.23708294876757335</v>
      </c>
      <c r="K480" s="133">
        <v>2.9811972087557731E-2</v>
      </c>
      <c r="L480" s="133">
        <v>2.3610893532140262</v>
      </c>
      <c r="M480" s="45">
        <v>13898.12281270832</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1.8853634060030787E-2</v>
      </c>
      <c r="G482" s="133">
        <v>1.3796234476615278E-2</v>
      </c>
      <c r="H482" s="133">
        <v>1.9770730974450423E-2</v>
      </c>
      <c r="I482" s="133">
        <v>6.35237106413249E-3</v>
      </c>
      <c r="J482" s="133">
        <v>6.35237106413249E-3</v>
      </c>
      <c r="K482" s="133">
        <v>5.1467602053739453E-4</v>
      </c>
      <c r="L482" s="133">
        <v>6.8102793713165813E-2</v>
      </c>
      <c r="M482" s="45">
        <v>265.9896926836368</v>
      </c>
    </row>
    <row r="483" spans="1:13" x14ac:dyDescent="0.25">
      <c r="A483" s="812" t="s">
        <v>1999</v>
      </c>
      <c r="B483" s="812">
        <v>7</v>
      </c>
      <c r="C483" s="608">
        <v>39760</v>
      </c>
      <c r="D483" s="812">
        <v>99705</v>
      </c>
      <c r="E483" s="812" t="s">
        <v>1599</v>
      </c>
      <c r="F483" s="133">
        <v>3.2166296336185698</v>
      </c>
      <c r="G483" s="133">
        <v>0.67994784326230751</v>
      </c>
      <c r="H483" s="133">
        <v>1.1217018906110425</v>
      </c>
      <c r="I483" s="133">
        <v>0.98820461449483565</v>
      </c>
      <c r="J483" s="133">
        <v>0.98820461449483565</v>
      </c>
      <c r="K483" s="133">
        <v>4.5949634640251848E-2</v>
      </c>
      <c r="L483" s="133">
        <v>10.77803475062454</v>
      </c>
      <c r="M483" s="45">
        <v>13867.259686993551</v>
      </c>
    </row>
    <row r="484" spans="1:13" x14ac:dyDescent="0.25">
      <c r="A484" s="812" t="s">
        <v>1999</v>
      </c>
      <c r="B484" s="812">
        <v>7</v>
      </c>
      <c r="C484" s="608">
        <v>39760</v>
      </c>
      <c r="D484" s="812">
        <v>99709</v>
      </c>
      <c r="E484" s="812" t="s">
        <v>1600</v>
      </c>
      <c r="F484" s="133">
        <v>2.8425974230538413</v>
      </c>
      <c r="G484" s="133">
        <v>0.80830641997015373</v>
      </c>
      <c r="H484" s="133">
        <v>1.2930898376531117</v>
      </c>
      <c r="I484" s="133">
        <v>0.7827543032335631</v>
      </c>
      <c r="J484" s="133">
        <v>0.7827543032335631</v>
      </c>
      <c r="K484" s="133">
        <v>4.3147293757892127E-2</v>
      </c>
      <c r="L484" s="133">
        <v>8.1721427615256399</v>
      </c>
      <c r="M484" s="45">
        <v>16440.306034627873</v>
      </c>
    </row>
    <row r="485" spans="1:13" x14ac:dyDescent="0.25">
      <c r="A485" s="812" t="s">
        <v>1999</v>
      </c>
      <c r="B485" s="812">
        <v>7</v>
      </c>
      <c r="C485" s="608">
        <v>39760</v>
      </c>
      <c r="D485" s="812">
        <v>99712</v>
      </c>
      <c r="E485" s="812" t="s">
        <v>1601</v>
      </c>
      <c r="F485" s="133">
        <v>1.5333198928446632</v>
      </c>
      <c r="G485" s="133">
        <v>0.27219691634847587</v>
      </c>
      <c r="H485" s="133">
        <v>0.48293490639114184</v>
      </c>
      <c r="I485" s="133">
        <v>0.42234657415116322</v>
      </c>
      <c r="J485" s="133">
        <v>0.42234657415116322</v>
      </c>
      <c r="K485" s="133">
        <v>1.9799638821045237E-2</v>
      </c>
      <c r="L485" s="133">
        <v>4.4524668989099316</v>
      </c>
      <c r="M485" s="45">
        <v>5647.6816630090661</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7.6805926809848723E-5</v>
      </c>
      <c r="G497" s="133">
        <v>1.7895164724113927E-3</v>
      </c>
      <c r="H497" s="133">
        <v>9.952454860562268E-4</v>
      </c>
      <c r="I497" s="133">
        <v>6.4876056174069662E-5</v>
      </c>
      <c r="J497" s="133">
        <v>6.4876056174069662E-5</v>
      </c>
      <c r="K497" s="133">
        <v>7.8865843718133686E-5</v>
      </c>
      <c r="L497" s="133">
        <v>1.8885873365813435E-4</v>
      </c>
      <c r="M497" s="45">
        <v>29.428321000516025</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0.84448816890491318</v>
      </c>
      <c r="G499" s="133">
        <v>0.77653151363758544</v>
      </c>
      <c r="H499" s="133">
        <v>0.93324304108948131</v>
      </c>
      <c r="I499" s="133">
        <v>0.2524475017429183</v>
      </c>
      <c r="J499" s="133">
        <v>0.2524475017429183</v>
      </c>
      <c r="K499" s="133">
        <v>3.0473933648181763E-2</v>
      </c>
      <c r="L499" s="133">
        <v>2.5188026283905796</v>
      </c>
      <c r="M499" s="45">
        <v>14404.862533116977</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2.0597191998339849E-2</v>
      </c>
      <c r="G501" s="133">
        <v>1.4513642084728837E-2</v>
      </c>
      <c r="H501" s="133">
        <v>2.1107187272332274E-2</v>
      </c>
      <c r="I501" s="133">
        <v>6.8915190908523322E-3</v>
      </c>
      <c r="J501" s="133">
        <v>6.8915190908523322E-3</v>
      </c>
      <c r="K501" s="133">
        <v>5.3662346752981842E-4</v>
      </c>
      <c r="L501" s="133">
        <v>7.4012934023751434E-2</v>
      </c>
      <c r="M501" s="45">
        <v>280.820296121853</v>
      </c>
    </row>
    <row r="502" spans="1:13" x14ac:dyDescent="0.25">
      <c r="A502" s="812" t="s">
        <v>1999</v>
      </c>
      <c r="B502" s="812">
        <v>8</v>
      </c>
      <c r="C502" s="608">
        <v>39761</v>
      </c>
      <c r="D502" s="812">
        <v>99705</v>
      </c>
      <c r="E502" s="812" t="s">
        <v>1599</v>
      </c>
      <c r="F502" s="133">
        <v>3.4780059539752446</v>
      </c>
      <c r="G502" s="133">
        <v>0.72272792688991949</v>
      </c>
      <c r="H502" s="133">
        <v>1.196176820907805</v>
      </c>
      <c r="I502" s="133">
        <v>1.0648836546214135</v>
      </c>
      <c r="J502" s="133">
        <v>1.0648836546214135</v>
      </c>
      <c r="K502" s="133">
        <v>4.9252707271360552E-2</v>
      </c>
      <c r="L502" s="133">
        <v>11.628958499172127</v>
      </c>
      <c r="M502" s="45">
        <v>14743.201579437411</v>
      </c>
    </row>
    <row r="503" spans="1:13" x14ac:dyDescent="0.25">
      <c r="A503" s="812" t="s">
        <v>1999</v>
      </c>
      <c r="B503" s="812">
        <v>8</v>
      </c>
      <c r="C503" s="608">
        <v>39761</v>
      </c>
      <c r="D503" s="812">
        <v>99709</v>
      </c>
      <c r="E503" s="812" t="s">
        <v>1600</v>
      </c>
      <c r="F503" s="133">
        <v>2.6410974483066081</v>
      </c>
      <c r="G503" s="133">
        <v>0.79192370297992298</v>
      </c>
      <c r="H503" s="133">
        <v>1.2584707347212039</v>
      </c>
      <c r="I503" s="133">
        <v>0.73429116300412667</v>
      </c>
      <c r="J503" s="133">
        <v>0.73429116300412667</v>
      </c>
      <c r="K503" s="133">
        <v>4.1040483859628732E-2</v>
      </c>
      <c r="L503" s="133">
        <v>7.6751134854307494</v>
      </c>
      <c r="M503" s="45">
        <v>16069.526134943153</v>
      </c>
    </row>
    <row r="504" spans="1:13" x14ac:dyDescent="0.25">
      <c r="A504" s="812" t="s">
        <v>1999</v>
      </c>
      <c r="B504" s="812">
        <v>8</v>
      </c>
      <c r="C504" s="608">
        <v>39761</v>
      </c>
      <c r="D504" s="812">
        <v>99712</v>
      </c>
      <c r="E504" s="812" t="s">
        <v>1601</v>
      </c>
      <c r="F504" s="133">
        <v>1.306839346914048</v>
      </c>
      <c r="G504" s="133">
        <v>0.24476792365956662</v>
      </c>
      <c r="H504" s="133">
        <v>0.43186036454240961</v>
      </c>
      <c r="I504" s="133">
        <v>0.36573623927588533</v>
      </c>
      <c r="J504" s="133">
        <v>0.36573623927588533</v>
      </c>
      <c r="K504" s="133">
        <v>1.7220028822124572E-2</v>
      </c>
      <c r="L504" s="133">
        <v>3.8628150632985605</v>
      </c>
      <c r="M504" s="45">
        <v>5076.3767848078414</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7.8395742451951926E-5</v>
      </c>
      <c r="G516" s="133">
        <v>1.8296520706692573E-3</v>
      </c>
      <c r="H516" s="133">
        <v>1.023615110709253E-3</v>
      </c>
      <c r="I516" s="133">
        <v>6.5894156049404643E-5</v>
      </c>
      <c r="J516" s="133">
        <v>6.5894156049404643E-5</v>
      </c>
      <c r="K516" s="133">
        <v>7.8920464776445408E-5</v>
      </c>
      <c r="L516" s="133">
        <v>1.8985731995252542E-4</v>
      </c>
      <c r="M516" s="45">
        <v>30.045963262595393</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0.74063591540256168</v>
      </c>
      <c r="G518" s="133">
        <v>0.67576361422877818</v>
      </c>
      <c r="H518" s="133">
        <v>0.81547827351537649</v>
      </c>
      <c r="I518" s="133">
        <v>0.22058849343596926</v>
      </c>
      <c r="J518" s="133">
        <v>0.22058849343596926</v>
      </c>
      <c r="K518" s="133">
        <v>2.9119267760417594E-2</v>
      </c>
      <c r="L518" s="133">
        <v>2.1878559783989706</v>
      </c>
      <c r="M518" s="45">
        <v>12664.73893392794</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1.8213533425588332E-2</v>
      </c>
      <c r="G520" s="133">
        <v>1.2723217341102053E-2</v>
      </c>
      <c r="H520" s="133">
        <v>1.8663909284097863E-2</v>
      </c>
      <c r="I520" s="133">
        <v>6.0360233713466311E-3</v>
      </c>
      <c r="J520" s="133">
        <v>6.0360233713466311E-3</v>
      </c>
      <c r="K520" s="133">
        <v>5.0180031854195014E-4</v>
      </c>
      <c r="L520" s="133">
        <v>6.428786184575451E-2</v>
      </c>
      <c r="M520" s="45">
        <v>248.48180672032834</v>
      </c>
    </row>
    <row r="521" spans="1:13" x14ac:dyDescent="0.25">
      <c r="A521" s="812" t="s">
        <v>1999</v>
      </c>
      <c r="B521" s="812">
        <v>9</v>
      </c>
      <c r="C521" s="608">
        <v>39762</v>
      </c>
      <c r="D521" s="812">
        <v>99705</v>
      </c>
      <c r="E521" s="812" t="s">
        <v>1599</v>
      </c>
      <c r="F521" s="133">
        <v>2.9816394669663269</v>
      </c>
      <c r="G521" s="133">
        <v>0.61611085997213477</v>
      </c>
      <c r="H521" s="133">
        <v>1.0215821943792476</v>
      </c>
      <c r="I521" s="133">
        <v>0.89958416965096621</v>
      </c>
      <c r="J521" s="133">
        <v>0.89958416965096621</v>
      </c>
      <c r="K521" s="133">
        <v>4.2125084870639859E-2</v>
      </c>
      <c r="L521" s="133">
        <v>9.6772378094825395</v>
      </c>
      <c r="M521" s="45">
        <v>12617.799475959097</v>
      </c>
    </row>
    <row r="522" spans="1:13" x14ac:dyDescent="0.25">
      <c r="A522" s="812" t="s">
        <v>1999</v>
      </c>
      <c r="B522" s="812">
        <v>9</v>
      </c>
      <c r="C522" s="608">
        <v>39762</v>
      </c>
      <c r="D522" s="812">
        <v>99709</v>
      </c>
      <c r="E522" s="812" t="s">
        <v>1600</v>
      </c>
      <c r="F522" s="133">
        <v>2.2761221138332211</v>
      </c>
      <c r="G522" s="133">
        <v>0.68994944257401358</v>
      </c>
      <c r="H522" s="133">
        <v>1.1028339637447124</v>
      </c>
      <c r="I522" s="133">
        <v>0.62836524705334929</v>
      </c>
      <c r="J522" s="133">
        <v>0.62836524705334929</v>
      </c>
      <c r="K522" s="133">
        <v>3.6585504186250499E-2</v>
      </c>
      <c r="L522" s="133">
        <v>6.5042574793405725</v>
      </c>
      <c r="M522" s="45">
        <v>14089.115312168677</v>
      </c>
    </row>
    <row r="523" spans="1:13" x14ac:dyDescent="0.25">
      <c r="A523" s="812" t="s">
        <v>1999</v>
      </c>
      <c r="B523" s="812">
        <v>9</v>
      </c>
      <c r="C523" s="608">
        <v>39762</v>
      </c>
      <c r="D523" s="812">
        <v>99712</v>
      </c>
      <c r="E523" s="812" t="s">
        <v>1601</v>
      </c>
      <c r="F523" s="133">
        <v>1.1606095374086791</v>
      </c>
      <c r="G523" s="133">
        <v>0.21706480924664834</v>
      </c>
      <c r="H523" s="133">
        <v>0.38554650278601954</v>
      </c>
      <c r="I523" s="133">
        <v>0.32087264750043643</v>
      </c>
      <c r="J523" s="133">
        <v>0.32087264750043643</v>
      </c>
      <c r="K523" s="133">
        <v>1.5222778207448856E-2</v>
      </c>
      <c r="L523" s="133">
        <v>3.3424174432894853</v>
      </c>
      <c r="M523" s="45">
        <v>4522.4686842702531</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6.8061940778281095E-5</v>
      </c>
      <c r="G535" s="133">
        <v>1.5687706819931349E-3</v>
      </c>
      <c r="H535" s="133">
        <v>8.3921255046458406E-4</v>
      </c>
      <c r="I535" s="133">
        <v>5.9276506859727204E-5</v>
      </c>
      <c r="J535" s="133">
        <v>5.9276506859727204E-5</v>
      </c>
      <c r="K535" s="133">
        <v>7.8565427897419216E-5</v>
      </c>
      <c r="L535" s="133">
        <v>1.8336650903898346E-4</v>
      </c>
      <c r="M535" s="45">
        <v>26.03128855907951</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0.66197732951599408</v>
      </c>
      <c r="G537" s="133">
        <v>0.64436193263391994</v>
      </c>
      <c r="H537" s="133">
        <v>0.7621090564499805</v>
      </c>
      <c r="I537" s="133">
        <v>0.1999565664292198</v>
      </c>
      <c r="J537" s="133">
        <v>0.1999565664292198</v>
      </c>
      <c r="K537" s="133">
        <v>2.8219608402301637E-2</v>
      </c>
      <c r="L537" s="133">
        <v>1.9773688501704845</v>
      </c>
      <c r="M537" s="45">
        <v>12039.510579427268</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1.6399089933446871E-2</v>
      </c>
      <c r="G539" s="133">
        <v>1.1982940818818252E-2</v>
      </c>
      <c r="H539" s="133">
        <v>1.7278145473760866E-2</v>
      </c>
      <c r="I539" s="133">
        <v>5.4751812081315953E-3</v>
      </c>
      <c r="J539" s="133">
        <v>5.4751812081315953E-3</v>
      </c>
      <c r="K539" s="133">
        <v>4.7896744447862481E-4</v>
      </c>
      <c r="L539" s="133">
        <v>5.8138274634066185E-2</v>
      </c>
      <c r="M539" s="45">
        <v>233.14303252802648</v>
      </c>
    </row>
    <row r="540" spans="1:13" x14ac:dyDescent="0.25">
      <c r="A540" s="812" t="s">
        <v>1999</v>
      </c>
      <c r="B540" s="812">
        <v>10</v>
      </c>
      <c r="C540" s="608">
        <v>39763</v>
      </c>
      <c r="D540" s="812">
        <v>99705</v>
      </c>
      <c r="E540" s="812" t="s">
        <v>1599</v>
      </c>
      <c r="F540" s="133">
        <v>2.7611481783655254</v>
      </c>
      <c r="G540" s="133">
        <v>0.58206896774938555</v>
      </c>
      <c r="H540" s="133">
        <v>0.96274083487637563</v>
      </c>
      <c r="I540" s="133">
        <v>0.8378398479317023</v>
      </c>
      <c r="J540" s="133">
        <v>0.8378398479317023</v>
      </c>
      <c r="K540" s="133">
        <v>3.9447473460931672E-2</v>
      </c>
      <c r="L540" s="133">
        <v>9.0045575079547397</v>
      </c>
      <c r="M540" s="45">
        <v>11922.566843272249</v>
      </c>
    </row>
    <row r="541" spans="1:13" x14ac:dyDescent="0.25">
      <c r="A541" s="812" t="s">
        <v>1999</v>
      </c>
      <c r="B541" s="812">
        <v>10</v>
      </c>
      <c r="C541" s="608">
        <v>39763</v>
      </c>
      <c r="D541" s="812">
        <v>99709</v>
      </c>
      <c r="E541" s="812" t="s">
        <v>1600</v>
      </c>
      <c r="F541" s="133">
        <v>2.1147373980852335</v>
      </c>
      <c r="G541" s="133">
        <v>0.65965611997102469</v>
      </c>
      <c r="H541" s="133">
        <v>1.049171582987549</v>
      </c>
      <c r="I541" s="133">
        <v>0.5883940254147928</v>
      </c>
      <c r="J541" s="133">
        <v>0.5883940254147928</v>
      </c>
      <c r="K541" s="133">
        <v>3.4845984276546969E-2</v>
      </c>
      <c r="L541" s="133">
        <v>6.0953184957649267</v>
      </c>
      <c r="M541" s="45">
        <v>13465.881911198188</v>
      </c>
    </row>
    <row r="542" spans="1:13" x14ac:dyDescent="0.25">
      <c r="A542" s="812" t="s">
        <v>1999</v>
      </c>
      <c r="B542" s="812">
        <v>10</v>
      </c>
      <c r="C542" s="608">
        <v>39763</v>
      </c>
      <c r="D542" s="812">
        <v>99712</v>
      </c>
      <c r="E542" s="812" t="s">
        <v>1601</v>
      </c>
      <c r="F542" s="133">
        <v>1.0668649233960574</v>
      </c>
      <c r="G542" s="133">
        <v>0.20469065588750887</v>
      </c>
      <c r="H542" s="133">
        <v>0.36305414470770686</v>
      </c>
      <c r="I542" s="133">
        <v>0.29761756789316596</v>
      </c>
      <c r="J542" s="133">
        <v>0.29761756789316596</v>
      </c>
      <c r="K542" s="133">
        <v>1.4163998976903789E-2</v>
      </c>
      <c r="L542" s="133">
        <v>3.1017188164136344</v>
      </c>
      <c r="M542" s="45">
        <v>4267.1620254923464</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6.6472125136177878E-5</v>
      </c>
      <c r="G554" s="133">
        <v>1.52863508373527E-3</v>
      </c>
      <c r="H554" s="133">
        <v>8.1084292581155761E-4</v>
      </c>
      <c r="I554" s="133">
        <v>5.8258406984392202E-5</v>
      </c>
      <c r="J554" s="133">
        <v>5.8258406984392202E-5</v>
      </c>
      <c r="K554" s="133">
        <v>7.8510806839107508E-5</v>
      </c>
      <c r="L554" s="133">
        <v>1.8236792274459242E-4</v>
      </c>
      <c r="M554" s="45">
        <v>25.413646297000138</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0.66068988737493828</v>
      </c>
      <c r="G556" s="133">
        <v>0.6383475119422215</v>
      </c>
      <c r="H556" s="133">
        <v>0.75692932274162372</v>
      </c>
      <c r="I556" s="133">
        <v>0.19922478748373412</v>
      </c>
      <c r="J556" s="133">
        <v>0.19922478748373412</v>
      </c>
      <c r="K556" s="133">
        <v>2.8193856209715634E-2</v>
      </c>
      <c r="L556" s="133">
        <v>1.9698637890929225</v>
      </c>
      <c r="M556" s="45">
        <v>11944.804422735553</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1.6093454634577863E-2</v>
      </c>
      <c r="G558" s="133">
        <v>1.1804196389299741E-2</v>
      </c>
      <c r="H558" s="133">
        <v>1.6997300920539062E-2</v>
      </c>
      <c r="I558" s="133">
        <v>5.3783736866130204E-3</v>
      </c>
      <c r="J558" s="133">
        <v>5.3783736866130204E-3</v>
      </c>
      <c r="K558" s="133">
        <v>4.750831172516639E-4</v>
      </c>
      <c r="L558" s="133">
        <v>5.7089491940730958E-2</v>
      </c>
      <c r="M558" s="45">
        <v>229.72219626047044</v>
      </c>
    </row>
    <row r="559" spans="1:13" x14ac:dyDescent="0.25">
      <c r="A559" s="812" t="s">
        <v>1999</v>
      </c>
      <c r="B559" s="812">
        <v>11</v>
      </c>
      <c r="C559" s="608">
        <v>39764</v>
      </c>
      <c r="D559" s="812">
        <v>99705</v>
      </c>
      <c r="E559" s="812" t="s">
        <v>1599</v>
      </c>
      <c r="F559" s="133">
        <v>2.7791414401042416</v>
      </c>
      <c r="G559" s="133">
        <v>0.58332558331243123</v>
      </c>
      <c r="H559" s="133">
        <v>0.96641082710673532</v>
      </c>
      <c r="I559" s="133">
        <v>0.84248489013515304</v>
      </c>
      <c r="J559" s="133">
        <v>0.84248489013515304</v>
      </c>
      <c r="K559" s="133">
        <v>3.9667476484909488E-2</v>
      </c>
      <c r="L559" s="133">
        <v>9.0540821502768125</v>
      </c>
      <c r="M559" s="45">
        <v>11954.301533765094</v>
      </c>
    </row>
    <row r="560" spans="1:13" x14ac:dyDescent="0.25">
      <c r="A560" s="812" t="s">
        <v>1999</v>
      </c>
      <c r="B560" s="812">
        <v>11</v>
      </c>
      <c r="C560" s="608">
        <v>39764</v>
      </c>
      <c r="D560" s="812">
        <v>99709</v>
      </c>
      <c r="E560" s="812" t="s">
        <v>1600</v>
      </c>
      <c r="F560" s="133">
        <v>2.278156353591017</v>
      </c>
      <c r="G560" s="133">
        <v>0.67751560788527321</v>
      </c>
      <c r="H560" s="133">
        <v>1.0857127557283197</v>
      </c>
      <c r="I560" s="133">
        <v>0.62824160574863241</v>
      </c>
      <c r="J560" s="133">
        <v>0.62824160574863241</v>
      </c>
      <c r="K560" s="133">
        <v>3.6591503737061978E-2</v>
      </c>
      <c r="L560" s="133">
        <v>6.5050548441770575</v>
      </c>
      <c r="M560" s="45">
        <v>13859.771676068829</v>
      </c>
    </row>
    <row r="561" spans="1:13" x14ac:dyDescent="0.25">
      <c r="A561" s="812" t="s">
        <v>1999</v>
      </c>
      <c r="B561" s="812">
        <v>11</v>
      </c>
      <c r="C561" s="608">
        <v>39764</v>
      </c>
      <c r="D561" s="812">
        <v>99712</v>
      </c>
      <c r="E561" s="812" t="s">
        <v>1601</v>
      </c>
      <c r="F561" s="133">
        <v>1.2063383673373815</v>
      </c>
      <c r="G561" s="133">
        <v>0.22162840789281441</v>
      </c>
      <c r="H561" s="133">
        <v>0.39445783520369587</v>
      </c>
      <c r="I561" s="133">
        <v>0.3325587769895928</v>
      </c>
      <c r="J561" s="133">
        <v>0.3325587769895928</v>
      </c>
      <c r="K561" s="133">
        <v>1.5756187657442456E-2</v>
      </c>
      <c r="L561" s="133">
        <v>3.4661408115011545</v>
      </c>
      <c r="M561" s="45">
        <v>4619.2970218999417</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6.5677217315126291E-5</v>
      </c>
      <c r="G573" s="133">
        <v>1.5085672846063378E-3</v>
      </c>
      <c r="H573" s="133">
        <v>7.9665811348504526E-4</v>
      </c>
      <c r="I573" s="133">
        <v>5.7749357046724711E-5</v>
      </c>
      <c r="J573" s="133">
        <v>5.7749357046724711E-5</v>
      </c>
      <c r="K573" s="133">
        <v>7.8483496309951647E-5</v>
      </c>
      <c r="L573" s="133">
        <v>1.8186862959739688E-4</v>
      </c>
      <c r="M573" s="45">
        <v>25.10482516596046</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0.70062330927700989</v>
      </c>
      <c r="G575" s="133">
        <v>0.68033200691489881</v>
      </c>
      <c r="H575" s="133">
        <v>0.80162160311388708</v>
      </c>
      <c r="I575" s="133">
        <v>0.20996991289678796</v>
      </c>
      <c r="J575" s="133">
        <v>0.20996991289678796</v>
      </c>
      <c r="K575" s="133">
        <v>2.8669885916973194E-2</v>
      </c>
      <c r="L575" s="133">
        <v>2.0714946264713516</v>
      </c>
      <c r="M575" s="45">
        <v>12646.856482689764</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1.6939914063367929E-2</v>
      </c>
      <c r="G577" s="133">
        <v>1.2491070674160417E-2</v>
      </c>
      <c r="H577" s="133">
        <v>1.783539137698844E-2</v>
      </c>
      <c r="I577" s="133">
        <v>5.6446067434269527E-3</v>
      </c>
      <c r="J577" s="133">
        <v>5.6446067434269527E-3</v>
      </c>
      <c r="K577" s="133">
        <v>4.8649836407143167E-4</v>
      </c>
      <c r="L577" s="133">
        <v>5.9894580175834031E-2</v>
      </c>
      <c r="M577" s="45">
        <v>241.56879713576009</v>
      </c>
    </row>
    <row r="578" spans="1:13" x14ac:dyDescent="0.25">
      <c r="A578" s="812" t="s">
        <v>1999</v>
      </c>
      <c r="B578" s="812">
        <v>12</v>
      </c>
      <c r="C578" s="608">
        <v>39765</v>
      </c>
      <c r="D578" s="812">
        <v>99705</v>
      </c>
      <c r="E578" s="812" t="s">
        <v>1599</v>
      </c>
      <c r="F578" s="133">
        <v>3.0154288562787617</v>
      </c>
      <c r="G578" s="133">
        <v>0.6266421060406846</v>
      </c>
      <c r="H578" s="133">
        <v>1.0369700776129613</v>
      </c>
      <c r="I578" s="133">
        <v>0.91145092499262825</v>
      </c>
      <c r="J578" s="133">
        <v>0.91145092499262825</v>
      </c>
      <c r="K578" s="133">
        <v>4.2653256217150111E-2</v>
      </c>
      <c r="L578" s="133">
        <v>9.8163927000652151</v>
      </c>
      <c r="M578" s="45">
        <v>12816.397025830096</v>
      </c>
    </row>
    <row r="579" spans="1:13" x14ac:dyDescent="0.25">
      <c r="A579" s="812" t="s">
        <v>1999</v>
      </c>
      <c r="B579" s="812">
        <v>12</v>
      </c>
      <c r="C579" s="608">
        <v>39765</v>
      </c>
      <c r="D579" s="812">
        <v>99709</v>
      </c>
      <c r="E579" s="812" t="s">
        <v>1600</v>
      </c>
      <c r="F579" s="133">
        <v>2.5710243796855528</v>
      </c>
      <c r="G579" s="133">
        <v>0.73353831176543738</v>
      </c>
      <c r="H579" s="133">
        <v>1.1736486306879597</v>
      </c>
      <c r="I579" s="133">
        <v>0.70125634674054427</v>
      </c>
      <c r="J579" s="133">
        <v>0.70125634674054427</v>
      </c>
      <c r="K579" s="133">
        <v>3.9754570046169717E-2</v>
      </c>
      <c r="L579" s="133">
        <v>7.2553772827419598</v>
      </c>
      <c r="M579" s="45">
        <v>14959.983915801753</v>
      </c>
    </row>
    <row r="580" spans="1:13" x14ac:dyDescent="0.25">
      <c r="A580" s="812" t="s">
        <v>1999</v>
      </c>
      <c r="B580" s="812">
        <v>12</v>
      </c>
      <c r="C580" s="608">
        <v>39765</v>
      </c>
      <c r="D580" s="812">
        <v>99712</v>
      </c>
      <c r="E580" s="812" t="s">
        <v>1601</v>
      </c>
      <c r="F580" s="133">
        <v>1.4315478710969762</v>
      </c>
      <c r="G580" s="133">
        <v>0.25149313441380344</v>
      </c>
      <c r="H580" s="133">
        <v>0.44735768757058142</v>
      </c>
      <c r="I580" s="133">
        <v>0.38974040628589784</v>
      </c>
      <c r="J580" s="133">
        <v>0.38974040628589784</v>
      </c>
      <c r="K580" s="133">
        <v>1.8350908000028501E-2</v>
      </c>
      <c r="L580" s="133">
        <v>4.0657026984438085</v>
      </c>
      <c r="M580" s="45">
        <v>5229.1940262813159</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7.0446664241435899E-5</v>
      </c>
      <c r="G592" s="133">
        <v>1.6289740793799324E-3</v>
      </c>
      <c r="H592" s="133">
        <v>8.8176698744412286E-4</v>
      </c>
      <c r="I592" s="133">
        <v>6.0803656672729696E-5</v>
      </c>
      <c r="J592" s="133">
        <v>6.0803656672729696E-5</v>
      </c>
      <c r="K592" s="133">
        <v>7.8647359484886799E-5</v>
      </c>
      <c r="L592" s="133">
        <v>1.8486438848057006E-4</v>
      </c>
      <c r="M592" s="45">
        <v>26.95775195219856</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0.811496658760128</v>
      </c>
      <c r="G594" s="133">
        <v>0.7468424210871204</v>
      </c>
      <c r="H594" s="133">
        <v>0.8924241376080676</v>
      </c>
      <c r="I594" s="133">
        <v>0.2395901192261054</v>
      </c>
      <c r="J594" s="133">
        <v>0.2395901192261054</v>
      </c>
      <c r="K594" s="133">
        <v>2.9960194008775715E-2</v>
      </c>
      <c r="L594" s="133">
        <v>2.3684090509357998</v>
      </c>
      <c r="M594" s="45">
        <v>13859.812818035223</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1.9671791937395544E-2</v>
      </c>
      <c r="G596" s="133">
        <v>1.3907717775613197E-2</v>
      </c>
      <c r="H596" s="133">
        <v>2.015202022394301E-2</v>
      </c>
      <c r="I596" s="133">
        <v>6.4988038391528627E-3</v>
      </c>
      <c r="J596" s="133">
        <v>6.4988038391528627E-3</v>
      </c>
      <c r="K596" s="133">
        <v>5.2125811671056474E-4</v>
      </c>
      <c r="L596" s="133">
        <v>6.9178862304801247E-2</v>
      </c>
      <c r="M596" s="45">
        <v>269.14860276486684</v>
      </c>
    </row>
    <row r="597" spans="1:13" x14ac:dyDescent="0.25">
      <c r="A597" s="812" t="s">
        <v>1999</v>
      </c>
      <c r="B597" s="812">
        <v>13</v>
      </c>
      <c r="C597" s="608">
        <v>39766</v>
      </c>
      <c r="D597" s="812">
        <v>99705</v>
      </c>
      <c r="E597" s="812" t="s">
        <v>1599</v>
      </c>
      <c r="F597" s="133">
        <v>3.3671856102648028</v>
      </c>
      <c r="G597" s="133">
        <v>0.69008575269067751</v>
      </c>
      <c r="H597" s="133">
        <v>1.1427519736037468</v>
      </c>
      <c r="I597" s="133">
        <v>1.015215249219771</v>
      </c>
      <c r="J597" s="133">
        <v>1.015215249219771</v>
      </c>
      <c r="K597" s="133">
        <v>4.7126721144680507E-2</v>
      </c>
      <c r="L597" s="133">
        <v>10.968459776969326</v>
      </c>
      <c r="M597" s="45">
        <v>14091.684919618288</v>
      </c>
    </row>
    <row r="598" spans="1:13" x14ac:dyDescent="0.25">
      <c r="A598" s="812" t="s">
        <v>1999</v>
      </c>
      <c r="B598" s="812">
        <v>13</v>
      </c>
      <c r="C598" s="608">
        <v>39766</v>
      </c>
      <c r="D598" s="812">
        <v>99709</v>
      </c>
      <c r="E598" s="812" t="s">
        <v>1600</v>
      </c>
      <c r="F598" s="133">
        <v>2.6437777954220611</v>
      </c>
      <c r="G598" s="133">
        <v>0.77001275033800443</v>
      </c>
      <c r="H598" s="133">
        <v>1.2259643001119802</v>
      </c>
      <c r="I598" s="133">
        <v>0.72043212652559119</v>
      </c>
      <c r="J598" s="133">
        <v>0.72043212652559119</v>
      </c>
      <c r="K598" s="133">
        <v>4.0574320704848538E-2</v>
      </c>
      <c r="L598" s="133">
        <v>7.4486358466737128</v>
      </c>
      <c r="M598" s="45">
        <v>15646.204432439798</v>
      </c>
    </row>
    <row r="599" spans="1:13" x14ac:dyDescent="0.25">
      <c r="A599" s="812" t="s">
        <v>1999</v>
      </c>
      <c r="B599" s="812">
        <v>13</v>
      </c>
      <c r="C599" s="608">
        <v>39766</v>
      </c>
      <c r="D599" s="812">
        <v>99712</v>
      </c>
      <c r="E599" s="812" t="s">
        <v>1601</v>
      </c>
      <c r="F599" s="133">
        <v>1.3605574487687893</v>
      </c>
      <c r="G599" s="133">
        <v>0.24390711494111333</v>
      </c>
      <c r="H599" s="133">
        <v>0.43145943273875426</v>
      </c>
      <c r="I599" s="133">
        <v>0.37099646492061639</v>
      </c>
      <c r="J599" s="133">
        <v>0.37099646492061639</v>
      </c>
      <c r="K599" s="133">
        <v>1.7514299221539732E-2</v>
      </c>
      <c r="L599" s="133">
        <v>3.8649344219896711</v>
      </c>
      <c r="M599" s="45">
        <v>5062.2625868142786</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7.6011018988797108E-5</v>
      </c>
      <c r="G611" s="133">
        <v>1.7694486732824594E-3</v>
      </c>
      <c r="H611" s="133">
        <v>9.8106067372971369E-4</v>
      </c>
      <c r="I611" s="133">
        <v>6.4367006236402144E-5</v>
      </c>
      <c r="J611" s="133">
        <v>6.4367006236402144E-5</v>
      </c>
      <c r="K611" s="133">
        <v>7.8838533188977825E-5</v>
      </c>
      <c r="L611" s="133">
        <v>1.8835944051093882E-4</v>
      </c>
      <c r="M611" s="45">
        <v>29.119499869476343</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0.8130749847731118</v>
      </c>
      <c r="G613" s="133">
        <v>0.69915000981344522</v>
      </c>
      <c r="H613" s="133">
        <v>0.86666093657265708</v>
      </c>
      <c r="I613" s="133">
        <v>0.24272736872144771</v>
      </c>
      <c r="J613" s="133">
        <v>0.24272736872144771</v>
      </c>
      <c r="K613" s="133">
        <v>3.005028990843504E-2</v>
      </c>
      <c r="L613" s="133">
        <v>2.4354070341213827</v>
      </c>
      <c r="M613" s="45">
        <v>13189.549634476663</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1.9486585163915278E-2</v>
      </c>
      <c r="G615" s="133">
        <v>1.3204142346672412E-2</v>
      </c>
      <c r="H615" s="133">
        <v>1.9663961443093285E-2</v>
      </c>
      <c r="I615" s="133">
        <v>6.5259327580339463E-3</v>
      </c>
      <c r="J615" s="133">
        <v>6.5259327580339463E-3</v>
      </c>
      <c r="K615" s="133">
        <v>5.2128666038167516E-4</v>
      </c>
      <c r="L615" s="133">
        <v>7.0254602525745891E-2</v>
      </c>
      <c r="M615" s="45">
        <v>259.03439762538096</v>
      </c>
    </row>
    <row r="616" spans="1:13" x14ac:dyDescent="0.25">
      <c r="A616" s="812" t="s">
        <v>1999</v>
      </c>
      <c r="B616" s="812">
        <v>14</v>
      </c>
      <c r="C616" s="608">
        <v>39767</v>
      </c>
      <c r="D616" s="812">
        <v>99705</v>
      </c>
      <c r="E616" s="812" t="s">
        <v>1599</v>
      </c>
      <c r="F616" s="133">
        <v>3.2755284715892219</v>
      </c>
      <c r="G616" s="133">
        <v>0.6765500748497727</v>
      </c>
      <c r="H616" s="133">
        <v>1.1296444116481441</v>
      </c>
      <c r="I616" s="133">
        <v>1.0052203604153842</v>
      </c>
      <c r="J616" s="133">
        <v>1.0052203604153842</v>
      </c>
      <c r="K616" s="133">
        <v>4.6675858848471918E-2</v>
      </c>
      <c r="L616" s="133">
        <v>10.969893705142594</v>
      </c>
      <c r="M616" s="45">
        <v>13865.872637664892</v>
      </c>
    </row>
    <row r="617" spans="1:13" x14ac:dyDescent="0.25">
      <c r="A617" s="812" t="s">
        <v>1999</v>
      </c>
      <c r="B617" s="812">
        <v>14</v>
      </c>
      <c r="C617" s="608">
        <v>39767</v>
      </c>
      <c r="D617" s="812">
        <v>99709</v>
      </c>
      <c r="E617" s="812" t="s">
        <v>1600</v>
      </c>
      <c r="F617" s="133">
        <v>2.8358564884877611</v>
      </c>
      <c r="G617" s="133">
        <v>0.78081220769606063</v>
      </c>
      <c r="H617" s="133">
        <v>1.2768580405880836</v>
      </c>
      <c r="I617" s="133">
        <v>0.78145032658807423</v>
      </c>
      <c r="J617" s="133">
        <v>0.78145032658807423</v>
      </c>
      <c r="K617" s="133">
        <v>4.3074575716387398E-2</v>
      </c>
      <c r="L617" s="133">
        <v>8.1692516610186878</v>
      </c>
      <c r="M617" s="45">
        <v>16036.145562887712</v>
      </c>
    </row>
    <row r="618" spans="1:13" x14ac:dyDescent="0.25">
      <c r="A618" s="812" t="s">
        <v>1999</v>
      </c>
      <c r="B618" s="812">
        <v>14</v>
      </c>
      <c r="C618" s="608">
        <v>39767</v>
      </c>
      <c r="D618" s="812">
        <v>99712</v>
      </c>
      <c r="E618" s="812" t="s">
        <v>1601</v>
      </c>
      <c r="F618" s="133">
        <v>1.5215452945837999</v>
      </c>
      <c r="G618" s="133">
        <v>0.26839064418272579</v>
      </c>
      <c r="H618" s="133">
        <v>0.47906500427321075</v>
      </c>
      <c r="I618" s="133">
        <v>0.42029114174089854</v>
      </c>
      <c r="J618" s="133">
        <v>0.42029114174089854</v>
      </c>
      <c r="K618" s="133">
        <v>1.9691062125181086E-2</v>
      </c>
      <c r="L618" s="133">
        <v>4.4365372949640243</v>
      </c>
      <c r="M618" s="45">
        <v>5583.8716816981223</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6.8061940778281081E-5</v>
      </c>
      <c r="G630" s="133">
        <v>1.5687706819931349E-3</v>
      </c>
      <c r="H630" s="133">
        <v>8.3921255046458395E-4</v>
      </c>
      <c r="I630" s="133">
        <v>5.9276506859727197E-5</v>
      </c>
      <c r="J630" s="133">
        <v>5.9276506859727197E-5</v>
      </c>
      <c r="K630" s="133">
        <v>7.8565427897419202E-5</v>
      </c>
      <c r="L630" s="133">
        <v>1.8336650903898343E-4</v>
      </c>
      <c r="M630" s="45">
        <v>26.03128855907951</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0.73814837787406384</v>
      </c>
      <c r="G632" s="133">
        <v>0.72199419228658579</v>
      </c>
      <c r="H632" s="133">
        <v>0.85280321009518034</v>
      </c>
      <c r="I632" s="133">
        <v>0.22436899245751499</v>
      </c>
      <c r="J632" s="133">
        <v>0.22436899245751499</v>
      </c>
      <c r="K632" s="133">
        <v>2.9247799283336508E-2</v>
      </c>
      <c r="L632" s="133">
        <v>2.2357539540753928</v>
      </c>
      <c r="M632" s="45">
        <v>13380.421061020505</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1.7956156772090344E-2</v>
      </c>
      <c r="G634" s="133">
        <v>1.3289204628850835E-2</v>
      </c>
      <c r="H634" s="133">
        <v>1.8996499786666822E-2</v>
      </c>
      <c r="I634" s="133">
        <v>6.0721488815988298E-3</v>
      </c>
      <c r="J634" s="133">
        <v>6.0721488815988298E-3</v>
      </c>
      <c r="K634" s="133">
        <v>5.0311445725574448E-4</v>
      </c>
      <c r="L634" s="133">
        <v>6.5074198882821899E-2</v>
      </c>
      <c r="M634" s="45">
        <v>256.41379325156799</v>
      </c>
    </row>
    <row r="635" spans="1:13" x14ac:dyDescent="0.25">
      <c r="A635" s="812" t="s">
        <v>1999</v>
      </c>
      <c r="B635" s="812">
        <v>15</v>
      </c>
      <c r="C635" s="608">
        <v>39768</v>
      </c>
      <c r="D635" s="812">
        <v>99705</v>
      </c>
      <c r="E635" s="812" t="s">
        <v>1599</v>
      </c>
      <c r="F635" s="133">
        <v>3.0899934553209012</v>
      </c>
      <c r="G635" s="133">
        <v>0.65683444933803525</v>
      </c>
      <c r="H635" s="133">
        <v>1.0834468671276558</v>
      </c>
      <c r="I635" s="133">
        <v>0.95149686473788297</v>
      </c>
      <c r="J635" s="133">
        <v>0.95149686473788297</v>
      </c>
      <c r="K635" s="133">
        <v>4.4327045925790259E-2</v>
      </c>
      <c r="L635" s="133">
        <v>10.372812734123432</v>
      </c>
      <c r="M635" s="45">
        <v>13406.829135103537</v>
      </c>
    </row>
    <row r="636" spans="1:13" x14ac:dyDescent="0.25">
      <c r="A636" s="812" t="s">
        <v>1999</v>
      </c>
      <c r="B636" s="812">
        <v>15</v>
      </c>
      <c r="C636" s="608">
        <v>39768</v>
      </c>
      <c r="D636" s="812">
        <v>99709</v>
      </c>
      <c r="E636" s="812" t="s">
        <v>1600</v>
      </c>
      <c r="F636" s="133">
        <v>2.5504962656702337</v>
      </c>
      <c r="G636" s="133">
        <v>0.75930409770181695</v>
      </c>
      <c r="H636" s="133">
        <v>1.2068316742793597</v>
      </c>
      <c r="I636" s="133">
        <v>0.71218210800382331</v>
      </c>
      <c r="J636" s="133">
        <v>0.71218210800382331</v>
      </c>
      <c r="K636" s="133">
        <v>4.0044638580867993E-2</v>
      </c>
      <c r="L636" s="133">
        <v>7.4569995922526218</v>
      </c>
      <c r="M636" s="45">
        <v>15434.754495274799</v>
      </c>
    </row>
    <row r="637" spans="1:13" x14ac:dyDescent="0.25">
      <c r="A637" s="812" t="s">
        <v>1999</v>
      </c>
      <c r="B637" s="812">
        <v>15</v>
      </c>
      <c r="C637" s="608">
        <v>39768</v>
      </c>
      <c r="D637" s="812">
        <v>99712</v>
      </c>
      <c r="E637" s="812" t="s">
        <v>1601</v>
      </c>
      <c r="F637" s="133">
        <v>1.4021630696919329</v>
      </c>
      <c r="G637" s="133">
        <v>0.25572538093358593</v>
      </c>
      <c r="H637" s="133">
        <v>0.45317623839166382</v>
      </c>
      <c r="I637" s="133">
        <v>0.39065256035033175</v>
      </c>
      <c r="J637" s="133">
        <v>0.39065256035033175</v>
      </c>
      <c r="K637" s="133">
        <v>1.8339142863599025E-2</v>
      </c>
      <c r="L637" s="133">
        <v>4.1283626233873063</v>
      </c>
      <c r="M637" s="45">
        <v>5309.4576025651349</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7.4421203346693905E-5</v>
      </c>
      <c r="G649" s="133">
        <v>1.7293130750245949E-3</v>
      </c>
      <c r="H649" s="133">
        <v>9.5269104907668789E-4</v>
      </c>
      <c r="I649" s="133">
        <v>6.3348906361067176E-5</v>
      </c>
      <c r="J649" s="133">
        <v>6.3348906361067176E-5</v>
      </c>
      <c r="K649" s="133">
        <v>7.8783912130666104E-5</v>
      </c>
      <c r="L649" s="133">
        <v>1.8736085421654775E-4</v>
      </c>
      <c r="M649" s="45">
        <v>28.501857607396975</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0.71626158000856321</v>
      </c>
      <c r="G651" s="133">
        <v>0.64778673817590304</v>
      </c>
      <c r="H651" s="133">
        <v>0.78583760162000305</v>
      </c>
      <c r="I651" s="133">
        <v>0.21356484785346216</v>
      </c>
      <c r="J651" s="133">
        <v>0.21356484785346216</v>
      </c>
      <c r="K651" s="133">
        <v>2.8817889892597492E-2</v>
      </c>
      <c r="L651" s="133">
        <v>2.1195406490559372</v>
      </c>
      <c r="M651" s="45">
        <v>12197.266568641591</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1.754993740037001E-2</v>
      </c>
      <c r="G653" s="133">
        <v>1.2198792116192334E-2</v>
      </c>
      <c r="H653" s="133">
        <v>1.7953759881432059E-2</v>
      </c>
      <c r="I653" s="133">
        <v>5.8217524467439798E-3</v>
      </c>
      <c r="J653" s="133">
        <v>5.8217524467439798E-3</v>
      </c>
      <c r="K653" s="133">
        <v>4.9317731005870888E-4</v>
      </c>
      <c r="L653" s="133">
        <v>6.2004055066480747E-2</v>
      </c>
      <c r="M653" s="45">
        <v>239.04953496346371</v>
      </c>
    </row>
    <row r="654" spans="1:13" x14ac:dyDescent="0.25">
      <c r="A654" s="812" t="s">
        <v>1999</v>
      </c>
      <c r="B654" s="812">
        <v>16</v>
      </c>
      <c r="C654" s="608">
        <v>39769</v>
      </c>
      <c r="D654" s="812">
        <v>99705</v>
      </c>
      <c r="E654" s="812" t="s">
        <v>1599</v>
      </c>
      <c r="F654" s="133">
        <v>2.9534406897567038</v>
      </c>
      <c r="G654" s="133">
        <v>0.6097101137118176</v>
      </c>
      <c r="H654" s="133">
        <v>1.0155653297023097</v>
      </c>
      <c r="I654" s="133">
        <v>0.89368520851757438</v>
      </c>
      <c r="J654" s="133">
        <v>0.89368520851757438</v>
      </c>
      <c r="K654" s="133">
        <v>4.1883694065284326E-2</v>
      </c>
      <c r="L654" s="133">
        <v>9.6233279706910935</v>
      </c>
      <c r="M654" s="45">
        <v>12509.062586450813</v>
      </c>
    </row>
    <row r="655" spans="1:13" x14ac:dyDescent="0.25">
      <c r="A655" s="812" t="s">
        <v>1999</v>
      </c>
      <c r="B655" s="812">
        <v>16</v>
      </c>
      <c r="C655" s="608">
        <v>39769</v>
      </c>
      <c r="D655" s="812">
        <v>99709</v>
      </c>
      <c r="E655" s="812" t="s">
        <v>1600</v>
      </c>
      <c r="F655" s="133">
        <v>2.4983119259143067</v>
      </c>
      <c r="G655" s="133">
        <v>0.70684249777900598</v>
      </c>
      <c r="H655" s="133">
        <v>1.1456908902787009</v>
      </c>
      <c r="I655" s="133">
        <v>0.68369188012930693</v>
      </c>
      <c r="J655" s="133">
        <v>0.68369188012930693</v>
      </c>
      <c r="K655" s="133">
        <v>3.8980151686747698E-2</v>
      </c>
      <c r="L655" s="133">
        <v>7.0818963257886693</v>
      </c>
      <c r="M655" s="45">
        <v>14506.171299382431</v>
      </c>
    </row>
    <row r="656" spans="1:13" x14ac:dyDescent="0.25">
      <c r="A656" s="812" t="s">
        <v>1999</v>
      </c>
      <c r="B656" s="812">
        <v>16</v>
      </c>
      <c r="C656" s="608">
        <v>39769</v>
      </c>
      <c r="D656" s="812">
        <v>99712</v>
      </c>
      <c r="E656" s="812" t="s">
        <v>1601</v>
      </c>
      <c r="F656" s="133">
        <v>1.3819495354522318</v>
      </c>
      <c r="G656" s="133">
        <v>0.24318324511151848</v>
      </c>
      <c r="H656" s="133">
        <v>0.4341936826955422</v>
      </c>
      <c r="I656" s="133">
        <v>0.37694747680948182</v>
      </c>
      <c r="J656" s="133">
        <v>0.37694747680948182</v>
      </c>
      <c r="K656" s="133">
        <v>1.7774260655640712E-2</v>
      </c>
      <c r="L656" s="133">
        <v>3.9311881702804059</v>
      </c>
      <c r="M656" s="45">
        <v>5066.518105805445</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6.4882309494074649E-5</v>
      </c>
      <c r="G668" s="133">
        <v>1.4884994854774043E-3</v>
      </c>
      <c r="H668" s="133">
        <v>7.8247330115853182E-4</v>
      </c>
      <c r="I668" s="133">
        <v>5.7240307109057207E-5</v>
      </c>
      <c r="J668" s="133">
        <v>5.7240307109057207E-5</v>
      </c>
      <c r="K668" s="133">
        <v>7.8456185780795772E-5</v>
      </c>
      <c r="L668" s="133">
        <v>1.8136933645020129E-4</v>
      </c>
      <c r="M668" s="45">
        <v>24.796004034920774</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DBED-56FD-4463-951A-EF4FBE526FD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0.68501369426373726</v>
      </c>
      <c r="G5" s="133">
        <v>0.62235746206877307</v>
      </c>
      <c r="H5" s="133">
        <v>0.78853526710580168</v>
      </c>
      <c r="I5" s="133">
        <v>0.20266831030023036</v>
      </c>
      <c r="J5" s="133">
        <v>0.20266831030023036</v>
      </c>
      <c r="K5" s="133">
        <v>1.9628149540748308E-2</v>
      </c>
      <c r="L5" s="133">
        <v>2.0145091045727637</v>
      </c>
      <c r="M5" s="45">
        <v>11530.758790600636</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1.6436286241534391E-2</v>
      </c>
      <c r="G7" s="133">
        <v>1.1619096811597125E-2</v>
      </c>
      <c r="H7" s="133">
        <v>1.7486529349520625E-2</v>
      </c>
      <c r="I7" s="133">
        <v>5.4549829454651035E-3</v>
      </c>
      <c r="J7" s="133">
        <v>5.4549829454651035E-3</v>
      </c>
      <c r="K7" s="133">
        <v>3.6553946384355613E-4</v>
      </c>
      <c r="L7" s="133">
        <v>5.8108540976258789E-2</v>
      </c>
      <c r="M7" s="45">
        <v>224.96160967698142</v>
      </c>
    </row>
    <row r="8" spans="1:13" x14ac:dyDescent="0.25">
      <c r="A8" s="812" t="s">
        <v>1996</v>
      </c>
      <c r="B8" s="812">
        <v>1</v>
      </c>
      <c r="C8" s="608">
        <v>39470</v>
      </c>
      <c r="D8" s="812">
        <v>99705</v>
      </c>
      <c r="E8" s="812" t="s">
        <v>1599</v>
      </c>
      <c r="F8" s="133">
        <v>2.8537492020088306</v>
      </c>
      <c r="G8" s="133">
        <v>0.59224570760304451</v>
      </c>
      <c r="H8" s="133">
        <v>0.99674908090667569</v>
      </c>
      <c r="I8" s="133">
        <v>0.86417165355989101</v>
      </c>
      <c r="J8" s="133">
        <v>0.86417165355989101</v>
      </c>
      <c r="K8" s="133">
        <v>3.8704000614506157E-2</v>
      </c>
      <c r="L8" s="133">
        <v>9.2986373693441706</v>
      </c>
      <c r="M8" s="45">
        <v>12140.611513325199</v>
      </c>
    </row>
    <row r="9" spans="1:13" x14ac:dyDescent="0.25">
      <c r="A9" s="812" t="s">
        <v>1996</v>
      </c>
      <c r="B9" s="812">
        <v>1</v>
      </c>
      <c r="C9" s="608">
        <v>39470</v>
      </c>
      <c r="D9" s="812">
        <v>99709</v>
      </c>
      <c r="E9" s="812" t="s">
        <v>1600</v>
      </c>
      <c r="F9" s="133">
        <v>2.6663151649353374</v>
      </c>
      <c r="G9" s="133">
        <v>0.71694511194860611</v>
      </c>
      <c r="H9" s="133">
        <v>1.1938780710972461</v>
      </c>
      <c r="I9" s="133">
        <v>0.72435376879310998</v>
      </c>
      <c r="J9" s="133">
        <v>0.72435376879310998</v>
      </c>
      <c r="K9" s="133">
        <v>3.6239517582445785E-2</v>
      </c>
      <c r="L9" s="133">
        <v>7.5101065024964617</v>
      </c>
      <c r="M9" s="45">
        <v>14685.372404172103</v>
      </c>
    </row>
    <row r="10" spans="1:13" x14ac:dyDescent="0.25">
      <c r="A10" s="812" t="s">
        <v>1996</v>
      </c>
      <c r="B10" s="812">
        <v>1</v>
      </c>
      <c r="C10" s="608">
        <v>39470</v>
      </c>
      <c r="D10" s="812">
        <v>99712</v>
      </c>
      <c r="E10" s="812" t="s">
        <v>1601</v>
      </c>
      <c r="F10" s="133">
        <v>1.5703879906760252</v>
      </c>
      <c r="G10" s="133">
        <v>0.26729280789337256</v>
      </c>
      <c r="H10" s="133">
        <v>0.48182389328805042</v>
      </c>
      <c r="I10" s="133">
        <v>0.42533779492934481</v>
      </c>
      <c r="J10" s="133">
        <v>0.42533779492934481</v>
      </c>
      <c r="K10" s="133">
        <v>1.9535777325859191E-2</v>
      </c>
      <c r="L10" s="133">
        <v>4.4425569523239812</v>
      </c>
      <c r="M10" s="45">
        <v>5569.6339409868688</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5.9461679887248706E-5</v>
      </c>
      <c r="G22" s="133">
        <v>1.4194643556047046E-3</v>
      </c>
      <c r="H22" s="133">
        <v>8.5600590715068916E-4</v>
      </c>
      <c r="I22" s="133">
        <v>4.665124526085117E-5</v>
      </c>
      <c r="J22" s="133">
        <v>4.665124526085117E-5</v>
      </c>
      <c r="K22" s="133">
        <v>4.369054583015644E-5</v>
      </c>
      <c r="L22" s="133">
        <v>1.1417602137835242E-4</v>
      </c>
      <c r="M22" s="45">
        <v>22.876414523767242</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0.94906048091332962</v>
      </c>
      <c r="G24" s="133">
        <v>0.8158253994884257</v>
      </c>
      <c r="H24" s="133">
        <v>1.0287893878682897</v>
      </c>
      <c r="I24" s="133">
        <v>0.27343657531108079</v>
      </c>
      <c r="J24" s="133">
        <v>0.27343657531108079</v>
      </c>
      <c r="K24" s="133">
        <v>2.2725995630745007E-2</v>
      </c>
      <c r="L24" s="133">
        <v>2.7125389285647734</v>
      </c>
      <c r="M24" s="45">
        <v>14940.487880296978</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2.2289255635009598E-2</v>
      </c>
      <c r="G26" s="133">
        <v>1.5172490524388672E-2</v>
      </c>
      <c r="H26" s="133">
        <v>2.2686108241110722E-2</v>
      </c>
      <c r="I26" s="133">
        <v>7.2854005977876076E-3</v>
      </c>
      <c r="J26" s="133">
        <v>7.2854005977876076E-3</v>
      </c>
      <c r="K26" s="133">
        <v>4.4153125435544599E-4</v>
      </c>
      <c r="L26" s="133">
        <v>7.7808734683863442E-2</v>
      </c>
      <c r="M26" s="45">
        <v>290.89241396826822</v>
      </c>
    </row>
    <row r="27" spans="1:13" x14ac:dyDescent="0.25">
      <c r="A27" s="812" t="s">
        <v>1996</v>
      </c>
      <c r="B27" s="812">
        <v>2</v>
      </c>
      <c r="C27" s="608">
        <v>39471</v>
      </c>
      <c r="D27" s="812">
        <v>99705</v>
      </c>
      <c r="E27" s="812" t="s">
        <v>1599</v>
      </c>
      <c r="F27" s="133">
        <v>3.8526066806408044</v>
      </c>
      <c r="G27" s="133">
        <v>0.77408286417252181</v>
      </c>
      <c r="H27" s="133">
        <v>1.2963782022137638</v>
      </c>
      <c r="I27" s="133">
        <v>1.1552743318222629</v>
      </c>
      <c r="J27" s="133">
        <v>1.1552743318222629</v>
      </c>
      <c r="K27" s="133">
        <v>5.1364687710249789E-2</v>
      </c>
      <c r="L27" s="133">
        <v>12.515778626854685</v>
      </c>
      <c r="M27" s="45">
        <v>15776.147244685522</v>
      </c>
    </row>
    <row r="28" spans="1:13" x14ac:dyDescent="0.25">
      <c r="A28" s="812" t="s">
        <v>1996</v>
      </c>
      <c r="B28" s="812">
        <v>2</v>
      </c>
      <c r="C28" s="608">
        <v>39471</v>
      </c>
      <c r="D28" s="812">
        <v>99709</v>
      </c>
      <c r="E28" s="812" t="s">
        <v>1600</v>
      </c>
      <c r="F28" s="133">
        <v>3.5562225233136826</v>
      </c>
      <c r="G28" s="133">
        <v>0.9144805111802311</v>
      </c>
      <c r="H28" s="133">
        <v>1.5079155166342157</v>
      </c>
      <c r="I28" s="133">
        <v>0.94601942757265411</v>
      </c>
      <c r="J28" s="133">
        <v>0.94601942757265411</v>
      </c>
      <c r="K28" s="133">
        <v>4.585964913440161E-2</v>
      </c>
      <c r="L28" s="133">
        <v>9.7745657908465464</v>
      </c>
      <c r="M28" s="45">
        <v>18575.99829849364</v>
      </c>
    </row>
    <row r="29" spans="1:13" x14ac:dyDescent="0.25">
      <c r="A29" s="812" t="s">
        <v>1996</v>
      </c>
      <c r="B29" s="812">
        <v>2</v>
      </c>
      <c r="C29" s="608">
        <v>39471</v>
      </c>
      <c r="D29" s="812">
        <v>99712</v>
      </c>
      <c r="E29" s="812" t="s">
        <v>1601</v>
      </c>
      <c r="F29" s="133">
        <v>1.9814032008192215</v>
      </c>
      <c r="G29" s="133">
        <v>0.32456936568999295</v>
      </c>
      <c r="H29" s="133">
        <v>0.5806063573268756</v>
      </c>
      <c r="I29" s="133">
        <v>0.52801176417650997</v>
      </c>
      <c r="J29" s="133">
        <v>0.52801176417650997</v>
      </c>
      <c r="K29" s="133">
        <v>2.4220861934555714E-2</v>
      </c>
      <c r="L29" s="133">
        <v>5.5091855109229462</v>
      </c>
      <c r="M29" s="45">
        <v>6727.2073923152866</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7.813430362492805E-5</v>
      </c>
      <c r="G41" s="133">
        <v>1.8908629913385454E-3</v>
      </c>
      <c r="H41" s="133">
        <v>1.1892114139378444E-3</v>
      </c>
      <c r="I41" s="133">
        <v>5.8608981363107021E-5</v>
      </c>
      <c r="J41" s="133">
        <v>5.8608981363107021E-5</v>
      </c>
      <c r="K41" s="133">
        <v>4.4332078372042453E-5</v>
      </c>
      <c r="L41" s="133">
        <v>1.2590456753864833E-4</v>
      </c>
      <c r="M41" s="45">
        <v>30.130715751449124</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0.86630412614357077</v>
      </c>
      <c r="G43" s="133">
        <v>0.78329297975846657</v>
      </c>
      <c r="H43" s="133">
        <v>0.97308818315089729</v>
      </c>
      <c r="I43" s="133">
        <v>0.25188714055005784</v>
      </c>
      <c r="J43" s="133">
        <v>0.25188714055005784</v>
      </c>
      <c r="K43" s="133">
        <v>2.1782958670672713E-2</v>
      </c>
      <c r="L43" s="133">
        <v>2.4933296773901006</v>
      </c>
      <c r="M43" s="45">
        <v>14290.402166856784</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2.054514899186426E-2</v>
      </c>
      <c r="G45" s="133">
        <v>1.4471451353598693E-2</v>
      </c>
      <c r="H45" s="133">
        <v>2.1389892775030145E-2</v>
      </c>
      <c r="I45" s="133">
        <v>6.7496820124610295E-3</v>
      </c>
      <c r="J45" s="133">
        <v>6.7496820124610295E-3</v>
      </c>
      <c r="K45" s="133">
        <v>4.1943128769005272E-4</v>
      </c>
      <c r="L45" s="133">
        <v>7.194185621779195E-2</v>
      </c>
      <c r="M45" s="45">
        <v>276.45301607430196</v>
      </c>
    </row>
    <row r="46" spans="1:13" x14ac:dyDescent="0.25">
      <c r="A46" s="812" t="s">
        <v>1996</v>
      </c>
      <c r="B46" s="812">
        <v>3</v>
      </c>
      <c r="C46" s="608">
        <v>39472</v>
      </c>
      <c r="D46" s="812">
        <v>99705</v>
      </c>
      <c r="E46" s="812" t="s">
        <v>1599</v>
      </c>
      <c r="F46" s="133">
        <v>3.5657448924738033</v>
      </c>
      <c r="G46" s="133">
        <v>0.72728857002835057</v>
      </c>
      <c r="H46" s="133">
        <v>1.2140435581401454</v>
      </c>
      <c r="I46" s="133">
        <v>1.0719670599601017</v>
      </c>
      <c r="J46" s="133">
        <v>1.0719670599601017</v>
      </c>
      <c r="K46" s="133">
        <v>4.7738697130767095E-2</v>
      </c>
      <c r="L46" s="133">
        <v>11.594618159339063</v>
      </c>
      <c r="M46" s="45">
        <v>14815.337762146211</v>
      </c>
    </row>
    <row r="47" spans="1:13" x14ac:dyDescent="0.25">
      <c r="A47" s="812" t="s">
        <v>1996</v>
      </c>
      <c r="B47" s="812">
        <v>3</v>
      </c>
      <c r="C47" s="608">
        <v>39472</v>
      </c>
      <c r="D47" s="812">
        <v>99709</v>
      </c>
      <c r="E47" s="812" t="s">
        <v>1600</v>
      </c>
      <c r="F47" s="133">
        <v>3.158290850136185</v>
      </c>
      <c r="G47" s="133">
        <v>0.84914873473399533</v>
      </c>
      <c r="H47" s="133">
        <v>1.3856878090493212</v>
      </c>
      <c r="I47" s="133">
        <v>0.84707977991878747</v>
      </c>
      <c r="J47" s="133">
        <v>0.84707977991878747</v>
      </c>
      <c r="K47" s="133">
        <v>4.1586746417822992E-2</v>
      </c>
      <c r="L47" s="133">
        <v>8.7568592886020209</v>
      </c>
      <c r="M47" s="45">
        <v>17194.932750897595</v>
      </c>
    </row>
    <row r="48" spans="1:13" x14ac:dyDescent="0.25">
      <c r="A48" s="812" t="s">
        <v>1996</v>
      </c>
      <c r="B48" s="812">
        <v>3</v>
      </c>
      <c r="C48" s="608">
        <v>39472</v>
      </c>
      <c r="D48" s="812">
        <v>99712</v>
      </c>
      <c r="E48" s="812" t="s">
        <v>1601</v>
      </c>
      <c r="F48" s="133">
        <v>1.7865514463159384</v>
      </c>
      <c r="G48" s="133">
        <v>0.29997387389863522</v>
      </c>
      <c r="H48" s="133">
        <v>0.53597488549527783</v>
      </c>
      <c r="I48" s="133">
        <v>0.47926188242692502</v>
      </c>
      <c r="J48" s="133">
        <v>0.47926188242692502</v>
      </c>
      <c r="K48" s="133">
        <v>2.1996072633681262E-2</v>
      </c>
      <c r="L48" s="133">
        <v>5.0013480262683414</v>
      </c>
      <c r="M48" s="45">
        <v>6219.9073083602862</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7.6510597212955952E-5</v>
      </c>
      <c r="G60" s="133">
        <v>1.849871805622559E-3</v>
      </c>
      <c r="H60" s="133">
        <v>1.1602370220433092E-3</v>
      </c>
      <c r="I60" s="133">
        <v>5.7569178223780437E-5</v>
      </c>
      <c r="J60" s="133">
        <v>5.7569178223780437E-5</v>
      </c>
      <c r="K60" s="133">
        <v>4.427629293361759E-5</v>
      </c>
      <c r="L60" s="133">
        <v>1.2488469395949218E-4</v>
      </c>
      <c r="M60" s="45">
        <v>29.499906949042007</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1.205448883454501</v>
      </c>
      <c r="G62" s="133">
        <v>0.97971110937454875</v>
      </c>
      <c r="H62" s="133">
        <v>1.2519888358452187</v>
      </c>
      <c r="I62" s="133">
        <v>0.34521349750548774</v>
      </c>
      <c r="J62" s="133">
        <v>0.34521349750548774</v>
      </c>
      <c r="K62" s="133">
        <v>2.5825843715521053E-2</v>
      </c>
      <c r="L62" s="133">
        <v>3.4494933812290687</v>
      </c>
      <c r="M62" s="45">
        <v>17929.460100103177</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2.8156237092518452E-2</v>
      </c>
      <c r="G64" s="133">
        <v>1.8416857826184144E-2</v>
      </c>
      <c r="H64" s="133">
        <v>2.7836899858236158E-2</v>
      </c>
      <c r="I64" s="133">
        <v>9.2192702661638842E-3</v>
      </c>
      <c r="J64" s="133">
        <v>9.2192702661638842E-3</v>
      </c>
      <c r="K64" s="133">
        <v>5.2023247870119265E-4</v>
      </c>
      <c r="L64" s="133">
        <v>9.935199971485878E-2</v>
      </c>
      <c r="M64" s="45">
        <v>353.31326030954284</v>
      </c>
    </row>
    <row r="65" spans="1:13" x14ac:dyDescent="0.25">
      <c r="A65" s="812" t="s">
        <v>1996</v>
      </c>
      <c r="B65" s="812">
        <v>4</v>
      </c>
      <c r="C65" s="608">
        <v>39473</v>
      </c>
      <c r="D65" s="812">
        <v>99705</v>
      </c>
      <c r="E65" s="812" t="s">
        <v>1599</v>
      </c>
      <c r="F65" s="133">
        <v>4.6966482977590793</v>
      </c>
      <c r="G65" s="133">
        <v>0.93812292295092947</v>
      </c>
      <c r="H65" s="133">
        <v>1.5696551316000957</v>
      </c>
      <c r="I65" s="133">
        <v>1.4199752366332317</v>
      </c>
      <c r="J65" s="133">
        <v>1.4199752366332317</v>
      </c>
      <c r="K65" s="133">
        <v>6.2819911940107512E-2</v>
      </c>
      <c r="L65" s="133">
        <v>15.559348586522155</v>
      </c>
      <c r="M65" s="45">
        <v>19072.865354044563</v>
      </c>
    </row>
    <row r="66" spans="1:13" x14ac:dyDescent="0.25">
      <c r="A66" s="812" t="s">
        <v>1996</v>
      </c>
      <c r="B66" s="812">
        <v>4</v>
      </c>
      <c r="C66" s="608">
        <v>39473</v>
      </c>
      <c r="D66" s="812">
        <v>99709</v>
      </c>
      <c r="E66" s="812" t="s">
        <v>1600</v>
      </c>
      <c r="F66" s="133">
        <v>4.2142573372818939</v>
      </c>
      <c r="G66" s="133">
        <v>1.0718905756934978</v>
      </c>
      <c r="H66" s="133">
        <v>1.7600130176319098</v>
      </c>
      <c r="I66" s="133">
        <v>1.1242630143360104</v>
      </c>
      <c r="J66" s="133">
        <v>1.1242630143360104</v>
      </c>
      <c r="K66" s="133">
        <v>5.3433955338806349E-2</v>
      </c>
      <c r="L66" s="133">
        <v>11.683497168633901</v>
      </c>
      <c r="M66" s="45">
        <v>21693.531078238837</v>
      </c>
    </row>
    <row r="67" spans="1:13" x14ac:dyDescent="0.25">
      <c r="A67" s="812" t="s">
        <v>1996</v>
      </c>
      <c r="B67" s="812">
        <v>4</v>
      </c>
      <c r="C67" s="608">
        <v>39473</v>
      </c>
      <c r="D67" s="812">
        <v>99712</v>
      </c>
      <c r="E67" s="812" t="s">
        <v>1601</v>
      </c>
      <c r="F67" s="133">
        <v>2.3352816093679691</v>
      </c>
      <c r="G67" s="133">
        <v>0.37982846530678649</v>
      </c>
      <c r="H67" s="133">
        <v>0.67719679742475214</v>
      </c>
      <c r="I67" s="133">
        <v>0.6245305029274425</v>
      </c>
      <c r="J67" s="133">
        <v>0.6245305029274425</v>
      </c>
      <c r="K67" s="133">
        <v>2.8571696367778548E-2</v>
      </c>
      <c r="L67" s="133">
        <v>6.5650583974169212</v>
      </c>
      <c r="M67" s="45">
        <v>7851.6855005162161</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9.1935808126691006E-5</v>
      </c>
      <c r="G79" s="133">
        <v>2.2392880699244264E-3</v>
      </c>
      <c r="H79" s="133">
        <v>1.435493745041394E-3</v>
      </c>
      <c r="I79" s="133">
        <v>6.7447308047383046E-5</v>
      </c>
      <c r="J79" s="133">
        <v>6.7447308047383046E-5</v>
      </c>
      <c r="K79" s="133">
        <v>4.480625459865385E-5</v>
      </c>
      <c r="L79" s="133">
        <v>1.345734929614757E-4</v>
      </c>
      <c r="M79" s="45">
        <v>35.492590571909645</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1.0724692177756152</v>
      </c>
      <c r="G81" s="133">
        <v>0.90780378885120594</v>
      </c>
      <c r="H81" s="133">
        <v>1.1498285058609479</v>
      </c>
      <c r="I81" s="133">
        <v>0.31074275484196523</v>
      </c>
      <c r="J81" s="133">
        <v>0.31074275484196523</v>
      </c>
      <c r="K81" s="133">
        <v>2.430325122796783E-2</v>
      </c>
      <c r="L81" s="133">
        <v>3.106701887495722</v>
      </c>
      <c r="M81" s="45">
        <v>16598.182418277182</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2.5531391160425194E-2</v>
      </c>
      <c r="G83" s="133">
        <v>1.7056963744661865E-2</v>
      </c>
      <c r="H83" s="133">
        <v>2.5652439365170077E-2</v>
      </c>
      <c r="I83" s="133">
        <v>8.4030629984937055E-3</v>
      </c>
      <c r="J83" s="133">
        <v>8.4030629984937055E-3</v>
      </c>
      <c r="K83" s="133">
        <v>4.8659566438559687E-4</v>
      </c>
      <c r="L83" s="133">
        <v>9.0495491206866133E-2</v>
      </c>
      <c r="M83" s="45">
        <v>327.04649480896461</v>
      </c>
    </row>
    <row r="84" spans="1:13" x14ac:dyDescent="0.25">
      <c r="A84" s="812" t="s">
        <v>1996</v>
      </c>
      <c r="B84" s="812">
        <v>5</v>
      </c>
      <c r="C84" s="608">
        <v>39474</v>
      </c>
      <c r="D84" s="812">
        <v>99705</v>
      </c>
      <c r="E84" s="812" t="s">
        <v>1599</v>
      </c>
      <c r="F84" s="133">
        <v>4.2599730379725056</v>
      </c>
      <c r="G84" s="133">
        <v>0.86108164713221658</v>
      </c>
      <c r="H84" s="133">
        <v>1.4388126144125748</v>
      </c>
      <c r="I84" s="133">
        <v>1.2918782895174921</v>
      </c>
      <c r="J84" s="133">
        <v>1.2918782895174921</v>
      </c>
      <c r="K84" s="133">
        <v>5.7239836084462127E-2</v>
      </c>
      <c r="L84" s="133">
        <v>14.138945003797883</v>
      </c>
      <c r="M84" s="45">
        <v>17515.18042205122</v>
      </c>
    </row>
    <row r="85" spans="1:13" x14ac:dyDescent="0.25">
      <c r="A85" s="812" t="s">
        <v>1996</v>
      </c>
      <c r="B85" s="812">
        <v>5</v>
      </c>
      <c r="C85" s="608">
        <v>39474</v>
      </c>
      <c r="D85" s="812">
        <v>99709</v>
      </c>
      <c r="E85" s="812" t="s">
        <v>1600</v>
      </c>
      <c r="F85" s="133">
        <v>3.6280313491029714</v>
      </c>
      <c r="G85" s="133">
        <v>0.96963291529080176</v>
      </c>
      <c r="H85" s="133">
        <v>1.5841149487005832</v>
      </c>
      <c r="I85" s="133">
        <v>0.97919280938499131</v>
      </c>
      <c r="J85" s="133">
        <v>0.97919280938499131</v>
      </c>
      <c r="K85" s="133">
        <v>4.7145846555613713E-2</v>
      </c>
      <c r="L85" s="133">
        <v>10.196087228456772</v>
      </c>
      <c r="M85" s="45">
        <v>19607.797540558018</v>
      </c>
    </row>
    <row r="86" spans="1:13" x14ac:dyDescent="0.25">
      <c r="A86" s="812" t="s">
        <v>1996</v>
      </c>
      <c r="B86" s="812">
        <v>5</v>
      </c>
      <c r="C86" s="608">
        <v>39474</v>
      </c>
      <c r="D86" s="812">
        <v>99712</v>
      </c>
      <c r="E86" s="812" t="s">
        <v>1601</v>
      </c>
      <c r="F86" s="133">
        <v>1.9060966671065596</v>
      </c>
      <c r="G86" s="133">
        <v>0.32385400074320408</v>
      </c>
      <c r="H86" s="133">
        <v>0.57610592610036016</v>
      </c>
      <c r="I86" s="133">
        <v>0.51630435704068833</v>
      </c>
      <c r="J86" s="133">
        <v>0.51630435704068833</v>
      </c>
      <c r="K86" s="133">
        <v>2.3651746741367271E-2</v>
      </c>
      <c r="L86" s="133">
        <v>5.4341573989607932</v>
      </c>
      <c r="M86" s="45">
        <v>6698.5231518170185</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8.6252835684788649E-5</v>
      </c>
      <c r="G98" s="133">
        <v>2.0958189199184762E-3</v>
      </c>
      <c r="H98" s="133">
        <v>1.3340833734105213E-3</v>
      </c>
      <c r="I98" s="133">
        <v>6.3807997059739995E-5</v>
      </c>
      <c r="J98" s="133">
        <v>6.3807997059739995E-5</v>
      </c>
      <c r="K98" s="133">
        <v>4.461100556416682E-5</v>
      </c>
      <c r="L98" s="133">
        <v>1.3100393543442917E-4</v>
      </c>
      <c r="M98" s="45">
        <v>33.284759763484729</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0.92883181037001838</v>
      </c>
      <c r="G100" s="133">
        <v>0.79966193128015717</v>
      </c>
      <c r="H100" s="133">
        <v>1.0093814013303182</v>
      </c>
      <c r="I100" s="133">
        <v>0.26791236889308928</v>
      </c>
      <c r="J100" s="133">
        <v>0.26791236889308928</v>
      </c>
      <c r="K100" s="133">
        <v>2.2485799069506346E-2</v>
      </c>
      <c r="L100" s="133">
        <v>2.6579731390459616</v>
      </c>
      <c r="M100" s="45">
        <v>14658.813135241107</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2.2048477721757036E-2</v>
      </c>
      <c r="G102" s="133">
        <v>1.4963753800135215E-2</v>
      </c>
      <c r="H102" s="133">
        <v>2.2453397921068503E-2</v>
      </c>
      <c r="I102" s="133">
        <v>7.2107791552417375E-3</v>
      </c>
      <c r="J102" s="133">
        <v>7.2107791552417375E-3</v>
      </c>
      <c r="K102" s="133">
        <v>4.3818656295854867E-4</v>
      </c>
      <c r="L102" s="133">
        <v>7.7031641510703561E-2</v>
      </c>
      <c r="M102" s="45">
        <v>287.41086573932449</v>
      </c>
    </row>
    <row r="103" spans="1:13" x14ac:dyDescent="0.25">
      <c r="A103" s="812" t="s">
        <v>1996</v>
      </c>
      <c r="B103" s="812">
        <v>6</v>
      </c>
      <c r="C103" s="608">
        <v>39475</v>
      </c>
      <c r="D103" s="812">
        <v>99705</v>
      </c>
      <c r="E103" s="812" t="s">
        <v>1599</v>
      </c>
      <c r="F103" s="133">
        <v>3.8334958711672371</v>
      </c>
      <c r="G103" s="133">
        <v>0.76904484086738889</v>
      </c>
      <c r="H103" s="133">
        <v>1.2894843582490456</v>
      </c>
      <c r="I103" s="133">
        <v>1.1504175681058508</v>
      </c>
      <c r="J103" s="133">
        <v>1.1504175681058508</v>
      </c>
      <c r="K103" s="133">
        <v>5.1114204484786194E-2</v>
      </c>
      <c r="L103" s="133">
        <v>12.465276877600198</v>
      </c>
      <c r="M103" s="45">
        <v>15685.085879365542</v>
      </c>
    </row>
    <row r="104" spans="1:13" x14ac:dyDescent="0.25">
      <c r="A104" s="812" t="s">
        <v>1996</v>
      </c>
      <c r="B104" s="812">
        <v>6</v>
      </c>
      <c r="C104" s="608">
        <v>39475</v>
      </c>
      <c r="D104" s="812">
        <v>99709</v>
      </c>
      <c r="E104" s="812" t="s">
        <v>1600</v>
      </c>
      <c r="F104" s="133">
        <v>3.2834761499403564</v>
      </c>
      <c r="G104" s="133">
        <v>0.86872281097665005</v>
      </c>
      <c r="H104" s="133">
        <v>1.425547979480813</v>
      </c>
      <c r="I104" s="133">
        <v>0.87702061352103111</v>
      </c>
      <c r="J104" s="133">
        <v>0.87702061352103111</v>
      </c>
      <c r="K104" s="133">
        <v>4.2895695233292092E-2</v>
      </c>
      <c r="L104" s="133">
        <v>9.0585364745564156</v>
      </c>
      <c r="M104" s="45">
        <v>17623.415545096461</v>
      </c>
    </row>
    <row r="105" spans="1:13" x14ac:dyDescent="0.25">
      <c r="A105" s="812" t="s">
        <v>1996</v>
      </c>
      <c r="B105" s="812">
        <v>6</v>
      </c>
      <c r="C105" s="608">
        <v>39475</v>
      </c>
      <c r="D105" s="812">
        <v>99712</v>
      </c>
      <c r="E105" s="812" t="s">
        <v>1601</v>
      </c>
      <c r="F105" s="133">
        <v>1.7953879823598142</v>
      </c>
      <c r="G105" s="133">
        <v>0.29955590452979342</v>
      </c>
      <c r="H105" s="133">
        <v>0.53551554035631233</v>
      </c>
      <c r="I105" s="133">
        <v>0.47934218512948673</v>
      </c>
      <c r="J105" s="133">
        <v>0.47934218512948673</v>
      </c>
      <c r="K105" s="133">
        <v>2.2035484073467917E-2</v>
      </c>
      <c r="L105" s="133">
        <v>4.9916085990506307</v>
      </c>
      <c r="M105" s="45">
        <v>6211.1601940803048</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7.6510597212955939E-5</v>
      </c>
      <c r="G117" s="133">
        <v>1.8498718056225588E-3</v>
      </c>
      <c r="H117" s="133">
        <v>1.1602370220433098E-3</v>
      </c>
      <c r="I117" s="133">
        <v>5.7569178223780424E-5</v>
      </c>
      <c r="J117" s="133">
        <v>5.7569178223780424E-5</v>
      </c>
      <c r="K117" s="133">
        <v>4.4276292933617583E-5</v>
      </c>
      <c r="L117" s="133">
        <v>1.2488469395949216E-4</v>
      </c>
      <c r="M117" s="45">
        <v>29.499906949042007</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1.042815189174739</v>
      </c>
      <c r="G119" s="133">
        <v>0.87792170129840663</v>
      </c>
      <c r="H119" s="133">
        <v>1.1091082813323405</v>
      </c>
      <c r="I119" s="133">
        <v>0.29816238524154959</v>
      </c>
      <c r="J119" s="133">
        <v>0.29816238524154959</v>
      </c>
      <c r="K119" s="133">
        <v>2.3814181235727556E-2</v>
      </c>
      <c r="L119" s="133">
        <v>2.9566034592896511</v>
      </c>
      <c r="M119" s="45">
        <v>16050.667234951798</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2.4485649042956931E-2</v>
      </c>
      <c r="G121" s="133">
        <v>1.6404992962798483E-2</v>
      </c>
      <c r="H121" s="133">
        <v>2.4598330769534275E-2</v>
      </c>
      <c r="I121" s="133">
        <v>7.9725740150426022E-3</v>
      </c>
      <c r="J121" s="133">
        <v>7.9725740150426022E-3</v>
      </c>
      <c r="K121" s="133">
        <v>4.6973713998598707E-4</v>
      </c>
      <c r="L121" s="133">
        <v>8.5243738836784128E-2</v>
      </c>
      <c r="M121" s="45">
        <v>314.34450241539662</v>
      </c>
    </row>
    <row r="122" spans="1:13" x14ac:dyDescent="0.25">
      <c r="A122" s="812" t="s">
        <v>1996</v>
      </c>
      <c r="B122" s="812">
        <v>7</v>
      </c>
      <c r="C122" s="608">
        <v>39476</v>
      </c>
      <c r="D122" s="812">
        <v>99705</v>
      </c>
      <c r="E122" s="812" t="s">
        <v>1599</v>
      </c>
      <c r="F122" s="133">
        <v>4.1972869495088574</v>
      </c>
      <c r="G122" s="133">
        <v>0.83646212036048695</v>
      </c>
      <c r="H122" s="133">
        <v>1.4000864494641989</v>
      </c>
      <c r="I122" s="133">
        <v>1.2568194575222336</v>
      </c>
      <c r="J122" s="133">
        <v>1.2568194575222336</v>
      </c>
      <c r="K122" s="133">
        <v>5.5744341977531336E-2</v>
      </c>
      <c r="L122" s="133">
        <v>13.642588812345229</v>
      </c>
      <c r="M122" s="45">
        <v>17030.116470676621</v>
      </c>
    </row>
    <row r="123" spans="1:13" x14ac:dyDescent="0.25">
      <c r="A123" s="812" t="s">
        <v>1996</v>
      </c>
      <c r="B123" s="812">
        <v>7</v>
      </c>
      <c r="C123" s="608">
        <v>39476</v>
      </c>
      <c r="D123" s="812">
        <v>99709</v>
      </c>
      <c r="E123" s="812" t="s">
        <v>1600</v>
      </c>
      <c r="F123" s="133">
        <v>3.671249088682079</v>
      </c>
      <c r="G123" s="133">
        <v>0.9520159361114745</v>
      </c>
      <c r="H123" s="133">
        <v>1.5603543086457208</v>
      </c>
      <c r="I123" s="133">
        <v>0.97354225251097171</v>
      </c>
      <c r="J123" s="133">
        <v>0.97354225251097171</v>
      </c>
      <c r="K123" s="133">
        <v>4.7104493774789202E-2</v>
      </c>
      <c r="L123" s="133">
        <v>10.045377153649884</v>
      </c>
      <c r="M123" s="45">
        <v>19274.428652412618</v>
      </c>
    </row>
    <row r="124" spans="1:13" x14ac:dyDescent="0.25">
      <c r="A124" s="812" t="s">
        <v>1996</v>
      </c>
      <c r="B124" s="812">
        <v>7</v>
      </c>
      <c r="C124" s="608">
        <v>39476</v>
      </c>
      <c r="D124" s="812">
        <v>99712</v>
      </c>
      <c r="E124" s="812" t="s">
        <v>1601</v>
      </c>
      <c r="F124" s="133">
        <v>1.9741926218151298</v>
      </c>
      <c r="G124" s="133">
        <v>0.32463830081140788</v>
      </c>
      <c r="H124" s="133">
        <v>0.57884684923002949</v>
      </c>
      <c r="I124" s="133">
        <v>0.5248592582903272</v>
      </c>
      <c r="J124" s="133">
        <v>0.5248592582903272</v>
      </c>
      <c r="K124" s="133">
        <v>2.4100605813020159E-2</v>
      </c>
      <c r="L124" s="133">
        <v>5.4690157349748389</v>
      </c>
      <c r="M124" s="45">
        <v>6718.877197411377</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8.3817276066830448E-5</v>
      </c>
      <c r="G136" s="133">
        <v>2.0343321413444967E-3</v>
      </c>
      <c r="H136" s="133">
        <v>1.290621785568718E-3</v>
      </c>
      <c r="I136" s="133">
        <v>6.2248292350750085E-5</v>
      </c>
      <c r="J136" s="133">
        <v>6.2248292350750085E-5</v>
      </c>
      <c r="K136" s="133">
        <v>4.4527327406529516E-5</v>
      </c>
      <c r="L136" s="133">
        <v>1.2947412506569492E-4</v>
      </c>
      <c r="M136" s="45">
        <v>32.338546559874047</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1.1001012833373673</v>
      </c>
      <c r="G138" s="133">
        <v>0.87676905618536727</v>
      </c>
      <c r="H138" s="133">
        <v>1.1311346206209809</v>
      </c>
      <c r="I138" s="133">
        <v>0.31253262126204373</v>
      </c>
      <c r="J138" s="133">
        <v>0.31253262126204373</v>
      </c>
      <c r="K138" s="133">
        <v>2.4443475953076683E-2</v>
      </c>
      <c r="L138" s="133">
        <v>3.108480428464774</v>
      </c>
      <c r="M138" s="45">
        <v>16147.905664258737</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2.5657607152178966E-2</v>
      </c>
      <c r="G140" s="133">
        <v>1.6570992854941735E-2</v>
      </c>
      <c r="H140" s="133">
        <v>2.5278995882571736E-2</v>
      </c>
      <c r="I140" s="133">
        <v>8.3266480793869353E-3</v>
      </c>
      <c r="J140" s="133">
        <v>8.3266480793869353E-3</v>
      </c>
      <c r="K140" s="133">
        <v>4.8399929482296128E-4</v>
      </c>
      <c r="L140" s="133">
        <v>8.9217050584467147E-2</v>
      </c>
      <c r="M140" s="45">
        <v>319.74921370194613</v>
      </c>
    </row>
    <row r="141" spans="1:13" x14ac:dyDescent="0.25">
      <c r="A141" s="812" t="s">
        <v>1996</v>
      </c>
      <c r="B141" s="812">
        <v>8</v>
      </c>
      <c r="C141" s="608">
        <v>39477</v>
      </c>
      <c r="D141" s="812">
        <v>99705</v>
      </c>
      <c r="E141" s="812" t="s">
        <v>1599</v>
      </c>
      <c r="F141" s="133">
        <v>4.3499108159879771</v>
      </c>
      <c r="G141" s="133">
        <v>0.85701890406081549</v>
      </c>
      <c r="H141" s="133">
        <v>1.4413336384753355</v>
      </c>
      <c r="I141" s="133">
        <v>1.30152398843731</v>
      </c>
      <c r="J141" s="133">
        <v>1.30152398843731</v>
      </c>
      <c r="K141" s="133">
        <v>5.7690572133455402E-2</v>
      </c>
      <c r="L141" s="133">
        <v>14.140168085000392</v>
      </c>
      <c r="M141" s="45">
        <v>17476.665020159835</v>
      </c>
    </row>
    <row r="142" spans="1:13" x14ac:dyDescent="0.25">
      <c r="A142" s="812" t="s">
        <v>1996</v>
      </c>
      <c r="B142" s="812">
        <v>8</v>
      </c>
      <c r="C142" s="608">
        <v>39477</v>
      </c>
      <c r="D142" s="812">
        <v>99709</v>
      </c>
      <c r="E142" s="812" t="s">
        <v>1600</v>
      </c>
      <c r="F142" s="133">
        <v>3.8693997747212769</v>
      </c>
      <c r="G142" s="133">
        <v>0.97354079000465044</v>
      </c>
      <c r="H142" s="133">
        <v>1.6130702676813284</v>
      </c>
      <c r="I142" s="133">
        <v>1.0221727044033349</v>
      </c>
      <c r="J142" s="133">
        <v>1.0221727044033349</v>
      </c>
      <c r="K142" s="133">
        <v>4.9219208993572752E-2</v>
      </c>
      <c r="L142" s="133">
        <v>10.546068889929806</v>
      </c>
      <c r="M142" s="45">
        <v>19791.451651759511</v>
      </c>
    </row>
    <row r="143" spans="1:13" x14ac:dyDescent="0.25">
      <c r="A143" s="812" t="s">
        <v>1996</v>
      </c>
      <c r="B143" s="812">
        <v>8</v>
      </c>
      <c r="C143" s="608">
        <v>39477</v>
      </c>
      <c r="D143" s="812">
        <v>99712</v>
      </c>
      <c r="E143" s="812" t="s">
        <v>1601</v>
      </c>
      <c r="F143" s="133">
        <v>2.0758437497363516</v>
      </c>
      <c r="G143" s="133">
        <v>0.33667262868443187</v>
      </c>
      <c r="H143" s="133">
        <v>0.60202253939476924</v>
      </c>
      <c r="I143" s="133">
        <v>0.55040731960004585</v>
      </c>
      <c r="J143" s="133">
        <v>0.55040731960004585</v>
      </c>
      <c r="K143" s="133">
        <v>2.5262048671776564E-2</v>
      </c>
      <c r="L143" s="133">
        <v>5.7358887873458846</v>
      </c>
      <c r="M143" s="45">
        <v>6973.5190882257348</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8.138171644887226E-5</v>
      </c>
      <c r="G155" s="133">
        <v>1.9728453627705167E-3</v>
      </c>
      <c r="H155" s="133">
        <v>1.2471601977269145E-3</v>
      </c>
      <c r="I155" s="133">
        <v>6.0688587641760175E-5</v>
      </c>
      <c r="J155" s="133">
        <v>6.0688587641760175E-5</v>
      </c>
      <c r="K155" s="133">
        <v>4.4443649248892192E-5</v>
      </c>
      <c r="L155" s="133">
        <v>1.2794431469696064E-4</v>
      </c>
      <c r="M155" s="45">
        <v>31.392333356263364</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1.0392433181007925</v>
      </c>
      <c r="G157" s="133">
        <v>0.80180393918328152</v>
      </c>
      <c r="H157" s="133">
        <v>1.055055041681954</v>
      </c>
      <c r="I157" s="133">
        <v>0.29582895480237031</v>
      </c>
      <c r="J157" s="133">
        <v>0.29582895480237031</v>
      </c>
      <c r="K157" s="133">
        <v>2.3705841410679277E-2</v>
      </c>
      <c r="L157" s="133">
        <v>2.9525056466248705</v>
      </c>
      <c r="M157" s="45">
        <v>14912.21032976133</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2.4279551297241551E-2</v>
      </c>
      <c r="G159" s="133">
        <v>1.5299029286592679E-2</v>
      </c>
      <c r="H159" s="133">
        <v>2.3707027920694158E-2</v>
      </c>
      <c r="I159" s="133">
        <v>7.8801475129847837E-3</v>
      </c>
      <c r="J159" s="133">
        <v>7.8801475129847837E-3</v>
      </c>
      <c r="K159" s="133">
        <v>4.6563731330740251E-4</v>
      </c>
      <c r="L159" s="133">
        <v>8.4521485099741209E-2</v>
      </c>
      <c r="M159" s="45">
        <v>297.67100087222417</v>
      </c>
    </row>
    <row r="160" spans="1:13" x14ac:dyDescent="0.25">
      <c r="A160" s="812" t="s">
        <v>1996</v>
      </c>
      <c r="B160" s="812">
        <v>9</v>
      </c>
      <c r="C160" s="608">
        <v>39478</v>
      </c>
      <c r="D160" s="812">
        <v>99705</v>
      </c>
      <c r="E160" s="812" t="s">
        <v>1599</v>
      </c>
      <c r="F160" s="133">
        <v>4.2489396808525113</v>
      </c>
      <c r="G160" s="133">
        <v>0.82768361627629983</v>
      </c>
      <c r="H160" s="133">
        <v>1.4025272771341901</v>
      </c>
      <c r="I160" s="133">
        <v>1.2709790164262531</v>
      </c>
      <c r="J160" s="133">
        <v>1.2709790164262531</v>
      </c>
      <c r="K160" s="133">
        <v>5.6380345880048352E-2</v>
      </c>
      <c r="L160" s="133">
        <v>13.80138949399459</v>
      </c>
      <c r="M160" s="45">
        <v>16935.615867801171</v>
      </c>
    </row>
    <row r="161" spans="1:13" x14ac:dyDescent="0.25">
      <c r="A161" s="812" t="s">
        <v>1996</v>
      </c>
      <c r="B161" s="812">
        <v>9</v>
      </c>
      <c r="C161" s="608">
        <v>39478</v>
      </c>
      <c r="D161" s="812">
        <v>99709</v>
      </c>
      <c r="E161" s="812" t="s">
        <v>1600</v>
      </c>
      <c r="F161" s="133">
        <v>3.8868608303255781</v>
      </c>
      <c r="G161" s="133">
        <v>0.94216127534354899</v>
      </c>
      <c r="H161" s="133">
        <v>1.5845738025494542</v>
      </c>
      <c r="I161" s="133">
        <v>1.027019556749067</v>
      </c>
      <c r="J161" s="133">
        <v>1.027019556749067</v>
      </c>
      <c r="K161" s="133">
        <v>4.9381283099082657E-2</v>
      </c>
      <c r="L161" s="133">
        <v>10.61119710567187</v>
      </c>
      <c r="M161" s="45">
        <v>19287.580393514487</v>
      </c>
    </row>
    <row r="162" spans="1:13" x14ac:dyDescent="0.25">
      <c r="A162" s="812" t="s">
        <v>1996</v>
      </c>
      <c r="B162" s="812">
        <v>9</v>
      </c>
      <c r="C162" s="608">
        <v>39478</v>
      </c>
      <c r="D162" s="812">
        <v>99712</v>
      </c>
      <c r="E162" s="812" t="s">
        <v>1601</v>
      </c>
      <c r="F162" s="133">
        <v>2.2334681543822619</v>
      </c>
      <c r="G162" s="133">
        <v>0.35377524225165791</v>
      </c>
      <c r="H162" s="133">
        <v>0.63664600671841265</v>
      </c>
      <c r="I162" s="133">
        <v>0.59071423594625216</v>
      </c>
      <c r="J162" s="133">
        <v>0.59071423594625216</v>
      </c>
      <c r="K162" s="133">
        <v>2.7085075807675864E-2</v>
      </c>
      <c r="L162" s="133">
        <v>6.161205478536985</v>
      </c>
      <c r="M162" s="45">
        <v>7343.6319127003799</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7.2451331183025639E-5</v>
      </c>
      <c r="G174" s="133">
        <v>1.7473938413325935E-3</v>
      </c>
      <c r="H174" s="133">
        <v>1.0878010423069711E-3</v>
      </c>
      <c r="I174" s="133">
        <v>5.496967037546393E-5</v>
      </c>
      <c r="J174" s="133">
        <v>5.496967037546393E-5</v>
      </c>
      <c r="K174" s="133">
        <v>4.4136829337555409E-5</v>
      </c>
      <c r="L174" s="133">
        <v>1.2233501001160174E-4</v>
      </c>
      <c r="M174" s="45">
        <v>27.922884943024204</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0.9478140752246933</v>
      </c>
      <c r="G176" s="133">
        <v>0.77254719624374324</v>
      </c>
      <c r="H176" s="133">
        <v>0.99838012550400668</v>
      </c>
      <c r="I176" s="133">
        <v>0.272310308388379</v>
      </c>
      <c r="J176" s="133">
        <v>0.272310308388379</v>
      </c>
      <c r="K176" s="133">
        <v>2.2673327834974666E-2</v>
      </c>
      <c r="L176" s="133">
        <v>2.7123466972361339</v>
      </c>
      <c r="M176" s="45">
        <v>14294.776278751213</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2.2205407949004115E-2</v>
      </c>
      <c r="G178" s="133">
        <v>1.4569841283588559E-2</v>
      </c>
      <c r="H178" s="133">
        <v>2.2244331842265232E-2</v>
      </c>
      <c r="I178" s="133">
        <v>7.2463477137951733E-3</v>
      </c>
      <c r="J178" s="133">
        <v>7.2463477137951733E-3</v>
      </c>
      <c r="K178" s="133">
        <v>4.3949090645231431E-4</v>
      </c>
      <c r="L178" s="133">
        <v>7.7551918556073365E-2</v>
      </c>
      <c r="M178" s="45">
        <v>282.04695590146014</v>
      </c>
    </row>
    <row r="179" spans="1:13" x14ac:dyDescent="0.25">
      <c r="A179" s="812" t="s">
        <v>1996</v>
      </c>
      <c r="B179" s="812">
        <v>10</v>
      </c>
      <c r="C179" s="608">
        <v>39479</v>
      </c>
      <c r="D179" s="812">
        <v>99705</v>
      </c>
      <c r="E179" s="812" t="s">
        <v>1599</v>
      </c>
      <c r="F179" s="133">
        <v>3.8267100220339421</v>
      </c>
      <c r="G179" s="133">
        <v>0.76116866460668897</v>
      </c>
      <c r="H179" s="133">
        <v>1.2830595316008675</v>
      </c>
      <c r="I179" s="133">
        <v>1.1485397123177221</v>
      </c>
      <c r="J179" s="133">
        <v>1.1485397123177221</v>
      </c>
      <c r="K179" s="133">
        <v>5.1053274453602249E-2</v>
      </c>
      <c r="L179" s="133">
        <v>12.447672928997315</v>
      </c>
      <c r="M179" s="45">
        <v>15557.844754824468</v>
      </c>
    </row>
    <row r="180" spans="1:13" x14ac:dyDescent="0.25">
      <c r="A180" s="812" t="s">
        <v>1996</v>
      </c>
      <c r="B180" s="812">
        <v>10</v>
      </c>
      <c r="C180" s="608">
        <v>39479</v>
      </c>
      <c r="D180" s="812">
        <v>99709</v>
      </c>
      <c r="E180" s="812" t="s">
        <v>1600</v>
      </c>
      <c r="F180" s="133">
        <v>3.514892915122529</v>
      </c>
      <c r="G180" s="133">
        <v>0.8859427104251103</v>
      </c>
      <c r="H180" s="133">
        <v>1.4777794893403184</v>
      </c>
      <c r="I180" s="133">
        <v>0.93561697670123745</v>
      </c>
      <c r="J180" s="133">
        <v>0.93561697670123745</v>
      </c>
      <c r="K180" s="133">
        <v>4.539376187699936E-2</v>
      </c>
      <c r="L180" s="133">
        <v>9.6745294759163691</v>
      </c>
      <c r="M180" s="45">
        <v>18092.098590110927</v>
      </c>
    </row>
    <row r="181" spans="1:13" x14ac:dyDescent="0.25">
      <c r="A181" s="812" t="s">
        <v>1996</v>
      </c>
      <c r="B181" s="812">
        <v>10</v>
      </c>
      <c r="C181" s="608">
        <v>39479</v>
      </c>
      <c r="D181" s="812">
        <v>99712</v>
      </c>
      <c r="E181" s="812" t="s">
        <v>1601</v>
      </c>
      <c r="F181" s="133">
        <v>1.9941971295996221</v>
      </c>
      <c r="G181" s="133">
        <v>0.32412735439596274</v>
      </c>
      <c r="H181" s="133">
        <v>0.582318964804596</v>
      </c>
      <c r="I181" s="133">
        <v>0.53118308324837171</v>
      </c>
      <c r="J181" s="133">
        <v>0.53118308324837171</v>
      </c>
      <c r="K181" s="133">
        <v>2.4363463303945954E-2</v>
      </c>
      <c r="L181" s="133">
        <v>5.5426401141723289</v>
      </c>
      <c r="M181" s="45">
        <v>6729.8723374552601</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7.163947797703955E-5</v>
      </c>
      <c r="G193" s="133">
        <v>1.7268982484746E-3</v>
      </c>
      <c r="H193" s="133">
        <v>1.0733138463597032E-3</v>
      </c>
      <c r="I193" s="133">
        <v>5.4449768805800604E-5</v>
      </c>
      <c r="J193" s="133">
        <v>5.4449768805800604E-5</v>
      </c>
      <c r="K193" s="133">
        <v>4.4108936618342954E-5</v>
      </c>
      <c r="L193" s="133">
        <v>1.218250732220236E-4</v>
      </c>
      <c r="M193" s="45">
        <v>27.607480541820639</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0.91804905317886099</v>
      </c>
      <c r="G195" s="133">
        <v>0.82370851477153806</v>
      </c>
      <c r="H195" s="133">
        <v>1.0291085141647709</v>
      </c>
      <c r="I195" s="133">
        <v>0.26975813301108958</v>
      </c>
      <c r="J195" s="133">
        <v>0.26975813301108958</v>
      </c>
      <c r="K195" s="133">
        <v>2.2514973254514292E-2</v>
      </c>
      <c r="L195" s="133">
        <v>2.6941954253891076</v>
      </c>
      <c r="M195" s="45">
        <v>15034.2701524247</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2.1898394759619012E-2</v>
      </c>
      <c r="G197" s="133">
        <v>1.5295140747092942E-2</v>
      </c>
      <c r="H197" s="133">
        <v>2.2707244319573952E-2</v>
      </c>
      <c r="I197" s="133">
        <v>7.2759924830855189E-3</v>
      </c>
      <c r="J197" s="133">
        <v>7.2759924830855189E-3</v>
      </c>
      <c r="K197" s="133">
        <v>4.4025629472512758E-4</v>
      </c>
      <c r="L197" s="133">
        <v>7.8229350886367885E-2</v>
      </c>
      <c r="M197" s="45">
        <v>292.40469749114914</v>
      </c>
    </row>
    <row r="198" spans="1:13" x14ac:dyDescent="0.25">
      <c r="A198" s="812" t="s">
        <v>1996</v>
      </c>
      <c r="B198" s="812">
        <v>11</v>
      </c>
      <c r="C198" s="608">
        <v>39480</v>
      </c>
      <c r="D198" s="812">
        <v>99705</v>
      </c>
      <c r="E198" s="812" t="s">
        <v>1599</v>
      </c>
      <c r="F198" s="133">
        <v>3.8475695372791736</v>
      </c>
      <c r="G198" s="133">
        <v>0.78786808515630913</v>
      </c>
      <c r="H198" s="133">
        <v>1.3164297080266412</v>
      </c>
      <c r="I198" s="133">
        <v>1.1719739329573013</v>
      </c>
      <c r="J198" s="133">
        <v>1.1719739329573013</v>
      </c>
      <c r="K198" s="133">
        <v>5.201660825651875E-2</v>
      </c>
      <c r="L198" s="133">
        <v>12.814201680534122</v>
      </c>
      <c r="M198" s="45">
        <v>16043.292436169846</v>
      </c>
    </row>
    <row r="199" spans="1:13" x14ac:dyDescent="0.25">
      <c r="A199" s="812" t="s">
        <v>1996</v>
      </c>
      <c r="B199" s="812">
        <v>11</v>
      </c>
      <c r="C199" s="608">
        <v>39480</v>
      </c>
      <c r="D199" s="812">
        <v>99709</v>
      </c>
      <c r="E199" s="812" t="s">
        <v>1600</v>
      </c>
      <c r="F199" s="133">
        <v>3.312595352227099</v>
      </c>
      <c r="G199" s="133">
        <v>0.89641498151110199</v>
      </c>
      <c r="H199" s="133">
        <v>1.4634984454812503</v>
      </c>
      <c r="I199" s="133">
        <v>0.90092754702659805</v>
      </c>
      <c r="J199" s="133">
        <v>0.90092754702659805</v>
      </c>
      <c r="K199" s="133">
        <v>4.3737036692530512E-2</v>
      </c>
      <c r="L199" s="133">
        <v>9.399974336087304</v>
      </c>
      <c r="M199" s="45">
        <v>18147.761990893276</v>
      </c>
    </row>
    <row r="200" spans="1:13" x14ac:dyDescent="0.25">
      <c r="A200" s="812" t="s">
        <v>1996</v>
      </c>
      <c r="B200" s="812">
        <v>11</v>
      </c>
      <c r="C200" s="608">
        <v>39480</v>
      </c>
      <c r="D200" s="812">
        <v>99712</v>
      </c>
      <c r="E200" s="812" t="s">
        <v>1601</v>
      </c>
      <c r="F200" s="133">
        <v>1.8697989681579179</v>
      </c>
      <c r="G200" s="133">
        <v>0.31825372015267239</v>
      </c>
      <c r="H200" s="133">
        <v>0.56800878528393917</v>
      </c>
      <c r="I200" s="133">
        <v>0.50867078202038674</v>
      </c>
      <c r="J200" s="133">
        <v>0.50867078202038674</v>
      </c>
      <c r="K200" s="133">
        <v>2.3277547229609428E-2</v>
      </c>
      <c r="L200" s="133">
        <v>5.3624650406151684</v>
      </c>
      <c r="M200" s="45">
        <v>6593.7046425213584</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7.9758010036900162E-5</v>
      </c>
      <c r="G212" s="133">
        <v>1.9318541770545314E-3</v>
      </c>
      <c r="H212" s="133">
        <v>1.2181858058323801E-3</v>
      </c>
      <c r="I212" s="133">
        <v>5.9648784502433605E-5</v>
      </c>
      <c r="J212" s="133">
        <v>5.9648784502433605E-5</v>
      </c>
      <c r="K212" s="133">
        <v>4.4387863810467329E-5</v>
      </c>
      <c r="L212" s="133">
        <v>1.2692444111780449E-4</v>
      </c>
      <c r="M212" s="45">
        <v>30.761524553856244</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1.0806687612929713</v>
      </c>
      <c r="G214" s="133">
        <v>0.91997504599666224</v>
      </c>
      <c r="H214" s="133">
        <v>1.1605818412335513</v>
      </c>
      <c r="I214" s="133">
        <v>0.31251143797908698</v>
      </c>
      <c r="J214" s="133">
        <v>0.31251143797908698</v>
      </c>
      <c r="K214" s="133">
        <v>2.4393755517228936E-2</v>
      </c>
      <c r="L214" s="133">
        <v>3.1195858362647186</v>
      </c>
      <c r="M214" s="45">
        <v>16790.37373491397</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2.5302727511783543E-2</v>
      </c>
      <c r="G216" s="133">
        <v>1.7119557209756484E-2</v>
      </c>
      <c r="H216" s="133">
        <v>2.5571181117898335E-2</v>
      </c>
      <c r="I216" s="133">
        <v>8.3350966055179936E-3</v>
      </c>
      <c r="J216" s="133">
        <v>8.3350966055179936E-3</v>
      </c>
      <c r="K216" s="133">
        <v>4.8403338246109007E-4</v>
      </c>
      <c r="L216" s="133">
        <v>8.970029952511431E-2</v>
      </c>
      <c r="M216" s="45">
        <v>327.28738209620701</v>
      </c>
    </row>
    <row r="217" spans="1:13" x14ac:dyDescent="0.25">
      <c r="A217" s="812" t="s">
        <v>1996</v>
      </c>
      <c r="B217" s="812">
        <v>12</v>
      </c>
      <c r="C217" s="608">
        <v>39481</v>
      </c>
      <c r="D217" s="812">
        <v>99705</v>
      </c>
      <c r="E217" s="812" t="s">
        <v>1599</v>
      </c>
      <c r="F217" s="133">
        <v>4.3208166794313145</v>
      </c>
      <c r="G217" s="133">
        <v>0.87361148897551488</v>
      </c>
      <c r="H217" s="133">
        <v>1.4592466666668087</v>
      </c>
      <c r="I217" s="133">
        <v>1.3100797214978814</v>
      </c>
      <c r="J217" s="133">
        <v>1.3100797214978814</v>
      </c>
      <c r="K217" s="133">
        <v>5.8043218160789452E-2</v>
      </c>
      <c r="L217" s="133">
        <v>14.341823595889474</v>
      </c>
      <c r="M217" s="45">
        <v>17763.076827943194</v>
      </c>
    </row>
    <row r="218" spans="1:13" x14ac:dyDescent="0.25">
      <c r="A218" s="812" t="s">
        <v>1996</v>
      </c>
      <c r="B218" s="812">
        <v>12</v>
      </c>
      <c r="C218" s="608">
        <v>39481</v>
      </c>
      <c r="D218" s="812">
        <v>99709</v>
      </c>
      <c r="E218" s="812" t="s">
        <v>1600</v>
      </c>
      <c r="F218" s="133">
        <v>3.9769566651028083</v>
      </c>
      <c r="G218" s="133">
        <v>1.0195304915407273</v>
      </c>
      <c r="H218" s="133">
        <v>1.6713446414764987</v>
      </c>
      <c r="I218" s="133">
        <v>1.0652655322824178</v>
      </c>
      <c r="J218" s="133">
        <v>1.0652655322824178</v>
      </c>
      <c r="K218" s="133">
        <v>5.0881968567121474E-2</v>
      </c>
      <c r="L218" s="133">
        <v>11.082033626280285</v>
      </c>
      <c r="M218" s="45">
        <v>20636.051201288399</v>
      </c>
    </row>
    <row r="219" spans="1:13" x14ac:dyDescent="0.25">
      <c r="A219" s="812" t="s">
        <v>1996</v>
      </c>
      <c r="B219" s="812">
        <v>12</v>
      </c>
      <c r="C219" s="608">
        <v>39481</v>
      </c>
      <c r="D219" s="812">
        <v>99712</v>
      </c>
      <c r="E219" s="812" t="s">
        <v>1601</v>
      </c>
      <c r="F219" s="133">
        <v>2.2460320001575975</v>
      </c>
      <c r="G219" s="133">
        <v>0.36732372682328746</v>
      </c>
      <c r="H219" s="133">
        <v>0.65544469855418608</v>
      </c>
      <c r="I219" s="133">
        <v>0.60242522009456645</v>
      </c>
      <c r="J219" s="133">
        <v>0.60242522009456645</v>
      </c>
      <c r="K219" s="133">
        <v>2.7560924039925157E-2</v>
      </c>
      <c r="L219" s="133">
        <v>6.3365065518541472</v>
      </c>
      <c r="M219" s="45">
        <v>7598.1855454813722</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8.7876542096760761E-5</v>
      </c>
      <c r="G231" s="133">
        <v>2.136810105634462E-3</v>
      </c>
      <c r="H231" s="133">
        <v>1.3630577653050563E-3</v>
      </c>
      <c r="I231" s="133">
        <v>6.4847800199066579E-5</v>
      </c>
      <c r="J231" s="133">
        <v>6.4847800199066579E-5</v>
      </c>
      <c r="K231" s="133">
        <v>4.4666791002591683E-5</v>
      </c>
      <c r="L231" s="133">
        <v>1.3202380901358534E-4</v>
      </c>
      <c r="M231" s="45">
        <v>33.915568565891846</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1.2353941862450057</v>
      </c>
      <c r="G233" s="133">
        <v>0.99312285578518067</v>
      </c>
      <c r="H233" s="133">
        <v>1.2660939459087823</v>
      </c>
      <c r="I233" s="133">
        <v>0.34907472590286176</v>
      </c>
      <c r="J233" s="133">
        <v>0.34907472590286176</v>
      </c>
      <c r="K233" s="133">
        <v>2.604546437982665E-2</v>
      </c>
      <c r="L233" s="133">
        <v>3.4642613878904425</v>
      </c>
      <c r="M233" s="45">
        <v>18150.665832081224</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2.8698903244761948E-2</v>
      </c>
      <c r="G235" s="133">
        <v>1.8636224510756291E-2</v>
      </c>
      <c r="H235" s="133">
        <v>2.8125638149040559E-2</v>
      </c>
      <c r="I235" s="133">
        <v>9.2827750850185669E-3</v>
      </c>
      <c r="J235" s="133">
        <v>9.2827750850185669E-3</v>
      </c>
      <c r="K235" s="133">
        <v>5.2386725627750802E-4</v>
      </c>
      <c r="L235" s="133">
        <v>9.9442423011499567E-2</v>
      </c>
      <c r="M235" s="45">
        <v>357.13705246817705</v>
      </c>
    </row>
    <row r="236" spans="1:13" x14ac:dyDescent="0.25">
      <c r="A236" s="812" t="s">
        <v>1996</v>
      </c>
      <c r="B236" s="812">
        <v>13</v>
      </c>
      <c r="C236" s="608">
        <v>39482</v>
      </c>
      <c r="D236" s="812">
        <v>99705</v>
      </c>
      <c r="E236" s="812" t="s">
        <v>1599</v>
      </c>
      <c r="F236" s="133">
        <v>4.8493188114934114</v>
      </c>
      <c r="G236" s="133">
        <v>0.95200394840191116</v>
      </c>
      <c r="H236" s="133">
        <v>1.594004622587647</v>
      </c>
      <c r="I236" s="133">
        <v>1.4470565806789406</v>
      </c>
      <c r="J236" s="133">
        <v>1.4470565806789406</v>
      </c>
      <c r="K236" s="133">
        <v>6.4020641820526469E-2</v>
      </c>
      <c r="L236" s="133">
        <v>15.747131010667816</v>
      </c>
      <c r="M236" s="45">
        <v>19356.934489036335</v>
      </c>
    </row>
    <row r="237" spans="1:13" x14ac:dyDescent="0.25">
      <c r="A237" s="812" t="s">
        <v>1996</v>
      </c>
      <c r="B237" s="812">
        <v>13</v>
      </c>
      <c r="C237" s="608">
        <v>39482</v>
      </c>
      <c r="D237" s="812">
        <v>99709</v>
      </c>
      <c r="E237" s="812" t="s">
        <v>1600</v>
      </c>
      <c r="F237" s="133">
        <v>4.3688552863634609</v>
      </c>
      <c r="G237" s="133">
        <v>1.0876687412278769</v>
      </c>
      <c r="H237" s="133">
        <v>1.7871314862689534</v>
      </c>
      <c r="I237" s="133">
        <v>1.1468899265035002</v>
      </c>
      <c r="J237" s="133">
        <v>1.1468899265035002</v>
      </c>
      <c r="K237" s="133">
        <v>5.4629813806580753E-2</v>
      </c>
      <c r="L237" s="133">
        <v>11.821289679627506</v>
      </c>
      <c r="M237" s="45">
        <v>22004.021046610378</v>
      </c>
    </row>
    <row r="238" spans="1:13" x14ac:dyDescent="0.25">
      <c r="A238" s="812" t="s">
        <v>1996</v>
      </c>
      <c r="B238" s="812">
        <v>13</v>
      </c>
      <c r="C238" s="608">
        <v>39482</v>
      </c>
      <c r="D238" s="812">
        <v>99712</v>
      </c>
      <c r="E238" s="812" t="s">
        <v>1601</v>
      </c>
      <c r="F238" s="133">
        <v>2.3722868856445474</v>
      </c>
      <c r="G238" s="133">
        <v>0.37786624861763152</v>
      </c>
      <c r="H238" s="133">
        <v>0.67351662236377108</v>
      </c>
      <c r="I238" s="133">
        <v>0.62482749031747564</v>
      </c>
      <c r="J238" s="133">
        <v>0.62482749031747564</v>
      </c>
      <c r="K238" s="133">
        <v>2.8650608505673469E-2</v>
      </c>
      <c r="L238" s="133">
        <v>6.5109022681782642</v>
      </c>
      <c r="M238" s="45">
        <v>7808.4630554075648</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9.3559514538663172E-5</v>
      </c>
      <c r="G250" s="133">
        <v>2.2802792556404134E-3</v>
      </c>
      <c r="H250" s="133">
        <v>1.4644681369359301E-3</v>
      </c>
      <c r="I250" s="133">
        <v>6.8487111186709657E-5</v>
      </c>
      <c r="J250" s="133">
        <v>6.8487111186709657E-5</v>
      </c>
      <c r="K250" s="133">
        <v>4.4862040037078746E-5</v>
      </c>
      <c r="L250" s="133">
        <v>1.3559336654063195E-4</v>
      </c>
      <c r="M250" s="45">
        <v>36.123399374316769</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1.2654757982316334</v>
      </c>
      <c r="G252" s="133">
        <v>1.0064792694781521</v>
      </c>
      <c r="H252" s="133">
        <v>1.2874866357436081</v>
      </c>
      <c r="I252" s="133">
        <v>0.3569744211559186</v>
      </c>
      <c r="J252" s="133">
        <v>0.3569744211559186</v>
      </c>
      <c r="K252" s="133">
        <v>2.6390464956689244E-2</v>
      </c>
      <c r="L252" s="133">
        <v>3.5444148654910506</v>
      </c>
      <c r="M252" s="45">
        <v>18410.156959009186</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2.9444928384395479E-2</v>
      </c>
      <c r="G254" s="133">
        <v>1.8957482712669591E-2</v>
      </c>
      <c r="H254" s="133">
        <v>2.8713287751622182E-2</v>
      </c>
      <c r="I254" s="133">
        <v>9.5141923750662275E-3</v>
      </c>
      <c r="J254" s="133">
        <v>9.5141923750662275E-3</v>
      </c>
      <c r="K254" s="133">
        <v>5.3326531323045568E-4</v>
      </c>
      <c r="L254" s="133">
        <v>0.10197622761697603</v>
      </c>
      <c r="M254" s="45">
        <v>363.72483093771308</v>
      </c>
    </row>
    <row r="255" spans="1:13" x14ac:dyDescent="0.25">
      <c r="A255" s="812" t="s">
        <v>1996</v>
      </c>
      <c r="B255" s="812">
        <v>14</v>
      </c>
      <c r="C255" s="608">
        <v>39483</v>
      </c>
      <c r="D255" s="812">
        <v>99705</v>
      </c>
      <c r="E255" s="812" t="s">
        <v>1599</v>
      </c>
      <c r="F255" s="133">
        <v>4.962822316522562</v>
      </c>
      <c r="G255" s="133">
        <v>0.97107216226055282</v>
      </c>
      <c r="H255" s="133">
        <v>1.6271764400218001</v>
      </c>
      <c r="I255" s="133">
        <v>1.4805503208212001</v>
      </c>
      <c r="J255" s="133">
        <v>1.4805503208212001</v>
      </c>
      <c r="K255" s="133">
        <v>6.5465549733488795E-2</v>
      </c>
      <c r="L255" s="133">
        <v>16.119578934981895</v>
      </c>
      <c r="M255" s="45">
        <v>19747.386816354254</v>
      </c>
    </row>
    <row r="256" spans="1:13" x14ac:dyDescent="0.25">
      <c r="A256" s="812" t="s">
        <v>1996</v>
      </c>
      <c r="B256" s="812">
        <v>14</v>
      </c>
      <c r="C256" s="608">
        <v>39483</v>
      </c>
      <c r="D256" s="812">
        <v>99709</v>
      </c>
      <c r="E256" s="812" t="s">
        <v>1600</v>
      </c>
      <c r="F256" s="133">
        <v>4.3537257489659611</v>
      </c>
      <c r="G256" s="133">
        <v>1.0905162041896601</v>
      </c>
      <c r="H256" s="133">
        <v>1.7911450143604346</v>
      </c>
      <c r="I256" s="133">
        <v>1.1428775543053638</v>
      </c>
      <c r="J256" s="133">
        <v>1.1428775543053638</v>
      </c>
      <c r="K256" s="133">
        <v>5.4478837664610688E-2</v>
      </c>
      <c r="L256" s="133">
        <v>11.776492332364485</v>
      </c>
      <c r="M256" s="45">
        <v>22054.090967502048</v>
      </c>
    </row>
    <row r="257" spans="1:13" x14ac:dyDescent="0.25">
      <c r="A257" s="812" t="s">
        <v>1996</v>
      </c>
      <c r="B257" s="812">
        <v>14</v>
      </c>
      <c r="C257" s="608">
        <v>39483</v>
      </c>
      <c r="D257" s="812">
        <v>99712</v>
      </c>
      <c r="E257" s="812" t="s">
        <v>1601</v>
      </c>
      <c r="F257" s="133">
        <v>2.2986499484778355</v>
      </c>
      <c r="G257" s="133">
        <v>0.36942122604799527</v>
      </c>
      <c r="H257" s="133">
        <v>0.65759668122292714</v>
      </c>
      <c r="I257" s="133">
        <v>0.60695371840718382</v>
      </c>
      <c r="J257" s="133">
        <v>0.60695371840718382</v>
      </c>
      <c r="K257" s="133">
        <v>2.7826672634848289E-2</v>
      </c>
      <c r="L257" s="133">
        <v>6.3273320437702356</v>
      </c>
      <c r="M257" s="45">
        <v>7631.845873358021</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9.4371367744649221E-5</v>
      </c>
      <c r="G269" s="133">
        <v>2.3007748484984054E-3</v>
      </c>
      <c r="H269" s="133">
        <v>1.4789553328831968E-3</v>
      </c>
      <c r="I269" s="133">
        <v>6.9007012756372942E-5</v>
      </c>
      <c r="J269" s="133">
        <v>6.9007012756372942E-5</v>
      </c>
      <c r="K269" s="133">
        <v>4.4889932756291161E-5</v>
      </c>
      <c r="L269" s="133">
        <v>1.3610330333020998E-4</v>
      </c>
      <c r="M269" s="45">
        <v>36.438803775520327</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1.29812470423653</v>
      </c>
      <c r="G271" s="133">
        <v>1.0151410134652834</v>
      </c>
      <c r="H271" s="133">
        <v>1.3066567298798311</v>
      </c>
      <c r="I271" s="133">
        <v>0.36545259259401747</v>
      </c>
      <c r="J271" s="133">
        <v>0.36545259259401747</v>
      </c>
      <c r="K271" s="133">
        <v>2.6760005195183748E-2</v>
      </c>
      <c r="L271" s="133">
        <v>3.6320415814260349</v>
      </c>
      <c r="M271" s="45">
        <v>18605.054994455768</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3.0105004295765337E-2</v>
      </c>
      <c r="G273" s="133">
        <v>1.9161478602182921E-2</v>
      </c>
      <c r="H273" s="133">
        <v>2.9151184190524516E-2</v>
      </c>
      <c r="I273" s="133">
        <v>9.7144079878367633E-3</v>
      </c>
      <c r="J273" s="133">
        <v>9.7144079878367633E-3</v>
      </c>
      <c r="K273" s="133">
        <v>5.4158094139854782E-4</v>
      </c>
      <c r="L273" s="133">
        <v>0.1041836312094085</v>
      </c>
      <c r="M273" s="45">
        <v>368.24580999388633</v>
      </c>
    </row>
    <row r="274" spans="1:13" x14ac:dyDescent="0.25">
      <c r="A274" s="812" t="s">
        <v>1996</v>
      </c>
      <c r="B274" s="812">
        <v>15</v>
      </c>
      <c r="C274" s="608">
        <v>39484</v>
      </c>
      <c r="D274" s="812">
        <v>99705</v>
      </c>
      <c r="E274" s="812" t="s">
        <v>1599</v>
      </c>
      <c r="F274" s="133">
        <v>5.09091212183879</v>
      </c>
      <c r="G274" s="133">
        <v>0.99125058886808903</v>
      </c>
      <c r="H274" s="133">
        <v>1.6638797574987765</v>
      </c>
      <c r="I274" s="133">
        <v>1.5180231506111637</v>
      </c>
      <c r="J274" s="133">
        <v>1.5180231506111637</v>
      </c>
      <c r="K274" s="133">
        <v>6.7101921166644679E-2</v>
      </c>
      <c r="L274" s="133">
        <v>16.535550392485721</v>
      </c>
      <c r="M274" s="45">
        <v>20166.913683852679</v>
      </c>
    </row>
    <row r="275" spans="1:13" x14ac:dyDescent="0.25">
      <c r="A275" s="812" t="s">
        <v>1996</v>
      </c>
      <c r="B275" s="812">
        <v>15</v>
      </c>
      <c r="C275" s="608">
        <v>39484</v>
      </c>
      <c r="D275" s="812">
        <v>99709</v>
      </c>
      <c r="E275" s="812" t="s">
        <v>1600</v>
      </c>
      <c r="F275" s="133">
        <v>4.4684304030683117</v>
      </c>
      <c r="G275" s="133">
        <v>1.1079072839592481</v>
      </c>
      <c r="H275" s="133">
        <v>1.826221192612427</v>
      </c>
      <c r="I275" s="133">
        <v>1.1703613343053132</v>
      </c>
      <c r="J275" s="133">
        <v>1.1703613343053132</v>
      </c>
      <c r="K275" s="133">
        <v>5.5685071594103637E-2</v>
      </c>
      <c r="L275" s="133">
        <v>12.053993848610347</v>
      </c>
      <c r="M275" s="45">
        <v>22432.984181083135</v>
      </c>
    </row>
    <row r="276" spans="1:13" x14ac:dyDescent="0.25">
      <c r="A276" s="812" t="s">
        <v>1996</v>
      </c>
      <c r="B276" s="812">
        <v>15</v>
      </c>
      <c r="C276" s="608">
        <v>39484</v>
      </c>
      <c r="D276" s="812">
        <v>99712</v>
      </c>
      <c r="E276" s="812" t="s">
        <v>1601</v>
      </c>
      <c r="F276" s="133">
        <v>2.3229069600147634</v>
      </c>
      <c r="G276" s="133">
        <v>0.37148708510864586</v>
      </c>
      <c r="H276" s="133">
        <v>0.66157409482847973</v>
      </c>
      <c r="I276" s="133">
        <v>0.61172923841961691</v>
      </c>
      <c r="J276" s="133">
        <v>0.61172923841961691</v>
      </c>
      <c r="K276" s="133">
        <v>2.8066635865906873E-2</v>
      </c>
      <c r="L276" s="133">
        <v>6.3707021519507387</v>
      </c>
      <c r="M276" s="45">
        <v>7674.5767109357002</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9.4371367744649221E-5</v>
      </c>
      <c r="G288" s="133">
        <v>2.3007748484984063E-3</v>
      </c>
      <c r="H288" s="133">
        <v>1.478955332883197E-3</v>
      </c>
      <c r="I288" s="133">
        <v>6.9007012756372956E-5</v>
      </c>
      <c r="J288" s="133">
        <v>6.9007012756372956E-5</v>
      </c>
      <c r="K288" s="133">
        <v>4.4889932756291174E-5</v>
      </c>
      <c r="L288" s="133">
        <v>1.3610330333021001E-4</v>
      </c>
      <c r="M288" s="45">
        <v>36.438803775520327</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1.3128529231179136</v>
      </c>
      <c r="G290" s="133">
        <v>1.0242756274973301</v>
      </c>
      <c r="H290" s="133">
        <v>1.3187327959546307</v>
      </c>
      <c r="I290" s="133">
        <v>0.36926570261230512</v>
      </c>
      <c r="J290" s="133">
        <v>0.36926570261230512</v>
      </c>
      <c r="K290" s="133">
        <v>2.6929195166129224E-2</v>
      </c>
      <c r="L290" s="133">
        <v>3.6695157725776899</v>
      </c>
      <c r="M290" s="45">
        <v>18769.628068600192</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3.0378522128234831E-2</v>
      </c>
      <c r="G292" s="133">
        <v>1.9318854031274119E-2</v>
      </c>
      <c r="H292" s="133">
        <v>2.9382704999563237E-2</v>
      </c>
      <c r="I292" s="133">
        <v>9.7992132432695792E-3</v>
      </c>
      <c r="J292" s="133">
        <v>9.7992132432695792E-3</v>
      </c>
      <c r="K292" s="133">
        <v>5.4514472830244614E-4</v>
      </c>
      <c r="L292" s="133">
        <v>0.10509706855809664</v>
      </c>
      <c r="M292" s="45">
        <v>371.17105452552909</v>
      </c>
    </row>
    <row r="293" spans="1:13" x14ac:dyDescent="0.25">
      <c r="A293" s="812" t="s">
        <v>1996</v>
      </c>
      <c r="B293" s="812">
        <v>16</v>
      </c>
      <c r="C293" s="608">
        <v>39485</v>
      </c>
      <c r="D293" s="812">
        <v>99705</v>
      </c>
      <c r="E293" s="812" t="s">
        <v>1599</v>
      </c>
      <c r="F293" s="133">
        <v>5.1303854765849835</v>
      </c>
      <c r="G293" s="133">
        <v>0.99807967822945609</v>
      </c>
      <c r="H293" s="133">
        <v>1.6750496109849669</v>
      </c>
      <c r="I293" s="133">
        <v>1.5288705892297938</v>
      </c>
      <c r="J293" s="133">
        <v>1.5288705892297938</v>
      </c>
      <c r="K293" s="133">
        <v>6.7584834628768325E-2</v>
      </c>
      <c r="L293" s="133">
        <v>16.652649106599846</v>
      </c>
      <c r="M293" s="45">
        <v>20302.547709979939</v>
      </c>
    </row>
    <row r="294" spans="1:13" x14ac:dyDescent="0.25">
      <c r="A294" s="812" t="s">
        <v>1996</v>
      </c>
      <c r="B294" s="812">
        <v>16</v>
      </c>
      <c r="C294" s="608">
        <v>39485</v>
      </c>
      <c r="D294" s="812">
        <v>99709</v>
      </c>
      <c r="E294" s="812" t="s">
        <v>1600</v>
      </c>
      <c r="F294" s="133">
        <v>4.6477329396957234</v>
      </c>
      <c r="G294" s="133">
        <v>1.1343737218874546</v>
      </c>
      <c r="H294" s="133">
        <v>1.872964409995477</v>
      </c>
      <c r="I294" s="133">
        <v>1.2150881439142551</v>
      </c>
      <c r="J294" s="133">
        <v>1.2150881439142551</v>
      </c>
      <c r="K294" s="133">
        <v>5.7598439940784979E-2</v>
      </c>
      <c r="L294" s="133">
        <v>12.516367870596383</v>
      </c>
      <c r="M294" s="45">
        <v>22982.261516434373</v>
      </c>
    </row>
    <row r="295" spans="1:13" x14ac:dyDescent="0.25">
      <c r="A295" s="812" t="s">
        <v>1996</v>
      </c>
      <c r="B295" s="812">
        <v>16</v>
      </c>
      <c r="C295" s="608">
        <v>39485</v>
      </c>
      <c r="D295" s="812">
        <v>99712</v>
      </c>
      <c r="E295" s="812" t="s">
        <v>1601</v>
      </c>
      <c r="F295" s="133">
        <v>2.4839703876948387</v>
      </c>
      <c r="G295" s="133">
        <v>0.39133830353580495</v>
      </c>
      <c r="H295" s="133">
        <v>0.69790341827357627</v>
      </c>
      <c r="I295" s="133">
        <v>0.65150799445025442</v>
      </c>
      <c r="J295" s="133">
        <v>0.65150799445025442</v>
      </c>
      <c r="K295" s="133">
        <v>2.9889128315270724E-2</v>
      </c>
      <c r="L295" s="133">
        <v>6.7824593630888659</v>
      </c>
      <c r="M295" s="45">
        <v>8085.1754550536725</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9.5183220950635243E-5</v>
      </c>
      <c r="G307" s="133">
        <v>2.3212704413563983E-3</v>
      </c>
      <c r="H307" s="133">
        <v>1.4934425288304644E-3</v>
      </c>
      <c r="I307" s="133">
        <v>6.9526914326036227E-5</v>
      </c>
      <c r="J307" s="133">
        <v>6.9526914326036227E-5</v>
      </c>
      <c r="K307" s="133">
        <v>4.4917825475503596E-5</v>
      </c>
      <c r="L307" s="133">
        <v>1.3661324011978804E-4</v>
      </c>
      <c r="M307" s="45">
        <v>36.754208176723886</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1.2773797377461398</v>
      </c>
      <c r="G309" s="133">
        <v>0.99884427244767071</v>
      </c>
      <c r="H309" s="133">
        <v>1.286945634738847</v>
      </c>
      <c r="I309" s="133">
        <v>0.35982140056147222</v>
      </c>
      <c r="J309" s="133">
        <v>0.35982140056147222</v>
      </c>
      <c r="K309" s="133">
        <v>2.6514568862079545E-2</v>
      </c>
      <c r="L309" s="133">
        <v>3.5765030675008758</v>
      </c>
      <c r="M309" s="45">
        <v>18320.423470526664</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2.9686245317019317E-2</v>
      </c>
      <c r="G311" s="133">
        <v>1.8885610722176104E-2</v>
      </c>
      <c r="H311" s="133">
        <v>2.8771423667281699E-2</v>
      </c>
      <c r="I311" s="133">
        <v>9.5835664336841632E-3</v>
      </c>
      <c r="J311" s="133">
        <v>9.5835664336841632E-3</v>
      </c>
      <c r="K311" s="133">
        <v>5.3607443967650028E-4</v>
      </c>
      <c r="L311" s="133">
        <v>0.10278402105963043</v>
      </c>
      <c r="M311" s="45">
        <v>363.25574809724907</v>
      </c>
    </row>
    <row r="312" spans="1:13" x14ac:dyDescent="0.25">
      <c r="A312" s="812" t="s">
        <v>1996</v>
      </c>
      <c r="B312" s="812">
        <v>17</v>
      </c>
      <c r="C312" s="608">
        <v>39486</v>
      </c>
      <c r="D312" s="812">
        <v>99705</v>
      </c>
      <c r="E312" s="812" t="s">
        <v>1599</v>
      </c>
      <c r="F312" s="133">
        <v>4.9962277454137105</v>
      </c>
      <c r="G312" s="133">
        <v>0.97387481324012237</v>
      </c>
      <c r="H312" s="133">
        <v>1.6349692499074322</v>
      </c>
      <c r="I312" s="133">
        <v>1.4900429326802875</v>
      </c>
      <c r="J312" s="133">
        <v>1.4900429326802875</v>
      </c>
      <c r="K312" s="133">
        <v>6.5882961754582497E-2</v>
      </c>
      <c r="L312" s="133">
        <v>16.224505093999593</v>
      </c>
      <c r="M312" s="45">
        <v>19818.576129794677</v>
      </c>
    </row>
    <row r="313" spans="1:13" x14ac:dyDescent="0.25">
      <c r="A313" s="812" t="s">
        <v>1996</v>
      </c>
      <c r="B313" s="812">
        <v>17</v>
      </c>
      <c r="C313" s="608">
        <v>39486</v>
      </c>
      <c r="D313" s="812">
        <v>99709</v>
      </c>
      <c r="E313" s="812" t="s">
        <v>1600</v>
      </c>
      <c r="F313" s="133">
        <v>4.492133308839267</v>
      </c>
      <c r="G313" s="133">
        <v>1.103854201091915</v>
      </c>
      <c r="H313" s="133">
        <v>1.8225714490304852</v>
      </c>
      <c r="I313" s="133">
        <v>1.1775550045919578</v>
      </c>
      <c r="J313" s="133">
        <v>1.1775550045919578</v>
      </c>
      <c r="K313" s="133">
        <v>5.5957071243700765E-2</v>
      </c>
      <c r="L313" s="133">
        <v>12.138158755575958</v>
      </c>
      <c r="M313" s="45">
        <v>22371.802426319118</v>
      </c>
    </row>
    <row r="314" spans="1:13" x14ac:dyDescent="0.25">
      <c r="A314" s="812" t="s">
        <v>1996</v>
      </c>
      <c r="B314" s="812">
        <v>17</v>
      </c>
      <c r="C314" s="608">
        <v>39486</v>
      </c>
      <c r="D314" s="812">
        <v>99712</v>
      </c>
      <c r="E314" s="812" t="s">
        <v>1601</v>
      </c>
      <c r="F314" s="133">
        <v>2.4118631937652038</v>
      </c>
      <c r="G314" s="133">
        <v>0.38222695115058897</v>
      </c>
      <c r="H314" s="133">
        <v>0.68186078584758003</v>
      </c>
      <c r="I314" s="133">
        <v>0.63440980272076197</v>
      </c>
      <c r="J314" s="133">
        <v>0.63440980272076197</v>
      </c>
      <c r="K314" s="133">
        <v>2.9093740339246079E-2</v>
      </c>
      <c r="L314" s="133">
        <v>6.6093109613033949</v>
      </c>
      <c r="M314" s="45">
        <v>7900.147131569418</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9.2747661332677109E-5</v>
      </c>
      <c r="G326" s="133">
        <v>2.2597836627824205E-3</v>
      </c>
      <c r="H326" s="133">
        <v>1.4499809409886622E-3</v>
      </c>
      <c r="I326" s="133">
        <v>6.7967209617046358E-5</v>
      </c>
      <c r="J326" s="133">
        <v>6.7967209617046358E-5</v>
      </c>
      <c r="K326" s="133">
        <v>4.4834147317866305E-5</v>
      </c>
      <c r="L326" s="133">
        <v>1.3508342975105384E-4</v>
      </c>
      <c r="M326" s="45">
        <v>35.807994973113203</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1.0885394492635327</v>
      </c>
      <c r="G328" s="133">
        <v>0.92291613209660051</v>
      </c>
      <c r="H328" s="133">
        <v>1.1669004633358528</v>
      </c>
      <c r="I328" s="133">
        <v>0.31521532684549536</v>
      </c>
      <c r="J328" s="133">
        <v>0.31521532684549536</v>
      </c>
      <c r="K328" s="133">
        <v>2.4497102361618287E-2</v>
      </c>
      <c r="L328" s="133">
        <v>3.150524986289196</v>
      </c>
      <c r="M328" s="45">
        <v>16856.131650752523</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2.5583934375678408E-2</v>
      </c>
      <c r="G330" s="133">
        <v>1.7243262739927503E-2</v>
      </c>
      <c r="H330" s="133">
        <v>2.5845669302312042E-2</v>
      </c>
      <c r="I330" s="133">
        <v>8.4271738201034847E-3</v>
      </c>
      <c r="J330" s="133">
        <v>8.4271738201034847E-3</v>
      </c>
      <c r="K330" s="133">
        <v>4.8733205973652106E-4</v>
      </c>
      <c r="L330" s="133">
        <v>9.0723604355327891E-2</v>
      </c>
      <c r="M330" s="45">
        <v>330.0919131539024</v>
      </c>
    </row>
    <row r="331" spans="1:13" x14ac:dyDescent="0.25">
      <c r="A331" s="812" t="s">
        <v>1996</v>
      </c>
      <c r="B331" s="812">
        <v>18</v>
      </c>
      <c r="C331" s="608">
        <v>39487</v>
      </c>
      <c r="D331" s="812">
        <v>99705</v>
      </c>
      <c r="E331" s="812" t="s">
        <v>1599</v>
      </c>
      <c r="F331" s="133">
        <v>4.1005965598646021</v>
      </c>
      <c r="G331" s="133">
        <v>0.8389575309413293</v>
      </c>
      <c r="H331" s="133">
        <v>1.3963901482494352</v>
      </c>
      <c r="I331" s="133">
        <v>1.2454860269367176</v>
      </c>
      <c r="J331" s="133">
        <v>1.2454860269367176</v>
      </c>
      <c r="K331" s="133">
        <v>5.5238130473857207E-2</v>
      </c>
      <c r="L331" s="133">
        <v>13.624540881451514</v>
      </c>
      <c r="M331" s="45">
        <v>17042.483745554218</v>
      </c>
    </row>
    <row r="332" spans="1:13" x14ac:dyDescent="0.25">
      <c r="A332" s="812" t="s">
        <v>1996</v>
      </c>
      <c r="B332" s="812">
        <v>18</v>
      </c>
      <c r="C332" s="608">
        <v>39487</v>
      </c>
      <c r="D332" s="812">
        <v>99709</v>
      </c>
      <c r="E332" s="812" t="s">
        <v>1600</v>
      </c>
      <c r="F332" s="133">
        <v>3.6349744358260585</v>
      </c>
      <c r="G332" s="133">
        <v>0.97741955562733973</v>
      </c>
      <c r="H332" s="133">
        <v>1.5937494959402378</v>
      </c>
      <c r="I332" s="133">
        <v>0.9808224935594525</v>
      </c>
      <c r="J332" s="133">
        <v>0.9808224935594525</v>
      </c>
      <c r="K332" s="133">
        <v>4.722972653598384E-2</v>
      </c>
      <c r="L332" s="133">
        <v>10.209773597274383</v>
      </c>
      <c r="M332" s="45">
        <v>19745.377690749065</v>
      </c>
    </row>
    <row r="333" spans="1:13" x14ac:dyDescent="0.25">
      <c r="A333" s="812" t="s">
        <v>1996</v>
      </c>
      <c r="B333" s="812">
        <v>18</v>
      </c>
      <c r="C333" s="608">
        <v>39487</v>
      </c>
      <c r="D333" s="812">
        <v>99712</v>
      </c>
      <c r="E333" s="812" t="s">
        <v>1601</v>
      </c>
      <c r="F333" s="133">
        <v>1.8750383417775627</v>
      </c>
      <c r="G333" s="133">
        <v>0.32103510333266211</v>
      </c>
      <c r="H333" s="133">
        <v>0.57024053475785197</v>
      </c>
      <c r="I333" s="133">
        <v>0.50918134186002595</v>
      </c>
      <c r="J333" s="133">
        <v>0.50918134186002595</v>
      </c>
      <c r="K333" s="133">
        <v>2.331597629155362E-2</v>
      </c>
      <c r="L333" s="133">
        <v>5.3629527976577496</v>
      </c>
      <c r="M333" s="45">
        <v>6637.3541327944777</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8.7876542096760747E-5</v>
      </c>
      <c r="G345" s="133">
        <v>2.136810105634462E-3</v>
      </c>
      <c r="H345" s="133">
        <v>1.3630577653050563E-3</v>
      </c>
      <c r="I345" s="133">
        <v>6.4847800199066579E-5</v>
      </c>
      <c r="J345" s="133">
        <v>6.4847800199066579E-5</v>
      </c>
      <c r="K345" s="133">
        <v>4.4666791002591683E-5</v>
      </c>
      <c r="L345" s="133">
        <v>1.3202380901358534E-4</v>
      </c>
      <c r="M345" s="45">
        <v>33.915568565891846</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1.1551643136255951</v>
      </c>
      <c r="G347" s="133">
        <v>0.94520735185930682</v>
      </c>
      <c r="H347" s="133">
        <v>1.208253076116228</v>
      </c>
      <c r="I347" s="133">
        <v>0.33198406374762907</v>
      </c>
      <c r="J347" s="133">
        <v>0.33198406374762907</v>
      </c>
      <c r="K347" s="133">
        <v>2.524186783736574E-2</v>
      </c>
      <c r="L347" s="133">
        <v>3.3195054149233081</v>
      </c>
      <c r="M347" s="45">
        <v>17317.072988744079</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2.7242261490381541E-2</v>
      </c>
      <c r="G349" s="133">
        <v>1.7835233395082487E-2</v>
      </c>
      <c r="H349" s="133">
        <v>2.7011698816955972E-2</v>
      </c>
      <c r="I349" s="133">
        <v>8.9332424184148333E-3</v>
      </c>
      <c r="J349" s="133">
        <v>8.9332424184148333E-3</v>
      </c>
      <c r="K349" s="133">
        <v>5.0829776113884661E-4</v>
      </c>
      <c r="L349" s="133">
        <v>9.6282990592257908E-2</v>
      </c>
      <c r="M349" s="45">
        <v>342.6600317361524</v>
      </c>
    </row>
    <row r="350" spans="1:13" x14ac:dyDescent="0.25">
      <c r="A350" s="812" t="s">
        <v>1996</v>
      </c>
      <c r="B350" s="812">
        <v>19</v>
      </c>
      <c r="C350" s="608">
        <v>39488</v>
      </c>
      <c r="D350" s="812">
        <v>99705</v>
      </c>
      <c r="E350" s="812" t="s">
        <v>1599</v>
      </c>
      <c r="F350" s="133">
        <v>4.4273699585958193</v>
      </c>
      <c r="G350" s="133">
        <v>0.88919888187062834</v>
      </c>
      <c r="H350" s="133">
        <v>1.4861026989682846</v>
      </c>
      <c r="I350" s="133">
        <v>1.338756583227269</v>
      </c>
      <c r="J350" s="133">
        <v>1.338756583227269</v>
      </c>
      <c r="K350" s="133">
        <v>5.9284767189118522E-2</v>
      </c>
      <c r="L350" s="133">
        <v>14.648899648924866</v>
      </c>
      <c r="M350" s="45">
        <v>18082.30574066599</v>
      </c>
    </row>
    <row r="351" spans="1:13" x14ac:dyDescent="0.25">
      <c r="A351" s="812" t="s">
        <v>1996</v>
      </c>
      <c r="B351" s="812">
        <v>19</v>
      </c>
      <c r="C351" s="608">
        <v>39488</v>
      </c>
      <c r="D351" s="812">
        <v>99709</v>
      </c>
      <c r="E351" s="812" t="s">
        <v>1600</v>
      </c>
      <c r="F351" s="133">
        <v>3.9617674103458573</v>
      </c>
      <c r="G351" s="133">
        <v>1.0251511899890671</v>
      </c>
      <c r="H351" s="133">
        <v>1.6832281822358244</v>
      </c>
      <c r="I351" s="133">
        <v>1.060238857158468</v>
      </c>
      <c r="J351" s="133">
        <v>1.060238857158468</v>
      </c>
      <c r="K351" s="133">
        <v>5.0698810473818752E-2</v>
      </c>
      <c r="L351" s="133">
        <v>11.019542849130424</v>
      </c>
      <c r="M351" s="45">
        <v>20755.389234938368</v>
      </c>
    </row>
    <row r="352" spans="1:13" x14ac:dyDescent="0.25">
      <c r="A352" s="812" t="s">
        <v>1996</v>
      </c>
      <c r="B352" s="812">
        <v>19</v>
      </c>
      <c r="C352" s="608">
        <v>39488</v>
      </c>
      <c r="D352" s="812">
        <v>99712</v>
      </c>
      <c r="E352" s="812" t="s">
        <v>1601</v>
      </c>
      <c r="F352" s="133">
        <v>2.0690420197806314</v>
      </c>
      <c r="G352" s="133">
        <v>0.34373432622998279</v>
      </c>
      <c r="H352" s="133">
        <v>0.61199062234862389</v>
      </c>
      <c r="I352" s="133">
        <v>0.55557966542056247</v>
      </c>
      <c r="J352" s="133">
        <v>0.55557966542056247</v>
      </c>
      <c r="K352" s="133">
        <v>2.5469355726898912E-2</v>
      </c>
      <c r="L352" s="133">
        <v>5.8357632577706928</v>
      </c>
      <c r="M352" s="45">
        <v>7106.6159018161934</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8.8688395302746783E-5</v>
      </c>
      <c r="G364" s="133">
        <v>2.1573056984924544E-3</v>
      </c>
      <c r="H364" s="133">
        <v>1.3775449612523235E-3</v>
      </c>
      <c r="I364" s="133">
        <v>6.5367701768729864E-5</v>
      </c>
      <c r="J364" s="133">
        <v>6.5367701768729864E-5</v>
      </c>
      <c r="K364" s="133">
        <v>4.4694683721804104E-5</v>
      </c>
      <c r="L364" s="133">
        <v>1.3253374580316337E-4</v>
      </c>
      <c r="M364" s="45">
        <v>34.230972967095404</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0.78310581956001635</v>
      </c>
      <c r="G366" s="133">
        <v>0.7239216922894266</v>
      </c>
      <c r="H366" s="133">
        <v>0.87244431352983465</v>
      </c>
      <c r="I366" s="133">
        <v>0.23572452241812139</v>
      </c>
      <c r="J366" s="133">
        <v>0.23572452241812139</v>
      </c>
      <c r="K366" s="133">
        <v>2.9814418231771729E-2</v>
      </c>
      <c r="L366" s="133">
        <v>2.3550666647377589</v>
      </c>
      <c r="M366" s="45">
        <v>13506.144949736394</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1.9011942752517465E-2</v>
      </c>
      <c r="G368" s="133">
        <v>1.3442277431887755E-2</v>
      </c>
      <c r="H368" s="133">
        <v>1.9622554236471423E-2</v>
      </c>
      <c r="I368" s="133">
        <v>6.3923333404482053E-3</v>
      </c>
      <c r="J368" s="133">
        <v>6.3923333404482053E-3</v>
      </c>
      <c r="K368" s="133">
        <v>5.1450791450464008E-4</v>
      </c>
      <c r="L368" s="133">
        <v>6.8668851829984459E-2</v>
      </c>
      <c r="M368" s="45">
        <v>261.33491495759171</v>
      </c>
    </row>
    <row r="369" spans="1:13" x14ac:dyDescent="0.25">
      <c r="A369" s="812" t="s">
        <v>1999</v>
      </c>
      <c r="B369" s="812">
        <v>1</v>
      </c>
      <c r="C369" s="608">
        <v>39754</v>
      </c>
      <c r="D369" s="812">
        <v>99705</v>
      </c>
      <c r="E369" s="812" t="s">
        <v>1599</v>
      </c>
      <c r="F369" s="133">
        <v>3.2638623866721534</v>
      </c>
      <c r="G369" s="133">
        <v>0.68193426391010648</v>
      </c>
      <c r="H369" s="133">
        <v>1.1312993489615395</v>
      </c>
      <c r="I369" s="133">
        <v>1.0020091146504317</v>
      </c>
      <c r="J369" s="133">
        <v>1.0020091146504317</v>
      </c>
      <c r="K369" s="133">
        <v>4.6557468571607294E-2</v>
      </c>
      <c r="L369" s="133">
        <v>10.930614527618649</v>
      </c>
      <c r="M369" s="45">
        <v>13939.039637991258</v>
      </c>
    </row>
    <row r="370" spans="1:13" x14ac:dyDescent="0.25">
      <c r="A370" s="812" t="s">
        <v>1999</v>
      </c>
      <c r="B370" s="812">
        <v>1</v>
      </c>
      <c r="C370" s="608">
        <v>39754</v>
      </c>
      <c r="D370" s="812">
        <v>99709</v>
      </c>
      <c r="E370" s="812" t="s">
        <v>1600</v>
      </c>
      <c r="F370" s="133">
        <v>2.6705810627638309</v>
      </c>
      <c r="G370" s="133">
        <v>0.77106444673712637</v>
      </c>
      <c r="H370" s="133">
        <v>1.2406900331134261</v>
      </c>
      <c r="I370" s="133">
        <v>0.74197017326019943</v>
      </c>
      <c r="J370" s="133">
        <v>0.74197017326019943</v>
      </c>
      <c r="K370" s="133">
        <v>4.1255748984356792E-2</v>
      </c>
      <c r="L370" s="133">
        <v>7.7648727991623829</v>
      </c>
      <c r="M370" s="45">
        <v>15737.963624735614</v>
      </c>
    </row>
    <row r="371" spans="1:13" x14ac:dyDescent="0.25">
      <c r="A371" s="812" t="s">
        <v>1999</v>
      </c>
      <c r="B371" s="812">
        <v>1</v>
      </c>
      <c r="C371" s="608">
        <v>39754</v>
      </c>
      <c r="D371" s="812">
        <v>99712</v>
      </c>
      <c r="E371" s="812" t="s">
        <v>1601</v>
      </c>
      <c r="F371" s="133">
        <v>1.495227815916915</v>
      </c>
      <c r="G371" s="133">
        <v>0.26748936467983775</v>
      </c>
      <c r="H371" s="133">
        <v>0.47610246696459463</v>
      </c>
      <c r="I371" s="133">
        <v>0.41439700648869898</v>
      </c>
      <c r="J371" s="133">
        <v>0.41439700648869898</v>
      </c>
      <c r="K371" s="133">
        <v>1.9398812138942671E-2</v>
      </c>
      <c r="L371" s="133">
        <v>4.3768645651821645</v>
      </c>
      <c r="M371" s="45">
        <v>5559.5750540356912</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7.329466157721511E-5</v>
      </c>
      <c r="G383" s="133">
        <v>1.6996462409862353E-3</v>
      </c>
      <c r="H383" s="133">
        <v>9.2950811041357672E-4</v>
      </c>
      <c r="I383" s="133">
        <v>6.2756251112126664E-5</v>
      </c>
      <c r="J383" s="133">
        <v>6.2756251112126664E-5</v>
      </c>
      <c r="K383" s="133">
        <v>7.9370793644531747E-5</v>
      </c>
      <c r="L383" s="133">
        <v>1.8780727376286908E-4</v>
      </c>
      <c r="M383" s="45">
        <v>28.060826127943823</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0.73669730808703382</v>
      </c>
      <c r="G385" s="133">
        <v>0.67417585400124158</v>
      </c>
      <c r="H385" s="133">
        <v>0.81216461794594219</v>
      </c>
      <c r="I385" s="133">
        <v>0.21897141141804635</v>
      </c>
      <c r="J385" s="133">
        <v>0.21897141141804635</v>
      </c>
      <c r="K385" s="133">
        <v>2.9131818643722648E-2</v>
      </c>
      <c r="L385" s="133">
        <v>2.168257030267287</v>
      </c>
      <c r="M385" s="45">
        <v>12634.759456682976</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1.7743610199026566E-2</v>
      </c>
      <c r="G387" s="133">
        <v>1.2490408314858712E-2</v>
      </c>
      <c r="H387" s="133">
        <v>1.824119537196163E-2</v>
      </c>
      <c r="I387" s="133">
        <v>5.8856382878367626E-3</v>
      </c>
      <c r="J387" s="133">
        <v>5.8856382878367626E-3</v>
      </c>
      <c r="K387" s="133">
        <v>4.9457718974611092E-4</v>
      </c>
      <c r="L387" s="133">
        <v>6.2634468809033714E-2</v>
      </c>
      <c r="M387" s="45">
        <v>243.66188904750481</v>
      </c>
    </row>
    <row r="388" spans="1:13" x14ac:dyDescent="0.25">
      <c r="A388" s="812" t="s">
        <v>1999</v>
      </c>
      <c r="B388" s="812">
        <v>2</v>
      </c>
      <c r="C388" s="608">
        <v>39755</v>
      </c>
      <c r="D388" s="812">
        <v>99705</v>
      </c>
      <c r="E388" s="812" t="s">
        <v>1599</v>
      </c>
      <c r="F388" s="133">
        <v>3.1259326531629474</v>
      </c>
      <c r="G388" s="133">
        <v>0.64105772933380856</v>
      </c>
      <c r="H388" s="133">
        <v>1.0670987983440536</v>
      </c>
      <c r="I388" s="133">
        <v>0.94366373412700466</v>
      </c>
      <c r="J388" s="133">
        <v>0.94366373412700466</v>
      </c>
      <c r="K388" s="133">
        <v>4.4082922177156571E-2</v>
      </c>
      <c r="L388" s="133">
        <v>10.171988460034045</v>
      </c>
      <c r="M388" s="45">
        <v>13134.708693397164</v>
      </c>
    </row>
    <row r="389" spans="1:13" x14ac:dyDescent="0.25">
      <c r="A389" s="812" t="s">
        <v>1999</v>
      </c>
      <c r="B389" s="812">
        <v>2</v>
      </c>
      <c r="C389" s="608">
        <v>39755</v>
      </c>
      <c r="D389" s="812">
        <v>99709</v>
      </c>
      <c r="E389" s="812" t="s">
        <v>1600</v>
      </c>
      <c r="F389" s="133">
        <v>2.6519140573304929</v>
      </c>
      <c r="G389" s="133">
        <v>0.73672191187165603</v>
      </c>
      <c r="H389" s="133">
        <v>1.1940040729187029</v>
      </c>
      <c r="I389" s="133">
        <v>0.72132823441333938</v>
      </c>
      <c r="J389" s="133">
        <v>0.72132823441333938</v>
      </c>
      <c r="K389" s="133">
        <v>4.0533812892738844E-2</v>
      </c>
      <c r="L389" s="133">
        <v>7.4638886700941098</v>
      </c>
      <c r="M389" s="45">
        <v>15095.772995258034</v>
      </c>
    </row>
    <row r="390" spans="1:13" x14ac:dyDescent="0.25">
      <c r="A390" s="812" t="s">
        <v>1999</v>
      </c>
      <c r="B390" s="812">
        <v>2</v>
      </c>
      <c r="C390" s="608">
        <v>39755</v>
      </c>
      <c r="D390" s="812">
        <v>99712</v>
      </c>
      <c r="E390" s="812" t="s">
        <v>1601</v>
      </c>
      <c r="F390" s="133">
        <v>1.5075056088912568</v>
      </c>
      <c r="G390" s="133">
        <v>0.26047641081757061</v>
      </c>
      <c r="H390" s="133">
        <v>0.46534074613973664</v>
      </c>
      <c r="I390" s="133">
        <v>0.40897294279752144</v>
      </c>
      <c r="J390" s="133">
        <v>0.40897294279752144</v>
      </c>
      <c r="K390" s="133">
        <v>1.9210871384596328E-2</v>
      </c>
      <c r="L390" s="133">
        <v>4.2662943265652649</v>
      </c>
      <c r="M390" s="45">
        <v>5422.1895092426785</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6.8423542341298748E-5</v>
      </c>
      <c r="G402" s="133">
        <v>1.5766726838382769E-3</v>
      </c>
      <c r="H402" s="133">
        <v>8.4258493472997068E-4</v>
      </c>
      <c r="I402" s="133">
        <v>5.9636841694146858E-5</v>
      </c>
      <c r="J402" s="133">
        <v>5.9636841694146858E-5</v>
      </c>
      <c r="K402" s="133">
        <v>7.9203437329257098E-5</v>
      </c>
      <c r="L402" s="133">
        <v>1.8474765302540052E-4</v>
      </c>
      <c r="M402" s="45">
        <v>26.168399720722466</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0.69083149985920056</v>
      </c>
      <c r="G404" s="133">
        <v>0.66766301215551394</v>
      </c>
      <c r="H404" s="133">
        <v>0.78954175505570423</v>
      </c>
      <c r="I404" s="133">
        <v>0.20735110355132486</v>
      </c>
      <c r="J404" s="133">
        <v>0.20735110355132486</v>
      </c>
      <c r="K404" s="133">
        <v>2.8622100939236013E-2</v>
      </c>
      <c r="L404" s="133">
        <v>2.0475711235940457</v>
      </c>
      <c r="M404" s="45">
        <v>12447.280709593671</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1.6751050394563597E-2</v>
      </c>
      <c r="G406" s="133">
        <v>1.2251944295587873E-2</v>
      </c>
      <c r="H406" s="133">
        <v>1.7622128557331758E-2</v>
      </c>
      <c r="I406" s="133">
        <v>5.5853612690280269E-3</v>
      </c>
      <c r="J406" s="133">
        <v>5.5853612690280269E-3</v>
      </c>
      <c r="K406" s="133">
        <v>4.8223868585958762E-4</v>
      </c>
      <c r="L406" s="133">
        <v>5.9300612633119171E-2</v>
      </c>
      <c r="M406" s="45">
        <v>237.81079594620871</v>
      </c>
    </row>
    <row r="407" spans="1:13" x14ac:dyDescent="0.25">
      <c r="A407" s="812" t="s">
        <v>1999</v>
      </c>
      <c r="B407" s="812">
        <v>3</v>
      </c>
      <c r="C407" s="608">
        <v>39756</v>
      </c>
      <c r="D407" s="812">
        <v>99705</v>
      </c>
      <c r="E407" s="812" t="s">
        <v>1599</v>
      </c>
      <c r="F407" s="133">
        <v>2.9095174111478133</v>
      </c>
      <c r="G407" s="133">
        <v>0.60873871973273019</v>
      </c>
      <c r="H407" s="133">
        <v>1.0073566836263965</v>
      </c>
      <c r="I407" s="133">
        <v>0.8806169641329622</v>
      </c>
      <c r="J407" s="133">
        <v>0.8806169641329622</v>
      </c>
      <c r="K407" s="133">
        <v>4.1351668066690543E-2</v>
      </c>
      <c r="L407" s="133">
        <v>9.4731525827300267</v>
      </c>
      <c r="M407" s="45">
        <v>12457.118857771076</v>
      </c>
    </row>
    <row r="408" spans="1:13" x14ac:dyDescent="0.25">
      <c r="A408" s="812" t="s">
        <v>1999</v>
      </c>
      <c r="B408" s="812">
        <v>3</v>
      </c>
      <c r="C408" s="608">
        <v>39756</v>
      </c>
      <c r="D408" s="812">
        <v>99709</v>
      </c>
      <c r="E408" s="812" t="s">
        <v>1600</v>
      </c>
      <c r="F408" s="133">
        <v>2.5309124708336799</v>
      </c>
      <c r="G408" s="133">
        <v>0.72059463851022709</v>
      </c>
      <c r="H408" s="133">
        <v>1.1580144933678458</v>
      </c>
      <c r="I408" s="133">
        <v>0.69193472744622941</v>
      </c>
      <c r="J408" s="133">
        <v>0.69193472744622941</v>
      </c>
      <c r="K408" s="133">
        <v>3.9248896314314705E-2</v>
      </c>
      <c r="L408" s="133">
        <v>7.164105301779859</v>
      </c>
      <c r="M408" s="45">
        <v>14727.381339760494</v>
      </c>
    </row>
    <row r="409" spans="1:13" x14ac:dyDescent="0.25">
      <c r="A409" s="812" t="s">
        <v>1999</v>
      </c>
      <c r="B409" s="812">
        <v>3</v>
      </c>
      <c r="C409" s="608">
        <v>39756</v>
      </c>
      <c r="D409" s="812">
        <v>99712</v>
      </c>
      <c r="E409" s="812" t="s">
        <v>1601</v>
      </c>
      <c r="F409" s="133">
        <v>1.44774904064142</v>
      </c>
      <c r="G409" s="133">
        <v>0.2536255129346347</v>
      </c>
      <c r="H409" s="133">
        <v>0.4522414284722297</v>
      </c>
      <c r="I409" s="133">
        <v>0.39460324281953002</v>
      </c>
      <c r="J409" s="133">
        <v>0.39460324281953002</v>
      </c>
      <c r="K409" s="133">
        <v>1.8547971145021269E-2</v>
      </c>
      <c r="L409" s="133">
        <v>4.1195272022813603</v>
      </c>
      <c r="M409" s="45">
        <v>5278.2267872183847</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6.9235395547284797E-5</v>
      </c>
      <c r="G421" s="133">
        <v>1.59716827669627E-3</v>
      </c>
      <c r="H421" s="133">
        <v>8.5707213067723841E-4</v>
      </c>
      <c r="I421" s="133">
        <v>6.0156743263810157E-5</v>
      </c>
      <c r="J421" s="133">
        <v>6.0156743263810157E-5</v>
      </c>
      <c r="K421" s="133">
        <v>7.9231330048469567E-5</v>
      </c>
      <c r="L421" s="133">
        <v>1.8525758981497866E-4</v>
      </c>
      <c r="M421" s="45">
        <v>26.483804121926024</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0.75638090844766992</v>
      </c>
      <c r="G423" s="133">
        <v>0.72237844903938553</v>
      </c>
      <c r="H423" s="133">
        <v>0.85345036865960067</v>
      </c>
      <c r="I423" s="133">
        <v>0.22491776731117777</v>
      </c>
      <c r="J423" s="133">
        <v>0.22491776731117777</v>
      </c>
      <c r="K423" s="133">
        <v>2.9394082598188605E-2</v>
      </c>
      <c r="L423" s="133">
        <v>2.2184294792660895</v>
      </c>
      <c r="M423" s="45">
        <v>13391.068276027456</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1.8228744117558249E-2</v>
      </c>
      <c r="G425" s="133">
        <v>1.3241147439749287E-2</v>
      </c>
      <c r="H425" s="133">
        <v>1.9006594048753316E-2</v>
      </c>
      <c r="I425" s="133">
        <v>6.0509621347843365E-3</v>
      </c>
      <c r="J425" s="133">
        <v>6.0509621347843365E-3</v>
      </c>
      <c r="K425" s="133">
        <v>5.0150577584177414E-4</v>
      </c>
      <c r="L425" s="133">
        <v>6.428918168366736E-2</v>
      </c>
      <c r="M425" s="45">
        <v>255.82849300570786</v>
      </c>
    </row>
    <row r="426" spans="1:13" x14ac:dyDescent="0.25">
      <c r="A426" s="812" t="s">
        <v>1999</v>
      </c>
      <c r="B426" s="812">
        <v>4</v>
      </c>
      <c r="C426" s="608">
        <v>39757</v>
      </c>
      <c r="D426" s="812">
        <v>99705</v>
      </c>
      <c r="E426" s="812" t="s">
        <v>1599</v>
      </c>
      <c r="F426" s="133">
        <v>3.209160162440837</v>
      </c>
      <c r="G426" s="133">
        <v>0.6636390637256917</v>
      </c>
      <c r="H426" s="133">
        <v>1.0972888096777089</v>
      </c>
      <c r="I426" s="133">
        <v>0.96878267274831797</v>
      </c>
      <c r="J426" s="133">
        <v>0.96878267274831797</v>
      </c>
      <c r="K426" s="133">
        <v>4.5143810531384915E-2</v>
      </c>
      <c r="L426" s="133">
        <v>10.450561940267109</v>
      </c>
      <c r="M426" s="45">
        <v>13553.82775614921</v>
      </c>
    </row>
    <row r="427" spans="1:13" x14ac:dyDescent="0.25">
      <c r="A427" s="812" t="s">
        <v>1999</v>
      </c>
      <c r="B427" s="812">
        <v>4</v>
      </c>
      <c r="C427" s="608">
        <v>39757</v>
      </c>
      <c r="D427" s="812">
        <v>99709</v>
      </c>
      <c r="E427" s="812" t="s">
        <v>1600</v>
      </c>
      <c r="F427" s="133">
        <v>2.5433839757045007</v>
      </c>
      <c r="G427" s="133">
        <v>0.74587746277808087</v>
      </c>
      <c r="H427" s="133">
        <v>1.1880278600638439</v>
      </c>
      <c r="I427" s="133">
        <v>0.69429216507299463</v>
      </c>
      <c r="J427" s="133">
        <v>0.69429216507299463</v>
      </c>
      <c r="K427" s="133">
        <v>3.939120462029707E-2</v>
      </c>
      <c r="L427" s="133">
        <v>7.1755562230275203</v>
      </c>
      <c r="M427" s="45">
        <v>15168.119313419265</v>
      </c>
    </row>
    <row r="428" spans="1:13" x14ac:dyDescent="0.25">
      <c r="A428" s="812" t="s">
        <v>1999</v>
      </c>
      <c r="B428" s="812">
        <v>4</v>
      </c>
      <c r="C428" s="608">
        <v>39757</v>
      </c>
      <c r="D428" s="812">
        <v>99712</v>
      </c>
      <c r="E428" s="812" t="s">
        <v>1601</v>
      </c>
      <c r="F428" s="133">
        <v>1.3158463972189793</v>
      </c>
      <c r="G428" s="133">
        <v>0.23833230193083615</v>
      </c>
      <c r="H428" s="133">
        <v>0.42223130326000585</v>
      </c>
      <c r="I428" s="133">
        <v>0.3602919996160448</v>
      </c>
      <c r="J428" s="133">
        <v>0.3602919996160448</v>
      </c>
      <c r="K428" s="133">
        <v>1.7007119199121741E-2</v>
      </c>
      <c r="L428" s="133">
        <v>3.7549057823466288</v>
      </c>
      <c r="M428" s="45">
        <v>4951.6690057584319</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7.4918367989187221E-5</v>
      </c>
      <c r="G440" s="133">
        <v>1.7406374267022215E-3</v>
      </c>
      <c r="H440" s="133">
        <v>9.5848250230811186E-4</v>
      </c>
      <c r="I440" s="133">
        <v>6.3796054251453248E-5</v>
      </c>
      <c r="J440" s="133">
        <v>6.3796054251453248E-5</v>
      </c>
      <c r="K440" s="133">
        <v>7.9426579082956617E-5</v>
      </c>
      <c r="L440" s="133">
        <v>1.8882714734202525E-4</v>
      </c>
      <c r="M440" s="45">
        <v>28.691634930350947</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0.77356267587630045</v>
      </c>
      <c r="G442" s="133">
        <v>0.72711742961535508</v>
      </c>
      <c r="H442" s="133">
        <v>0.86389070000380808</v>
      </c>
      <c r="I442" s="133">
        <v>0.22952112507464698</v>
      </c>
      <c r="J442" s="133">
        <v>0.22952112507464698</v>
      </c>
      <c r="K442" s="133">
        <v>2.9591438847401366E-2</v>
      </c>
      <c r="L442" s="133">
        <v>2.2666511368131528</v>
      </c>
      <c r="M442" s="45">
        <v>13497.498237752447</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1.8838083725669467E-2</v>
      </c>
      <c r="G444" s="133">
        <v>1.3442396208561325E-2</v>
      </c>
      <c r="H444" s="133">
        <v>1.9441589200532922E-2</v>
      </c>
      <c r="I444" s="133">
        <v>6.238314081974782E-3</v>
      </c>
      <c r="J444" s="133">
        <v>6.238314081974782E-3</v>
      </c>
      <c r="K444" s="133">
        <v>5.0908612165673944E-4</v>
      </c>
      <c r="L444" s="133">
        <v>6.635811679918463E-2</v>
      </c>
      <c r="M444" s="45">
        <v>260.30811618931614</v>
      </c>
    </row>
    <row r="445" spans="1:13" x14ac:dyDescent="0.25">
      <c r="A445" s="812" t="s">
        <v>1999</v>
      </c>
      <c r="B445" s="812">
        <v>5</v>
      </c>
      <c r="C445" s="608">
        <v>39758</v>
      </c>
      <c r="D445" s="812">
        <v>99705</v>
      </c>
      <c r="E445" s="812" t="s">
        <v>1599</v>
      </c>
      <c r="F445" s="133">
        <v>3.2900386343237722</v>
      </c>
      <c r="G445" s="133">
        <v>0.67611547305744024</v>
      </c>
      <c r="H445" s="133">
        <v>1.1196956168565697</v>
      </c>
      <c r="I445" s="133">
        <v>0.9925023361540789</v>
      </c>
      <c r="J445" s="133">
        <v>0.9925023361540789</v>
      </c>
      <c r="K445" s="133">
        <v>4.6160058425909471E-2</v>
      </c>
      <c r="L445" s="133">
        <v>10.713916425090677</v>
      </c>
      <c r="M445" s="45">
        <v>13813.069107309713</v>
      </c>
    </row>
    <row r="446" spans="1:13" x14ac:dyDescent="0.25">
      <c r="A446" s="812" t="s">
        <v>1999</v>
      </c>
      <c r="B446" s="812">
        <v>5</v>
      </c>
      <c r="C446" s="608">
        <v>39758</v>
      </c>
      <c r="D446" s="812">
        <v>99709</v>
      </c>
      <c r="E446" s="812" t="s">
        <v>1600</v>
      </c>
      <c r="F446" s="133">
        <v>2.4927993885105089</v>
      </c>
      <c r="G446" s="133">
        <v>0.74054564924759314</v>
      </c>
      <c r="H446" s="133">
        <v>1.1781896699907883</v>
      </c>
      <c r="I446" s="133">
        <v>0.68284381938805172</v>
      </c>
      <c r="J446" s="133">
        <v>0.68284381938805172</v>
      </c>
      <c r="K446" s="133">
        <v>3.8879109146840833E-2</v>
      </c>
      <c r="L446" s="133">
        <v>7.062492459852808</v>
      </c>
      <c r="M446" s="45">
        <v>15056.015393418629</v>
      </c>
    </row>
    <row r="447" spans="1:13" x14ac:dyDescent="0.25">
      <c r="A447" s="812" t="s">
        <v>1999</v>
      </c>
      <c r="B447" s="812">
        <v>5</v>
      </c>
      <c r="C447" s="608">
        <v>39758</v>
      </c>
      <c r="D447" s="812">
        <v>99712</v>
      </c>
      <c r="E447" s="812" t="s">
        <v>1601</v>
      </c>
      <c r="F447" s="133">
        <v>1.3056904755582839</v>
      </c>
      <c r="G447" s="133">
        <v>0.23771695433678833</v>
      </c>
      <c r="H447" s="133">
        <v>0.42101164169797711</v>
      </c>
      <c r="I447" s="133">
        <v>0.35858950645743948</v>
      </c>
      <c r="J447" s="133">
        <v>0.35858950645743948</v>
      </c>
      <c r="K447" s="133">
        <v>1.6914770020529914E-2</v>
      </c>
      <c r="L447" s="133">
        <v>3.7412719050030145</v>
      </c>
      <c r="M447" s="45">
        <v>4939.1396601242577</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7.4918367989187208E-5</v>
      </c>
      <c r="G459" s="133">
        <v>1.7406374267022215E-3</v>
      </c>
      <c r="H459" s="133">
        <v>9.5848250230811153E-4</v>
      </c>
      <c r="I459" s="133">
        <v>6.3796054251453248E-5</v>
      </c>
      <c r="J459" s="133">
        <v>6.3796054251453248E-5</v>
      </c>
      <c r="K459" s="133">
        <v>7.9426579082956589E-5</v>
      </c>
      <c r="L459" s="133">
        <v>1.8882714734202519E-4</v>
      </c>
      <c r="M459" s="45">
        <v>28.691634930350947</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0.8893960070921304</v>
      </c>
      <c r="G461" s="133">
        <v>0.79455576921937132</v>
      </c>
      <c r="H461" s="133">
        <v>0.95605993441023107</v>
      </c>
      <c r="I461" s="133">
        <v>0.25970490299512183</v>
      </c>
      <c r="J461" s="133">
        <v>0.25970490299512183</v>
      </c>
      <c r="K461" s="133">
        <v>3.0922909805186478E-2</v>
      </c>
      <c r="L461" s="133">
        <v>2.5659438101345264</v>
      </c>
      <c r="M461" s="45">
        <v>14727.55314520036</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2.1023405217578783E-2</v>
      </c>
      <c r="G463" s="133">
        <v>1.465480058975285E-2</v>
      </c>
      <c r="H463" s="133">
        <v>2.130611077403995E-2</v>
      </c>
      <c r="I463" s="133">
        <v>6.9195377012837697E-3</v>
      </c>
      <c r="J463" s="133">
        <v>6.9195377012837697E-3</v>
      </c>
      <c r="K463" s="133">
        <v>5.3722559630766623E-4</v>
      </c>
      <c r="L463" s="133">
        <v>7.3725459019380171E-2</v>
      </c>
      <c r="M463" s="45">
        <v>283.27721479645936</v>
      </c>
    </row>
    <row r="464" spans="1:13" x14ac:dyDescent="0.25">
      <c r="A464" s="812" t="s">
        <v>1999</v>
      </c>
      <c r="B464" s="812">
        <v>6</v>
      </c>
      <c r="C464" s="608">
        <v>39759</v>
      </c>
      <c r="D464" s="812">
        <v>99705</v>
      </c>
      <c r="E464" s="812" t="s">
        <v>1599</v>
      </c>
      <c r="F464" s="133">
        <v>3.5711867440823881</v>
      </c>
      <c r="G464" s="133">
        <v>0.72819360743242656</v>
      </c>
      <c r="H464" s="133">
        <v>1.2052792976440019</v>
      </c>
      <c r="I464" s="133">
        <v>1.0743937448572334</v>
      </c>
      <c r="J464" s="133">
        <v>1.0743937448572334</v>
      </c>
      <c r="K464" s="133">
        <v>4.9737568185821091E-2</v>
      </c>
      <c r="L464" s="133">
        <v>11.6186779515417</v>
      </c>
      <c r="M464" s="45">
        <v>14850.521913160097</v>
      </c>
    </row>
    <row r="465" spans="1:13" x14ac:dyDescent="0.25">
      <c r="A465" s="812" t="s">
        <v>1999</v>
      </c>
      <c r="B465" s="812">
        <v>6</v>
      </c>
      <c r="C465" s="608">
        <v>39759</v>
      </c>
      <c r="D465" s="812">
        <v>99709</v>
      </c>
      <c r="E465" s="812" t="s">
        <v>1600</v>
      </c>
      <c r="F465" s="133">
        <v>3.0752531279385793</v>
      </c>
      <c r="G465" s="133">
        <v>0.84135778729061839</v>
      </c>
      <c r="H465" s="133">
        <v>1.3520402700155449</v>
      </c>
      <c r="I465" s="133">
        <v>0.82496602060608537</v>
      </c>
      <c r="J465" s="133">
        <v>0.82496602060608537</v>
      </c>
      <c r="K465" s="133">
        <v>4.5081120936335733E-2</v>
      </c>
      <c r="L465" s="133">
        <v>8.5091138523770127</v>
      </c>
      <c r="M465" s="45">
        <v>17109.951818052697</v>
      </c>
    </row>
    <row r="466" spans="1:13" x14ac:dyDescent="0.25">
      <c r="A466" s="812" t="s">
        <v>1999</v>
      </c>
      <c r="B466" s="812">
        <v>6</v>
      </c>
      <c r="C466" s="608">
        <v>39759</v>
      </c>
      <c r="D466" s="812">
        <v>99712</v>
      </c>
      <c r="E466" s="812" t="s">
        <v>1601</v>
      </c>
      <c r="F466" s="133">
        <v>1.5963586134799452</v>
      </c>
      <c r="G466" s="133">
        <v>0.27367348383216611</v>
      </c>
      <c r="H466" s="133">
        <v>0.48530262393122559</v>
      </c>
      <c r="I466" s="133">
        <v>0.4288931794402796</v>
      </c>
      <c r="J466" s="133">
        <v>0.4288931794402796</v>
      </c>
      <c r="K466" s="133">
        <v>2.0161814051643787E-2</v>
      </c>
      <c r="L466" s="133">
        <v>4.4612599985564927</v>
      </c>
      <c r="M466" s="45">
        <v>5673.8808438354845</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8.0601340431089619E-5</v>
      </c>
      <c r="G478" s="133">
        <v>1.8841065767081727E-3</v>
      </c>
      <c r="H478" s="133">
        <v>1.0598928739389852E-3</v>
      </c>
      <c r="I478" s="133">
        <v>6.7435365239096326E-5</v>
      </c>
      <c r="J478" s="133">
        <v>6.7435365239096326E-5</v>
      </c>
      <c r="K478" s="133">
        <v>7.9621828117443667E-5</v>
      </c>
      <c r="L478" s="133">
        <v>1.9239670486907183E-4</v>
      </c>
      <c r="M478" s="45">
        <v>30.899465738775866</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0.79322740544104087</v>
      </c>
      <c r="G480" s="133">
        <v>0.75860196349735054</v>
      </c>
      <c r="H480" s="133">
        <v>0.90020108283596734</v>
      </c>
      <c r="I480" s="133">
        <v>0.23880837271549718</v>
      </c>
      <c r="J480" s="133">
        <v>0.23880837271549718</v>
      </c>
      <c r="K480" s="133">
        <v>2.9955072794361881E-2</v>
      </c>
      <c r="L480" s="133">
        <v>2.3777107400499995</v>
      </c>
      <c r="M480" s="45">
        <v>14040.420102834032</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1.8985828756115822E-2</v>
      </c>
      <c r="G482" s="133">
        <v>1.3871341089036312E-2</v>
      </c>
      <c r="H482" s="133">
        <v>1.990580405133412E-2</v>
      </c>
      <c r="I482" s="133">
        <v>6.3954611081804558E-3</v>
      </c>
      <c r="J482" s="133">
        <v>6.3954611081804558E-3</v>
      </c>
      <c r="K482" s="133">
        <v>5.1488735827449645E-4</v>
      </c>
      <c r="L482" s="133">
        <v>6.8574002553274602E-2</v>
      </c>
      <c r="M482" s="45">
        <v>267.46901379378983</v>
      </c>
    </row>
    <row r="483" spans="1:13" x14ac:dyDescent="0.25">
      <c r="A483" s="812" t="s">
        <v>1999</v>
      </c>
      <c r="B483" s="812">
        <v>7</v>
      </c>
      <c r="C483" s="608">
        <v>39760</v>
      </c>
      <c r="D483" s="812">
        <v>99705</v>
      </c>
      <c r="E483" s="812" t="s">
        <v>1599</v>
      </c>
      <c r="F483" s="133">
        <v>3.2394351358297193</v>
      </c>
      <c r="G483" s="133">
        <v>0.68554185583132199</v>
      </c>
      <c r="H483" s="133">
        <v>1.1301955894668283</v>
      </c>
      <c r="I483" s="133">
        <v>0.99521673599275784</v>
      </c>
      <c r="J483" s="133">
        <v>0.99521673599275784</v>
      </c>
      <c r="K483" s="133">
        <v>4.6262419276826935E-2</v>
      </c>
      <c r="L483" s="133">
        <v>10.854301784752296</v>
      </c>
      <c r="M483" s="45">
        <v>13976.693852494809</v>
      </c>
    </row>
    <row r="484" spans="1:13" x14ac:dyDescent="0.25">
      <c r="A484" s="812" t="s">
        <v>1999</v>
      </c>
      <c r="B484" s="812">
        <v>7</v>
      </c>
      <c r="C484" s="608">
        <v>39760</v>
      </c>
      <c r="D484" s="812">
        <v>99709</v>
      </c>
      <c r="E484" s="812" t="s">
        <v>1600</v>
      </c>
      <c r="F484" s="133">
        <v>2.8626626812547618</v>
      </c>
      <c r="G484" s="133">
        <v>0.81273569254581257</v>
      </c>
      <c r="H484" s="133">
        <v>1.3018399647004701</v>
      </c>
      <c r="I484" s="133">
        <v>0.78822304037116997</v>
      </c>
      <c r="J484" s="133">
        <v>0.78822304037116997</v>
      </c>
      <c r="K484" s="133">
        <v>4.3292253241550741E-2</v>
      </c>
      <c r="L484" s="133">
        <v>8.2296592238445108</v>
      </c>
      <c r="M484" s="45">
        <v>16532.69721002283</v>
      </c>
    </row>
    <row r="485" spans="1:13" x14ac:dyDescent="0.25">
      <c r="A485" s="812" t="s">
        <v>1999</v>
      </c>
      <c r="B485" s="812">
        <v>7</v>
      </c>
      <c r="C485" s="608">
        <v>39760</v>
      </c>
      <c r="D485" s="812">
        <v>99712</v>
      </c>
      <c r="E485" s="812" t="s">
        <v>1601</v>
      </c>
      <c r="F485" s="133">
        <v>1.5441712461160721</v>
      </c>
      <c r="G485" s="133">
        <v>0.27400566235930507</v>
      </c>
      <c r="H485" s="133">
        <v>0.48631150309046611</v>
      </c>
      <c r="I485" s="133">
        <v>0.4253300233849413</v>
      </c>
      <c r="J485" s="133">
        <v>0.4253300233849413</v>
      </c>
      <c r="K485" s="133">
        <v>1.9922104483394047E-2</v>
      </c>
      <c r="L485" s="133">
        <v>4.4839443843503517</v>
      </c>
      <c r="M485" s="45">
        <v>5685.3104130933825</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7.8165780813131458E-5</v>
      </c>
      <c r="G497" s="133">
        <v>1.8226197981341943E-3</v>
      </c>
      <c r="H497" s="133">
        <v>1.0164312860971826E-3</v>
      </c>
      <c r="I497" s="133">
        <v>6.5875660530106443E-5</v>
      </c>
      <c r="J497" s="133">
        <v>6.5875660530106443E-5</v>
      </c>
      <c r="K497" s="133">
        <v>7.9538149959806356E-5</v>
      </c>
      <c r="L497" s="133">
        <v>1.9086689450033755E-4</v>
      </c>
      <c r="M497" s="45">
        <v>29.953252535165188</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0.85058250824180126</v>
      </c>
      <c r="G499" s="133">
        <v>0.78502052354035101</v>
      </c>
      <c r="H499" s="133">
        <v>0.94218939588723949</v>
      </c>
      <c r="I499" s="133">
        <v>0.25428379535513024</v>
      </c>
      <c r="J499" s="133">
        <v>0.25428379535513024</v>
      </c>
      <c r="K499" s="133">
        <v>3.0621846319858922E-2</v>
      </c>
      <c r="L499" s="133">
        <v>2.5365421305952474</v>
      </c>
      <c r="M499" s="45">
        <v>14552.203138800633</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2.0741722525087228E-2</v>
      </c>
      <c r="G501" s="133">
        <v>1.4593649818709574E-2</v>
      </c>
      <c r="H501" s="133">
        <v>2.1251540452757112E-2</v>
      </c>
      <c r="I501" s="133">
        <v>6.9384082180911346E-3</v>
      </c>
      <c r="J501" s="133">
        <v>6.9384082180911346E-3</v>
      </c>
      <c r="K501" s="133">
        <v>5.3698907622890956E-4</v>
      </c>
      <c r="L501" s="133">
        <v>7.4525871615405373E-2</v>
      </c>
      <c r="M501" s="45">
        <v>282.40251452277164</v>
      </c>
    </row>
    <row r="502" spans="1:13" x14ac:dyDescent="0.25">
      <c r="A502" s="812" t="s">
        <v>1999</v>
      </c>
      <c r="B502" s="812">
        <v>8</v>
      </c>
      <c r="C502" s="608">
        <v>39761</v>
      </c>
      <c r="D502" s="812">
        <v>99705</v>
      </c>
      <c r="E502" s="812" t="s">
        <v>1599</v>
      </c>
      <c r="F502" s="133">
        <v>3.5026632643775883</v>
      </c>
      <c r="G502" s="133">
        <v>0.72864803013474</v>
      </c>
      <c r="H502" s="133">
        <v>1.2052111790712117</v>
      </c>
      <c r="I502" s="133">
        <v>1.0724391955883366</v>
      </c>
      <c r="J502" s="133">
        <v>1.0724391955883366</v>
      </c>
      <c r="K502" s="133">
        <v>4.9588882880802702E-2</v>
      </c>
      <c r="L502" s="133">
        <v>11.711249284667014</v>
      </c>
      <c r="M502" s="45">
        <v>14859.182575592491</v>
      </c>
    </row>
    <row r="503" spans="1:13" x14ac:dyDescent="0.25">
      <c r="A503" s="812" t="s">
        <v>1999</v>
      </c>
      <c r="B503" s="812">
        <v>8</v>
      </c>
      <c r="C503" s="608">
        <v>39761</v>
      </c>
      <c r="D503" s="812">
        <v>99709</v>
      </c>
      <c r="E503" s="812" t="s">
        <v>1600</v>
      </c>
      <c r="F503" s="133">
        <v>2.6597350723880688</v>
      </c>
      <c r="G503" s="133">
        <v>0.79622436197125446</v>
      </c>
      <c r="H503" s="133">
        <v>1.2669684176503122</v>
      </c>
      <c r="I503" s="133">
        <v>0.73941631725356394</v>
      </c>
      <c r="J503" s="133">
        <v>0.73941631725356394</v>
      </c>
      <c r="K503" s="133">
        <v>4.1170510563911848E-2</v>
      </c>
      <c r="L503" s="133">
        <v>7.7291097050845448</v>
      </c>
      <c r="M503" s="45">
        <v>16159.109828536899</v>
      </c>
    </row>
    <row r="504" spans="1:13" x14ac:dyDescent="0.25">
      <c r="A504" s="812" t="s">
        <v>1999</v>
      </c>
      <c r="B504" s="812">
        <v>8</v>
      </c>
      <c r="C504" s="608">
        <v>39761</v>
      </c>
      <c r="D504" s="812">
        <v>99712</v>
      </c>
      <c r="E504" s="812" t="s">
        <v>1601</v>
      </c>
      <c r="F504" s="133">
        <v>1.3160868113386619</v>
      </c>
      <c r="G504" s="133">
        <v>0.24638299551469126</v>
      </c>
      <c r="H504" s="133">
        <v>0.43487785543417906</v>
      </c>
      <c r="I504" s="133">
        <v>0.36831889272574553</v>
      </c>
      <c r="J504" s="133">
        <v>0.36831889272574553</v>
      </c>
      <c r="K504" s="133">
        <v>1.732424597615333E-2</v>
      </c>
      <c r="L504" s="133">
        <v>3.8901183586470496</v>
      </c>
      <c r="M504" s="45">
        <v>5109.9768788155834</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7.9789487225103583E-5</v>
      </c>
      <c r="G516" s="133">
        <v>1.8636109838501796E-3</v>
      </c>
      <c r="H516" s="133">
        <v>1.0454056779917176E-3</v>
      </c>
      <c r="I516" s="133">
        <v>6.6915463669433027E-5</v>
      </c>
      <c r="J516" s="133">
        <v>6.6915463669433027E-5</v>
      </c>
      <c r="K516" s="133">
        <v>7.9593935398231198E-5</v>
      </c>
      <c r="L516" s="133">
        <v>1.918867680794937E-4</v>
      </c>
      <c r="M516" s="45">
        <v>30.584061337572308</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0.74597057182348026</v>
      </c>
      <c r="G518" s="133">
        <v>0.68293278861642071</v>
      </c>
      <c r="H518" s="133">
        <v>0.82316517701253344</v>
      </c>
      <c r="I518" s="133">
        <v>0.22218560154958902</v>
      </c>
      <c r="J518" s="133">
        <v>0.22218560154958902</v>
      </c>
      <c r="K518" s="133">
        <v>2.925676217084789E-2</v>
      </c>
      <c r="L518" s="133">
        <v>2.203242947911189</v>
      </c>
      <c r="M518" s="45">
        <v>12790.216495924513</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1.8341253990802674E-2</v>
      </c>
      <c r="G520" s="133">
        <v>1.2791564493592859E-2</v>
      </c>
      <c r="H520" s="133">
        <v>1.8791784031432526E-2</v>
      </c>
      <c r="I520" s="133">
        <v>6.0769713506398223E-3</v>
      </c>
      <c r="J520" s="133">
        <v>6.0769713506398223E-3</v>
      </c>
      <c r="K520" s="133">
        <v>5.019261553145031E-4</v>
      </c>
      <c r="L520" s="133">
        <v>6.4732716996881712E-2</v>
      </c>
      <c r="M520" s="45">
        <v>249.84541033779439</v>
      </c>
    </row>
    <row r="521" spans="1:13" x14ac:dyDescent="0.25">
      <c r="A521" s="812" t="s">
        <v>1999</v>
      </c>
      <c r="B521" s="812">
        <v>9</v>
      </c>
      <c r="C521" s="608">
        <v>39762</v>
      </c>
      <c r="D521" s="812">
        <v>99705</v>
      </c>
      <c r="E521" s="812" t="s">
        <v>1599</v>
      </c>
      <c r="F521" s="133">
        <v>3.0027760649726378</v>
      </c>
      <c r="G521" s="133">
        <v>0.62111846356673828</v>
      </c>
      <c r="H521" s="133">
        <v>1.0292758753399767</v>
      </c>
      <c r="I521" s="133">
        <v>0.90596577147738599</v>
      </c>
      <c r="J521" s="133">
        <v>0.90596577147738599</v>
      </c>
      <c r="K521" s="133">
        <v>4.2410665292530965E-2</v>
      </c>
      <c r="L521" s="133">
        <v>9.7457122444000248</v>
      </c>
      <c r="M521" s="45">
        <v>12716.33317805765</v>
      </c>
    </row>
    <row r="522" spans="1:13" x14ac:dyDescent="0.25">
      <c r="A522" s="812" t="s">
        <v>1999</v>
      </c>
      <c r="B522" s="812">
        <v>9</v>
      </c>
      <c r="C522" s="608">
        <v>39762</v>
      </c>
      <c r="D522" s="812">
        <v>99709</v>
      </c>
      <c r="E522" s="812" t="s">
        <v>1600</v>
      </c>
      <c r="F522" s="133">
        <v>2.2921789917705628</v>
      </c>
      <c r="G522" s="133">
        <v>0.6936185035710164</v>
      </c>
      <c r="H522" s="133">
        <v>1.1102991424074442</v>
      </c>
      <c r="I522" s="133">
        <v>0.63274313760071177</v>
      </c>
      <c r="J522" s="133">
        <v>0.63274313760071177</v>
      </c>
      <c r="K522" s="133">
        <v>3.6684137055279703E-2</v>
      </c>
      <c r="L522" s="133">
        <v>6.5499681814419599</v>
      </c>
      <c r="M522" s="45">
        <v>14166.058403200816</v>
      </c>
    </row>
    <row r="523" spans="1:13" x14ac:dyDescent="0.25">
      <c r="A523" s="812" t="s">
        <v>1999</v>
      </c>
      <c r="B523" s="812">
        <v>9</v>
      </c>
      <c r="C523" s="608">
        <v>39762</v>
      </c>
      <c r="D523" s="812">
        <v>99712</v>
      </c>
      <c r="E523" s="812" t="s">
        <v>1601</v>
      </c>
      <c r="F523" s="133">
        <v>1.1688218283286256</v>
      </c>
      <c r="G523" s="133">
        <v>0.21848867890236645</v>
      </c>
      <c r="H523" s="133">
        <v>0.38824140663806239</v>
      </c>
      <c r="I523" s="133">
        <v>0.32313785721467797</v>
      </c>
      <c r="J523" s="133">
        <v>0.32313785721467797</v>
      </c>
      <c r="K523" s="133">
        <v>1.5312879380124352E-2</v>
      </c>
      <c r="L523" s="133">
        <v>3.3660375591745022</v>
      </c>
      <c r="M523" s="45">
        <v>4552.232376291171</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6.9235395547284797E-5</v>
      </c>
      <c r="G535" s="133">
        <v>1.5971682766962698E-3</v>
      </c>
      <c r="H535" s="133">
        <v>8.5707213067723852E-4</v>
      </c>
      <c r="I535" s="133">
        <v>6.0156743263810164E-5</v>
      </c>
      <c r="J535" s="133">
        <v>6.0156743263810164E-5</v>
      </c>
      <c r="K535" s="133">
        <v>7.9231330048469553E-5</v>
      </c>
      <c r="L535" s="133">
        <v>1.8525758981497863E-4</v>
      </c>
      <c r="M535" s="45">
        <v>26.483804121926024</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0.66675124096697846</v>
      </c>
      <c r="G537" s="133">
        <v>0.65121628662135755</v>
      </c>
      <c r="H537" s="133">
        <v>0.76935467016860903</v>
      </c>
      <c r="I537" s="133">
        <v>0.20140551703989623</v>
      </c>
      <c r="J537" s="133">
        <v>0.20140551703989623</v>
      </c>
      <c r="K537" s="133">
        <v>2.8350609168572155E-2</v>
      </c>
      <c r="L537" s="133">
        <v>1.9912640663252787</v>
      </c>
      <c r="M537" s="45">
        <v>12159.112189212306</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1.6513972719155275E-2</v>
      </c>
      <c r="G539" s="133">
        <v>1.2046226059546913E-2</v>
      </c>
      <c r="H539" s="133">
        <v>1.7396393885170426E-2</v>
      </c>
      <c r="I539" s="133">
        <v>5.5121765266431628E-3</v>
      </c>
      <c r="J539" s="133">
        <v>5.5121765266431628E-3</v>
      </c>
      <c r="K539" s="133">
        <v>4.7893274597445533E-4</v>
      </c>
      <c r="L539" s="133">
        <v>5.8539705612111692E-2</v>
      </c>
      <c r="M539" s="45">
        <v>234.40016724062912</v>
      </c>
    </row>
    <row r="540" spans="1:13" x14ac:dyDescent="0.25">
      <c r="A540" s="812" t="s">
        <v>1999</v>
      </c>
      <c r="B540" s="812">
        <v>10</v>
      </c>
      <c r="C540" s="608">
        <v>39763</v>
      </c>
      <c r="D540" s="812">
        <v>99705</v>
      </c>
      <c r="E540" s="812" t="s">
        <v>1599</v>
      </c>
      <c r="F540" s="133">
        <v>2.7807224585451156</v>
      </c>
      <c r="G540" s="133">
        <v>0.58681200160051572</v>
      </c>
      <c r="H540" s="133">
        <v>0.97000365446357106</v>
      </c>
      <c r="I540" s="133">
        <v>0.84378374434923442</v>
      </c>
      <c r="J540" s="133">
        <v>0.84378374434923442</v>
      </c>
      <c r="K540" s="133">
        <v>3.9714084275345153E-2</v>
      </c>
      <c r="L540" s="133">
        <v>9.0682698051289616</v>
      </c>
      <c r="M540" s="45">
        <v>12015.825336361942</v>
      </c>
    </row>
    <row r="541" spans="1:13" x14ac:dyDescent="0.25">
      <c r="A541" s="812" t="s">
        <v>1999</v>
      </c>
      <c r="B541" s="812">
        <v>10</v>
      </c>
      <c r="C541" s="608">
        <v>39763</v>
      </c>
      <c r="D541" s="812">
        <v>99709</v>
      </c>
      <c r="E541" s="812" t="s">
        <v>1600</v>
      </c>
      <c r="F541" s="133">
        <v>2.1296519737590387</v>
      </c>
      <c r="G541" s="133">
        <v>0.66312526978816133</v>
      </c>
      <c r="H541" s="133">
        <v>1.0562692247940082</v>
      </c>
      <c r="I541" s="133">
        <v>0.59248932355891415</v>
      </c>
      <c r="J541" s="133">
        <v>0.59248932355891415</v>
      </c>
      <c r="K541" s="133">
        <v>3.4932326569200874E-2</v>
      </c>
      <c r="L541" s="133">
        <v>6.1381343669904469</v>
      </c>
      <c r="M541" s="45">
        <v>13538.640545429364</v>
      </c>
    </row>
    <row r="542" spans="1:13" x14ac:dyDescent="0.25">
      <c r="A542" s="812" t="s">
        <v>1999</v>
      </c>
      <c r="B542" s="812">
        <v>10</v>
      </c>
      <c r="C542" s="608">
        <v>39763</v>
      </c>
      <c r="D542" s="812">
        <v>99712</v>
      </c>
      <c r="E542" s="812" t="s">
        <v>1601</v>
      </c>
      <c r="F542" s="133">
        <v>1.0744133999624483</v>
      </c>
      <c r="G542" s="133">
        <v>0.2060280155895286</v>
      </c>
      <c r="H542" s="133">
        <v>0.36559150023971621</v>
      </c>
      <c r="I542" s="133">
        <v>0.29971816587952549</v>
      </c>
      <c r="J542" s="133">
        <v>0.29971816587952549</v>
      </c>
      <c r="K542" s="133">
        <v>1.4246611930303956E-2</v>
      </c>
      <c r="L542" s="133">
        <v>3.1236351233333086</v>
      </c>
      <c r="M542" s="45">
        <v>4295.1390844737098</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6.7611689135312699E-5</v>
      </c>
      <c r="G554" s="133">
        <v>1.5561770909802842E-3</v>
      </c>
      <c r="H554" s="133">
        <v>8.2809773878270317E-4</v>
      </c>
      <c r="I554" s="133">
        <v>5.9116940124483566E-5</v>
      </c>
      <c r="J554" s="133">
        <v>5.9116940124483566E-5</v>
      </c>
      <c r="K554" s="133">
        <v>7.917554461004467E-5</v>
      </c>
      <c r="L554" s="133">
        <v>1.8423771623582246E-4</v>
      </c>
      <c r="M554" s="45">
        <v>25.852995319518907</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0.66545281399921719</v>
      </c>
      <c r="G556" s="133">
        <v>0.64511255078754648</v>
      </c>
      <c r="H556" s="133">
        <v>0.7641052935956878</v>
      </c>
      <c r="I556" s="133">
        <v>0.20066750676350745</v>
      </c>
      <c r="J556" s="133">
        <v>0.20066750676350745</v>
      </c>
      <c r="K556" s="133">
        <v>2.8324610519369544E-2</v>
      </c>
      <c r="L556" s="133">
        <v>1.9837051352516319</v>
      </c>
      <c r="M556" s="45">
        <v>12062.999374001978</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1.6206178424342403E-2</v>
      </c>
      <c r="G558" s="133">
        <v>1.1866296370328707E-2</v>
      </c>
      <c r="H558" s="133">
        <v>1.7113629452419281E-2</v>
      </c>
      <c r="I558" s="133">
        <v>5.4146925046158201E-3</v>
      </c>
      <c r="J558" s="133">
        <v>5.4146925046158201E-3</v>
      </c>
      <c r="K558" s="133">
        <v>4.7502143805770855E-4</v>
      </c>
      <c r="L558" s="133">
        <v>5.7483555886751671E-2</v>
      </c>
      <c r="M558" s="45">
        <v>230.95595720698742</v>
      </c>
    </row>
    <row r="559" spans="1:13" x14ac:dyDescent="0.25">
      <c r="A559" s="812" t="s">
        <v>1999</v>
      </c>
      <c r="B559" s="812">
        <v>11</v>
      </c>
      <c r="C559" s="608">
        <v>39764</v>
      </c>
      <c r="D559" s="812">
        <v>99705</v>
      </c>
      <c r="E559" s="812" t="s">
        <v>1599</v>
      </c>
      <c r="F559" s="133">
        <v>2.7988426771275465</v>
      </c>
      <c r="G559" s="133">
        <v>0.58806500984600996</v>
      </c>
      <c r="H559" s="133">
        <v>0.97369061503967491</v>
      </c>
      <c r="I559" s="133">
        <v>0.84846137421994428</v>
      </c>
      <c r="J559" s="133">
        <v>0.84846137421994428</v>
      </c>
      <c r="K559" s="133">
        <v>3.9935627862923581E-2</v>
      </c>
      <c r="L559" s="133">
        <v>9.1181448932532927</v>
      </c>
      <c r="M559" s="45">
        <v>12047.591579925363</v>
      </c>
    </row>
    <row r="560" spans="1:13" x14ac:dyDescent="0.25">
      <c r="A560" s="812" t="s">
        <v>1999</v>
      </c>
      <c r="B560" s="812">
        <v>11</v>
      </c>
      <c r="C560" s="608">
        <v>39764</v>
      </c>
      <c r="D560" s="812">
        <v>99709</v>
      </c>
      <c r="E560" s="812" t="s">
        <v>1600</v>
      </c>
      <c r="F560" s="133">
        <v>2.294228548460747</v>
      </c>
      <c r="G560" s="133">
        <v>0.68111708768664336</v>
      </c>
      <c r="H560" s="133">
        <v>1.0930716723947074</v>
      </c>
      <c r="I560" s="133">
        <v>0.63261925508978512</v>
      </c>
      <c r="J560" s="133">
        <v>0.63261925508978512</v>
      </c>
      <c r="K560" s="133">
        <v>3.6690209517431793E-2</v>
      </c>
      <c r="L560" s="133">
        <v>6.5507722868996279</v>
      </c>
      <c r="M560" s="45">
        <v>13935.400223263801</v>
      </c>
    </row>
    <row r="561" spans="1:13" x14ac:dyDescent="0.25">
      <c r="A561" s="812" t="s">
        <v>1999</v>
      </c>
      <c r="B561" s="812">
        <v>11</v>
      </c>
      <c r="C561" s="608">
        <v>39764</v>
      </c>
      <c r="D561" s="812">
        <v>99712</v>
      </c>
      <c r="E561" s="812" t="s">
        <v>1601</v>
      </c>
      <c r="F561" s="133">
        <v>1.2148745599994113</v>
      </c>
      <c r="G561" s="133">
        <v>0.22308529610779521</v>
      </c>
      <c r="H561" s="133">
        <v>0.39721594363049612</v>
      </c>
      <c r="I561" s="133">
        <v>0.33490675229423794</v>
      </c>
      <c r="J561" s="133">
        <v>0.33490675229423794</v>
      </c>
      <c r="K561" s="133">
        <v>1.5850063725812033E-2</v>
      </c>
      <c r="L561" s="133">
        <v>3.4906368705901332</v>
      </c>
      <c r="M561" s="45">
        <v>4649.7561625422795</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6.6799835929326636E-5</v>
      </c>
      <c r="G573" s="133">
        <v>1.5356814981222907E-3</v>
      </c>
      <c r="H573" s="133">
        <v>8.1361054283543544E-4</v>
      </c>
      <c r="I573" s="133">
        <v>5.8597038554820274E-5</v>
      </c>
      <c r="J573" s="133">
        <v>5.8597038554820274E-5</v>
      </c>
      <c r="K573" s="133">
        <v>7.9147651890832256E-5</v>
      </c>
      <c r="L573" s="133">
        <v>1.837277794462444E-4</v>
      </c>
      <c r="M573" s="45">
        <v>25.537590918315345</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0.7056802307459823</v>
      </c>
      <c r="G575" s="133">
        <v>0.68767438873271736</v>
      </c>
      <c r="H575" s="133">
        <v>0.80931102146502876</v>
      </c>
      <c r="I575" s="133">
        <v>0.21149500008904482</v>
      </c>
      <c r="J575" s="133">
        <v>0.21149500008904482</v>
      </c>
      <c r="K575" s="133">
        <v>2.8804393336225167E-2</v>
      </c>
      <c r="L575" s="133">
        <v>2.0860598413551297</v>
      </c>
      <c r="M575" s="45">
        <v>12774.431528341567</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1.7058600029337508E-2</v>
      </c>
      <c r="G577" s="133">
        <v>1.2557571523037443E-2</v>
      </c>
      <c r="H577" s="133">
        <v>1.795729189132593E-2</v>
      </c>
      <c r="I577" s="133">
        <v>5.682757078590072E-3</v>
      </c>
      <c r="J577" s="133">
        <v>5.682757078590072E-3</v>
      </c>
      <c r="K577" s="133">
        <v>4.865143926002937E-4</v>
      </c>
      <c r="L577" s="133">
        <v>6.0308145413789267E-2</v>
      </c>
      <c r="M577" s="45">
        <v>242.88181256207389</v>
      </c>
    </row>
    <row r="578" spans="1:13" x14ac:dyDescent="0.25">
      <c r="A578" s="812" t="s">
        <v>1999</v>
      </c>
      <c r="B578" s="812">
        <v>12</v>
      </c>
      <c r="C578" s="608">
        <v>39765</v>
      </c>
      <c r="D578" s="812">
        <v>99705</v>
      </c>
      <c r="E578" s="812" t="s">
        <v>1599</v>
      </c>
      <c r="F578" s="133">
        <v>3.0368060586906536</v>
      </c>
      <c r="G578" s="133">
        <v>0.63176119536781938</v>
      </c>
      <c r="H578" s="133">
        <v>1.0447982437984682</v>
      </c>
      <c r="I578" s="133">
        <v>0.91791738559924108</v>
      </c>
      <c r="J578" s="133">
        <v>0.91791738559924108</v>
      </c>
      <c r="K578" s="133">
        <v>4.2942613253265746E-2</v>
      </c>
      <c r="L578" s="133">
        <v>9.8858520115675557</v>
      </c>
      <c r="M578" s="45">
        <v>12916.903060240906</v>
      </c>
    </row>
    <row r="579" spans="1:13" x14ac:dyDescent="0.25">
      <c r="A579" s="812" t="s">
        <v>1999</v>
      </c>
      <c r="B579" s="812">
        <v>12</v>
      </c>
      <c r="C579" s="608">
        <v>39765</v>
      </c>
      <c r="D579" s="812">
        <v>99709</v>
      </c>
      <c r="E579" s="812" t="s">
        <v>1600</v>
      </c>
      <c r="F579" s="133">
        <v>2.5891688483148942</v>
      </c>
      <c r="G579" s="133">
        <v>0.73749436705543658</v>
      </c>
      <c r="H579" s="133">
        <v>1.1815971839065931</v>
      </c>
      <c r="I579" s="133">
        <v>0.70614972884434146</v>
      </c>
      <c r="J579" s="133">
        <v>0.70614972884434146</v>
      </c>
      <c r="K579" s="133">
        <v>3.9875601579701582E-2</v>
      </c>
      <c r="L579" s="133">
        <v>7.3064053416066317</v>
      </c>
      <c r="M579" s="45">
        <v>15042.756468039932</v>
      </c>
    </row>
    <row r="580" spans="1:13" x14ac:dyDescent="0.25">
      <c r="A580" s="812" t="s">
        <v>1999</v>
      </c>
      <c r="B580" s="812">
        <v>12</v>
      </c>
      <c r="C580" s="608">
        <v>39765</v>
      </c>
      <c r="D580" s="812">
        <v>99712</v>
      </c>
      <c r="E580" s="812" t="s">
        <v>1601</v>
      </c>
      <c r="F580" s="133">
        <v>1.4416787558353452</v>
      </c>
      <c r="G580" s="133">
        <v>0.25315849154988151</v>
      </c>
      <c r="H580" s="133">
        <v>0.45048607452267558</v>
      </c>
      <c r="I580" s="133">
        <v>0.39249312725396795</v>
      </c>
      <c r="J580" s="133">
        <v>0.39249312725396795</v>
      </c>
      <c r="K580" s="133">
        <v>1.8463133562414091E-2</v>
      </c>
      <c r="L580" s="133">
        <v>4.0944426951070483</v>
      </c>
      <c r="M580" s="45">
        <v>5263.9159853338015</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7.1670955165242984E-5</v>
      </c>
      <c r="G592" s="133">
        <v>1.6586550552702495E-3</v>
      </c>
      <c r="H592" s="133">
        <v>9.005337185190417E-4</v>
      </c>
      <c r="I592" s="133">
        <v>6.1716447972800067E-5</v>
      </c>
      <c r="J592" s="133">
        <v>6.1716447972800067E-5</v>
      </c>
      <c r="K592" s="133">
        <v>7.9315008206106864E-5</v>
      </c>
      <c r="L592" s="133">
        <v>1.8678740018371291E-4</v>
      </c>
      <c r="M592" s="45">
        <v>27.430017325536706</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0.81735179241199352</v>
      </c>
      <c r="G594" s="133">
        <v>0.75498159953202326</v>
      </c>
      <c r="H594" s="133">
        <v>0.9009840515695835</v>
      </c>
      <c r="I594" s="133">
        <v>0.24133224553951732</v>
      </c>
      <c r="J594" s="133">
        <v>0.24133224553951732</v>
      </c>
      <c r="K594" s="133">
        <v>3.0104280015581672E-2</v>
      </c>
      <c r="L594" s="133">
        <v>2.3850815473611711</v>
      </c>
      <c r="M594" s="45">
        <v>14001.099465914416</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1.9809785853213264E-2</v>
      </c>
      <c r="G596" s="133">
        <v>1.398367876478496E-2</v>
      </c>
      <c r="H596" s="133">
        <v>2.0289822629285303E-2</v>
      </c>
      <c r="I596" s="133">
        <v>6.5429393687511037E-3</v>
      </c>
      <c r="J596" s="133">
        <v>6.5429393687511037E-3</v>
      </c>
      <c r="K596" s="133">
        <v>5.2151654388883954E-4</v>
      </c>
      <c r="L596" s="133">
        <v>6.965775038784032E-2</v>
      </c>
      <c r="M596" s="45">
        <v>270.65077802365886</v>
      </c>
    </row>
    <row r="597" spans="1:13" x14ac:dyDescent="0.25">
      <c r="A597" s="812" t="s">
        <v>1999</v>
      </c>
      <c r="B597" s="812">
        <v>13</v>
      </c>
      <c r="C597" s="608">
        <v>39766</v>
      </c>
      <c r="D597" s="812">
        <v>99705</v>
      </c>
      <c r="E597" s="812" t="s">
        <v>1599</v>
      </c>
      <c r="F597" s="133">
        <v>3.3910569051334178</v>
      </c>
      <c r="G597" s="133">
        <v>0.69573865258292544</v>
      </c>
      <c r="H597" s="133">
        <v>1.1513846957280836</v>
      </c>
      <c r="I597" s="133">
        <v>1.0224183242146283</v>
      </c>
      <c r="J597" s="133">
        <v>1.0224183242146283</v>
      </c>
      <c r="K597" s="133">
        <v>4.7447820130510049E-2</v>
      </c>
      <c r="L597" s="133">
        <v>11.046074771361948</v>
      </c>
      <c r="M597" s="45">
        <v>14202.505901691764</v>
      </c>
    </row>
    <row r="598" spans="1:13" x14ac:dyDescent="0.25">
      <c r="A598" s="812" t="s">
        <v>1999</v>
      </c>
      <c r="B598" s="812">
        <v>13</v>
      </c>
      <c r="C598" s="608">
        <v>39766</v>
      </c>
      <c r="D598" s="812">
        <v>99709</v>
      </c>
      <c r="E598" s="812" t="s">
        <v>1600</v>
      </c>
      <c r="F598" s="133">
        <v>2.6624353780059491</v>
      </c>
      <c r="G598" s="133">
        <v>0.7741790602850096</v>
      </c>
      <c r="H598" s="133">
        <v>1.2342476546418932</v>
      </c>
      <c r="I598" s="133">
        <v>0.72545980575565427</v>
      </c>
      <c r="J598" s="133">
        <v>0.72545980575565427</v>
      </c>
      <c r="K598" s="133">
        <v>4.0701082492658823E-2</v>
      </c>
      <c r="L598" s="133">
        <v>7.5010296929130647</v>
      </c>
      <c r="M598" s="45">
        <v>15733.107792837793</v>
      </c>
    </row>
    <row r="599" spans="1:13" x14ac:dyDescent="0.25">
      <c r="A599" s="812" t="s">
        <v>1999</v>
      </c>
      <c r="B599" s="812">
        <v>13</v>
      </c>
      <c r="C599" s="608">
        <v>39766</v>
      </c>
      <c r="D599" s="812">
        <v>99712</v>
      </c>
      <c r="E599" s="812" t="s">
        <v>1601</v>
      </c>
      <c r="F599" s="133">
        <v>1.3701854465300602</v>
      </c>
      <c r="G599" s="133">
        <v>0.24551700331425286</v>
      </c>
      <c r="H599" s="133">
        <v>0.43447472330891734</v>
      </c>
      <c r="I599" s="133">
        <v>0.37361640681888558</v>
      </c>
      <c r="J599" s="133">
        <v>0.37361640681888558</v>
      </c>
      <c r="K599" s="133">
        <v>1.762060224907866E-2</v>
      </c>
      <c r="L599" s="133">
        <v>3.892252833004906</v>
      </c>
      <c r="M599" s="45">
        <v>5095.777246196636</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7.7353927607145395E-5</v>
      </c>
      <c r="G611" s="133">
        <v>1.8021242052762008E-3</v>
      </c>
      <c r="H611" s="133">
        <v>1.0019440901499149E-3</v>
      </c>
      <c r="I611" s="133">
        <v>6.5355758960443158E-5</v>
      </c>
      <c r="J611" s="133">
        <v>6.5355758960443158E-5</v>
      </c>
      <c r="K611" s="133">
        <v>7.95102572405939E-5</v>
      </c>
      <c r="L611" s="133">
        <v>1.9035695771075947E-4</v>
      </c>
      <c r="M611" s="45">
        <v>29.637848133961626</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0.81892258370933246</v>
      </c>
      <c r="G613" s="133">
        <v>0.70648360943573829</v>
      </c>
      <c r="H613" s="133">
        <v>0.87470723766494685</v>
      </c>
      <c r="I613" s="133">
        <v>0.24448119721417505</v>
      </c>
      <c r="J613" s="133">
        <v>0.24448119721417505</v>
      </c>
      <c r="K613" s="133">
        <v>3.0194370638415916E-2</v>
      </c>
      <c r="L613" s="133">
        <v>2.4525467360403246</v>
      </c>
      <c r="M613" s="45">
        <v>13318.715629759121</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1.962331984316756E-2</v>
      </c>
      <c r="G615" s="133">
        <v>1.3275871811654993E-2</v>
      </c>
      <c r="H615" s="133">
        <v>1.9798858687651268E-2</v>
      </c>
      <c r="I615" s="133">
        <v>6.5703488713066919E-3</v>
      </c>
      <c r="J615" s="133">
        <v>6.5703488713066919E-3</v>
      </c>
      <c r="K615" s="133">
        <v>5.2155033847430335E-4</v>
      </c>
      <c r="L615" s="133">
        <v>7.0741704309903883E-2</v>
      </c>
      <c r="M615" s="45">
        <v>260.47218602293316</v>
      </c>
    </row>
    <row r="616" spans="1:13" x14ac:dyDescent="0.25">
      <c r="A616" s="812" t="s">
        <v>1999</v>
      </c>
      <c r="B616" s="812">
        <v>14</v>
      </c>
      <c r="C616" s="608">
        <v>39767</v>
      </c>
      <c r="D616" s="812">
        <v>99705</v>
      </c>
      <c r="E616" s="812" t="s">
        <v>1599</v>
      </c>
      <c r="F616" s="133">
        <v>3.2987460448498647</v>
      </c>
      <c r="G616" s="133">
        <v>0.68198321213987745</v>
      </c>
      <c r="H616" s="133">
        <v>1.1380970338068921</v>
      </c>
      <c r="I616" s="133">
        <v>1.0123497432736233</v>
      </c>
      <c r="J616" s="133">
        <v>1.0123497432736233</v>
      </c>
      <c r="K616" s="133">
        <v>4.6993617222233483E-2</v>
      </c>
      <c r="L616" s="133">
        <v>11.047518461551501</v>
      </c>
      <c r="M616" s="45">
        <v>13973.188629216455</v>
      </c>
    </row>
    <row r="617" spans="1:13" x14ac:dyDescent="0.25">
      <c r="A617" s="812" t="s">
        <v>1999</v>
      </c>
      <c r="B617" s="812">
        <v>14</v>
      </c>
      <c r="C617" s="608">
        <v>39767</v>
      </c>
      <c r="D617" s="812">
        <v>99709</v>
      </c>
      <c r="E617" s="812" t="s">
        <v>1600</v>
      </c>
      <c r="F617" s="133">
        <v>2.8558772826447161</v>
      </c>
      <c r="G617" s="133">
        <v>0.78512074333849136</v>
      </c>
      <c r="H617" s="133">
        <v>1.2855453396422836</v>
      </c>
      <c r="I617" s="133">
        <v>0.78691212271720923</v>
      </c>
      <c r="J617" s="133">
        <v>0.78691212271720923</v>
      </c>
      <c r="K617" s="133">
        <v>4.3219131413237306E-2</v>
      </c>
      <c r="L617" s="133">
        <v>8.2267518329015861</v>
      </c>
      <c r="M617" s="45">
        <v>16126.783425551144</v>
      </c>
    </row>
    <row r="618" spans="1:13" x14ac:dyDescent="0.25">
      <c r="A618" s="812" t="s">
        <v>1999</v>
      </c>
      <c r="B618" s="812">
        <v>14</v>
      </c>
      <c r="C618" s="608">
        <v>39767</v>
      </c>
      <c r="D618" s="812">
        <v>99712</v>
      </c>
      <c r="E618" s="812" t="s">
        <v>1601</v>
      </c>
      <c r="F618" s="133">
        <v>1.5323135227175035</v>
      </c>
      <c r="G618" s="133">
        <v>0.27017584249825166</v>
      </c>
      <c r="H618" s="133">
        <v>0.48241669080879701</v>
      </c>
      <c r="I618" s="133">
        <v>0.42326016739482303</v>
      </c>
      <c r="J618" s="133">
        <v>0.42326016739482303</v>
      </c>
      <c r="K618" s="133">
        <v>1.9812767214501911E-2</v>
      </c>
      <c r="L618" s="133">
        <v>4.4679025723328492</v>
      </c>
      <c r="M618" s="45">
        <v>5621.1031403457519</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6.9235395547284797E-5</v>
      </c>
      <c r="G630" s="133">
        <v>1.5971682766962694E-3</v>
      </c>
      <c r="H630" s="133">
        <v>8.5707213067723819E-4</v>
      </c>
      <c r="I630" s="133">
        <v>6.015674326381015E-5</v>
      </c>
      <c r="J630" s="133">
        <v>6.015674326381015E-5</v>
      </c>
      <c r="K630" s="133">
        <v>7.9231330048469526E-5</v>
      </c>
      <c r="L630" s="133">
        <v>1.8525758981497855E-4</v>
      </c>
      <c r="M630" s="45">
        <v>26.483804121926024</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0.74348034595230572</v>
      </c>
      <c r="G632" s="133">
        <v>0.72986464163794496</v>
      </c>
      <c r="H632" s="133">
        <v>0.86101837704056994</v>
      </c>
      <c r="I632" s="133">
        <v>0.22600126199791759</v>
      </c>
      <c r="J632" s="133">
        <v>0.22600126199791759</v>
      </c>
      <c r="K632" s="133">
        <v>2.9386715848626895E-2</v>
      </c>
      <c r="L632" s="133">
        <v>2.2514857925967</v>
      </c>
      <c r="M632" s="45">
        <v>13516.857023812187</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1.8082012139569836E-2</v>
      </c>
      <c r="G634" s="133">
        <v>1.3360960656739749E-2</v>
      </c>
      <c r="H634" s="133">
        <v>1.9126292806752637E-2</v>
      </c>
      <c r="I634" s="133">
        <v>6.1132817297771579E-3</v>
      </c>
      <c r="J634" s="133">
        <v>6.1132817297771579E-3</v>
      </c>
      <c r="K634" s="133">
        <v>5.0324551703976347E-4</v>
      </c>
      <c r="L634" s="133">
        <v>6.5524142656455328E-2</v>
      </c>
      <c r="M634" s="45">
        <v>257.82781640243269</v>
      </c>
    </row>
    <row r="635" spans="1:13" x14ac:dyDescent="0.25">
      <c r="A635" s="812" t="s">
        <v>1999</v>
      </c>
      <c r="B635" s="812">
        <v>15</v>
      </c>
      <c r="C635" s="608">
        <v>39768</v>
      </c>
      <c r="D635" s="812">
        <v>99705</v>
      </c>
      <c r="E635" s="812" t="s">
        <v>1599</v>
      </c>
      <c r="F635" s="133">
        <v>3.1119008539734301</v>
      </c>
      <c r="G635" s="133">
        <v>0.66222839666458788</v>
      </c>
      <c r="H635" s="133">
        <v>1.0916454832794285</v>
      </c>
      <c r="I635" s="133">
        <v>0.95824826289950082</v>
      </c>
      <c r="J635" s="133">
        <v>0.95824826289950082</v>
      </c>
      <c r="K635" s="133">
        <v>4.4628312330256201E-2</v>
      </c>
      <c r="L635" s="133">
        <v>10.446211347510156</v>
      </c>
      <c r="M635" s="45">
        <v>13512.448732886485</v>
      </c>
    </row>
    <row r="636" spans="1:13" x14ac:dyDescent="0.25">
      <c r="A636" s="812" t="s">
        <v>1999</v>
      </c>
      <c r="B636" s="812">
        <v>15</v>
      </c>
      <c r="C636" s="608">
        <v>39768</v>
      </c>
      <c r="D636" s="812">
        <v>99709</v>
      </c>
      <c r="E636" s="812" t="s">
        <v>1600</v>
      </c>
      <c r="F636" s="133">
        <v>2.5684937934811458</v>
      </c>
      <c r="G636" s="133">
        <v>0.76340840722755354</v>
      </c>
      <c r="H636" s="133">
        <v>1.2149900067995174</v>
      </c>
      <c r="I636" s="133">
        <v>0.71715179059312117</v>
      </c>
      <c r="J636" s="133">
        <v>0.71715179059312117</v>
      </c>
      <c r="K636" s="133">
        <v>4.0167670240638408E-2</v>
      </c>
      <c r="L636" s="133">
        <v>7.5094534870435172</v>
      </c>
      <c r="M636" s="45">
        <v>15520.37127451491</v>
      </c>
    </row>
    <row r="637" spans="1:13" x14ac:dyDescent="0.25">
      <c r="A637" s="812" t="s">
        <v>1999</v>
      </c>
      <c r="B637" s="812">
        <v>15</v>
      </c>
      <c r="C637" s="608">
        <v>39768</v>
      </c>
      <c r="D637" s="812">
        <v>99712</v>
      </c>
      <c r="E637" s="812" t="s">
        <v>1601</v>
      </c>
      <c r="F637" s="133">
        <v>1.4120856908418422</v>
      </c>
      <c r="G637" s="133">
        <v>0.2574190695603335</v>
      </c>
      <c r="H637" s="133">
        <v>0.45634446247897592</v>
      </c>
      <c r="I637" s="133">
        <v>0.39341166625707669</v>
      </c>
      <c r="J637" s="133">
        <v>0.39341166625707669</v>
      </c>
      <c r="K637" s="133">
        <v>1.8451279342768398E-2</v>
      </c>
      <c r="L637" s="133">
        <v>4.1575459553979499</v>
      </c>
      <c r="M637" s="45">
        <v>5344.7210916066824</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7.5730221195173284E-5</v>
      </c>
      <c r="G649" s="133">
        <v>1.7611330195602148E-3</v>
      </c>
      <c r="H649" s="133">
        <v>9.7296969825537948E-4</v>
      </c>
      <c r="I649" s="133">
        <v>6.4315955821116547E-5</v>
      </c>
      <c r="J649" s="133">
        <v>6.4315955821116547E-5</v>
      </c>
      <c r="K649" s="133">
        <v>7.9454471802169031E-5</v>
      </c>
      <c r="L649" s="133">
        <v>1.893370841316033E-4</v>
      </c>
      <c r="M649" s="45">
        <v>29.007039331554509</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0.72141615940112669</v>
      </c>
      <c r="G651" s="133">
        <v>0.65457110465185109</v>
      </c>
      <c r="H651" s="133">
        <v>0.79318328867639654</v>
      </c>
      <c r="I651" s="133">
        <v>0.21510803253592281</v>
      </c>
      <c r="J651" s="133">
        <v>0.21510803253592281</v>
      </c>
      <c r="K651" s="133">
        <v>2.8952995164486999E-2</v>
      </c>
      <c r="L651" s="133">
        <v>2.1344410416750819</v>
      </c>
      <c r="M651" s="45">
        <v>12316.494632197242</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1.7672979974514932E-2</v>
      </c>
      <c r="G653" s="133">
        <v>1.2263737935548271E-2</v>
      </c>
      <c r="H653" s="133">
        <v>1.8076856747765272E-2</v>
      </c>
      <c r="I653" s="133">
        <v>5.8612188824779176E-3</v>
      </c>
      <c r="J653" s="133">
        <v>5.8612188824779176E-3</v>
      </c>
      <c r="K653" s="133">
        <v>4.9324414984070462E-4</v>
      </c>
      <c r="L653" s="133">
        <v>6.2432976372513702E-2</v>
      </c>
      <c r="M653" s="45">
        <v>240.34952057564135</v>
      </c>
    </row>
    <row r="654" spans="1:13" x14ac:dyDescent="0.25">
      <c r="A654" s="812" t="s">
        <v>1999</v>
      </c>
      <c r="B654" s="812">
        <v>16</v>
      </c>
      <c r="C654" s="608">
        <v>39769</v>
      </c>
      <c r="D654" s="812">
        <v>99705</v>
      </c>
      <c r="E654" s="812" t="s">
        <v>1599</v>
      </c>
      <c r="F654" s="133">
        <v>2.9743757344406974</v>
      </c>
      <c r="G654" s="133">
        <v>0.61462283846319365</v>
      </c>
      <c r="H654" s="133">
        <v>1.0231815290966331</v>
      </c>
      <c r="I654" s="133">
        <v>0.90002385909811933</v>
      </c>
      <c r="J654" s="133">
        <v>0.90002385909811933</v>
      </c>
      <c r="K654" s="133">
        <v>4.2167504162162486E-2</v>
      </c>
      <c r="L654" s="133">
        <v>9.6914202439949761</v>
      </c>
      <c r="M654" s="45">
        <v>12606.064315675898</v>
      </c>
    </row>
    <row r="655" spans="1:13" x14ac:dyDescent="0.25">
      <c r="A655" s="812" t="s">
        <v>1999</v>
      </c>
      <c r="B655" s="812">
        <v>16</v>
      </c>
      <c r="C655" s="608">
        <v>39769</v>
      </c>
      <c r="D655" s="812">
        <v>99709</v>
      </c>
      <c r="E655" s="812" t="s">
        <v>1600</v>
      </c>
      <c r="F655" s="133">
        <v>2.5159435336187004</v>
      </c>
      <c r="G655" s="133">
        <v>0.71065697693394314</v>
      </c>
      <c r="H655" s="133">
        <v>1.1534756632937373</v>
      </c>
      <c r="I655" s="133">
        <v>0.68846235367377406</v>
      </c>
      <c r="J655" s="133">
        <v>0.68846235367377406</v>
      </c>
      <c r="K655" s="133">
        <v>3.9095772748760894E-2</v>
      </c>
      <c r="L655" s="133">
        <v>7.1316986494396648</v>
      </c>
      <c r="M655" s="45">
        <v>14586.445183392432</v>
      </c>
    </row>
    <row r="656" spans="1:13" x14ac:dyDescent="0.25">
      <c r="A656" s="812" t="s">
        <v>1999</v>
      </c>
      <c r="B656" s="812">
        <v>16</v>
      </c>
      <c r="C656" s="608">
        <v>39769</v>
      </c>
      <c r="D656" s="812">
        <v>99712</v>
      </c>
      <c r="E656" s="812" t="s">
        <v>1601</v>
      </c>
      <c r="F656" s="133">
        <v>1.3917293539811735</v>
      </c>
      <c r="G656" s="133">
        <v>0.24479216753646735</v>
      </c>
      <c r="H656" s="133">
        <v>0.4372310615324142</v>
      </c>
      <c r="I656" s="133">
        <v>0.37960971212071803</v>
      </c>
      <c r="J656" s="133">
        <v>0.37960971212071803</v>
      </c>
      <c r="K656" s="133">
        <v>1.7882412181632588E-2</v>
      </c>
      <c r="L656" s="133">
        <v>3.9589762909400479</v>
      </c>
      <c r="M656" s="45">
        <v>5100.1283677817019</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6.5987982723340573E-5</v>
      </c>
      <c r="G668" s="133">
        <v>1.5151859052642976E-3</v>
      </c>
      <c r="H668" s="133">
        <v>7.9912334688816793E-4</v>
      </c>
      <c r="I668" s="133">
        <v>5.8077136985156962E-5</v>
      </c>
      <c r="J668" s="133">
        <v>5.8077136985156962E-5</v>
      </c>
      <c r="K668" s="133">
        <v>7.9119759171619787E-5</v>
      </c>
      <c r="L668" s="133">
        <v>1.8321784265666626E-4</v>
      </c>
      <c r="M668" s="45">
        <v>25.222186517111787</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0927-D7A0-4501-A0DA-2E9B5F7BA37D}">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2022</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0</v>
      </c>
      <c r="H4" s="834"/>
      <c r="I4" s="836">
        <f ca="1">IF(OFFSET(Summary!$D$5,MATCH(I6,Summary!$A$6:$A$18,0),MATCH($B$2,Summary!$E$5:$O$5,0))="n/a",0,OFFSET(Summary!$D$5,MATCH(I6,Summary!$A$6:$A$18,0),MATCH($B$2,Summary!$E$5:$O$5,0)))</f>
        <v>0.5</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0.3</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2022BSR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0.66414800189714196</v>
      </c>
      <c r="D9" s="5">
        <f ca="1">INDIRECT("'DevSumOut-"&amp;$B$2&amp;"BSR'!P50")</f>
        <v>7.6780115826259165E-3</v>
      </c>
      <c r="E9" s="5">
        <f ca="1">OFFSET('WSCOReductions-5PctSIP'!$U$81,0,MATCH($B$2,'WSCOReductions-5PctSIP'!$X$78:$AQ$78,1)+2)</f>
        <v>0.2581731301263559</v>
      </c>
      <c r="F9" s="5">
        <f ca="1">OFFSET('WSCOReductions-5PctSIP'!$U$84,0,MATCH($B$2,'WSCOReductions-5PctSIP'!$X$78:$AQ$78,1)+2)</f>
        <v>9.2708464000170528E-4</v>
      </c>
      <c r="G9" s="5">
        <f ca="1">SCCRedFacsFull!G9*G$4/SCCRedFacsFull!G$4</f>
        <v>0</v>
      </c>
      <c r="H9" s="5">
        <f ca="1">SCCRedFacsFull!H9*G$4/SCCRedFacsFull!G$4</f>
        <v>0</v>
      </c>
      <c r="I9" s="5">
        <f ca="1">SCCRedFacsFull!I9*I$4/SCCRedFacsFull!I$4</f>
        <v>3.5333421257817021E-2</v>
      </c>
      <c r="J9" s="5">
        <f ca="1">SCCRedFacsFull!J9*I$4/SCCRedFacsFull!I$4</f>
        <v>3.5333421257817126E-2</v>
      </c>
      <c r="K9" s="5">
        <f ca="1">SCCRedFacsFull!K9*K$4/SCCRedFacsFull!K$4</f>
        <v>0</v>
      </c>
      <c r="L9" s="5">
        <f ca="1">SCCRedFacsFull!L9*K$4/SCCRedFacsFull!K$4</f>
        <v>0</v>
      </c>
      <c r="M9" s="5">
        <f ca="1">'BACM-R8'!P153*($B$2-$M$3+1)*$M$4/SCCRedFacsFull!$M$4</f>
        <v>0.14381270903010035</v>
      </c>
      <c r="N9" s="5">
        <f ca="1">'BACM-R8'!O153*($B$2-$M$3+1)*$M$4/SCCRedFacsFull!$M$4</f>
        <v>0.14381270903010035</v>
      </c>
      <c r="O9" s="5">
        <f ca="1">SCCRedFacsFull!O9*O$4/SCCRedFacsFull!O$4</f>
        <v>0</v>
      </c>
      <c r="P9" s="5">
        <f ca="1">SCCRedFacsFull!P9*O$4/SCCRedFacsFull!O$4</f>
        <v>0</v>
      </c>
      <c r="Q9" s="5">
        <f ca="1">IFERROR(OFFSET('STF-22'!$E$173,MATCH($B9,'STF-22'!$A$174:$A$191,0),MATCH($B$2,'STF-22'!$F$172:$AD$172,0))*Q$4/SCCRedFacsFull!Q$4,0)</f>
        <v>0.15770436984502464</v>
      </c>
      <c r="R9" s="5">
        <f ca="1">IFERROR(OFFSET('STF-22'!$E$173,MATCH($B9,'STF-22'!$A$174:$A$191,0),MATCH($B$2,'STF-22'!$F$172:$AD$172,0)-1)*R$4/SCCRedFacsFull!R$4,0)</f>
        <v>0.15770436984502462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0.48392464855610162</v>
      </c>
      <c r="Z9" s="510">
        <f ca="1">1-(1-F9)*(1-H9)*(1-J9)*(1-L9)*(1-N9)*(1-P9)*(1-R9)*(1-T9)*(1-X9)</f>
        <v>0.30496329150181212</v>
      </c>
      <c r="AA9" s="617">
        <f ca="1">VLOOKUP($B9,INDIRECT("'CurtailCalcs"&amp;$B$2&amp;"-2Stage'!$AS$91:$BE$109"),10,FALSE)</f>
        <v>0</v>
      </c>
      <c r="AB9" s="617">
        <f ca="1">VLOOKUP($B9,INDIRECT("'CurtailCalcs"&amp;$B$2&amp;"-2Stage'!$AS$91:$BE$109"),11,FALSE)</f>
        <v>0.38394355046314343</v>
      </c>
      <c r="AC9" s="617">
        <f ca="1">VLOOKUP($B9,INDIRECT("'CurtailCalcs"&amp;$B$2&amp;"-2Stage'!$AS$91:$BE$109"),12,FALSE)</f>
        <v>0</v>
      </c>
      <c r="AD9" s="617">
        <f ca="1">VLOOKUP($B9,INDIRECT("'CurtailCalcs"&amp;$B$2&amp;"-2Stage'!$AS$91:$BE$109"),13,FALSE)</f>
        <v>7.4913571359248365E-2</v>
      </c>
      <c r="AE9" s="510">
        <f ca="1">1-(1-$Y9)*(1-AA9)</f>
        <v>0.48392464855610162</v>
      </c>
      <c r="AF9" s="510">
        <f ca="1">1-(1-$Y9)*(1-AB9)</f>
        <v>0.68206845129598648</v>
      </c>
      <c r="AG9" s="510">
        <f ca="1">1-(1-$Z9)*(1-AC9)</f>
        <v>0.30496329150181212</v>
      </c>
      <c r="AH9" s="510">
        <f ca="1">1-(1-$Z9)*(1-AD9)</f>
        <v>0.35703097356118818</v>
      </c>
      <c r="AI9" s="530">
        <f ca="1">(Y9*$AJ$3+AE9*$AJ$4+AF9*$AJ$5)/35</f>
        <v>0.58582717567947096</v>
      </c>
      <c r="AJ9" s="530">
        <f ca="1">(Z9*$AJ$3+AG9*$AJ$4+AH9*$AJ$5)/35</f>
        <v>0.33174095656091979</v>
      </c>
    </row>
    <row r="10" spans="1:36" x14ac:dyDescent="0.25">
      <c r="A10" s="812" t="s">
        <v>138</v>
      </c>
      <c r="B10" s="812">
        <v>2104008210</v>
      </c>
      <c r="C10" s="5">
        <f ca="1">INDIRECT("'DevSumOut-"&amp;$B$2&amp;"BSR'!R51")</f>
        <v>5.1833834205788992E-2</v>
      </c>
      <c r="D10" s="5">
        <f ca="1">INDIRECT("'DevSumOut-"&amp;$B$2&amp;"BSR'!P51")</f>
        <v>6.7756646020639209E-4</v>
      </c>
      <c r="E10" s="5">
        <f ca="1">OFFSET('WSCOReductions-5PctSIP'!$U$81,0,MATCH($B$2,'WSCOReductions-5PctSIP'!$X$78:$AQ$78,1)+2)</f>
        <v>0.2581731301263559</v>
      </c>
      <c r="F10" s="5">
        <f ca="1">OFFSET('WSCOReductions-5PctSIP'!$U$84,0,MATCH($B$2,'WSCOReductions-5PctSIP'!$X$78:$AQ$78,1)+2)</f>
        <v>9.2708464000170528E-4</v>
      </c>
      <c r="G10" s="5">
        <f ca="1">SCCRedFacsFull!G10*G$4/SCCRedFacsFull!G$4</f>
        <v>0</v>
      </c>
      <c r="H10" s="5">
        <f ca="1">SCCRedFacsFull!H10*G$4/SCCRedFacsFull!G$4</f>
        <v>0</v>
      </c>
      <c r="I10" s="5">
        <f ca="1">SCCRedFacsFull!I10*I$4/SCCRedFacsFull!I$4</f>
        <v>3.5333421257817105E-2</v>
      </c>
      <c r="J10" s="5">
        <f ca="1">SCCRedFacsFull!J10*I$4/SCCRedFacsFull!I$4</f>
        <v>3.5333421257817105E-2</v>
      </c>
      <c r="K10" s="5">
        <f ca="1">SCCRedFacsFull!K10*K$4/SCCRedFacsFull!K$4</f>
        <v>0</v>
      </c>
      <c r="L10" s="5">
        <f ca="1">SCCRedFacsFull!L10*K$4/SCCRedFacsFull!K$4</f>
        <v>0</v>
      </c>
      <c r="M10" s="5">
        <f ca="1">'BACM-R8'!P154*($B$2-$M$3+1)*$M$4/SCCRedFacsFull!$M$4</f>
        <v>0.24324324324324326</v>
      </c>
      <c r="N10" s="5">
        <f ca="1">'BACM-R8'!O154*($B$2-$M$3+1)*$M$4/SCCRedFacsFull!$M$4</f>
        <v>0.24324324324324326</v>
      </c>
      <c r="O10" s="5">
        <f ca="1">SCCRedFacsFull!O10*O$4/SCCRedFacsFull!O$4</f>
        <v>0</v>
      </c>
      <c r="P10" s="5">
        <f ca="1">SCCRedFacsFull!P10*O$4/SCCRedFacsFull!O$4</f>
        <v>0</v>
      </c>
      <c r="Q10" s="5">
        <f ca="1">IFERROR(OFFSET('STF-22'!$E$173,MATCH($B10,'STF-22'!$A$174:$A$191,0),MATCH($B$2,'STF-22'!$F$172:$AD$172,0))*Q$4/SCCRedFacsFull!Q$4,0)</f>
        <v>0.15629883022884794</v>
      </c>
      <c r="R10" s="5">
        <f ca="1">IFERROR(OFFSET('STF-22'!$E$173,MATCH($B10,'STF-22'!$A$174:$A$191,0),MATCH($B$2,'STF-22'!$F$172:$AD$172,0)-1)*R$4/SCCRedFacsFull!R$4,0)</f>
        <v>0.15629883022884797</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0.54309622007134006</v>
      </c>
      <c r="Z10" s="510">
        <f t="shared" ca="1" si="0"/>
        <v>0.38465400757176405</v>
      </c>
      <c r="AA10" s="617">
        <f ca="1">VLOOKUP($B10,INDIRECT("'CurtailCalcs"&amp;$B$2&amp;"-2Stage'!$AS$91:$BE$109"),10,FALSE)</f>
        <v>0.38363526536410086</v>
      </c>
      <c r="AB10" s="617">
        <f ca="1">VLOOKUP($B10,INDIRECT("'CurtailCalcs"&amp;$B$2&amp;"-2Stage'!$AS$91:$BE$109"),11,FALSE)</f>
        <v>0.38363526536410086</v>
      </c>
      <c r="AC10" s="617">
        <f ca="1">VLOOKUP($B10,INDIRECT("'CurtailCalcs"&amp;$B$2&amp;"-2Stage'!$AS$91:$BE$109"),12,FALSE)</f>
        <v>-1.3822081636614381</v>
      </c>
      <c r="AD10" s="617">
        <f ca="1">VLOOKUP($B10,INDIRECT("'CurtailCalcs"&amp;$B$2&amp;"-2Stage'!$AS$91:$BE$109"),13,FALSE)</f>
        <v>-1.3822081636614381</v>
      </c>
      <c r="AE10" s="510">
        <f t="shared" ref="AE10:AF26" ca="1" si="1">1-(1-$Y10)*(1-AA10)</f>
        <v>0.71838062293013227</v>
      </c>
      <c r="AF10" s="510">
        <f t="shared" ca="1" si="1"/>
        <v>0.71838062293013227</v>
      </c>
      <c r="AG10" s="510">
        <f t="shared" ref="AG10:AH26" ca="1" si="2">1-(1-$Z10)*(1-AC10)</f>
        <v>-0.46588224663889322</v>
      </c>
      <c r="AH10" s="510">
        <f t="shared" ca="1" si="2"/>
        <v>-0.46588224663889322</v>
      </c>
      <c r="AI10" s="530">
        <f t="shared" ref="AI10:AI26" ca="1" si="3">(Y10*$AJ$3+AE10*$AJ$4+AF10*$AJ$5)/35</f>
        <v>0.67330749076644292</v>
      </c>
      <c r="AJ10" s="530">
        <f t="shared" ref="AJ10:AJ26" ca="1" si="4">(Z10*$AJ$3+AG10*$AJ$4+AH10*$AJ$5)/35</f>
        <v>-0.24717292412758135</v>
      </c>
    </row>
    <row r="11" spans="1:36" x14ac:dyDescent="0.25">
      <c r="A11" s="812" t="s">
        <v>139</v>
      </c>
      <c r="B11" s="812">
        <v>2104008220</v>
      </c>
      <c r="C11" s="5">
        <f ca="1">INDIRECT("'DevSumOut-"&amp;$B$2&amp;"BSR'!R52")</f>
        <v>4.2796784236900379E-2</v>
      </c>
      <c r="D11" s="5">
        <f ca="1">INDIRECT("'DevSumOut-"&amp;$B$2&amp;"BSR'!P52")</f>
        <v>1.4265594745633456E-3</v>
      </c>
      <c r="E11" s="5">
        <f ca="1">OFFSET('WSCOReductions-5PctSIP'!$U$81,0,MATCH($B$2,'WSCOReductions-5PctSIP'!$X$78:$AQ$78,1)+2)</f>
        <v>0.2581731301263559</v>
      </c>
      <c r="F11" s="5">
        <f ca="1">OFFSET('WSCOReductions-5PctSIP'!$U$84,0,MATCH($B$2,'WSCOReductions-5PctSIP'!$X$78:$AQ$78,1)+2)</f>
        <v>9.2708464000170528E-4</v>
      </c>
      <c r="G11" s="5">
        <f ca="1">SCCRedFacsFull!G11*G$4/SCCRedFacsFull!G$4</f>
        <v>0</v>
      </c>
      <c r="H11" s="5">
        <f ca="1">SCCRedFacsFull!H11*G$4/SCCRedFacsFull!G$4</f>
        <v>0</v>
      </c>
      <c r="I11" s="5">
        <f ca="1">SCCRedFacsFull!I11*I$4/SCCRedFacsFull!I$4</f>
        <v>3.5333421257817126E-2</v>
      </c>
      <c r="J11" s="5">
        <f ca="1">SCCRedFacsFull!J11*I$4/SCCRedFacsFull!I$4</f>
        <v>3.5333421257817091E-2</v>
      </c>
      <c r="K11" s="5">
        <f ca="1">SCCRedFacsFull!K11*K$4/SCCRedFacsFull!K$4</f>
        <v>0</v>
      </c>
      <c r="L11" s="5">
        <f ca="1">SCCRedFacsFull!L11*K$4/SCCRedFacsFull!K$4</f>
        <v>0</v>
      </c>
      <c r="M11" s="5">
        <f ca="1">'BACM-R8'!P155*($B$2-$M$3+1)*$M$4/SCCRedFacsFull!$M$4</f>
        <v>0.10033848309013603</v>
      </c>
      <c r="N11" s="5">
        <f ca="1">'BACM-R8'!O155*($B$2-$M$3+1)*$M$4/SCCRedFacsFull!$M$4</f>
        <v>3.3286619638061829E-2</v>
      </c>
      <c r="O11" s="5">
        <f ca="1">SCCRedFacsFull!O11*O$4/SCCRedFacsFull!O$4</f>
        <v>0</v>
      </c>
      <c r="P11" s="5">
        <f ca="1">SCCRedFacsFull!P11*O$4/SCCRedFacsFull!O$4</f>
        <v>0</v>
      </c>
      <c r="Q11" s="5">
        <f ca="1">IFERROR(OFFSET('STF-22'!$E$173,MATCH($B11,'STF-22'!$A$174:$A$191,0),MATCH($B$2,'STF-22'!$F$172:$AD$172,0))*Q$4/SCCRedFacsFull!Q$4,0)</f>
        <v>0.96114112584231548</v>
      </c>
      <c r="R11" s="5">
        <f ca="1">IFERROR(OFFSET('STF-22'!$E$173,MATCH($B11,'STF-22'!$A$174:$A$191,0),MATCH($B$2,'STF-22'!$F$172:$AD$172,0)-1)*R$4/SCCRedFacsFull!R$4,0)</f>
        <v>0.94989833610532914</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0.97498219805150288</v>
      </c>
      <c r="Z11" s="510">
        <f t="shared" ca="1" si="0"/>
        <v>0.95332070406875624</v>
      </c>
      <c r="AA11" s="617">
        <f t="shared" ref="AA11:AA23" ca="1" si="5">VLOOKUP($B11,INDIRECT("'CurtailCalcs"&amp;$B$2&amp;"-2Stage'!$AS$91:$BE$109"),10,FALSE)</f>
        <v>0.29420413770727238</v>
      </c>
      <c r="AB11" s="617">
        <f t="shared" ref="AB11:AB23" ca="1" si="6">VLOOKUP($B11,INDIRECT("'CurtailCalcs"&amp;$B$2&amp;"-2Stage'!$AS$91:$BE$109"),11,FALSE)</f>
        <v>0.3824653790194541</v>
      </c>
      <c r="AC11" s="617">
        <f t="shared" ref="AC11:AC23" ca="1" si="7">VLOOKUP($B11,INDIRECT("'CurtailCalcs"&amp;$B$2&amp;"-2Stage'!$AS$91:$BE$109"),12,FALSE)</f>
        <v>-1.9463411308010561</v>
      </c>
      <c r="AD11" s="617">
        <f t="shared" ref="AD11:AD23" ca="1" si="8">VLOOKUP($B11,INDIRECT("'CurtailCalcs"&amp;$B$2&amp;"-2Stage'!$AS$91:$BE$109"),13,FALSE)</f>
        <v>-2.5302434700413725</v>
      </c>
      <c r="AE11" s="510">
        <f t="shared" ca="1" si="1"/>
        <v>0.9823425389010918</v>
      </c>
      <c r="AF11" s="510">
        <f t="shared" ca="1" si="1"/>
        <v>0.98455064115596846</v>
      </c>
      <c r="AG11" s="510">
        <f t="shared" ca="1" si="2"/>
        <v>0.86246687044094217</v>
      </c>
      <c r="AH11" s="510">
        <f t="shared" ca="1" si="2"/>
        <v>0.83521072035259791</v>
      </c>
      <c r="AI11" s="530">
        <f t="shared" ca="1" si="3"/>
        <v>0.98158547527084827</v>
      </c>
      <c r="AJ11" s="530">
        <f t="shared" ca="1" si="4"/>
        <v>0.87181183618551739</v>
      </c>
    </row>
    <row r="12" spans="1:36" x14ac:dyDescent="0.25">
      <c r="A12" s="812" t="s">
        <v>140</v>
      </c>
      <c r="B12" s="812">
        <v>2104008230</v>
      </c>
      <c r="C12" s="5">
        <f ca="1">INDIRECT("'DevSumOut-"&amp;$B$2&amp;"BSR'!R53")</f>
        <v>2.7914030739642468E-2</v>
      </c>
      <c r="D12" s="5">
        <f ca="1">INDIRECT("'DevSumOut-"&amp;$B$2&amp;"BSR'!P53")</f>
        <v>8.5889325352746042E-4</v>
      </c>
      <c r="E12" s="5">
        <f ca="1">OFFSET('WSCOReductions-5PctSIP'!$U$81,0,MATCH($B$2,'WSCOReductions-5PctSIP'!$X$78:$AQ$78,1)+2)</f>
        <v>0.2581731301263559</v>
      </c>
      <c r="F12" s="5">
        <f ca="1">OFFSET('WSCOReductions-5PctSIP'!$U$84,0,MATCH($B$2,'WSCOReductions-5PctSIP'!$X$78:$AQ$78,1)+2)</f>
        <v>9.2708464000170528E-4</v>
      </c>
      <c r="G12" s="5">
        <f ca="1">SCCRedFacsFull!G12*G$4/SCCRedFacsFull!G$4</f>
        <v>0</v>
      </c>
      <c r="H12" s="5">
        <f ca="1">SCCRedFacsFull!H12*G$4/SCCRedFacsFull!G$4</f>
        <v>0</v>
      </c>
      <c r="I12" s="5">
        <f ca="1">SCCRedFacsFull!I12*I$4/SCCRedFacsFull!I$4</f>
        <v>3.5333421257817119E-2</v>
      </c>
      <c r="J12" s="5">
        <f ca="1">SCCRedFacsFull!J12*I$4/SCCRedFacsFull!I$4</f>
        <v>3.5333421257817105E-2</v>
      </c>
      <c r="K12" s="5">
        <f ca="1">SCCRedFacsFull!K12*K$4/SCCRedFacsFull!K$4</f>
        <v>0</v>
      </c>
      <c r="L12" s="5">
        <f ca="1">SCCRedFacsFull!L12*K$4/SCCRedFacsFull!K$4</f>
        <v>0</v>
      </c>
      <c r="M12" s="5">
        <f ca="1">'BACM-R8'!P156*($B$2-$M$3+1)*$M$4/SCCRedFacsFull!$M$4</f>
        <v>0.10033848309013607</v>
      </c>
      <c r="N12" s="5">
        <f ca="1">'BACM-R8'!O156*($B$2-$M$3+1)*$M$4/SCCRedFacsFull!$M$4</f>
        <v>3.6060504607900334E-2</v>
      </c>
      <c r="O12" s="5">
        <f ca="1">SCCRedFacsFull!O12*O$4/SCCRedFacsFull!O$4</f>
        <v>0</v>
      </c>
      <c r="P12" s="5">
        <f ca="1">SCCRedFacsFull!P12*O$4/SCCRedFacsFull!O$4</f>
        <v>0</v>
      </c>
      <c r="Q12" s="5">
        <f ca="1">IFERROR(OFFSET('STF-22'!$E$173,MATCH($B12,'STF-22'!$A$174:$A$191,0),MATCH($B$2,'STF-22'!$F$172:$AD$172,0))*Q$4/SCCRedFacsFull!Q$4,0)</f>
        <v>0.96114112584231526</v>
      </c>
      <c r="R12" s="5">
        <f ca="1">IFERROR(OFFSET('STF-22'!$E$173,MATCH($B12,'STF-22'!$A$174:$A$191,0),MATCH($B$2,'STF-22'!$F$172:$AD$172,0)-1)*R$4/SCCRedFacsFull!R$4,0)</f>
        <v>1</v>
      </c>
      <c r="S12" s="5">
        <f ca="1">SCCRedFacsFull!S12*S$4/SCCRedFacsFull!S$4</f>
        <v>5.9017531678527933E-3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0.97512984694340499</v>
      </c>
      <c r="Z12" s="510">
        <f t="shared" ca="1" si="0"/>
        <v>1</v>
      </c>
      <c r="AA12" s="617">
        <f t="shared" ca="1" si="5"/>
        <v>0.29422890297323057</v>
      </c>
      <c r="AB12" s="617">
        <f t="shared" ca="1" si="6"/>
        <v>0.38249757386519989</v>
      </c>
      <c r="AC12" s="617">
        <f t="shared" ca="1" si="7"/>
        <v>-2.0822032972365507</v>
      </c>
      <c r="AD12" s="617">
        <f t="shared" ca="1" si="8"/>
        <v>-2.7068642864075154</v>
      </c>
      <c r="AE12" s="510">
        <f t="shared" ca="1" si="1"/>
        <v>0.98244736479402328</v>
      </c>
      <c r="AF12" s="510">
        <f t="shared" ca="1" si="1"/>
        <v>0.98464262014920878</v>
      </c>
      <c r="AG12" s="510">
        <f t="shared" ca="1" si="2"/>
        <v>1</v>
      </c>
      <c r="AH12" s="510">
        <f t="shared" ca="1" si="2"/>
        <v>1</v>
      </c>
      <c r="AI12" s="530">
        <f t="shared" ca="1" si="3"/>
        <v>0.98169470581510232</v>
      </c>
      <c r="AJ12" s="530">
        <f t="shared" ca="1" si="4"/>
        <v>1</v>
      </c>
    </row>
    <row r="13" spans="1:36" x14ac:dyDescent="0.25">
      <c r="A13" s="812" t="s">
        <v>141</v>
      </c>
      <c r="B13" s="812">
        <v>2104008310</v>
      </c>
      <c r="C13" s="5">
        <f ca="1">INDIRECT("'DevSumOut-"&amp;$B$2&amp;"BSR'!R54")</f>
        <v>0.41740300066289604</v>
      </c>
      <c r="D13" s="5">
        <f ca="1">INDIRECT("'DevSumOut-"&amp;$B$2&amp;"BSR'!P54")</f>
        <v>1.3750683264388261E-2</v>
      </c>
      <c r="E13" s="5">
        <f ca="1">OFFSET('WSCOReductions-5PctSIP'!$U$81,0,MATCH($B$2,'WSCOReductions-5PctSIP'!$X$78:$AQ$78,1)+2)</f>
        <v>0.2581731301263559</v>
      </c>
      <c r="F13" s="5">
        <f ca="1">OFFSET('WSCOReductions-5PctSIP'!$U$84,0,MATCH($B$2,'WSCOReductions-5PctSIP'!$X$78:$AQ$78,1)+2)</f>
        <v>9.2708464000170528E-4</v>
      </c>
      <c r="G13" s="5">
        <f ca="1">SCCRedFacsFull!G13*G$4/SCCRedFacsFull!G$4</f>
        <v>0</v>
      </c>
      <c r="H13" s="5">
        <f ca="1">SCCRedFacsFull!H13*G$4/SCCRedFacsFull!G$4</f>
        <v>0</v>
      </c>
      <c r="I13" s="5">
        <f ca="1">SCCRedFacsFull!I13*I$4/SCCRedFacsFull!I$4</f>
        <v>3.5333421257817091E-2</v>
      </c>
      <c r="J13" s="5">
        <f ca="1">SCCRedFacsFull!J13*I$4/SCCRedFacsFull!I$4</f>
        <v>3.5333421257817077E-2</v>
      </c>
      <c r="K13" s="5">
        <f ca="1">SCCRedFacsFull!K13*K$4/SCCRedFacsFull!K$4</f>
        <v>0</v>
      </c>
      <c r="L13" s="5">
        <f ca="1">SCCRedFacsFull!L13*K$4/SCCRedFacsFull!K$4</f>
        <v>0</v>
      </c>
      <c r="M13" s="5">
        <f ca="1">'BACM-R8'!P157*($B$2-$M$3+1)*$M$4/SCCRedFacsFull!$M$4</f>
        <v>0.23175965665236048</v>
      </c>
      <c r="N13" s="5">
        <f ca="1">'BACM-R8'!O157*($B$2-$M$3+1)*$M$4/SCCRedFacsFull!$M$4</f>
        <v>0.23175965665236048</v>
      </c>
      <c r="O13" s="5">
        <f ca="1">SCCRedFacsFull!O13*O$4/SCCRedFacsFull!O$4</f>
        <v>0</v>
      </c>
      <c r="P13" s="5">
        <f ca="1">SCCRedFacsFull!P13*O$4/SCCRedFacsFull!O$4</f>
        <v>0</v>
      </c>
      <c r="Q13" s="5">
        <f ca="1">IFERROR(OFFSET('STF-22'!$E$173,MATCH($B13,'STF-22'!$A$174:$A$191,0),MATCH($B$2,'STF-22'!$F$172:$AD$172,0))*Q$4/SCCRedFacsFull!Q$4,0)</f>
        <v>2.6398774744342813E-2</v>
      </c>
      <c r="R13" s="5">
        <f ca="1">IFERROR(OFFSET('STF-22'!$E$173,MATCH($B13,'STF-22'!$A$174:$A$191,0),MATCH($B$2,'STF-22'!$F$172:$AD$172,0)-1)*R$4/SCCRedFacsFull!R$4,0)</f>
        <v>2.5900101059411276E-2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0.46474835073052212</v>
      </c>
      <c r="Z13" s="510">
        <f t="shared" ca="1" si="0"/>
        <v>0.27876793565560498</v>
      </c>
      <c r="AA13" s="617">
        <f t="shared" ca="1" si="5"/>
        <v>0.38275908817786697</v>
      </c>
      <c r="AB13" s="617">
        <f t="shared" ca="1" si="6"/>
        <v>0.38275908817786697</v>
      </c>
      <c r="AC13" s="617">
        <f t="shared" ca="1" si="7"/>
        <v>-2.0003810209429416</v>
      </c>
      <c r="AD13" s="617">
        <f t="shared" ca="1" si="8"/>
        <v>-2.0003810209429416</v>
      </c>
      <c r="AE13" s="510">
        <f t="shared" ca="1" si="1"/>
        <v>0.66962078395060698</v>
      </c>
      <c r="AF13" s="510">
        <f t="shared" ca="1" si="1"/>
        <v>0.66962078395060698</v>
      </c>
      <c r="AG13" s="510">
        <f t="shared" ca="1" si="2"/>
        <v>-1.1639709975544212</v>
      </c>
      <c r="AH13" s="510">
        <f t="shared" ca="1" si="2"/>
        <v>-1.1639709975544212</v>
      </c>
      <c r="AI13" s="530">
        <f t="shared" ca="1" si="3"/>
        <v>0.61693930112258522</v>
      </c>
      <c r="AJ13" s="530">
        <f t="shared" ca="1" si="4"/>
        <v>-0.79298098615755741</v>
      </c>
    </row>
    <row r="14" spans="1:36" x14ac:dyDescent="0.25">
      <c r="A14" s="812" t="s">
        <v>142</v>
      </c>
      <c r="B14" s="812">
        <v>2104008320</v>
      </c>
      <c r="C14" s="5">
        <f ca="1">INDIRECT("'DevSumOut-"&amp;$B$2&amp;"BSR'!R55")</f>
        <v>0.57359902550757647</v>
      </c>
      <c r="D14" s="5">
        <f ca="1">INDIRECT("'DevSumOut-"&amp;$B$2&amp;"BSR'!P55")</f>
        <v>2.8950912780655459E-2</v>
      </c>
      <c r="E14" s="5">
        <f ca="1">OFFSET('WSCOReductions-5PctSIP'!$U$81,0,MATCH($B$2,'WSCOReductions-5PctSIP'!$X$78:$AQ$78,1)+2)</f>
        <v>0.2581731301263559</v>
      </c>
      <c r="F14" s="5">
        <f ca="1">OFFSET('WSCOReductions-5PctSIP'!$U$84,0,MATCH($B$2,'WSCOReductions-5PctSIP'!$X$78:$AQ$78,1)+2)</f>
        <v>9.2708464000170528E-4</v>
      </c>
      <c r="G14" s="5">
        <f ca="1">SCCRedFacsFull!G14*G$4/SCCRedFacsFull!G$4</f>
        <v>0</v>
      </c>
      <c r="H14" s="5">
        <f ca="1">SCCRedFacsFull!H14*G$4/SCCRedFacsFull!G$4</f>
        <v>0</v>
      </c>
      <c r="I14" s="5">
        <f ca="1">SCCRedFacsFull!I14*I$4/SCCRedFacsFull!I$4</f>
        <v>3.5333421257817105E-2</v>
      </c>
      <c r="J14" s="5">
        <f ca="1">SCCRedFacsFull!J14*I$4/SCCRedFacsFull!I$4</f>
        <v>3.5333421257817084E-2</v>
      </c>
      <c r="K14" s="5">
        <f ca="1">SCCRedFacsFull!K14*K$4/SCCRedFacsFull!K$4</f>
        <v>0</v>
      </c>
      <c r="L14" s="5">
        <f ca="1">SCCRedFacsFull!L14*K$4/SCCRedFacsFull!K$4</f>
        <v>0</v>
      </c>
      <c r="M14" s="5">
        <f ca="1">'BACM-R8'!P158*($B$2-$M$3+1)*$M$4/SCCRedFacsFull!$M$4</f>
        <v>5.1811365963443337E-2</v>
      </c>
      <c r="N14" s="5">
        <f ca="1">'BACM-R8'!O158*($B$2-$M$3+1)*$M$4/SCCRedFacsFull!$M$4</f>
        <v>-1.4532592169174829E-2</v>
      </c>
      <c r="O14" s="5">
        <f ca="1">SCCRedFacsFull!O14*O$4/SCCRedFacsFull!O$4</f>
        <v>0</v>
      </c>
      <c r="P14" s="5">
        <f ca="1">SCCRedFacsFull!P14*O$4/SCCRedFacsFull!O$4</f>
        <v>0</v>
      </c>
      <c r="Q14" s="5">
        <f ca="1">IFERROR(OFFSET('STF-22'!$E$173,MATCH($B14,'STF-22'!$A$174:$A$191,0),MATCH($B$2,'STF-22'!$F$172:$AD$172,0))*Q$4/SCCRedFacsFull!Q$4,0)</f>
        <v>0.15995769904499768</v>
      </c>
      <c r="R14" s="5">
        <f ca="1">IFERROR(OFFSET('STF-22'!$E$173,MATCH($B14,'STF-22'!$A$174:$A$191,0),MATCH($B$2,'STF-22'!$F$172:$AD$172,0)-1)*R$4/SCCRedFacsFull!R$4,0)</f>
        <v>0.15363049968549006</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0.42999890052858047</v>
      </c>
      <c r="Z14" s="510">
        <f t="shared" ca="1" si="0"/>
        <v>0.17243821782144397</v>
      </c>
      <c r="AA14" s="617">
        <f t="shared" ca="1" si="5"/>
        <v>0.29354300452577731</v>
      </c>
      <c r="AB14" s="617">
        <f t="shared" ca="1" si="6"/>
        <v>0.3816059058835104</v>
      </c>
      <c r="AC14" s="617">
        <f t="shared" ca="1" si="7"/>
        <v>-2.0142722140188036</v>
      </c>
      <c r="AD14" s="617">
        <f t="shared" ca="1" si="8"/>
        <v>-2.6185538782244442</v>
      </c>
      <c r="AE14" s="510">
        <f t="shared" ca="1" si="1"/>
        <v>0.59731873585041739</v>
      </c>
      <c r="AF14" s="510">
        <f t="shared" ca="1" si="1"/>
        <v>0.64751468644696852</v>
      </c>
      <c r="AG14" s="510">
        <f t="shared" ca="1" si="2"/>
        <v>-1.4944964854047029</v>
      </c>
      <c r="AH14" s="510">
        <f t="shared" ca="1" si="2"/>
        <v>-1.9945768963725468</v>
      </c>
      <c r="AI14" s="530">
        <f t="shared" ca="1" si="3"/>
        <v>0.58010869564588563</v>
      </c>
      <c r="AJ14" s="530">
        <f t="shared" ca="1" si="4"/>
        <v>-1.323040344501442</v>
      </c>
    </row>
    <row r="15" spans="1:36" x14ac:dyDescent="0.25">
      <c r="A15" s="812" t="s">
        <v>143</v>
      </c>
      <c r="B15" s="812">
        <v>2104008330</v>
      </c>
      <c r="C15" s="5">
        <f ca="1">INDIRECT("'DevSumOut-"&amp;$B$2&amp;"BSR'!R56")</f>
        <v>0.38319503427032575</v>
      </c>
      <c r="D15" s="5">
        <f ca="1">INDIRECT("'DevSumOut-"&amp;$B$2&amp;"BSR'!P56")</f>
        <v>1.7430569222063472E-2</v>
      </c>
      <c r="E15" s="5">
        <f ca="1">OFFSET('WSCOReductions-5PctSIP'!$U$81,0,MATCH($B$2,'WSCOReductions-5PctSIP'!$X$78:$AQ$78,1)+2)</f>
        <v>0.2581731301263559</v>
      </c>
      <c r="F15" s="5">
        <f ca="1">OFFSET('WSCOReductions-5PctSIP'!$U$84,0,MATCH($B$2,'WSCOReductions-5PctSIP'!$X$78:$AQ$78,1)+2)</f>
        <v>9.2708464000170528E-4</v>
      </c>
      <c r="G15" s="5">
        <f ca="1">SCCRedFacsFull!G15*G$4/SCCRedFacsFull!G$4</f>
        <v>0</v>
      </c>
      <c r="H15" s="5">
        <f ca="1">SCCRedFacsFull!H15*G$4/SCCRedFacsFull!G$4</f>
        <v>0</v>
      </c>
      <c r="I15" s="5">
        <f ca="1">SCCRedFacsFull!I15*I$4/SCCRedFacsFull!I$4</f>
        <v>3.5333421257817091E-2</v>
      </c>
      <c r="J15" s="5">
        <f ca="1">SCCRedFacsFull!J15*I$4/SCCRedFacsFull!I$4</f>
        <v>3.5333421257817112E-2</v>
      </c>
      <c r="K15" s="5">
        <f ca="1">SCCRedFacsFull!K15*K$4/SCCRedFacsFull!K$4</f>
        <v>0</v>
      </c>
      <c r="L15" s="5">
        <f ca="1">SCCRedFacsFull!L15*K$4/SCCRedFacsFull!K$4</f>
        <v>0</v>
      </c>
      <c r="M15" s="5">
        <f ca="1">'BACM-R8'!P159*($B$2-$M$3+1)*$M$4/SCCRedFacsFull!$M$4</f>
        <v>5.1811365963443316E-2</v>
      </c>
      <c r="N15" s="5">
        <f ca="1">'BACM-R8'!O159*($B$2-$M$3+1)*$M$4/SCCRedFacsFull!$M$4</f>
        <v>-1.6125205009632347E-2</v>
      </c>
      <c r="O15" s="5">
        <f ca="1">SCCRedFacsFull!O15*O$4/SCCRedFacsFull!O$4</f>
        <v>0</v>
      </c>
      <c r="P15" s="5">
        <f ca="1">SCCRedFacsFull!P15*O$4/SCCRedFacsFull!O$4</f>
        <v>0</v>
      </c>
      <c r="Q15" s="5">
        <f ca="1">IFERROR(OFFSET('STF-22'!$E$173,MATCH($B15,'STF-22'!$A$174:$A$191,0),MATCH($B$2,'STF-22'!$F$172:$AD$172,0))*Q$4/SCCRedFacsFull!Q$4,0)</f>
        <v>0.15995769904499768</v>
      </c>
      <c r="R15" s="5">
        <f ca="1">IFERROR(OFFSET('STF-22'!$E$173,MATCH($B15,'STF-22'!$A$174:$A$191,0),MATCH($B$2,'STF-22'!$F$172:$AD$172,0)-1)*R$4/SCCRedFacsFull!R$4,0)</f>
        <v>0.17046671882910547</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0.42999890052858047</v>
      </c>
      <c r="Z15" s="510">
        <f t="shared" ca="1" si="0"/>
        <v>0.18762704461076196</v>
      </c>
      <c r="AA15" s="617">
        <f t="shared" ca="1" si="5"/>
        <v>0.29362726123173721</v>
      </c>
      <c r="AB15" s="617">
        <f t="shared" ca="1" si="6"/>
        <v>0.38171543960125831</v>
      </c>
      <c r="AC15" s="617">
        <f t="shared" ca="1" si="7"/>
        <v>-2.1501343804542983</v>
      </c>
      <c r="AD15" s="617">
        <f t="shared" ca="1" si="8"/>
        <v>-2.795174694590588</v>
      </c>
      <c r="AE15" s="510">
        <f t="shared" ca="1" si="1"/>
        <v>0.59736676226545238</v>
      </c>
      <c r="AF15" s="510">
        <f t="shared" ca="1" si="1"/>
        <v>0.64757712078651397</v>
      </c>
      <c r="AG15" s="510">
        <f t="shared" ca="1" si="2"/>
        <v>-1.5590839765229045</v>
      </c>
      <c r="AH15" s="510">
        <f t="shared" ca="1" si="2"/>
        <v>-2.083097282863005</v>
      </c>
      <c r="AI15" s="530">
        <f t="shared" ca="1" si="3"/>
        <v>0.58015178220108843</v>
      </c>
      <c r="AJ15" s="530">
        <f t="shared" ca="1" si="4"/>
        <v>-1.3794222714920132</v>
      </c>
    </row>
    <row r="16" spans="1:36" x14ac:dyDescent="0.25">
      <c r="A16" s="812" t="s">
        <v>144</v>
      </c>
      <c r="B16" s="812">
        <v>2104008410</v>
      </c>
      <c r="C16" s="5">
        <f ca="1">INDIRECT("'DevSumOut-"&amp;$B$2&amp;"BSR'!R57")</f>
        <v>1.4139396184964282E-2</v>
      </c>
      <c r="D16" s="5">
        <f ca="1">INDIRECT("'DevSumOut-"&amp;$B$2&amp;"BSR'!P57")</f>
        <v>1.5285833713474901E-3</v>
      </c>
      <c r="E16" s="5">
        <f ca="1">OFFSET('WSCOReductions-5PctSIP'!$U$81,0,MATCH($B$2,'WSCOReductions-5PctSIP'!$X$78:$AQ$78,1)+2)</f>
        <v>0.2581731301263559</v>
      </c>
      <c r="F16" s="5">
        <f ca="1">OFFSET('WSCOReductions-5PctSIP'!$U$84,0,MATCH($B$2,'WSCOReductions-5PctSIP'!$X$78:$AQ$78,1)+2)</f>
        <v>9.2708464000170528E-4</v>
      </c>
      <c r="G16" s="5">
        <f ca="1">SCCRedFacsFull!G16*G$4/SCCRedFacsFull!G$4</f>
        <v>0</v>
      </c>
      <c r="H16" s="5">
        <f ca="1">SCCRedFacsFull!H16*G$4/SCCRedFacsFull!G$4</f>
        <v>0</v>
      </c>
      <c r="I16" s="5">
        <f ca="1">SCCRedFacsFull!I16*I$4/SCCRedFacsFull!I$4</f>
        <v>3.5333421257817028E-2</v>
      </c>
      <c r="J16" s="5">
        <f ca="1">SCCRedFacsFull!J16*I$4/SCCRedFacsFull!I$4</f>
        <v>3.5333421257817084E-2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0.1464863123969706</v>
      </c>
      <c r="R16" s="5">
        <f ca="1">IFERROR(OFFSET('STF-22'!$E$173,MATCH($B16,'STF-22'!$A$174:$A$191,0),MATCH($B$2,'STF-22'!$F$172:$AD$172,0)-1)*R$4/SCCRedFacsFull!R$4,0)</f>
        <v>0.14648631239697063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0.38921230008484553</v>
      </c>
      <c r="Z16" s="510">
        <f t="shared" ca="1" si="0"/>
        <v>0.17740719189074339</v>
      </c>
      <c r="AA16" s="617">
        <f t="shared" ca="1" si="5"/>
        <v>0.3789569198779732</v>
      </c>
      <c r="AB16" s="617">
        <f t="shared" ca="1" si="6"/>
        <v>0.3789569198779732</v>
      </c>
      <c r="AC16" s="617">
        <f t="shared" ca="1" si="7"/>
        <v>-2.5688476929610511</v>
      </c>
      <c r="AD16" s="617">
        <f t="shared" ca="1" si="8"/>
        <v>-2.5688476929610511</v>
      </c>
      <c r="AE16" s="510">
        <f t="shared" ca="1" si="1"/>
        <v>0.62067452554404423</v>
      </c>
      <c r="AF16" s="510">
        <f t="shared" ca="1" si="1"/>
        <v>0.62067452554404423</v>
      </c>
      <c r="AG16" s="510">
        <f t="shared" ca="1" si="2"/>
        <v>-1.935708445467073</v>
      </c>
      <c r="AH16" s="510">
        <f t="shared" ca="1" si="2"/>
        <v>-1.935708445467073</v>
      </c>
      <c r="AI16" s="530">
        <f t="shared" ca="1" si="3"/>
        <v>0.56115566756882163</v>
      </c>
      <c r="AJ16" s="530">
        <f t="shared" ca="1" si="4"/>
        <v>-1.3923358530036345</v>
      </c>
    </row>
    <row r="17" spans="1:40" x14ac:dyDescent="0.25">
      <c r="A17" s="812" t="s">
        <v>145</v>
      </c>
      <c r="B17" s="812">
        <v>2104008420</v>
      </c>
      <c r="C17" s="5">
        <f ca="1">INDIRECT("'DevSumOut-"&amp;$B$2&amp;"BSR'!R58")</f>
        <v>4.769262276447387E-2</v>
      </c>
      <c r="D17" s="5">
        <f ca="1">INDIRECT("'DevSumOut-"&amp;$B$2&amp;"BSR'!P58")</f>
        <v>5.1559592177809607E-3</v>
      </c>
      <c r="E17" s="5">
        <f ca="1">OFFSET('WSCOReductions-5PctSIP'!$U$81,0,MATCH($B$2,'WSCOReductions-5PctSIP'!$X$78:$AQ$78,1)+2)</f>
        <v>0.2581731301263559</v>
      </c>
      <c r="F17" s="5">
        <f ca="1">OFFSET('WSCOReductions-5PctSIP'!$U$84,0,MATCH($B$2,'WSCOReductions-5PctSIP'!$X$78:$AQ$78,1)+2)</f>
        <v>9.2708464000170528E-4</v>
      </c>
      <c r="G17" s="5">
        <f ca="1">SCCRedFacsFull!G17*G$4/SCCRedFacsFull!G$4</f>
        <v>0</v>
      </c>
      <c r="H17" s="5">
        <f ca="1">SCCRedFacsFull!H17*G$4/SCCRedFacsFull!G$4</f>
        <v>0</v>
      </c>
      <c r="I17" s="5">
        <f ca="1">SCCRedFacsFull!I17*I$4/SCCRedFacsFull!I$4</f>
        <v>3.5333421257817091E-2</v>
      </c>
      <c r="J17" s="5">
        <f ca="1">SCCRedFacsFull!J17*I$4/SCCRedFacsFull!I$4</f>
        <v>3.5333421257817091E-2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0.17809924759889664</v>
      </c>
      <c r="R17" s="5">
        <f ca="1">IFERROR(OFFSET('STF-22'!$E$173,MATCH($B17,'STF-22'!$A$174:$A$191,0),MATCH($B$2,'STF-22'!$F$172:$AD$172,0)-1)*R$4/SCCRedFacsFull!R$4,0)</f>
        <v>0.17809924759889667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0.41183500931611428</v>
      </c>
      <c r="Z17" s="510">
        <f t="shared" ca="1" si="0"/>
        <v>0.20787486161653124</v>
      </c>
      <c r="AA17" s="617">
        <f t="shared" ca="1" si="5"/>
        <v>0.37697570983003414</v>
      </c>
      <c r="AB17" s="617">
        <f t="shared" ca="1" si="6"/>
        <v>0.37697570983003414</v>
      </c>
      <c r="AC17" s="617">
        <f t="shared" ca="1" si="7"/>
        <v>-3.7288950009100361</v>
      </c>
      <c r="AD17" s="617">
        <f t="shared" ca="1" si="8"/>
        <v>-3.7288950009100361</v>
      </c>
      <c r="AE17" s="510">
        <f t="shared" ca="1" si="1"/>
        <v>0.63355892417634752</v>
      </c>
      <c r="AF17" s="510">
        <f t="shared" ca="1" si="1"/>
        <v>0.63355892417634752</v>
      </c>
      <c r="AG17" s="510">
        <f t="shared" ca="1" si="2"/>
        <v>-2.745876606996756</v>
      </c>
      <c r="AH17" s="510">
        <f t="shared" ca="1" si="2"/>
        <v>-2.745876606996756</v>
      </c>
      <c r="AI17" s="530">
        <f t="shared" ca="1" si="3"/>
        <v>0.5765442032122875</v>
      </c>
      <c r="AJ17" s="530">
        <f t="shared" ca="1" si="4"/>
        <v>-1.9863405150676248</v>
      </c>
    </row>
    <row r="18" spans="1:40" x14ac:dyDescent="0.25">
      <c r="A18" s="812" t="s">
        <v>146</v>
      </c>
      <c r="B18" s="812">
        <v>2104008610</v>
      </c>
      <c r="C18" s="5">
        <f ca="1">INDIRECT("'DevSumOut-"&amp;$B$2&amp;"BSR'!R59")</f>
        <v>0.23695404740806003</v>
      </c>
      <c r="D18" s="5">
        <f ca="1">INDIRECT("'DevSumOut-"&amp;$B$2&amp;"BSR'!P59")</f>
        <v>9.6028529450874461E-3</v>
      </c>
      <c r="E18" s="5">
        <f ca="1">OFFSET('WSCOReductions-5PctSIP'!$U$81,0,MATCH($B$2,'WSCOReductions-5PctSIP'!$X$78:$AQ$78,1)+2)</f>
        <v>0.2581731301263559</v>
      </c>
      <c r="F18" s="5">
        <f ca="1">OFFSET('WSCOReductions-5PctSIP'!$U$84,0,MATCH($B$2,'WSCOReductions-5PctSIP'!$X$78:$AQ$78,1)+2)</f>
        <v>9.2708464000170528E-4</v>
      </c>
      <c r="G18" s="5">
        <f ca="1">SCCRedFacsFull!G18*G$4/SCCRedFacsFull!G$4</f>
        <v>0</v>
      </c>
      <c r="H18" s="5">
        <f ca="1">SCCRedFacsFull!H18*G$4/SCCRedFacsFull!G$4</f>
        <v>0</v>
      </c>
      <c r="I18" s="5">
        <f ca="1">SCCRedFacsFull!I18*I$4/SCCRedFacsFull!I$4</f>
        <v>3.533342125781707E-2</v>
      </c>
      <c r="J18" s="5">
        <f ca="1">SCCRedFacsFull!J18*I$4/SCCRedFacsFull!I$4</f>
        <v>3.5333421257817063E-2</v>
      </c>
      <c r="K18" s="5">
        <f ca="1">SCCRedFacsFull!K18*K$4/SCCRedFacsFull!K$4</f>
        <v>0</v>
      </c>
      <c r="L18" s="5">
        <f ca="1">SCCRedFacsFull!L18*K$4/SCCRedFacsFull!K$4</f>
        <v>0</v>
      </c>
      <c r="M18" s="5">
        <f ca="1">'BACM-R8'!P162*($B$2-$M$3+1)*$M$4/SCCRedFacsFull!$M$4</f>
        <v>0.19883093454645259</v>
      </c>
      <c r="N18" s="5">
        <f ca="1">'BACM-R8'!O162*($B$2-$M$3+1)*$M$4/SCCRedFacsFull!$M$4</f>
        <v>7.980821771641898E-2</v>
      </c>
      <c r="O18" s="5">
        <f ca="1">SCCRedFacsFull!O18*O$4/SCCRedFacsFull!O$4</f>
        <v>0</v>
      </c>
      <c r="P18" s="5">
        <f ca="1">SCCRedFacsFull!P18*O$4/SCCRedFacsFull!O$4</f>
        <v>0</v>
      </c>
      <c r="Q18" s="5">
        <f ca="1">IFERROR(OFFSET('STF-22'!$E$173,MATCH($B18,'STF-22'!$A$174:$A$191,0),MATCH($B$2,'STF-22'!$F$172:$AD$172,0))*Q$4/SCCRedFacsFull!Q$4,0)</f>
        <v>0.12631497725723345</v>
      </c>
      <c r="R18" s="5">
        <f ca="1">IFERROR(OFFSET('STF-22'!$E$173,MATCH($B18,'STF-22'!$A$174:$A$191,0),MATCH($B$2,'STF-22'!$F$172:$AD$172,0)-1)*R$4/SCCRedFacsFull!R$4,0)</f>
        <v>0.12631497725723348</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0.49909097640519839</v>
      </c>
      <c r="Z18" s="510">
        <f t="shared" ca="1" si="0"/>
        <v>0.22516780222411792</v>
      </c>
      <c r="AA18" s="617">
        <f t="shared" ca="1" si="5"/>
        <v>0.3534647635717818</v>
      </c>
      <c r="AB18" s="617">
        <f t="shared" ca="1" si="6"/>
        <v>0.38278442137957946</v>
      </c>
      <c r="AC18" s="617">
        <f t="shared" ca="1" si="7"/>
        <v>-1.3986562101196673</v>
      </c>
      <c r="AD18" s="617">
        <f t="shared" ca="1" si="8"/>
        <v>-1.5146737759360449</v>
      </c>
      <c r="AE18" s="510">
        <f t="shared" ca="1" si="1"/>
        <v>0.67614466600110701</v>
      </c>
      <c r="AF18" s="510">
        <f t="shared" ca="1" si="1"/>
        <v>0.69083114716574467</v>
      </c>
      <c r="AG18" s="510">
        <f t="shared" ca="1" si="2"/>
        <v>-0.85855606299578979</v>
      </c>
      <c r="AH18" s="510">
        <f t="shared" ca="1" si="2"/>
        <v>-0.94845020849790163</v>
      </c>
      <c r="AI18" s="530">
        <f t="shared" ca="1" si="3"/>
        <v>0.63816962184682979</v>
      </c>
      <c r="AJ18" s="530">
        <f t="shared" ca="1" si="4"/>
        <v>-0.62611548676889961</v>
      </c>
    </row>
    <row r="19" spans="1:40" x14ac:dyDescent="0.25">
      <c r="A19" s="812" t="s">
        <v>147</v>
      </c>
      <c r="B19" s="812">
        <v>2104004000</v>
      </c>
      <c r="C19" s="5">
        <f ca="1">INDIRECT("'DevSumOut-"&amp;$B$2&amp;"BSR'!R60")+INDIRECT("'DevSumOut-"&amp;$B$2&amp;"BSR'!R62")+INDIRECT("'DevSumOut-"&amp;$B$2&amp;"BSR'!R63")</f>
        <v>5.3828339333418712E-2</v>
      </c>
      <c r="D19" s="5">
        <f ca="1">INDIRECT("'DevSumOut-"&amp;$B$2&amp;"BSR'!P60")+INDIRECT("'DevSumOut-"&amp;$B$2&amp;"BSR'!P62")+INDIRECT("'DevSumOut-"&amp;$B$2&amp;"BSR'!P63")</f>
        <v>3.4101266092905025</v>
      </c>
      <c r="E19" s="5">
        <f ca="1">OFFSET('WSCOReductions-5PctSIP'!$U$81,0,MATCH($B$2,'WSCOReductions-5PctSIP'!$X$78:$AQ$78,1)+2)</f>
        <v>0.2581731301263559</v>
      </c>
      <c r="F19" s="5">
        <f ca="1">OFFSET('WSCOReductions-5PctSIP'!$U$84,0,MATCH($B$2,'WSCOReductions-5PctSIP'!$X$78:$AQ$78,1)+2)</f>
        <v>9.2708464000170528E-4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-4.3172045333081856E-3</v>
      </c>
      <c r="R19" s="5">
        <f ca="1">IFERROR(OFFSET('STF-22'!$E$173,MATCH($B19,'STF-22'!$A$174:$A$191,0),MATCH($B$2,'STF-22'!$F$172:$AD$172,0)-1)*R$4/SCCRedFacsFull!R$4,0)</f>
        <v>-4.3207575417449698E-3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0.25497051180080754</v>
      </c>
      <c r="Z19" s="510">
        <f t="shared" ca="1" si="0"/>
        <v>-3.3896671937931888E-3</v>
      </c>
      <c r="AA19" s="617">
        <f t="shared" ca="1" si="5"/>
        <v>0</v>
      </c>
      <c r="AB19" s="617">
        <f t="shared" ca="1" si="6"/>
        <v>0</v>
      </c>
      <c r="AC19" s="617">
        <f t="shared" ca="1" si="7"/>
        <v>0</v>
      </c>
      <c r="AD19" s="617">
        <f t="shared" ca="1" si="8"/>
        <v>0</v>
      </c>
      <c r="AE19" s="510">
        <f t="shared" ca="1" si="1"/>
        <v>0.25497051180080754</v>
      </c>
      <c r="AF19" s="510">
        <f t="shared" ca="1" si="1"/>
        <v>0.25497051180080754</v>
      </c>
      <c r="AG19" s="510">
        <f t="shared" ca="1" si="2"/>
        <v>-3.3896671937931888E-3</v>
      </c>
      <c r="AH19" s="510">
        <f t="shared" ca="1" si="2"/>
        <v>-3.3896671937931888E-3</v>
      </c>
      <c r="AI19" s="530">
        <f t="shared" ca="1" si="3"/>
        <v>0.25497051180080754</v>
      </c>
      <c r="AJ19" s="530">
        <f t="shared" ca="1" si="4"/>
        <v>-3.3896671937931888E-3</v>
      </c>
    </row>
    <row r="20" spans="1:40" x14ac:dyDescent="0.25">
      <c r="A20" s="812" t="s">
        <v>148</v>
      </c>
      <c r="B20" s="812">
        <v>2103004001</v>
      </c>
      <c r="C20" s="5">
        <f ca="1">INDIRECT("'DevSumOut-"&amp;$B$2&amp;"BSR'!R61")</f>
        <v>1.7087456833518078E-2</v>
      </c>
      <c r="D20" s="5">
        <f ca="1">INDIRECT("'DevSumOut-"&amp;$B$2&amp;"BSR'!P61")</f>
        <v>0.47614654356203151</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0.2581731301263559</v>
      </c>
      <c r="F21" s="5">
        <f ca="1">OFFSET('WSCOReductions-5PctSIP'!$U$84,0,MATCH($B$2,'WSCOReductions-5PctSIP'!$X$78:$AQ$78,1)+2)</f>
        <v>9.2708464000170528E-4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0.2581731301263559</v>
      </c>
      <c r="Z21" s="510">
        <f t="shared" ca="1" si="0"/>
        <v>9.2708464000168522E-4</v>
      </c>
      <c r="AA21" s="617">
        <f t="shared" ca="1" si="5"/>
        <v>0</v>
      </c>
      <c r="AB21" s="617">
        <f t="shared" ca="1" si="6"/>
        <v>0</v>
      </c>
      <c r="AC21" s="617">
        <f t="shared" ca="1" si="7"/>
        <v>0</v>
      </c>
      <c r="AD21" s="617">
        <f t="shared" ca="1" si="8"/>
        <v>0</v>
      </c>
      <c r="AE21" s="510">
        <f t="shared" ca="1" si="1"/>
        <v>0.2581731301263559</v>
      </c>
      <c r="AF21" s="510">
        <f t="shared" ca="1" si="1"/>
        <v>0.2581731301263559</v>
      </c>
      <c r="AG21" s="510">
        <f t="shared" ca="1" si="2"/>
        <v>9.2708464000168522E-4</v>
      </c>
      <c r="AH21" s="510">
        <f t="shared" ca="1" si="2"/>
        <v>9.2708464000168522E-4</v>
      </c>
      <c r="AI21" s="530">
        <f t="shared" ca="1" si="3"/>
        <v>0.25817313012635595</v>
      </c>
      <c r="AJ21" s="530">
        <f t="shared" ca="1" si="4"/>
        <v>9.2708464000168522E-4</v>
      </c>
    </row>
    <row r="22" spans="1:40" x14ac:dyDescent="0.25">
      <c r="A22" s="812" t="s">
        <v>150</v>
      </c>
      <c r="B22" s="812">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9.3114624157333514E-2</v>
      </c>
      <c r="D23" s="5">
        <f ca="1">INDIRECT("'DevSumOut-"&amp;$B$2&amp;"BSR'!P66")</f>
        <v>0.10838122711679619</v>
      </c>
      <c r="E23" s="5">
        <f ca="1">OFFSET('WSCOReductions-5PctSIP'!$U$81,0,MATCH($B$2,'WSCOReductions-5PctSIP'!$X$78:$AQ$78,1)+2)</f>
        <v>0.2581731301263559</v>
      </c>
      <c r="F23" s="5">
        <f ca="1">OFFSET('WSCOReductions-5PctSIP'!$U$84,0,MATCH($B$2,'WSCOReductions-5PctSIP'!$X$78:$AQ$78,1)+2)</f>
        <v>9.2708464000170528E-4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0.2581731301263559</v>
      </c>
      <c r="Z23" s="510">
        <f t="shared" ca="1" si="0"/>
        <v>9.2708464000168522E-4</v>
      </c>
      <c r="AA23" s="617">
        <f t="shared" ca="1" si="5"/>
        <v>0.39862568473651927</v>
      </c>
      <c r="AB23" s="617">
        <f t="shared" ca="1" si="6"/>
        <v>0.39862568473651927</v>
      </c>
      <c r="AC23" s="617">
        <f t="shared" ca="1" si="7"/>
        <v>0.3282495086227164</v>
      </c>
      <c r="AD23" s="617">
        <f t="shared" ca="1" si="8"/>
        <v>0.3282495086227164</v>
      </c>
      <c r="AE23" s="510">
        <f t="shared" ca="1" si="1"/>
        <v>0.55388437408568603</v>
      </c>
      <c r="AF23" s="510">
        <f t="shared" ca="1" si="1"/>
        <v>0.55388437408568603</v>
      </c>
      <c r="AG23" s="510">
        <f t="shared" ca="1" si="2"/>
        <v>0.32887227818518583</v>
      </c>
      <c r="AH23" s="510">
        <f t="shared" ca="1" si="2"/>
        <v>0.32887227818518583</v>
      </c>
      <c r="AI23" s="530">
        <f t="shared" ca="1" si="3"/>
        <v>0.47784433992471542</v>
      </c>
      <c r="AJ23" s="530">
        <f t="shared" ca="1" si="4"/>
        <v>0.24454351413070988</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2.6366777990289929</v>
      </c>
      <c r="D27" s="450">
        <f ca="1">INDIRECT("'DevSumOut-"&amp;$B$2&amp;"BSR'!P70")</f>
        <v>4.0996975393875967</v>
      </c>
      <c r="E27" s="450">
        <f ca="1">$C27-E28</f>
        <v>1.9637173684543394</v>
      </c>
      <c r="F27" s="450">
        <f ca="1">$D27-F28</f>
        <v>4.0963548065503677</v>
      </c>
      <c r="G27" s="450">
        <f ca="1">$C27-G28</f>
        <v>2.6366777990289929</v>
      </c>
      <c r="H27" s="450">
        <f ca="1">$D27-H28</f>
        <v>4.0996975393875967</v>
      </c>
      <c r="I27" s="450">
        <f ca="1">$C27-I28</f>
        <v>2.5497690386115885</v>
      </c>
      <c r="J27" s="450">
        <f ca="1">$D27-J28</f>
        <v>4.0966213908306202</v>
      </c>
      <c r="K27" s="450">
        <f ca="1">$C27-K28</f>
        <v>2.6366777990289929</v>
      </c>
      <c r="L27" s="450">
        <f ca="1">$D27-L28</f>
        <v>4.0996975393875967</v>
      </c>
      <c r="M27" s="450">
        <f ca="1">$C27-M28</f>
        <v>2.3280378518316662</v>
      </c>
      <c r="N27" s="450">
        <f ca="1">$D27-N28</f>
        <v>4.0950986359117705</v>
      </c>
      <c r="O27" s="450">
        <f ca="1">$C27-O28</f>
        <v>2.6366777990289929</v>
      </c>
      <c r="P27" s="450">
        <f ca="1">$D27-P28</f>
        <v>4.0996975393875967</v>
      </c>
      <c r="Q27" s="450">
        <f ca="1">$C27-Q28</f>
        <v>2.2515449074876472</v>
      </c>
      <c r="R27" s="450">
        <f ca="1">$D27-R28</f>
        <v>4.1007707387291941</v>
      </c>
      <c r="S27" s="450">
        <f ca="1">$C27-S28</f>
        <v>2.6365130573096476</v>
      </c>
      <c r="T27" s="450">
        <f ca="1">$D27-T28</f>
        <v>4.0996975393875967</v>
      </c>
      <c r="U27" s="786">
        <f ca="1">$C27-U28</f>
        <v>2.6366777990289929</v>
      </c>
      <c r="V27" s="786">
        <f ca="1">$D27-V28</f>
        <v>4.0996975393875967</v>
      </c>
      <c r="W27" s="450">
        <f ca="1">$C27-W28</f>
        <v>2.6366777990289929</v>
      </c>
      <c r="X27" s="450">
        <f ca="1">$D27-X28</f>
        <v>4.0996975393875967</v>
      </c>
      <c r="Y27" s="450">
        <f ca="1">$C27-Y28</f>
        <v>1.4316036042068183</v>
      </c>
      <c r="Z27" s="450">
        <f ca="1">$D27-Z28</f>
        <v>4.0907340182409433</v>
      </c>
      <c r="AA27" s="450">
        <f ca="1">$C27-AA28</f>
        <v>2.011121155430434</v>
      </c>
      <c r="AB27" s="450">
        <f ca="1">$C27-AB28</f>
        <v>1.6586694233380372</v>
      </c>
      <c r="AC27" s="450">
        <f ca="1">$D27-AC28</f>
        <v>4.2295064639731077</v>
      </c>
      <c r="AD27" s="450">
        <f ca="1">$D27-AD28</f>
        <v>4.2601527904536418</v>
      </c>
      <c r="AE27" s="450">
        <f ca="1">$C27-AE28</f>
        <v>1.0930393239752632</v>
      </c>
      <c r="AF27" s="450">
        <f ca="1">$C27-AF28</f>
        <v>0.90977400564107125</v>
      </c>
      <c r="AG27" s="450">
        <f ca="1">$D27-AG28</f>
        <v>4.1833072500938169</v>
      </c>
      <c r="AH27" s="450">
        <f ca="1">$D27-AH28</f>
        <v>4.2074212311776025</v>
      </c>
      <c r="AI27" s="787">
        <f ca="1">$C27-AI28</f>
        <v>1.0858479751772214</v>
      </c>
      <c r="AJ27" s="787">
        <f ca="1">$D27-AJ28</f>
        <v>4.1719041807461679</v>
      </c>
    </row>
    <row r="28" spans="1:40" x14ac:dyDescent="0.25">
      <c r="B28" s="244" t="s">
        <v>156</v>
      </c>
      <c r="E28" s="450">
        <f ca="1">SUMPRODUCT($C9:$C26,E9:E26)</f>
        <v>0.6729604305746536</v>
      </c>
      <c r="F28" s="450">
        <f ca="1">SUMPRODUCT($D9:$D26,F9:F26)</f>
        <v>3.3427328372292913E-3</v>
      </c>
      <c r="G28" s="450">
        <f ca="1">SUMPRODUCT($C9:$C26,G9:G26)</f>
        <v>0</v>
      </c>
      <c r="H28" s="450">
        <f ca="1">SUMPRODUCT($D9:$D26,H9:H26)</f>
        <v>0</v>
      </c>
      <c r="I28" s="450">
        <f ca="1">SUMPRODUCT($C9:$C26,I9:I26)</f>
        <v>8.6908760417404154E-2</v>
      </c>
      <c r="J28" s="450">
        <f ca="1">SUMPRODUCT($D9:$D26,J9:J26)</f>
        <v>3.0761485569769358E-3</v>
      </c>
      <c r="K28" s="450">
        <f ca="1">SUMPRODUCT($C9:$C26,K9:K26)</f>
        <v>0</v>
      </c>
      <c r="L28" s="450">
        <f ca="1">SUMPRODUCT($D9:$D26,L9:L26)</f>
        <v>0</v>
      </c>
      <c r="M28" s="450">
        <f ca="1">SUMPRODUCT($C9:$C26,M9:M26)</f>
        <v>0.30863994719732685</v>
      </c>
      <c r="N28" s="450">
        <f ca="1">SUMPRODUCT($D9:$D26,N9:N26)</f>
        <v>4.598903475826051E-3</v>
      </c>
      <c r="O28" s="450">
        <f ca="1">SUMPRODUCT($C9:$C26,O9:O26)</f>
        <v>0</v>
      </c>
      <c r="P28" s="450">
        <f ca="1">SUMPRODUCT($D9:$D26,P9:P26)</f>
        <v>0</v>
      </c>
      <c r="Q28" s="450">
        <f ca="1">SUMPRODUCT($C9:$C26,Q9:Q26)</f>
        <v>0.3851328915413455</v>
      </c>
      <c r="R28" s="450">
        <f ca="1">SUMPRODUCT($D9:$D26,R9:R26)</f>
        <v>-1.0731993415970947E-3</v>
      </c>
      <c r="S28" s="450">
        <f ca="1">SUMPRODUCT($C9:$C26,S9:S26)</f>
        <v>1.6474171934522519E-4</v>
      </c>
      <c r="T28" s="450">
        <f ca="1">SUMPRODUCT($D9:$D26,T9:T26)</f>
        <v>0</v>
      </c>
      <c r="U28" s="786">
        <f ca="1">SUMPRODUCT($C9:$C26,U9:U26)</f>
        <v>0</v>
      </c>
      <c r="V28" s="786">
        <f ca="1">SUMPRODUCT($D9:$D26,V9:V26)</f>
        <v>0</v>
      </c>
      <c r="W28" s="450">
        <f ca="1">SUMPRODUCT($C9:$C26,W9:W26)</f>
        <v>0</v>
      </c>
      <c r="X28" s="450">
        <f ca="1">SUMPRODUCT($D9:$D26,X9:X26)</f>
        <v>0</v>
      </c>
      <c r="Y28" s="450">
        <f ca="1">SUMPRODUCT($C9:$C26,Y9:Y26)</f>
        <v>1.2050741948221746</v>
      </c>
      <c r="Z28" s="450">
        <f ca="1">SUMPRODUCT($D9:$D26,Z9:Z26)</f>
        <v>8.9635211466530824E-3</v>
      </c>
      <c r="AA28" s="450">
        <f ca="1">SUMPRODUCT($C9:$C26,AA9:AA26)</f>
        <v>0.62555664359855867</v>
      </c>
      <c r="AB28" s="450">
        <f ca="1">SUMPRODUCT($C9:$C26,AB9:AB26)</f>
        <v>0.97800837569095567</v>
      </c>
      <c r="AC28" s="450">
        <f ca="1">SUMPRODUCT($D9:$D26,AC9:AC26)</f>
        <v>-0.12980892458551069</v>
      </c>
      <c r="AD28" s="450">
        <f ca="1">SUMPRODUCT($D9:$D26,AD9:AD26)</f>
        <v>-0.16045525106604488</v>
      </c>
      <c r="AE28" s="450">
        <f ca="1">SUMPRODUCT($C9:$C26,AE9:AE26)</f>
        <v>1.5436384750537298</v>
      </c>
      <c r="AF28" s="450">
        <f ca="1">SUMPRODUCT($C9:$C26,AF9:AF26)</f>
        <v>1.7269037933879217</v>
      </c>
      <c r="AG28" s="450">
        <f ca="1">SUMPRODUCT($D9:$D26,AG9:AG26)</f>
        <v>-8.3609710706220308E-2</v>
      </c>
      <c r="AH28" s="450">
        <f ca="1">SUMPRODUCT($D9:$D26,AH9:AH26)</f>
        <v>-0.10772369179000552</v>
      </c>
      <c r="AI28" s="450">
        <f ca="1">SUMPRODUCT($C9:$C26,AI9:AI26)</f>
        <v>1.5508298238517715</v>
      </c>
      <c r="AJ28" s="450">
        <f ca="1">SUMPRODUCT($D9:$D26,AJ9:AJ26)</f>
        <v>-7.2206641358570967E-2</v>
      </c>
    </row>
    <row r="29" spans="1:40" x14ac:dyDescent="0.25">
      <c r="E29" s="659">
        <f ca="1">E28/$C27</f>
        <v>0.25523043840338938</v>
      </c>
      <c r="F29" s="693">
        <f ca="1">F28/$D27</f>
        <v>8.1536084189484399E-4</v>
      </c>
      <c r="G29" s="659">
        <f ca="1">G28/$C27</f>
        <v>0</v>
      </c>
      <c r="H29" s="693">
        <f ca="1">H28/$D27</f>
        <v>0</v>
      </c>
      <c r="I29" s="659">
        <f ca="1">I28/$C27</f>
        <v>3.2961464024694243E-2</v>
      </c>
      <c r="J29" s="693">
        <f ca="1">J28/$D27</f>
        <v>7.5033548875813984E-4</v>
      </c>
      <c r="K29" s="659">
        <f ca="1">K28/$C27</f>
        <v>0</v>
      </c>
      <c r="L29" s="693">
        <f ca="1">L28/$D27</f>
        <v>0</v>
      </c>
      <c r="M29" s="659">
        <f ca="1">M28/$C27</f>
        <v>0.11705637575853577</v>
      </c>
      <c r="N29" s="693">
        <f ca="1">N28/$D27</f>
        <v>1.1217665282968715E-3</v>
      </c>
      <c r="O29" s="659">
        <f ca="1">O28/$C27</f>
        <v>0</v>
      </c>
      <c r="P29" s="693">
        <f ca="1">P28/$D27</f>
        <v>0</v>
      </c>
      <c r="Q29" s="659">
        <f ca="1">Q28/$C27</f>
        <v>0.14606748374153947</v>
      </c>
      <c r="R29" s="693">
        <f ca="1">R28/$D27</f>
        <v>-2.6177524836561644E-4</v>
      </c>
      <c r="S29" s="659">
        <f ca="1">S28/$C27</f>
        <v>6.2480792839342936E-5</v>
      </c>
      <c r="T29" s="693">
        <f ca="1">T28/$D27</f>
        <v>0</v>
      </c>
      <c r="U29" s="700">
        <f ca="1">U28/$C27</f>
        <v>0</v>
      </c>
      <c r="V29" s="700">
        <f ca="1">V28/$D27</f>
        <v>0</v>
      </c>
      <c r="W29" s="659">
        <f ca="1">W28/$C27</f>
        <v>0</v>
      </c>
      <c r="X29" s="693">
        <f ca="1">X28/$D27</f>
        <v>0</v>
      </c>
      <c r="Y29" s="659">
        <f ca="1">Y28/$C27</f>
        <v>0.45704264482598755</v>
      </c>
      <c r="Z29" s="693">
        <f t="shared" ref="Z29" ca="1" si="9">Z28/$D27</f>
        <v>2.1863859615341361E-3</v>
      </c>
      <c r="AA29" s="838">
        <f ca="1">(AA28*$AJ$4+AB28*$AJ$5)/SUM($AJ$4:$AJ$5)</f>
        <v>0.8695616888932951</v>
      </c>
      <c r="AB29" s="838"/>
      <c r="AC29" s="838">
        <f ca="1">(AC28*$AJ$4+AD28*$AJ$5)/SUM($AJ$4:$AJ$5)</f>
        <v>-0.15102561214895743</v>
      </c>
      <c r="AD29" s="838"/>
      <c r="AE29" s="659">
        <f ca="1">AE28/$C27</f>
        <v>0.58544827723061355</v>
      </c>
      <c r="AF29" s="659">
        <f ca="1">AF28/$C27</f>
        <v>0.65495442561236983</v>
      </c>
      <c r="AG29" s="693">
        <f t="shared" ref="AG29:AH29" ca="1" si="10">AG28/$D27</f>
        <v>-2.0394116859340245E-2</v>
      </c>
      <c r="AH29" s="693">
        <f t="shared" ca="1" si="10"/>
        <v>-2.6276009572671313E-2</v>
      </c>
      <c r="AI29" s="659">
        <f ca="1">AI28/$C27</f>
        <v>0.58817570520861295</v>
      </c>
      <c r="AJ29" s="693">
        <f t="shared" ref="AJ29" ca="1" si="11">AJ28/$D27</f>
        <v>-1.7612675243685667E-2</v>
      </c>
      <c r="AK29" s="5"/>
      <c r="AL29" s="5"/>
      <c r="AN29" s="5"/>
    </row>
    <row r="30" spans="1:40" x14ac:dyDescent="0.25">
      <c r="B30" s="244" t="s">
        <v>157</v>
      </c>
      <c r="E30" s="450">
        <f ca="1">E28*($Y28/$Y30)</f>
        <v>0.55782327125430076</v>
      </c>
      <c r="F30" s="450">
        <f ca="1">F28*($Z28/$Z30)</f>
        <v>3.0129618161000567E-3</v>
      </c>
      <c r="G30" s="450">
        <f ca="1">G28*($Y28/$Y30)</f>
        <v>0</v>
      </c>
      <c r="H30" s="450">
        <f ca="1">H28*($Z28/$Z30)</f>
        <v>0</v>
      </c>
      <c r="I30" s="450">
        <f ca="1">I28*($Y28/$Y30)</f>
        <v>7.203949420219985E-2</v>
      </c>
      <c r="J30" s="450">
        <f ca="1">J28*($Z28/$Z30)</f>
        <v>2.7726769066310059E-3</v>
      </c>
      <c r="K30" s="450">
        <f ca="1">K28*($Y28/$Y30)</f>
        <v>0</v>
      </c>
      <c r="L30" s="450">
        <f ca="1">L28*($Z28/$Z30)</f>
        <v>0</v>
      </c>
      <c r="M30" s="450">
        <f ca="1">M28*($Y28/$Y30)</f>
        <v>0.25583457386692299</v>
      </c>
      <c r="N30" s="450">
        <f ca="1">N28*($Z28/$Z30)</f>
        <v>4.1452073029201106E-3</v>
      </c>
      <c r="O30" s="450">
        <f ca="1">O28*($Y28/$Y30)</f>
        <v>0</v>
      </c>
      <c r="P30" s="450">
        <f ca="1">P28*($Z28/$Z30)</f>
        <v>0</v>
      </c>
      <c r="Q30" s="450">
        <f ca="1">Q28*($Y28/$Y30)</f>
        <v>0.31924029952811428</v>
      </c>
      <c r="R30" s="450">
        <f ca="1">R28*($Z28/$Z30)</f>
        <v>-9.6732487899809034E-4</v>
      </c>
      <c r="S30" s="450">
        <f ca="1">S28*($Y28/$Y30)</f>
        <v>1.3655597063669711E-4</v>
      </c>
      <c r="T30" s="450">
        <f ca="1">T28*($Z28/$Z30)</f>
        <v>0</v>
      </c>
      <c r="U30" s="786">
        <f ca="1">U28*($Y28/$Y30)</f>
        <v>0</v>
      </c>
      <c r="V30" s="786">
        <f ca="1">V28*($Z28/$Z30)</f>
        <v>0</v>
      </c>
      <c r="W30" s="450">
        <f ca="1">W28*($Y28/$Y30)</f>
        <v>0</v>
      </c>
      <c r="X30" s="450">
        <f ca="1">X28*($Z28/$Z30)</f>
        <v>0</v>
      </c>
      <c r="Y30" s="450">
        <f ca="1">SUM($E28,$G28,$I28,$K28,$M28,$O28,$Q28,$S28,$W28)</f>
        <v>1.4538067714500753</v>
      </c>
      <c r="Z30" s="450">
        <f ca="1">SUM($F28,$H28,$J28,$L28,$N28,$P28,$R28,$T28,$X28)</f>
        <v>9.9445855284351833E-3</v>
      </c>
      <c r="AA30" s="450">
        <f ca="1">AE28-$Y28</f>
        <v>0.33856428023155516</v>
      </c>
      <c r="AB30" s="450">
        <f ca="1">AF28-$Y28</f>
        <v>0.52182959856574707</v>
      </c>
      <c r="AC30" s="450">
        <f ca="1">AG28-$Z28</f>
        <v>-9.2573231852873389E-2</v>
      </c>
      <c r="AD30" s="450">
        <f ca="1">AH28-$Z28</f>
        <v>-0.1166872129366586</v>
      </c>
      <c r="AE30" s="450">
        <f ca="1">SUM($E28,$G28,$I28,$K28,$M28,$O28,$Q28,$S28,$W28,AA28)</f>
        <v>2.079363415048634</v>
      </c>
      <c r="AF30" s="450">
        <f ca="1">SUM($E28,$G28,$I28,$K28,$M28,$O28,$Q28,$S28,$W28,AB28)</f>
        <v>2.4318151471410312</v>
      </c>
      <c r="AG30" s="450">
        <f ca="1">SUM($F28,$H28,$J28,$L28,$N28,$P28,$R28,$T28,$X28,AC28)</f>
        <v>-0.1198643390570755</v>
      </c>
      <c r="AH30" s="450">
        <f ca="1">SUM($F28,$H28,$J28,$L28,$N28,$P28,$R28,$T28,$X28,AD28)</f>
        <v>-0.15051066553760969</v>
      </c>
    </row>
    <row r="31" spans="1:40" x14ac:dyDescent="0.25">
      <c r="Y31" s="659">
        <f ca="1">Y30/$C27</f>
        <v>0.55137824272099822</v>
      </c>
      <c r="Z31" s="659">
        <f ca="1">Z30/$C27</f>
        <v>3.7716347185452344E-3</v>
      </c>
      <c r="AA31" s="839" t="s">
        <v>158</v>
      </c>
      <c r="AB31" s="839"/>
      <c r="AC31" s="839"/>
      <c r="AD31" s="839"/>
      <c r="AE31" s="659">
        <f ca="1">AE30/$C27</f>
        <v>0.78863007676341768</v>
      </c>
      <c r="AF31" s="659">
        <f ca="1">AF30/$C27</f>
        <v>0.92230273567615795</v>
      </c>
      <c r="AG31" s="693">
        <f ca="1">AG30/$D27</f>
        <v>-2.923736151398636E-2</v>
      </c>
      <c r="AH31" s="693">
        <f ca="1">AH30/$D27</f>
        <v>-3.6712626746628882E-2</v>
      </c>
    </row>
    <row r="32" spans="1:40" x14ac:dyDescent="0.25">
      <c r="Y32" s="698">
        <f ca="1">SUM($E30,$G30,$I30,$K30,$M30,$O30,$Q30,$S30,$W30)</f>
        <v>1.2050741948221746</v>
      </c>
      <c r="Z32" s="698">
        <f ca="1">SUM($F30,$H30,$J30,$L30,$N30,$P30,$R30,$T30,$X30)</f>
        <v>8.9635211466530824E-3</v>
      </c>
      <c r="AA32" s="838">
        <f ca="1">(AA30*$AJ$4+AB30*$AJ$5)/SUM($AJ$4:$AJ$5)</f>
        <v>0.46544026984753412</v>
      </c>
      <c r="AB32" s="838"/>
      <c r="AC32" s="838">
        <f ca="1">(AC30*$AJ$4+AD30*$AJ$5)/SUM($AJ$4:$AJ$5)</f>
        <v>-0.10926752644934005</v>
      </c>
      <c r="AD32" s="838"/>
    </row>
    <row r="33" spans="2:34" x14ac:dyDescent="0.25">
      <c r="C33" s="450">
        <f ca="1">SUM(C9:C18)</f>
        <v>2.45967577787777</v>
      </c>
      <c r="D33" s="450">
        <f ca="1">SUM(D9:D18)</f>
        <v>8.7060591572246215E-2</v>
      </c>
      <c r="Z33" s="616"/>
      <c r="AA33" s="616"/>
    </row>
    <row r="34" spans="2:34" x14ac:dyDescent="0.25">
      <c r="B34" s="244" t="s">
        <v>159</v>
      </c>
      <c r="E34" s="450">
        <f ca="1">SUMPRODUCT($C9:$C18,E9:E18)</f>
        <v>0.63502219467068333</v>
      </c>
      <c r="F34" s="450">
        <f ca="1">SUMPRODUCT($D9:$D18,F9:F18)</f>
        <v>8.0712537196091358E-5</v>
      </c>
      <c r="G34" s="450">
        <f ca="1">SUMPRODUCT($C9:$C18,G9:G18)</f>
        <v>0</v>
      </c>
      <c r="H34" s="450">
        <f ca="1">SUMPRODUCT($D9:$D18,H9:H18)</f>
        <v>0</v>
      </c>
      <c r="I34" s="450">
        <f ca="1">SUMPRODUCT($C9:$C18,I9:I18)</f>
        <v>8.6908760417404154E-2</v>
      </c>
      <c r="J34" s="450">
        <f ca="1">SUMPRODUCT($D9:$D18,J9:J18)</f>
        <v>3.0761485569769358E-3</v>
      </c>
      <c r="K34" s="450">
        <f ca="1">SUMPRODUCT($C9:$C18,K9:K18)</f>
        <v>0</v>
      </c>
      <c r="L34" s="450">
        <f ca="1">SUMPRODUCT($D9:$D18,L9:L18)</f>
        <v>0</v>
      </c>
      <c r="M34" s="450">
        <f ca="1">SUMPRODUCT($C9:$C18,M9:M18)</f>
        <v>0.30863994719732685</v>
      </c>
      <c r="N34" s="450">
        <f ca="1">SUMPRODUCT($D9:$D18,N9:N18)</f>
        <v>4.598903475826051E-3</v>
      </c>
      <c r="O34" s="450">
        <f ca="1">SUMPRODUCT($C9:$C18,O9:O18)</f>
        <v>0</v>
      </c>
      <c r="P34" s="450">
        <f ca="1">SUMPRODUCT($D9:$D18,P9:P18)</f>
        <v>0</v>
      </c>
      <c r="Q34" s="450">
        <f ca="1">SUMPRODUCT($C9:$C18,Q9:Q18)</f>
        <v>0.38536527949193616</v>
      </c>
      <c r="R34" s="450">
        <f ca="1">SUMPRODUCT($D9:$D18,R9:R18)</f>
        <v>1.3661130923800046E-2</v>
      </c>
      <c r="S34" s="450"/>
      <c r="T34" s="450"/>
      <c r="U34" s="450">
        <f ca="1">SUMPRODUCT($C9:$C18,U9:U18)</f>
        <v>0</v>
      </c>
      <c r="V34" s="450">
        <f ca="1">SUMPRODUCT($D9:$D18,V9:V18)</f>
        <v>0</v>
      </c>
      <c r="W34" s="450">
        <f ca="1">SUMPRODUCT($C9:$C18,W9:W18)</f>
        <v>0</v>
      </c>
      <c r="X34" s="450">
        <f ca="1">SUMPRODUCT($D9:$D18,X9:X18)</f>
        <v>0</v>
      </c>
      <c r="Y34" s="450">
        <f ca="1">SUMPRODUCT($C9:$C18,Y9:Y18)</f>
        <v>1.1673083505441872</v>
      </c>
      <c r="Z34" s="450">
        <f ca="1">SUMPRODUCT($D9:$D18,Z9:Z18)</f>
        <v>2.0422171140747427E-2</v>
      </c>
      <c r="AE34" s="450">
        <f ca="1">SUMPRODUCT($C9:$C18,AE9:AE18)</f>
        <v>1.4783375894353719</v>
      </c>
      <c r="AF34" s="450">
        <f ca="1">SUMPRODUCT($C9:$C18,AF9:AF18)</f>
        <v>1.6616029077695638</v>
      </c>
      <c r="AG34" s="450">
        <f ca="1">SUMPRODUCT($D9:$D18,AG9:AG18)</f>
        <v>-0.10769416321560825</v>
      </c>
      <c r="AH34" s="450">
        <f ca="1">SUMPRODUCT($D9:$D18,AH9:AH18)</f>
        <v>-0.13180814429939344</v>
      </c>
    </row>
    <row r="35" spans="2:34" x14ac:dyDescent="0.25">
      <c r="C35" s="450">
        <f ca="1">SUM(C19:C20)</f>
        <v>7.0915796166936787E-2</v>
      </c>
      <c r="D35" s="450">
        <f ca="1">SUM(D19:D20)</f>
        <v>3.8862731528525338</v>
      </c>
      <c r="AD35" s="244" t="s">
        <v>160</v>
      </c>
      <c r="AE35" s="604">
        <f ca="1">AE34/$C33</f>
        <v>0.60102945385383055</v>
      </c>
      <c r="AF35" s="604">
        <f ca="1">AF34/$C33</f>
        <v>0.67553737070306452</v>
      </c>
      <c r="AG35" s="604">
        <f t="shared" ref="AG35:AH37" ca="1" si="12">AG34/$D33</f>
        <v>-1.2370024286618764</v>
      </c>
      <c r="AH35" s="604">
        <f t="shared" ca="1" si="12"/>
        <v>-1.5139817214544653</v>
      </c>
    </row>
    <row r="36" spans="2:34" x14ac:dyDescent="0.25">
      <c r="B36" s="244" t="s">
        <v>161</v>
      </c>
      <c r="E36" s="450">
        <f ca="1">SUMPRODUCT($C19:$C20,E19:E20)</f>
        <v>1.389703085521235E-2</v>
      </c>
      <c r="F36" s="450">
        <f ca="1">SUMPRODUCT($D19:$D20,F19:F20)</f>
        <v>3.1614759999343215E-3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-2.3238795059068659E-4</v>
      </c>
      <c r="R36" s="450">
        <f ca="1">SUMPRODUCT($D19:$D20,R19:R20)</f>
        <v>-1.473433026539714E-2</v>
      </c>
      <c r="S36" s="450"/>
      <c r="T36" s="450"/>
      <c r="U36" s="450">
        <f ca="1">SUMPRODUCT($C19:$C20,U19:U20)</f>
        <v>0</v>
      </c>
      <c r="V36" s="450">
        <f ca="1">SUMPRODUCT($D19:$D20,V19:V20)</f>
        <v>0</v>
      </c>
      <c r="W36" s="450">
        <f ca="1">SUMPRODUCT($C19:$C20,W19:W20)</f>
        <v>0</v>
      </c>
      <c r="X36" s="450">
        <f ca="1">SUMPRODUCT($D19:$D20,X19:X20)</f>
        <v>0</v>
      </c>
      <c r="Y36" s="450">
        <f ca="1">SUMPRODUCT($C19:$C20,Y19:Y20)</f>
        <v>1.3724639229229308E-2</v>
      </c>
      <c r="Z36" s="450">
        <f ca="1">SUMPRODUCT($D19:$D20,Z19:Z20)</f>
        <v>-1.155919429419322E-2</v>
      </c>
      <c r="AE36" s="450">
        <f ca="1">SUMPRODUCT($C19:$C20,AE19:AE20)</f>
        <v>1.3724639229229308E-2</v>
      </c>
      <c r="AF36" s="450">
        <f ca="1">SUMPRODUCT($C19:$C20,AF19:AF20)</f>
        <v>1.3724639229229308E-2</v>
      </c>
      <c r="AG36" s="450">
        <f ca="1">SUMPRODUCT($D19:$D20,AG19:AG20)</f>
        <v>-1.155919429419322E-2</v>
      </c>
      <c r="AH36" s="450">
        <f ca="1">SUMPRODUCT($D19:$D20,AH19:AH20)</f>
        <v>-1.155919429419322E-2</v>
      </c>
    </row>
    <row r="37" spans="2:34" x14ac:dyDescent="0.25">
      <c r="AD37" s="244" t="s">
        <v>162</v>
      </c>
      <c r="AE37" s="694">
        <f ca="1">AE36/$C35</f>
        <v>0.19353430365388993</v>
      </c>
      <c r="AF37" s="694">
        <f ca="1">AF36/$C35</f>
        <v>0.19353430365388993</v>
      </c>
      <c r="AG37" s="694">
        <f t="shared" ca="1" si="12"/>
        <v>-2.9743648579381877E-3</v>
      </c>
      <c r="AH37" s="694">
        <f t="shared" ca="1" si="12"/>
        <v>-2.9743648579381877E-3</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9A4A-323C-44F5-82FC-AA115F4D5195}">
  <sheetPr>
    <tabColor rgb="FF00FF00"/>
  </sheetPr>
  <dimension ref="A1:M669"/>
  <sheetViews>
    <sheetView zoomScale="84" zoomScaleNormal="84" workbookViewId="0">
      <pane ySplit="4" topLeftCell="A5" activePane="bottomLeft" state="frozen"/>
      <selection activeCell="A6" sqref="A6"/>
      <selection pane="bottomLeft" activeCell="A5" sqref="A5"/>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0.68992804350798997</v>
      </c>
      <c r="G5" s="133">
        <v>0.62925275317523388</v>
      </c>
      <c r="H5" s="133">
        <v>0.7959815903939732</v>
      </c>
      <c r="I5" s="133">
        <v>0.20413978877763864</v>
      </c>
      <c r="J5" s="133">
        <v>0.20413978877763864</v>
      </c>
      <c r="K5" s="133">
        <v>1.9728183898271415E-2</v>
      </c>
      <c r="L5" s="133">
        <v>2.028629565339128</v>
      </c>
      <c r="M5" s="45">
        <v>11650.468324777486</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1.6551029757232754E-2</v>
      </c>
      <c r="G7" s="133">
        <v>1.1686824852162121E-2</v>
      </c>
      <c r="H7" s="133">
        <v>1.7605347968851319E-2</v>
      </c>
      <c r="I7" s="133">
        <v>5.4921378126866838E-3</v>
      </c>
      <c r="J7" s="133">
        <v>5.4921378126866838E-3</v>
      </c>
      <c r="K7" s="133">
        <v>3.6622507607512057E-4</v>
      </c>
      <c r="L7" s="133">
        <v>5.8509856976036126E-2</v>
      </c>
      <c r="M7" s="45">
        <v>226.30508792002757</v>
      </c>
    </row>
    <row r="8" spans="1:13" x14ac:dyDescent="0.25">
      <c r="A8" s="812" t="s">
        <v>1996</v>
      </c>
      <c r="B8" s="812">
        <v>1</v>
      </c>
      <c r="C8" s="608">
        <v>39470</v>
      </c>
      <c r="D8" s="812">
        <v>99705</v>
      </c>
      <c r="E8" s="812" t="s">
        <v>1599</v>
      </c>
      <c r="F8" s="133">
        <v>2.8738388753358199</v>
      </c>
      <c r="G8" s="133">
        <v>0.59706974693428461</v>
      </c>
      <c r="H8" s="133">
        <v>1.0042160103885118</v>
      </c>
      <c r="I8" s="133">
        <v>0.87026093624973033</v>
      </c>
      <c r="J8" s="133">
        <v>0.87026093624973033</v>
      </c>
      <c r="K8" s="133">
        <v>3.8967259177342881E-2</v>
      </c>
      <c r="L8" s="133">
        <v>9.3639761814193694</v>
      </c>
      <c r="M8" s="45">
        <v>12235.476426562507</v>
      </c>
    </row>
    <row r="9" spans="1:13" x14ac:dyDescent="0.25">
      <c r="A9" s="812" t="s">
        <v>1996</v>
      </c>
      <c r="B9" s="812">
        <v>1</v>
      </c>
      <c r="C9" s="608">
        <v>39470</v>
      </c>
      <c r="D9" s="812">
        <v>99709</v>
      </c>
      <c r="E9" s="812" t="s">
        <v>1600</v>
      </c>
      <c r="F9" s="133">
        <v>2.685022475933792</v>
      </c>
      <c r="G9" s="133">
        <v>0.72113007072915802</v>
      </c>
      <c r="H9" s="133">
        <v>1.2019282465721592</v>
      </c>
      <c r="I9" s="133">
        <v>0.72940278834209371</v>
      </c>
      <c r="J9" s="133">
        <v>0.72940278834209371</v>
      </c>
      <c r="K9" s="133">
        <v>3.6405732929663488E-2</v>
      </c>
      <c r="L9" s="133">
        <v>7.5627093567878312</v>
      </c>
      <c r="M9" s="45">
        <v>14773.093715002684</v>
      </c>
    </row>
    <row r="10" spans="1:13" x14ac:dyDescent="0.25">
      <c r="A10" s="812" t="s">
        <v>1996</v>
      </c>
      <c r="B10" s="812">
        <v>1</v>
      </c>
      <c r="C10" s="608">
        <v>39470</v>
      </c>
      <c r="D10" s="812">
        <v>99712</v>
      </c>
      <c r="E10" s="812" t="s">
        <v>1601</v>
      </c>
      <c r="F10" s="133">
        <v>1.5814257602844071</v>
      </c>
      <c r="G10" s="133">
        <v>0.2690900203130846</v>
      </c>
      <c r="H10" s="133">
        <v>0.48517163268867552</v>
      </c>
      <c r="I10" s="133">
        <v>0.428323959723234</v>
      </c>
      <c r="J10" s="133">
        <v>0.428323959723234</v>
      </c>
      <c r="K10" s="133">
        <v>1.9661977267160225E-2</v>
      </c>
      <c r="L10" s="133">
        <v>4.4737568397721272</v>
      </c>
      <c r="M10" s="45">
        <v>5607.1576669697361</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6.0553190149022614E-5</v>
      </c>
      <c r="G22" s="133">
        <v>1.4463720501763887E-3</v>
      </c>
      <c r="H22" s="133">
        <v>8.7385654796255522E-4</v>
      </c>
      <c r="I22" s="133">
        <v>4.7418249254943832E-5</v>
      </c>
      <c r="J22" s="133">
        <v>4.7418249254943832E-5</v>
      </c>
      <c r="K22" s="133">
        <v>4.4058467954916486E-5</v>
      </c>
      <c r="L22" s="133">
        <v>1.1547114210176702E-4</v>
      </c>
      <c r="M22" s="45">
        <v>23.298685113945304</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0.95587416349808896</v>
      </c>
      <c r="G24" s="133">
        <v>0.82514546514491371</v>
      </c>
      <c r="H24" s="133">
        <v>1.0386708654590651</v>
      </c>
      <c r="I24" s="133">
        <v>0.27542949886752954</v>
      </c>
      <c r="J24" s="133">
        <v>0.27542949886752954</v>
      </c>
      <c r="K24" s="133">
        <v>2.2849259837782465E-2</v>
      </c>
      <c r="L24" s="133">
        <v>2.7315832861999358</v>
      </c>
      <c r="M24" s="45">
        <v>15100.917856301126</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2.2445032790576368E-2</v>
      </c>
      <c r="G26" s="133">
        <v>1.5263396272889369E-2</v>
      </c>
      <c r="H26" s="133">
        <v>2.2839991605219358E-2</v>
      </c>
      <c r="I26" s="133">
        <v>7.3352200037934004E-3</v>
      </c>
      <c r="J26" s="133">
        <v>7.3352200037934004E-3</v>
      </c>
      <c r="K26" s="133">
        <v>4.4273914187520867E-4</v>
      </c>
      <c r="L26" s="133">
        <v>7.8347192749287475E-2</v>
      </c>
      <c r="M26" s="45">
        <v>292.6807819082818</v>
      </c>
    </row>
    <row r="27" spans="1:13" x14ac:dyDescent="0.25">
      <c r="A27" s="812" t="s">
        <v>1996</v>
      </c>
      <c r="B27" s="812">
        <v>2</v>
      </c>
      <c r="C27" s="608">
        <v>39471</v>
      </c>
      <c r="D27" s="812">
        <v>99705</v>
      </c>
      <c r="E27" s="812" t="s">
        <v>1599</v>
      </c>
      <c r="F27" s="133">
        <v>3.8797302410969419</v>
      </c>
      <c r="G27" s="133">
        <v>0.78046246351186099</v>
      </c>
      <c r="H27" s="133">
        <v>1.3061358890583599</v>
      </c>
      <c r="I27" s="133">
        <v>1.1634165478593301</v>
      </c>
      <c r="J27" s="133">
        <v>1.1634165478593301</v>
      </c>
      <c r="K27" s="133">
        <v>5.1717194557708117E-2</v>
      </c>
      <c r="L27" s="133">
        <v>12.603731730030248</v>
      </c>
      <c r="M27" s="45">
        <v>15900.791422507657</v>
      </c>
    </row>
    <row r="28" spans="1:13" x14ac:dyDescent="0.25">
      <c r="A28" s="812" t="s">
        <v>1996</v>
      </c>
      <c r="B28" s="812">
        <v>2</v>
      </c>
      <c r="C28" s="608">
        <v>39471</v>
      </c>
      <c r="D28" s="812">
        <v>99709</v>
      </c>
      <c r="E28" s="812" t="s">
        <v>1600</v>
      </c>
      <c r="F28" s="133">
        <v>3.5811808870227222</v>
      </c>
      <c r="G28" s="133">
        <v>0.91989458779777245</v>
      </c>
      <c r="H28" s="133">
        <v>1.5180493897078442</v>
      </c>
      <c r="I28" s="133">
        <v>0.95262212612677988</v>
      </c>
      <c r="J28" s="133">
        <v>0.95262212612677988</v>
      </c>
      <c r="K28" s="133">
        <v>4.6093239340297167E-2</v>
      </c>
      <c r="L28" s="133">
        <v>9.8430814208760466</v>
      </c>
      <c r="M28" s="45">
        <v>18688.626299112275</v>
      </c>
    </row>
    <row r="29" spans="1:13" x14ac:dyDescent="0.25">
      <c r="A29" s="812" t="s">
        <v>1996</v>
      </c>
      <c r="B29" s="812">
        <v>2</v>
      </c>
      <c r="C29" s="608">
        <v>39471</v>
      </c>
      <c r="D29" s="812">
        <v>99712</v>
      </c>
      <c r="E29" s="812" t="s">
        <v>1601</v>
      </c>
      <c r="F29" s="133">
        <v>1.9953305955685854</v>
      </c>
      <c r="G29" s="133">
        <v>0.32676021492671359</v>
      </c>
      <c r="H29" s="133">
        <v>0.58463829414332902</v>
      </c>
      <c r="I29" s="133">
        <v>0.53171943007349887</v>
      </c>
      <c r="J29" s="133">
        <v>0.53171943007349887</v>
      </c>
      <c r="K29" s="133">
        <v>2.4379953380132744E-2</v>
      </c>
      <c r="L29" s="133">
        <v>5.5478817303001167</v>
      </c>
      <c r="M29" s="45">
        <v>6772.7109849942854</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7.9615557740194445E-5</v>
      </c>
      <c r="G41" s="133">
        <v>1.9276099416786221E-3</v>
      </c>
      <c r="H41" s="133">
        <v>1.2140168780270671E-3</v>
      </c>
      <c r="I41" s="133">
        <v>5.9625572893103087E-5</v>
      </c>
      <c r="J41" s="133">
        <v>5.9625572893103087E-5</v>
      </c>
      <c r="K41" s="133">
        <v>4.4713390868103729E-5</v>
      </c>
      <c r="L41" s="133">
        <v>1.2744449203686155E-4</v>
      </c>
      <c r="M41" s="45">
        <v>30.704401555396345</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0.87253219299447293</v>
      </c>
      <c r="G43" s="133">
        <v>0.79229253060790572</v>
      </c>
      <c r="H43" s="133">
        <v>0.98251518789291392</v>
      </c>
      <c r="I43" s="133">
        <v>0.25372649904906874</v>
      </c>
      <c r="J43" s="133">
        <v>0.25372649904906874</v>
      </c>
      <c r="K43" s="133">
        <v>2.1899470147454636E-2</v>
      </c>
      <c r="L43" s="133">
        <v>2.5108314559055169</v>
      </c>
      <c r="M43" s="45">
        <v>14444.823744366915</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2.0688673282184492E-2</v>
      </c>
      <c r="G45" s="133">
        <v>1.455760439287318E-2</v>
      </c>
      <c r="H45" s="133">
        <v>2.1534841321182083E-2</v>
      </c>
      <c r="I45" s="133">
        <v>6.7957532395710703E-3</v>
      </c>
      <c r="J45" s="133">
        <v>6.7957532395710703E-3</v>
      </c>
      <c r="K45" s="133">
        <v>4.2048493236449729E-4</v>
      </c>
      <c r="L45" s="133">
        <v>7.2439185109321555E-2</v>
      </c>
      <c r="M45" s="45">
        <v>278.14193314446305</v>
      </c>
    </row>
    <row r="46" spans="1:13" x14ac:dyDescent="0.25">
      <c r="A46" s="812" t="s">
        <v>1996</v>
      </c>
      <c r="B46" s="812">
        <v>3</v>
      </c>
      <c r="C46" s="608">
        <v>39472</v>
      </c>
      <c r="D46" s="812">
        <v>99705</v>
      </c>
      <c r="E46" s="812" t="s">
        <v>1599</v>
      </c>
      <c r="F46" s="133">
        <v>3.5908504759907913</v>
      </c>
      <c r="G46" s="133">
        <v>0.73331631221481219</v>
      </c>
      <c r="H46" s="133">
        <v>1.2232095466694557</v>
      </c>
      <c r="I46" s="133">
        <v>1.0795230955173678</v>
      </c>
      <c r="J46" s="133">
        <v>1.0795230955173678</v>
      </c>
      <c r="K46" s="133">
        <v>4.806571094549332E-2</v>
      </c>
      <c r="L46" s="133">
        <v>11.676096343837768</v>
      </c>
      <c r="M46" s="45">
        <v>14932.888125296971</v>
      </c>
    </row>
    <row r="47" spans="1:13" x14ac:dyDescent="0.25">
      <c r="A47" s="812" t="s">
        <v>1996</v>
      </c>
      <c r="B47" s="812">
        <v>3</v>
      </c>
      <c r="C47" s="608">
        <v>39472</v>
      </c>
      <c r="D47" s="812">
        <v>99709</v>
      </c>
      <c r="E47" s="812" t="s">
        <v>1600</v>
      </c>
      <c r="F47" s="133">
        <v>3.1804515187796283</v>
      </c>
      <c r="G47" s="133">
        <v>0.85411946293910002</v>
      </c>
      <c r="H47" s="133">
        <v>1.3949785624387456</v>
      </c>
      <c r="I47" s="133">
        <v>0.85298727579450084</v>
      </c>
      <c r="J47" s="133">
        <v>0.85298727579450084</v>
      </c>
      <c r="K47" s="133">
        <v>4.1790327552776257E-2</v>
      </c>
      <c r="L47" s="133">
        <v>8.8182200353844618</v>
      </c>
      <c r="M47" s="45">
        <v>17298.113066149926</v>
      </c>
    </row>
    <row r="48" spans="1:13" x14ac:dyDescent="0.25">
      <c r="A48" s="812" t="s">
        <v>1996</v>
      </c>
      <c r="B48" s="812">
        <v>3</v>
      </c>
      <c r="C48" s="608">
        <v>39472</v>
      </c>
      <c r="D48" s="812">
        <v>99712</v>
      </c>
      <c r="E48" s="812" t="s">
        <v>1601</v>
      </c>
      <c r="F48" s="133">
        <v>1.7991087341034302</v>
      </c>
      <c r="G48" s="133">
        <v>0.30199337999516501</v>
      </c>
      <c r="H48" s="133">
        <v>0.53969597298693617</v>
      </c>
      <c r="I48" s="133">
        <v>0.48262687473326782</v>
      </c>
      <c r="J48" s="133">
        <v>0.48262687473326782</v>
      </c>
      <c r="K48" s="133">
        <v>2.2139538965280921E-2</v>
      </c>
      <c r="L48" s="133">
        <v>5.0364747042404279</v>
      </c>
      <c r="M48" s="45">
        <v>6261.8761028742838</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7.795796055835337E-5</v>
      </c>
      <c r="G60" s="133">
        <v>1.8857631685045143E-3</v>
      </c>
      <c r="H60" s="133">
        <v>1.1844377188910224E-3</v>
      </c>
      <c r="I60" s="133">
        <v>5.8564066489784887E-5</v>
      </c>
      <c r="J60" s="133">
        <v>5.8564066489784887E-5</v>
      </c>
      <c r="K60" s="133">
        <v>4.4656441049565719E-5</v>
      </c>
      <c r="L60" s="133">
        <v>1.2640333117294028E-4</v>
      </c>
      <c r="M60" s="45">
        <v>30.060426212661469</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1.2140968920263615</v>
      </c>
      <c r="G62" s="133">
        <v>0.9909692330560268</v>
      </c>
      <c r="H62" s="133">
        <v>1.2639883164658152</v>
      </c>
      <c r="I62" s="133">
        <v>0.34772869463958256</v>
      </c>
      <c r="J62" s="133">
        <v>0.34772869463958256</v>
      </c>
      <c r="K62" s="133">
        <v>2.5971968573468354E-2</v>
      </c>
      <c r="L62" s="133">
        <v>3.4737310253144917</v>
      </c>
      <c r="M62" s="45">
        <v>18123.259202780457</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2.83531774946836E-2</v>
      </c>
      <c r="G64" s="133">
        <v>1.8529209974549463E-2</v>
      </c>
      <c r="H64" s="133">
        <v>2.8025818782872251E-2</v>
      </c>
      <c r="I64" s="133">
        <v>9.2825343404080093E-3</v>
      </c>
      <c r="J64" s="133">
        <v>9.2825343404080093E-3</v>
      </c>
      <c r="K64" s="133">
        <v>5.2198470970791892E-4</v>
      </c>
      <c r="L64" s="133">
        <v>0.10004091771440397</v>
      </c>
      <c r="M64" s="45">
        <v>355.52601448816534</v>
      </c>
    </row>
    <row r="65" spans="1:13" x14ac:dyDescent="0.25">
      <c r="A65" s="812" t="s">
        <v>1996</v>
      </c>
      <c r="B65" s="812">
        <v>4</v>
      </c>
      <c r="C65" s="608">
        <v>39473</v>
      </c>
      <c r="D65" s="812">
        <v>99705</v>
      </c>
      <c r="E65" s="812" t="s">
        <v>1599</v>
      </c>
      <c r="F65" s="133">
        <v>4.7297143306089406</v>
      </c>
      <c r="G65" s="133">
        <v>0.94585953210147045</v>
      </c>
      <c r="H65" s="133">
        <v>1.5814673419915919</v>
      </c>
      <c r="I65" s="133">
        <v>1.4299830434501493</v>
      </c>
      <c r="J65" s="133">
        <v>1.4299830434501493</v>
      </c>
      <c r="K65" s="133">
        <v>6.3253110141096108E-2</v>
      </c>
      <c r="L65" s="133">
        <v>15.668695867947481</v>
      </c>
      <c r="M65" s="45">
        <v>19223.780320015918</v>
      </c>
    </row>
    <row r="66" spans="1:13" x14ac:dyDescent="0.25">
      <c r="A66" s="812" t="s">
        <v>1996</v>
      </c>
      <c r="B66" s="812">
        <v>4</v>
      </c>
      <c r="C66" s="608">
        <v>39473</v>
      </c>
      <c r="D66" s="812">
        <v>99709</v>
      </c>
      <c r="E66" s="812" t="s">
        <v>1600</v>
      </c>
      <c r="F66" s="133">
        <v>4.2438379402116659</v>
      </c>
      <c r="G66" s="133">
        <v>1.0782928895126607</v>
      </c>
      <c r="H66" s="133">
        <v>1.7718263850339253</v>
      </c>
      <c r="I66" s="133">
        <v>1.1321153449626999</v>
      </c>
      <c r="J66" s="133">
        <v>1.1321153449626999</v>
      </c>
      <c r="K66" s="133">
        <v>5.3720601807388892E-2</v>
      </c>
      <c r="L66" s="133">
        <v>11.765428189071343</v>
      </c>
      <c r="M66" s="45">
        <v>21826.258628739492</v>
      </c>
    </row>
    <row r="67" spans="1:13" x14ac:dyDescent="0.25">
      <c r="A67" s="812" t="s">
        <v>1996</v>
      </c>
      <c r="B67" s="812">
        <v>4</v>
      </c>
      <c r="C67" s="608">
        <v>39473</v>
      </c>
      <c r="D67" s="812">
        <v>99712</v>
      </c>
      <c r="E67" s="812" t="s">
        <v>1601</v>
      </c>
      <c r="F67" s="133">
        <v>2.3516969453569923</v>
      </c>
      <c r="G67" s="133">
        <v>0.38240061289221638</v>
      </c>
      <c r="H67" s="133">
        <v>0.68189887491056356</v>
      </c>
      <c r="I67" s="133">
        <v>0.62891645612565727</v>
      </c>
      <c r="J67" s="133">
        <v>0.62891645612565727</v>
      </c>
      <c r="K67" s="133">
        <v>2.8761333490231071E-2</v>
      </c>
      <c r="L67" s="133">
        <v>6.6111756725768771</v>
      </c>
      <c r="M67" s="45">
        <v>7904.96585592877</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9.3705133785843147E-5</v>
      </c>
      <c r="G79" s="133">
        <v>2.2833075136585342E-3</v>
      </c>
      <c r="H79" s="133">
        <v>1.4654397306834456E-3</v>
      </c>
      <c r="I79" s="133">
        <v>6.8648377321307741E-5</v>
      </c>
      <c r="J79" s="133">
        <v>6.8648377321307741E-5</v>
      </c>
      <c r="K79" s="133">
        <v>4.5197464325676915E-5</v>
      </c>
      <c r="L79" s="133">
        <v>1.3629435938019229E-4</v>
      </c>
      <c r="M79" s="45">
        <v>36.178191968642764</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1.0801691841886496</v>
      </c>
      <c r="G81" s="133">
        <v>0.91823300873493319</v>
      </c>
      <c r="H81" s="133">
        <v>1.1608843666344706</v>
      </c>
      <c r="I81" s="133">
        <v>0.31300834469978717</v>
      </c>
      <c r="J81" s="133">
        <v>0.31300834469978717</v>
      </c>
      <c r="K81" s="133">
        <v>2.4438233133656055E-2</v>
      </c>
      <c r="L81" s="133">
        <v>3.1285245748056236</v>
      </c>
      <c r="M81" s="45">
        <v>16777.540009053624</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2.5709912076482377E-2</v>
      </c>
      <c r="G83" s="133">
        <v>1.7160317915204164E-2</v>
      </c>
      <c r="H83" s="133">
        <v>2.5826488853115451E-2</v>
      </c>
      <c r="I83" s="133">
        <v>8.4606511333660973E-3</v>
      </c>
      <c r="J83" s="133">
        <v>8.4606511333660973E-3</v>
      </c>
      <c r="K83" s="133">
        <v>4.8811511167407218E-4</v>
      </c>
      <c r="L83" s="133">
        <v>9.1122556186497505E-2</v>
      </c>
      <c r="M83" s="45">
        <v>329.08057044673444</v>
      </c>
    </row>
    <row r="84" spans="1:13" x14ac:dyDescent="0.25">
      <c r="A84" s="812" t="s">
        <v>1996</v>
      </c>
      <c r="B84" s="812">
        <v>5</v>
      </c>
      <c r="C84" s="608">
        <v>39474</v>
      </c>
      <c r="D84" s="812">
        <v>99705</v>
      </c>
      <c r="E84" s="812" t="s">
        <v>1599</v>
      </c>
      <c r="F84" s="133">
        <v>4.2899654355785533</v>
      </c>
      <c r="G84" s="133">
        <v>0.86819313527280795</v>
      </c>
      <c r="H84" s="133">
        <v>1.4496511090212156</v>
      </c>
      <c r="I84" s="133">
        <v>1.3009836366500449</v>
      </c>
      <c r="J84" s="133">
        <v>1.3009836366500449</v>
      </c>
      <c r="K84" s="133">
        <v>5.7633746794628953E-2</v>
      </c>
      <c r="L84" s="133">
        <v>14.238308126952006</v>
      </c>
      <c r="M84" s="45">
        <v>17653.879594317255</v>
      </c>
    </row>
    <row r="85" spans="1:13" x14ac:dyDescent="0.25">
      <c r="A85" s="812" t="s">
        <v>1996</v>
      </c>
      <c r="B85" s="812">
        <v>5</v>
      </c>
      <c r="C85" s="608">
        <v>39474</v>
      </c>
      <c r="D85" s="812">
        <v>99709</v>
      </c>
      <c r="E85" s="812" t="s">
        <v>1600</v>
      </c>
      <c r="F85" s="133">
        <v>3.6534916264044606</v>
      </c>
      <c r="G85" s="133">
        <v>0.97536665163744241</v>
      </c>
      <c r="H85" s="133">
        <v>1.5947340052953585</v>
      </c>
      <c r="I85" s="133">
        <v>0.98602663771385157</v>
      </c>
      <c r="J85" s="133">
        <v>0.98602663771385157</v>
      </c>
      <c r="K85" s="133">
        <v>4.7388371832767721E-2</v>
      </c>
      <c r="L85" s="133">
        <v>10.267562780654027</v>
      </c>
      <c r="M85" s="45">
        <v>19726.647184393958</v>
      </c>
    </row>
    <row r="86" spans="1:13" x14ac:dyDescent="0.25">
      <c r="A86" s="812" t="s">
        <v>1996</v>
      </c>
      <c r="B86" s="812">
        <v>5</v>
      </c>
      <c r="C86" s="608">
        <v>39474</v>
      </c>
      <c r="D86" s="812">
        <v>99712</v>
      </c>
      <c r="E86" s="812" t="s">
        <v>1601</v>
      </c>
      <c r="F86" s="133">
        <v>1.9194942385225537</v>
      </c>
      <c r="G86" s="133">
        <v>0.32603692742648405</v>
      </c>
      <c r="H86" s="133">
        <v>0.58010443247206489</v>
      </c>
      <c r="I86" s="133">
        <v>0.51992959388635851</v>
      </c>
      <c r="J86" s="133">
        <v>0.51992959388635851</v>
      </c>
      <c r="K86" s="133">
        <v>2.3806831815493649E-2</v>
      </c>
      <c r="L86" s="133">
        <v>5.4723257556705462</v>
      </c>
      <c r="M86" s="45">
        <v>6743.7799395924221</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8.7903543649399534E-5</v>
      </c>
      <c r="G98" s="133">
        <v>2.1368438075491576E-3</v>
      </c>
      <c r="H98" s="133">
        <v>1.3619126737072897E-3</v>
      </c>
      <c r="I98" s="133">
        <v>6.493310490969406E-5</v>
      </c>
      <c r="J98" s="133">
        <v>6.493310490969406E-5</v>
      </c>
      <c r="K98" s="133">
        <v>4.4998139960793835E-5</v>
      </c>
      <c r="L98" s="133">
        <v>1.3265029635646785E-4</v>
      </c>
      <c r="M98" s="45">
        <v>33.924278269070705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0.9354995432332549</v>
      </c>
      <c r="G100" s="133">
        <v>0.80877575245510802</v>
      </c>
      <c r="H100" s="133">
        <v>1.0190614715683761</v>
      </c>
      <c r="I100" s="133">
        <v>0.26986437458545426</v>
      </c>
      <c r="J100" s="133">
        <v>0.26986437458545426</v>
      </c>
      <c r="K100" s="133">
        <v>2.2607248287464486E-2</v>
      </c>
      <c r="L100" s="133">
        <v>2.6766324428641233</v>
      </c>
      <c r="M100" s="45">
        <v>14815.805633294365</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2.2202572412718353E-2</v>
      </c>
      <c r="G102" s="133">
        <v>1.505334397466193E-2</v>
      </c>
      <c r="H102" s="133">
        <v>2.2605762208196444E-2</v>
      </c>
      <c r="I102" s="133">
        <v>7.260091657570765E-3</v>
      </c>
      <c r="J102" s="133">
        <v>7.260091657570765E-3</v>
      </c>
      <c r="K102" s="133">
        <v>4.3937197033034985E-4</v>
      </c>
      <c r="L102" s="133">
        <v>7.7564756059843573E-2</v>
      </c>
      <c r="M102" s="45">
        <v>289.17626063306938</v>
      </c>
    </row>
    <row r="103" spans="1:13" x14ac:dyDescent="0.25">
      <c r="A103" s="812" t="s">
        <v>1996</v>
      </c>
      <c r="B103" s="812">
        <v>6</v>
      </c>
      <c r="C103" s="608">
        <v>39475</v>
      </c>
      <c r="D103" s="812">
        <v>99705</v>
      </c>
      <c r="E103" s="812" t="s">
        <v>1599</v>
      </c>
      <c r="F103" s="133">
        <v>3.8604841617707439</v>
      </c>
      <c r="G103" s="133">
        <v>0.77536450396198697</v>
      </c>
      <c r="H103" s="133">
        <v>1.2991764820860245</v>
      </c>
      <c r="I103" s="133">
        <v>1.1585250791520849</v>
      </c>
      <c r="J103" s="133">
        <v>1.1585250791520849</v>
      </c>
      <c r="K103" s="133">
        <v>5.1464924552907611E-2</v>
      </c>
      <c r="L103" s="133">
        <v>12.55287513787421</v>
      </c>
      <c r="M103" s="45">
        <v>15808.713324140406</v>
      </c>
    </row>
    <row r="104" spans="1:13" x14ac:dyDescent="0.25">
      <c r="A104" s="812" t="s">
        <v>1996</v>
      </c>
      <c r="B104" s="812">
        <v>6</v>
      </c>
      <c r="C104" s="608">
        <v>39475</v>
      </c>
      <c r="D104" s="812">
        <v>99709</v>
      </c>
      <c r="E104" s="812" t="s">
        <v>1600</v>
      </c>
      <c r="F104" s="133">
        <v>3.3065171324560088</v>
      </c>
      <c r="G104" s="133">
        <v>0.87383027554923076</v>
      </c>
      <c r="H104" s="133">
        <v>1.4351166904559503</v>
      </c>
      <c r="I104" s="133">
        <v>0.8831386138328885</v>
      </c>
      <c r="J104" s="133">
        <v>0.8831386138328885</v>
      </c>
      <c r="K104" s="133">
        <v>4.3108475694519061E-2</v>
      </c>
      <c r="L104" s="133">
        <v>9.1220183835107669</v>
      </c>
      <c r="M104" s="45">
        <v>17729.587500314767</v>
      </c>
    </row>
    <row r="105" spans="1:13" x14ac:dyDescent="0.25">
      <c r="A105" s="812" t="s">
        <v>1996</v>
      </c>
      <c r="B105" s="812">
        <v>6</v>
      </c>
      <c r="C105" s="608">
        <v>39475</v>
      </c>
      <c r="D105" s="812">
        <v>99712</v>
      </c>
      <c r="E105" s="812" t="s">
        <v>1601</v>
      </c>
      <c r="F105" s="133">
        <v>1.8080074165690292</v>
      </c>
      <c r="G105" s="133">
        <v>0.30157248064079945</v>
      </c>
      <c r="H105" s="133">
        <v>0.53923342150319398</v>
      </c>
      <c r="I105" s="133">
        <v>0.48270774262807475</v>
      </c>
      <c r="J105" s="133">
        <v>0.48270774262807475</v>
      </c>
      <c r="K105" s="133">
        <v>2.2179227608324664E-2</v>
      </c>
      <c r="L105" s="133">
        <v>5.026666782736374</v>
      </c>
      <c r="M105" s="45">
        <v>6253.0676912637937</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7.7957960558353384E-5</v>
      </c>
      <c r="G117" s="133">
        <v>1.885763168504515E-3</v>
      </c>
      <c r="H117" s="133">
        <v>1.1844377188910224E-3</v>
      </c>
      <c r="I117" s="133">
        <v>5.856406648978488E-5</v>
      </c>
      <c r="J117" s="133">
        <v>5.856406648978488E-5</v>
      </c>
      <c r="K117" s="133">
        <v>4.4656441049565719E-5</v>
      </c>
      <c r="L117" s="133">
        <v>1.2640333117294031E-4</v>
      </c>
      <c r="M117" s="45">
        <v>30.060426212661469</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1.0503011011576946</v>
      </c>
      <c r="G119" s="133">
        <v>0.88800218209162896</v>
      </c>
      <c r="H119" s="133">
        <v>1.119781083133909</v>
      </c>
      <c r="I119" s="133">
        <v>0.30033641599598809</v>
      </c>
      <c r="J119" s="133">
        <v>0.30033641599598809</v>
      </c>
      <c r="K119" s="133">
        <v>2.3945536577377101E-2</v>
      </c>
      <c r="L119" s="133">
        <v>2.9773686907831247</v>
      </c>
      <c r="M119" s="45">
        <v>16223.995840160549</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2.4656833139564998E-2</v>
      </c>
      <c r="G121" s="133">
        <v>1.650400719885968E-2</v>
      </c>
      <c r="H121" s="133">
        <v>2.4765185258505597E-2</v>
      </c>
      <c r="I121" s="133">
        <v>8.027162371553773E-3</v>
      </c>
      <c r="J121" s="133">
        <v>8.027162371553773E-3</v>
      </c>
      <c r="K121" s="133">
        <v>4.71139666596526E-4</v>
      </c>
      <c r="L121" s="133">
        <v>8.5834056756145874E-2</v>
      </c>
      <c r="M121" s="45">
        <v>316.2919031738042</v>
      </c>
    </row>
    <row r="122" spans="1:13" x14ac:dyDescent="0.25">
      <c r="A122" s="812" t="s">
        <v>1996</v>
      </c>
      <c r="B122" s="812">
        <v>7</v>
      </c>
      <c r="C122" s="608">
        <v>39476</v>
      </c>
      <c r="D122" s="812">
        <v>99705</v>
      </c>
      <c r="E122" s="812" t="s">
        <v>1599</v>
      </c>
      <c r="F122" s="133">
        <v>4.2268373075051215</v>
      </c>
      <c r="G122" s="133">
        <v>0.84336435667297949</v>
      </c>
      <c r="H122" s="133">
        <v>1.4106286190685773</v>
      </c>
      <c r="I122" s="133">
        <v>1.2656775101866573</v>
      </c>
      <c r="J122" s="133">
        <v>1.2656775101866573</v>
      </c>
      <c r="K122" s="133">
        <v>5.6127709095060895E-2</v>
      </c>
      <c r="L122" s="133">
        <v>13.738462737349431</v>
      </c>
      <c r="M122" s="45">
        <v>17164.854631182399</v>
      </c>
    </row>
    <row r="123" spans="1:13" x14ac:dyDescent="0.25">
      <c r="A123" s="812" t="s">
        <v>1996</v>
      </c>
      <c r="B123" s="812">
        <v>7</v>
      </c>
      <c r="C123" s="608">
        <v>39476</v>
      </c>
      <c r="D123" s="812">
        <v>99709</v>
      </c>
      <c r="E123" s="812" t="s">
        <v>1600</v>
      </c>
      <c r="F123" s="133">
        <v>3.6970142293402275</v>
      </c>
      <c r="G123" s="133">
        <v>0.95764625569719131</v>
      </c>
      <c r="H123" s="133">
        <v>1.5708215177934606</v>
      </c>
      <c r="I123" s="133">
        <v>0.98033698458769436</v>
      </c>
      <c r="J123" s="133">
        <v>0.98033698458769436</v>
      </c>
      <c r="K123" s="133">
        <v>4.7346759915448122E-2</v>
      </c>
      <c r="L123" s="133">
        <v>10.115794002592665</v>
      </c>
      <c r="M123" s="45">
        <v>19391.244666175429</v>
      </c>
    </row>
    <row r="124" spans="1:13" x14ac:dyDescent="0.25">
      <c r="A124" s="812" t="s">
        <v>1996</v>
      </c>
      <c r="B124" s="812">
        <v>7</v>
      </c>
      <c r="C124" s="608">
        <v>39476</v>
      </c>
      <c r="D124" s="812">
        <v>99712</v>
      </c>
      <c r="E124" s="812" t="s">
        <v>1601</v>
      </c>
      <c r="F124" s="133">
        <v>1.9880691537260589</v>
      </c>
      <c r="G124" s="133">
        <v>0.32682757726409351</v>
      </c>
      <c r="H124" s="133">
        <v>0.58286508099905832</v>
      </c>
      <c r="I124" s="133">
        <v>0.52854468214624262</v>
      </c>
      <c r="J124" s="133">
        <v>0.52854468214624262</v>
      </c>
      <c r="K124" s="133">
        <v>2.4258847986276866E-2</v>
      </c>
      <c r="L124" s="133">
        <v>5.5074292271189913</v>
      </c>
      <c r="M124" s="45">
        <v>6764.2898933560282</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8.5417147876638031E-5</v>
      </c>
      <c r="G136" s="133">
        <v>2.0740736477879978E-3</v>
      </c>
      <c r="H136" s="133">
        <v>1.3175439350032229E-3</v>
      </c>
      <c r="I136" s="133">
        <v>6.3340845304716781E-5</v>
      </c>
      <c r="J136" s="133">
        <v>6.3340845304716781E-5</v>
      </c>
      <c r="K136" s="133">
        <v>4.4912715232986816E-5</v>
      </c>
      <c r="L136" s="133">
        <v>1.31088555060586E-4</v>
      </c>
      <c r="M136" s="45">
        <v>32.958315254968397</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1.1079844379764734</v>
      </c>
      <c r="G138" s="133">
        <v>0.88670137961180273</v>
      </c>
      <c r="H138" s="133">
        <v>1.1418618893954815</v>
      </c>
      <c r="I138" s="133">
        <v>0.31480453677486514</v>
      </c>
      <c r="J138" s="133">
        <v>0.31480453677486514</v>
      </c>
      <c r="K138" s="133">
        <v>2.4579061099266664E-2</v>
      </c>
      <c r="L138" s="133">
        <v>3.1303112929643633</v>
      </c>
      <c r="M138" s="45">
        <v>16319.705120980321</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2.5837047377872492E-2</v>
      </c>
      <c r="G140" s="133">
        <v>1.6671378853495164E-2</v>
      </c>
      <c r="H140" s="133">
        <v>2.545075202000591E-2</v>
      </c>
      <c r="I140" s="133">
        <v>8.3837517704827592E-3</v>
      </c>
      <c r="J140" s="133">
        <v>8.3837517704827592E-3</v>
      </c>
      <c r="K140" s="133">
        <v>4.8550352748071132E-4</v>
      </c>
      <c r="L140" s="133">
        <v>8.9835482334239672E-2</v>
      </c>
      <c r="M140" s="45">
        <v>321.73632621061864</v>
      </c>
    </row>
    <row r="141" spans="1:13" x14ac:dyDescent="0.25">
      <c r="A141" s="812" t="s">
        <v>1996</v>
      </c>
      <c r="B141" s="812">
        <v>8</v>
      </c>
      <c r="C141" s="608">
        <v>39477</v>
      </c>
      <c r="D141" s="812">
        <v>99705</v>
      </c>
      <c r="E141" s="812" t="s">
        <v>1599</v>
      </c>
      <c r="F141" s="133">
        <v>4.3805329849754919</v>
      </c>
      <c r="G141" s="133">
        <v>0.86402775741889948</v>
      </c>
      <c r="H141" s="133">
        <v>1.4521372386523761</v>
      </c>
      <c r="I141" s="133">
        <v>1.3106954174641576</v>
      </c>
      <c r="J141" s="133">
        <v>1.3106954174641576</v>
      </c>
      <c r="K141" s="133">
        <v>5.808756198305335E-2</v>
      </c>
      <c r="L141" s="133">
        <v>14.239539306483065</v>
      </c>
      <c r="M141" s="45">
        <v>17613.952192267214</v>
      </c>
    </row>
    <row r="142" spans="1:13" x14ac:dyDescent="0.25">
      <c r="A142" s="812" t="s">
        <v>1996</v>
      </c>
      <c r="B142" s="812">
        <v>8</v>
      </c>
      <c r="C142" s="608">
        <v>39477</v>
      </c>
      <c r="D142" s="812">
        <v>99709</v>
      </c>
      <c r="E142" s="812" t="s">
        <v>1600</v>
      </c>
      <c r="F142" s="133">
        <v>3.8965592136761398</v>
      </c>
      <c r="G142" s="133">
        <v>0.9793412056521027</v>
      </c>
      <c r="H142" s="133">
        <v>1.6239189491011099</v>
      </c>
      <c r="I142" s="133">
        <v>1.029309962125396</v>
      </c>
      <c r="J142" s="133">
        <v>1.029309962125396</v>
      </c>
      <c r="K142" s="133">
        <v>4.947636655204634E-2</v>
      </c>
      <c r="L142" s="133">
        <v>10.620007239238936</v>
      </c>
      <c r="M142" s="45">
        <v>19912.173150875529</v>
      </c>
    </row>
    <row r="143" spans="1:13" x14ac:dyDescent="0.25">
      <c r="A143" s="812" t="s">
        <v>1996</v>
      </c>
      <c r="B143" s="812">
        <v>8</v>
      </c>
      <c r="C143" s="608">
        <v>39477</v>
      </c>
      <c r="D143" s="812">
        <v>99712</v>
      </c>
      <c r="E143" s="812" t="s">
        <v>1601</v>
      </c>
      <c r="F143" s="133">
        <v>2.0904351406588311</v>
      </c>
      <c r="G143" s="133">
        <v>0.33894690287374879</v>
      </c>
      <c r="H143" s="133">
        <v>0.6062030107059424</v>
      </c>
      <c r="I143" s="133">
        <v>0.55427237370557692</v>
      </c>
      <c r="J143" s="133">
        <v>0.55427237370557692</v>
      </c>
      <c r="K143" s="133">
        <v>2.5428450760792216E-2</v>
      </c>
      <c r="L143" s="133">
        <v>5.7761783217535676</v>
      </c>
      <c r="M143" s="45">
        <v>7020.7246634283556</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8.2930752103876486E-5</v>
      </c>
      <c r="G155" s="133">
        <v>2.0113034880268363E-3</v>
      </c>
      <c r="H155" s="133">
        <v>1.2731751962991563E-3</v>
      </c>
      <c r="I155" s="133">
        <v>6.1748585699739474E-5</v>
      </c>
      <c r="J155" s="133">
        <v>6.1748585699739474E-5</v>
      </c>
      <c r="K155" s="133">
        <v>4.482729050517977E-5</v>
      </c>
      <c r="L155" s="133">
        <v>1.2952681376470407E-4</v>
      </c>
      <c r="M155" s="45">
        <v>31.99235224086609</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1.0466781354329417</v>
      </c>
      <c r="G157" s="133">
        <v>0.81069919647754574</v>
      </c>
      <c r="H157" s="133">
        <v>1.0648883882527198</v>
      </c>
      <c r="I157" s="133">
        <v>0.29797198174407108</v>
      </c>
      <c r="J157" s="133">
        <v>0.29797198174407108</v>
      </c>
      <c r="K157" s="133">
        <v>2.3835543181843766E-2</v>
      </c>
      <c r="L157" s="133">
        <v>2.9732321016364573</v>
      </c>
      <c r="M157" s="45">
        <v>15067.291627438181</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2.4449359462101528E-2</v>
      </c>
      <c r="G159" s="133">
        <v>1.5391315108507914E-2</v>
      </c>
      <c r="H159" s="133">
        <v>2.3868392754658269E-2</v>
      </c>
      <c r="I159" s="133">
        <v>7.9342091587605856E-3</v>
      </c>
      <c r="J159" s="133">
        <v>7.9342091587605856E-3</v>
      </c>
      <c r="K159" s="133">
        <v>4.6701806340717001E-4</v>
      </c>
      <c r="L159" s="133">
        <v>8.5107553274962292E-2</v>
      </c>
      <c r="M159" s="45">
        <v>299.51132535680063</v>
      </c>
    </row>
    <row r="160" spans="1:13" x14ac:dyDescent="0.25">
      <c r="A160" s="812" t="s">
        <v>1996</v>
      </c>
      <c r="B160" s="812">
        <v>9</v>
      </c>
      <c r="C160" s="608">
        <v>39478</v>
      </c>
      <c r="D160" s="812">
        <v>99705</v>
      </c>
      <c r="E160" s="812" t="s">
        <v>1599</v>
      </c>
      <c r="F160" s="133">
        <v>4.2788468925877687</v>
      </c>
      <c r="G160" s="133">
        <v>0.83435139110861256</v>
      </c>
      <c r="H160" s="133">
        <v>1.412964054202527</v>
      </c>
      <c r="I160" s="133">
        <v>1.2799325507685817</v>
      </c>
      <c r="J160" s="133">
        <v>1.2799325507685817</v>
      </c>
      <c r="K160" s="133">
        <v>5.6767972670291059E-2</v>
      </c>
      <c r="L160" s="133">
        <v>13.898378904284495</v>
      </c>
      <c r="M160" s="45">
        <v>17067.029015073516</v>
      </c>
    </row>
    <row r="161" spans="1:13" x14ac:dyDescent="0.25">
      <c r="A161" s="812" t="s">
        <v>1996</v>
      </c>
      <c r="B161" s="812">
        <v>9</v>
      </c>
      <c r="C161" s="608">
        <v>39478</v>
      </c>
      <c r="D161" s="812">
        <v>99709</v>
      </c>
      <c r="E161" s="812" t="s">
        <v>1600</v>
      </c>
      <c r="F161" s="133">
        <v>3.9141463509383088</v>
      </c>
      <c r="G161" s="133">
        <v>0.94781477218364873</v>
      </c>
      <c r="H161" s="133">
        <v>1.5952745974709652</v>
      </c>
      <c r="I161" s="133">
        <v>1.0341931968089197</v>
      </c>
      <c r="J161" s="133">
        <v>1.0341931968089197</v>
      </c>
      <c r="K161" s="133">
        <v>4.9639692395264001E-2</v>
      </c>
      <c r="L161" s="133">
        <v>10.685597740678308</v>
      </c>
      <c r="M161" s="45">
        <v>19405.866669602474</v>
      </c>
    </row>
    <row r="162" spans="1:13" x14ac:dyDescent="0.25">
      <c r="A162" s="812" t="s">
        <v>1996</v>
      </c>
      <c r="B162" s="812">
        <v>9</v>
      </c>
      <c r="C162" s="608">
        <v>39478</v>
      </c>
      <c r="D162" s="812">
        <v>99712</v>
      </c>
      <c r="E162" s="812" t="s">
        <v>1601</v>
      </c>
      <c r="F162" s="133">
        <v>2.2491681817615121</v>
      </c>
      <c r="G162" s="133">
        <v>0.35617229120100263</v>
      </c>
      <c r="H162" s="133">
        <v>0.64107019308424917</v>
      </c>
      <c r="I162" s="133">
        <v>0.59486276287553119</v>
      </c>
      <c r="J162" s="133">
        <v>0.59486276287553119</v>
      </c>
      <c r="K162" s="133">
        <v>2.7264289980325297E-2</v>
      </c>
      <c r="L162" s="133">
        <v>6.2044851683998816</v>
      </c>
      <c r="M162" s="45">
        <v>7393.4744375402952</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7.3813967603750832E-5</v>
      </c>
      <c r="G174" s="133">
        <v>1.7811462355692468E-3</v>
      </c>
      <c r="H174" s="133">
        <v>1.1104898210509114E-3</v>
      </c>
      <c r="I174" s="133">
        <v>5.5910300481489393E-5</v>
      </c>
      <c r="J174" s="133">
        <v>5.5910300481489393E-5</v>
      </c>
      <c r="K174" s="133">
        <v>4.4514066503220649E-5</v>
      </c>
      <c r="L174" s="133">
        <v>1.2380042901313711E-4</v>
      </c>
      <c r="M174" s="45">
        <v>28.450487855824285</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0.95460414842923558</v>
      </c>
      <c r="G176" s="133">
        <v>0.78119151074861115</v>
      </c>
      <c r="H176" s="133">
        <v>1.0077852494988124</v>
      </c>
      <c r="I176" s="133">
        <v>0.27428697131579211</v>
      </c>
      <c r="J176" s="133">
        <v>0.27428697131579211</v>
      </c>
      <c r="K176" s="133">
        <v>2.27957120499593E-2</v>
      </c>
      <c r="L176" s="133">
        <v>2.7313840065638235</v>
      </c>
      <c r="M176" s="45">
        <v>14444.812963448894</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2.2360637442855661E-2</v>
      </c>
      <c r="G178" s="133">
        <v>1.4657106895961282E-2</v>
      </c>
      <c r="H178" s="133">
        <v>2.2395549184484879E-2</v>
      </c>
      <c r="I178" s="133">
        <v>7.2959629580174358E-3</v>
      </c>
      <c r="J178" s="133">
        <v>7.2959629580174358E-3</v>
      </c>
      <c r="K178" s="133">
        <v>4.4068848839595726E-4</v>
      </c>
      <c r="L178" s="133">
        <v>7.8089046085795963E-2</v>
      </c>
      <c r="M178" s="45">
        <v>283.77889719123732</v>
      </c>
    </row>
    <row r="179" spans="1:13" x14ac:dyDescent="0.25">
      <c r="A179" s="812" t="s">
        <v>1996</v>
      </c>
      <c r="B179" s="812">
        <v>10</v>
      </c>
      <c r="C179" s="608">
        <v>39479</v>
      </c>
      <c r="D179" s="812">
        <v>99705</v>
      </c>
      <c r="E179" s="812" t="s">
        <v>1599</v>
      </c>
      <c r="F179" s="133">
        <v>3.8536478661952511</v>
      </c>
      <c r="G179" s="133">
        <v>0.76735908269523057</v>
      </c>
      <c r="H179" s="133">
        <v>1.292654384152828</v>
      </c>
      <c r="I179" s="133">
        <v>1.1566322776053828</v>
      </c>
      <c r="J179" s="133">
        <v>1.1566322776053828</v>
      </c>
      <c r="K179" s="133">
        <v>5.1403476772595456E-2</v>
      </c>
      <c r="L179" s="133">
        <v>12.535147003967619</v>
      </c>
      <c r="M179" s="45">
        <v>15679.441136395855</v>
      </c>
    </row>
    <row r="180" spans="1:13" x14ac:dyDescent="0.25">
      <c r="A180" s="812" t="s">
        <v>1996</v>
      </c>
      <c r="B180" s="812">
        <v>10</v>
      </c>
      <c r="C180" s="608">
        <v>39479</v>
      </c>
      <c r="D180" s="812">
        <v>99709</v>
      </c>
      <c r="E180" s="812" t="s">
        <v>1600</v>
      </c>
      <c r="F180" s="133">
        <v>3.5395630280574641</v>
      </c>
      <c r="G180" s="133">
        <v>0.89120994821345378</v>
      </c>
      <c r="H180" s="133">
        <v>1.4877401660283707</v>
      </c>
      <c r="I180" s="133">
        <v>0.94214820511114394</v>
      </c>
      <c r="J180" s="133">
        <v>0.94214820511114394</v>
      </c>
      <c r="K180" s="133">
        <v>4.5624159107487586E-2</v>
      </c>
      <c r="L180" s="133">
        <v>9.7423448429020123</v>
      </c>
      <c r="M180" s="45">
        <v>18202.13448821762</v>
      </c>
    </row>
    <row r="181" spans="1:13" x14ac:dyDescent="0.25">
      <c r="A181" s="812" t="s">
        <v>1996</v>
      </c>
      <c r="B181" s="812">
        <v>10</v>
      </c>
      <c r="C181" s="608">
        <v>39479</v>
      </c>
      <c r="D181" s="812">
        <v>99712</v>
      </c>
      <c r="E181" s="812" t="s">
        <v>1601</v>
      </c>
      <c r="F181" s="133">
        <v>2.0082146782842085</v>
      </c>
      <c r="G181" s="133">
        <v>0.32631745260611372</v>
      </c>
      <c r="H181" s="133">
        <v>0.58636448142443476</v>
      </c>
      <c r="I181" s="133">
        <v>0.53491313573365884</v>
      </c>
      <c r="J181" s="133">
        <v>0.53491313573365884</v>
      </c>
      <c r="K181" s="133">
        <v>2.4523561987460765E-2</v>
      </c>
      <c r="L181" s="133">
        <v>5.581571896869546</v>
      </c>
      <c r="M181" s="45">
        <v>6775.4317171107168</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7.2985169012830322E-5</v>
      </c>
      <c r="G193" s="133">
        <v>1.7602228489821928E-3</v>
      </c>
      <c r="H193" s="133">
        <v>1.0957002414828888E-3</v>
      </c>
      <c r="I193" s="133">
        <v>5.5379547279830286E-5</v>
      </c>
      <c r="J193" s="133">
        <v>5.5379547279830286E-5</v>
      </c>
      <c r="K193" s="133">
        <v>4.4485591593951634E-5</v>
      </c>
      <c r="L193" s="133">
        <v>1.2327984858117647E-4</v>
      </c>
      <c r="M193" s="45">
        <v>28.128500184456847</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0.92464836440388609</v>
      </c>
      <c r="G195" s="133">
        <v>0.83317703886856309</v>
      </c>
      <c r="H195" s="133">
        <v>1.0390583012016341</v>
      </c>
      <c r="I195" s="133">
        <v>0.27172728234466426</v>
      </c>
      <c r="J195" s="133">
        <v>0.27172728234466426</v>
      </c>
      <c r="K195" s="133">
        <v>2.2636881738807454E-2</v>
      </c>
      <c r="L195" s="133">
        <v>2.7131122683157423</v>
      </c>
      <c r="M195" s="45">
        <v>15196.82679317021</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2.2051412788558048E-2</v>
      </c>
      <c r="G197" s="133">
        <v>1.5386761696479321E-2</v>
      </c>
      <c r="H197" s="133">
        <v>2.2861171632601537E-2</v>
      </c>
      <c r="I197" s="133">
        <v>7.3257282656504791E-3</v>
      </c>
      <c r="J197" s="133">
        <v>7.3257282656504791E-3</v>
      </c>
      <c r="K197" s="133">
        <v>4.4145422184079338E-4</v>
      </c>
      <c r="L197" s="133">
        <v>7.8770649541490836E-2</v>
      </c>
      <c r="M197" s="45">
        <v>294.20230647048584</v>
      </c>
    </row>
    <row r="198" spans="1:13" x14ac:dyDescent="0.25">
      <c r="A198" s="812" t="s">
        <v>1996</v>
      </c>
      <c r="B198" s="812">
        <v>11</v>
      </c>
      <c r="C198" s="608">
        <v>39480</v>
      </c>
      <c r="D198" s="812">
        <v>99705</v>
      </c>
      <c r="E198" s="812" t="s">
        <v>1599</v>
      </c>
      <c r="F198" s="133">
        <v>3.8746584956494852</v>
      </c>
      <c r="G198" s="133">
        <v>0.7943688416176139</v>
      </c>
      <c r="H198" s="133">
        <v>1.3263447398845392</v>
      </c>
      <c r="I198" s="133">
        <v>1.1802341104135701</v>
      </c>
      <c r="J198" s="133">
        <v>1.1802341104135701</v>
      </c>
      <c r="K198" s="133">
        <v>5.2373721237951726E-2</v>
      </c>
      <c r="L198" s="133">
        <v>12.904252864288763</v>
      </c>
      <c r="M198" s="45">
        <v>16170.184870715391</v>
      </c>
    </row>
    <row r="199" spans="1:13" x14ac:dyDescent="0.25">
      <c r="A199" s="812" t="s">
        <v>1996</v>
      </c>
      <c r="B199" s="812">
        <v>11</v>
      </c>
      <c r="C199" s="608">
        <v>39480</v>
      </c>
      <c r="D199" s="812">
        <v>99709</v>
      </c>
      <c r="E199" s="812" t="s">
        <v>1600</v>
      </c>
      <c r="F199" s="133">
        <v>3.3358398562832994</v>
      </c>
      <c r="G199" s="133">
        <v>0.90168974948061131</v>
      </c>
      <c r="H199" s="133">
        <v>1.4733133527994531</v>
      </c>
      <c r="I199" s="133">
        <v>0.90721279175795477</v>
      </c>
      <c r="J199" s="133">
        <v>0.90721279175795477</v>
      </c>
      <c r="K199" s="133">
        <v>4.3955687494995087E-2</v>
      </c>
      <c r="L199" s="133">
        <v>9.4658554668998054</v>
      </c>
      <c r="M199" s="45">
        <v>18257.203926632621</v>
      </c>
    </row>
    <row r="200" spans="1:13" x14ac:dyDescent="0.25">
      <c r="A200" s="812" t="s">
        <v>1996</v>
      </c>
      <c r="B200" s="812">
        <v>11</v>
      </c>
      <c r="C200" s="608">
        <v>39480</v>
      </c>
      <c r="D200" s="812">
        <v>99712</v>
      </c>
      <c r="E200" s="812" t="s">
        <v>1601</v>
      </c>
      <c r="F200" s="133">
        <v>1.882941485175943</v>
      </c>
      <c r="G200" s="133">
        <v>0.3203998465529807</v>
      </c>
      <c r="H200" s="133">
        <v>0.57195246128611776</v>
      </c>
      <c r="I200" s="133">
        <v>0.51224244972924882</v>
      </c>
      <c r="J200" s="133">
        <v>0.51224244972924882</v>
      </c>
      <c r="K200" s="133">
        <v>2.3430009311898866E-2</v>
      </c>
      <c r="L200" s="133">
        <v>5.4001298888149067</v>
      </c>
      <c r="M200" s="45">
        <v>6638.2664951447232</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8.1273154922035438E-5</v>
      </c>
      <c r="G212" s="133">
        <v>1.9694567148527292E-3</v>
      </c>
      <c r="H212" s="133">
        <v>1.2435960371631114E-3</v>
      </c>
      <c r="I212" s="133">
        <v>6.068707929642128E-5</v>
      </c>
      <c r="J212" s="133">
        <v>6.068707929642128E-5</v>
      </c>
      <c r="K212" s="133">
        <v>4.4770340686641753E-5</v>
      </c>
      <c r="L212" s="133">
        <v>1.2848565290078282E-4</v>
      </c>
      <c r="M212" s="45">
        <v>31.348376898131214</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1.0884300957348301</v>
      </c>
      <c r="G214" s="133">
        <v>0.93058263688075482</v>
      </c>
      <c r="H214" s="133">
        <v>1.1717787609729169</v>
      </c>
      <c r="I214" s="133">
        <v>0.31479154531920078</v>
      </c>
      <c r="J214" s="133">
        <v>0.31479154531920078</v>
      </c>
      <c r="K214" s="133">
        <v>2.4529500632189116E-2</v>
      </c>
      <c r="L214" s="133">
        <v>3.1415005005412091</v>
      </c>
      <c r="M214" s="45">
        <v>16972.544263566626</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2.5479630120906906E-2</v>
      </c>
      <c r="G216" s="133">
        <v>1.7223206574921126E-2</v>
      </c>
      <c r="H216" s="133">
        <v>2.5744560393707205E-2</v>
      </c>
      <c r="I216" s="133">
        <v>8.3921893559771796E-3</v>
      </c>
      <c r="J216" s="133">
        <v>8.3921893559771796E-3</v>
      </c>
      <c r="K216" s="133">
        <v>4.8553381690389979E-4</v>
      </c>
      <c r="L216" s="133">
        <v>9.0321654217116076E-2</v>
      </c>
      <c r="M216" s="45">
        <v>329.32181254583469</v>
      </c>
    </row>
    <row r="217" spans="1:13" x14ac:dyDescent="0.25">
      <c r="A217" s="812" t="s">
        <v>1996</v>
      </c>
      <c r="B217" s="812">
        <v>12</v>
      </c>
      <c r="C217" s="608">
        <v>39481</v>
      </c>
      <c r="D217" s="812">
        <v>99705</v>
      </c>
      <c r="E217" s="812" t="s">
        <v>1599</v>
      </c>
      <c r="F217" s="133">
        <v>4.3512377901633137</v>
      </c>
      <c r="G217" s="133">
        <v>0.88083528966107461</v>
      </c>
      <c r="H217" s="133">
        <v>1.4702451560850183</v>
      </c>
      <c r="I217" s="133">
        <v>1.3193135823606816</v>
      </c>
      <c r="J217" s="133">
        <v>1.3193135823606816</v>
      </c>
      <c r="K217" s="133">
        <v>5.8442798705725378E-2</v>
      </c>
      <c r="L217" s="133">
        <v>14.442612700124771</v>
      </c>
      <c r="M217" s="45">
        <v>17903.888588439826</v>
      </c>
    </row>
    <row r="218" spans="1:13" x14ac:dyDescent="0.25">
      <c r="A218" s="812" t="s">
        <v>1996</v>
      </c>
      <c r="B218" s="812">
        <v>12</v>
      </c>
      <c r="C218" s="608">
        <v>39481</v>
      </c>
      <c r="D218" s="812">
        <v>99709</v>
      </c>
      <c r="E218" s="812" t="s">
        <v>1600</v>
      </c>
      <c r="F218" s="133">
        <v>4.0048700442705432</v>
      </c>
      <c r="G218" s="133">
        <v>1.0255998480225375</v>
      </c>
      <c r="H218" s="133">
        <v>1.6825627872067739</v>
      </c>
      <c r="I218" s="133">
        <v>1.0727041119425176</v>
      </c>
      <c r="J218" s="133">
        <v>1.0727041119425176</v>
      </c>
      <c r="K218" s="133">
        <v>5.1150730609747896E-2</v>
      </c>
      <c r="L218" s="133">
        <v>11.159737552322088</v>
      </c>
      <c r="M218" s="45">
        <v>20761.886756929678</v>
      </c>
    </row>
    <row r="219" spans="1:13" x14ac:dyDescent="0.25">
      <c r="A219" s="812" t="s">
        <v>1996</v>
      </c>
      <c r="B219" s="812">
        <v>12</v>
      </c>
      <c r="C219" s="608">
        <v>39481</v>
      </c>
      <c r="D219" s="812">
        <v>99712</v>
      </c>
      <c r="E219" s="812" t="s">
        <v>1601</v>
      </c>
      <c r="F219" s="133">
        <v>2.2618198698560357</v>
      </c>
      <c r="G219" s="133">
        <v>0.36980993288021902</v>
      </c>
      <c r="H219" s="133">
        <v>0.65999610241715678</v>
      </c>
      <c r="I219" s="133">
        <v>0.60665583750527607</v>
      </c>
      <c r="J219" s="133">
        <v>0.60665583750527607</v>
      </c>
      <c r="K219" s="133">
        <v>2.7743465001225907E-2</v>
      </c>
      <c r="L219" s="133">
        <v>6.3810175485739524</v>
      </c>
      <c r="M219" s="45">
        <v>7649.7182838111239</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8.9561140831240582E-5</v>
      </c>
      <c r="G231" s="133">
        <v>2.178690580723266E-3</v>
      </c>
      <c r="H231" s="133">
        <v>1.3914918328433346E-3</v>
      </c>
      <c r="I231" s="133">
        <v>6.5994611313012261E-5</v>
      </c>
      <c r="J231" s="133">
        <v>6.5994611313012261E-5</v>
      </c>
      <c r="K231" s="133">
        <v>4.5055089779331865E-5</v>
      </c>
      <c r="L231" s="133">
        <v>1.3369145722038914E-4</v>
      </c>
      <c r="M231" s="45">
        <v>34.568253611805581</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1.2442564920199599</v>
      </c>
      <c r="G233" s="133">
        <v>1.0045679935073679</v>
      </c>
      <c r="H233" s="133">
        <v>1.2782578523739896</v>
      </c>
      <c r="I233" s="133">
        <v>0.35161915399160631</v>
      </c>
      <c r="J233" s="133">
        <v>0.35161915399160631</v>
      </c>
      <c r="K233" s="133">
        <v>2.6193260359291017E-2</v>
      </c>
      <c r="L233" s="133">
        <v>3.4886042595639504</v>
      </c>
      <c r="M233" s="45">
        <v>18347.480013416698</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2.8899649233855719E-2</v>
      </c>
      <c r="G235" s="133">
        <v>1.8749965603287705E-2</v>
      </c>
      <c r="H235" s="133">
        <v>2.8316466623308355E-2</v>
      </c>
      <c r="I235" s="133">
        <v>9.346467893889026E-3</v>
      </c>
      <c r="J235" s="133">
        <v>9.346467893889026E-3</v>
      </c>
      <c r="K235" s="133">
        <v>5.2564401548251709E-4</v>
      </c>
      <c r="L235" s="133">
        <v>0.10013185638235544</v>
      </c>
      <c r="M235" s="45">
        <v>359.37515294576366</v>
      </c>
    </row>
    <row r="236" spans="1:13" x14ac:dyDescent="0.25">
      <c r="A236" s="812" t="s">
        <v>1996</v>
      </c>
      <c r="B236" s="812">
        <v>13</v>
      </c>
      <c r="C236" s="608">
        <v>39482</v>
      </c>
      <c r="D236" s="812">
        <v>99705</v>
      </c>
      <c r="E236" s="812" t="s">
        <v>1599</v>
      </c>
      <c r="F236" s="133">
        <v>4.8834593637422206</v>
      </c>
      <c r="G236" s="133">
        <v>0.95986228120865014</v>
      </c>
      <c r="H236" s="133">
        <v>1.6060041256989097</v>
      </c>
      <c r="I236" s="133">
        <v>1.4572553566474014</v>
      </c>
      <c r="J236" s="133">
        <v>1.4572553566474014</v>
      </c>
      <c r="K236" s="133">
        <v>6.4462305472867479E-2</v>
      </c>
      <c r="L236" s="133">
        <v>15.857798240195404</v>
      </c>
      <c r="M236" s="45">
        <v>19510.214144408834</v>
      </c>
    </row>
    <row r="237" spans="1:13" x14ac:dyDescent="0.25">
      <c r="A237" s="812" t="s">
        <v>1996</v>
      </c>
      <c r="B237" s="812">
        <v>13</v>
      </c>
      <c r="C237" s="608">
        <v>39482</v>
      </c>
      <c r="D237" s="812">
        <v>99709</v>
      </c>
      <c r="E237" s="812" t="s">
        <v>1600</v>
      </c>
      <c r="F237" s="133">
        <v>4.3995224806477387</v>
      </c>
      <c r="G237" s="133">
        <v>1.0941680916829635</v>
      </c>
      <c r="H237" s="133">
        <v>1.7991247055838457</v>
      </c>
      <c r="I237" s="133">
        <v>1.1549009187718233</v>
      </c>
      <c r="J237" s="133">
        <v>1.1549009187718233</v>
      </c>
      <c r="K237" s="133">
        <v>5.4924844063782022E-2</v>
      </c>
      <c r="L237" s="133">
        <v>11.904188457624601</v>
      </c>
      <c r="M237" s="45">
        <v>22138.718685621323</v>
      </c>
    </row>
    <row r="238" spans="1:13" x14ac:dyDescent="0.25">
      <c r="A238" s="812" t="s">
        <v>1996</v>
      </c>
      <c r="B238" s="812">
        <v>13</v>
      </c>
      <c r="C238" s="608">
        <v>39482</v>
      </c>
      <c r="D238" s="812">
        <v>99712</v>
      </c>
      <c r="E238" s="812" t="s">
        <v>1601</v>
      </c>
      <c r="F238" s="133">
        <v>2.3889624437549202</v>
      </c>
      <c r="G238" s="133">
        <v>0.38042408041131237</v>
      </c>
      <c r="H238" s="133">
        <v>0.67819262058277296</v>
      </c>
      <c r="I238" s="133">
        <v>0.62921552254239321</v>
      </c>
      <c r="J238" s="133">
        <v>0.62921552254239321</v>
      </c>
      <c r="K238" s="133">
        <v>2.88408009959365E-2</v>
      </c>
      <c r="L238" s="133">
        <v>6.556638742274064</v>
      </c>
      <c r="M238" s="45">
        <v>7861.4318257792647</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9.5362730967684154E-5</v>
      </c>
      <c r="G250" s="133">
        <v>2.3251542868326404E-3</v>
      </c>
      <c r="H250" s="133">
        <v>1.4950188898194901E-3</v>
      </c>
      <c r="I250" s="133">
        <v>6.9709883724625941E-5</v>
      </c>
      <c r="J250" s="133">
        <v>6.9709883724625941E-5</v>
      </c>
      <c r="K250" s="133">
        <v>4.5254414144214918E-5</v>
      </c>
      <c r="L250" s="133">
        <v>1.3733552024411351E-4</v>
      </c>
      <c r="M250" s="45">
        <v>36.82216731137764</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1.2745514794879593</v>
      </c>
      <c r="G252" s="133">
        <v>1.0180643514689429</v>
      </c>
      <c r="H252" s="133">
        <v>1.2998327488695172</v>
      </c>
      <c r="I252" s="133">
        <v>0.35957542219330568</v>
      </c>
      <c r="J252" s="133">
        <v>0.35957542219330568</v>
      </c>
      <c r="K252" s="133">
        <v>2.654074846359555E-2</v>
      </c>
      <c r="L252" s="133">
        <v>3.569321971527069</v>
      </c>
      <c r="M252" s="45">
        <v>18609.517892704382</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2.9650914703211323E-2</v>
      </c>
      <c r="G254" s="133">
        <v>1.9073395796138762E-2</v>
      </c>
      <c r="H254" s="133">
        <v>2.8908162049010751E-2</v>
      </c>
      <c r="I254" s="133">
        <v>9.5795031537881034E-3</v>
      </c>
      <c r="J254" s="133">
        <v>9.5795031537881034E-3</v>
      </c>
      <c r="K254" s="133">
        <v>5.351075974334321E-4</v>
      </c>
      <c r="L254" s="133">
        <v>0.10268341696162026</v>
      </c>
      <c r="M254" s="45">
        <v>366.00824527448248</v>
      </c>
    </row>
    <row r="255" spans="1:13" x14ac:dyDescent="0.25">
      <c r="A255" s="812" t="s">
        <v>1996</v>
      </c>
      <c r="B255" s="812">
        <v>14</v>
      </c>
      <c r="C255" s="608">
        <v>39483</v>
      </c>
      <c r="D255" s="812">
        <v>99705</v>
      </c>
      <c r="E255" s="812" t="s">
        <v>1599</v>
      </c>
      <c r="F255" s="133">
        <v>4.9977614231247127</v>
      </c>
      <c r="G255" s="133">
        <v>0.97907616455955404</v>
      </c>
      <c r="H255" s="133">
        <v>1.6394160319526949</v>
      </c>
      <c r="I255" s="133">
        <v>1.4909848300070168</v>
      </c>
      <c r="J255" s="133">
        <v>1.4909848300070168</v>
      </c>
      <c r="K255" s="133">
        <v>6.5917375236429834E-2</v>
      </c>
      <c r="L255" s="133">
        <v>16.232864188645966</v>
      </c>
      <c r="M255" s="45">
        <v>19903.584955005019</v>
      </c>
    </row>
    <row r="256" spans="1:13" x14ac:dyDescent="0.25">
      <c r="A256" s="812" t="s">
        <v>1996</v>
      </c>
      <c r="B256" s="812">
        <v>14</v>
      </c>
      <c r="C256" s="608">
        <v>39483</v>
      </c>
      <c r="D256" s="812">
        <v>99709</v>
      </c>
      <c r="E256" s="812" t="s">
        <v>1600</v>
      </c>
      <c r="F256" s="133">
        <v>4.3842862361115538</v>
      </c>
      <c r="G256" s="133">
        <v>1.0970288372606558</v>
      </c>
      <c r="H256" s="133">
        <v>1.8031615912254086</v>
      </c>
      <c r="I256" s="133">
        <v>1.150860115542933</v>
      </c>
      <c r="J256" s="133">
        <v>1.150860115542933</v>
      </c>
      <c r="K256" s="133">
        <v>5.4772795464767113E-2</v>
      </c>
      <c r="L256" s="133">
        <v>11.859075627638848</v>
      </c>
      <c r="M256" s="45">
        <v>22189.039107578988</v>
      </c>
    </row>
    <row r="257" spans="1:13" x14ac:dyDescent="0.25">
      <c r="A257" s="812" t="s">
        <v>1996</v>
      </c>
      <c r="B257" s="812">
        <v>14</v>
      </c>
      <c r="C257" s="608">
        <v>39483</v>
      </c>
      <c r="D257" s="812">
        <v>99712</v>
      </c>
      <c r="E257" s="812" t="s">
        <v>1601</v>
      </c>
      <c r="F257" s="133">
        <v>2.3148076814442713</v>
      </c>
      <c r="G257" s="133">
        <v>0.37191973464258155</v>
      </c>
      <c r="H257" s="133">
        <v>0.662161450414533</v>
      </c>
      <c r="I257" s="133">
        <v>0.61121609142654965</v>
      </c>
      <c r="J257" s="133">
        <v>0.61121609142654965</v>
      </c>
      <c r="K257" s="133">
        <v>2.8011077124562862E-2</v>
      </c>
      <c r="L257" s="133">
        <v>6.3717781391258681</v>
      </c>
      <c r="M257" s="45">
        <v>7683.5761580219605</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9.6191529558604691E-5</v>
      </c>
      <c r="G269" s="133">
        <v>2.3460776734196957E-3</v>
      </c>
      <c r="H269" s="133">
        <v>1.5098084693875122E-3</v>
      </c>
      <c r="I269" s="133">
        <v>7.0240636926285061E-5</v>
      </c>
      <c r="J269" s="133">
        <v>7.0240636926285061E-5</v>
      </c>
      <c r="K269" s="133">
        <v>4.528288905348396E-5</v>
      </c>
      <c r="L269" s="133">
        <v>1.3785610067607425E-4</v>
      </c>
      <c r="M269" s="45">
        <v>37.144154982745071</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1.3074299573342403</v>
      </c>
      <c r="G271" s="133">
        <v>1.0267865632798621</v>
      </c>
      <c r="H271" s="133">
        <v>1.3191365125539685</v>
      </c>
      <c r="I271" s="133">
        <v>0.36811318999443204</v>
      </c>
      <c r="J271" s="133">
        <v>0.36811318999443204</v>
      </c>
      <c r="K271" s="133">
        <v>2.6912884883874062E-2</v>
      </c>
      <c r="L271" s="133">
        <v>3.6575647507090996</v>
      </c>
      <c r="M271" s="45">
        <v>18805.776023144517</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3.0315631782844989E-2</v>
      </c>
      <c r="G273" s="133">
        <v>1.9278816003767033E-2</v>
      </c>
      <c r="H273" s="133">
        <v>2.9349111922760879E-2</v>
      </c>
      <c r="I273" s="133">
        <v>9.7811261295876577E-3</v>
      </c>
      <c r="J273" s="133">
        <v>9.7811261295876577E-3</v>
      </c>
      <c r="K273" s="133">
        <v>5.4348163686477246E-4</v>
      </c>
      <c r="L273" s="133">
        <v>0.10490633935473925</v>
      </c>
      <c r="M273" s="45">
        <v>370.56077872332247</v>
      </c>
    </row>
    <row r="274" spans="1:13" x14ac:dyDescent="0.25">
      <c r="A274" s="812" t="s">
        <v>1996</v>
      </c>
      <c r="B274" s="812">
        <v>15</v>
      </c>
      <c r="C274" s="608">
        <v>39484</v>
      </c>
      <c r="D274" s="812">
        <v>99705</v>
      </c>
      <c r="E274" s="812" t="s">
        <v>1599</v>
      </c>
      <c r="F274" s="133">
        <v>5.126751885655656</v>
      </c>
      <c r="G274" s="133">
        <v>0.99939565228383243</v>
      </c>
      <c r="H274" s="133">
        <v>1.6763753216853023</v>
      </c>
      <c r="I274" s="133">
        <v>1.5287210674782905</v>
      </c>
      <c r="J274" s="133">
        <v>1.5287210674782905</v>
      </c>
      <c r="K274" s="133">
        <v>6.7565237442309203E-2</v>
      </c>
      <c r="L274" s="133">
        <v>16.651759436419272</v>
      </c>
      <c r="M274" s="45">
        <v>20326.043011715145</v>
      </c>
    </row>
    <row r="275" spans="1:13" x14ac:dyDescent="0.25">
      <c r="A275" s="812" t="s">
        <v>1996</v>
      </c>
      <c r="B275" s="812">
        <v>15</v>
      </c>
      <c r="C275" s="608">
        <v>39484</v>
      </c>
      <c r="D275" s="812">
        <v>99709</v>
      </c>
      <c r="E275" s="812" t="s">
        <v>1600</v>
      </c>
      <c r="F275" s="133">
        <v>4.4997975015177287</v>
      </c>
      <c r="G275" s="133">
        <v>1.1145414117429469</v>
      </c>
      <c r="H275" s="133">
        <v>1.8384823687798433</v>
      </c>
      <c r="I275" s="133">
        <v>1.1785371235609405</v>
      </c>
      <c r="J275" s="133">
        <v>1.1785371235609405</v>
      </c>
      <c r="K275" s="133">
        <v>5.5987506438794563E-2</v>
      </c>
      <c r="L275" s="133">
        <v>12.138528271896758</v>
      </c>
      <c r="M275" s="45">
        <v>22570.577875508166</v>
      </c>
    </row>
    <row r="276" spans="1:13" x14ac:dyDescent="0.25">
      <c r="A276" s="812" t="s">
        <v>1996</v>
      </c>
      <c r="B276" s="812">
        <v>15</v>
      </c>
      <c r="C276" s="608">
        <v>39484</v>
      </c>
      <c r="D276" s="812">
        <v>99712</v>
      </c>
      <c r="E276" s="812" t="s">
        <v>1601</v>
      </c>
      <c r="F276" s="133">
        <v>2.3392352687726157</v>
      </c>
      <c r="G276" s="133">
        <v>0.37400002974617985</v>
      </c>
      <c r="H276" s="133">
        <v>0.66616660068965705</v>
      </c>
      <c r="I276" s="133">
        <v>0.61602518220249181</v>
      </c>
      <c r="J276" s="133">
        <v>0.61602518220249181</v>
      </c>
      <c r="K276" s="133">
        <v>2.8252726028753571E-2</v>
      </c>
      <c r="L276" s="133">
        <v>6.4154530768482889</v>
      </c>
      <c r="M276" s="45">
        <v>7726.605411985237</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9.6191529558604664E-5</v>
      </c>
      <c r="G288" s="133">
        <v>2.3460776734196948E-3</v>
      </c>
      <c r="H288" s="133">
        <v>1.5098084693875124E-3</v>
      </c>
      <c r="I288" s="133">
        <v>7.0240636926285048E-5</v>
      </c>
      <c r="J288" s="133">
        <v>7.0240636926285048E-5</v>
      </c>
      <c r="K288" s="133">
        <v>4.5282889053483947E-5</v>
      </c>
      <c r="L288" s="133">
        <v>1.378561006760742E-4</v>
      </c>
      <c r="M288" s="45">
        <v>37.144154982745071</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1.3222635940505258</v>
      </c>
      <c r="G290" s="133">
        <v>1.0360316487073038</v>
      </c>
      <c r="H290" s="133">
        <v>1.3313298220499741</v>
      </c>
      <c r="I290" s="133">
        <v>0.371954146536849</v>
      </c>
      <c r="J290" s="133">
        <v>0.371954146536849</v>
      </c>
      <c r="K290" s="133">
        <v>2.7083327209283786E-2</v>
      </c>
      <c r="L290" s="133">
        <v>3.6953031118816511</v>
      </c>
      <c r="M290" s="45">
        <v>18972.233454859721</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3.0591067557510499E-2</v>
      </c>
      <c r="G292" s="133">
        <v>1.94372192860543E-2</v>
      </c>
      <c r="H292" s="133">
        <v>2.9582195307868889E-2</v>
      </c>
      <c r="I292" s="133">
        <v>9.8665187105997261E-3</v>
      </c>
      <c r="J292" s="133">
        <v>9.8665187105997261E-3</v>
      </c>
      <c r="K292" s="133">
        <v>5.4706995404762331E-4</v>
      </c>
      <c r="L292" s="133">
        <v>0.10582613918279832</v>
      </c>
      <c r="M292" s="45">
        <v>373.5057762273251</v>
      </c>
    </row>
    <row r="293" spans="1:13" x14ac:dyDescent="0.25">
      <c r="A293" s="812" t="s">
        <v>1996</v>
      </c>
      <c r="B293" s="812">
        <v>16</v>
      </c>
      <c r="C293" s="608">
        <v>39485</v>
      </c>
      <c r="D293" s="812">
        <v>99705</v>
      </c>
      <c r="E293" s="812" t="s">
        <v>1599</v>
      </c>
      <c r="F293" s="133">
        <v>5.166503252740795</v>
      </c>
      <c r="G293" s="133">
        <v>1.0062848439219623</v>
      </c>
      <c r="H293" s="133">
        <v>1.6876318180385035</v>
      </c>
      <c r="I293" s="133">
        <v>1.5396450459476587</v>
      </c>
      <c r="J293" s="133">
        <v>1.5396450459476587</v>
      </c>
      <c r="K293" s="133">
        <v>6.8051556913809291E-2</v>
      </c>
      <c r="L293" s="133">
        <v>16.769681261405591</v>
      </c>
      <c r="M293" s="45">
        <v>20462.814996153695</v>
      </c>
    </row>
    <row r="294" spans="1:13" x14ac:dyDescent="0.25">
      <c r="A294" s="812" t="s">
        <v>1996</v>
      </c>
      <c r="B294" s="812">
        <v>16</v>
      </c>
      <c r="C294" s="608">
        <v>39485</v>
      </c>
      <c r="D294" s="812">
        <v>99709</v>
      </c>
      <c r="E294" s="812" t="s">
        <v>1600</v>
      </c>
      <c r="F294" s="133">
        <v>4.6803606322204505</v>
      </c>
      <c r="G294" s="133">
        <v>1.1411862622736637</v>
      </c>
      <c r="H294" s="133">
        <v>1.88554694615809</v>
      </c>
      <c r="I294" s="133">
        <v>1.2235782023332467</v>
      </c>
      <c r="J294" s="133">
        <v>1.2235782023332467</v>
      </c>
      <c r="K294" s="133">
        <v>5.7914312902989026E-2</v>
      </c>
      <c r="L294" s="133">
        <v>12.604153050399443</v>
      </c>
      <c r="M294" s="45">
        <v>23123.593596413109</v>
      </c>
    </row>
    <row r="295" spans="1:13" x14ac:dyDescent="0.25">
      <c r="A295" s="812" t="s">
        <v>1996</v>
      </c>
      <c r="B295" s="812">
        <v>16</v>
      </c>
      <c r="C295" s="608">
        <v>39485</v>
      </c>
      <c r="D295" s="812">
        <v>99712</v>
      </c>
      <c r="E295" s="812" t="s">
        <v>1601</v>
      </c>
      <c r="F295" s="133">
        <v>2.5014312379596557</v>
      </c>
      <c r="G295" s="133">
        <v>0.39398971733769467</v>
      </c>
      <c r="H295" s="133">
        <v>0.70274907815327414</v>
      </c>
      <c r="I295" s="133">
        <v>0.65608355975133004</v>
      </c>
      <c r="J295" s="133">
        <v>0.65608355975133004</v>
      </c>
      <c r="K295" s="133">
        <v>3.0088018794499401E-2</v>
      </c>
      <c r="L295" s="133">
        <v>6.830104521896037</v>
      </c>
      <c r="M295" s="45">
        <v>8140.0679656051389</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9.7020328149525174E-5</v>
      </c>
      <c r="G307" s="133">
        <v>2.3670010600067484E-3</v>
      </c>
      <c r="H307" s="133">
        <v>1.5245980489555348E-3</v>
      </c>
      <c r="I307" s="133">
        <v>7.0771390127944155E-5</v>
      </c>
      <c r="J307" s="133">
        <v>7.0771390127944155E-5</v>
      </c>
      <c r="K307" s="133">
        <v>4.5311363962752962E-5</v>
      </c>
      <c r="L307" s="133">
        <v>1.3837668110803483E-4</v>
      </c>
      <c r="M307" s="45">
        <v>37.46614265411251</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1.2865354107673446</v>
      </c>
      <c r="G309" s="133">
        <v>1.010282647846324</v>
      </c>
      <c r="H309" s="133">
        <v>1.299221896643838</v>
      </c>
      <c r="I309" s="133">
        <v>0.36244032814238575</v>
      </c>
      <c r="J309" s="133">
        <v>0.36244032814238575</v>
      </c>
      <c r="K309" s="133">
        <v>2.6665596753799328E-2</v>
      </c>
      <c r="L309" s="133">
        <v>3.6016343450523576</v>
      </c>
      <c r="M309" s="45">
        <v>18517.686395136694</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2.9893938864290315E-2</v>
      </c>
      <c r="G311" s="133">
        <v>1.9001163906462688E-2</v>
      </c>
      <c r="H311" s="133">
        <v>2.8966806964289774E-2</v>
      </c>
      <c r="I311" s="133">
        <v>9.6493824373361757E-3</v>
      </c>
      <c r="J311" s="133">
        <v>9.6493824373361757E-3</v>
      </c>
      <c r="K311" s="133">
        <v>5.3793746087934114E-4</v>
      </c>
      <c r="L311" s="133">
        <v>0.1034970079868463</v>
      </c>
      <c r="M311" s="45">
        <v>365.53721635806323</v>
      </c>
    </row>
    <row r="312" spans="1:13" x14ac:dyDescent="0.25">
      <c r="A312" s="812" t="s">
        <v>1996</v>
      </c>
      <c r="B312" s="812">
        <v>17</v>
      </c>
      <c r="C312" s="608">
        <v>39486</v>
      </c>
      <c r="D312" s="812">
        <v>99705</v>
      </c>
      <c r="E312" s="812" t="s">
        <v>1599</v>
      </c>
      <c r="F312" s="133">
        <v>5.0314008364698211</v>
      </c>
      <c r="G312" s="133">
        <v>0.98187367889620814</v>
      </c>
      <c r="H312" s="133">
        <v>1.6472457012716324</v>
      </c>
      <c r="I312" s="133">
        <v>1.5005435903847879</v>
      </c>
      <c r="J312" s="133">
        <v>1.5005435903847879</v>
      </c>
      <c r="K312" s="133">
        <v>6.6337689011592385E-2</v>
      </c>
      <c r="L312" s="133">
        <v>16.338527766647321</v>
      </c>
      <c r="M312" s="45">
        <v>19974.890950654972</v>
      </c>
    </row>
    <row r="313" spans="1:13" x14ac:dyDescent="0.25">
      <c r="A313" s="812" t="s">
        <v>1996</v>
      </c>
      <c r="B313" s="812">
        <v>17</v>
      </c>
      <c r="C313" s="608">
        <v>39486</v>
      </c>
      <c r="D313" s="812">
        <v>99709</v>
      </c>
      <c r="E313" s="812" t="s">
        <v>1600</v>
      </c>
      <c r="F313" s="133">
        <v>4.5236676968865304</v>
      </c>
      <c r="G313" s="133">
        <v>1.1104732059676568</v>
      </c>
      <c r="H313" s="133">
        <v>1.8348164280777011</v>
      </c>
      <c r="I313" s="133">
        <v>1.1857817990752264</v>
      </c>
      <c r="J313" s="133">
        <v>1.1857817990752264</v>
      </c>
      <c r="K313" s="133">
        <v>5.6261438869498769E-2</v>
      </c>
      <c r="L313" s="133">
        <v>12.223285823312214</v>
      </c>
      <c r="M313" s="45">
        <v>22509.166679574853</v>
      </c>
    </row>
    <row r="314" spans="1:13" x14ac:dyDescent="0.25">
      <c r="A314" s="812" t="s">
        <v>1996</v>
      </c>
      <c r="B314" s="812">
        <v>17</v>
      </c>
      <c r="C314" s="608">
        <v>39486</v>
      </c>
      <c r="D314" s="812">
        <v>99712</v>
      </c>
      <c r="E314" s="812" t="s">
        <v>1601</v>
      </c>
      <c r="F314" s="133">
        <v>2.428817068651016</v>
      </c>
      <c r="G314" s="133">
        <v>0.38481555727408795</v>
      </c>
      <c r="H314" s="133">
        <v>0.68659518033494349</v>
      </c>
      <c r="I314" s="133">
        <v>0.6388652072063653</v>
      </c>
      <c r="J314" s="133">
        <v>0.6388652072063653</v>
      </c>
      <c r="K314" s="133">
        <v>2.92870460238852E-2</v>
      </c>
      <c r="L314" s="133">
        <v>6.6557392003978046</v>
      </c>
      <c r="M314" s="45">
        <v>7953.7610604593883</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9.4533932376763657E-5</v>
      </c>
      <c r="G326" s="133">
        <v>2.3042309002455873E-3</v>
      </c>
      <c r="H326" s="133">
        <v>1.4802293102514678E-3</v>
      </c>
      <c r="I326" s="133">
        <v>6.9179130522966848E-5</v>
      </c>
      <c r="J326" s="133">
        <v>6.9179130522966848E-5</v>
      </c>
      <c r="K326" s="133">
        <v>4.522593923494593E-5</v>
      </c>
      <c r="L326" s="133">
        <v>1.3681493981215293E-4</v>
      </c>
      <c r="M326" s="45">
        <v>36.500179640010202</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1.0963561250294169</v>
      </c>
      <c r="G328" s="133">
        <v>0.93354425853775169</v>
      </c>
      <c r="H328" s="133">
        <v>1.1781414427766221</v>
      </c>
      <c r="I328" s="133">
        <v>0.31751444220830705</v>
      </c>
      <c r="J328" s="133">
        <v>0.31751444220830705</v>
      </c>
      <c r="K328" s="133">
        <v>2.463357365770609E-2</v>
      </c>
      <c r="L328" s="133">
        <v>3.1726572011572785</v>
      </c>
      <c r="M328" s="45">
        <v>17038.761152330611</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2.5762814355929604E-2</v>
      </c>
      <c r="G330" s="133">
        <v>1.7347775608206415E-2</v>
      </c>
      <c r="H330" s="133">
        <v>2.6020962521658503E-2</v>
      </c>
      <c r="I330" s="133">
        <v>8.4849139546421745E-3</v>
      </c>
      <c r="J330" s="133">
        <v>8.4849139546421745E-3</v>
      </c>
      <c r="K330" s="133">
        <v>4.8885569220012443E-4</v>
      </c>
      <c r="L330" s="133">
        <v>9.1352156855973837E-2</v>
      </c>
      <c r="M330" s="45">
        <v>332.14591395238955</v>
      </c>
    </row>
    <row r="331" spans="1:13" x14ac:dyDescent="0.25">
      <c r="A331" s="812" t="s">
        <v>1996</v>
      </c>
      <c r="B331" s="812">
        <v>18</v>
      </c>
      <c r="C331" s="608">
        <v>39487</v>
      </c>
      <c r="D331" s="812">
        <v>99705</v>
      </c>
      <c r="E331" s="812" t="s">
        <v>1599</v>
      </c>
      <c r="F331" s="133">
        <v>4.1294691971866255</v>
      </c>
      <c r="G331" s="133">
        <v>0.84593907150106451</v>
      </c>
      <c r="H331" s="133">
        <v>1.4069502691316786</v>
      </c>
      <c r="I331" s="133">
        <v>1.2542658338259725</v>
      </c>
      <c r="J331" s="133">
        <v>1.2542658338259725</v>
      </c>
      <c r="K331" s="133">
        <v>5.5618012700624046E-2</v>
      </c>
      <c r="L331" s="133">
        <v>13.720288242829094</v>
      </c>
      <c r="M331" s="45">
        <v>17178.260709236456</v>
      </c>
    </row>
    <row r="332" spans="1:13" x14ac:dyDescent="0.25">
      <c r="A332" s="812" t="s">
        <v>1996</v>
      </c>
      <c r="B332" s="812">
        <v>18</v>
      </c>
      <c r="C332" s="608">
        <v>39487</v>
      </c>
      <c r="D332" s="812">
        <v>99709</v>
      </c>
      <c r="E332" s="812" t="s">
        <v>1600</v>
      </c>
      <c r="F332" s="133">
        <v>3.6604829335001918</v>
      </c>
      <c r="G332" s="133">
        <v>0.98319453734553708</v>
      </c>
      <c r="H332" s="133">
        <v>1.6044264943289397</v>
      </c>
      <c r="I332" s="133">
        <v>0.98766735686387452</v>
      </c>
      <c r="J332" s="133">
        <v>0.98766735686387452</v>
      </c>
      <c r="K332" s="133">
        <v>4.747282039003823E-2</v>
      </c>
      <c r="L332" s="133">
        <v>10.281344546959046</v>
      </c>
      <c r="M332" s="45">
        <v>19864.99094448757</v>
      </c>
    </row>
    <row r="333" spans="1:13" x14ac:dyDescent="0.25">
      <c r="A333" s="812" t="s">
        <v>1996</v>
      </c>
      <c r="B333" s="812">
        <v>18</v>
      </c>
      <c r="C333" s="608">
        <v>39487</v>
      </c>
      <c r="D333" s="812">
        <v>99712</v>
      </c>
      <c r="E333" s="812" t="s">
        <v>1601</v>
      </c>
      <c r="F333" s="133">
        <v>1.8882174675838903</v>
      </c>
      <c r="G333" s="133">
        <v>0.32319774202402324</v>
      </c>
      <c r="H333" s="133">
        <v>0.57419772761794119</v>
      </c>
      <c r="I333" s="133">
        <v>0.51275648267428475</v>
      </c>
      <c r="J333" s="133">
        <v>0.51275648267428475</v>
      </c>
      <c r="K333" s="133">
        <v>2.3468701479250745E-2</v>
      </c>
      <c r="L333" s="133">
        <v>5.4006205622740513</v>
      </c>
      <c r="M333" s="45">
        <v>6682.1743259716195</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8.9561140831240595E-5</v>
      </c>
      <c r="G345" s="133">
        <v>2.1786905807232655E-3</v>
      </c>
      <c r="H345" s="133">
        <v>1.391491832843335E-3</v>
      </c>
      <c r="I345" s="133">
        <v>6.5994611313012274E-5</v>
      </c>
      <c r="J345" s="133">
        <v>6.5994611313012274E-5</v>
      </c>
      <c r="K345" s="133">
        <v>4.5055089779331879E-5</v>
      </c>
      <c r="L345" s="133">
        <v>1.3369145722038917E-4</v>
      </c>
      <c r="M345" s="45">
        <v>34.568253611805581</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1.1634513216503253</v>
      </c>
      <c r="G347" s="133">
        <v>0.95603779276009826</v>
      </c>
      <c r="H347" s="133">
        <v>1.219815437982207</v>
      </c>
      <c r="I347" s="133">
        <v>0.33440209488266426</v>
      </c>
      <c r="J347" s="133">
        <v>0.33440209488266426</v>
      </c>
      <c r="K347" s="133">
        <v>2.5383635095928159E-2</v>
      </c>
      <c r="L347" s="133">
        <v>3.3428263396728646</v>
      </c>
      <c r="M347" s="45">
        <v>17503.65497968132</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2.7432796396677117E-2</v>
      </c>
      <c r="G349" s="133">
        <v>1.7943808460868949E-2</v>
      </c>
      <c r="H349" s="133">
        <v>2.7195070895913498E-2</v>
      </c>
      <c r="I349" s="133">
        <v>8.9945310657434246E-3</v>
      </c>
      <c r="J349" s="133">
        <v>8.9945310657434246E-3</v>
      </c>
      <c r="K349" s="133">
        <v>5.0996816461768414E-4</v>
      </c>
      <c r="L349" s="133">
        <v>9.6950568831207354E-2</v>
      </c>
      <c r="M349" s="45">
        <v>344.80108769245885</v>
      </c>
    </row>
    <row r="350" spans="1:13" x14ac:dyDescent="0.25">
      <c r="A350" s="812" t="s">
        <v>1996</v>
      </c>
      <c r="B350" s="812">
        <v>19</v>
      </c>
      <c r="C350" s="608">
        <v>39488</v>
      </c>
      <c r="D350" s="812">
        <v>99705</v>
      </c>
      <c r="E350" s="812" t="s">
        <v>1599</v>
      </c>
      <c r="F350" s="133">
        <v>4.4585407891160349</v>
      </c>
      <c r="G350" s="133">
        <v>0.89654402078233308</v>
      </c>
      <c r="H350" s="133">
        <v>1.4972972300879119</v>
      </c>
      <c r="I350" s="133">
        <v>1.3481923357930465</v>
      </c>
      <c r="J350" s="133">
        <v>1.3481923357930465</v>
      </c>
      <c r="K350" s="133">
        <v>5.9693084343962033E-2</v>
      </c>
      <c r="L350" s="133">
        <v>14.751847514686727</v>
      </c>
      <c r="M350" s="45">
        <v>18225.538315709804</v>
      </c>
    </row>
    <row r="351" spans="1:13" x14ac:dyDescent="0.25">
      <c r="A351" s="812" t="s">
        <v>1996</v>
      </c>
      <c r="B351" s="812">
        <v>19</v>
      </c>
      <c r="C351" s="608">
        <v>39488</v>
      </c>
      <c r="D351" s="812">
        <v>99709</v>
      </c>
      <c r="E351" s="812" t="s">
        <v>1600</v>
      </c>
      <c r="F351" s="133">
        <v>3.9895736561937585</v>
      </c>
      <c r="G351" s="133">
        <v>1.0312531457484824</v>
      </c>
      <c r="H351" s="133">
        <v>1.6945245514082343</v>
      </c>
      <c r="I351" s="133">
        <v>1.067641869344599</v>
      </c>
      <c r="J351" s="133">
        <v>1.067641869344599</v>
      </c>
      <c r="K351" s="133">
        <v>5.0966274054911442E-2</v>
      </c>
      <c r="L351" s="133">
        <v>11.096806926417637</v>
      </c>
      <c r="M351" s="45">
        <v>20881.957908353048</v>
      </c>
    </row>
    <row r="352" spans="1:13" x14ac:dyDescent="0.25">
      <c r="A352" s="812" t="s">
        <v>1996</v>
      </c>
      <c r="B352" s="812">
        <v>19</v>
      </c>
      <c r="C352" s="608">
        <v>39488</v>
      </c>
      <c r="D352" s="812">
        <v>99712</v>
      </c>
      <c r="E352" s="812" t="s">
        <v>1601</v>
      </c>
      <c r="F352" s="133">
        <v>2.0835853226081524</v>
      </c>
      <c r="G352" s="133">
        <v>0.34605533717757636</v>
      </c>
      <c r="H352" s="133">
        <v>0.61623877159658591</v>
      </c>
      <c r="I352" s="133">
        <v>0.55948096135238712</v>
      </c>
      <c r="J352" s="133">
        <v>0.55948096135238712</v>
      </c>
      <c r="K352" s="133">
        <v>2.5637205532915045E-2</v>
      </c>
      <c r="L352" s="133">
        <v>5.8767543691533595</v>
      </c>
      <c r="M352" s="45">
        <v>7154.7096158782851</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9.0389939422161065E-5</v>
      </c>
      <c r="G364" s="133">
        <v>2.1996139673103191E-3</v>
      </c>
      <c r="H364" s="133">
        <v>1.406281412411356E-3</v>
      </c>
      <c r="I364" s="133">
        <v>6.6525364514671354E-5</v>
      </c>
      <c r="J364" s="133">
        <v>6.6525364514671354E-5</v>
      </c>
      <c r="K364" s="133">
        <v>4.5083564688600874E-5</v>
      </c>
      <c r="L364" s="133">
        <v>1.3421203765234975E-4</v>
      </c>
      <c r="M364" s="45">
        <v>34.890241283173012</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0.78871036638436209</v>
      </c>
      <c r="G366" s="133">
        <v>0.73160175829811958</v>
      </c>
      <c r="H366" s="133">
        <v>0.88063998004632216</v>
      </c>
      <c r="I366" s="133">
        <v>0.23742134379800889</v>
      </c>
      <c r="J366" s="133">
        <v>0.23742134379800889</v>
      </c>
      <c r="K366" s="133">
        <v>2.9954391402827629E-2</v>
      </c>
      <c r="L366" s="133">
        <v>2.3715210746384994</v>
      </c>
      <c r="M366" s="45">
        <v>13640.120092604197</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1.9144363137409783E-2</v>
      </c>
      <c r="G368" s="133">
        <v>1.3515008021701044E-2</v>
      </c>
      <c r="H368" s="133">
        <v>1.9755964244766739E-2</v>
      </c>
      <c r="I368" s="133">
        <v>6.4354688869516343E-3</v>
      </c>
      <c r="J368" s="133">
        <v>6.4354688869516343E-3</v>
      </c>
      <c r="K368" s="133">
        <v>5.1475840326934493E-4</v>
      </c>
      <c r="L368" s="133">
        <v>6.9141160876624655E-2</v>
      </c>
      <c r="M368" s="45">
        <v>262.77934449639713</v>
      </c>
    </row>
    <row r="369" spans="1:13" x14ac:dyDescent="0.25">
      <c r="A369" s="812" t="s">
        <v>1999</v>
      </c>
      <c r="B369" s="812">
        <v>1</v>
      </c>
      <c r="C369" s="608">
        <v>39754</v>
      </c>
      <c r="D369" s="812">
        <v>99705</v>
      </c>
      <c r="E369" s="812" t="s">
        <v>1599</v>
      </c>
      <c r="F369" s="133">
        <v>3.2868367853725826</v>
      </c>
      <c r="G369" s="133">
        <v>0.68742613635427474</v>
      </c>
      <c r="H369" s="133">
        <v>1.1397482671350236</v>
      </c>
      <c r="I369" s="133">
        <v>1.0090670419836443</v>
      </c>
      <c r="J369" s="133">
        <v>1.0090670419836443</v>
      </c>
      <c r="K369" s="133">
        <v>4.6871688475173291E-2</v>
      </c>
      <c r="L369" s="133">
        <v>11.007416619256098</v>
      </c>
      <c r="M369" s="45">
        <v>14047.013089091852</v>
      </c>
    </row>
    <row r="370" spans="1:13" x14ac:dyDescent="0.25">
      <c r="A370" s="812" t="s">
        <v>1999</v>
      </c>
      <c r="B370" s="812">
        <v>1</v>
      </c>
      <c r="C370" s="608">
        <v>39754</v>
      </c>
      <c r="D370" s="812">
        <v>99709</v>
      </c>
      <c r="E370" s="812" t="s">
        <v>1600</v>
      </c>
      <c r="F370" s="133">
        <v>2.6892979374180497</v>
      </c>
      <c r="G370" s="133">
        <v>0.77525244764384427</v>
      </c>
      <c r="H370" s="133">
        <v>1.2490415023783425</v>
      </c>
      <c r="I370" s="133">
        <v>0.74711576163432936</v>
      </c>
      <c r="J370" s="133">
        <v>0.74711576163432936</v>
      </c>
      <c r="K370" s="133">
        <v>4.1388558411533841E-2</v>
      </c>
      <c r="L370" s="133">
        <v>7.8191278359380973</v>
      </c>
      <c r="M370" s="45">
        <v>15825.608013259483</v>
      </c>
    </row>
    <row r="371" spans="1:13" x14ac:dyDescent="0.25">
      <c r="A371" s="812" t="s">
        <v>1999</v>
      </c>
      <c r="B371" s="812">
        <v>1</v>
      </c>
      <c r="C371" s="608">
        <v>39754</v>
      </c>
      <c r="D371" s="812">
        <v>99712</v>
      </c>
      <c r="E371" s="812" t="s">
        <v>1601</v>
      </c>
      <c r="F371" s="133">
        <v>1.5057351957794143</v>
      </c>
      <c r="G371" s="133">
        <v>0.26925522392992551</v>
      </c>
      <c r="H371" s="133">
        <v>0.47940909999680736</v>
      </c>
      <c r="I371" s="133">
        <v>0.41730373823698647</v>
      </c>
      <c r="J371" s="133">
        <v>0.41730373823698647</v>
      </c>
      <c r="K371" s="133">
        <v>1.9517787553319167E-2</v>
      </c>
      <c r="L371" s="133">
        <v>4.4075900686190295</v>
      </c>
      <c r="M371" s="45">
        <v>5596.3717557458012</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7.4548440836443635E-5</v>
      </c>
      <c r="G383" s="133">
        <v>1.7301027600719926E-3</v>
      </c>
      <c r="H383" s="133">
        <v>9.4887912846442846E-4</v>
      </c>
      <c r="I383" s="133">
        <v>6.3684662312224848E-5</v>
      </c>
      <c r="J383" s="133">
        <v>6.3684662312224848E-5</v>
      </c>
      <c r="K383" s="133">
        <v>8.0023597893328735E-5</v>
      </c>
      <c r="L383" s="133">
        <v>1.8971955504570455E-4</v>
      </c>
      <c r="M383" s="45">
        <v>28.544633143077309</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0.74196442220663084</v>
      </c>
      <c r="G385" s="133">
        <v>0.68122840430665943</v>
      </c>
      <c r="H385" s="133">
        <v>0.81974172326999417</v>
      </c>
      <c r="I385" s="133">
        <v>0.22054421368715857</v>
      </c>
      <c r="J385" s="133">
        <v>0.22054421368715857</v>
      </c>
      <c r="K385" s="133">
        <v>2.9266614443462291E-2</v>
      </c>
      <c r="L385" s="133">
        <v>2.1833937691567438</v>
      </c>
      <c r="M385" s="45">
        <v>12758.237850956595</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1.7867144312888852E-2</v>
      </c>
      <c r="G387" s="133">
        <v>1.2556917979411488E-2</v>
      </c>
      <c r="H387" s="133">
        <v>1.8365283919862627E-2</v>
      </c>
      <c r="I387" s="133">
        <v>5.9252646895763053E-3</v>
      </c>
      <c r="J387" s="133">
        <v>5.9252646895763053E-3</v>
      </c>
      <c r="K387" s="133">
        <v>4.9469067478189312E-4</v>
      </c>
      <c r="L387" s="133">
        <v>6.3064705046127989E-2</v>
      </c>
      <c r="M387" s="45">
        <v>244.98694142417511</v>
      </c>
    </row>
    <row r="388" spans="1:13" x14ac:dyDescent="0.25">
      <c r="A388" s="812" t="s">
        <v>1999</v>
      </c>
      <c r="B388" s="812">
        <v>2</v>
      </c>
      <c r="C388" s="608">
        <v>39755</v>
      </c>
      <c r="D388" s="812">
        <v>99705</v>
      </c>
      <c r="E388" s="812" t="s">
        <v>1599</v>
      </c>
      <c r="F388" s="133">
        <v>3.147934576487323</v>
      </c>
      <c r="G388" s="133">
        <v>0.64618960525023428</v>
      </c>
      <c r="H388" s="133">
        <v>1.075047497340877</v>
      </c>
      <c r="I388" s="133">
        <v>0.9503098028052086</v>
      </c>
      <c r="J388" s="133">
        <v>0.9503098028052086</v>
      </c>
      <c r="K388" s="133">
        <v>4.4379678274418015E-2</v>
      </c>
      <c r="L388" s="133">
        <v>10.243457599311911</v>
      </c>
      <c r="M388" s="45">
        <v>13235.919384052013</v>
      </c>
    </row>
    <row r="389" spans="1:13" x14ac:dyDescent="0.25">
      <c r="A389" s="812" t="s">
        <v>1999</v>
      </c>
      <c r="B389" s="812">
        <v>2</v>
      </c>
      <c r="C389" s="608">
        <v>39755</v>
      </c>
      <c r="D389" s="812">
        <v>99709</v>
      </c>
      <c r="E389" s="812" t="s">
        <v>1600</v>
      </c>
      <c r="F389" s="133">
        <v>2.6705015180603611</v>
      </c>
      <c r="G389" s="133">
        <v>0.74070933634952529</v>
      </c>
      <c r="H389" s="133">
        <v>1.2020576823874929</v>
      </c>
      <c r="I389" s="133">
        <v>0.72632995903074926</v>
      </c>
      <c r="J389" s="133">
        <v>0.72632995903074926</v>
      </c>
      <c r="K389" s="133">
        <v>4.0661611901927984E-2</v>
      </c>
      <c r="L389" s="133">
        <v>7.5160297270758871</v>
      </c>
      <c r="M389" s="45">
        <v>15179.522250380078</v>
      </c>
    </row>
    <row r="390" spans="1:13" x14ac:dyDescent="0.25">
      <c r="A390" s="812" t="s">
        <v>1999</v>
      </c>
      <c r="B390" s="812">
        <v>2</v>
      </c>
      <c r="C390" s="608">
        <v>39755</v>
      </c>
      <c r="D390" s="812">
        <v>99712</v>
      </c>
      <c r="E390" s="812" t="s">
        <v>1601</v>
      </c>
      <c r="F390" s="133">
        <v>1.5180995189279092</v>
      </c>
      <c r="G390" s="133">
        <v>0.26219499464944329</v>
      </c>
      <c r="H390" s="133">
        <v>0.46857355179074223</v>
      </c>
      <c r="I390" s="133">
        <v>0.4118416280667912</v>
      </c>
      <c r="J390" s="133">
        <v>0.4118416280667912</v>
      </c>
      <c r="K390" s="133">
        <v>1.9328533134582264E-2</v>
      </c>
      <c r="L390" s="133">
        <v>4.2962428713366405</v>
      </c>
      <c r="M390" s="45">
        <v>5458.0541131618156</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6.9575649290920587E-5</v>
      </c>
      <c r="G402" s="133">
        <v>1.6045624405496711E-3</v>
      </c>
      <c r="H402" s="133">
        <v>8.6014165105629495E-4</v>
      </c>
      <c r="I402" s="133">
        <v>6.0500143102270261E-5</v>
      </c>
      <c r="J402" s="133">
        <v>6.0500143102270261E-5</v>
      </c>
      <c r="K402" s="133">
        <v>7.9852748437714657E-5</v>
      </c>
      <c r="L402" s="133">
        <v>1.8659607245394074E-4</v>
      </c>
      <c r="M402" s="45">
        <v>26.612707114872691</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0.69577796180499496</v>
      </c>
      <c r="G404" s="133">
        <v>0.67471679993208977</v>
      </c>
      <c r="H404" s="133">
        <v>0.79699415494554304</v>
      </c>
      <c r="I404" s="133">
        <v>0.20884326518257962</v>
      </c>
      <c r="J404" s="133">
        <v>0.20884326518257962</v>
      </c>
      <c r="K404" s="133">
        <v>2.8753379496173601E-2</v>
      </c>
      <c r="L404" s="133">
        <v>2.061860092763371</v>
      </c>
      <c r="M404" s="45">
        <v>12570.186708449983</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1.6867600293987331E-2</v>
      </c>
      <c r="G406" s="133">
        <v>1.2316718046664637E-2</v>
      </c>
      <c r="H406" s="133">
        <v>1.7741848571726396E-2</v>
      </c>
      <c r="I406" s="133">
        <v>5.6228681312021226E-3</v>
      </c>
      <c r="J406" s="133">
        <v>5.6228681312021226E-3</v>
      </c>
      <c r="K406" s="133">
        <v>4.8226499414860197E-4</v>
      </c>
      <c r="L406" s="133">
        <v>5.9707350790961136E-2</v>
      </c>
      <c r="M406" s="45">
        <v>239.09434707334182</v>
      </c>
    </row>
    <row r="407" spans="1:13" x14ac:dyDescent="0.25">
      <c r="A407" s="812" t="s">
        <v>1999</v>
      </c>
      <c r="B407" s="812">
        <v>3</v>
      </c>
      <c r="C407" s="608">
        <v>39756</v>
      </c>
      <c r="D407" s="812">
        <v>99705</v>
      </c>
      <c r="E407" s="812" t="s">
        <v>1599</v>
      </c>
      <c r="F407" s="133">
        <v>2.9299980567024053</v>
      </c>
      <c r="G407" s="133">
        <v>0.61365701685647567</v>
      </c>
      <c r="H407" s="133">
        <v>1.0148974767926577</v>
      </c>
      <c r="I407" s="133">
        <v>0.88682013463751541</v>
      </c>
      <c r="J407" s="133">
        <v>0.88682013463751541</v>
      </c>
      <c r="K407" s="133">
        <v>4.1629258048809695E-2</v>
      </c>
      <c r="L407" s="133">
        <v>9.539709584597297</v>
      </c>
      <c r="M407" s="45">
        <v>12553.78551877471</v>
      </c>
    </row>
    <row r="408" spans="1:13" x14ac:dyDescent="0.25">
      <c r="A408" s="812" t="s">
        <v>1999</v>
      </c>
      <c r="B408" s="812">
        <v>3</v>
      </c>
      <c r="C408" s="608">
        <v>39756</v>
      </c>
      <c r="D408" s="812">
        <v>99709</v>
      </c>
      <c r="E408" s="812" t="s">
        <v>1600</v>
      </c>
      <c r="F408" s="133">
        <v>2.5486487467419323</v>
      </c>
      <c r="G408" s="133">
        <v>0.72446283197567274</v>
      </c>
      <c r="H408" s="133">
        <v>1.165812514893044</v>
      </c>
      <c r="I408" s="133">
        <v>0.69672959177058424</v>
      </c>
      <c r="J408" s="133">
        <v>0.69672959177058424</v>
      </c>
      <c r="K408" s="133">
        <v>3.9367655538441758E-2</v>
      </c>
      <c r="L408" s="133">
        <v>7.21413820710469</v>
      </c>
      <c r="M408" s="45">
        <v>14808.460055295009</v>
      </c>
    </row>
    <row r="409" spans="1:13" x14ac:dyDescent="0.25">
      <c r="A409" s="812" t="s">
        <v>1999</v>
      </c>
      <c r="B409" s="812">
        <v>3</v>
      </c>
      <c r="C409" s="608">
        <v>39756</v>
      </c>
      <c r="D409" s="812">
        <v>99712</v>
      </c>
      <c r="E409" s="812" t="s">
        <v>1601</v>
      </c>
      <c r="F409" s="133">
        <v>1.4579227286524186</v>
      </c>
      <c r="G409" s="133">
        <v>0.25529591947988262</v>
      </c>
      <c r="H409" s="133">
        <v>0.45538267677381183</v>
      </c>
      <c r="I409" s="133">
        <v>0.39737090100990041</v>
      </c>
      <c r="J409" s="133">
        <v>0.39737090100990041</v>
      </c>
      <c r="K409" s="133">
        <v>1.8660975882698962E-2</v>
      </c>
      <c r="L409" s="133">
        <v>4.1484440495002461</v>
      </c>
      <c r="M409" s="45">
        <v>5313.081095772518</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7.0404447881841083E-5</v>
      </c>
      <c r="G421" s="133">
        <v>1.6254858271367244E-3</v>
      </c>
      <c r="H421" s="133">
        <v>8.7493123062431697E-4</v>
      </c>
      <c r="I421" s="133">
        <v>6.1030896303929355E-5</v>
      </c>
      <c r="J421" s="133">
        <v>6.1030896303929355E-5</v>
      </c>
      <c r="K421" s="133">
        <v>7.9881223346983665E-5</v>
      </c>
      <c r="L421" s="133">
        <v>1.8711665288590138E-4</v>
      </c>
      <c r="M421" s="45">
        <v>26.934694786240126</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0.76180127352864702</v>
      </c>
      <c r="G423" s="133">
        <v>0.73014112803038189</v>
      </c>
      <c r="H423" s="133">
        <v>0.86157966741304726</v>
      </c>
      <c r="I423" s="133">
        <v>0.22654071249274083</v>
      </c>
      <c r="J423" s="133">
        <v>0.22654071249274083</v>
      </c>
      <c r="K423" s="133">
        <v>2.9531230888877824E-2</v>
      </c>
      <c r="L423" s="133">
        <v>2.2339246544969744</v>
      </c>
      <c r="M423" s="45">
        <v>13525.71176587817</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1.8355647534967913E-2</v>
      </c>
      <c r="G425" s="133">
        <v>1.3312331076816581E-2</v>
      </c>
      <c r="H425" s="133">
        <v>1.9135605190954908E-2</v>
      </c>
      <c r="I425" s="133">
        <v>6.0916803914270075E-3</v>
      </c>
      <c r="J425" s="133">
        <v>6.0916803914270075E-3</v>
      </c>
      <c r="K425" s="133">
        <v>5.0166392131245911E-4</v>
      </c>
      <c r="L425" s="133">
        <v>6.4730578606219127E-2</v>
      </c>
      <c r="M425" s="45">
        <v>257.23314943596029</v>
      </c>
    </row>
    <row r="426" spans="1:13" x14ac:dyDescent="0.25">
      <c r="A426" s="812" t="s">
        <v>1999</v>
      </c>
      <c r="B426" s="812">
        <v>4</v>
      </c>
      <c r="C426" s="608">
        <v>39757</v>
      </c>
      <c r="D426" s="812">
        <v>99705</v>
      </c>
      <c r="E426" s="812" t="s">
        <v>1599</v>
      </c>
      <c r="F426" s="133">
        <v>3.2317509317575506</v>
      </c>
      <c r="G426" s="133">
        <v>0.66902771966050589</v>
      </c>
      <c r="H426" s="133">
        <v>1.1055180109428404</v>
      </c>
      <c r="I426" s="133">
        <v>0.97560763532305617</v>
      </c>
      <c r="J426" s="133">
        <v>0.97560763532305617</v>
      </c>
      <c r="K426" s="133">
        <v>4.544813564771185E-2</v>
      </c>
      <c r="L426" s="133">
        <v>10.523989693943557</v>
      </c>
      <c r="M426" s="45">
        <v>13659.489653136176</v>
      </c>
    </row>
    <row r="427" spans="1:13" x14ac:dyDescent="0.25">
      <c r="A427" s="812" t="s">
        <v>1999</v>
      </c>
      <c r="B427" s="812">
        <v>4</v>
      </c>
      <c r="C427" s="608">
        <v>39757</v>
      </c>
      <c r="D427" s="812">
        <v>99709</v>
      </c>
      <c r="E427" s="812" t="s">
        <v>1600</v>
      </c>
      <c r="F427" s="133">
        <v>2.5612058484156681</v>
      </c>
      <c r="G427" s="133">
        <v>0.74987624490900651</v>
      </c>
      <c r="H427" s="133">
        <v>1.1960028222446006</v>
      </c>
      <c r="I427" s="133">
        <v>0.69910213099823848</v>
      </c>
      <c r="J427" s="133">
        <v>0.69910213099823848</v>
      </c>
      <c r="K427" s="133">
        <v>3.9510891909757671E-2</v>
      </c>
      <c r="L427" s="133">
        <v>7.2256668460845628</v>
      </c>
      <c r="M427" s="45">
        <v>15251.585721537254</v>
      </c>
    </row>
    <row r="428" spans="1:13" x14ac:dyDescent="0.25">
      <c r="A428" s="812" t="s">
        <v>1999</v>
      </c>
      <c r="B428" s="812">
        <v>4</v>
      </c>
      <c r="C428" s="608">
        <v>39757</v>
      </c>
      <c r="D428" s="812">
        <v>99712</v>
      </c>
      <c r="E428" s="812" t="s">
        <v>1601</v>
      </c>
      <c r="F428" s="133">
        <v>1.3250924142613716</v>
      </c>
      <c r="G428" s="133">
        <v>0.2398937503458537</v>
      </c>
      <c r="H428" s="133">
        <v>0.42516182751920034</v>
      </c>
      <c r="I428" s="133">
        <v>0.36281837852362658</v>
      </c>
      <c r="J428" s="133">
        <v>0.36281837852362658</v>
      </c>
      <c r="K428" s="133">
        <v>1.7109296549087279E-2</v>
      </c>
      <c r="L428" s="133">
        <v>3.7812592868079804</v>
      </c>
      <c r="M428" s="45">
        <v>4984.2092354699762</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7.6206038018284669E-5</v>
      </c>
      <c r="G440" s="133">
        <v>1.7719495332460995E-3</v>
      </c>
      <c r="H440" s="133">
        <v>9.7845828760047249E-4</v>
      </c>
      <c r="I440" s="133">
        <v>6.4746168715543035E-5</v>
      </c>
      <c r="J440" s="133">
        <v>6.4746168715543035E-5</v>
      </c>
      <c r="K440" s="133">
        <v>8.0080547711866738E-5</v>
      </c>
      <c r="L440" s="133">
        <v>1.9076071590962579E-4</v>
      </c>
      <c r="M440" s="45">
        <v>29.188608485812178</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0.77910385487752143</v>
      </c>
      <c r="G442" s="133">
        <v>0.73491319238756492</v>
      </c>
      <c r="H442" s="133">
        <v>0.87209279752434321</v>
      </c>
      <c r="I442" s="133">
        <v>0.23117642943245537</v>
      </c>
      <c r="J442" s="133">
        <v>0.23117642943245537</v>
      </c>
      <c r="K442" s="133">
        <v>2.9729973691699156E-2</v>
      </c>
      <c r="L442" s="133">
        <v>2.282485344613403</v>
      </c>
      <c r="M442" s="45">
        <v>13632.884463488541</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1.8969271625529575E-2</v>
      </c>
      <c r="G444" s="133">
        <v>1.3514984909816903E-2</v>
      </c>
      <c r="H444" s="133">
        <v>1.9573633529791384E-2</v>
      </c>
      <c r="I444" s="133">
        <v>6.2803493403535823E-3</v>
      </c>
      <c r="J444" s="133">
        <v>6.2803493403535823E-3</v>
      </c>
      <c r="K444" s="133">
        <v>5.0929752409539959E-4</v>
      </c>
      <c r="L444" s="133">
        <v>6.6814060430436764E-2</v>
      </c>
      <c r="M444" s="45">
        <v>261.74403686223843</v>
      </c>
    </row>
    <row r="445" spans="1:13" x14ac:dyDescent="0.25">
      <c r="A445" s="812" t="s">
        <v>1999</v>
      </c>
      <c r="B445" s="812">
        <v>5</v>
      </c>
      <c r="C445" s="608">
        <v>39758</v>
      </c>
      <c r="D445" s="812">
        <v>99705</v>
      </c>
      <c r="E445" s="812" t="s">
        <v>1599</v>
      </c>
      <c r="F445" s="133">
        <v>3.3131981082428679</v>
      </c>
      <c r="G445" s="133">
        <v>0.68159135593813502</v>
      </c>
      <c r="H445" s="133">
        <v>1.128081087522006</v>
      </c>
      <c r="I445" s="133">
        <v>0.99949404061603986</v>
      </c>
      <c r="J445" s="133">
        <v>0.99949404061603986</v>
      </c>
      <c r="K445" s="133">
        <v>4.6471520939978729E-2</v>
      </c>
      <c r="L445" s="133">
        <v>10.789195393589702</v>
      </c>
      <c r="M445" s="45">
        <v>13920.542414605139</v>
      </c>
    </row>
    <row r="446" spans="1:13" x14ac:dyDescent="0.25">
      <c r="A446" s="812" t="s">
        <v>1999</v>
      </c>
      <c r="B446" s="812">
        <v>5</v>
      </c>
      <c r="C446" s="608">
        <v>39758</v>
      </c>
      <c r="D446" s="812">
        <v>99709</v>
      </c>
      <c r="E446" s="812" t="s">
        <v>1600</v>
      </c>
      <c r="F446" s="133">
        <v>2.5102655370762879</v>
      </c>
      <c r="G446" s="133">
        <v>0.74450716066766776</v>
      </c>
      <c r="H446" s="133">
        <v>1.1860960213491396</v>
      </c>
      <c r="I446" s="133">
        <v>0.68757329137965917</v>
      </c>
      <c r="J446" s="133">
        <v>0.68757329137965917</v>
      </c>
      <c r="K446" s="133">
        <v>3.8995197227298668E-2</v>
      </c>
      <c r="L446" s="133">
        <v>7.1118081189319593</v>
      </c>
      <c r="M446" s="45">
        <v>15138.698681163598</v>
      </c>
    </row>
    <row r="447" spans="1:13" x14ac:dyDescent="0.25">
      <c r="A447" s="812" t="s">
        <v>1999</v>
      </c>
      <c r="B447" s="812">
        <v>5</v>
      </c>
      <c r="C447" s="608">
        <v>39758</v>
      </c>
      <c r="D447" s="812">
        <v>99712</v>
      </c>
      <c r="E447" s="812" t="s">
        <v>1601</v>
      </c>
      <c r="F447" s="133">
        <v>1.3148650746643431</v>
      </c>
      <c r="G447" s="133">
        <v>0.23927410380524794</v>
      </c>
      <c r="H447" s="133">
        <v>0.42393366099387714</v>
      </c>
      <c r="I447" s="133">
        <v>0.36110391722079382</v>
      </c>
      <c r="J447" s="133">
        <v>0.36110391722079382</v>
      </c>
      <c r="K447" s="133">
        <v>1.7016298603967136E-2</v>
      </c>
      <c r="L447" s="133">
        <v>3.7675295930707575</v>
      </c>
      <c r="M447" s="45">
        <v>4971.5924168806623</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7.6206038018284669E-5</v>
      </c>
      <c r="G459" s="133">
        <v>1.7719495332460997E-3</v>
      </c>
      <c r="H459" s="133">
        <v>9.7845828760047293E-4</v>
      </c>
      <c r="I459" s="133">
        <v>6.4746168715543021E-5</v>
      </c>
      <c r="J459" s="133">
        <v>6.4746168715543021E-5</v>
      </c>
      <c r="K459" s="133">
        <v>8.0080547711866725E-5</v>
      </c>
      <c r="L459" s="133">
        <v>1.9076071590962577E-4</v>
      </c>
      <c r="M459" s="45">
        <v>29.188608485812178</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0.89576466363286389</v>
      </c>
      <c r="G461" s="133">
        <v>0.8031492400267215</v>
      </c>
      <c r="H461" s="133">
        <v>0.96513598629102826</v>
      </c>
      <c r="I461" s="133">
        <v>0.26157968078525756</v>
      </c>
      <c r="J461" s="133">
        <v>0.26157968078525756</v>
      </c>
      <c r="K461" s="133">
        <v>3.1071244970416526E-2</v>
      </c>
      <c r="L461" s="133">
        <v>2.5838871666246246</v>
      </c>
      <c r="M461" s="45">
        <v>14876.674521929459</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2.1169922179224102E-2</v>
      </c>
      <c r="G463" s="133">
        <v>1.4735357566218708E-2</v>
      </c>
      <c r="H463" s="133">
        <v>2.1450793638266314E-2</v>
      </c>
      <c r="I463" s="133">
        <v>6.9663000445160262E-3</v>
      </c>
      <c r="J463" s="133">
        <v>6.9663000445160262E-3</v>
      </c>
      <c r="K463" s="133">
        <v>5.3763116246135915E-4</v>
      </c>
      <c r="L463" s="133">
        <v>7.4232785579358432E-2</v>
      </c>
      <c r="M463" s="45">
        <v>284.86879871784197</v>
      </c>
    </row>
    <row r="464" spans="1:13" x14ac:dyDescent="0.25">
      <c r="A464" s="812" t="s">
        <v>1999</v>
      </c>
      <c r="B464" s="812">
        <v>6</v>
      </c>
      <c r="C464" s="608">
        <v>39759</v>
      </c>
      <c r="D464" s="812">
        <v>99705</v>
      </c>
      <c r="E464" s="812" t="s">
        <v>1599</v>
      </c>
      <c r="F464" s="133">
        <v>3.5963262728138368</v>
      </c>
      <c r="G464" s="133">
        <v>0.73412009801531919</v>
      </c>
      <c r="H464" s="133">
        <v>1.2143228436148352</v>
      </c>
      <c r="I464" s="133">
        <v>1.0819631147752522</v>
      </c>
      <c r="J464" s="133">
        <v>1.0819631147752522</v>
      </c>
      <c r="K464" s="133">
        <v>5.0074255846546158E-2</v>
      </c>
      <c r="L464" s="133">
        <v>11.700316681455758</v>
      </c>
      <c r="M464" s="45">
        <v>14966.576070147454</v>
      </c>
    </row>
    <row r="465" spans="1:13" x14ac:dyDescent="0.25">
      <c r="A465" s="812" t="s">
        <v>1999</v>
      </c>
      <c r="B465" s="812">
        <v>6</v>
      </c>
      <c r="C465" s="608">
        <v>39759</v>
      </c>
      <c r="D465" s="812">
        <v>99709</v>
      </c>
      <c r="E465" s="812" t="s">
        <v>1600</v>
      </c>
      <c r="F465" s="133">
        <v>3.0968130752186611</v>
      </c>
      <c r="G465" s="133">
        <v>0.84597775386262197</v>
      </c>
      <c r="H465" s="133">
        <v>1.3611266478814104</v>
      </c>
      <c r="I465" s="133">
        <v>0.83069326377364949</v>
      </c>
      <c r="J465" s="133">
        <v>0.83069326377364949</v>
      </c>
      <c r="K465" s="133">
        <v>4.5240724773681205E-2</v>
      </c>
      <c r="L465" s="133">
        <v>8.5685981201648733</v>
      </c>
      <c r="M465" s="45">
        <v>17206.29043985992</v>
      </c>
    </row>
    <row r="466" spans="1:13" x14ac:dyDescent="0.25">
      <c r="A466" s="812" t="s">
        <v>1999</v>
      </c>
      <c r="B466" s="812">
        <v>6</v>
      </c>
      <c r="C466" s="608">
        <v>39759</v>
      </c>
      <c r="D466" s="812">
        <v>99712</v>
      </c>
      <c r="E466" s="812" t="s">
        <v>1601</v>
      </c>
      <c r="F466" s="133">
        <v>1.6075769736245327</v>
      </c>
      <c r="G466" s="133">
        <v>0.27547992221472117</v>
      </c>
      <c r="H466" s="133">
        <v>0.48867157164215913</v>
      </c>
      <c r="I466" s="133">
        <v>0.43190172444738156</v>
      </c>
      <c r="J466" s="133">
        <v>0.43190172444738156</v>
      </c>
      <c r="K466" s="133">
        <v>2.0286145004279246E-2</v>
      </c>
      <c r="L466" s="133">
        <v>4.4925781859935148</v>
      </c>
      <c r="M466" s="45">
        <v>5711.4338664236075</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8.2007628154728254E-5</v>
      </c>
      <c r="G478" s="133">
        <v>1.918413239355475E-3</v>
      </c>
      <c r="H478" s="133">
        <v>1.0819853445766287E-3</v>
      </c>
      <c r="I478" s="133">
        <v>6.8461441127156729E-5</v>
      </c>
      <c r="J478" s="133">
        <v>6.8461441127156729E-5</v>
      </c>
      <c r="K478" s="133">
        <v>8.0279872076749798E-5</v>
      </c>
      <c r="L478" s="133">
        <v>1.9440477893335018E-4</v>
      </c>
      <c r="M478" s="45">
        <v>31.442522185384234</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0.79891425671919936</v>
      </c>
      <c r="G480" s="133">
        <v>0.76680435141388603</v>
      </c>
      <c r="H480" s="133">
        <v>0.90878852855649395</v>
      </c>
      <c r="I480" s="133">
        <v>0.24053312902588356</v>
      </c>
      <c r="J480" s="133">
        <v>0.24053312902588356</v>
      </c>
      <c r="K480" s="133">
        <v>3.0096416560275879E-2</v>
      </c>
      <c r="L480" s="133">
        <v>2.394328613004201</v>
      </c>
      <c r="M480" s="45">
        <v>14182.5390634594</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1.9118034122164458E-2</v>
      </c>
      <c r="G482" s="133">
        <v>1.3946641700794469E-2</v>
      </c>
      <c r="H482" s="133">
        <v>2.0040878292213859E-2</v>
      </c>
      <c r="I482" s="133">
        <v>6.4385658961780574E-3</v>
      </c>
      <c r="J482" s="133">
        <v>6.4385658961780574E-3</v>
      </c>
      <c r="K482" s="133">
        <v>5.1513749587902028E-4</v>
      </c>
      <c r="L482" s="133">
        <v>6.9045288993118417E-2</v>
      </c>
      <c r="M482" s="45">
        <v>268.95227309048653</v>
      </c>
    </row>
    <row r="483" spans="1:13" x14ac:dyDescent="0.25">
      <c r="A483" s="812" t="s">
        <v>1999</v>
      </c>
      <c r="B483" s="812">
        <v>7</v>
      </c>
      <c r="C483" s="608">
        <v>39760</v>
      </c>
      <c r="D483" s="812">
        <v>99705</v>
      </c>
      <c r="E483" s="812" t="s">
        <v>1599</v>
      </c>
      <c r="F483" s="133">
        <v>3.2622404871532402</v>
      </c>
      <c r="G483" s="133">
        <v>0.69113312498887103</v>
      </c>
      <c r="H483" s="133">
        <v>1.1386892718621462</v>
      </c>
      <c r="I483" s="133">
        <v>1.0022286489914114</v>
      </c>
      <c r="J483" s="133">
        <v>1.0022286489914114</v>
      </c>
      <c r="K483" s="133">
        <v>4.6574655231108909E-2</v>
      </c>
      <c r="L483" s="133">
        <v>10.930567721515423</v>
      </c>
      <c r="M483" s="45">
        <v>14086.072326743339</v>
      </c>
    </row>
    <row r="484" spans="1:13" x14ac:dyDescent="0.25">
      <c r="A484" s="812" t="s">
        <v>1999</v>
      </c>
      <c r="B484" s="812">
        <v>7</v>
      </c>
      <c r="C484" s="608">
        <v>39760</v>
      </c>
      <c r="D484" s="812">
        <v>99709</v>
      </c>
      <c r="E484" s="812" t="s">
        <v>1600</v>
      </c>
      <c r="F484" s="133">
        <v>2.8827285173879309</v>
      </c>
      <c r="G484" s="133">
        <v>0.81717547298050863</v>
      </c>
      <c r="H484" s="133">
        <v>1.310590154794985</v>
      </c>
      <c r="I484" s="133">
        <v>0.79369257610606581</v>
      </c>
      <c r="J484" s="133">
        <v>0.79369257610606581</v>
      </c>
      <c r="K484" s="133">
        <v>4.3439314297016536E-2</v>
      </c>
      <c r="L484" s="133">
        <v>8.2871798893070174</v>
      </c>
      <c r="M484" s="45">
        <v>16625.301694956248</v>
      </c>
    </row>
    <row r="485" spans="1:13" x14ac:dyDescent="0.25">
      <c r="A485" s="812" t="s">
        <v>1999</v>
      </c>
      <c r="B485" s="812">
        <v>7</v>
      </c>
      <c r="C485" s="608">
        <v>39760</v>
      </c>
      <c r="D485" s="812">
        <v>99712</v>
      </c>
      <c r="E485" s="812" t="s">
        <v>1601</v>
      </c>
      <c r="F485" s="133">
        <v>1.5550226492340862</v>
      </c>
      <c r="G485" s="133">
        <v>0.27581531467194226</v>
      </c>
      <c r="H485" s="133">
        <v>0.48968810522760264</v>
      </c>
      <c r="I485" s="133">
        <v>0.42831354149765838</v>
      </c>
      <c r="J485" s="133">
        <v>0.42831354149765838</v>
      </c>
      <c r="K485" s="133">
        <v>2.0044751406104594E-2</v>
      </c>
      <c r="L485" s="133">
        <v>4.5154222323115132</v>
      </c>
      <c r="M485" s="45">
        <v>5722.9575611044174</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7.9521232381966737E-5</v>
      </c>
      <c r="G497" s="133">
        <v>1.8556430795943139E-3</v>
      </c>
      <c r="H497" s="133">
        <v>1.0376166058725616E-3</v>
      </c>
      <c r="I497" s="133">
        <v>6.6869181522179435E-5</v>
      </c>
      <c r="J497" s="133">
        <v>6.6869181522179435E-5</v>
      </c>
      <c r="K497" s="133">
        <v>8.0194447348942786E-5</v>
      </c>
      <c r="L497" s="133">
        <v>1.9284303763746833E-4</v>
      </c>
      <c r="M497" s="45">
        <v>30.476559171281924</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0.85667636441994544</v>
      </c>
      <c r="G499" s="133">
        <v>0.79350074873866527</v>
      </c>
      <c r="H499" s="133">
        <v>0.95113569797677178</v>
      </c>
      <c r="I499" s="133">
        <v>0.25611942132980436</v>
      </c>
      <c r="J499" s="133">
        <v>0.25611942132980436</v>
      </c>
      <c r="K499" s="133">
        <v>3.0768002050645945E-2</v>
      </c>
      <c r="L499" s="133">
        <v>2.5542781189181438</v>
      </c>
      <c r="M499" s="45">
        <v>14699.365414983942</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2.0886263721798217E-2</v>
      </c>
      <c r="G501" s="133">
        <v>1.4673851552027443E-2</v>
      </c>
      <c r="H501" s="133">
        <v>2.1395894797178027E-2</v>
      </c>
      <c r="I501" s="133">
        <v>6.9853120892795755E-3</v>
      </c>
      <c r="J501" s="133">
        <v>6.9853120892795755E-3</v>
      </c>
      <c r="K501" s="133">
        <v>5.373934847954225E-4</v>
      </c>
      <c r="L501" s="133">
        <v>7.5038886806794311E-2</v>
      </c>
      <c r="M501" s="45">
        <v>283.98867111023384</v>
      </c>
    </row>
    <row r="502" spans="1:13" x14ac:dyDescent="0.25">
      <c r="A502" s="812" t="s">
        <v>1999</v>
      </c>
      <c r="B502" s="812">
        <v>8</v>
      </c>
      <c r="C502" s="608">
        <v>39761</v>
      </c>
      <c r="D502" s="812">
        <v>99705</v>
      </c>
      <c r="E502" s="812" t="s">
        <v>1599</v>
      </c>
      <c r="F502" s="133">
        <v>3.5273204238923195</v>
      </c>
      <c r="G502" s="133">
        <v>0.73456538996809462</v>
      </c>
      <c r="H502" s="133">
        <v>1.2142455207741525</v>
      </c>
      <c r="I502" s="133">
        <v>1.0799945280559933</v>
      </c>
      <c r="J502" s="133">
        <v>1.0799945280559933</v>
      </c>
      <c r="K502" s="133">
        <v>4.9924509807951635E-2</v>
      </c>
      <c r="L502" s="133">
        <v>11.793538972797309</v>
      </c>
      <c r="M502" s="45">
        <v>14975.107880494843</v>
      </c>
    </row>
    <row r="503" spans="1:13" x14ac:dyDescent="0.25">
      <c r="A503" s="812" t="s">
        <v>1999</v>
      </c>
      <c r="B503" s="812">
        <v>8</v>
      </c>
      <c r="C503" s="608">
        <v>39761</v>
      </c>
      <c r="D503" s="812">
        <v>99709</v>
      </c>
      <c r="E503" s="812" t="s">
        <v>1600</v>
      </c>
      <c r="F503" s="133">
        <v>2.678373274401797</v>
      </c>
      <c r="G503" s="133">
        <v>0.80053552882162149</v>
      </c>
      <c r="H503" s="133">
        <v>1.2754661636265767</v>
      </c>
      <c r="I503" s="133">
        <v>0.7445422701002915</v>
      </c>
      <c r="J503" s="133">
        <v>0.7445422701002915</v>
      </c>
      <c r="K503" s="133">
        <v>4.1302638840002175E-2</v>
      </c>
      <c r="L503" s="133">
        <v>7.7831101278819901</v>
      </c>
      <c r="M503" s="45">
        <v>16248.906831669094</v>
      </c>
    </row>
    <row r="504" spans="1:13" x14ac:dyDescent="0.25">
      <c r="A504" s="812" t="s">
        <v>1999</v>
      </c>
      <c r="B504" s="812">
        <v>8</v>
      </c>
      <c r="C504" s="608">
        <v>39761</v>
      </c>
      <c r="D504" s="812">
        <v>99712</v>
      </c>
      <c r="E504" s="812" t="s">
        <v>1601</v>
      </c>
      <c r="F504" s="133">
        <v>1.3253343256098797</v>
      </c>
      <c r="G504" s="133">
        <v>0.24799897367162449</v>
      </c>
      <c r="H504" s="133">
        <v>0.43789535176376071</v>
      </c>
      <c r="I504" s="133">
        <v>0.37090161505454478</v>
      </c>
      <c r="J504" s="133">
        <v>0.37090161505454478</v>
      </c>
      <c r="K504" s="133">
        <v>1.7428644390543813E-2</v>
      </c>
      <c r="L504" s="133">
        <v>3.9174220165162668</v>
      </c>
      <c r="M504" s="45">
        <v>5143.5953707500448</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8.1178829563807758E-5</v>
      </c>
      <c r="G516" s="133">
        <v>1.8974898527684214E-3</v>
      </c>
      <c r="H516" s="133">
        <v>1.0671957650086065E-3</v>
      </c>
      <c r="I516" s="133">
        <v>6.7930687925497635E-5</v>
      </c>
      <c r="J516" s="133">
        <v>6.7930687925497635E-5</v>
      </c>
      <c r="K516" s="133">
        <v>8.025139716748083E-5</v>
      </c>
      <c r="L516" s="133">
        <v>1.9388419850138966E-4</v>
      </c>
      <c r="M516" s="45">
        <v>31.120534514016796</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0.75130474508565703</v>
      </c>
      <c r="G518" s="133">
        <v>0.6900931782996137</v>
      </c>
      <c r="H518" s="133">
        <v>0.83085202780146461</v>
      </c>
      <c r="I518" s="133">
        <v>0.22378204202567123</v>
      </c>
      <c r="J518" s="133">
        <v>0.22378204202567123</v>
      </c>
      <c r="K518" s="133">
        <v>2.9392499640388058E-2</v>
      </c>
      <c r="L518" s="133">
        <v>2.2186264035416272</v>
      </c>
      <c r="M518" s="45">
        <v>12915.515728420745</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1.8468985225980596E-2</v>
      </c>
      <c r="G520" s="133">
        <v>1.2860105645420786E-2</v>
      </c>
      <c r="H520" s="133">
        <v>1.8919659942763251E-2</v>
      </c>
      <c r="I520" s="133">
        <v>6.1179340738826502E-3</v>
      </c>
      <c r="J520" s="133">
        <v>6.1179340738826502E-3</v>
      </c>
      <c r="K520" s="133">
        <v>5.0209079195447787E-4</v>
      </c>
      <c r="L520" s="133">
        <v>6.5177649747743899E-2</v>
      </c>
      <c r="M520" s="45">
        <v>251.21295214180404</v>
      </c>
    </row>
    <row r="521" spans="1:13" x14ac:dyDescent="0.25">
      <c r="A521" s="812" t="s">
        <v>1999</v>
      </c>
      <c r="B521" s="812">
        <v>9</v>
      </c>
      <c r="C521" s="608">
        <v>39762</v>
      </c>
      <c r="D521" s="812">
        <v>99705</v>
      </c>
      <c r="E521" s="812" t="s">
        <v>1599</v>
      </c>
      <c r="F521" s="133">
        <v>3.0239125120913344</v>
      </c>
      <c r="G521" s="133">
        <v>0.62612332374987378</v>
      </c>
      <c r="H521" s="133">
        <v>1.0369695398402388</v>
      </c>
      <c r="I521" s="133">
        <v>0.91234716480453648</v>
      </c>
      <c r="J521" s="133">
        <v>0.91234716480453648</v>
      </c>
      <c r="K521" s="133">
        <v>4.2695697032128763E-2</v>
      </c>
      <c r="L521" s="133">
        <v>9.8141855819528985</v>
      </c>
      <c r="M521" s="45">
        <v>12814.811188903484</v>
      </c>
    </row>
    <row r="522" spans="1:13" x14ac:dyDescent="0.25">
      <c r="A522" s="812" t="s">
        <v>1999</v>
      </c>
      <c r="B522" s="812">
        <v>9</v>
      </c>
      <c r="C522" s="608">
        <v>39762</v>
      </c>
      <c r="D522" s="812">
        <v>99709</v>
      </c>
      <c r="E522" s="812" t="s">
        <v>1600</v>
      </c>
      <c r="F522" s="133">
        <v>2.3082364476401676</v>
      </c>
      <c r="G522" s="133">
        <v>0.69729807242705633</v>
      </c>
      <c r="H522" s="133">
        <v>1.1177643841173301</v>
      </c>
      <c r="I522" s="133">
        <v>0.63712182674536377</v>
      </c>
      <c r="J522" s="133">
        <v>0.63712182674536377</v>
      </c>
      <c r="K522" s="133">
        <v>3.6784871496115951E-2</v>
      </c>
      <c r="L522" s="133">
        <v>6.5956830866869884</v>
      </c>
      <c r="M522" s="45">
        <v>14243.214803771381</v>
      </c>
    </row>
    <row r="523" spans="1:13" x14ac:dyDescent="0.25">
      <c r="A523" s="812" t="s">
        <v>1999</v>
      </c>
      <c r="B523" s="812">
        <v>9</v>
      </c>
      <c r="C523" s="608">
        <v>39762</v>
      </c>
      <c r="D523" s="812">
        <v>99712</v>
      </c>
      <c r="E523" s="812" t="s">
        <v>1601</v>
      </c>
      <c r="F523" s="133">
        <v>1.1770341690951698</v>
      </c>
      <c r="G523" s="133">
        <v>0.21991345485989355</v>
      </c>
      <c r="H523" s="133">
        <v>0.39093631592791556</v>
      </c>
      <c r="I523" s="133">
        <v>0.32540313580785918</v>
      </c>
      <c r="J523" s="133">
        <v>0.32540313580785918</v>
      </c>
      <c r="K523" s="133">
        <v>1.540316181316154E-2</v>
      </c>
      <c r="L523" s="133">
        <v>3.3896580375802579</v>
      </c>
      <c r="M523" s="45">
        <v>4582.0144662388147</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7.0404447881841097E-5</v>
      </c>
      <c r="G535" s="133">
        <v>1.6254858271367249E-3</v>
      </c>
      <c r="H535" s="133">
        <v>8.7493123062431719E-4</v>
      </c>
      <c r="I535" s="133">
        <v>6.1030896303929368E-5</v>
      </c>
      <c r="J535" s="133">
        <v>6.1030896303929368E-5</v>
      </c>
      <c r="K535" s="133">
        <v>7.9881223346983692E-5</v>
      </c>
      <c r="L535" s="133">
        <v>1.8711665288590146E-4</v>
      </c>
      <c r="M535" s="45">
        <v>26.934694786240126</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0.67152466925922005</v>
      </c>
      <c r="G537" s="133">
        <v>0.65806185590434463</v>
      </c>
      <c r="H537" s="133">
        <v>0.77660023117901267</v>
      </c>
      <c r="I537" s="133">
        <v>0.20285380001303488</v>
      </c>
      <c r="J537" s="133">
        <v>0.20285380001303488</v>
      </c>
      <c r="K537" s="133">
        <v>2.8479852993952538E-2</v>
      </c>
      <c r="L537" s="133">
        <v>2.0051557685982973</v>
      </c>
      <c r="M537" s="45">
        <v>12278.535469496979</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1.6628866174827256E-2</v>
      </c>
      <c r="G539" s="133">
        <v>1.2109705299612696E-2</v>
      </c>
      <c r="H539" s="133">
        <v>1.7514643460576042E-2</v>
      </c>
      <c r="I539" s="133">
        <v>5.5491865891043549E-3</v>
      </c>
      <c r="J539" s="133">
        <v>5.5491865891043549E-3</v>
      </c>
      <c r="K539" s="133">
        <v>4.7893684733770798E-4</v>
      </c>
      <c r="L539" s="133">
        <v>5.8941214189892191E-2</v>
      </c>
      <c r="M539" s="45">
        <v>235.66124013977543</v>
      </c>
    </row>
    <row r="540" spans="1:13" x14ac:dyDescent="0.25">
      <c r="A540" s="812" t="s">
        <v>1999</v>
      </c>
      <c r="B540" s="812">
        <v>10</v>
      </c>
      <c r="C540" s="608">
        <v>39763</v>
      </c>
      <c r="D540" s="812">
        <v>99705</v>
      </c>
      <c r="E540" s="812" t="s">
        <v>1599</v>
      </c>
      <c r="F540" s="133">
        <v>2.8002965878370834</v>
      </c>
      <c r="G540" s="133">
        <v>0.59155229204017901</v>
      </c>
      <c r="H540" s="133">
        <v>0.97726645759029851</v>
      </c>
      <c r="I540" s="133">
        <v>0.84972743226749969</v>
      </c>
      <c r="J540" s="133">
        <v>0.84972743226749969</v>
      </c>
      <c r="K540" s="133">
        <v>3.9980146407465229E-2</v>
      </c>
      <c r="L540" s="133">
        <v>9.1319810049385968</v>
      </c>
      <c r="M540" s="45">
        <v>12109.028138198903</v>
      </c>
    </row>
    <row r="541" spans="1:13" x14ac:dyDescent="0.25">
      <c r="A541" s="812" t="s">
        <v>1999</v>
      </c>
      <c r="B541" s="812">
        <v>10</v>
      </c>
      <c r="C541" s="608">
        <v>39763</v>
      </c>
      <c r="D541" s="812">
        <v>99709</v>
      </c>
      <c r="E541" s="812" t="s">
        <v>1600</v>
      </c>
      <c r="F541" s="133">
        <v>2.144567127365101</v>
      </c>
      <c r="G541" s="133">
        <v>0.66660492746433508</v>
      </c>
      <c r="H541" s="133">
        <v>1.0633669296476222</v>
      </c>
      <c r="I541" s="133">
        <v>0.59658542030032569</v>
      </c>
      <c r="J541" s="133">
        <v>0.59658542030032569</v>
      </c>
      <c r="K541" s="133">
        <v>3.5020770433661912E-2</v>
      </c>
      <c r="L541" s="133">
        <v>6.1809544413596065</v>
      </c>
      <c r="M541" s="45">
        <v>13611.612489198986</v>
      </c>
    </row>
    <row r="542" spans="1:13" x14ac:dyDescent="0.25">
      <c r="A542" s="812" t="s">
        <v>1999</v>
      </c>
      <c r="B542" s="812">
        <v>10</v>
      </c>
      <c r="C542" s="608">
        <v>39763</v>
      </c>
      <c r="D542" s="812">
        <v>99712</v>
      </c>
      <c r="E542" s="812" t="s">
        <v>1601</v>
      </c>
      <c r="F542" s="133">
        <v>1.0819619263754381</v>
      </c>
      <c r="G542" s="133">
        <v>0.20736628159335729</v>
      </c>
      <c r="H542" s="133">
        <v>0.36812886120953681</v>
      </c>
      <c r="I542" s="133">
        <v>0.30181883274482352</v>
      </c>
      <c r="J542" s="133">
        <v>0.30181883274482352</v>
      </c>
      <c r="K542" s="133">
        <v>1.4329406144065802E-2</v>
      </c>
      <c r="L542" s="133">
        <v>3.1455517927737047</v>
      </c>
      <c r="M542" s="45">
        <v>4323.1345413817817</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6.8746850700000063E-5</v>
      </c>
      <c r="G554" s="133">
        <v>1.5836390539626173E-3</v>
      </c>
      <c r="H554" s="133">
        <v>8.4535207148827239E-4</v>
      </c>
      <c r="I554" s="133">
        <v>5.9969389900611168E-5</v>
      </c>
      <c r="J554" s="133">
        <v>5.9969389900611168E-5</v>
      </c>
      <c r="K554" s="133">
        <v>7.9824273528445675E-5</v>
      </c>
      <c r="L554" s="133">
        <v>1.8607549202198019E-4</v>
      </c>
      <c r="M554" s="45">
        <v>26.290719443505253</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0.67021525746475341</v>
      </c>
      <c r="G556" s="133">
        <v>0.65186880492842159</v>
      </c>
      <c r="H556" s="133">
        <v>0.77128121174152675</v>
      </c>
      <c r="I556" s="133">
        <v>0.20210955840574291</v>
      </c>
      <c r="J556" s="133">
        <v>0.20210955840574291</v>
      </c>
      <c r="K556" s="133">
        <v>2.845360788813334E-2</v>
      </c>
      <c r="L556" s="133">
        <v>1.9975429675285652</v>
      </c>
      <c r="M556" s="45">
        <v>12181.015995768057</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1.631891288407054E-2</v>
      </c>
      <c r="G558" s="133">
        <v>1.1928590350694792E-2</v>
      </c>
      <c r="H558" s="133">
        <v>1.7229959148295556E-2</v>
      </c>
      <c r="I558" s="133">
        <v>5.451026066568253E-3</v>
      </c>
      <c r="J558" s="133">
        <v>5.451026066568253E-3</v>
      </c>
      <c r="K558" s="133">
        <v>4.7499855873117501E-4</v>
      </c>
      <c r="L558" s="133">
        <v>5.7877697432507397E-2</v>
      </c>
      <c r="M558" s="45">
        <v>232.19365634004797</v>
      </c>
    </row>
    <row r="559" spans="1:13" x14ac:dyDescent="0.25">
      <c r="A559" s="812" t="s">
        <v>1999</v>
      </c>
      <c r="B559" s="812">
        <v>11</v>
      </c>
      <c r="C559" s="608">
        <v>39764</v>
      </c>
      <c r="D559" s="812">
        <v>99705</v>
      </c>
      <c r="E559" s="812" t="s">
        <v>1599</v>
      </c>
      <c r="F559" s="133">
        <v>2.8185437632632491</v>
      </c>
      <c r="G559" s="133">
        <v>0.59280169296812291</v>
      </c>
      <c r="H559" s="133">
        <v>0.98097038651214741</v>
      </c>
      <c r="I559" s="133">
        <v>0.85443764980546888</v>
      </c>
      <c r="J559" s="133">
        <v>0.85443764980546888</v>
      </c>
      <c r="K559" s="133">
        <v>4.0203230558644443E-2</v>
      </c>
      <c r="L559" s="133">
        <v>9.1822065388651986</v>
      </c>
      <c r="M559" s="45">
        <v>12140.825934832885</v>
      </c>
    </row>
    <row r="560" spans="1:13" x14ac:dyDescent="0.25">
      <c r="A560" s="812" t="s">
        <v>1999</v>
      </c>
      <c r="B560" s="812">
        <v>11</v>
      </c>
      <c r="C560" s="608">
        <v>39764</v>
      </c>
      <c r="D560" s="812">
        <v>99709</v>
      </c>
      <c r="E560" s="812" t="s">
        <v>1600</v>
      </c>
      <c r="F560" s="133">
        <v>2.3103013212627355</v>
      </c>
      <c r="G560" s="133">
        <v>0.68472907534705052</v>
      </c>
      <c r="H560" s="133">
        <v>1.1004306521082521</v>
      </c>
      <c r="I560" s="133">
        <v>0.63699770302822978</v>
      </c>
      <c r="J560" s="133">
        <v>0.63699770302822978</v>
      </c>
      <c r="K560" s="133">
        <v>3.6791016869608749E-2</v>
      </c>
      <c r="L560" s="133">
        <v>6.5964939327658279</v>
      </c>
      <c r="M560" s="45">
        <v>14011.242079997228</v>
      </c>
    </row>
    <row r="561" spans="1:13" x14ac:dyDescent="0.25">
      <c r="A561" s="812" t="s">
        <v>1999</v>
      </c>
      <c r="B561" s="812">
        <v>11</v>
      </c>
      <c r="C561" s="608">
        <v>39764</v>
      </c>
      <c r="D561" s="812">
        <v>99712</v>
      </c>
      <c r="E561" s="812" t="s">
        <v>1601</v>
      </c>
      <c r="F561" s="133">
        <v>1.2234108025080441</v>
      </c>
      <c r="G561" s="133">
        <v>0.22454309062458558</v>
      </c>
      <c r="H561" s="133">
        <v>0.39997405749510784</v>
      </c>
      <c r="I561" s="133">
        <v>0.33725479647782047</v>
      </c>
      <c r="J561" s="133">
        <v>0.33725479647782047</v>
      </c>
      <c r="K561" s="133">
        <v>1.5944121054543313E-2</v>
      </c>
      <c r="L561" s="133">
        <v>3.5151332921998555</v>
      </c>
      <c r="M561" s="45">
        <v>4680.2337011113168</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6.7918052109079566E-5</v>
      </c>
      <c r="G573" s="133">
        <v>1.5627156673755638E-3</v>
      </c>
      <c r="H573" s="133">
        <v>8.3056249192025038E-4</v>
      </c>
      <c r="I573" s="133">
        <v>5.9438636698952081E-5</v>
      </c>
      <c r="J573" s="133">
        <v>5.9438636698952081E-5</v>
      </c>
      <c r="K573" s="133">
        <v>7.979579861917668E-5</v>
      </c>
      <c r="L573" s="133">
        <v>1.8555491159001955E-4</v>
      </c>
      <c r="M573" s="45">
        <v>25.968731772137815</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0.71073666905621247</v>
      </c>
      <c r="G575" s="133">
        <v>0.69500798584608525</v>
      </c>
      <c r="H575" s="133">
        <v>0.81700038710794443</v>
      </c>
      <c r="I575" s="133">
        <v>0.21301941964376378</v>
      </c>
      <c r="J575" s="133">
        <v>0.21301941964376378</v>
      </c>
      <c r="K575" s="133">
        <v>2.8937143814587001E-2</v>
      </c>
      <c r="L575" s="133">
        <v>2.1006215423571342</v>
      </c>
      <c r="M575" s="45">
        <v>12901.828244493034</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1.717729666527068E-2</v>
      </c>
      <c r="G577" s="133">
        <v>1.2624266371251597E-2</v>
      </c>
      <c r="H577" s="133">
        <v>1.8079193569659466E-2</v>
      </c>
      <c r="I577" s="133">
        <v>5.7209221577028254E-3</v>
      </c>
      <c r="J577" s="133">
        <v>5.7209221577028254E-3</v>
      </c>
      <c r="K577" s="133">
        <v>4.8656922099657782E-4</v>
      </c>
      <c r="L577" s="133">
        <v>6.0721788251479496E-2</v>
      </c>
      <c r="M577" s="45">
        <v>244.19876617493134</v>
      </c>
    </row>
    <row r="578" spans="1:13" x14ac:dyDescent="0.25">
      <c r="A578" s="812" t="s">
        <v>1999</v>
      </c>
      <c r="B578" s="812">
        <v>12</v>
      </c>
      <c r="C578" s="608">
        <v>39765</v>
      </c>
      <c r="D578" s="812">
        <v>99705</v>
      </c>
      <c r="E578" s="812" t="s">
        <v>1599</v>
      </c>
      <c r="F578" s="133">
        <v>3.0581831102149231</v>
      </c>
      <c r="G578" s="133">
        <v>0.63687754128348661</v>
      </c>
      <c r="H578" s="133">
        <v>1.0526263935235085</v>
      </c>
      <c r="I578" s="133">
        <v>0.92438363770658816</v>
      </c>
      <c r="J578" s="133">
        <v>0.92438363770658816</v>
      </c>
      <c r="K578" s="133">
        <v>4.3231421607087935E-2</v>
      </c>
      <c r="L578" s="133">
        <v>9.9553102257053467</v>
      </c>
      <c r="M578" s="45">
        <v>13017.353403398969</v>
      </c>
    </row>
    <row r="579" spans="1:13" x14ac:dyDescent="0.25">
      <c r="A579" s="812" t="s">
        <v>1999</v>
      </c>
      <c r="B579" s="812">
        <v>12</v>
      </c>
      <c r="C579" s="608">
        <v>39765</v>
      </c>
      <c r="D579" s="812">
        <v>99709</v>
      </c>
      <c r="E579" s="812" t="s">
        <v>1600</v>
      </c>
      <c r="F579" s="133">
        <v>2.6073138948765147</v>
      </c>
      <c r="G579" s="133">
        <v>0.74146093020447423</v>
      </c>
      <c r="H579" s="133">
        <v>1.1895458001723809</v>
      </c>
      <c r="I579" s="133">
        <v>0.7110439095454264</v>
      </c>
      <c r="J579" s="133">
        <v>0.7110439095454264</v>
      </c>
      <c r="K579" s="133">
        <v>3.9998734685040636E-2</v>
      </c>
      <c r="L579" s="133">
        <v>7.3574376036149403</v>
      </c>
      <c r="M579" s="45">
        <v>15125.742329816572</v>
      </c>
    </row>
    <row r="580" spans="1:13" x14ac:dyDescent="0.25">
      <c r="A580" s="812" t="s">
        <v>1999</v>
      </c>
      <c r="B580" s="812">
        <v>12</v>
      </c>
      <c r="C580" s="608">
        <v>39765</v>
      </c>
      <c r="D580" s="812">
        <v>99712</v>
      </c>
      <c r="E580" s="812" t="s">
        <v>1601</v>
      </c>
      <c r="F580" s="133">
        <v>1.4518096904203159</v>
      </c>
      <c r="G580" s="133">
        <v>0.25482475498776824</v>
      </c>
      <c r="H580" s="133">
        <v>0.45361446691258162</v>
      </c>
      <c r="I580" s="133">
        <v>0.39524591710097795</v>
      </c>
      <c r="J580" s="133">
        <v>0.39524591710097795</v>
      </c>
      <c r="K580" s="133">
        <v>1.8575540385161415E-2</v>
      </c>
      <c r="L580" s="133">
        <v>4.1231830542910251</v>
      </c>
      <c r="M580" s="45">
        <v>5298.6563423130146</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7.2890843654602628E-5</v>
      </c>
      <c r="G592" s="133">
        <v>1.6882559868978855E-3</v>
      </c>
      <c r="H592" s="133">
        <v>9.1929996932838378E-4</v>
      </c>
      <c r="I592" s="133">
        <v>6.2623155908906662E-5</v>
      </c>
      <c r="J592" s="133">
        <v>6.2623155908906662E-5</v>
      </c>
      <c r="K592" s="133">
        <v>7.9966648074790731E-5</v>
      </c>
      <c r="L592" s="133">
        <v>1.8867839418178334E-4</v>
      </c>
      <c r="M592" s="45">
        <v>27.900657800342437</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0.82320644290511857</v>
      </c>
      <c r="G594" s="133">
        <v>0.76311199327247614</v>
      </c>
      <c r="H594" s="133">
        <v>0.90954391282287383</v>
      </c>
      <c r="I594" s="133">
        <v>0.24307370421539151</v>
      </c>
      <c r="J594" s="133">
        <v>0.24307370421539151</v>
      </c>
      <c r="K594" s="133">
        <v>3.0246609081497493E-2</v>
      </c>
      <c r="L594" s="133">
        <v>2.4017505299047648</v>
      </c>
      <c r="M594" s="45">
        <v>14142.207784293285</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1.9947790438994552E-2</v>
      </c>
      <c r="G596" s="133">
        <v>1.4059833753293852E-2</v>
      </c>
      <c r="H596" s="133">
        <v>2.0427626198623667E-2</v>
      </c>
      <c r="I596" s="133">
        <v>6.5870896422989718E-3</v>
      </c>
      <c r="J596" s="133">
        <v>6.5870896422989718E-3</v>
      </c>
      <c r="K596" s="133">
        <v>5.2181377093453646E-4</v>
      </c>
      <c r="L596" s="133">
        <v>7.013671607061446E-2</v>
      </c>
      <c r="M596" s="45">
        <v>272.1568914689945</v>
      </c>
    </row>
    <row r="597" spans="1:13" x14ac:dyDescent="0.25">
      <c r="A597" s="812" t="s">
        <v>1999</v>
      </c>
      <c r="B597" s="812">
        <v>13</v>
      </c>
      <c r="C597" s="608">
        <v>39766</v>
      </c>
      <c r="D597" s="812">
        <v>99705</v>
      </c>
      <c r="E597" s="812" t="s">
        <v>1599</v>
      </c>
      <c r="F597" s="133">
        <v>3.4149280491144016</v>
      </c>
      <c r="G597" s="133">
        <v>0.70138880906370593</v>
      </c>
      <c r="H597" s="133">
        <v>1.160017401391954</v>
      </c>
      <c r="I597" s="133">
        <v>1.029621190710222</v>
      </c>
      <c r="J597" s="133">
        <v>1.029621190710222</v>
      </c>
      <c r="K597" s="133">
        <v>4.776837043404613E-2</v>
      </c>
      <c r="L597" s="133">
        <v>11.123688668389994</v>
      </c>
      <c r="M597" s="45">
        <v>14313.271192512559</v>
      </c>
    </row>
    <row r="598" spans="1:13" x14ac:dyDescent="0.25">
      <c r="A598" s="812" t="s">
        <v>1999</v>
      </c>
      <c r="B598" s="812">
        <v>13</v>
      </c>
      <c r="C598" s="608">
        <v>39766</v>
      </c>
      <c r="D598" s="812">
        <v>99709</v>
      </c>
      <c r="E598" s="812" t="s">
        <v>1600</v>
      </c>
      <c r="F598" s="133">
        <v>2.6810935385221009</v>
      </c>
      <c r="G598" s="133">
        <v>0.778355878091053</v>
      </c>
      <c r="H598" s="133">
        <v>1.2425310722189611</v>
      </c>
      <c r="I598" s="133">
        <v>0.73048828358300344</v>
      </c>
      <c r="J598" s="133">
        <v>0.73048828358300344</v>
      </c>
      <c r="K598" s="133">
        <v>4.0829945852276277E-2</v>
      </c>
      <c r="L598" s="133">
        <v>7.5534277422960301</v>
      </c>
      <c r="M598" s="45">
        <v>15820.224462774248</v>
      </c>
    </row>
    <row r="599" spans="1:13" x14ac:dyDescent="0.25">
      <c r="A599" s="812" t="s">
        <v>1999</v>
      </c>
      <c r="B599" s="812">
        <v>13</v>
      </c>
      <c r="C599" s="608">
        <v>39766</v>
      </c>
      <c r="D599" s="812">
        <v>99712</v>
      </c>
      <c r="E599" s="812" t="s">
        <v>1601</v>
      </c>
      <c r="F599" s="133">
        <v>1.3798134941379288</v>
      </c>
      <c r="G599" s="133">
        <v>0.24712779798920104</v>
      </c>
      <c r="H599" s="133">
        <v>0.43749001931689202</v>
      </c>
      <c r="I599" s="133">
        <v>0.37623641759609289</v>
      </c>
      <c r="J599" s="133">
        <v>0.37623641759609289</v>
      </c>
      <c r="K599" s="133">
        <v>1.7727086536979308E-2</v>
      </c>
      <c r="L599" s="133">
        <v>3.919571606540877</v>
      </c>
      <c r="M599" s="45">
        <v>5129.3103035057029</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7.8692433791046227E-5</v>
      </c>
      <c r="G611" s="133">
        <v>1.8347196930072612E-3</v>
      </c>
      <c r="H611" s="133">
        <v>1.02282702630454E-3</v>
      </c>
      <c r="I611" s="133">
        <v>6.6338428320520369E-5</v>
      </c>
      <c r="J611" s="133">
        <v>6.6338428320520369E-5</v>
      </c>
      <c r="K611" s="133">
        <v>8.0165972439673818E-5</v>
      </c>
      <c r="L611" s="133">
        <v>1.9232245720550778E-4</v>
      </c>
      <c r="M611" s="45">
        <v>30.154571499914489</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0.824769699486811</v>
      </c>
      <c r="G613" s="133">
        <v>0.71380842435357983</v>
      </c>
      <c r="H613" s="133">
        <v>0.88275348604901061</v>
      </c>
      <c r="I613" s="133">
        <v>0.24623435806936483</v>
      </c>
      <c r="J613" s="133">
        <v>0.24623435806936483</v>
      </c>
      <c r="K613" s="133">
        <v>3.0336694427506687E-2</v>
      </c>
      <c r="L613" s="133">
        <v>2.469682924077488</v>
      </c>
      <c r="M613" s="45">
        <v>13447.703295541232</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1.9760065192383432E-2</v>
      </c>
      <c r="G615" s="133">
        <v>1.3347795275974695E-2</v>
      </c>
      <c r="H615" s="133">
        <v>1.9933757096205325E-2</v>
      </c>
      <c r="I615" s="133">
        <v>6.6147797285290742E-3</v>
      </c>
      <c r="J615" s="133">
        <v>6.6147797285290742E-3</v>
      </c>
      <c r="K615" s="133">
        <v>5.2185281643435334E-4</v>
      </c>
      <c r="L615" s="133">
        <v>7.1228883693796888E-2</v>
      </c>
      <c r="M615" s="45">
        <v>261.91391260702903</v>
      </c>
    </row>
    <row r="616" spans="1:13" x14ac:dyDescent="0.25">
      <c r="A616" s="812" t="s">
        <v>1999</v>
      </c>
      <c r="B616" s="812">
        <v>14</v>
      </c>
      <c r="C616" s="608">
        <v>39767</v>
      </c>
      <c r="D616" s="812">
        <v>99705</v>
      </c>
      <c r="E616" s="812" t="s">
        <v>1599</v>
      </c>
      <c r="F616" s="133">
        <v>3.3219634672228877</v>
      </c>
      <c r="G616" s="133">
        <v>0.68741360601851553</v>
      </c>
      <c r="H616" s="133">
        <v>1.1465496395051751</v>
      </c>
      <c r="I616" s="133">
        <v>1.0194789176325929</v>
      </c>
      <c r="J616" s="133">
        <v>1.0194789176325929</v>
      </c>
      <c r="K616" s="133">
        <v>4.7310826913701698E-2</v>
      </c>
      <c r="L616" s="133">
        <v>11.125142120595822</v>
      </c>
      <c r="M616" s="45">
        <v>14080.448929515271</v>
      </c>
    </row>
    <row r="617" spans="1:13" x14ac:dyDescent="0.25">
      <c r="A617" s="812" t="s">
        <v>1999</v>
      </c>
      <c r="B617" s="812">
        <v>14</v>
      </c>
      <c r="C617" s="608">
        <v>39767</v>
      </c>
      <c r="D617" s="812">
        <v>99709</v>
      </c>
      <c r="E617" s="812" t="s">
        <v>1600</v>
      </c>
      <c r="F617" s="133">
        <v>2.8758986547339203</v>
      </c>
      <c r="G617" s="133">
        <v>0.7894397868399603</v>
      </c>
      <c r="H617" s="133">
        <v>1.2942327017436366</v>
      </c>
      <c r="I617" s="133">
        <v>0.79237471744363452</v>
      </c>
      <c r="J617" s="133">
        <v>0.79237471744363452</v>
      </c>
      <c r="K617" s="133">
        <v>4.336578868189446E-2</v>
      </c>
      <c r="L617" s="133">
        <v>8.2842562079281539</v>
      </c>
      <c r="M617" s="45">
        <v>16217.634597753018</v>
      </c>
    </row>
    <row r="618" spans="1:13" x14ac:dyDescent="0.25">
      <c r="A618" s="812" t="s">
        <v>1999</v>
      </c>
      <c r="B618" s="812">
        <v>14</v>
      </c>
      <c r="C618" s="608">
        <v>39767</v>
      </c>
      <c r="D618" s="812">
        <v>99712</v>
      </c>
      <c r="E618" s="812" t="s">
        <v>1601</v>
      </c>
      <c r="F618" s="133">
        <v>1.5430818006978093</v>
      </c>
      <c r="G618" s="133">
        <v>0.27196194711558647</v>
      </c>
      <c r="H618" s="133">
        <v>0.48576838278219431</v>
      </c>
      <c r="I618" s="133">
        <v>0.42622926192768584</v>
      </c>
      <c r="J618" s="133">
        <v>0.42622926192768584</v>
      </c>
      <c r="K618" s="133">
        <v>1.9934653564184467E-2</v>
      </c>
      <c r="L618" s="133">
        <v>4.4992682122224137</v>
      </c>
      <c r="M618" s="45">
        <v>5658.3529969201072</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7.0404447881841083E-5</v>
      </c>
      <c r="G630" s="133">
        <v>1.6254858271367244E-3</v>
      </c>
      <c r="H630" s="133">
        <v>8.7493123062431719E-4</v>
      </c>
      <c r="I630" s="133">
        <v>6.1030896303929368E-5</v>
      </c>
      <c r="J630" s="133">
        <v>6.1030896303929368E-5</v>
      </c>
      <c r="K630" s="133">
        <v>7.9881223346983665E-5</v>
      </c>
      <c r="L630" s="133">
        <v>1.8711665288590138E-4</v>
      </c>
      <c r="M630" s="45">
        <v>26.934694786240126</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0.74881183087180547</v>
      </c>
      <c r="G632" s="133">
        <v>0.73772630628485303</v>
      </c>
      <c r="H632" s="133">
        <v>0.86923349127773497</v>
      </c>
      <c r="I632" s="133">
        <v>0.22763286390078249</v>
      </c>
      <c r="J632" s="133">
        <v>0.22763286390078249</v>
      </c>
      <c r="K632" s="133">
        <v>2.9523875473027147E-2</v>
      </c>
      <c r="L632" s="133">
        <v>2.2672141172362315</v>
      </c>
      <c r="M632" s="45">
        <v>13653.114657103524</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1.8207878177012922E-2</v>
      </c>
      <c r="G634" s="133">
        <v>1.343291068396579E-2</v>
      </c>
      <c r="H634" s="133">
        <v>1.9256086990834493E-2</v>
      </c>
      <c r="I634" s="133">
        <v>6.1544293219051209E-3</v>
      </c>
      <c r="J634" s="133">
        <v>6.1544293219051209E-3</v>
      </c>
      <c r="K634" s="133">
        <v>5.0341537669120427E-4</v>
      </c>
      <c r="L634" s="133">
        <v>6.5974164029823756E-2</v>
      </c>
      <c r="M634" s="45">
        <v>259.24577773984117</v>
      </c>
    </row>
    <row r="635" spans="1:13" x14ac:dyDescent="0.25">
      <c r="A635" s="812" t="s">
        <v>1999</v>
      </c>
      <c r="B635" s="812">
        <v>15</v>
      </c>
      <c r="C635" s="608">
        <v>39768</v>
      </c>
      <c r="D635" s="812">
        <v>99705</v>
      </c>
      <c r="E635" s="812" t="s">
        <v>1599</v>
      </c>
      <c r="F635" s="133">
        <v>3.1338081017383503</v>
      </c>
      <c r="G635" s="133">
        <v>0.66761960057967373</v>
      </c>
      <c r="H635" s="133">
        <v>1.0998440829707323</v>
      </c>
      <c r="I635" s="133">
        <v>0.9649994525618496</v>
      </c>
      <c r="J635" s="133">
        <v>0.9649994525618496</v>
      </c>
      <c r="K635" s="133">
        <v>4.4929030052428862E-2</v>
      </c>
      <c r="L635" s="133">
        <v>10.519608863532349</v>
      </c>
      <c r="M635" s="45">
        <v>13618.012639416716</v>
      </c>
    </row>
    <row r="636" spans="1:13" x14ac:dyDescent="0.25">
      <c r="A636" s="812" t="s">
        <v>1999</v>
      </c>
      <c r="B636" s="812">
        <v>15</v>
      </c>
      <c r="C636" s="608">
        <v>39768</v>
      </c>
      <c r="D636" s="812">
        <v>99709</v>
      </c>
      <c r="E636" s="812" t="s">
        <v>1600</v>
      </c>
      <c r="F636" s="133">
        <v>2.5864918992243031</v>
      </c>
      <c r="G636" s="133">
        <v>0.76752322461232614</v>
      </c>
      <c r="H636" s="133">
        <v>1.2231484023668324</v>
      </c>
      <c r="I636" s="133">
        <v>0.72212227177970567</v>
      </c>
      <c r="J636" s="133">
        <v>0.72212227177970567</v>
      </c>
      <c r="K636" s="133">
        <v>4.0292803472216011E-2</v>
      </c>
      <c r="L636" s="133">
        <v>7.5619115849780432</v>
      </c>
      <c r="M636" s="45">
        <v>15606.201363293496</v>
      </c>
    </row>
    <row r="637" spans="1:13" x14ac:dyDescent="0.25">
      <c r="A637" s="812" t="s">
        <v>1999</v>
      </c>
      <c r="B637" s="812">
        <v>15</v>
      </c>
      <c r="C637" s="608">
        <v>39768</v>
      </c>
      <c r="D637" s="812">
        <v>99712</v>
      </c>
      <c r="E637" s="812" t="s">
        <v>1601</v>
      </c>
      <c r="F637" s="133">
        <v>1.4220083618383543</v>
      </c>
      <c r="G637" s="133">
        <v>0.25911366448889012</v>
      </c>
      <c r="H637" s="133">
        <v>0.4595126920041005</v>
      </c>
      <c r="I637" s="133">
        <v>0.39617084104275979</v>
      </c>
      <c r="J637" s="133">
        <v>0.39617084104275979</v>
      </c>
      <c r="K637" s="133">
        <v>1.8563597082299502E-2</v>
      </c>
      <c r="L637" s="133">
        <v>4.1867296499293225</v>
      </c>
      <c r="M637" s="45">
        <v>5380.0029785749493</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7.7034836609205206E-5</v>
      </c>
      <c r="G649" s="133">
        <v>1.7928729198331535E-3</v>
      </c>
      <c r="H649" s="133">
        <v>9.9324786716849483E-4</v>
      </c>
      <c r="I649" s="133">
        <v>6.5276921917202142E-5</v>
      </c>
      <c r="J649" s="133">
        <v>6.5276921917202142E-5</v>
      </c>
      <c r="K649" s="133">
        <v>8.0109022621135733E-5</v>
      </c>
      <c r="L649" s="133">
        <v>1.912812963415864E-4</v>
      </c>
      <c r="M649" s="45">
        <v>29.510596157179616</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0.72657025563494748</v>
      </c>
      <c r="G651" s="133">
        <v>0.66134668642334826</v>
      </c>
      <c r="H651" s="133">
        <v>0.80052892302456391</v>
      </c>
      <c r="I651" s="133">
        <v>0.21665054958084567</v>
      </c>
      <c r="J651" s="133">
        <v>0.21665054958084567</v>
      </c>
      <c r="K651" s="133">
        <v>2.9086343495486368E-2</v>
      </c>
      <c r="L651" s="133">
        <v>2.1493379204124516</v>
      </c>
      <c r="M651" s="45">
        <v>12435.544366252556</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1.7796033218623455E-2</v>
      </c>
      <c r="G653" s="133">
        <v>1.2328877754241333E-2</v>
      </c>
      <c r="H653" s="133">
        <v>1.8199954778094534E-2</v>
      </c>
      <c r="I653" s="133">
        <v>5.9007000621614913E-3</v>
      </c>
      <c r="J653" s="133">
        <v>5.9007000621614913E-3</v>
      </c>
      <c r="K653" s="133">
        <v>4.9334978949012217E-4</v>
      </c>
      <c r="L653" s="133">
        <v>6.2861975278281704E-2</v>
      </c>
      <c r="M653" s="45">
        <v>241.65344437436266</v>
      </c>
    </row>
    <row r="654" spans="1:13" x14ac:dyDescent="0.25">
      <c r="A654" s="812" t="s">
        <v>1999</v>
      </c>
      <c r="B654" s="812">
        <v>16</v>
      </c>
      <c r="C654" s="608">
        <v>39769</v>
      </c>
      <c r="D654" s="812">
        <v>99705</v>
      </c>
      <c r="E654" s="812" t="s">
        <v>1599</v>
      </c>
      <c r="F654" s="133">
        <v>2.9953106282370792</v>
      </c>
      <c r="G654" s="133">
        <v>0.61953281980310249</v>
      </c>
      <c r="H654" s="133">
        <v>1.0307977120304925</v>
      </c>
      <c r="I654" s="133">
        <v>0.90636230117939531</v>
      </c>
      <c r="J654" s="133">
        <v>0.90636230117939531</v>
      </c>
      <c r="K654" s="133">
        <v>4.24507655767472E-2</v>
      </c>
      <c r="L654" s="133">
        <v>9.759511419934249</v>
      </c>
      <c r="M654" s="45">
        <v>12703.010353648255</v>
      </c>
    </row>
    <row r="655" spans="1:13" x14ac:dyDescent="0.25">
      <c r="A655" s="812" t="s">
        <v>1999</v>
      </c>
      <c r="B655" s="812">
        <v>16</v>
      </c>
      <c r="C655" s="608">
        <v>39769</v>
      </c>
      <c r="D655" s="812">
        <v>99709</v>
      </c>
      <c r="E655" s="812" t="s">
        <v>1600</v>
      </c>
      <c r="F655" s="133">
        <v>2.5335757192553623</v>
      </c>
      <c r="G655" s="133">
        <v>0.71448196394791719</v>
      </c>
      <c r="H655" s="133">
        <v>1.1612604993559292</v>
      </c>
      <c r="I655" s="133">
        <v>0.69323362581553105</v>
      </c>
      <c r="J655" s="133">
        <v>0.69323362581553105</v>
      </c>
      <c r="K655" s="133">
        <v>3.9213495382581183E-2</v>
      </c>
      <c r="L655" s="133">
        <v>7.1815051762342881</v>
      </c>
      <c r="M655" s="45">
        <v>14666.932376940889</v>
      </c>
    </row>
    <row r="656" spans="1:13" x14ac:dyDescent="0.25">
      <c r="A656" s="812" t="s">
        <v>1999</v>
      </c>
      <c r="B656" s="812">
        <v>16</v>
      </c>
      <c r="C656" s="608">
        <v>39769</v>
      </c>
      <c r="D656" s="812">
        <v>99712</v>
      </c>
      <c r="E656" s="812" t="s">
        <v>1601</v>
      </c>
      <c r="F656" s="133">
        <v>1.4015092223567176</v>
      </c>
      <c r="G656" s="133">
        <v>0.24640199626322548</v>
      </c>
      <c r="H656" s="133">
        <v>0.44026844580709723</v>
      </c>
      <c r="I656" s="133">
        <v>0.38227201631089303</v>
      </c>
      <c r="J656" s="133">
        <v>0.38227201631089303</v>
      </c>
      <c r="K656" s="133">
        <v>1.7990744967986153E-2</v>
      </c>
      <c r="L656" s="133">
        <v>3.9867647741204228</v>
      </c>
      <c r="M656" s="45">
        <v>5133.7570276846891</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6.7089253518159042E-5</v>
      </c>
      <c r="G668" s="133">
        <v>1.5417922807885102E-3</v>
      </c>
      <c r="H668" s="133">
        <v>8.1577291235222771E-4</v>
      </c>
      <c r="I668" s="133">
        <v>5.8907883497292968E-5</v>
      </c>
      <c r="J668" s="133">
        <v>5.8907883497292968E-5</v>
      </c>
      <c r="K668" s="133">
        <v>7.9767323709907645E-5</v>
      </c>
      <c r="L668" s="133">
        <v>1.8503433115805886E-4</v>
      </c>
      <c r="M668" s="45">
        <v>25.646744100770377</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9F98-0062-4AD5-8018-34357549FB4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2"/>
      <c r="C3" s="812" t="s">
        <v>2027</v>
      </c>
      <c r="D3" s="812"/>
      <c r="E3" s="812"/>
      <c r="F3" s="845" t="s">
        <v>1991</v>
      </c>
      <c r="G3" s="845"/>
      <c r="H3" s="845"/>
      <c r="I3" s="845"/>
      <c r="J3" s="845"/>
      <c r="K3" s="845"/>
      <c r="L3" s="845"/>
      <c r="M3" s="812"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2" t="s">
        <v>1996</v>
      </c>
      <c r="B5" s="812">
        <v>1</v>
      </c>
      <c r="C5" s="608">
        <v>39470</v>
      </c>
      <c r="D5" s="812">
        <v>99701</v>
      </c>
      <c r="E5" s="812" t="s">
        <v>2031</v>
      </c>
      <c r="F5" s="133">
        <v>0.69484214075190742</v>
      </c>
      <c r="G5" s="133">
        <v>0.63614346245744458</v>
      </c>
      <c r="H5" s="133">
        <v>0.80342788619119931</v>
      </c>
      <c r="I5" s="133">
        <v>0.20561091903640485</v>
      </c>
      <c r="J5" s="133">
        <v>0.20561091903640485</v>
      </c>
      <c r="K5" s="133">
        <v>1.9827301890944518E-2</v>
      </c>
      <c r="L5" s="133">
        <v>2.0427481933757932</v>
      </c>
      <c r="M5" s="45">
        <v>11770.08484792204</v>
      </c>
    </row>
    <row r="6" spans="1:13" x14ac:dyDescent="0.25">
      <c r="A6" s="812" t="s">
        <v>1996</v>
      </c>
      <c r="B6" s="812">
        <v>1</v>
      </c>
      <c r="C6" s="608">
        <v>39470</v>
      </c>
      <c r="D6" s="812">
        <v>99702</v>
      </c>
      <c r="E6" s="812" t="s">
        <v>2032</v>
      </c>
      <c r="F6" s="133">
        <v>0</v>
      </c>
      <c r="G6" s="133">
        <v>0</v>
      </c>
      <c r="H6" s="133">
        <v>0</v>
      </c>
      <c r="I6" s="133">
        <v>0</v>
      </c>
      <c r="J6" s="133">
        <v>0</v>
      </c>
      <c r="K6" s="133">
        <v>0</v>
      </c>
      <c r="L6" s="133">
        <v>0</v>
      </c>
      <c r="M6" s="45">
        <v>0</v>
      </c>
    </row>
    <row r="7" spans="1:13" x14ac:dyDescent="0.25">
      <c r="A7" s="812" t="s">
        <v>1996</v>
      </c>
      <c r="B7" s="812">
        <v>1</v>
      </c>
      <c r="C7" s="608">
        <v>39470</v>
      </c>
      <c r="D7" s="812">
        <v>99703</v>
      </c>
      <c r="E7" s="812" t="s">
        <v>2033</v>
      </c>
      <c r="F7" s="133">
        <v>1.6665778838046947E-2</v>
      </c>
      <c r="G7" s="133">
        <v>1.175465407665109E-2</v>
      </c>
      <c r="H7" s="133">
        <v>1.7724167195285533E-2</v>
      </c>
      <c r="I7" s="133">
        <v>5.5293003698864869E-3</v>
      </c>
      <c r="J7" s="133">
        <v>5.5293003698864869E-3</v>
      </c>
      <c r="K7" s="133">
        <v>3.6693092509147945E-4</v>
      </c>
      <c r="L7" s="133">
        <v>5.8911213449383042E-2</v>
      </c>
      <c r="M7" s="45">
        <v>227.65062019673024</v>
      </c>
    </row>
    <row r="8" spans="1:13" x14ac:dyDescent="0.25">
      <c r="A8" s="812" t="s">
        <v>1996</v>
      </c>
      <c r="B8" s="812">
        <v>1</v>
      </c>
      <c r="C8" s="608">
        <v>39470</v>
      </c>
      <c r="D8" s="812">
        <v>99705</v>
      </c>
      <c r="E8" s="812" t="s">
        <v>1599</v>
      </c>
      <c r="F8" s="133">
        <v>2.8939284699645906</v>
      </c>
      <c r="G8" s="133">
        <v>0.60189235538879426</v>
      </c>
      <c r="H8" s="133">
        <v>1.0116829312850868</v>
      </c>
      <c r="I8" s="133">
        <v>0.87635011019293618</v>
      </c>
      <c r="J8" s="133">
        <v>0.87635011019293618</v>
      </c>
      <c r="K8" s="133">
        <v>3.9230231564833469E-2</v>
      </c>
      <c r="L8" s="133">
        <v>9.4293144211438396</v>
      </c>
      <c r="M8" s="45">
        <v>12330.312293002231</v>
      </c>
    </row>
    <row r="9" spans="1:13" x14ac:dyDescent="0.25">
      <c r="A9" s="812" t="s">
        <v>1996</v>
      </c>
      <c r="B9" s="812">
        <v>1</v>
      </c>
      <c r="C9" s="608">
        <v>39470</v>
      </c>
      <c r="D9" s="812">
        <v>99709</v>
      </c>
      <c r="E9" s="812" t="s">
        <v>1600</v>
      </c>
      <c r="F9" s="133">
        <v>2.7037300883634448</v>
      </c>
      <c r="G9" s="133">
        <v>0.72532051007694143</v>
      </c>
      <c r="H9" s="133">
        <v>1.2099784549304708</v>
      </c>
      <c r="I9" s="133">
        <v>0.73445222441418379</v>
      </c>
      <c r="J9" s="133">
        <v>0.73445222441418379</v>
      </c>
      <c r="K9" s="133">
        <v>3.6573044390327325E-2</v>
      </c>
      <c r="L9" s="133">
        <v>7.6153144033061073</v>
      </c>
      <c r="M9" s="45">
        <v>14860.926281348062</v>
      </c>
    </row>
    <row r="10" spans="1:13" x14ac:dyDescent="0.25">
      <c r="A10" s="812" t="s">
        <v>1996</v>
      </c>
      <c r="B10" s="812">
        <v>1</v>
      </c>
      <c r="C10" s="608">
        <v>39470</v>
      </c>
      <c r="D10" s="812">
        <v>99712</v>
      </c>
      <c r="E10" s="812" t="s">
        <v>1601</v>
      </c>
      <c r="F10" s="133">
        <v>1.592463555891201</v>
      </c>
      <c r="G10" s="133">
        <v>0.27088770543118051</v>
      </c>
      <c r="H10" s="133">
        <v>0.48851937492549019</v>
      </c>
      <c r="I10" s="133">
        <v>0.43131016044220072</v>
      </c>
      <c r="J10" s="133">
        <v>0.43131016044220072</v>
      </c>
      <c r="K10" s="133">
        <v>1.9788271748138162E-2</v>
      </c>
      <c r="L10" s="133">
        <v>4.5049569162996228</v>
      </c>
      <c r="M10" s="45">
        <v>5644.6909887298179</v>
      </c>
    </row>
    <row r="11" spans="1:13" x14ac:dyDescent="0.25">
      <c r="A11" s="812" t="s">
        <v>1996</v>
      </c>
      <c r="B11" s="812">
        <v>1</v>
      </c>
      <c r="C11" s="608">
        <v>39470</v>
      </c>
      <c r="D11" s="812">
        <v>99714</v>
      </c>
      <c r="E11" s="812" t="s">
        <v>2034</v>
      </c>
      <c r="F11" s="133">
        <v>0</v>
      </c>
      <c r="G11" s="133">
        <v>0</v>
      </c>
      <c r="H11" s="133">
        <v>0</v>
      </c>
      <c r="I11" s="133">
        <v>0</v>
      </c>
      <c r="J11" s="133">
        <v>0</v>
      </c>
      <c r="K11" s="133">
        <v>0</v>
      </c>
      <c r="L11" s="133">
        <v>0</v>
      </c>
      <c r="M11" s="45">
        <v>0</v>
      </c>
    </row>
    <row r="12" spans="1:13" x14ac:dyDescent="0.25">
      <c r="A12" s="812" t="s">
        <v>1996</v>
      </c>
      <c r="B12" s="812">
        <v>1</v>
      </c>
      <c r="C12" s="608">
        <v>39470</v>
      </c>
      <c r="D12" s="812">
        <v>99730</v>
      </c>
      <c r="E12" s="812" t="s">
        <v>2035</v>
      </c>
      <c r="F12" s="133">
        <v>0</v>
      </c>
      <c r="G12" s="133">
        <v>0</v>
      </c>
      <c r="H12" s="133">
        <v>0</v>
      </c>
      <c r="I12" s="133">
        <v>0</v>
      </c>
      <c r="J12" s="133">
        <v>0</v>
      </c>
      <c r="K12" s="133">
        <v>0</v>
      </c>
      <c r="L12" s="133">
        <v>0</v>
      </c>
      <c r="M12" s="45">
        <v>0</v>
      </c>
    </row>
    <row r="13" spans="1:13" x14ac:dyDescent="0.25">
      <c r="A13" s="812" t="s">
        <v>1996</v>
      </c>
      <c r="B13" s="812">
        <v>1</v>
      </c>
      <c r="C13" s="608">
        <v>39470</v>
      </c>
      <c r="D13" s="812">
        <v>99737</v>
      </c>
      <c r="E13" s="812" t="s">
        <v>2036</v>
      </c>
      <c r="F13" s="133">
        <v>0</v>
      </c>
      <c r="G13" s="133">
        <v>0</v>
      </c>
      <c r="H13" s="133">
        <v>0</v>
      </c>
      <c r="I13" s="133">
        <v>0</v>
      </c>
      <c r="J13" s="133">
        <v>0</v>
      </c>
      <c r="K13" s="133">
        <v>0</v>
      </c>
      <c r="L13" s="133">
        <v>0</v>
      </c>
      <c r="M13" s="45">
        <v>0</v>
      </c>
    </row>
    <row r="14" spans="1:13" x14ac:dyDescent="0.25">
      <c r="A14" s="812" t="s">
        <v>1996</v>
      </c>
      <c r="B14" s="812">
        <v>1</v>
      </c>
      <c r="C14" s="608">
        <v>39470</v>
      </c>
      <c r="D14" s="812">
        <v>99743</v>
      </c>
      <c r="E14" s="812" t="s">
        <v>2037</v>
      </c>
      <c r="F14" s="133">
        <v>0</v>
      </c>
      <c r="G14" s="133">
        <v>0</v>
      </c>
      <c r="H14" s="133">
        <v>0</v>
      </c>
      <c r="I14" s="133">
        <v>0</v>
      </c>
      <c r="J14" s="133">
        <v>0</v>
      </c>
      <c r="K14" s="133">
        <v>0</v>
      </c>
      <c r="L14" s="133">
        <v>0</v>
      </c>
      <c r="M14" s="45">
        <v>0</v>
      </c>
    </row>
    <row r="15" spans="1:13" x14ac:dyDescent="0.25">
      <c r="A15" s="812" t="s">
        <v>1996</v>
      </c>
      <c r="B15" s="812">
        <v>1</v>
      </c>
      <c r="C15" s="608">
        <v>39470</v>
      </c>
      <c r="D15" s="812">
        <v>99744</v>
      </c>
      <c r="E15" s="812" t="s">
        <v>2038</v>
      </c>
      <c r="F15" s="133">
        <v>0</v>
      </c>
      <c r="G15" s="133">
        <v>0</v>
      </c>
      <c r="H15" s="133">
        <v>0</v>
      </c>
      <c r="I15" s="133">
        <v>0</v>
      </c>
      <c r="J15" s="133">
        <v>0</v>
      </c>
      <c r="K15" s="133">
        <v>0</v>
      </c>
      <c r="L15" s="133">
        <v>0</v>
      </c>
      <c r="M15" s="45">
        <v>0</v>
      </c>
    </row>
    <row r="16" spans="1:13" x14ac:dyDescent="0.25">
      <c r="A16" s="812" t="s">
        <v>1996</v>
      </c>
      <c r="B16" s="812">
        <v>1</v>
      </c>
      <c r="C16" s="608">
        <v>39470</v>
      </c>
      <c r="D16" s="812">
        <v>99755</v>
      </c>
      <c r="E16" s="812" t="s">
        <v>2039</v>
      </c>
      <c r="F16" s="133">
        <v>0</v>
      </c>
      <c r="G16" s="133">
        <v>0</v>
      </c>
      <c r="H16" s="133">
        <v>0</v>
      </c>
      <c r="I16" s="133">
        <v>0</v>
      </c>
      <c r="J16" s="133">
        <v>0</v>
      </c>
      <c r="K16" s="133">
        <v>0</v>
      </c>
      <c r="L16" s="133">
        <v>0</v>
      </c>
      <c r="M16" s="45">
        <v>0</v>
      </c>
    </row>
    <row r="17" spans="1:13" x14ac:dyDescent="0.25">
      <c r="A17" s="812" t="s">
        <v>1996</v>
      </c>
      <c r="B17" s="812">
        <v>1</v>
      </c>
      <c r="C17" s="608">
        <v>39470</v>
      </c>
      <c r="D17" s="812">
        <v>99756</v>
      </c>
      <c r="E17" s="812" t="s">
        <v>2040</v>
      </c>
      <c r="F17" s="133">
        <v>0</v>
      </c>
      <c r="G17" s="133">
        <v>0</v>
      </c>
      <c r="H17" s="133">
        <v>0</v>
      </c>
      <c r="I17" s="133">
        <v>0</v>
      </c>
      <c r="J17" s="133">
        <v>0</v>
      </c>
      <c r="K17" s="133">
        <v>0</v>
      </c>
      <c r="L17" s="133">
        <v>0</v>
      </c>
      <c r="M17" s="45">
        <v>0</v>
      </c>
    </row>
    <row r="18" spans="1:13" x14ac:dyDescent="0.25">
      <c r="A18" s="812" t="s">
        <v>1996</v>
      </c>
      <c r="B18" s="812">
        <v>1</v>
      </c>
      <c r="C18" s="608">
        <v>39470</v>
      </c>
      <c r="D18" s="812">
        <v>99758</v>
      </c>
      <c r="E18" s="812" t="s">
        <v>2041</v>
      </c>
      <c r="F18" s="133">
        <v>0</v>
      </c>
      <c r="G18" s="133">
        <v>0</v>
      </c>
      <c r="H18" s="133">
        <v>0</v>
      </c>
      <c r="I18" s="133">
        <v>0</v>
      </c>
      <c r="J18" s="133">
        <v>0</v>
      </c>
      <c r="K18" s="133">
        <v>0</v>
      </c>
      <c r="L18" s="133">
        <v>0</v>
      </c>
      <c r="M18" s="45">
        <v>0</v>
      </c>
    </row>
    <row r="19" spans="1:13" x14ac:dyDescent="0.25">
      <c r="A19" s="812" t="s">
        <v>1996</v>
      </c>
      <c r="B19" s="812">
        <v>1</v>
      </c>
      <c r="C19" s="608">
        <v>39470</v>
      </c>
      <c r="D19" s="812">
        <v>99760</v>
      </c>
      <c r="E19" s="812" t="s">
        <v>2042</v>
      </c>
      <c r="F19" s="133">
        <v>0</v>
      </c>
      <c r="G19" s="133">
        <v>0</v>
      </c>
      <c r="H19" s="133">
        <v>0</v>
      </c>
      <c r="I19" s="133">
        <v>0</v>
      </c>
      <c r="J19" s="133">
        <v>0</v>
      </c>
      <c r="K19" s="133">
        <v>0</v>
      </c>
      <c r="L19" s="133">
        <v>0</v>
      </c>
      <c r="M19" s="45">
        <v>0</v>
      </c>
    </row>
    <row r="20" spans="1:13" x14ac:dyDescent="0.25">
      <c r="A20" s="812" t="s">
        <v>1996</v>
      </c>
      <c r="B20" s="812">
        <v>1</v>
      </c>
      <c r="C20" s="608">
        <v>39470</v>
      </c>
      <c r="D20" s="812">
        <v>99767</v>
      </c>
      <c r="E20" s="812" t="s">
        <v>2043</v>
      </c>
      <c r="F20" s="133">
        <v>0</v>
      </c>
      <c r="G20" s="133">
        <v>0</v>
      </c>
      <c r="H20" s="133">
        <v>0</v>
      </c>
      <c r="I20" s="133">
        <v>0</v>
      </c>
      <c r="J20" s="133">
        <v>0</v>
      </c>
      <c r="K20" s="133">
        <v>0</v>
      </c>
      <c r="L20" s="133">
        <v>0</v>
      </c>
      <c r="M20" s="45">
        <v>0</v>
      </c>
    </row>
    <row r="21" spans="1:13" x14ac:dyDescent="0.25">
      <c r="A21" s="812" t="s">
        <v>1996</v>
      </c>
      <c r="B21" s="812">
        <v>1</v>
      </c>
      <c r="C21" s="608">
        <v>39470</v>
      </c>
      <c r="D21" s="812">
        <v>99774</v>
      </c>
      <c r="E21" s="812" t="s">
        <v>2044</v>
      </c>
      <c r="F21" s="133">
        <v>0</v>
      </c>
      <c r="G21" s="133">
        <v>0</v>
      </c>
      <c r="H21" s="133">
        <v>0</v>
      </c>
      <c r="I21" s="133">
        <v>0</v>
      </c>
      <c r="J21" s="133">
        <v>0</v>
      </c>
      <c r="K21" s="133">
        <v>0</v>
      </c>
      <c r="L21" s="133">
        <v>0</v>
      </c>
      <c r="M21" s="45">
        <v>0</v>
      </c>
    </row>
    <row r="22" spans="1:13" x14ac:dyDescent="0.25">
      <c r="A22" s="812" t="s">
        <v>1996</v>
      </c>
      <c r="B22" s="812">
        <v>1</v>
      </c>
      <c r="C22" s="608">
        <v>39470</v>
      </c>
      <c r="D22" s="812">
        <v>99775</v>
      </c>
      <c r="E22" s="812" t="s">
        <v>1602</v>
      </c>
      <c r="F22" s="133">
        <v>6.1642404240103024E-5</v>
      </c>
      <c r="G22" s="133">
        <v>1.4732379961900088E-3</v>
      </c>
      <c r="H22" s="133">
        <v>8.9170693828307236E-4</v>
      </c>
      <c r="I22" s="133">
        <v>4.8182080358623666E-5</v>
      </c>
      <c r="J22" s="133">
        <v>4.8182080358623666E-5</v>
      </c>
      <c r="K22" s="133">
        <v>4.4418040368063825E-5</v>
      </c>
      <c r="L22" s="133">
        <v>1.167495634019562E-4</v>
      </c>
      <c r="M22" s="45">
        <v>23.720108208394667</v>
      </c>
    </row>
    <row r="23" spans="1:13" x14ac:dyDescent="0.25">
      <c r="A23" s="812" t="s">
        <v>1996</v>
      </c>
      <c r="B23" s="812">
        <v>1</v>
      </c>
      <c r="C23" s="608">
        <v>39470</v>
      </c>
      <c r="D23" s="812">
        <v>99790</v>
      </c>
      <c r="E23" s="812" t="s">
        <v>2045</v>
      </c>
      <c r="F23" s="133">
        <v>0</v>
      </c>
      <c r="G23" s="133">
        <v>0</v>
      </c>
      <c r="H23" s="133">
        <v>0</v>
      </c>
      <c r="I23" s="133">
        <v>0</v>
      </c>
      <c r="J23" s="133">
        <v>0</v>
      </c>
      <c r="K23" s="133">
        <v>0</v>
      </c>
      <c r="L23" s="133">
        <v>0</v>
      </c>
      <c r="M23" s="45">
        <v>0</v>
      </c>
    </row>
    <row r="24" spans="1:13" x14ac:dyDescent="0.25">
      <c r="A24" s="812" t="s">
        <v>1996</v>
      </c>
      <c r="B24" s="812">
        <v>2</v>
      </c>
      <c r="C24" s="608">
        <v>39471</v>
      </c>
      <c r="D24" s="812">
        <v>99701</v>
      </c>
      <c r="E24" s="812" t="s">
        <v>2031</v>
      </c>
      <c r="F24" s="133">
        <v>0.96268759408251647</v>
      </c>
      <c r="G24" s="133">
        <v>0.83446094897715151</v>
      </c>
      <c r="H24" s="133">
        <v>1.0485523155588943</v>
      </c>
      <c r="I24" s="133">
        <v>0.27742207420533532</v>
      </c>
      <c r="J24" s="133">
        <v>0.27742207420533532</v>
      </c>
      <c r="K24" s="133">
        <v>2.2971607679969891E-2</v>
      </c>
      <c r="L24" s="133">
        <v>2.7506258111053938</v>
      </c>
      <c r="M24" s="45">
        <v>15261.254821273002</v>
      </c>
    </row>
    <row r="25" spans="1:13" x14ac:dyDescent="0.25">
      <c r="A25" s="812" t="s">
        <v>1996</v>
      </c>
      <c r="B25" s="812">
        <v>2</v>
      </c>
      <c r="C25" s="608">
        <v>39471</v>
      </c>
      <c r="D25" s="812">
        <v>99702</v>
      </c>
      <c r="E25" s="812" t="s">
        <v>2032</v>
      </c>
      <c r="F25" s="133">
        <v>0</v>
      </c>
      <c r="G25" s="133">
        <v>0</v>
      </c>
      <c r="H25" s="133">
        <v>0</v>
      </c>
      <c r="I25" s="133">
        <v>0</v>
      </c>
      <c r="J25" s="133">
        <v>0</v>
      </c>
      <c r="K25" s="133">
        <v>0</v>
      </c>
      <c r="L25" s="133">
        <v>0</v>
      </c>
      <c r="M25" s="45">
        <v>0</v>
      </c>
    </row>
    <row r="26" spans="1:13" x14ac:dyDescent="0.25">
      <c r="A26" s="812" t="s">
        <v>1996</v>
      </c>
      <c r="B26" s="812">
        <v>2</v>
      </c>
      <c r="C26" s="608">
        <v>39471</v>
      </c>
      <c r="D26" s="812">
        <v>99703</v>
      </c>
      <c r="E26" s="812" t="s">
        <v>2033</v>
      </c>
      <c r="F26" s="133">
        <v>2.2600815511258952E-2</v>
      </c>
      <c r="G26" s="133">
        <v>1.5354403205314029E-2</v>
      </c>
      <c r="H26" s="133">
        <v>2.2993875576431518E-2</v>
      </c>
      <c r="I26" s="133">
        <v>7.3850470997774186E-3</v>
      </c>
      <c r="J26" s="133">
        <v>7.3850470997774186E-3</v>
      </c>
      <c r="K26" s="133">
        <v>4.4396726617976586E-4</v>
      </c>
      <c r="L26" s="133">
        <v>7.8885691288281101E-2</v>
      </c>
      <c r="M26" s="45">
        <v>294.47120388195174</v>
      </c>
    </row>
    <row r="27" spans="1:13" x14ac:dyDescent="0.25">
      <c r="A27" s="812" t="s">
        <v>1996</v>
      </c>
      <c r="B27" s="812">
        <v>2</v>
      </c>
      <c r="C27" s="608">
        <v>39471</v>
      </c>
      <c r="D27" s="812">
        <v>99705</v>
      </c>
      <c r="E27" s="812" t="s">
        <v>1599</v>
      </c>
      <c r="F27" s="133">
        <v>3.9068537228548585</v>
      </c>
      <c r="G27" s="133">
        <v>0.78684063197447196</v>
      </c>
      <c r="H27" s="133">
        <v>1.3158935673176968</v>
      </c>
      <c r="I27" s="133">
        <v>1.1715586551497681</v>
      </c>
      <c r="J27" s="133">
        <v>1.1715586551497681</v>
      </c>
      <c r="K27" s="133">
        <v>5.2069415229820219E-2</v>
      </c>
      <c r="L27" s="133">
        <v>12.691684260855107</v>
      </c>
      <c r="M27" s="45">
        <v>16025.406553532128</v>
      </c>
    </row>
    <row r="28" spans="1:13" x14ac:dyDescent="0.25">
      <c r="A28" s="812" t="s">
        <v>1996</v>
      </c>
      <c r="B28" s="812">
        <v>2</v>
      </c>
      <c r="C28" s="608">
        <v>39471</v>
      </c>
      <c r="D28" s="812">
        <v>99709</v>
      </c>
      <c r="E28" s="812" t="s">
        <v>1600</v>
      </c>
      <c r="F28" s="133">
        <v>3.6061395521629622</v>
      </c>
      <c r="G28" s="133">
        <v>0.92531414498254305</v>
      </c>
      <c r="H28" s="133">
        <v>1.528183295664876</v>
      </c>
      <c r="I28" s="133">
        <v>0.9592252412040162</v>
      </c>
      <c r="J28" s="133">
        <v>0.9592252412040162</v>
      </c>
      <c r="K28" s="133">
        <v>4.6327925659638912E-2</v>
      </c>
      <c r="L28" s="133">
        <v>9.9115992431324749</v>
      </c>
      <c r="M28" s="45">
        <v>18801.365555245582</v>
      </c>
    </row>
    <row r="29" spans="1:13" x14ac:dyDescent="0.25">
      <c r="A29" s="812" t="s">
        <v>1996</v>
      </c>
      <c r="B29" s="812">
        <v>2</v>
      </c>
      <c r="C29" s="608">
        <v>39471</v>
      </c>
      <c r="D29" s="812">
        <v>99712</v>
      </c>
      <c r="E29" s="812" t="s">
        <v>1601</v>
      </c>
      <c r="F29" s="133">
        <v>2.0092580163163634</v>
      </c>
      <c r="G29" s="133">
        <v>0.32895153686181894</v>
      </c>
      <c r="H29" s="133">
        <v>0.58867023379597283</v>
      </c>
      <c r="I29" s="133">
        <v>0.53542713189556257</v>
      </c>
      <c r="J29" s="133">
        <v>0.53542713189556257</v>
      </c>
      <c r="K29" s="133">
        <v>2.4539139365386729E-2</v>
      </c>
      <c r="L29" s="133">
        <v>5.5865781387566322</v>
      </c>
      <c r="M29" s="45">
        <v>6818.2241734504769</v>
      </c>
    </row>
    <row r="30" spans="1:13" x14ac:dyDescent="0.25">
      <c r="A30" s="812" t="s">
        <v>1996</v>
      </c>
      <c r="B30" s="812">
        <v>2</v>
      </c>
      <c r="C30" s="608">
        <v>39471</v>
      </c>
      <c r="D30" s="812">
        <v>99714</v>
      </c>
      <c r="E30" s="812" t="s">
        <v>2034</v>
      </c>
      <c r="F30" s="133">
        <v>0</v>
      </c>
      <c r="G30" s="133">
        <v>0</v>
      </c>
      <c r="H30" s="133">
        <v>0</v>
      </c>
      <c r="I30" s="133">
        <v>0</v>
      </c>
      <c r="J30" s="133">
        <v>0</v>
      </c>
      <c r="K30" s="133">
        <v>0</v>
      </c>
      <c r="L30" s="133">
        <v>0</v>
      </c>
      <c r="M30" s="45">
        <v>0</v>
      </c>
    </row>
    <row r="31" spans="1:13" x14ac:dyDescent="0.25">
      <c r="A31" s="812" t="s">
        <v>1996</v>
      </c>
      <c r="B31" s="812">
        <v>2</v>
      </c>
      <c r="C31" s="608">
        <v>39471</v>
      </c>
      <c r="D31" s="812">
        <v>99730</v>
      </c>
      <c r="E31" s="812" t="s">
        <v>2035</v>
      </c>
      <c r="F31" s="133">
        <v>0</v>
      </c>
      <c r="G31" s="133">
        <v>0</v>
      </c>
      <c r="H31" s="133">
        <v>0</v>
      </c>
      <c r="I31" s="133">
        <v>0</v>
      </c>
      <c r="J31" s="133">
        <v>0</v>
      </c>
      <c r="K31" s="133">
        <v>0</v>
      </c>
      <c r="L31" s="133">
        <v>0</v>
      </c>
      <c r="M31" s="45">
        <v>0</v>
      </c>
    </row>
    <row r="32" spans="1:13" x14ac:dyDescent="0.25">
      <c r="A32" s="812" t="s">
        <v>1996</v>
      </c>
      <c r="B32" s="812">
        <v>2</v>
      </c>
      <c r="C32" s="608">
        <v>39471</v>
      </c>
      <c r="D32" s="812">
        <v>99737</v>
      </c>
      <c r="E32" s="812" t="s">
        <v>2036</v>
      </c>
      <c r="F32" s="133">
        <v>0</v>
      </c>
      <c r="G32" s="133">
        <v>0</v>
      </c>
      <c r="H32" s="133">
        <v>0</v>
      </c>
      <c r="I32" s="133">
        <v>0</v>
      </c>
      <c r="J32" s="133">
        <v>0</v>
      </c>
      <c r="K32" s="133">
        <v>0</v>
      </c>
      <c r="L32" s="133">
        <v>0</v>
      </c>
      <c r="M32" s="45">
        <v>0</v>
      </c>
    </row>
    <row r="33" spans="1:13" x14ac:dyDescent="0.25">
      <c r="A33" s="812" t="s">
        <v>1996</v>
      </c>
      <c r="B33" s="812">
        <v>2</v>
      </c>
      <c r="C33" s="608">
        <v>39471</v>
      </c>
      <c r="D33" s="812">
        <v>99743</v>
      </c>
      <c r="E33" s="812" t="s">
        <v>2037</v>
      </c>
      <c r="F33" s="133">
        <v>0</v>
      </c>
      <c r="G33" s="133">
        <v>0</v>
      </c>
      <c r="H33" s="133">
        <v>0</v>
      </c>
      <c r="I33" s="133">
        <v>0</v>
      </c>
      <c r="J33" s="133">
        <v>0</v>
      </c>
      <c r="K33" s="133">
        <v>0</v>
      </c>
      <c r="L33" s="133">
        <v>0</v>
      </c>
      <c r="M33" s="45">
        <v>0</v>
      </c>
    </row>
    <row r="34" spans="1:13" x14ac:dyDescent="0.25">
      <c r="A34" s="812" t="s">
        <v>1996</v>
      </c>
      <c r="B34" s="812">
        <v>2</v>
      </c>
      <c r="C34" s="608">
        <v>39471</v>
      </c>
      <c r="D34" s="812">
        <v>99744</v>
      </c>
      <c r="E34" s="812" t="s">
        <v>2038</v>
      </c>
      <c r="F34" s="133">
        <v>0</v>
      </c>
      <c r="G34" s="133">
        <v>0</v>
      </c>
      <c r="H34" s="133">
        <v>0</v>
      </c>
      <c r="I34" s="133">
        <v>0</v>
      </c>
      <c r="J34" s="133">
        <v>0</v>
      </c>
      <c r="K34" s="133">
        <v>0</v>
      </c>
      <c r="L34" s="133">
        <v>0</v>
      </c>
      <c r="M34" s="45">
        <v>0</v>
      </c>
    </row>
    <row r="35" spans="1:13" x14ac:dyDescent="0.25">
      <c r="A35" s="812" t="s">
        <v>1996</v>
      </c>
      <c r="B35" s="812">
        <v>2</v>
      </c>
      <c r="C35" s="608">
        <v>39471</v>
      </c>
      <c r="D35" s="812">
        <v>99755</v>
      </c>
      <c r="E35" s="812" t="s">
        <v>2039</v>
      </c>
      <c r="F35" s="133">
        <v>0</v>
      </c>
      <c r="G35" s="133">
        <v>0</v>
      </c>
      <c r="H35" s="133">
        <v>0</v>
      </c>
      <c r="I35" s="133">
        <v>0</v>
      </c>
      <c r="J35" s="133">
        <v>0</v>
      </c>
      <c r="K35" s="133">
        <v>0</v>
      </c>
      <c r="L35" s="133">
        <v>0</v>
      </c>
      <c r="M35" s="45">
        <v>0</v>
      </c>
    </row>
    <row r="36" spans="1:13" x14ac:dyDescent="0.25">
      <c r="A36" s="812" t="s">
        <v>1996</v>
      </c>
      <c r="B36" s="812">
        <v>2</v>
      </c>
      <c r="C36" s="608">
        <v>39471</v>
      </c>
      <c r="D36" s="812">
        <v>99756</v>
      </c>
      <c r="E36" s="812" t="s">
        <v>2040</v>
      </c>
      <c r="F36" s="133">
        <v>0</v>
      </c>
      <c r="G36" s="133">
        <v>0</v>
      </c>
      <c r="H36" s="133">
        <v>0</v>
      </c>
      <c r="I36" s="133">
        <v>0</v>
      </c>
      <c r="J36" s="133">
        <v>0</v>
      </c>
      <c r="K36" s="133">
        <v>0</v>
      </c>
      <c r="L36" s="133">
        <v>0</v>
      </c>
      <c r="M36" s="45">
        <v>0</v>
      </c>
    </row>
    <row r="37" spans="1:13" x14ac:dyDescent="0.25">
      <c r="A37" s="812" t="s">
        <v>1996</v>
      </c>
      <c r="B37" s="812">
        <v>2</v>
      </c>
      <c r="C37" s="608">
        <v>39471</v>
      </c>
      <c r="D37" s="812">
        <v>99758</v>
      </c>
      <c r="E37" s="812" t="s">
        <v>2041</v>
      </c>
      <c r="F37" s="133">
        <v>0</v>
      </c>
      <c r="G37" s="133">
        <v>0</v>
      </c>
      <c r="H37" s="133">
        <v>0</v>
      </c>
      <c r="I37" s="133">
        <v>0</v>
      </c>
      <c r="J37" s="133">
        <v>0</v>
      </c>
      <c r="K37" s="133">
        <v>0</v>
      </c>
      <c r="L37" s="133">
        <v>0</v>
      </c>
      <c r="M37" s="45">
        <v>0</v>
      </c>
    </row>
    <row r="38" spans="1:13" x14ac:dyDescent="0.25">
      <c r="A38" s="812" t="s">
        <v>1996</v>
      </c>
      <c r="B38" s="812">
        <v>2</v>
      </c>
      <c r="C38" s="608">
        <v>39471</v>
      </c>
      <c r="D38" s="812">
        <v>99760</v>
      </c>
      <c r="E38" s="812" t="s">
        <v>2042</v>
      </c>
      <c r="F38" s="133">
        <v>0</v>
      </c>
      <c r="G38" s="133">
        <v>0</v>
      </c>
      <c r="H38" s="133">
        <v>0</v>
      </c>
      <c r="I38" s="133">
        <v>0</v>
      </c>
      <c r="J38" s="133">
        <v>0</v>
      </c>
      <c r="K38" s="133">
        <v>0</v>
      </c>
      <c r="L38" s="133">
        <v>0</v>
      </c>
      <c r="M38" s="45">
        <v>0</v>
      </c>
    </row>
    <row r="39" spans="1:13" x14ac:dyDescent="0.25">
      <c r="A39" s="812" t="s">
        <v>1996</v>
      </c>
      <c r="B39" s="812">
        <v>2</v>
      </c>
      <c r="C39" s="608">
        <v>39471</v>
      </c>
      <c r="D39" s="812">
        <v>99767</v>
      </c>
      <c r="E39" s="812" t="s">
        <v>2043</v>
      </c>
      <c r="F39" s="133">
        <v>0</v>
      </c>
      <c r="G39" s="133">
        <v>0</v>
      </c>
      <c r="H39" s="133">
        <v>0</v>
      </c>
      <c r="I39" s="133">
        <v>0</v>
      </c>
      <c r="J39" s="133">
        <v>0</v>
      </c>
      <c r="K39" s="133">
        <v>0</v>
      </c>
      <c r="L39" s="133">
        <v>0</v>
      </c>
      <c r="M39" s="45">
        <v>0</v>
      </c>
    </row>
    <row r="40" spans="1:13" x14ac:dyDescent="0.25">
      <c r="A40" s="812" t="s">
        <v>1996</v>
      </c>
      <c r="B40" s="812">
        <v>2</v>
      </c>
      <c r="C40" s="608">
        <v>39471</v>
      </c>
      <c r="D40" s="812">
        <v>99774</v>
      </c>
      <c r="E40" s="812" t="s">
        <v>2044</v>
      </c>
      <c r="F40" s="133">
        <v>0</v>
      </c>
      <c r="G40" s="133">
        <v>0</v>
      </c>
      <c r="H40" s="133">
        <v>0</v>
      </c>
      <c r="I40" s="133">
        <v>0</v>
      </c>
      <c r="J40" s="133">
        <v>0</v>
      </c>
      <c r="K40" s="133">
        <v>0</v>
      </c>
      <c r="L40" s="133">
        <v>0</v>
      </c>
      <c r="M40" s="45">
        <v>0</v>
      </c>
    </row>
    <row r="41" spans="1:13" x14ac:dyDescent="0.25">
      <c r="A41" s="812" t="s">
        <v>1996</v>
      </c>
      <c r="B41" s="812">
        <v>2</v>
      </c>
      <c r="C41" s="608">
        <v>39471</v>
      </c>
      <c r="D41" s="812">
        <v>99775</v>
      </c>
      <c r="E41" s="812" t="s">
        <v>1602</v>
      </c>
      <c r="F41" s="133">
        <v>8.1094515684767315E-5</v>
      </c>
      <c r="G41" s="133">
        <v>1.9643151434606356E-3</v>
      </c>
      <c r="H41" s="133">
        <v>1.2388220916249412E-3</v>
      </c>
      <c r="I41" s="133">
        <v>6.0638991532686344E-5</v>
      </c>
      <c r="J41" s="133">
        <v>6.0638991532686344E-5</v>
      </c>
      <c r="K41" s="133">
        <v>4.5086353652552299E-5</v>
      </c>
      <c r="L41" s="133">
        <v>1.2896771711184938E-4</v>
      </c>
      <c r="M41" s="45">
        <v>31.277239863614867</v>
      </c>
    </row>
    <row r="42" spans="1:13" x14ac:dyDescent="0.25">
      <c r="A42" s="812" t="s">
        <v>1996</v>
      </c>
      <c r="B42" s="812">
        <v>2</v>
      </c>
      <c r="C42" s="608">
        <v>39471</v>
      </c>
      <c r="D42" s="812">
        <v>99790</v>
      </c>
      <c r="E42" s="812" t="s">
        <v>2045</v>
      </c>
      <c r="F42" s="133">
        <v>0</v>
      </c>
      <c r="G42" s="133">
        <v>0</v>
      </c>
      <c r="H42" s="133">
        <v>0</v>
      </c>
      <c r="I42" s="133">
        <v>0</v>
      </c>
      <c r="J42" s="133">
        <v>0</v>
      </c>
      <c r="K42" s="133">
        <v>0</v>
      </c>
      <c r="L42" s="133">
        <v>0</v>
      </c>
      <c r="M42" s="45">
        <v>0</v>
      </c>
    </row>
    <row r="43" spans="1:13" x14ac:dyDescent="0.25">
      <c r="A43" s="812" t="s">
        <v>1996</v>
      </c>
      <c r="B43" s="812">
        <v>3</v>
      </c>
      <c r="C43" s="608">
        <v>39472</v>
      </c>
      <c r="D43" s="812">
        <v>99701</v>
      </c>
      <c r="E43" s="812" t="s">
        <v>2031</v>
      </c>
      <c r="F43" s="133">
        <v>0.87876000784504205</v>
      </c>
      <c r="G43" s="133">
        <v>0.80128749963309487</v>
      </c>
      <c r="H43" s="133">
        <v>0.99194216514398326</v>
      </c>
      <c r="I43" s="133">
        <v>0.255565509329437</v>
      </c>
      <c r="J43" s="133">
        <v>0.255565509329437</v>
      </c>
      <c r="K43" s="133">
        <v>2.2015065259386537E-2</v>
      </c>
      <c r="L43" s="133">
        <v>2.5283314016912333</v>
      </c>
      <c r="M43" s="45">
        <v>14599.152310844769</v>
      </c>
    </row>
    <row r="44" spans="1:13" x14ac:dyDescent="0.25">
      <c r="A44" s="812" t="s">
        <v>1996</v>
      </c>
      <c r="B44" s="812">
        <v>3</v>
      </c>
      <c r="C44" s="608">
        <v>39472</v>
      </c>
      <c r="D44" s="812">
        <v>99702</v>
      </c>
      <c r="E44" s="812" t="s">
        <v>2032</v>
      </c>
      <c r="F44" s="133">
        <v>0</v>
      </c>
      <c r="G44" s="133">
        <v>0</v>
      </c>
      <c r="H44" s="133">
        <v>0</v>
      </c>
      <c r="I44" s="133">
        <v>0</v>
      </c>
      <c r="J44" s="133">
        <v>0</v>
      </c>
      <c r="K44" s="133">
        <v>0</v>
      </c>
      <c r="L44" s="133">
        <v>0</v>
      </c>
      <c r="M44" s="45">
        <v>0</v>
      </c>
    </row>
    <row r="45" spans="1:13" x14ac:dyDescent="0.25">
      <c r="A45" s="812" t="s">
        <v>1996</v>
      </c>
      <c r="B45" s="812">
        <v>3</v>
      </c>
      <c r="C45" s="608">
        <v>39472</v>
      </c>
      <c r="D45" s="812">
        <v>99703</v>
      </c>
      <c r="E45" s="812" t="s">
        <v>2033</v>
      </c>
      <c r="F45" s="133">
        <v>2.0832203137620554E-2</v>
      </c>
      <c r="G45" s="133">
        <v>1.4643858616071634E-2</v>
      </c>
      <c r="H45" s="133">
        <v>2.1679790474437532E-2</v>
      </c>
      <c r="I45" s="133">
        <v>6.841832156659333E-3</v>
      </c>
      <c r="J45" s="133">
        <v>6.841832156659333E-3</v>
      </c>
      <c r="K45" s="133">
        <v>4.215588138237362E-4</v>
      </c>
      <c r="L45" s="133">
        <v>7.2936554474420767E-2</v>
      </c>
      <c r="M45" s="45">
        <v>279.83290424828044</v>
      </c>
    </row>
    <row r="46" spans="1:13" x14ac:dyDescent="0.25">
      <c r="A46" s="812" t="s">
        <v>1996</v>
      </c>
      <c r="B46" s="812">
        <v>3</v>
      </c>
      <c r="C46" s="608">
        <v>39472</v>
      </c>
      <c r="D46" s="812">
        <v>99705</v>
      </c>
      <c r="E46" s="812" t="s">
        <v>1599</v>
      </c>
      <c r="F46" s="133">
        <v>3.6159559808095634</v>
      </c>
      <c r="G46" s="133">
        <v>0.73934262352454283</v>
      </c>
      <c r="H46" s="133">
        <v>1.2323755266135039</v>
      </c>
      <c r="I46" s="133">
        <v>1.0870790223279998</v>
      </c>
      <c r="J46" s="133">
        <v>1.0870790223279998</v>
      </c>
      <c r="K46" s="133">
        <v>4.8392438584873416E-2</v>
      </c>
      <c r="L46" s="133">
        <v>11.757573955985814</v>
      </c>
      <c r="M46" s="45">
        <v>15050.409441650127</v>
      </c>
    </row>
    <row r="47" spans="1:13" x14ac:dyDescent="0.25">
      <c r="A47" s="812" t="s">
        <v>1996</v>
      </c>
      <c r="B47" s="812">
        <v>3</v>
      </c>
      <c r="C47" s="608">
        <v>39472</v>
      </c>
      <c r="D47" s="812">
        <v>99709</v>
      </c>
      <c r="E47" s="812" t="s">
        <v>1600</v>
      </c>
      <c r="F47" s="133">
        <v>3.2026124888542644</v>
      </c>
      <c r="G47" s="133">
        <v>0.85909567171143408</v>
      </c>
      <c r="H47" s="133">
        <v>1.4042693487115725</v>
      </c>
      <c r="I47" s="133">
        <v>0.85889518819332022</v>
      </c>
      <c r="J47" s="133">
        <v>0.85889518819332022</v>
      </c>
      <c r="K47" s="133">
        <v>4.1995004801175607E-2</v>
      </c>
      <c r="L47" s="133">
        <v>8.879582974393772</v>
      </c>
      <c r="M47" s="45">
        <v>17401.404636917039</v>
      </c>
    </row>
    <row r="48" spans="1:13" x14ac:dyDescent="0.25">
      <c r="A48" s="812" t="s">
        <v>1996</v>
      </c>
      <c r="B48" s="812">
        <v>3</v>
      </c>
      <c r="C48" s="608">
        <v>39472</v>
      </c>
      <c r="D48" s="812">
        <v>99712</v>
      </c>
      <c r="E48" s="812" t="s">
        <v>1601</v>
      </c>
      <c r="F48" s="133">
        <v>1.8116660478893321</v>
      </c>
      <c r="G48" s="133">
        <v>0.30401335879007912</v>
      </c>
      <c r="H48" s="133">
        <v>0.54341706331478434</v>
      </c>
      <c r="I48" s="133">
        <v>0.48599190296468692</v>
      </c>
      <c r="J48" s="133">
        <v>0.48599190296468692</v>
      </c>
      <c r="K48" s="133">
        <v>2.2283099836557598E-2</v>
      </c>
      <c r="L48" s="133">
        <v>5.0716015712918665</v>
      </c>
      <c r="M48" s="45">
        <v>6303.8544931654842</v>
      </c>
    </row>
    <row r="49" spans="1:13" x14ac:dyDescent="0.25">
      <c r="A49" s="812" t="s">
        <v>1996</v>
      </c>
      <c r="B49" s="812">
        <v>3</v>
      </c>
      <c r="C49" s="608">
        <v>39472</v>
      </c>
      <c r="D49" s="812">
        <v>99714</v>
      </c>
      <c r="E49" s="812" t="s">
        <v>2034</v>
      </c>
      <c r="F49" s="133">
        <v>0</v>
      </c>
      <c r="G49" s="133">
        <v>0</v>
      </c>
      <c r="H49" s="133">
        <v>0</v>
      </c>
      <c r="I49" s="133">
        <v>0</v>
      </c>
      <c r="J49" s="133">
        <v>0</v>
      </c>
      <c r="K49" s="133">
        <v>0</v>
      </c>
      <c r="L49" s="133">
        <v>0</v>
      </c>
      <c r="M49" s="45">
        <v>0</v>
      </c>
    </row>
    <row r="50" spans="1:13" x14ac:dyDescent="0.25">
      <c r="A50" s="812" t="s">
        <v>1996</v>
      </c>
      <c r="B50" s="812">
        <v>3</v>
      </c>
      <c r="C50" s="608">
        <v>39472</v>
      </c>
      <c r="D50" s="812">
        <v>99730</v>
      </c>
      <c r="E50" s="812" t="s">
        <v>2035</v>
      </c>
      <c r="F50" s="133">
        <v>0</v>
      </c>
      <c r="G50" s="133">
        <v>0</v>
      </c>
      <c r="H50" s="133">
        <v>0</v>
      </c>
      <c r="I50" s="133">
        <v>0</v>
      </c>
      <c r="J50" s="133">
        <v>0</v>
      </c>
      <c r="K50" s="133">
        <v>0</v>
      </c>
      <c r="L50" s="133">
        <v>0</v>
      </c>
      <c r="M50" s="45">
        <v>0</v>
      </c>
    </row>
    <row r="51" spans="1:13" x14ac:dyDescent="0.25">
      <c r="A51" s="812" t="s">
        <v>1996</v>
      </c>
      <c r="B51" s="812">
        <v>3</v>
      </c>
      <c r="C51" s="608">
        <v>39472</v>
      </c>
      <c r="D51" s="812">
        <v>99737</v>
      </c>
      <c r="E51" s="812" t="s">
        <v>2036</v>
      </c>
      <c r="F51" s="133">
        <v>0</v>
      </c>
      <c r="G51" s="133">
        <v>0</v>
      </c>
      <c r="H51" s="133">
        <v>0</v>
      </c>
      <c r="I51" s="133">
        <v>0</v>
      </c>
      <c r="J51" s="133">
        <v>0</v>
      </c>
      <c r="K51" s="133">
        <v>0</v>
      </c>
      <c r="L51" s="133">
        <v>0</v>
      </c>
      <c r="M51" s="45">
        <v>0</v>
      </c>
    </row>
    <row r="52" spans="1:13" x14ac:dyDescent="0.25">
      <c r="A52" s="812" t="s">
        <v>1996</v>
      </c>
      <c r="B52" s="812">
        <v>3</v>
      </c>
      <c r="C52" s="608">
        <v>39472</v>
      </c>
      <c r="D52" s="812">
        <v>99743</v>
      </c>
      <c r="E52" s="812" t="s">
        <v>2037</v>
      </c>
      <c r="F52" s="133">
        <v>0</v>
      </c>
      <c r="G52" s="133">
        <v>0</v>
      </c>
      <c r="H52" s="133">
        <v>0</v>
      </c>
      <c r="I52" s="133">
        <v>0</v>
      </c>
      <c r="J52" s="133">
        <v>0</v>
      </c>
      <c r="K52" s="133">
        <v>0</v>
      </c>
      <c r="L52" s="133">
        <v>0</v>
      </c>
      <c r="M52" s="45">
        <v>0</v>
      </c>
    </row>
    <row r="53" spans="1:13" x14ac:dyDescent="0.25">
      <c r="A53" s="812" t="s">
        <v>1996</v>
      </c>
      <c r="B53" s="812">
        <v>3</v>
      </c>
      <c r="C53" s="608">
        <v>39472</v>
      </c>
      <c r="D53" s="812">
        <v>99744</v>
      </c>
      <c r="E53" s="812" t="s">
        <v>2038</v>
      </c>
      <c r="F53" s="133">
        <v>0</v>
      </c>
      <c r="G53" s="133">
        <v>0</v>
      </c>
      <c r="H53" s="133">
        <v>0</v>
      </c>
      <c r="I53" s="133">
        <v>0</v>
      </c>
      <c r="J53" s="133">
        <v>0</v>
      </c>
      <c r="K53" s="133">
        <v>0</v>
      </c>
      <c r="L53" s="133">
        <v>0</v>
      </c>
      <c r="M53" s="45">
        <v>0</v>
      </c>
    </row>
    <row r="54" spans="1:13" x14ac:dyDescent="0.25">
      <c r="A54" s="812" t="s">
        <v>1996</v>
      </c>
      <c r="B54" s="812">
        <v>3</v>
      </c>
      <c r="C54" s="608">
        <v>39472</v>
      </c>
      <c r="D54" s="812">
        <v>99755</v>
      </c>
      <c r="E54" s="812" t="s">
        <v>2039</v>
      </c>
      <c r="F54" s="133">
        <v>0</v>
      </c>
      <c r="G54" s="133">
        <v>0</v>
      </c>
      <c r="H54" s="133">
        <v>0</v>
      </c>
      <c r="I54" s="133">
        <v>0</v>
      </c>
      <c r="J54" s="133">
        <v>0</v>
      </c>
      <c r="K54" s="133">
        <v>0</v>
      </c>
      <c r="L54" s="133">
        <v>0</v>
      </c>
      <c r="M54" s="45">
        <v>0</v>
      </c>
    </row>
    <row r="55" spans="1:13" x14ac:dyDescent="0.25">
      <c r="A55" s="812" t="s">
        <v>1996</v>
      </c>
      <c r="B55" s="812">
        <v>3</v>
      </c>
      <c r="C55" s="608">
        <v>39472</v>
      </c>
      <c r="D55" s="812">
        <v>99756</v>
      </c>
      <c r="E55" s="812" t="s">
        <v>2040</v>
      </c>
      <c r="F55" s="133">
        <v>0</v>
      </c>
      <c r="G55" s="133">
        <v>0</v>
      </c>
      <c r="H55" s="133">
        <v>0</v>
      </c>
      <c r="I55" s="133">
        <v>0</v>
      </c>
      <c r="J55" s="133">
        <v>0</v>
      </c>
      <c r="K55" s="133">
        <v>0</v>
      </c>
      <c r="L55" s="133">
        <v>0</v>
      </c>
      <c r="M55" s="45">
        <v>0</v>
      </c>
    </row>
    <row r="56" spans="1:13" x14ac:dyDescent="0.25">
      <c r="A56" s="812" t="s">
        <v>1996</v>
      </c>
      <c r="B56" s="812">
        <v>3</v>
      </c>
      <c r="C56" s="608">
        <v>39472</v>
      </c>
      <c r="D56" s="812">
        <v>99758</v>
      </c>
      <c r="E56" s="812" t="s">
        <v>2041</v>
      </c>
      <c r="F56" s="133">
        <v>0</v>
      </c>
      <c r="G56" s="133">
        <v>0</v>
      </c>
      <c r="H56" s="133">
        <v>0</v>
      </c>
      <c r="I56" s="133">
        <v>0</v>
      </c>
      <c r="J56" s="133">
        <v>0</v>
      </c>
      <c r="K56" s="133">
        <v>0</v>
      </c>
      <c r="L56" s="133">
        <v>0</v>
      </c>
      <c r="M56" s="45">
        <v>0</v>
      </c>
    </row>
    <row r="57" spans="1:13" x14ac:dyDescent="0.25">
      <c r="A57" s="812" t="s">
        <v>1996</v>
      </c>
      <c r="B57" s="812">
        <v>3</v>
      </c>
      <c r="C57" s="608">
        <v>39472</v>
      </c>
      <c r="D57" s="812">
        <v>99760</v>
      </c>
      <c r="E57" s="812" t="s">
        <v>2042</v>
      </c>
      <c r="F57" s="133">
        <v>0</v>
      </c>
      <c r="G57" s="133">
        <v>0</v>
      </c>
      <c r="H57" s="133">
        <v>0</v>
      </c>
      <c r="I57" s="133">
        <v>0</v>
      </c>
      <c r="J57" s="133">
        <v>0</v>
      </c>
      <c r="K57" s="133">
        <v>0</v>
      </c>
      <c r="L57" s="133">
        <v>0</v>
      </c>
      <c r="M57" s="45">
        <v>0</v>
      </c>
    </row>
    <row r="58" spans="1:13" x14ac:dyDescent="0.25">
      <c r="A58" s="812" t="s">
        <v>1996</v>
      </c>
      <c r="B58" s="812">
        <v>3</v>
      </c>
      <c r="C58" s="608">
        <v>39472</v>
      </c>
      <c r="D58" s="812">
        <v>99767</v>
      </c>
      <c r="E58" s="812" t="s">
        <v>2043</v>
      </c>
      <c r="F58" s="133">
        <v>0</v>
      </c>
      <c r="G58" s="133">
        <v>0</v>
      </c>
      <c r="H58" s="133">
        <v>0</v>
      </c>
      <c r="I58" s="133">
        <v>0</v>
      </c>
      <c r="J58" s="133">
        <v>0</v>
      </c>
      <c r="K58" s="133">
        <v>0</v>
      </c>
      <c r="L58" s="133">
        <v>0</v>
      </c>
      <c r="M58" s="45">
        <v>0</v>
      </c>
    </row>
    <row r="59" spans="1:13" x14ac:dyDescent="0.25">
      <c r="A59" s="812" t="s">
        <v>1996</v>
      </c>
      <c r="B59" s="812">
        <v>3</v>
      </c>
      <c r="C59" s="608">
        <v>39472</v>
      </c>
      <c r="D59" s="812">
        <v>99774</v>
      </c>
      <c r="E59" s="812" t="s">
        <v>2044</v>
      </c>
      <c r="F59" s="133">
        <v>0</v>
      </c>
      <c r="G59" s="133">
        <v>0</v>
      </c>
      <c r="H59" s="133">
        <v>0</v>
      </c>
      <c r="I59" s="133">
        <v>0</v>
      </c>
      <c r="J59" s="133">
        <v>0</v>
      </c>
      <c r="K59" s="133">
        <v>0</v>
      </c>
      <c r="L59" s="133">
        <v>0</v>
      </c>
      <c r="M59" s="45">
        <v>0</v>
      </c>
    </row>
    <row r="60" spans="1:13" x14ac:dyDescent="0.25">
      <c r="A60" s="812" t="s">
        <v>1996</v>
      </c>
      <c r="B60" s="812">
        <v>3</v>
      </c>
      <c r="C60" s="608">
        <v>39472</v>
      </c>
      <c r="D60" s="812">
        <v>99775</v>
      </c>
      <c r="E60" s="812" t="s">
        <v>1602</v>
      </c>
      <c r="F60" s="133">
        <v>7.9403027733057372E-5</v>
      </c>
      <c r="G60" s="133">
        <v>1.9216127828284072E-3</v>
      </c>
      <c r="H60" s="133">
        <v>1.2086381652473878E-3</v>
      </c>
      <c r="I60" s="133">
        <v>5.9555781865376548E-5</v>
      </c>
      <c r="J60" s="133">
        <v>5.9555781865376548E-5</v>
      </c>
      <c r="K60" s="133">
        <v>4.5028239453901135E-5</v>
      </c>
      <c r="L60" s="133">
        <v>1.2790526896316301E-4</v>
      </c>
      <c r="M60" s="45">
        <v>30.620097980552238</v>
      </c>
    </row>
    <row r="61" spans="1:13" x14ac:dyDescent="0.25">
      <c r="A61" s="812" t="s">
        <v>1996</v>
      </c>
      <c r="B61" s="812">
        <v>3</v>
      </c>
      <c r="C61" s="608">
        <v>39472</v>
      </c>
      <c r="D61" s="812">
        <v>99790</v>
      </c>
      <c r="E61" s="812" t="s">
        <v>2045</v>
      </c>
      <c r="F61" s="133">
        <v>0</v>
      </c>
      <c r="G61" s="133">
        <v>0</v>
      </c>
      <c r="H61" s="133">
        <v>0</v>
      </c>
      <c r="I61" s="133">
        <v>0</v>
      </c>
      <c r="J61" s="133">
        <v>0</v>
      </c>
      <c r="K61" s="133">
        <v>0</v>
      </c>
      <c r="L61" s="133">
        <v>0</v>
      </c>
      <c r="M61" s="45">
        <v>0</v>
      </c>
    </row>
    <row r="62" spans="1:13" x14ac:dyDescent="0.25">
      <c r="A62" s="812" t="s">
        <v>1996</v>
      </c>
      <c r="B62" s="812">
        <v>4</v>
      </c>
      <c r="C62" s="608">
        <v>39473</v>
      </c>
      <c r="D62" s="812">
        <v>99701</v>
      </c>
      <c r="E62" s="812" t="s">
        <v>2031</v>
      </c>
      <c r="F62" s="133">
        <v>1.2227446485978939</v>
      </c>
      <c r="G62" s="133">
        <v>1.0022227749132542</v>
      </c>
      <c r="H62" s="133">
        <v>1.2759877695954651</v>
      </c>
      <c r="I62" s="133">
        <v>0.35024354355503384</v>
      </c>
      <c r="J62" s="133">
        <v>0.35024354355503384</v>
      </c>
      <c r="K62" s="133">
        <v>2.611717706656563E-2</v>
      </c>
      <c r="L62" s="133">
        <v>3.4979668366702201</v>
      </c>
      <c r="M62" s="45">
        <v>18316.965294425452</v>
      </c>
    </row>
    <row r="63" spans="1:13" x14ac:dyDescent="0.25">
      <c r="A63" s="812" t="s">
        <v>1996</v>
      </c>
      <c r="B63" s="812">
        <v>4</v>
      </c>
      <c r="C63" s="608">
        <v>39473</v>
      </c>
      <c r="D63" s="812">
        <v>99702</v>
      </c>
      <c r="E63" s="812" t="s">
        <v>2032</v>
      </c>
      <c r="F63" s="133">
        <v>0</v>
      </c>
      <c r="G63" s="133">
        <v>0</v>
      </c>
      <c r="H63" s="133">
        <v>0</v>
      </c>
      <c r="I63" s="133">
        <v>0</v>
      </c>
      <c r="J63" s="133">
        <v>0</v>
      </c>
      <c r="K63" s="133">
        <v>0</v>
      </c>
      <c r="L63" s="133">
        <v>0</v>
      </c>
      <c r="M63" s="45">
        <v>0</v>
      </c>
    </row>
    <row r="64" spans="1:13" x14ac:dyDescent="0.25">
      <c r="A64" s="812" t="s">
        <v>1996</v>
      </c>
      <c r="B64" s="812">
        <v>4</v>
      </c>
      <c r="C64" s="608">
        <v>39473</v>
      </c>
      <c r="D64" s="812">
        <v>99703</v>
      </c>
      <c r="E64" s="812" t="s">
        <v>2033</v>
      </c>
      <c r="F64" s="133">
        <v>2.8550123461964574E-2</v>
      </c>
      <c r="G64" s="133">
        <v>1.8641663306838741E-2</v>
      </c>
      <c r="H64" s="133">
        <v>2.8214738314611867E-2</v>
      </c>
      <c r="I64" s="133">
        <v>9.3458061046303564E-3</v>
      </c>
      <c r="J64" s="133">
        <v>9.3458061046303564E-3</v>
      </c>
      <c r="K64" s="133">
        <v>5.2375717749943975E-4</v>
      </c>
      <c r="L64" s="133">
        <v>0.10072987618751882</v>
      </c>
      <c r="M64" s="45">
        <v>357.74082270044431</v>
      </c>
    </row>
    <row r="65" spans="1:13" x14ac:dyDescent="0.25">
      <c r="A65" s="812" t="s">
        <v>1996</v>
      </c>
      <c r="B65" s="812">
        <v>4</v>
      </c>
      <c r="C65" s="608">
        <v>39473</v>
      </c>
      <c r="D65" s="812">
        <v>99705</v>
      </c>
      <c r="E65" s="812" t="s">
        <v>1599</v>
      </c>
      <c r="F65" s="133">
        <v>4.7627802847605931</v>
      </c>
      <c r="G65" s="133">
        <v>0.95359471037527799</v>
      </c>
      <c r="H65" s="133">
        <v>1.5932795437978264</v>
      </c>
      <c r="I65" s="133">
        <v>1.4399907415204347</v>
      </c>
      <c r="J65" s="133">
        <v>1.4399907415204347</v>
      </c>
      <c r="K65" s="133">
        <v>6.3686022166738673E-2</v>
      </c>
      <c r="L65" s="133">
        <v>15.778042577022157</v>
      </c>
      <c r="M65" s="45">
        <v>19374.666239189599</v>
      </c>
    </row>
    <row r="66" spans="1:13" x14ac:dyDescent="0.25">
      <c r="A66" s="812" t="s">
        <v>1996</v>
      </c>
      <c r="B66" s="812">
        <v>4</v>
      </c>
      <c r="C66" s="608">
        <v>39473</v>
      </c>
      <c r="D66" s="812">
        <v>99709</v>
      </c>
      <c r="E66" s="812" t="s">
        <v>1600</v>
      </c>
      <c r="F66" s="133">
        <v>4.2734188445726424</v>
      </c>
      <c r="G66" s="133">
        <v>1.0847006838990554</v>
      </c>
      <c r="H66" s="133">
        <v>1.7836397853193418</v>
      </c>
      <c r="I66" s="133">
        <v>1.1399680921124959</v>
      </c>
      <c r="J66" s="133">
        <v>1.1399680921124959</v>
      </c>
      <c r="K66" s="133">
        <v>5.4008344389417727E-2</v>
      </c>
      <c r="L66" s="133">
        <v>11.847361401735673</v>
      </c>
      <c r="M66" s="45">
        <v>21959.097434754873</v>
      </c>
    </row>
    <row r="67" spans="1:13" x14ac:dyDescent="0.25">
      <c r="A67" s="812" t="s">
        <v>1996</v>
      </c>
      <c r="B67" s="812">
        <v>4</v>
      </c>
      <c r="C67" s="608">
        <v>39473</v>
      </c>
      <c r="D67" s="812">
        <v>99712</v>
      </c>
      <c r="E67" s="812" t="s">
        <v>1601</v>
      </c>
      <c r="F67" s="133">
        <v>2.3681123073444312</v>
      </c>
      <c r="G67" s="133">
        <v>0.38497323317603055</v>
      </c>
      <c r="H67" s="133">
        <v>0.68660095523256559</v>
      </c>
      <c r="I67" s="133">
        <v>0.63330244524895019</v>
      </c>
      <c r="J67" s="133">
        <v>0.63330244524895019</v>
      </c>
      <c r="K67" s="133">
        <v>2.8951065152360511E-2</v>
      </c>
      <c r="L67" s="133">
        <v>6.6572931368161887</v>
      </c>
      <c r="M67" s="45">
        <v>7958.2558071185258</v>
      </c>
    </row>
    <row r="68" spans="1:13" x14ac:dyDescent="0.25">
      <c r="A68" s="812" t="s">
        <v>1996</v>
      </c>
      <c r="B68" s="812">
        <v>4</v>
      </c>
      <c r="C68" s="608">
        <v>39473</v>
      </c>
      <c r="D68" s="812">
        <v>99714</v>
      </c>
      <c r="E68" s="812" t="s">
        <v>2034</v>
      </c>
      <c r="F68" s="133">
        <v>0</v>
      </c>
      <c r="G68" s="133">
        <v>0</v>
      </c>
      <c r="H68" s="133">
        <v>0</v>
      </c>
      <c r="I68" s="133">
        <v>0</v>
      </c>
      <c r="J68" s="133">
        <v>0</v>
      </c>
      <c r="K68" s="133">
        <v>0</v>
      </c>
      <c r="L68" s="133">
        <v>0</v>
      </c>
      <c r="M68" s="45">
        <v>0</v>
      </c>
    </row>
    <row r="69" spans="1:13" x14ac:dyDescent="0.25">
      <c r="A69" s="812" t="s">
        <v>1996</v>
      </c>
      <c r="B69" s="812">
        <v>4</v>
      </c>
      <c r="C69" s="608">
        <v>39473</v>
      </c>
      <c r="D69" s="812">
        <v>99730</v>
      </c>
      <c r="E69" s="812" t="s">
        <v>2035</v>
      </c>
      <c r="F69" s="133">
        <v>0</v>
      </c>
      <c r="G69" s="133">
        <v>0</v>
      </c>
      <c r="H69" s="133">
        <v>0</v>
      </c>
      <c r="I69" s="133">
        <v>0</v>
      </c>
      <c r="J69" s="133">
        <v>0</v>
      </c>
      <c r="K69" s="133">
        <v>0</v>
      </c>
      <c r="L69" s="133">
        <v>0</v>
      </c>
      <c r="M69" s="45">
        <v>0</v>
      </c>
    </row>
    <row r="70" spans="1:13" x14ac:dyDescent="0.25">
      <c r="A70" s="812" t="s">
        <v>1996</v>
      </c>
      <c r="B70" s="812">
        <v>4</v>
      </c>
      <c r="C70" s="608">
        <v>39473</v>
      </c>
      <c r="D70" s="812">
        <v>99737</v>
      </c>
      <c r="E70" s="812" t="s">
        <v>2036</v>
      </c>
      <c r="F70" s="133">
        <v>0</v>
      </c>
      <c r="G70" s="133">
        <v>0</v>
      </c>
      <c r="H70" s="133">
        <v>0</v>
      </c>
      <c r="I70" s="133">
        <v>0</v>
      </c>
      <c r="J70" s="133">
        <v>0</v>
      </c>
      <c r="K70" s="133">
        <v>0</v>
      </c>
      <c r="L70" s="133">
        <v>0</v>
      </c>
      <c r="M70" s="45">
        <v>0</v>
      </c>
    </row>
    <row r="71" spans="1:13" x14ac:dyDescent="0.25">
      <c r="A71" s="812" t="s">
        <v>1996</v>
      </c>
      <c r="B71" s="812">
        <v>4</v>
      </c>
      <c r="C71" s="608">
        <v>39473</v>
      </c>
      <c r="D71" s="812">
        <v>99743</v>
      </c>
      <c r="E71" s="812" t="s">
        <v>2037</v>
      </c>
      <c r="F71" s="133">
        <v>0</v>
      </c>
      <c r="G71" s="133">
        <v>0</v>
      </c>
      <c r="H71" s="133">
        <v>0</v>
      </c>
      <c r="I71" s="133">
        <v>0</v>
      </c>
      <c r="J71" s="133">
        <v>0</v>
      </c>
      <c r="K71" s="133">
        <v>0</v>
      </c>
      <c r="L71" s="133">
        <v>0</v>
      </c>
      <c r="M71" s="45">
        <v>0</v>
      </c>
    </row>
    <row r="72" spans="1:13" x14ac:dyDescent="0.25">
      <c r="A72" s="812" t="s">
        <v>1996</v>
      </c>
      <c r="B72" s="812">
        <v>4</v>
      </c>
      <c r="C72" s="608">
        <v>39473</v>
      </c>
      <c r="D72" s="812">
        <v>99744</v>
      </c>
      <c r="E72" s="812" t="s">
        <v>2038</v>
      </c>
      <c r="F72" s="133">
        <v>0</v>
      </c>
      <c r="G72" s="133">
        <v>0</v>
      </c>
      <c r="H72" s="133">
        <v>0</v>
      </c>
      <c r="I72" s="133">
        <v>0</v>
      </c>
      <c r="J72" s="133">
        <v>0</v>
      </c>
      <c r="K72" s="133">
        <v>0</v>
      </c>
      <c r="L72" s="133">
        <v>0</v>
      </c>
      <c r="M72" s="45">
        <v>0</v>
      </c>
    </row>
    <row r="73" spans="1:13" x14ac:dyDescent="0.25">
      <c r="A73" s="812" t="s">
        <v>1996</v>
      </c>
      <c r="B73" s="812">
        <v>4</v>
      </c>
      <c r="C73" s="608">
        <v>39473</v>
      </c>
      <c r="D73" s="812">
        <v>99755</v>
      </c>
      <c r="E73" s="812" t="s">
        <v>2039</v>
      </c>
      <c r="F73" s="133">
        <v>0</v>
      </c>
      <c r="G73" s="133">
        <v>0</v>
      </c>
      <c r="H73" s="133">
        <v>0</v>
      </c>
      <c r="I73" s="133">
        <v>0</v>
      </c>
      <c r="J73" s="133">
        <v>0</v>
      </c>
      <c r="K73" s="133">
        <v>0</v>
      </c>
      <c r="L73" s="133">
        <v>0</v>
      </c>
      <c r="M73" s="45">
        <v>0</v>
      </c>
    </row>
    <row r="74" spans="1:13" x14ac:dyDescent="0.25">
      <c r="A74" s="812" t="s">
        <v>1996</v>
      </c>
      <c r="B74" s="812">
        <v>4</v>
      </c>
      <c r="C74" s="608">
        <v>39473</v>
      </c>
      <c r="D74" s="812">
        <v>99756</v>
      </c>
      <c r="E74" s="812" t="s">
        <v>2040</v>
      </c>
      <c r="F74" s="133">
        <v>0</v>
      </c>
      <c r="G74" s="133">
        <v>0</v>
      </c>
      <c r="H74" s="133">
        <v>0</v>
      </c>
      <c r="I74" s="133">
        <v>0</v>
      </c>
      <c r="J74" s="133">
        <v>0</v>
      </c>
      <c r="K74" s="133">
        <v>0</v>
      </c>
      <c r="L74" s="133">
        <v>0</v>
      </c>
      <c r="M74" s="45">
        <v>0</v>
      </c>
    </row>
    <row r="75" spans="1:13" x14ac:dyDescent="0.25">
      <c r="A75" s="812" t="s">
        <v>1996</v>
      </c>
      <c r="B75" s="812">
        <v>4</v>
      </c>
      <c r="C75" s="608">
        <v>39473</v>
      </c>
      <c r="D75" s="812">
        <v>99758</v>
      </c>
      <c r="E75" s="812" t="s">
        <v>2041</v>
      </c>
      <c r="F75" s="133">
        <v>0</v>
      </c>
      <c r="G75" s="133">
        <v>0</v>
      </c>
      <c r="H75" s="133">
        <v>0</v>
      </c>
      <c r="I75" s="133">
        <v>0</v>
      </c>
      <c r="J75" s="133">
        <v>0</v>
      </c>
      <c r="K75" s="133">
        <v>0</v>
      </c>
      <c r="L75" s="133">
        <v>0</v>
      </c>
      <c r="M75" s="45">
        <v>0</v>
      </c>
    </row>
    <row r="76" spans="1:13" x14ac:dyDescent="0.25">
      <c r="A76" s="812" t="s">
        <v>1996</v>
      </c>
      <c r="B76" s="812">
        <v>4</v>
      </c>
      <c r="C76" s="608">
        <v>39473</v>
      </c>
      <c r="D76" s="812">
        <v>99760</v>
      </c>
      <c r="E76" s="812" t="s">
        <v>2042</v>
      </c>
      <c r="F76" s="133">
        <v>0</v>
      </c>
      <c r="G76" s="133">
        <v>0</v>
      </c>
      <c r="H76" s="133">
        <v>0</v>
      </c>
      <c r="I76" s="133">
        <v>0</v>
      </c>
      <c r="J76" s="133">
        <v>0</v>
      </c>
      <c r="K76" s="133">
        <v>0</v>
      </c>
      <c r="L76" s="133">
        <v>0</v>
      </c>
      <c r="M76" s="45">
        <v>0</v>
      </c>
    </row>
    <row r="77" spans="1:13" x14ac:dyDescent="0.25">
      <c r="A77" s="812" t="s">
        <v>1996</v>
      </c>
      <c r="B77" s="812">
        <v>4</v>
      </c>
      <c r="C77" s="608">
        <v>39473</v>
      </c>
      <c r="D77" s="812">
        <v>99767</v>
      </c>
      <c r="E77" s="812" t="s">
        <v>2043</v>
      </c>
      <c r="F77" s="133">
        <v>0</v>
      </c>
      <c r="G77" s="133">
        <v>0</v>
      </c>
      <c r="H77" s="133">
        <v>0</v>
      </c>
      <c r="I77" s="133">
        <v>0</v>
      </c>
      <c r="J77" s="133">
        <v>0</v>
      </c>
      <c r="K77" s="133">
        <v>0</v>
      </c>
      <c r="L77" s="133">
        <v>0</v>
      </c>
      <c r="M77" s="45">
        <v>0</v>
      </c>
    </row>
    <row r="78" spans="1:13" x14ac:dyDescent="0.25">
      <c r="A78" s="812" t="s">
        <v>1996</v>
      </c>
      <c r="B78" s="812">
        <v>4</v>
      </c>
      <c r="C78" s="608">
        <v>39473</v>
      </c>
      <c r="D78" s="812">
        <v>99774</v>
      </c>
      <c r="E78" s="812" t="s">
        <v>2044</v>
      </c>
      <c r="F78" s="133">
        <v>0</v>
      </c>
      <c r="G78" s="133">
        <v>0</v>
      </c>
      <c r="H78" s="133">
        <v>0</v>
      </c>
      <c r="I78" s="133">
        <v>0</v>
      </c>
      <c r="J78" s="133">
        <v>0</v>
      </c>
      <c r="K78" s="133">
        <v>0</v>
      </c>
      <c r="L78" s="133">
        <v>0</v>
      </c>
      <c r="M78" s="45">
        <v>0</v>
      </c>
    </row>
    <row r="79" spans="1:13" x14ac:dyDescent="0.25">
      <c r="A79" s="812" t="s">
        <v>1996</v>
      </c>
      <c r="B79" s="812">
        <v>4</v>
      </c>
      <c r="C79" s="608">
        <v>39473</v>
      </c>
      <c r="D79" s="812">
        <v>99775</v>
      </c>
      <c r="E79" s="812" t="s">
        <v>1602</v>
      </c>
      <c r="F79" s="133">
        <v>9.5472163274301695E-5</v>
      </c>
      <c r="G79" s="133">
        <v>2.3272852088345756E-3</v>
      </c>
      <c r="H79" s="133">
        <v>1.4953854658341483E-3</v>
      </c>
      <c r="I79" s="133">
        <v>6.9846273704819587E-5</v>
      </c>
      <c r="J79" s="133">
        <v>6.9846273704819587E-5</v>
      </c>
      <c r="K79" s="133">
        <v>4.5580324341087232E-5</v>
      </c>
      <c r="L79" s="133">
        <v>1.3799852637568337E-4</v>
      </c>
      <c r="M79" s="45">
        <v>36.862945869647184</v>
      </c>
    </row>
    <row r="80" spans="1:13" x14ac:dyDescent="0.25">
      <c r="A80" s="812" t="s">
        <v>1996</v>
      </c>
      <c r="B80" s="812">
        <v>4</v>
      </c>
      <c r="C80" s="608">
        <v>39473</v>
      </c>
      <c r="D80" s="812">
        <v>99790</v>
      </c>
      <c r="E80" s="812" t="s">
        <v>2045</v>
      </c>
      <c r="F80" s="133">
        <v>0</v>
      </c>
      <c r="G80" s="133">
        <v>0</v>
      </c>
      <c r="H80" s="133">
        <v>0</v>
      </c>
      <c r="I80" s="133">
        <v>0</v>
      </c>
      <c r="J80" s="133">
        <v>0</v>
      </c>
      <c r="K80" s="133">
        <v>0</v>
      </c>
      <c r="L80" s="133">
        <v>0</v>
      </c>
      <c r="M80" s="45">
        <v>0</v>
      </c>
    </row>
    <row r="81" spans="1:13" x14ac:dyDescent="0.25">
      <c r="A81" s="812" t="s">
        <v>1996</v>
      </c>
      <c r="B81" s="812">
        <v>5</v>
      </c>
      <c r="C81" s="608">
        <v>39474</v>
      </c>
      <c r="D81" s="812">
        <v>99701</v>
      </c>
      <c r="E81" s="812" t="s">
        <v>2031</v>
      </c>
      <c r="F81" s="133">
        <v>1.0878688986013489</v>
      </c>
      <c r="G81" s="133">
        <v>0.92865764679440943</v>
      </c>
      <c r="H81" s="133">
        <v>1.1719401999170478</v>
      </c>
      <c r="I81" s="133">
        <v>0.31527358633896646</v>
      </c>
      <c r="J81" s="133">
        <v>0.31527358633896646</v>
      </c>
      <c r="K81" s="133">
        <v>2.4572298674494258E-2</v>
      </c>
      <c r="L81" s="133">
        <v>3.15034542938582</v>
      </c>
      <c r="M81" s="45">
        <v>16956.804588797786</v>
      </c>
    </row>
    <row r="82" spans="1:13" x14ac:dyDescent="0.25">
      <c r="A82" s="812" t="s">
        <v>1996</v>
      </c>
      <c r="B82" s="812">
        <v>5</v>
      </c>
      <c r="C82" s="608">
        <v>39474</v>
      </c>
      <c r="D82" s="812">
        <v>99702</v>
      </c>
      <c r="E82" s="812" t="s">
        <v>2032</v>
      </c>
      <c r="F82" s="133">
        <v>0</v>
      </c>
      <c r="G82" s="133">
        <v>0</v>
      </c>
      <c r="H82" s="133">
        <v>0</v>
      </c>
      <c r="I82" s="133">
        <v>0</v>
      </c>
      <c r="J82" s="133">
        <v>0</v>
      </c>
      <c r="K82" s="133">
        <v>0</v>
      </c>
      <c r="L82" s="133">
        <v>0</v>
      </c>
      <c r="M82" s="45">
        <v>0</v>
      </c>
    </row>
    <row r="83" spans="1:13" x14ac:dyDescent="0.25">
      <c r="A83" s="812" t="s">
        <v>1996</v>
      </c>
      <c r="B83" s="812">
        <v>5</v>
      </c>
      <c r="C83" s="608">
        <v>39474</v>
      </c>
      <c r="D83" s="812">
        <v>99703</v>
      </c>
      <c r="E83" s="812" t="s">
        <v>2033</v>
      </c>
      <c r="F83" s="133">
        <v>2.588843855765537E-2</v>
      </c>
      <c r="G83" s="133">
        <v>1.7263773269670418E-2</v>
      </c>
      <c r="H83" s="133">
        <v>2.6000538948164342E-2</v>
      </c>
      <c r="I83" s="133">
        <v>8.5182469582167145E-3</v>
      </c>
      <c r="J83" s="133">
        <v>8.5182469582167145E-3</v>
      </c>
      <c r="K83" s="133">
        <v>4.8965479574734157E-4</v>
      </c>
      <c r="L83" s="133">
        <v>9.1749661639698568E-2</v>
      </c>
      <c r="M83" s="45">
        <v>331.11670011816068</v>
      </c>
    </row>
    <row r="84" spans="1:13" x14ac:dyDescent="0.25">
      <c r="A84" s="812" t="s">
        <v>1996</v>
      </c>
      <c r="B84" s="812">
        <v>5</v>
      </c>
      <c r="C84" s="608">
        <v>39474</v>
      </c>
      <c r="D84" s="812">
        <v>99705</v>
      </c>
      <c r="E84" s="812" t="s">
        <v>1599</v>
      </c>
      <c r="F84" s="133">
        <v>4.319957754486377</v>
      </c>
      <c r="G84" s="133">
        <v>0.87530319253666655</v>
      </c>
      <c r="H84" s="133">
        <v>1.4604895950445946</v>
      </c>
      <c r="I84" s="133">
        <v>1.3100888750359734</v>
      </c>
      <c r="J84" s="133">
        <v>1.3100888750359734</v>
      </c>
      <c r="K84" s="133">
        <v>5.8027371329449538E-2</v>
      </c>
      <c r="L84" s="133">
        <v>14.337670677755465</v>
      </c>
      <c r="M84" s="45">
        <v>17792.549719785664</v>
      </c>
    </row>
    <row r="85" spans="1:13" x14ac:dyDescent="0.25">
      <c r="A85" s="812" t="s">
        <v>1996</v>
      </c>
      <c r="B85" s="812">
        <v>5</v>
      </c>
      <c r="C85" s="608">
        <v>39474</v>
      </c>
      <c r="D85" s="812">
        <v>99709</v>
      </c>
      <c r="E85" s="812" t="s">
        <v>1600</v>
      </c>
      <c r="F85" s="133">
        <v>3.678952205137147</v>
      </c>
      <c r="G85" s="133">
        <v>0.98110586855131232</v>
      </c>
      <c r="H85" s="133">
        <v>1.6053530947735357</v>
      </c>
      <c r="I85" s="133">
        <v>0.99286088256581706</v>
      </c>
      <c r="J85" s="133">
        <v>0.99286088256581706</v>
      </c>
      <c r="K85" s="133">
        <v>4.7631993223367926E-2</v>
      </c>
      <c r="L85" s="133">
        <v>10.33904052507814</v>
      </c>
      <c r="M85" s="45">
        <v>19845.608083744679</v>
      </c>
    </row>
    <row r="86" spans="1:13" x14ac:dyDescent="0.25">
      <c r="A86" s="812" t="s">
        <v>1996</v>
      </c>
      <c r="B86" s="812">
        <v>5</v>
      </c>
      <c r="C86" s="608">
        <v>39474</v>
      </c>
      <c r="D86" s="812">
        <v>99712</v>
      </c>
      <c r="E86" s="812" t="s">
        <v>1601</v>
      </c>
      <c r="F86" s="133">
        <v>1.9328918359369633</v>
      </c>
      <c r="G86" s="133">
        <v>0.32822032680814789</v>
      </c>
      <c r="H86" s="133">
        <v>0.58410294167995913</v>
      </c>
      <c r="I86" s="133">
        <v>0.5235548666571066</v>
      </c>
      <c r="J86" s="133">
        <v>0.5235548666571066</v>
      </c>
      <c r="K86" s="133">
        <v>2.3962011429297023E-2</v>
      </c>
      <c r="L86" s="133">
        <v>5.5104943014596452</v>
      </c>
      <c r="M86" s="45">
        <v>6789.0463231450303</v>
      </c>
    </row>
    <row r="87" spans="1:13" x14ac:dyDescent="0.25">
      <c r="A87" s="812" t="s">
        <v>1996</v>
      </c>
      <c r="B87" s="812">
        <v>5</v>
      </c>
      <c r="C87" s="608">
        <v>39474</v>
      </c>
      <c r="D87" s="812">
        <v>99714</v>
      </c>
      <c r="E87" s="812" t="s">
        <v>2034</v>
      </c>
      <c r="F87" s="133">
        <v>0</v>
      </c>
      <c r="G87" s="133">
        <v>0</v>
      </c>
      <c r="H87" s="133">
        <v>0</v>
      </c>
      <c r="I87" s="133">
        <v>0</v>
      </c>
      <c r="J87" s="133">
        <v>0</v>
      </c>
      <c r="K87" s="133">
        <v>0</v>
      </c>
      <c r="L87" s="133">
        <v>0</v>
      </c>
      <c r="M87" s="45">
        <v>0</v>
      </c>
    </row>
    <row r="88" spans="1:13" x14ac:dyDescent="0.25">
      <c r="A88" s="812" t="s">
        <v>1996</v>
      </c>
      <c r="B88" s="812">
        <v>5</v>
      </c>
      <c r="C88" s="608">
        <v>39474</v>
      </c>
      <c r="D88" s="812">
        <v>99730</v>
      </c>
      <c r="E88" s="812" t="s">
        <v>2035</v>
      </c>
      <c r="F88" s="133">
        <v>0</v>
      </c>
      <c r="G88" s="133">
        <v>0</v>
      </c>
      <c r="H88" s="133">
        <v>0</v>
      </c>
      <c r="I88" s="133">
        <v>0</v>
      </c>
      <c r="J88" s="133">
        <v>0</v>
      </c>
      <c r="K88" s="133">
        <v>0</v>
      </c>
      <c r="L88" s="133">
        <v>0</v>
      </c>
      <c r="M88" s="45">
        <v>0</v>
      </c>
    </row>
    <row r="89" spans="1:13" x14ac:dyDescent="0.25">
      <c r="A89" s="812" t="s">
        <v>1996</v>
      </c>
      <c r="B89" s="812">
        <v>5</v>
      </c>
      <c r="C89" s="608">
        <v>39474</v>
      </c>
      <c r="D89" s="812">
        <v>99737</v>
      </c>
      <c r="E89" s="812" t="s">
        <v>2036</v>
      </c>
      <c r="F89" s="133">
        <v>0</v>
      </c>
      <c r="G89" s="133">
        <v>0</v>
      </c>
      <c r="H89" s="133">
        <v>0</v>
      </c>
      <c r="I89" s="133">
        <v>0</v>
      </c>
      <c r="J89" s="133">
        <v>0</v>
      </c>
      <c r="K89" s="133">
        <v>0</v>
      </c>
      <c r="L89" s="133">
        <v>0</v>
      </c>
      <c r="M89" s="45">
        <v>0</v>
      </c>
    </row>
    <row r="90" spans="1:13" x14ac:dyDescent="0.25">
      <c r="A90" s="812" t="s">
        <v>1996</v>
      </c>
      <c r="B90" s="812">
        <v>5</v>
      </c>
      <c r="C90" s="608">
        <v>39474</v>
      </c>
      <c r="D90" s="812">
        <v>99743</v>
      </c>
      <c r="E90" s="812" t="s">
        <v>2037</v>
      </c>
      <c r="F90" s="133">
        <v>0</v>
      </c>
      <c r="G90" s="133">
        <v>0</v>
      </c>
      <c r="H90" s="133">
        <v>0</v>
      </c>
      <c r="I90" s="133">
        <v>0</v>
      </c>
      <c r="J90" s="133">
        <v>0</v>
      </c>
      <c r="K90" s="133">
        <v>0</v>
      </c>
      <c r="L90" s="133">
        <v>0</v>
      </c>
      <c r="M90" s="45">
        <v>0</v>
      </c>
    </row>
    <row r="91" spans="1:13" x14ac:dyDescent="0.25">
      <c r="A91" s="812" t="s">
        <v>1996</v>
      </c>
      <c r="B91" s="812">
        <v>5</v>
      </c>
      <c r="C91" s="608">
        <v>39474</v>
      </c>
      <c r="D91" s="812">
        <v>99744</v>
      </c>
      <c r="E91" s="812" t="s">
        <v>2038</v>
      </c>
      <c r="F91" s="133">
        <v>0</v>
      </c>
      <c r="G91" s="133">
        <v>0</v>
      </c>
      <c r="H91" s="133">
        <v>0</v>
      </c>
      <c r="I91" s="133">
        <v>0</v>
      </c>
      <c r="J91" s="133">
        <v>0</v>
      </c>
      <c r="K91" s="133">
        <v>0</v>
      </c>
      <c r="L91" s="133">
        <v>0</v>
      </c>
      <c r="M91" s="45">
        <v>0</v>
      </c>
    </row>
    <row r="92" spans="1:13" x14ac:dyDescent="0.25">
      <c r="A92" s="812" t="s">
        <v>1996</v>
      </c>
      <c r="B92" s="812">
        <v>5</v>
      </c>
      <c r="C92" s="608">
        <v>39474</v>
      </c>
      <c r="D92" s="812">
        <v>99755</v>
      </c>
      <c r="E92" s="812" t="s">
        <v>2039</v>
      </c>
      <c r="F92" s="133">
        <v>0</v>
      </c>
      <c r="G92" s="133">
        <v>0</v>
      </c>
      <c r="H92" s="133">
        <v>0</v>
      </c>
      <c r="I92" s="133">
        <v>0</v>
      </c>
      <c r="J92" s="133">
        <v>0</v>
      </c>
      <c r="K92" s="133">
        <v>0</v>
      </c>
      <c r="L92" s="133">
        <v>0</v>
      </c>
      <c r="M92" s="45">
        <v>0</v>
      </c>
    </row>
    <row r="93" spans="1:13" x14ac:dyDescent="0.25">
      <c r="A93" s="812" t="s">
        <v>1996</v>
      </c>
      <c r="B93" s="812">
        <v>5</v>
      </c>
      <c r="C93" s="608">
        <v>39474</v>
      </c>
      <c r="D93" s="812">
        <v>99756</v>
      </c>
      <c r="E93" s="812" t="s">
        <v>2040</v>
      </c>
      <c r="F93" s="133">
        <v>0</v>
      </c>
      <c r="G93" s="133">
        <v>0</v>
      </c>
      <c r="H93" s="133">
        <v>0</v>
      </c>
      <c r="I93" s="133">
        <v>0</v>
      </c>
      <c r="J93" s="133">
        <v>0</v>
      </c>
      <c r="K93" s="133">
        <v>0</v>
      </c>
      <c r="L93" s="133">
        <v>0</v>
      </c>
      <c r="M93" s="45">
        <v>0</v>
      </c>
    </row>
    <row r="94" spans="1:13" x14ac:dyDescent="0.25">
      <c r="A94" s="812" t="s">
        <v>1996</v>
      </c>
      <c r="B94" s="812">
        <v>5</v>
      </c>
      <c r="C94" s="608">
        <v>39474</v>
      </c>
      <c r="D94" s="812">
        <v>99758</v>
      </c>
      <c r="E94" s="812" t="s">
        <v>2041</v>
      </c>
      <c r="F94" s="133">
        <v>0</v>
      </c>
      <c r="G94" s="133">
        <v>0</v>
      </c>
      <c r="H94" s="133">
        <v>0</v>
      </c>
      <c r="I94" s="133">
        <v>0</v>
      </c>
      <c r="J94" s="133">
        <v>0</v>
      </c>
      <c r="K94" s="133">
        <v>0</v>
      </c>
      <c r="L94" s="133">
        <v>0</v>
      </c>
      <c r="M94" s="45">
        <v>0</v>
      </c>
    </row>
    <row r="95" spans="1:13" x14ac:dyDescent="0.25">
      <c r="A95" s="812" t="s">
        <v>1996</v>
      </c>
      <c r="B95" s="812">
        <v>5</v>
      </c>
      <c r="C95" s="608">
        <v>39474</v>
      </c>
      <c r="D95" s="812">
        <v>99760</v>
      </c>
      <c r="E95" s="812" t="s">
        <v>2042</v>
      </c>
      <c r="F95" s="133">
        <v>0</v>
      </c>
      <c r="G95" s="133">
        <v>0</v>
      </c>
      <c r="H95" s="133">
        <v>0</v>
      </c>
      <c r="I95" s="133">
        <v>0</v>
      </c>
      <c r="J95" s="133">
        <v>0</v>
      </c>
      <c r="K95" s="133">
        <v>0</v>
      </c>
      <c r="L95" s="133">
        <v>0</v>
      </c>
      <c r="M95" s="45">
        <v>0</v>
      </c>
    </row>
    <row r="96" spans="1:13" x14ac:dyDescent="0.25">
      <c r="A96" s="812" t="s">
        <v>1996</v>
      </c>
      <c r="B96" s="812">
        <v>5</v>
      </c>
      <c r="C96" s="608">
        <v>39474</v>
      </c>
      <c r="D96" s="812">
        <v>99767</v>
      </c>
      <c r="E96" s="812" t="s">
        <v>2043</v>
      </c>
      <c r="F96" s="133">
        <v>0</v>
      </c>
      <c r="G96" s="133">
        <v>0</v>
      </c>
      <c r="H96" s="133">
        <v>0</v>
      </c>
      <c r="I96" s="133">
        <v>0</v>
      </c>
      <c r="J96" s="133">
        <v>0</v>
      </c>
      <c r="K96" s="133">
        <v>0</v>
      </c>
      <c r="L96" s="133">
        <v>0</v>
      </c>
      <c r="M96" s="45">
        <v>0</v>
      </c>
    </row>
    <row r="97" spans="1:13" x14ac:dyDescent="0.25">
      <c r="A97" s="812" t="s">
        <v>1996</v>
      </c>
      <c r="B97" s="812">
        <v>5</v>
      </c>
      <c r="C97" s="608">
        <v>39474</v>
      </c>
      <c r="D97" s="812">
        <v>99774</v>
      </c>
      <c r="E97" s="812" t="s">
        <v>2044</v>
      </c>
      <c r="F97" s="133">
        <v>0</v>
      </c>
      <c r="G97" s="133">
        <v>0</v>
      </c>
      <c r="H97" s="133">
        <v>0</v>
      </c>
      <c r="I97" s="133">
        <v>0</v>
      </c>
      <c r="J97" s="133">
        <v>0</v>
      </c>
      <c r="K97" s="133">
        <v>0</v>
      </c>
      <c r="L97" s="133">
        <v>0</v>
      </c>
      <c r="M97" s="45">
        <v>0</v>
      </c>
    </row>
    <row r="98" spans="1:13" x14ac:dyDescent="0.25">
      <c r="A98" s="812" t="s">
        <v>1996</v>
      </c>
      <c r="B98" s="812">
        <v>5</v>
      </c>
      <c r="C98" s="608">
        <v>39474</v>
      </c>
      <c r="D98" s="812">
        <v>99775</v>
      </c>
      <c r="E98" s="812" t="s">
        <v>1602</v>
      </c>
      <c r="F98" s="133">
        <v>8.9551955443316922E-5</v>
      </c>
      <c r="G98" s="133">
        <v>2.1778269466217778E-3</v>
      </c>
      <c r="H98" s="133">
        <v>1.3897417235127099E-3</v>
      </c>
      <c r="I98" s="133">
        <v>6.6055039869235318E-5</v>
      </c>
      <c r="J98" s="133">
        <v>6.6055039869235318E-5</v>
      </c>
      <c r="K98" s="133">
        <v>4.5376924645808149E-5</v>
      </c>
      <c r="L98" s="133">
        <v>1.3427995785528116E-4</v>
      </c>
      <c r="M98" s="45">
        <v>34.562949278927995</v>
      </c>
    </row>
    <row r="99" spans="1:13" x14ac:dyDescent="0.25">
      <c r="A99" s="812" t="s">
        <v>1996</v>
      </c>
      <c r="B99" s="812">
        <v>5</v>
      </c>
      <c r="C99" s="608">
        <v>39474</v>
      </c>
      <c r="D99" s="812">
        <v>99790</v>
      </c>
      <c r="E99" s="812" t="s">
        <v>2045</v>
      </c>
      <c r="F99" s="133">
        <v>0</v>
      </c>
      <c r="G99" s="133">
        <v>0</v>
      </c>
      <c r="H99" s="133">
        <v>0</v>
      </c>
      <c r="I99" s="133">
        <v>0</v>
      </c>
      <c r="J99" s="133">
        <v>0</v>
      </c>
      <c r="K99" s="133">
        <v>0</v>
      </c>
      <c r="L99" s="133">
        <v>0</v>
      </c>
      <c r="M99" s="45">
        <v>0</v>
      </c>
    </row>
    <row r="100" spans="1:13" x14ac:dyDescent="0.25">
      <c r="A100" s="812" t="s">
        <v>1996</v>
      </c>
      <c r="B100" s="812">
        <v>6</v>
      </c>
      <c r="C100" s="608">
        <v>39475</v>
      </c>
      <c r="D100" s="812">
        <v>99701</v>
      </c>
      <c r="E100" s="812" t="s">
        <v>2031</v>
      </c>
      <c r="F100" s="133">
        <v>0.94216702409615816</v>
      </c>
      <c r="G100" s="133">
        <v>0.81788499180580854</v>
      </c>
      <c r="H100" s="133">
        <v>1.0287415143154872</v>
      </c>
      <c r="I100" s="133">
        <v>0.27181603205917682</v>
      </c>
      <c r="J100" s="133">
        <v>0.27181603205917682</v>
      </c>
      <c r="K100" s="133">
        <v>2.2727781140572636E-2</v>
      </c>
      <c r="L100" s="133">
        <v>2.695289913952585</v>
      </c>
      <c r="M100" s="45">
        <v>14972.705120315324</v>
      </c>
    </row>
    <row r="101" spans="1:13" x14ac:dyDescent="0.25">
      <c r="A101" s="812" t="s">
        <v>1996</v>
      </c>
      <c r="B101" s="812">
        <v>6</v>
      </c>
      <c r="C101" s="608">
        <v>39475</v>
      </c>
      <c r="D101" s="812">
        <v>99702</v>
      </c>
      <c r="E101" s="812" t="s">
        <v>2032</v>
      </c>
      <c r="F101" s="133">
        <v>0</v>
      </c>
      <c r="G101" s="133">
        <v>0</v>
      </c>
      <c r="H101" s="133">
        <v>0</v>
      </c>
      <c r="I101" s="133">
        <v>0</v>
      </c>
      <c r="J101" s="133">
        <v>0</v>
      </c>
      <c r="K101" s="133">
        <v>0</v>
      </c>
      <c r="L101" s="133">
        <v>0</v>
      </c>
      <c r="M101" s="45">
        <v>0</v>
      </c>
    </row>
    <row r="102" spans="1:13" x14ac:dyDescent="0.25">
      <c r="A102" s="812" t="s">
        <v>1996</v>
      </c>
      <c r="B102" s="812">
        <v>6</v>
      </c>
      <c r="C102" s="608">
        <v>39475</v>
      </c>
      <c r="D102" s="812">
        <v>99703</v>
      </c>
      <c r="E102" s="812" t="s">
        <v>2033</v>
      </c>
      <c r="F102" s="133">
        <v>2.2356672668795496E-2</v>
      </c>
      <c r="G102" s="133">
        <v>1.5143035333112597E-2</v>
      </c>
      <c r="H102" s="133">
        <v>2.2758127102427902E-2</v>
      </c>
      <c r="I102" s="133">
        <v>7.309411849878017E-3</v>
      </c>
      <c r="J102" s="133">
        <v>7.309411849878017E-3</v>
      </c>
      <c r="K102" s="133">
        <v>4.4057761448694526E-4</v>
      </c>
      <c r="L102" s="133">
        <v>7.8097911082553137E-2</v>
      </c>
      <c r="M102" s="45">
        <v>290.94370956047072</v>
      </c>
    </row>
    <row r="103" spans="1:13" x14ac:dyDescent="0.25">
      <c r="A103" s="812" t="s">
        <v>1996</v>
      </c>
      <c r="B103" s="812">
        <v>6</v>
      </c>
      <c r="C103" s="608">
        <v>39475</v>
      </c>
      <c r="D103" s="812">
        <v>99705</v>
      </c>
      <c r="E103" s="812" t="s">
        <v>1599</v>
      </c>
      <c r="F103" s="133">
        <v>3.8874723736760362</v>
      </c>
      <c r="G103" s="133">
        <v>0.78168273617985429</v>
      </c>
      <c r="H103" s="133">
        <v>1.3088685973377427</v>
      </c>
      <c r="I103" s="133">
        <v>1.1666324814516837</v>
      </c>
      <c r="J103" s="133">
        <v>1.1666324814516837</v>
      </c>
      <c r="K103" s="133">
        <v>5.1815358445682955E-2</v>
      </c>
      <c r="L103" s="133">
        <v>12.640472825797543</v>
      </c>
      <c r="M103" s="45">
        <v>15932.311722117613</v>
      </c>
    </row>
    <row r="104" spans="1:13" x14ac:dyDescent="0.25">
      <c r="A104" s="812" t="s">
        <v>1996</v>
      </c>
      <c r="B104" s="812">
        <v>6</v>
      </c>
      <c r="C104" s="608">
        <v>39475</v>
      </c>
      <c r="D104" s="812">
        <v>99709</v>
      </c>
      <c r="E104" s="812" t="s">
        <v>1600</v>
      </c>
      <c r="F104" s="133">
        <v>3.3295584164028731</v>
      </c>
      <c r="G104" s="133">
        <v>0.87894322068904196</v>
      </c>
      <c r="H104" s="133">
        <v>1.4446854343144937</v>
      </c>
      <c r="I104" s="133">
        <v>0.889257030667857</v>
      </c>
      <c r="J104" s="133">
        <v>0.889257030667857</v>
      </c>
      <c r="K104" s="133">
        <v>4.3322352269192094E-2</v>
      </c>
      <c r="L104" s="133">
        <v>9.1855024846919751</v>
      </c>
      <c r="M104" s="45">
        <v>17835.870711047843</v>
      </c>
    </row>
    <row r="105" spans="1:13" x14ac:dyDescent="0.25">
      <c r="A105" s="812" t="s">
        <v>1996</v>
      </c>
      <c r="B105" s="812">
        <v>6</v>
      </c>
      <c r="C105" s="608">
        <v>39475</v>
      </c>
      <c r="D105" s="812">
        <v>99712</v>
      </c>
      <c r="E105" s="812" t="s">
        <v>1601</v>
      </c>
      <c r="F105" s="133">
        <v>1.820626876776656</v>
      </c>
      <c r="G105" s="133">
        <v>0.30358952945018958</v>
      </c>
      <c r="H105" s="133">
        <v>0.54295130548626613</v>
      </c>
      <c r="I105" s="133">
        <v>0.48607333605174041</v>
      </c>
      <c r="J105" s="133">
        <v>0.48607333605174041</v>
      </c>
      <c r="K105" s="133">
        <v>2.2323065682858249E-2</v>
      </c>
      <c r="L105" s="133">
        <v>5.0617251555014873</v>
      </c>
      <c r="M105" s="45">
        <v>6294.9847842244872</v>
      </c>
    </row>
    <row r="106" spans="1:13" x14ac:dyDescent="0.25">
      <c r="A106" s="812" t="s">
        <v>1996</v>
      </c>
      <c r="B106" s="812">
        <v>6</v>
      </c>
      <c r="C106" s="608">
        <v>39475</v>
      </c>
      <c r="D106" s="812">
        <v>99714</v>
      </c>
      <c r="E106" s="812" t="s">
        <v>2034</v>
      </c>
      <c r="F106" s="133">
        <v>0</v>
      </c>
      <c r="G106" s="133">
        <v>0</v>
      </c>
      <c r="H106" s="133">
        <v>0</v>
      </c>
      <c r="I106" s="133">
        <v>0</v>
      </c>
      <c r="J106" s="133">
        <v>0</v>
      </c>
      <c r="K106" s="133">
        <v>0</v>
      </c>
      <c r="L106" s="133">
        <v>0</v>
      </c>
      <c r="M106" s="45">
        <v>0</v>
      </c>
    </row>
    <row r="107" spans="1:13" x14ac:dyDescent="0.25">
      <c r="A107" s="812" t="s">
        <v>1996</v>
      </c>
      <c r="B107" s="812">
        <v>6</v>
      </c>
      <c r="C107" s="608">
        <v>39475</v>
      </c>
      <c r="D107" s="812">
        <v>99730</v>
      </c>
      <c r="E107" s="812" t="s">
        <v>2035</v>
      </c>
      <c r="F107" s="133">
        <v>0</v>
      </c>
      <c r="G107" s="133">
        <v>0</v>
      </c>
      <c r="H107" s="133">
        <v>0</v>
      </c>
      <c r="I107" s="133">
        <v>0</v>
      </c>
      <c r="J107" s="133">
        <v>0</v>
      </c>
      <c r="K107" s="133">
        <v>0</v>
      </c>
      <c r="L107" s="133">
        <v>0</v>
      </c>
      <c r="M107" s="45">
        <v>0</v>
      </c>
    </row>
    <row r="108" spans="1:13" x14ac:dyDescent="0.25">
      <c r="A108" s="812" t="s">
        <v>1996</v>
      </c>
      <c r="B108" s="812">
        <v>6</v>
      </c>
      <c r="C108" s="608">
        <v>39475</v>
      </c>
      <c r="D108" s="812">
        <v>99737</v>
      </c>
      <c r="E108" s="812" t="s">
        <v>2036</v>
      </c>
      <c r="F108" s="133">
        <v>0</v>
      </c>
      <c r="G108" s="133">
        <v>0</v>
      </c>
      <c r="H108" s="133">
        <v>0</v>
      </c>
      <c r="I108" s="133">
        <v>0</v>
      </c>
      <c r="J108" s="133">
        <v>0</v>
      </c>
      <c r="K108" s="133">
        <v>0</v>
      </c>
      <c r="L108" s="133">
        <v>0</v>
      </c>
      <c r="M108" s="45">
        <v>0</v>
      </c>
    </row>
    <row r="109" spans="1:13" x14ac:dyDescent="0.25">
      <c r="A109" s="812" t="s">
        <v>1996</v>
      </c>
      <c r="B109" s="812">
        <v>6</v>
      </c>
      <c r="C109" s="608">
        <v>39475</v>
      </c>
      <c r="D109" s="812">
        <v>99743</v>
      </c>
      <c r="E109" s="812" t="s">
        <v>2037</v>
      </c>
      <c r="F109" s="133">
        <v>0</v>
      </c>
      <c r="G109" s="133">
        <v>0</v>
      </c>
      <c r="H109" s="133">
        <v>0</v>
      </c>
      <c r="I109" s="133">
        <v>0</v>
      </c>
      <c r="J109" s="133">
        <v>0</v>
      </c>
      <c r="K109" s="133">
        <v>0</v>
      </c>
      <c r="L109" s="133">
        <v>0</v>
      </c>
      <c r="M109" s="45">
        <v>0</v>
      </c>
    </row>
    <row r="110" spans="1:13" x14ac:dyDescent="0.25">
      <c r="A110" s="812" t="s">
        <v>1996</v>
      </c>
      <c r="B110" s="812">
        <v>6</v>
      </c>
      <c r="C110" s="608">
        <v>39475</v>
      </c>
      <c r="D110" s="812">
        <v>99744</v>
      </c>
      <c r="E110" s="812" t="s">
        <v>2038</v>
      </c>
      <c r="F110" s="133">
        <v>0</v>
      </c>
      <c r="G110" s="133">
        <v>0</v>
      </c>
      <c r="H110" s="133">
        <v>0</v>
      </c>
      <c r="I110" s="133">
        <v>0</v>
      </c>
      <c r="J110" s="133">
        <v>0</v>
      </c>
      <c r="K110" s="133">
        <v>0</v>
      </c>
      <c r="L110" s="133">
        <v>0</v>
      </c>
      <c r="M110" s="45">
        <v>0</v>
      </c>
    </row>
    <row r="111" spans="1:13" x14ac:dyDescent="0.25">
      <c r="A111" s="812" t="s">
        <v>1996</v>
      </c>
      <c r="B111" s="812">
        <v>6</v>
      </c>
      <c r="C111" s="608">
        <v>39475</v>
      </c>
      <c r="D111" s="812">
        <v>99755</v>
      </c>
      <c r="E111" s="812" t="s">
        <v>2039</v>
      </c>
      <c r="F111" s="133">
        <v>0</v>
      </c>
      <c r="G111" s="133">
        <v>0</v>
      </c>
      <c r="H111" s="133">
        <v>0</v>
      </c>
      <c r="I111" s="133">
        <v>0</v>
      </c>
      <c r="J111" s="133">
        <v>0</v>
      </c>
      <c r="K111" s="133">
        <v>0</v>
      </c>
      <c r="L111" s="133">
        <v>0</v>
      </c>
      <c r="M111" s="45">
        <v>0</v>
      </c>
    </row>
    <row r="112" spans="1:13" x14ac:dyDescent="0.25">
      <c r="A112" s="812" t="s">
        <v>1996</v>
      </c>
      <c r="B112" s="812">
        <v>6</v>
      </c>
      <c r="C112" s="608">
        <v>39475</v>
      </c>
      <c r="D112" s="812">
        <v>99756</v>
      </c>
      <c r="E112" s="812" t="s">
        <v>2040</v>
      </c>
      <c r="F112" s="133">
        <v>0</v>
      </c>
      <c r="G112" s="133">
        <v>0</v>
      </c>
      <c r="H112" s="133">
        <v>0</v>
      </c>
      <c r="I112" s="133">
        <v>0</v>
      </c>
      <c r="J112" s="133">
        <v>0</v>
      </c>
      <c r="K112" s="133">
        <v>0</v>
      </c>
      <c r="L112" s="133">
        <v>0</v>
      </c>
      <c r="M112" s="45">
        <v>0</v>
      </c>
    </row>
    <row r="113" spans="1:13" x14ac:dyDescent="0.25">
      <c r="A113" s="812" t="s">
        <v>1996</v>
      </c>
      <c r="B113" s="812">
        <v>6</v>
      </c>
      <c r="C113" s="608">
        <v>39475</v>
      </c>
      <c r="D113" s="812">
        <v>99758</v>
      </c>
      <c r="E113" s="812" t="s">
        <v>2041</v>
      </c>
      <c r="F113" s="133">
        <v>0</v>
      </c>
      <c r="G113" s="133">
        <v>0</v>
      </c>
      <c r="H113" s="133">
        <v>0</v>
      </c>
      <c r="I113" s="133">
        <v>0</v>
      </c>
      <c r="J113" s="133">
        <v>0</v>
      </c>
      <c r="K113" s="133">
        <v>0</v>
      </c>
      <c r="L113" s="133">
        <v>0</v>
      </c>
      <c r="M113" s="45">
        <v>0</v>
      </c>
    </row>
    <row r="114" spans="1:13" x14ac:dyDescent="0.25">
      <c r="A114" s="812" t="s">
        <v>1996</v>
      </c>
      <c r="B114" s="812">
        <v>6</v>
      </c>
      <c r="C114" s="608">
        <v>39475</v>
      </c>
      <c r="D114" s="812">
        <v>99760</v>
      </c>
      <c r="E114" s="812" t="s">
        <v>2042</v>
      </c>
      <c r="F114" s="133">
        <v>0</v>
      </c>
      <c r="G114" s="133">
        <v>0</v>
      </c>
      <c r="H114" s="133">
        <v>0</v>
      </c>
      <c r="I114" s="133">
        <v>0</v>
      </c>
      <c r="J114" s="133">
        <v>0</v>
      </c>
      <c r="K114" s="133">
        <v>0</v>
      </c>
      <c r="L114" s="133">
        <v>0</v>
      </c>
      <c r="M114" s="45">
        <v>0</v>
      </c>
    </row>
    <row r="115" spans="1:13" x14ac:dyDescent="0.25">
      <c r="A115" s="812" t="s">
        <v>1996</v>
      </c>
      <c r="B115" s="812">
        <v>6</v>
      </c>
      <c r="C115" s="608">
        <v>39475</v>
      </c>
      <c r="D115" s="812">
        <v>99767</v>
      </c>
      <c r="E115" s="812" t="s">
        <v>2043</v>
      </c>
      <c r="F115" s="133">
        <v>0</v>
      </c>
      <c r="G115" s="133">
        <v>0</v>
      </c>
      <c r="H115" s="133">
        <v>0</v>
      </c>
      <c r="I115" s="133">
        <v>0</v>
      </c>
      <c r="J115" s="133">
        <v>0</v>
      </c>
      <c r="K115" s="133">
        <v>0</v>
      </c>
      <c r="L115" s="133">
        <v>0</v>
      </c>
      <c r="M115" s="45">
        <v>0</v>
      </c>
    </row>
    <row r="116" spans="1:13" x14ac:dyDescent="0.25">
      <c r="A116" s="812" t="s">
        <v>1996</v>
      </c>
      <c r="B116" s="812">
        <v>6</v>
      </c>
      <c r="C116" s="608">
        <v>39475</v>
      </c>
      <c r="D116" s="812">
        <v>99774</v>
      </c>
      <c r="E116" s="812" t="s">
        <v>2044</v>
      </c>
      <c r="F116" s="133">
        <v>0</v>
      </c>
      <c r="G116" s="133">
        <v>0</v>
      </c>
      <c r="H116" s="133">
        <v>0</v>
      </c>
      <c r="I116" s="133">
        <v>0</v>
      </c>
      <c r="J116" s="133">
        <v>0</v>
      </c>
      <c r="K116" s="133">
        <v>0</v>
      </c>
      <c r="L116" s="133">
        <v>0</v>
      </c>
      <c r="M116" s="45">
        <v>0</v>
      </c>
    </row>
    <row r="117" spans="1:13" x14ac:dyDescent="0.25">
      <c r="A117" s="812" t="s">
        <v>1996</v>
      </c>
      <c r="B117" s="812">
        <v>6</v>
      </c>
      <c r="C117" s="608">
        <v>39475</v>
      </c>
      <c r="D117" s="812">
        <v>99775</v>
      </c>
      <c r="E117" s="812" t="s">
        <v>1602</v>
      </c>
      <c r="F117" s="133">
        <v>7.9403027733057304E-5</v>
      </c>
      <c r="G117" s="133">
        <v>1.921612782828407E-3</v>
      </c>
      <c r="H117" s="133">
        <v>1.2086381652473873E-3</v>
      </c>
      <c r="I117" s="133">
        <v>5.9555781865376528E-5</v>
      </c>
      <c r="J117" s="133">
        <v>5.9555781865376528E-5</v>
      </c>
      <c r="K117" s="133">
        <v>4.5028239453901121E-5</v>
      </c>
      <c r="L117" s="133">
        <v>1.2790526896316298E-4</v>
      </c>
      <c r="M117" s="45">
        <v>30.620097980552238</v>
      </c>
    </row>
    <row r="118" spans="1:13" x14ac:dyDescent="0.25">
      <c r="A118" s="812" t="s">
        <v>1996</v>
      </c>
      <c r="B118" s="812">
        <v>6</v>
      </c>
      <c r="C118" s="608">
        <v>39475</v>
      </c>
      <c r="D118" s="812">
        <v>99790</v>
      </c>
      <c r="E118" s="812" t="s">
        <v>2045</v>
      </c>
      <c r="F118" s="133">
        <v>0</v>
      </c>
      <c r="G118" s="133">
        <v>0</v>
      </c>
      <c r="H118" s="133">
        <v>0</v>
      </c>
      <c r="I118" s="133">
        <v>0</v>
      </c>
      <c r="J118" s="133">
        <v>0</v>
      </c>
      <c r="K118" s="133">
        <v>0</v>
      </c>
      <c r="L118" s="133">
        <v>0</v>
      </c>
      <c r="M118" s="45">
        <v>0</v>
      </c>
    </row>
    <row r="119" spans="1:13" x14ac:dyDescent="0.25">
      <c r="A119" s="812" t="s">
        <v>1996</v>
      </c>
      <c r="B119" s="812">
        <v>7</v>
      </c>
      <c r="C119" s="608">
        <v>39476</v>
      </c>
      <c r="D119" s="812">
        <v>99701</v>
      </c>
      <c r="E119" s="812" t="s">
        <v>2031</v>
      </c>
      <c r="F119" s="133">
        <v>1.0577867611403204</v>
      </c>
      <c r="G119" s="133">
        <v>0.89807808106060139</v>
      </c>
      <c r="H119" s="133">
        <v>1.1304538574445286</v>
      </c>
      <c r="I119" s="133">
        <v>0.30251009853178318</v>
      </c>
      <c r="J119" s="133">
        <v>0.30251009853178318</v>
      </c>
      <c r="K119" s="133">
        <v>2.4075975554176624E-2</v>
      </c>
      <c r="L119" s="133">
        <v>2.9981320895468966</v>
      </c>
      <c r="M119" s="45">
        <v>16397.231434337024</v>
      </c>
    </row>
    <row r="120" spans="1:13" x14ac:dyDescent="0.25">
      <c r="A120" s="812" t="s">
        <v>1996</v>
      </c>
      <c r="B120" s="812">
        <v>7</v>
      </c>
      <c r="C120" s="608">
        <v>39476</v>
      </c>
      <c r="D120" s="812">
        <v>99702</v>
      </c>
      <c r="E120" s="812" t="s">
        <v>2032</v>
      </c>
      <c r="F120" s="133">
        <v>0</v>
      </c>
      <c r="G120" s="133">
        <v>0</v>
      </c>
      <c r="H120" s="133">
        <v>0</v>
      </c>
      <c r="I120" s="133">
        <v>0</v>
      </c>
      <c r="J120" s="133">
        <v>0</v>
      </c>
      <c r="K120" s="133">
        <v>0</v>
      </c>
      <c r="L120" s="133">
        <v>0</v>
      </c>
      <c r="M120" s="45">
        <v>0</v>
      </c>
    </row>
    <row r="121" spans="1:13" x14ac:dyDescent="0.25">
      <c r="A121" s="812" t="s">
        <v>1996</v>
      </c>
      <c r="B121" s="812">
        <v>7</v>
      </c>
      <c r="C121" s="608">
        <v>39476</v>
      </c>
      <c r="D121" s="812">
        <v>99703</v>
      </c>
      <c r="E121" s="812" t="s">
        <v>2033</v>
      </c>
      <c r="F121" s="133">
        <v>2.482802280128887E-2</v>
      </c>
      <c r="G121" s="133">
        <v>1.6603122618844838E-2</v>
      </c>
      <c r="H121" s="133">
        <v>2.4932040354580427E-2</v>
      </c>
      <c r="I121" s="133">
        <v>8.0817584180431674E-3</v>
      </c>
      <c r="J121" s="133">
        <v>8.0817584180431674E-3</v>
      </c>
      <c r="K121" s="133">
        <v>4.7256242999185928E-4</v>
      </c>
      <c r="L121" s="133">
        <v>8.6424415149077199E-2</v>
      </c>
      <c r="M121" s="45">
        <v>318.24135796586808</v>
      </c>
    </row>
    <row r="122" spans="1:13" x14ac:dyDescent="0.25">
      <c r="A122" s="812" t="s">
        <v>1996</v>
      </c>
      <c r="B122" s="812">
        <v>7</v>
      </c>
      <c r="C122" s="608">
        <v>39476</v>
      </c>
      <c r="D122" s="812">
        <v>99705</v>
      </c>
      <c r="E122" s="812" t="s">
        <v>1599</v>
      </c>
      <c r="F122" s="133">
        <v>4.2563875868031316</v>
      </c>
      <c r="G122" s="133">
        <v>0.85026516210874148</v>
      </c>
      <c r="H122" s="133">
        <v>1.4211707800876929</v>
      </c>
      <c r="I122" s="133">
        <v>1.2745354541044509</v>
      </c>
      <c r="J122" s="133">
        <v>1.2745354541044509</v>
      </c>
      <c r="K122" s="133">
        <v>5.6510790037244005E-2</v>
      </c>
      <c r="L122" s="133">
        <v>13.834336090003033</v>
      </c>
      <c r="M122" s="45">
        <v>17299.563744890624</v>
      </c>
    </row>
    <row r="123" spans="1:13" x14ac:dyDescent="0.25">
      <c r="A123" s="812" t="s">
        <v>1996</v>
      </c>
      <c r="B123" s="812">
        <v>7</v>
      </c>
      <c r="C123" s="608">
        <v>39476</v>
      </c>
      <c r="D123" s="812">
        <v>99709</v>
      </c>
      <c r="E123" s="812" t="s">
        <v>1600</v>
      </c>
      <c r="F123" s="133">
        <v>3.72277967142958</v>
      </c>
      <c r="G123" s="133">
        <v>0.96328205585014059</v>
      </c>
      <c r="H123" s="133">
        <v>1.5812887598246042</v>
      </c>
      <c r="I123" s="133">
        <v>0.98713213318752491</v>
      </c>
      <c r="J123" s="133">
        <v>0.98713213318752491</v>
      </c>
      <c r="K123" s="133">
        <v>4.7590122169553231E-2</v>
      </c>
      <c r="L123" s="133">
        <v>10.186213043762335</v>
      </c>
      <c r="M123" s="45">
        <v>19508.171935452989</v>
      </c>
    </row>
    <row r="124" spans="1:13" x14ac:dyDescent="0.25">
      <c r="A124" s="812" t="s">
        <v>1996</v>
      </c>
      <c r="B124" s="812">
        <v>7</v>
      </c>
      <c r="C124" s="608">
        <v>39476</v>
      </c>
      <c r="D124" s="812">
        <v>99712</v>
      </c>
      <c r="E124" s="812" t="s">
        <v>1601</v>
      </c>
      <c r="F124" s="133">
        <v>2.0019457116353996</v>
      </c>
      <c r="G124" s="133">
        <v>0.32901732641516357</v>
      </c>
      <c r="H124" s="133">
        <v>0.58688331560427698</v>
      </c>
      <c r="I124" s="133">
        <v>0.53223014192723328</v>
      </c>
      <c r="J124" s="133">
        <v>0.53223014192723328</v>
      </c>
      <c r="K124" s="133">
        <v>2.4417184699210434E-2</v>
      </c>
      <c r="L124" s="133">
        <v>5.5458429083424772</v>
      </c>
      <c r="M124" s="45">
        <v>6809.7121850778813</v>
      </c>
    </row>
    <row r="125" spans="1:13" x14ac:dyDescent="0.25">
      <c r="A125" s="812" t="s">
        <v>1996</v>
      </c>
      <c r="B125" s="812">
        <v>7</v>
      </c>
      <c r="C125" s="608">
        <v>39476</v>
      </c>
      <c r="D125" s="812">
        <v>99714</v>
      </c>
      <c r="E125" s="812" t="s">
        <v>2034</v>
      </c>
      <c r="F125" s="133">
        <v>0</v>
      </c>
      <c r="G125" s="133">
        <v>0</v>
      </c>
      <c r="H125" s="133">
        <v>0</v>
      </c>
      <c r="I125" s="133">
        <v>0</v>
      </c>
      <c r="J125" s="133">
        <v>0</v>
      </c>
      <c r="K125" s="133">
        <v>0</v>
      </c>
      <c r="L125" s="133">
        <v>0</v>
      </c>
      <c r="M125" s="45">
        <v>0</v>
      </c>
    </row>
    <row r="126" spans="1:13" x14ac:dyDescent="0.25">
      <c r="A126" s="812" t="s">
        <v>1996</v>
      </c>
      <c r="B126" s="812">
        <v>7</v>
      </c>
      <c r="C126" s="608">
        <v>39476</v>
      </c>
      <c r="D126" s="812">
        <v>99730</v>
      </c>
      <c r="E126" s="812" t="s">
        <v>2035</v>
      </c>
      <c r="F126" s="133">
        <v>0</v>
      </c>
      <c r="G126" s="133">
        <v>0</v>
      </c>
      <c r="H126" s="133">
        <v>0</v>
      </c>
      <c r="I126" s="133">
        <v>0</v>
      </c>
      <c r="J126" s="133">
        <v>0</v>
      </c>
      <c r="K126" s="133">
        <v>0</v>
      </c>
      <c r="L126" s="133">
        <v>0</v>
      </c>
      <c r="M126" s="45">
        <v>0</v>
      </c>
    </row>
    <row r="127" spans="1:13" x14ac:dyDescent="0.25">
      <c r="A127" s="812" t="s">
        <v>1996</v>
      </c>
      <c r="B127" s="812">
        <v>7</v>
      </c>
      <c r="C127" s="608">
        <v>39476</v>
      </c>
      <c r="D127" s="812">
        <v>99737</v>
      </c>
      <c r="E127" s="812" t="s">
        <v>2036</v>
      </c>
      <c r="F127" s="133">
        <v>0</v>
      </c>
      <c r="G127" s="133">
        <v>0</v>
      </c>
      <c r="H127" s="133">
        <v>0</v>
      </c>
      <c r="I127" s="133">
        <v>0</v>
      </c>
      <c r="J127" s="133">
        <v>0</v>
      </c>
      <c r="K127" s="133">
        <v>0</v>
      </c>
      <c r="L127" s="133">
        <v>0</v>
      </c>
      <c r="M127" s="45">
        <v>0</v>
      </c>
    </row>
    <row r="128" spans="1:13" x14ac:dyDescent="0.25">
      <c r="A128" s="812" t="s">
        <v>1996</v>
      </c>
      <c r="B128" s="812">
        <v>7</v>
      </c>
      <c r="C128" s="608">
        <v>39476</v>
      </c>
      <c r="D128" s="812">
        <v>99743</v>
      </c>
      <c r="E128" s="812" t="s">
        <v>2037</v>
      </c>
      <c r="F128" s="133">
        <v>0</v>
      </c>
      <c r="G128" s="133">
        <v>0</v>
      </c>
      <c r="H128" s="133">
        <v>0</v>
      </c>
      <c r="I128" s="133">
        <v>0</v>
      </c>
      <c r="J128" s="133">
        <v>0</v>
      </c>
      <c r="K128" s="133">
        <v>0</v>
      </c>
      <c r="L128" s="133">
        <v>0</v>
      </c>
      <c r="M128" s="45">
        <v>0</v>
      </c>
    </row>
    <row r="129" spans="1:13" x14ac:dyDescent="0.25">
      <c r="A129" s="812" t="s">
        <v>1996</v>
      </c>
      <c r="B129" s="812">
        <v>7</v>
      </c>
      <c r="C129" s="608">
        <v>39476</v>
      </c>
      <c r="D129" s="812">
        <v>99744</v>
      </c>
      <c r="E129" s="812" t="s">
        <v>2038</v>
      </c>
      <c r="F129" s="133">
        <v>0</v>
      </c>
      <c r="G129" s="133">
        <v>0</v>
      </c>
      <c r="H129" s="133">
        <v>0</v>
      </c>
      <c r="I129" s="133">
        <v>0</v>
      </c>
      <c r="J129" s="133">
        <v>0</v>
      </c>
      <c r="K129" s="133">
        <v>0</v>
      </c>
      <c r="L129" s="133">
        <v>0</v>
      </c>
      <c r="M129" s="45">
        <v>0</v>
      </c>
    </row>
    <row r="130" spans="1:13" x14ac:dyDescent="0.25">
      <c r="A130" s="812" t="s">
        <v>1996</v>
      </c>
      <c r="B130" s="812">
        <v>7</v>
      </c>
      <c r="C130" s="608">
        <v>39476</v>
      </c>
      <c r="D130" s="812">
        <v>99755</v>
      </c>
      <c r="E130" s="812" t="s">
        <v>2039</v>
      </c>
      <c r="F130" s="133">
        <v>0</v>
      </c>
      <c r="G130" s="133">
        <v>0</v>
      </c>
      <c r="H130" s="133">
        <v>0</v>
      </c>
      <c r="I130" s="133">
        <v>0</v>
      </c>
      <c r="J130" s="133">
        <v>0</v>
      </c>
      <c r="K130" s="133">
        <v>0</v>
      </c>
      <c r="L130" s="133">
        <v>0</v>
      </c>
      <c r="M130" s="45">
        <v>0</v>
      </c>
    </row>
    <row r="131" spans="1:13" x14ac:dyDescent="0.25">
      <c r="A131" s="812" t="s">
        <v>1996</v>
      </c>
      <c r="B131" s="812">
        <v>7</v>
      </c>
      <c r="C131" s="608">
        <v>39476</v>
      </c>
      <c r="D131" s="812">
        <v>99756</v>
      </c>
      <c r="E131" s="812" t="s">
        <v>2040</v>
      </c>
      <c r="F131" s="133">
        <v>0</v>
      </c>
      <c r="G131" s="133">
        <v>0</v>
      </c>
      <c r="H131" s="133">
        <v>0</v>
      </c>
      <c r="I131" s="133">
        <v>0</v>
      </c>
      <c r="J131" s="133">
        <v>0</v>
      </c>
      <c r="K131" s="133">
        <v>0</v>
      </c>
      <c r="L131" s="133">
        <v>0</v>
      </c>
      <c r="M131" s="45">
        <v>0</v>
      </c>
    </row>
    <row r="132" spans="1:13" x14ac:dyDescent="0.25">
      <c r="A132" s="812" t="s">
        <v>1996</v>
      </c>
      <c r="B132" s="812">
        <v>7</v>
      </c>
      <c r="C132" s="608">
        <v>39476</v>
      </c>
      <c r="D132" s="812">
        <v>99758</v>
      </c>
      <c r="E132" s="812" t="s">
        <v>2041</v>
      </c>
      <c r="F132" s="133">
        <v>0</v>
      </c>
      <c r="G132" s="133">
        <v>0</v>
      </c>
      <c r="H132" s="133">
        <v>0</v>
      </c>
      <c r="I132" s="133">
        <v>0</v>
      </c>
      <c r="J132" s="133">
        <v>0</v>
      </c>
      <c r="K132" s="133">
        <v>0</v>
      </c>
      <c r="L132" s="133">
        <v>0</v>
      </c>
      <c r="M132" s="45">
        <v>0</v>
      </c>
    </row>
    <row r="133" spans="1:13" x14ac:dyDescent="0.25">
      <c r="A133" s="812" t="s">
        <v>1996</v>
      </c>
      <c r="B133" s="812">
        <v>7</v>
      </c>
      <c r="C133" s="608">
        <v>39476</v>
      </c>
      <c r="D133" s="812">
        <v>99760</v>
      </c>
      <c r="E133" s="812" t="s">
        <v>2042</v>
      </c>
      <c r="F133" s="133">
        <v>0</v>
      </c>
      <c r="G133" s="133">
        <v>0</v>
      </c>
      <c r="H133" s="133">
        <v>0</v>
      </c>
      <c r="I133" s="133">
        <v>0</v>
      </c>
      <c r="J133" s="133">
        <v>0</v>
      </c>
      <c r="K133" s="133">
        <v>0</v>
      </c>
      <c r="L133" s="133">
        <v>0</v>
      </c>
      <c r="M133" s="45">
        <v>0</v>
      </c>
    </row>
    <row r="134" spans="1:13" x14ac:dyDescent="0.25">
      <c r="A134" s="812" t="s">
        <v>1996</v>
      </c>
      <c r="B134" s="812">
        <v>7</v>
      </c>
      <c r="C134" s="608">
        <v>39476</v>
      </c>
      <c r="D134" s="812">
        <v>99767</v>
      </c>
      <c r="E134" s="812" t="s">
        <v>2043</v>
      </c>
      <c r="F134" s="133">
        <v>0</v>
      </c>
      <c r="G134" s="133">
        <v>0</v>
      </c>
      <c r="H134" s="133">
        <v>0</v>
      </c>
      <c r="I134" s="133">
        <v>0</v>
      </c>
      <c r="J134" s="133">
        <v>0</v>
      </c>
      <c r="K134" s="133">
        <v>0</v>
      </c>
      <c r="L134" s="133">
        <v>0</v>
      </c>
      <c r="M134" s="45">
        <v>0</v>
      </c>
    </row>
    <row r="135" spans="1:13" x14ac:dyDescent="0.25">
      <c r="A135" s="812" t="s">
        <v>1996</v>
      </c>
      <c r="B135" s="812">
        <v>7</v>
      </c>
      <c r="C135" s="608">
        <v>39476</v>
      </c>
      <c r="D135" s="812">
        <v>99774</v>
      </c>
      <c r="E135" s="812" t="s">
        <v>2044</v>
      </c>
      <c r="F135" s="133">
        <v>0</v>
      </c>
      <c r="G135" s="133">
        <v>0</v>
      </c>
      <c r="H135" s="133">
        <v>0</v>
      </c>
      <c r="I135" s="133">
        <v>0</v>
      </c>
      <c r="J135" s="133">
        <v>0</v>
      </c>
      <c r="K135" s="133">
        <v>0</v>
      </c>
      <c r="L135" s="133">
        <v>0</v>
      </c>
      <c r="M135" s="45">
        <v>0</v>
      </c>
    </row>
    <row r="136" spans="1:13" x14ac:dyDescent="0.25">
      <c r="A136" s="812" t="s">
        <v>1996</v>
      </c>
      <c r="B136" s="812">
        <v>7</v>
      </c>
      <c r="C136" s="608">
        <v>39476</v>
      </c>
      <c r="D136" s="812">
        <v>99775</v>
      </c>
      <c r="E136" s="812" t="s">
        <v>1602</v>
      </c>
      <c r="F136" s="133">
        <v>8.7014723515752075E-5</v>
      </c>
      <c r="G136" s="133">
        <v>2.1137734056734352E-3</v>
      </c>
      <c r="H136" s="133">
        <v>1.3444658339463798E-3</v>
      </c>
      <c r="I136" s="133">
        <v>6.443022536827064E-5</v>
      </c>
      <c r="J136" s="133">
        <v>6.443022536827064E-5</v>
      </c>
      <c r="K136" s="133">
        <v>4.5289753347831396E-5</v>
      </c>
      <c r="L136" s="133">
        <v>1.3268628563225163E-4</v>
      </c>
      <c r="M136" s="45">
        <v>33.577236454334063</v>
      </c>
    </row>
    <row r="137" spans="1:13" x14ac:dyDescent="0.25">
      <c r="A137" s="812" t="s">
        <v>1996</v>
      </c>
      <c r="B137" s="812">
        <v>7</v>
      </c>
      <c r="C137" s="608">
        <v>39476</v>
      </c>
      <c r="D137" s="812">
        <v>99790</v>
      </c>
      <c r="E137" s="812" t="s">
        <v>2045</v>
      </c>
      <c r="F137" s="133">
        <v>0</v>
      </c>
      <c r="G137" s="133">
        <v>0</v>
      </c>
      <c r="H137" s="133">
        <v>0</v>
      </c>
      <c r="I137" s="133">
        <v>0</v>
      </c>
      <c r="J137" s="133">
        <v>0</v>
      </c>
      <c r="K137" s="133">
        <v>0</v>
      </c>
      <c r="L137" s="133">
        <v>0</v>
      </c>
      <c r="M137" s="45">
        <v>0</v>
      </c>
    </row>
    <row r="138" spans="1:13" x14ac:dyDescent="0.25">
      <c r="A138" s="812" t="s">
        <v>1996</v>
      </c>
      <c r="B138" s="812">
        <v>8</v>
      </c>
      <c r="C138" s="608">
        <v>39477</v>
      </c>
      <c r="D138" s="812">
        <v>99701</v>
      </c>
      <c r="E138" s="812" t="s">
        <v>2031</v>
      </c>
      <c r="F138" s="133">
        <v>1.1158673406152448</v>
      </c>
      <c r="G138" s="133">
        <v>0.8966291212139873</v>
      </c>
      <c r="H138" s="133">
        <v>1.152589130679035</v>
      </c>
      <c r="I138" s="133">
        <v>0.31707610406904296</v>
      </c>
      <c r="J138" s="133">
        <v>0.31707610406904296</v>
      </c>
      <c r="K138" s="133">
        <v>2.4713729880606598E-2</v>
      </c>
      <c r="L138" s="133">
        <v>3.1521403247342481</v>
      </c>
      <c r="M138" s="45">
        <v>16491.411566669613</v>
      </c>
    </row>
    <row r="139" spans="1:13" x14ac:dyDescent="0.25">
      <c r="A139" s="812" t="s">
        <v>1996</v>
      </c>
      <c r="B139" s="812">
        <v>8</v>
      </c>
      <c r="C139" s="608">
        <v>39477</v>
      </c>
      <c r="D139" s="812">
        <v>99702</v>
      </c>
      <c r="E139" s="812" t="s">
        <v>2032</v>
      </c>
      <c r="F139" s="133">
        <v>0</v>
      </c>
      <c r="G139" s="133">
        <v>0</v>
      </c>
      <c r="H139" s="133">
        <v>0</v>
      </c>
      <c r="I139" s="133">
        <v>0</v>
      </c>
      <c r="J139" s="133">
        <v>0</v>
      </c>
      <c r="K139" s="133">
        <v>0</v>
      </c>
      <c r="L139" s="133">
        <v>0</v>
      </c>
      <c r="M139" s="45">
        <v>0</v>
      </c>
    </row>
    <row r="140" spans="1:13" x14ac:dyDescent="0.25">
      <c r="A140" s="812" t="s">
        <v>1996</v>
      </c>
      <c r="B140" s="812">
        <v>8</v>
      </c>
      <c r="C140" s="608">
        <v>39477</v>
      </c>
      <c r="D140" s="812">
        <v>99703</v>
      </c>
      <c r="E140" s="812" t="s">
        <v>2033</v>
      </c>
      <c r="F140" s="133">
        <v>2.6016493168681851E-2</v>
      </c>
      <c r="G140" s="133">
        <v>1.6771866035972555E-2</v>
      </c>
      <c r="H140" s="133">
        <v>2.5622508764543573E-2</v>
      </c>
      <c r="I140" s="133">
        <v>8.4408631515568138E-3</v>
      </c>
      <c r="J140" s="133">
        <v>8.4408631515568138E-3</v>
      </c>
      <c r="K140" s="133">
        <v>4.8702799692325571E-4</v>
      </c>
      <c r="L140" s="133">
        <v>9.0453954557581734E-2</v>
      </c>
      <c r="M140" s="45">
        <v>323.72549275294733</v>
      </c>
    </row>
    <row r="141" spans="1:13" x14ac:dyDescent="0.25">
      <c r="A141" s="812" t="s">
        <v>1996</v>
      </c>
      <c r="B141" s="812">
        <v>8</v>
      </c>
      <c r="C141" s="608">
        <v>39477</v>
      </c>
      <c r="D141" s="812">
        <v>99705</v>
      </c>
      <c r="E141" s="812" t="s">
        <v>1599</v>
      </c>
      <c r="F141" s="133">
        <v>4.4111550752647961</v>
      </c>
      <c r="G141" s="133">
        <v>0.87103517990025159</v>
      </c>
      <c r="H141" s="133">
        <v>1.4629408302441542</v>
      </c>
      <c r="I141" s="133">
        <v>1.3198667377443745</v>
      </c>
      <c r="J141" s="133">
        <v>1.3198667377443745</v>
      </c>
      <c r="K141" s="133">
        <v>5.8484265657305287E-2</v>
      </c>
      <c r="L141" s="133">
        <v>14.338909955615081</v>
      </c>
      <c r="M141" s="45">
        <v>17751.210317576995</v>
      </c>
    </row>
    <row r="142" spans="1:13" x14ac:dyDescent="0.25">
      <c r="A142" s="812" t="s">
        <v>1996</v>
      </c>
      <c r="B142" s="812">
        <v>8</v>
      </c>
      <c r="C142" s="608">
        <v>39477</v>
      </c>
      <c r="D142" s="812">
        <v>99709</v>
      </c>
      <c r="E142" s="812" t="s">
        <v>1600</v>
      </c>
      <c r="F142" s="133">
        <v>3.9237189540621982</v>
      </c>
      <c r="G142" s="133">
        <v>0.98514710186678545</v>
      </c>
      <c r="H142" s="133">
        <v>1.6347676634042916</v>
      </c>
      <c r="I142" s="133">
        <v>1.0364476363705635</v>
      </c>
      <c r="J142" s="133">
        <v>1.0364476363705635</v>
      </c>
      <c r="K142" s="133">
        <v>4.9734620223966082E-2</v>
      </c>
      <c r="L142" s="133">
        <v>10.693947780774936</v>
      </c>
      <c r="M142" s="45">
        <v>20033.005905506227</v>
      </c>
    </row>
    <row r="143" spans="1:13" x14ac:dyDescent="0.25">
      <c r="A143" s="812" t="s">
        <v>1996</v>
      </c>
      <c r="B143" s="812">
        <v>8</v>
      </c>
      <c r="C143" s="608">
        <v>39477</v>
      </c>
      <c r="D143" s="812">
        <v>99712</v>
      </c>
      <c r="E143" s="812" t="s">
        <v>1601</v>
      </c>
      <c r="F143" s="133">
        <v>2.1050265575797238</v>
      </c>
      <c r="G143" s="133">
        <v>0.34122164976145025</v>
      </c>
      <c r="H143" s="133">
        <v>0.61038348485330485</v>
      </c>
      <c r="I143" s="133">
        <v>0.55813746373618534</v>
      </c>
      <c r="J143" s="133">
        <v>0.55813746373618534</v>
      </c>
      <c r="K143" s="133">
        <v>2.5594947389484715E-2</v>
      </c>
      <c r="L143" s="133">
        <v>5.8164680452405717</v>
      </c>
      <c r="M143" s="45">
        <v>7067.9398344081974</v>
      </c>
    </row>
    <row r="144" spans="1:13" x14ac:dyDescent="0.25">
      <c r="A144" s="812" t="s">
        <v>1996</v>
      </c>
      <c r="B144" s="812">
        <v>8</v>
      </c>
      <c r="C144" s="608">
        <v>39477</v>
      </c>
      <c r="D144" s="812">
        <v>99714</v>
      </c>
      <c r="E144" s="812" t="s">
        <v>2034</v>
      </c>
      <c r="F144" s="133">
        <v>0</v>
      </c>
      <c r="G144" s="133">
        <v>0</v>
      </c>
      <c r="H144" s="133">
        <v>0</v>
      </c>
      <c r="I144" s="133">
        <v>0</v>
      </c>
      <c r="J144" s="133">
        <v>0</v>
      </c>
      <c r="K144" s="133">
        <v>0</v>
      </c>
      <c r="L144" s="133">
        <v>0</v>
      </c>
      <c r="M144" s="45">
        <v>0</v>
      </c>
    </row>
    <row r="145" spans="1:13" x14ac:dyDescent="0.25">
      <c r="A145" s="812" t="s">
        <v>1996</v>
      </c>
      <c r="B145" s="812">
        <v>8</v>
      </c>
      <c r="C145" s="608">
        <v>39477</v>
      </c>
      <c r="D145" s="812">
        <v>99730</v>
      </c>
      <c r="E145" s="812" t="s">
        <v>2035</v>
      </c>
      <c r="F145" s="133">
        <v>0</v>
      </c>
      <c r="G145" s="133">
        <v>0</v>
      </c>
      <c r="H145" s="133">
        <v>0</v>
      </c>
      <c r="I145" s="133">
        <v>0</v>
      </c>
      <c r="J145" s="133">
        <v>0</v>
      </c>
      <c r="K145" s="133">
        <v>0</v>
      </c>
      <c r="L145" s="133">
        <v>0</v>
      </c>
      <c r="M145" s="45">
        <v>0</v>
      </c>
    </row>
    <row r="146" spans="1:13" x14ac:dyDescent="0.25">
      <c r="A146" s="812" t="s">
        <v>1996</v>
      </c>
      <c r="B146" s="812">
        <v>8</v>
      </c>
      <c r="C146" s="608">
        <v>39477</v>
      </c>
      <c r="D146" s="812">
        <v>99737</v>
      </c>
      <c r="E146" s="812" t="s">
        <v>2036</v>
      </c>
      <c r="F146" s="133">
        <v>0</v>
      </c>
      <c r="G146" s="133">
        <v>0</v>
      </c>
      <c r="H146" s="133">
        <v>0</v>
      </c>
      <c r="I146" s="133">
        <v>0</v>
      </c>
      <c r="J146" s="133">
        <v>0</v>
      </c>
      <c r="K146" s="133">
        <v>0</v>
      </c>
      <c r="L146" s="133">
        <v>0</v>
      </c>
      <c r="M146" s="45">
        <v>0</v>
      </c>
    </row>
    <row r="147" spans="1:13" x14ac:dyDescent="0.25">
      <c r="A147" s="812" t="s">
        <v>1996</v>
      </c>
      <c r="B147" s="812">
        <v>8</v>
      </c>
      <c r="C147" s="608">
        <v>39477</v>
      </c>
      <c r="D147" s="812">
        <v>99743</v>
      </c>
      <c r="E147" s="812" t="s">
        <v>2037</v>
      </c>
      <c r="F147" s="133">
        <v>0</v>
      </c>
      <c r="G147" s="133">
        <v>0</v>
      </c>
      <c r="H147" s="133">
        <v>0</v>
      </c>
      <c r="I147" s="133">
        <v>0</v>
      </c>
      <c r="J147" s="133">
        <v>0</v>
      </c>
      <c r="K147" s="133">
        <v>0</v>
      </c>
      <c r="L147" s="133">
        <v>0</v>
      </c>
      <c r="M147" s="45">
        <v>0</v>
      </c>
    </row>
    <row r="148" spans="1:13" x14ac:dyDescent="0.25">
      <c r="A148" s="812" t="s">
        <v>1996</v>
      </c>
      <c r="B148" s="812">
        <v>8</v>
      </c>
      <c r="C148" s="608">
        <v>39477</v>
      </c>
      <c r="D148" s="812">
        <v>99744</v>
      </c>
      <c r="E148" s="812" t="s">
        <v>2038</v>
      </c>
      <c r="F148" s="133">
        <v>0</v>
      </c>
      <c r="G148" s="133">
        <v>0</v>
      </c>
      <c r="H148" s="133">
        <v>0</v>
      </c>
      <c r="I148" s="133">
        <v>0</v>
      </c>
      <c r="J148" s="133">
        <v>0</v>
      </c>
      <c r="K148" s="133">
        <v>0</v>
      </c>
      <c r="L148" s="133">
        <v>0</v>
      </c>
      <c r="M148" s="45">
        <v>0</v>
      </c>
    </row>
    <row r="149" spans="1:13" x14ac:dyDescent="0.25">
      <c r="A149" s="812" t="s">
        <v>1996</v>
      </c>
      <c r="B149" s="812">
        <v>8</v>
      </c>
      <c r="C149" s="608">
        <v>39477</v>
      </c>
      <c r="D149" s="812">
        <v>99755</v>
      </c>
      <c r="E149" s="812" t="s">
        <v>2039</v>
      </c>
      <c r="F149" s="133">
        <v>0</v>
      </c>
      <c r="G149" s="133">
        <v>0</v>
      </c>
      <c r="H149" s="133">
        <v>0</v>
      </c>
      <c r="I149" s="133">
        <v>0</v>
      </c>
      <c r="J149" s="133">
        <v>0</v>
      </c>
      <c r="K149" s="133">
        <v>0</v>
      </c>
      <c r="L149" s="133">
        <v>0</v>
      </c>
      <c r="M149" s="45">
        <v>0</v>
      </c>
    </row>
    <row r="150" spans="1:13" x14ac:dyDescent="0.25">
      <c r="A150" s="812" t="s">
        <v>1996</v>
      </c>
      <c r="B150" s="812">
        <v>8</v>
      </c>
      <c r="C150" s="608">
        <v>39477</v>
      </c>
      <c r="D150" s="812">
        <v>99756</v>
      </c>
      <c r="E150" s="812" t="s">
        <v>2040</v>
      </c>
      <c r="F150" s="133">
        <v>0</v>
      </c>
      <c r="G150" s="133">
        <v>0</v>
      </c>
      <c r="H150" s="133">
        <v>0</v>
      </c>
      <c r="I150" s="133">
        <v>0</v>
      </c>
      <c r="J150" s="133">
        <v>0</v>
      </c>
      <c r="K150" s="133">
        <v>0</v>
      </c>
      <c r="L150" s="133">
        <v>0</v>
      </c>
      <c r="M150" s="45">
        <v>0</v>
      </c>
    </row>
    <row r="151" spans="1:13" x14ac:dyDescent="0.25">
      <c r="A151" s="812" t="s">
        <v>1996</v>
      </c>
      <c r="B151" s="812">
        <v>8</v>
      </c>
      <c r="C151" s="608">
        <v>39477</v>
      </c>
      <c r="D151" s="812">
        <v>99758</v>
      </c>
      <c r="E151" s="812" t="s">
        <v>2041</v>
      </c>
      <c r="F151" s="133">
        <v>0</v>
      </c>
      <c r="G151" s="133">
        <v>0</v>
      </c>
      <c r="H151" s="133">
        <v>0</v>
      </c>
      <c r="I151" s="133">
        <v>0</v>
      </c>
      <c r="J151" s="133">
        <v>0</v>
      </c>
      <c r="K151" s="133">
        <v>0</v>
      </c>
      <c r="L151" s="133">
        <v>0</v>
      </c>
      <c r="M151" s="45">
        <v>0</v>
      </c>
    </row>
    <row r="152" spans="1:13" x14ac:dyDescent="0.25">
      <c r="A152" s="812" t="s">
        <v>1996</v>
      </c>
      <c r="B152" s="812">
        <v>8</v>
      </c>
      <c r="C152" s="608">
        <v>39477</v>
      </c>
      <c r="D152" s="812">
        <v>99760</v>
      </c>
      <c r="E152" s="812" t="s">
        <v>2042</v>
      </c>
      <c r="F152" s="133">
        <v>0</v>
      </c>
      <c r="G152" s="133">
        <v>0</v>
      </c>
      <c r="H152" s="133">
        <v>0</v>
      </c>
      <c r="I152" s="133">
        <v>0</v>
      </c>
      <c r="J152" s="133">
        <v>0</v>
      </c>
      <c r="K152" s="133">
        <v>0</v>
      </c>
      <c r="L152" s="133">
        <v>0</v>
      </c>
      <c r="M152" s="45">
        <v>0</v>
      </c>
    </row>
    <row r="153" spans="1:13" x14ac:dyDescent="0.25">
      <c r="A153" s="812" t="s">
        <v>1996</v>
      </c>
      <c r="B153" s="812">
        <v>8</v>
      </c>
      <c r="C153" s="608">
        <v>39477</v>
      </c>
      <c r="D153" s="812">
        <v>99767</v>
      </c>
      <c r="E153" s="812" t="s">
        <v>2043</v>
      </c>
      <c r="F153" s="133">
        <v>0</v>
      </c>
      <c r="G153" s="133">
        <v>0</v>
      </c>
      <c r="H153" s="133">
        <v>0</v>
      </c>
      <c r="I153" s="133">
        <v>0</v>
      </c>
      <c r="J153" s="133">
        <v>0</v>
      </c>
      <c r="K153" s="133">
        <v>0</v>
      </c>
      <c r="L153" s="133">
        <v>0</v>
      </c>
      <c r="M153" s="45">
        <v>0</v>
      </c>
    </row>
    <row r="154" spans="1:13" x14ac:dyDescent="0.25">
      <c r="A154" s="812" t="s">
        <v>1996</v>
      </c>
      <c r="B154" s="812">
        <v>8</v>
      </c>
      <c r="C154" s="608">
        <v>39477</v>
      </c>
      <c r="D154" s="812">
        <v>99774</v>
      </c>
      <c r="E154" s="812" t="s">
        <v>2044</v>
      </c>
      <c r="F154" s="133">
        <v>0</v>
      </c>
      <c r="G154" s="133">
        <v>0</v>
      </c>
      <c r="H154" s="133">
        <v>0</v>
      </c>
      <c r="I154" s="133">
        <v>0</v>
      </c>
      <c r="J154" s="133">
        <v>0</v>
      </c>
      <c r="K154" s="133">
        <v>0</v>
      </c>
      <c r="L154" s="133">
        <v>0</v>
      </c>
      <c r="M154" s="45">
        <v>0</v>
      </c>
    </row>
    <row r="155" spans="1:13" x14ac:dyDescent="0.25">
      <c r="A155" s="812" t="s">
        <v>1996</v>
      </c>
      <c r="B155" s="812">
        <v>8</v>
      </c>
      <c r="C155" s="608">
        <v>39477</v>
      </c>
      <c r="D155" s="812">
        <v>99775</v>
      </c>
      <c r="E155" s="812" t="s">
        <v>1602</v>
      </c>
      <c r="F155" s="133">
        <v>8.4477491588187093E-5</v>
      </c>
      <c r="G155" s="133">
        <v>2.0497198647250916E-3</v>
      </c>
      <c r="H155" s="133">
        <v>1.2991899443800482E-3</v>
      </c>
      <c r="I155" s="133">
        <v>6.2805410867305909E-5</v>
      </c>
      <c r="J155" s="133">
        <v>6.2805410867305909E-5</v>
      </c>
      <c r="K155" s="133">
        <v>4.5202582049854629E-5</v>
      </c>
      <c r="L155" s="133">
        <v>1.3109261340922204E-4</v>
      </c>
      <c r="M155" s="45">
        <v>32.591523629740117</v>
      </c>
    </row>
    <row r="156" spans="1:13" x14ac:dyDescent="0.25">
      <c r="A156" s="812" t="s">
        <v>1996</v>
      </c>
      <c r="B156" s="812">
        <v>8</v>
      </c>
      <c r="C156" s="608">
        <v>39477</v>
      </c>
      <c r="D156" s="812">
        <v>99790</v>
      </c>
      <c r="E156" s="812" t="s">
        <v>2045</v>
      </c>
      <c r="F156" s="133">
        <v>0</v>
      </c>
      <c r="G156" s="133">
        <v>0</v>
      </c>
      <c r="H156" s="133">
        <v>0</v>
      </c>
      <c r="I156" s="133">
        <v>0</v>
      </c>
      <c r="J156" s="133">
        <v>0</v>
      </c>
      <c r="K156" s="133">
        <v>0</v>
      </c>
      <c r="L156" s="133">
        <v>0</v>
      </c>
      <c r="M156" s="45">
        <v>0</v>
      </c>
    </row>
    <row r="157" spans="1:13" x14ac:dyDescent="0.25">
      <c r="A157" s="812" t="s">
        <v>1996</v>
      </c>
      <c r="B157" s="812">
        <v>9</v>
      </c>
      <c r="C157" s="608">
        <v>39478</v>
      </c>
      <c r="D157" s="812">
        <v>99701</v>
      </c>
      <c r="E157" s="812" t="s">
        <v>2031</v>
      </c>
      <c r="F157" s="133">
        <v>1.0541127007647602</v>
      </c>
      <c r="G157" s="133">
        <v>0.81958987194755994</v>
      </c>
      <c r="H157" s="133">
        <v>1.0747217073325392</v>
      </c>
      <c r="I157" s="133">
        <v>0.30011466046712876</v>
      </c>
      <c r="J157" s="133">
        <v>0.30011466046712876</v>
      </c>
      <c r="K157" s="133">
        <v>2.3964328588158251E-2</v>
      </c>
      <c r="L157" s="133">
        <v>2.9939567239183491</v>
      </c>
      <c r="M157" s="45">
        <v>15222.279914082746</v>
      </c>
    </row>
    <row r="158" spans="1:13" x14ac:dyDescent="0.25">
      <c r="A158" s="812" t="s">
        <v>1996</v>
      </c>
      <c r="B158" s="812">
        <v>9</v>
      </c>
      <c r="C158" s="608">
        <v>39478</v>
      </c>
      <c r="D158" s="812">
        <v>99702</v>
      </c>
      <c r="E158" s="812" t="s">
        <v>2032</v>
      </c>
      <c r="F158" s="133">
        <v>0</v>
      </c>
      <c r="G158" s="133">
        <v>0</v>
      </c>
      <c r="H158" s="133">
        <v>0</v>
      </c>
      <c r="I158" s="133">
        <v>0</v>
      </c>
      <c r="J158" s="133">
        <v>0</v>
      </c>
      <c r="K158" s="133">
        <v>0</v>
      </c>
      <c r="L158" s="133">
        <v>0</v>
      </c>
      <c r="M158" s="45">
        <v>0</v>
      </c>
    </row>
    <row r="159" spans="1:13" x14ac:dyDescent="0.25">
      <c r="A159" s="812" t="s">
        <v>1996</v>
      </c>
      <c r="B159" s="812">
        <v>9</v>
      </c>
      <c r="C159" s="608">
        <v>39478</v>
      </c>
      <c r="D159" s="812">
        <v>99703</v>
      </c>
      <c r="E159" s="812" t="s">
        <v>2033</v>
      </c>
      <c r="F159" s="133">
        <v>2.461917319207732E-2</v>
      </c>
      <c r="G159" s="133">
        <v>1.5483702114347107E-2</v>
      </c>
      <c r="H159" s="133">
        <v>2.4029758195725906E-2</v>
      </c>
      <c r="I159" s="133">
        <v>7.988278494514613E-3</v>
      </c>
      <c r="J159" s="133">
        <v>7.988278494514613E-3</v>
      </c>
      <c r="K159" s="133">
        <v>4.6841905029173218E-4</v>
      </c>
      <c r="L159" s="133">
        <v>8.5693661923752995E-2</v>
      </c>
      <c r="M159" s="45">
        <v>301.35370387503349</v>
      </c>
    </row>
    <row r="160" spans="1:13" x14ac:dyDescent="0.25">
      <c r="A160" s="812" t="s">
        <v>1996</v>
      </c>
      <c r="B160" s="812">
        <v>9</v>
      </c>
      <c r="C160" s="608">
        <v>39478</v>
      </c>
      <c r="D160" s="812">
        <v>99705</v>
      </c>
      <c r="E160" s="812" t="s">
        <v>1599</v>
      </c>
      <c r="F160" s="133">
        <v>4.3087540256247943</v>
      </c>
      <c r="G160" s="133">
        <v>0.84101773506419264</v>
      </c>
      <c r="H160" s="133">
        <v>1.4234008226856001</v>
      </c>
      <c r="I160" s="133">
        <v>1.2888859763642819</v>
      </c>
      <c r="J160" s="133">
        <v>1.2888859763642819</v>
      </c>
      <c r="K160" s="133">
        <v>5.7155313285187394E-2</v>
      </c>
      <c r="L160" s="133">
        <v>13.995367742223735</v>
      </c>
      <c r="M160" s="45">
        <v>17198.413115548145</v>
      </c>
    </row>
    <row r="161" spans="1:13" x14ac:dyDescent="0.25">
      <c r="A161" s="812" t="s">
        <v>1996</v>
      </c>
      <c r="B161" s="812">
        <v>9</v>
      </c>
      <c r="C161" s="608">
        <v>39478</v>
      </c>
      <c r="D161" s="812">
        <v>99709</v>
      </c>
      <c r="E161" s="812" t="s">
        <v>1600</v>
      </c>
      <c r="F161" s="133">
        <v>3.9414321729822426</v>
      </c>
      <c r="G161" s="133">
        <v>0.95347374959098219</v>
      </c>
      <c r="H161" s="133">
        <v>1.60597542527588</v>
      </c>
      <c r="I161" s="133">
        <v>1.041367253391885</v>
      </c>
      <c r="J161" s="133">
        <v>1.041367253391885</v>
      </c>
      <c r="K161" s="133">
        <v>4.9899197804891514E-2</v>
      </c>
      <c r="L161" s="133">
        <v>10.760000567911643</v>
      </c>
      <c r="M161" s="45">
        <v>19524.264201205191</v>
      </c>
    </row>
    <row r="162" spans="1:13" x14ac:dyDescent="0.25">
      <c r="A162" s="812" t="s">
        <v>1996</v>
      </c>
      <c r="B162" s="812">
        <v>9</v>
      </c>
      <c r="C162" s="608">
        <v>39478</v>
      </c>
      <c r="D162" s="812">
        <v>99712</v>
      </c>
      <c r="E162" s="812" t="s">
        <v>1601</v>
      </c>
      <c r="F162" s="133">
        <v>2.2648682351391689</v>
      </c>
      <c r="G162" s="133">
        <v>0.35856981284873202</v>
      </c>
      <c r="H162" s="133">
        <v>0.64549438228627642</v>
      </c>
      <c r="I162" s="133">
        <v>0.59901132572988669</v>
      </c>
      <c r="J162" s="133">
        <v>0.59901132572988669</v>
      </c>
      <c r="K162" s="133">
        <v>2.7443598692651661E-2</v>
      </c>
      <c r="L162" s="133">
        <v>6.2477650473421331</v>
      </c>
      <c r="M162" s="45">
        <v>7443.3265581574242</v>
      </c>
    </row>
    <row r="163" spans="1:13" x14ac:dyDescent="0.25">
      <c r="A163" s="812" t="s">
        <v>1996</v>
      </c>
      <c r="B163" s="812">
        <v>9</v>
      </c>
      <c r="C163" s="608">
        <v>39478</v>
      </c>
      <c r="D163" s="812">
        <v>99714</v>
      </c>
      <c r="E163" s="812" t="s">
        <v>2034</v>
      </c>
      <c r="F163" s="133">
        <v>0</v>
      </c>
      <c r="G163" s="133">
        <v>0</v>
      </c>
      <c r="H163" s="133">
        <v>0</v>
      </c>
      <c r="I163" s="133">
        <v>0</v>
      </c>
      <c r="J163" s="133">
        <v>0</v>
      </c>
      <c r="K163" s="133">
        <v>0</v>
      </c>
      <c r="L163" s="133">
        <v>0</v>
      </c>
      <c r="M163" s="45">
        <v>0</v>
      </c>
    </row>
    <row r="164" spans="1:13" x14ac:dyDescent="0.25">
      <c r="A164" s="812" t="s">
        <v>1996</v>
      </c>
      <c r="B164" s="812">
        <v>9</v>
      </c>
      <c r="C164" s="608">
        <v>39478</v>
      </c>
      <c r="D164" s="812">
        <v>99730</v>
      </c>
      <c r="E164" s="812" t="s">
        <v>2035</v>
      </c>
      <c r="F164" s="133">
        <v>0</v>
      </c>
      <c r="G164" s="133">
        <v>0</v>
      </c>
      <c r="H164" s="133">
        <v>0</v>
      </c>
      <c r="I164" s="133">
        <v>0</v>
      </c>
      <c r="J164" s="133">
        <v>0</v>
      </c>
      <c r="K164" s="133">
        <v>0</v>
      </c>
      <c r="L164" s="133">
        <v>0</v>
      </c>
      <c r="M164" s="45">
        <v>0</v>
      </c>
    </row>
    <row r="165" spans="1:13" x14ac:dyDescent="0.25">
      <c r="A165" s="812" t="s">
        <v>1996</v>
      </c>
      <c r="B165" s="812">
        <v>9</v>
      </c>
      <c r="C165" s="608">
        <v>39478</v>
      </c>
      <c r="D165" s="812">
        <v>99737</v>
      </c>
      <c r="E165" s="812" t="s">
        <v>2036</v>
      </c>
      <c r="F165" s="133">
        <v>0</v>
      </c>
      <c r="G165" s="133">
        <v>0</v>
      </c>
      <c r="H165" s="133">
        <v>0</v>
      </c>
      <c r="I165" s="133">
        <v>0</v>
      </c>
      <c r="J165" s="133">
        <v>0</v>
      </c>
      <c r="K165" s="133">
        <v>0</v>
      </c>
      <c r="L165" s="133">
        <v>0</v>
      </c>
      <c r="M165" s="45">
        <v>0</v>
      </c>
    </row>
    <row r="166" spans="1:13" x14ac:dyDescent="0.25">
      <c r="A166" s="812" t="s">
        <v>1996</v>
      </c>
      <c r="B166" s="812">
        <v>9</v>
      </c>
      <c r="C166" s="608">
        <v>39478</v>
      </c>
      <c r="D166" s="812">
        <v>99743</v>
      </c>
      <c r="E166" s="812" t="s">
        <v>2037</v>
      </c>
      <c r="F166" s="133">
        <v>0</v>
      </c>
      <c r="G166" s="133">
        <v>0</v>
      </c>
      <c r="H166" s="133">
        <v>0</v>
      </c>
      <c r="I166" s="133">
        <v>0</v>
      </c>
      <c r="J166" s="133">
        <v>0</v>
      </c>
      <c r="K166" s="133">
        <v>0</v>
      </c>
      <c r="L166" s="133">
        <v>0</v>
      </c>
      <c r="M166" s="45">
        <v>0</v>
      </c>
    </row>
    <row r="167" spans="1:13" x14ac:dyDescent="0.25">
      <c r="A167" s="812" t="s">
        <v>1996</v>
      </c>
      <c r="B167" s="812">
        <v>9</v>
      </c>
      <c r="C167" s="608">
        <v>39478</v>
      </c>
      <c r="D167" s="812">
        <v>99744</v>
      </c>
      <c r="E167" s="812" t="s">
        <v>2038</v>
      </c>
      <c r="F167" s="133">
        <v>0</v>
      </c>
      <c r="G167" s="133">
        <v>0</v>
      </c>
      <c r="H167" s="133">
        <v>0</v>
      </c>
      <c r="I167" s="133">
        <v>0</v>
      </c>
      <c r="J167" s="133">
        <v>0</v>
      </c>
      <c r="K167" s="133">
        <v>0</v>
      </c>
      <c r="L167" s="133">
        <v>0</v>
      </c>
      <c r="M167" s="45">
        <v>0</v>
      </c>
    </row>
    <row r="168" spans="1:13" x14ac:dyDescent="0.25">
      <c r="A168" s="812" t="s">
        <v>1996</v>
      </c>
      <c r="B168" s="812">
        <v>9</v>
      </c>
      <c r="C168" s="608">
        <v>39478</v>
      </c>
      <c r="D168" s="812">
        <v>99755</v>
      </c>
      <c r="E168" s="812" t="s">
        <v>2039</v>
      </c>
      <c r="F168" s="133">
        <v>0</v>
      </c>
      <c r="G168" s="133">
        <v>0</v>
      </c>
      <c r="H168" s="133">
        <v>0</v>
      </c>
      <c r="I168" s="133">
        <v>0</v>
      </c>
      <c r="J168" s="133">
        <v>0</v>
      </c>
      <c r="K168" s="133">
        <v>0</v>
      </c>
      <c r="L168" s="133">
        <v>0</v>
      </c>
      <c r="M168" s="45">
        <v>0</v>
      </c>
    </row>
    <row r="169" spans="1:13" x14ac:dyDescent="0.25">
      <c r="A169" s="812" t="s">
        <v>1996</v>
      </c>
      <c r="B169" s="812">
        <v>9</v>
      </c>
      <c r="C169" s="608">
        <v>39478</v>
      </c>
      <c r="D169" s="812">
        <v>99756</v>
      </c>
      <c r="E169" s="812" t="s">
        <v>2040</v>
      </c>
      <c r="F169" s="133">
        <v>0</v>
      </c>
      <c r="G169" s="133">
        <v>0</v>
      </c>
      <c r="H169" s="133">
        <v>0</v>
      </c>
      <c r="I169" s="133">
        <v>0</v>
      </c>
      <c r="J169" s="133">
        <v>0</v>
      </c>
      <c r="K169" s="133">
        <v>0</v>
      </c>
      <c r="L169" s="133">
        <v>0</v>
      </c>
      <c r="M169" s="45">
        <v>0</v>
      </c>
    </row>
    <row r="170" spans="1:13" x14ac:dyDescent="0.25">
      <c r="A170" s="812" t="s">
        <v>1996</v>
      </c>
      <c r="B170" s="812">
        <v>9</v>
      </c>
      <c r="C170" s="608">
        <v>39478</v>
      </c>
      <c r="D170" s="812">
        <v>99758</v>
      </c>
      <c r="E170" s="812" t="s">
        <v>2041</v>
      </c>
      <c r="F170" s="133">
        <v>0</v>
      </c>
      <c r="G170" s="133">
        <v>0</v>
      </c>
      <c r="H170" s="133">
        <v>0</v>
      </c>
      <c r="I170" s="133">
        <v>0</v>
      </c>
      <c r="J170" s="133">
        <v>0</v>
      </c>
      <c r="K170" s="133">
        <v>0</v>
      </c>
      <c r="L170" s="133">
        <v>0</v>
      </c>
      <c r="M170" s="45">
        <v>0</v>
      </c>
    </row>
    <row r="171" spans="1:13" x14ac:dyDescent="0.25">
      <c r="A171" s="812" t="s">
        <v>1996</v>
      </c>
      <c r="B171" s="812">
        <v>9</v>
      </c>
      <c r="C171" s="608">
        <v>39478</v>
      </c>
      <c r="D171" s="812">
        <v>99760</v>
      </c>
      <c r="E171" s="812" t="s">
        <v>2042</v>
      </c>
      <c r="F171" s="133">
        <v>0</v>
      </c>
      <c r="G171" s="133">
        <v>0</v>
      </c>
      <c r="H171" s="133">
        <v>0</v>
      </c>
      <c r="I171" s="133">
        <v>0</v>
      </c>
      <c r="J171" s="133">
        <v>0</v>
      </c>
      <c r="K171" s="133">
        <v>0</v>
      </c>
      <c r="L171" s="133">
        <v>0</v>
      </c>
      <c r="M171" s="45">
        <v>0</v>
      </c>
    </row>
    <row r="172" spans="1:13" x14ac:dyDescent="0.25">
      <c r="A172" s="812" t="s">
        <v>1996</v>
      </c>
      <c r="B172" s="812">
        <v>9</v>
      </c>
      <c r="C172" s="608">
        <v>39478</v>
      </c>
      <c r="D172" s="812">
        <v>99767</v>
      </c>
      <c r="E172" s="812" t="s">
        <v>2043</v>
      </c>
      <c r="F172" s="133">
        <v>0</v>
      </c>
      <c r="G172" s="133">
        <v>0</v>
      </c>
      <c r="H172" s="133">
        <v>0</v>
      </c>
      <c r="I172" s="133">
        <v>0</v>
      </c>
      <c r="J172" s="133">
        <v>0</v>
      </c>
      <c r="K172" s="133">
        <v>0</v>
      </c>
      <c r="L172" s="133">
        <v>0</v>
      </c>
      <c r="M172" s="45">
        <v>0</v>
      </c>
    </row>
    <row r="173" spans="1:13" x14ac:dyDescent="0.25">
      <c r="A173" s="812" t="s">
        <v>1996</v>
      </c>
      <c r="B173" s="812">
        <v>9</v>
      </c>
      <c r="C173" s="608">
        <v>39478</v>
      </c>
      <c r="D173" s="812">
        <v>99774</v>
      </c>
      <c r="E173" s="812" t="s">
        <v>2044</v>
      </c>
      <c r="F173" s="133">
        <v>0</v>
      </c>
      <c r="G173" s="133">
        <v>0</v>
      </c>
      <c r="H173" s="133">
        <v>0</v>
      </c>
      <c r="I173" s="133">
        <v>0</v>
      </c>
      <c r="J173" s="133">
        <v>0</v>
      </c>
      <c r="K173" s="133">
        <v>0</v>
      </c>
      <c r="L173" s="133">
        <v>0</v>
      </c>
      <c r="M173" s="45">
        <v>0</v>
      </c>
    </row>
    <row r="174" spans="1:13" x14ac:dyDescent="0.25">
      <c r="A174" s="812" t="s">
        <v>1996</v>
      </c>
      <c r="B174" s="812">
        <v>9</v>
      </c>
      <c r="C174" s="608">
        <v>39478</v>
      </c>
      <c r="D174" s="812">
        <v>99775</v>
      </c>
      <c r="E174" s="812" t="s">
        <v>1602</v>
      </c>
      <c r="F174" s="133">
        <v>7.5174307853782528E-5</v>
      </c>
      <c r="G174" s="133">
        <v>1.8148568812478363E-3</v>
      </c>
      <c r="H174" s="133">
        <v>1.1331783493035033E-3</v>
      </c>
      <c r="I174" s="133">
        <v>5.6847757697102055E-5</v>
      </c>
      <c r="J174" s="133">
        <v>5.6847757697102055E-5</v>
      </c>
      <c r="K174" s="133">
        <v>4.4882953957273203E-5</v>
      </c>
      <c r="L174" s="133">
        <v>1.2524914859144711E-4</v>
      </c>
      <c r="M174" s="45">
        <v>28.977243272895677</v>
      </c>
    </row>
    <row r="175" spans="1:13" x14ac:dyDescent="0.25">
      <c r="A175" s="812" t="s">
        <v>1996</v>
      </c>
      <c r="B175" s="812">
        <v>9</v>
      </c>
      <c r="C175" s="608">
        <v>39478</v>
      </c>
      <c r="D175" s="812">
        <v>99790</v>
      </c>
      <c r="E175" s="812" t="s">
        <v>2045</v>
      </c>
      <c r="F175" s="133">
        <v>0</v>
      </c>
      <c r="G175" s="133">
        <v>0</v>
      </c>
      <c r="H175" s="133">
        <v>0</v>
      </c>
      <c r="I175" s="133">
        <v>0</v>
      </c>
      <c r="J175" s="133">
        <v>0</v>
      </c>
      <c r="K175" s="133">
        <v>0</v>
      </c>
      <c r="L175" s="133">
        <v>0</v>
      </c>
      <c r="M175" s="45">
        <v>0</v>
      </c>
    </row>
    <row r="176" spans="1:13" x14ac:dyDescent="0.25">
      <c r="A176" s="812" t="s">
        <v>1996</v>
      </c>
      <c r="B176" s="812">
        <v>10</v>
      </c>
      <c r="C176" s="608">
        <v>39479</v>
      </c>
      <c r="D176" s="812">
        <v>99701</v>
      </c>
      <c r="E176" s="812" t="s">
        <v>2031</v>
      </c>
      <c r="F176" s="133">
        <v>0.96139396963344392</v>
      </c>
      <c r="G176" s="133">
        <v>0.7898312434292285</v>
      </c>
      <c r="H176" s="133">
        <v>1.0171903460026717</v>
      </c>
      <c r="I176" s="133">
        <v>0.27626328602456207</v>
      </c>
      <c r="J176" s="133">
        <v>0.27626328602456207</v>
      </c>
      <c r="K176" s="133">
        <v>2.2917179900093919E-2</v>
      </c>
      <c r="L176" s="133">
        <v>2.7504194831618145</v>
      </c>
      <c r="M176" s="45">
        <v>14594.75663711428</v>
      </c>
    </row>
    <row r="177" spans="1:13" x14ac:dyDescent="0.25">
      <c r="A177" s="812" t="s">
        <v>1996</v>
      </c>
      <c r="B177" s="812">
        <v>10</v>
      </c>
      <c r="C177" s="608">
        <v>39479</v>
      </c>
      <c r="D177" s="812">
        <v>99702</v>
      </c>
      <c r="E177" s="812" t="s">
        <v>2032</v>
      </c>
      <c r="F177" s="133">
        <v>0</v>
      </c>
      <c r="G177" s="133">
        <v>0</v>
      </c>
      <c r="H177" s="133">
        <v>0</v>
      </c>
      <c r="I177" s="133">
        <v>0</v>
      </c>
      <c r="J177" s="133">
        <v>0</v>
      </c>
      <c r="K177" s="133">
        <v>0</v>
      </c>
      <c r="L177" s="133">
        <v>0</v>
      </c>
      <c r="M177" s="45">
        <v>0</v>
      </c>
    </row>
    <row r="178" spans="1:13" x14ac:dyDescent="0.25">
      <c r="A178" s="812" t="s">
        <v>1996</v>
      </c>
      <c r="B178" s="812">
        <v>10</v>
      </c>
      <c r="C178" s="608">
        <v>39479</v>
      </c>
      <c r="D178" s="812">
        <v>99703</v>
      </c>
      <c r="E178" s="812" t="s">
        <v>2033</v>
      </c>
      <c r="F178" s="133">
        <v>2.251587250182303E-2</v>
      </c>
      <c r="G178" s="133">
        <v>1.4744473692257962E-2</v>
      </c>
      <c r="H178" s="133">
        <v>2.2546767133808029E-2</v>
      </c>
      <c r="I178" s="133">
        <v>7.345585892217921E-3</v>
      </c>
      <c r="J178" s="133">
        <v>7.345585892217921E-3</v>
      </c>
      <c r="K178" s="133">
        <v>4.4190630712439454E-4</v>
      </c>
      <c r="L178" s="133">
        <v>7.8626214089088126E-2</v>
      </c>
      <c r="M178" s="45">
        <v>285.51289251467085</v>
      </c>
    </row>
    <row r="179" spans="1:13" x14ac:dyDescent="0.25">
      <c r="A179" s="812" t="s">
        <v>1996</v>
      </c>
      <c r="B179" s="812">
        <v>10</v>
      </c>
      <c r="C179" s="608">
        <v>39479</v>
      </c>
      <c r="D179" s="812">
        <v>99705</v>
      </c>
      <c r="E179" s="812" t="s">
        <v>1599</v>
      </c>
      <c r="F179" s="133">
        <v>3.8805856316583367</v>
      </c>
      <c r="G179" s="133">
        <v>0.77354806990703973</v>
      </c>
      <c r="H179" s="133">
        <v>1.3022492281195248</v>
      </c>
      <c r="I179" s="133">
        <v>1.1647247341464193</v>
      </c>
      <c r="J179" s="133">
        <v>1.1647247341464193</v>
      </c>
      <c r="K179" s="133">
        <v>5.1753392916242591E-2</v>
      </c>
      <c r="L179" s="133">
        <v>12.622620506587262</v>
      </c>
      <c r="M179" s="45">
        <v>15801.008471169614</v>
      </c>
    </row>
    <row r="180" spans="1:13" x14ac:dyDescent="0.25">
      <c r="A180" s="812" t="s">
        <v>1996</v>
      </c>
      <c r="B180" s="812">
        <v>10</v>
      </c>
      <c r="C180" s="608">
        <v>39479</v>
      </c>
      <c r="D180" s="812">
        <v>99709</v>
      </c>
      <c r="E180" s="812" t="s">
        <v>1600</v>
      </c>
      <c r="F180" s="133">
        <v>3.5642334424235953</v>
      </c>
      <c r="G180" s="133">
        <v>0.89648266656902864</v>
      </c>
      <c r="H180" s="133">
        <v>1.497700875599822</v>
      </c>
      <c r="I180" s="133">
        <v>0.94867985004416244</v>
      </c>
      <c r="J180" s="133">
        <v>0.94867985004416244</v>
      </c>
      <c r="K180" s="133">
        <v>4.5855652451422015E-2</v>
      </c>
      <c r="L180" s="133">
        <v>9.8101624021145728</v>
      </c>
      <c r="M180" s="45">
        <v>18312.281641839065</v>
      </c>
    </row>
    <row r="181" spans="1:13" x14ac:dyDescent="0.25">
      <c r="A181" s="812" t="s">
        <v>1996</v>
      </c>
      <c r="B181" s="812">
        <v>10</v>
      </c>
      <c r="C181" s="608">
        <v>39479</v>
      </c>
      <c r="D181" s="812">
        <v>99712</v>
      </c>
      <c r="E181" s="812" t="s">
        <v>1601</v>
      </c>
      <c r="F181" s="133">
        <v>2.0222322529672057</v>
      </c>
      <c r="G181" s="133">
        <v>0.32850802351464897</v>
      </c>
      <c r="H181" s="133">
        <v>0.59041000088046547</v>
      </c>
      <c r="I181" s="133">
        <v>0.53864322414402155</v>
      </c>
      <c r="J181" s="133">
        <v>0.53864322414402155</v>
      </c>
      <c r="K181" s="133">
        <v>2.4683755210652476E-2</v>
      </c>
      <c r="L181" s="133">
        <v>5.6205038686461055</v>
      </c>
      <c r="M181" s="45">
        <v>6821.0006925433881</v>
      </c>
    </row>
    <row r="182" spans="1:13" x14ac:dyDescent="0.25">
      <c r="A182" s="812" t="s">
        <v>1996</v>
      </c>
      <c r="B182" s="812">
        <v>10</v>
      </c>
      <c r="C182" s="608">
        <v>39479</v>
      </c>
      <c r="D182" s="812">
        <v>99714</v>
      </c>
      <c r="E182" s="812" t="s">
        <v>2034</v>
      </c>
      <c r="F182" s="133">
        <v>0</v>
      </c>
      <c r="G182" s="133">
        <v>0</v>
      </c>
      <c r="H182" s="133">
        <v>0</v>
      </c>
      <c r="I182" s="133">
        <v>0</v>
      </c>
      <c r="J182" s="133">
        <v>0</v>
      </c>
      <c r="K182" s="133">
        <v>0</v>
      </c>
      <c r="L182" s="133">
        <v>0</v>
      </c>
      <c r="M182" s="45">
        <v>0</v>
      </c>
    </row>
    <row r="183" spans="1:13" x14ac:dyDescent="0.25">
      <c r="A183" s="812" t="s">
        <v>1996</v>
      </c>
      <c r="B183" s="812">
        <v>10</v>
      </c>
      <c r="C183" s="608">
        <v>39479</v>
      </c>
      <c r="D183" s="812">
        <v>99730</v>
      </c>
      <c r="E183" s="812" t="s">
        <v>2035</v>
      </c>
      <c r="F183" s="133">
        <v>0</v>
      </c>
      <c r="G183" s="133">
        <v>0</v>
      </c>
      <c r="H183" s="133">
        <v>0</v>
      </c>
      <c r="I183" s="133">
        <v>0</v>
      </c>
      <c r="J183" s="133">
        <v>0</v>
      </c>
      <c r="K183" s="133">
        <v>0</v>
      </c>
      <c r="L183" s="133">
        <v>0</v>
      </c>
      <c r="M183" s="45">
        <v>0</v>
      </c>
    </row>
    <row r="184" spans="1:13" x14ac:dyDescent="0.25">
      <c r="A184" s="812" t="s">
        <v>1996</v>
      </c>
      <c r="B184" s="812">
        <v>10</v>
      </c>
      <c r="C184" s="608">
        <v>39479</v>
      </c>
      <c r="D184" s="812">
        <v>99737</v>
      </c>
      <c r="E184" s="812" t="s">
        <v>2036</v>
      </c>
      <c r="F184" s="133">
        <v>0</v>
      </c>
      <c r="G184" s="133">
        <v>0</v>
      </c>
      <c r="H184" s="133">
        <v>0</v>
      </c>
      <c r="I184" s="133">
        <v>0</v>
      </c>
      <c r="J184" s="133">
        <v>0</v>
      </c>
      <c r="K184" s="133">
        <v>0</v>
      </c>
      <c r="L184" s="133">
        <v>0</v>
      </c>
      <c r="M184" s="45">
        <v>0</v>
      </c>
    </row>
    <row r="185" spans="1:13" x14ac:dyDescent="0.25">
      <c r="A185" s="812" t="s">
        <v>1996</v>
      </c>
      <c r="B185" s="812">
        <v>10</v>
      </c>
      <c r="C185" s="608">
        <v>39479</v>
      </c>
      <c r="D185" s="812">
        <v>99743</v>
      </c>
      <c r="E185" s="812" t="s">
        <v>2037</v>
      </c>
      <c r="F185" s="133">
        <v>0</v>
      </c>
      <c r="G185" s="133">
        <v>0</v>
      </c>
      <c r="H185" s="133">
        <v>0</v>
      </c>
      <c r="I185" s="133">
        <v>0</v>
      </c>
      <c r="J185" s="133">
        <v>0</v>
      </c>
      <c r="K185" s="133">
        <v>0</v>
      </c>
      <c r="L185" s="133">
        <v>0</v>
      </c>
      <c r="M185" s="45">
        <v>0</v>
      </c>
    </row>
    <row r="186" spans="1:13" x14ac:dyDescent="0.25">
      <c r="A186" s="812" t="s">
        <v>1996</v>
      </c>
      <c r="B186" s="812">
        <v>10</v>
      </c>
      <c r="C186" s="608">
        <v>39479</v>
      </c>
      <c r="D186" s="812">
        <v>99744</v>
      </c>
      <c r="E186" s="812" t="s">
        <v>2038</v>
      </c>
      <c r="F186" s="133">
        <v>0</v>
      </c>
      <c r="G186" s="133">
        <v>0</v>
      </c>
      <c r="H186" s="133">
        <v>0</v>
      </c>
      <c r="I186" s="133">
        <v>0</v>
      </c>
      <c r="J186" s="133">
        <v>0</v>
      </c>
      <c r="K186" s="133">
        <v>0</v>
      </c>
      <c r="L186" s="133">
        <v>0</v>
      </c>
      <c r="M186" s="45">
        <v>0</v>
      </c>
    </row>
    <row r="187" spans="1:13" x14ac:dyDescent="0.25">
      <c r="A187" s="812" t="s">
        <v>1996</v>
      </c>
      <c r="B187" s="812">
        <v>10</v>
      </c>
      <c r="C187" s="608">
        <v>39479</v>
      </c>
      <c r="D187" s="812">
        <v>99755</v>
      </c>
      <c r="E187" s="812" t="s">
        <v>2039</v>
      </c>
      <c r="F187" s="133">
        <v>0</v>
      </c>
      <c r="G187" s="133">
        <v>0</v>
      </c>
      <c r="H187" s="133">
        <v>0</v>
      </c>
      <c r="I187" s="133">
        <v>0</v>
      </c>
      <c r="J187" s="133">
        <v>0</v>
      </c>
      <c r="K187" s="133">
        <v>0</v>
      </c>
      <c r="L187" s="133">
        <v>0</v>
      </c>
      <c r="M187" s="45">
        <v>0</v>
      </c>
    </row>
    <row r="188" spans="1:13" x14ac:dyDescent="0.25">
      <c r="A188" s="812" t="s">
        <v>1996</v>
      </c>
      <c r="B188" s="812">
        <v>10</v>
      </c>
      <c r="C188" s="608">
        <v>39479</v>
      </c>
      <c r="D188" s="812">
        <v>99756</v>
      </c>
      <c r="E188" s="812" t="s">
        <v>2040</v>
      </c>
      <c r="F188" s="133">
        <v>0</v>
      </c>
      <c r="G188" s="133">
        <v>0</v>
      </c>
      <c r="H188" s="133">
        <v>0</v>
      </c>
      <c r="I188" s="133">
        <v>0</v>
      </c>
      <c r="J188" s="133">
        <v>0</v>
      </c>
      <c r="K188" s="133">
        <v>0</v>
      </c>
      <c r="L188" s="133">
        <v>0</v>
      </c>
      <c r="M188" s="45">
        <v>0</v>
      </c>
    </row>
    <row r="189" spans="1:13" x14ac:dyDescent="0.25">
      <c r="A189" s="812" t="s">
        <v>1996</v>
      </c>
      <c r="B189" s="812">
        <v>10</v>
      </c>
      <c r="C189" s="608">
        <v>39479</v>
      </c>
      <c r="D189" s="812">
        <v>99758</v>
      </c>
      <c r="E189" s="812" t="s">
        <v>2041</v>
      </c>
      <c r="F189" s="133">
        <v>0</v>
      </c>
      <c r="G189" s="133">
        <v>0</v>
      </c>
      <c r="H189" s="133">
        <v>0</v>
      </c>
      <c r="I189" s="133">
        <v>0</v>
      </c>
      <c r="J189" s="133">
        <v>0</v>
      </c>
      <c r="K189" s="133">
        <v>0</v>
      </c>
      <c r="L189" s="133">
        <v>0</v>
      </c>
      <c r="M189" s="45">
        <v>0</v>
      </c>
    </row>
    <row r="190" spans="1:13" x14ac:dyDescent="0.25">
      <c r="A190" s="812" t="s">
        <v>1996</v>
      </c>
      <c r="B190" s="812">
        <v>10</v>
      </c>
      <c r="C190" s="608">
        <v>39479</v>
      </c>
      <c r="D190" s="812">
        <v>99760</v>
      </c>
      <c r="E190" s="812" t="s">
        <v>2042</v>
      </c>
      <c r="F190" s="133">
        <v>0</v>
      </c>
      <c r="G190" s="133">
        <v>0</v>
      </c>
      <c r="H190" s="133">
        <v>0</v>
      </c>
      <c r="I190" s="133">
        <v>0</v>
      </c>
      <c r="J190" s="133">
        <v>0</v>
      </c>
      <c r="K190" s="133">
        <v>0</v>
      </c>
      <c r="L190" s="133">
        <v>0</v>
      </c>
      <c r="M190" s="45">
        <v>0</v>
      </c>
    </row>
    <row r="191" spans="1:13" x14ac:dyDescent="0.25">
      <c r="A191" s="812" t="s">
        <v>1996</v>
      </c>
      <c r="B191" s="812">
        <v>10</v>
      </c>
      <c r="C191" s="608">
        <v>39479</v>
      </c>
      <c r="D191" s="812">
        <v>99767</v>
      </c>
      <c r="E191" s="812" t="s">
        <v>2043</v>
      </c>
      <c r="F191" s="133">
        <v>0</v>
      </c>
      <c r="G191" s="133">
        <v>0</v>
      </c>
      <c r="H191" s="133">
        <v>0</v>
      </c>
      <c r="I191" s="133">
        <v>0</v>
      </c>
      <c r="J191" s="133">
        <v>0</v>
      </c>
      <c r="K191" s="133">
        <v>0</v>
      </c>
      <c r="L191" s="133">
        <v>0</v>
      </c>
      <c r="M191" s="45">
        <v>0</v>
      </c>
    </row>
    <row r="192" spans="1:13" x14ac:dyDescent="0.25">
      <c r="A192" s="812" t="s">
        <v>1996</v>
      </c>
      <c r="B192" s="812">
        <v>10</v>
      </c>
      <c r="C192" s="608">
        <v>39479</v>
      </c>
      <c r="D192" s="812">
        <v>99774</v>
      </c>
      <c r="E192" s="812" t="s">
        <v>2044</v>
      </c>
      <c r="F192" s="133">
        <v>0</v>
      </c>
      <c r="G192" s="133">
        <v>0</v>
      </c>
      <c r="H192" s="133">
        <v>0</v>
      </c>
      <c r="I192" s="133">
        <v>0</v>
      </c>
      <c r="J192" s="133">
        <v>0</v>
      </c>
      <c r="K192" s="133">
        <v>0</v>
      </c>
      <c r="L192" s="133">
        <v>0</v>
      </c>
      <c r="M192" s="45">
        <v>0</v>
      </c>
    </row>
    <row r="193" spans="1:13" x14ac:dyDescent="0.25">
      <c r="A193" s="812" t="s">
        <v>1996</v>
      </c>
      <c r="B193" s="812">
        <v>10</v>
      </c>
      <c r="C193" s="608">
        <v>39479</v>
      </c>
      <c r="D193" s="812">
        <v>99775</v>
      </c>
      <c r="E193" s="812" t="s">
        <v>1602</v>
      </c>
      <c r="F193" s="133">
        <v>7.4328563877927516E-5</v>
      </c>
      <c r="G193" s="133">
        <v>1.7935057009317212E-3</v>
      </c>
      <c r="H193" s="133">
        <v>1.1180863861147254E-3</v>
      </c>
      <c r="I193" s="133">
        <v>5.6306152863447119E-5</v>
      </c>
      <c r="J193" s="133">
        <v>5.6306152863447119E-5</v>
      </c>
      <c r="K193" s="133">
        <v>4.4853896857947614E-5</v>
      </c>
      <c r="L193" s="133">
        <v>1.247179245171039E-4</v>
      </c>
      <c r="M193" s="45">
        <v>28.648672331364359</v>
      </c>
    </row>
    <row r="194" spans="1:13" x14ac:dyDescent="0.25">
      <c r="A194" s="812" t="s">
        <v>1996</v>
      </c>
      <c r="B194" s="812">
        <v>10</v>
      </c>
      <c r="C194" s="608">
        <v>39479</v>
      </c>
      <c r="D194" s="812">
        <v>99790</v>
      </c>
      <c r="E194" s="812" t="s">
        <v>2045</v>
      </c>
      <c r="F194" s="133">
        <v>0</v>
      </c>
      <c r="G194" s="133">
        <v>0</v>
      </c>
      <c r="H194" s="133">
        <v>0</v>
      </c>
      <c r="I194" s="133">
        <v>0</v>
      </c>
      <c r="J194" s="133">
        <v>0</v>
      </c>
      <c r="K194" s="133">
        <v>0</v>
      </c>
      <c r="L194" s="133">
        <v>0</v>
      </c>
      <c r="M194" s="45">
        <v>0</v>
      </c>
    </row>
    <row r="195" spans="1:13" x14ac:dyDescent="0.25">
      <c r="A195" s="812" t="s">
        <v>1996</v>
      </c>
      <c r="B195" s="812">
        <v>11</v>
      </c>
      <c r="C195" s="608">
        <v>39480</v>
      </c>
      <c r="D195" s="812">
        <v>99701</v>
      </c>
      <c r="E195" s="812" t="s">
        <v>2031</v>
      </c>
      <c r="F195" s="133">
        <v>0.93124742362857726</v>
      </c>
      <c r="G195" s="133">
        <v>0.84264098114133867</v>
      </c>
      <c r="H195" s="133">
        <v>1.0490080607475512</v>
      </c>
      <c r="I195" s="133">
        <v>0.27369608345959545</v>
      </c>
      <c r="J195" s="133">
        <v>0.27369608345959545</v>
      </c>
      <c r="K195" s="133">
        <v>2.2757873858250618E-2</v>
      </c>
      <c r="L195" s="133">
        <v>2.7320272785126773</v>
      </c>
      <c r="M195" s="45">
        <v>15359.290422883412</v>
      </c>
    </row>
    <row r="196" spans="1:13" x14ac:dyDescent="0.25">
      <c r="A196" s="812" t="s">
        <v>1996</v>
      </c>
      <c r="B196" s="812">
        <v>11</v>
      </c>
      <c r="C196" s="608">
        <v>39480</v>
      </c>
      <c r="D196" s="812">
        <v>99702</v>
      </c>
      <c r="E196" s="812" t="s">
        <v>2032</v>
      </c>
      <c r="F196" s="133">
        <v>0</v>
      </c>
      <c r="G196" s="133">
        <v>0</v>
      </c>
      <c r="H196" s="133">
        <v>0</v>
      </c>
      <c r="I196" s="133">
        <v>0</v>
      </c>
      <c r="J196" s="133">
        <v>0</v>
      </c>
      <c r="K196" s="133">
        <v>0</v>
      </c>
      <c r="L196" s="133">
        <v>0</v>
      </c>
      <c r="M196" s="45">
        <v>0</v>
      </c>
    </row>
    <row r="197" spans="1:13" x14ac:dyDescent="0.25">
      <c r="A197" s="812" t="s">
        <v>1996</v>
      </c>
      <c r="B197" s="812">
        <v>11</v>
      </c>
      <c r="C197" s="608">
        <v>39480</v>
      </c>
      <c r="D197" s="812">
        <v>99703</v>
      </c>
      <c r="E197" s="812" t="s">
        <v>2033</v>
      </c>
      <c r="F197" s="133">
        <v>2.2204436382612894E-2</v>
      </c>
      <c r="G197" s="133">
        <v>1.547848382978966E-2</v>
      </c>
      <c r="H197" s="133">
        <v>2.3015099552732635E-2</v>
      </c>
      <c r="I197" s="133">
        <v>7.3754717381936605E-3</v>
      </c>
      <c r="J197" s="133">
        <v>7.3754717381936605E-3</v>
      </c>
      <c r="K197" s="133">
        <v>4.4267238574125374E-4</v>
      </c>
      <c r="L197" s="133">
        <v>7.9311988670183423E-2</v>
      </c>
      <c r="M197" s="45">
        <v>296.00196948347894</v>
      </c>
    </row>
    <row r="198" spans="1:13" x14ac:dyDescent="0.25">
      <c r="A198" s="812" t="s">
        <v>1996</v>
      </c>
      <c r="B198" s="812">
        <v>11</v>
      </c>
      <c r="C198" s="608">
        <v>39480</v>
      </c>
      <c r="D198" s="812">
        <v>99705</v>
      </c>
      <c r="E198" s="812" t="s">
        <v>1599</v>
      </c>
      <c r="F198" s="133">
        <v>3.9017473753215679</v>
      </c>
      <c r="G198" s="133">
        <v>0.80086816720218534</v>
      </c>
      <c r="H198" s="133">
        <v>1.3362597631571762</v>
      </c>
      <c r="I198" s="133">
        <v>1.1884941791232042</v>
      </c>
      <c r="J198" s="133">
        <v>1.1884941791232042</v>
      </c>
      <c r="K198" s="133">
        <v>5.2730548044038573E-2</v>
      </c>
      <c r="L198" s="133">
        <v>12.99430347569271</v>
      </c>
      <c r="M198" s="45">
        <v>16297.048258463316</v>
      </c>
    </row>
    <row r="199" spans="1:13" x14ac:dyDescent="0.25">
      <c r="A199" s="812" t="s">
        <v>1996</v>
      </c>
      <c r="B199" s="812">
        <v>11</v>
      </c>
      <c r="C199" s="608">
        <v>39480</v>
      </c>
      <c r="D199" s="812">
        <v>99709</v>
      </c>
      <c r="E199" s="812" t="s">
        <v>1600</v>
      </c>
      <c r="F199" s="133">
        <v>3.3590846617706966</v>
      </c>
      <c r="G199" s="133">
        <v>0.9069699980173499</v>
      </c>
      <c r="H199" s="133">
        <v>1.4831282930010601</v>
      </c>
      <c r="I199" s="133">
        <v>0.91349845301242061</v>
      </c>
      <c r="J199" s="133">
        <v>0.91349845301242061</v>
      </c>
      <c r="K199" s="133">
        <v>4.4175434410905906E-2</v>
      </c>
      <c r="L199" s="133">
        <v>9.531738789939137</v>
      </c>
      <c r="M199" s="45">
        <v>18366.757117886737</v>
      </c>
    </row>
    <row r="200" spans="1:13" x14ac:dyDescent="0.25">
      <c r="A200" s="812" t="s">
        <v>1996</v>
      </c>
      <c r="B200" s="812">
        <v>11</v>
      </c>
      <c r="C200" s="608">
        <v>39480</v>
      </c>
      <c r="D200" s="812">
        <v>99712</v>
      </c>
      <c r="E200" s="812" t="s">
        <v>1601</v>
      </c>
      <c r="F200" s="133">
        <v>1.8960840281923781</v>
      </c>
      <c r="G200" s="133">
        <v>0.32254644565167251</v>
      </c>
      <c r="H200" s="133">
        <v>0.57589614012448653</v>
      </c>
      <c r="I200" s="133">
        <v>0.51581415336318737</v>
      </c>
      <c r="J200" s="133">
        <v>0.51581415336318737</v>
      </c>
      <c r="K200" s="133">
        <v>2.3582565933865145E-2</v>
      </c>
      <c r="L200" s="133">
        <v>5.4377949260940071</v>
      </c>
      <c r="M200" s="45">
        <v>6682.8379435452871</v>
      </c>
    </row>
    <row r="201" spans="1:13" x14ac:dyDescent="0.25">
      <c r="A201" s="812" t="s">
        <v>1996</v>
      </c>
      <c r="B201" s="812">
        <v>11</v>
      </c>
      <c r="C201" s="608">
        <v>39480</v>
      </c>
      <c r="D201" s="812">
        <v>99714</v>
      </c>
      <c r="E201" s="812" t="s">
        <v>2034</v>
      </c>
      <c r="F201" s="133">
        <v>0</v>
      </c>
      <c r="G201" s="133">
        <v>0</v>
      </c>
      <c r="H201" s="133">
        <v>0</v>
      </c>
      <c r="I201" s="133">
        <v>0</v>
      </c>
      <c r="J201" s="133">
        <v>0</v>
      </c>
      <c r="K201" s="133">
        <v>0</v>
      </c>
      <c r="L201" s="133">
        <v>0</v>
      </c>
      <c r="M201" s="45">
        <v>0</v>
      </c>
    </row>
    <row r="202" spans="1:13" x14ac:dyDescent="0.25">
      <c r="A202" s="812" t="s">
        <v>1996</v>
      </c>
      <c r="B202" s="812">
        <v>11</v>
      </c>
      <c r="C202" s="608">
        <v>39480</v>
      </c>
      <c r="D202" s="812">
        <v>99730</v>
      </c>
      <c r="E202" s="812" t="s">
        <v>2035</v>
      </c>
      <c r="F202" s="133">
        <v>0</v>
      </c>
      <c r="G202" s="133">
        <v>0</v>
      </c>
      <c r="H202" s="133">
        <v>0</v>
      </c>
      <c r="I202" s="133">
        <v>0</v>
      </c>
      <c r="J202" s="133">
        <v>0</v>
      </c>
      <c r="K202" s="133">
        <v>0</v>
      </c>
      <c r="L202" s="133">
        <v>0</v>
      </c>
      <c r="M202" s="45">
        <v>0</v>
      </c>
    </row>
    <row r="203" spans="1:13" x14ac:dyDescent="0.25">
      <c r="A203" s="812" t="s">
        <v>1996</v>
      </c>
      <c r="B203" s="812">
        <v>11</v>
      </c>
      <c r="C203" s="608">
        <v>39480</v>
      </c>
      <c r="D203" s="812">
        <v>99737</v>
      </c>
      <c r="E203" s="812" t="s">
        <v>2036</v>
      </c>
      <c r="F203" s="133">
        <v>0</v>
      </c>
      <c r="G203" s="133">
        <v>0</v>
      </c>
      <c r="H203" s="133">
        <v>0</v>
      </c>
      <c r="I203" s="133">
        <v>0</v>
      </c>
      <c r="J203" s="133">
        <v>0</v>
      </c>
      <c r="K203" s="133">
        <v>0</v>
      </c>
      <c r="L203" s="133">
        <v>0</v>
      </c>
      <c r="M203" s="45">
        <v>0</v>
      </c>
    </row>
    <row r="204" spans="1:13" x14ac:dyDescent="0.25">
      <c r="A204" s="812" t="s">
        <v>1996</v>
      </c>
      <c r="B204" s="812">
        <v>11</v>
      </c>
      <c r="C204" s="608">
        <v>39480</v>
      </c>
      <c r="D204" s="812">
        <v>99743</v>
      </c>
      <c r="E204" s="812" t="s">
        <v>2037</v>
      </c>
      <c r="F204" s="133">
        <v>0</v>
      </c>
      <c r="G204" s="133">
        <v>0</v>
      </c>
      <c r="H204" s="133">
        <v>0</v>
      </c>
      <c r="I204" s="133">
        <v>0</v>
      </c>
      <c r="J204" s="133">
        <v>0</v>
      </c>
      <c r="K204" s="133">
        <v>0</v>
      </c>
      <c r="L204" s="133">
        <v>0</v>
      </c>
      <c r="M204" s="45">
        <v>0</v>
      </c>
    </row>
    <row r="205" spans="1:13" x14ac:dyDescent="0.25">
      <c r="A205" s="812" t="s">
        <v>1996</v>
      </c>
      <c r="B205" s="812">
        <v>11</v>
      </c>
      <c r="C205" s="608">
        <v>39480</v>
      </c>
      <c r="D205" s="812">
        <v>99744</v>
      </c>
      <c r="E205" s="812" t="s">
        <v>2038</v>
      </c>
      <c r="F205" s="133">
        <v>0</v>
      </c>
      <c r="G205" s="133">
        <v>0</v>
      </c>
      <c r="H205" s="133">
        <v>0</v>
      </c>
      <c r="I205" s="133">
        <v>0</v>
      </c>
      <c r="J205" s="133">
        <v>0</v>
      </c>
      <c r="K205" s="133">
        <v>0</v>
      </c>
      <c r="L205" s="133">
        <v>0</v>
      </c>
      <c r="M205" s="45">
        <v>0</v>
      </c>
    </row>
    <row r="206" spans="1:13" x14ac:dyDescent="0.25">
      <c r="A206" s="812" t="s">
        <v>1996</v>
      </c>
      <c r="B206" s="812">
        <v>11</v>
      </c>
      <c r="C206" s="608">
        <v>39480</v>
      </c>
      <c r="D206" s="812">
        <v>99755</v>
      </c>
      <c r="E206" s="812" t="s">
        <v>2039</v>
      </c>
      <c r="F206" s="133">
        <v>0</v>
      </c>
      <c r="G206" s="133">
        <v>0</v>
      </c>
      <c r="H206" s="133">
        <v>0</v>
      </c>
      <c r="I206" s="133">
        <v>0</v>
      </c>
      <c r="J206" s="133">
        <v>0</v>
      </c>
      <c r="K206" s="133">
        <v>0</v>
      </c>
      <c r="L206" s="133">
        <v>0</v>
      </c>
      <c r="M206" s="45">
        <v>0</v>
      </c>
    </row>
    <row r="207" spans="1:13" x14ac:dyDescent="0.25">
      <c r="A207" s="812" t="s">
        <v>1996</v>
      </c>
      <c r="B207" s="812">
        <v>11</v>
      </c>
      <c r="C207" s="608">
        <v>39480</v>
      </c>
      <c r="D207" s="812">
        <v>99756</v>
      </c>
      <c r="E207" s="812" t="s">
        <v>2040</v>
      </c>
      <c r="F207" s="133">
        <v>0</v>
      </c>
      <c r="G207" s="133">
        <v>0</v>
      </c>
      <c r="H207" s="133">
        <v>0</v>
      </c>
      <c r="I207" s="133">
        <v>0</v>
      </c>
      <c r="J207" s="133">
        <v>0</v>
      </c>
      <c r="K207" s="133">
        <v>0</v>
      </c>
      <c r="L207" s="133">
        <v>0</v>
      </c>
      <c r="M207" s="45">
        <v>0</v>
      </c>
    </row>
    <row r="208" spans="1:13" x14ac:dyDescent="0.25">
      <c r="A208" s="812" t="s">
        <v>1996</v>
      </c>
      <c r="B208" s="812">
        <v>11</v>
      </c>
      <c r="C208" s="608">
        <v>39480</v>
      </c>
      <c r="D208" s="812">
        <v>99758</v>
      </c>
      <c r="E208" s="812" t="s">
        <v>2041</v>
      </c>
      <c r="F208" s="133">
        <v>0</v>
      </c>
      <c r="G208" s="133">
        <v>0</v>
      </c>
      <c r="H208" s="133">
        <v>0</v>
      </c>
      <c r="I208" s="133">
        <v>0</v>
      </c>
      <c r="J208" s="133">
        <v>0</v>
      </c>
      <c r="K208" s="133">
        <v>0</v>
      </c>
      <c r="L208" s="133">
        <v>0</v>
      </c>
      <c r="M208" s="45">
        <v>0</v>
      </c>
    </row>
    <row r="209" spans="1:13" x14ac:dyDescent="0.25">
      <c r="A209" s="812" t="s">
        <v>1996</v>
      </c>
      <c r="B209" s="812">
        <v>11</v>
      </c>
      <c r="C209" s="608">
        <v>39480</v>
      </c>
      <c r="D209" s="812">
        <v>99760</v>
      </c>
      <c r="E209" s="812" t="s">
        <v>2042</v>
      </c>
      <c r="F209" s="133">
        <v>0</v>
      </c>
      <c r="G209" s="133">
        <v>0</v>
      </c>
      <c r="H209" s="133">
        <v>0</v>
      </c>
      <c r="I209" s="133">
        <v>0</v>
      </c>
      <c r="J209" s="133">
        <v>0</v>
      </c>
      <c r="K209" s="133">
        <v>0</v>
      </c>
      <c r="L209" s="133">
        <v>0</v>
      </c>
      <c r="M209" s="45">
        <v>0</v>
      </c>
    </row>
    <row r="210" spans="1:13" x14ac:dyDescent="0.25">
      <c r="A210" s="812" t="s">
        <v>1996</v>
      </c>
      <c r="B210" s="812">
        <v>11</v>
      </c>
      <c r="C210" s="608">
        <v>39480</v>
      </c>
      <c r="D210" s="812">
        <v>99767</v>
      </c>
      <c r="E210" s="812" t="s">
        <v>2043</v>
      </c>
      <c r="F210" s="133">
        <v>0</v>
      </c>
      <c r="G210" s="133">
        <v>0</v>
      </c>
      <c r="H210" s="133">
        <v>0</v>
      </c>
      <c r="I210" s="133">
        <v>0</v>
      </c>
      <c r="J210" s="133">
        <v>0</v>
      </c>
      <c r="K210" s="133">
        <v>0</v>
      </c>
      <c r="L210" s="133">
        <v>0</v>
      </c>
      <c r="M210" s="45">
        <v>0</v>
      </c>
    </row>
    <row r="211" spans="1:13" x14ac:dyDescent="0.25">
      <c r="A211" s="812" t="s">
        <v>1996</v>
      </c>
      <c r="B211" s="812">
        <v>11</v>
      </c>
      <c r="C211" s="608">
        <v>39480</v>
      </c>
      <c r="D211" s="812">
        <v>99774</v>
      </c>
      <c r="E211" s="812" t="s">
        <v>2044</v>
      </c>
      <c r="F211" s="133">
        <v>0</v>
      </c>
      <c r="G211" s="133">
        <v>0</v>
      </c>
      <c r="H211" s="133">
        <v>0</v>
      </c>
      <c r="I211" s="133">
        <v>0</v>
      </c>
      <c r="J211" s="133">
        <v>0</v>
      </c>
      <c r="K211" s="133">
        <v>0</v>
      </c>
      <c r="L211" s="133">
        <v>0</v>
      </c>
      <c r="M211" s="45">
        <v>0</v>
      </c>
    </row>
    <row r="212" spans="1:13" x14ac:dyDescent="0.25">
      <c r="A212" s="812" t="s">
        <v>1996</v>
      </c>
      <c r="B212" s="812">
        <v>11</v>
      </c>
      <c r="C212" s="608">
        <v>39480</v>
      </c>
      <c r="D212" s="812">
        <v>99775</v>
      </c>
      <c r="E212" s="812" t="s">
        <v>1602</v>
      </c>
      <c r="F212" s="133">
        <v>8.2786003636477245E-5</v>
      </c>
      <c r="G212" s="133">
        <v>2.0070175040928641E-3</v>
      </c>
      <c r="H212" s="133">
        <v>1.2690060180024954E-3</v>
      </c>
      <c r="I212" s="133">
        <v>6.1722201199996161E-5</v>
      </c>
      <c r="J212" s="133">
        <v>6.1722201199996161E-5</v>
      </c>
      <c r="K212" s="133">
        <v>4.5144467851203484E-5</v>
      </c>
      <c r="L212" s="133">
        <v>1.3003016526053575E-4</v>
      </c>
      <c r="M212" s="45">
        <v>31.934381746677492</v>
      </c>
    </row>
    <row r="213" spans="1:13" x14ac:dyDescent="0.25">
      <c r="A213" s="812" t="s">
        <v>1996</v>
      </c>
      <c r="B213" s="812">
        <v>11</v>
      </c>
      <c r="C213" s="608">
        <v>39480</v>
      </c>
      <c r="D213" s="812">
        <v>99790</v>
      </c>
      <c r="E213" s="812" t="s">
        <v>2045</v>
      </c>
      <c r="F213" s="133">
        <v>0</v>
      </c>
      <c r="G213" s="133">
        <v>0</v>
      </c>
      <c r="H213" s="133">
        <v>0</v>
      </c>
      <c r="I213" s="133">
        <v>0</v>
      </c>
      <c r="J213" s="133">
        <v>0</v>
      </c>
      <c r="K213" s="133">
        <v>0</v>
      </c>
      <c r="L213" s="133">
        <v>0</v>
      </c>
      <c r="M213" s="45">
        <v>0</v>
      </c>
    </row>
    <row r="214" spans="1:13" x14ac:dyDescent="0.25">
      <c r="A214" s="812" t="s">
        <v>1996</v>
      </c>
      <c r="B214" s="812">
        <v>12</v>
      </c>
      <c r="C214" s="608">
        <v>39481</v>
      </c>
      <c r="D214" s="812">
        <v>99701</v>
      </c>
      <c r="E214" s="812" t="s">
        <v>2031</v>
      </c>
      <c r="F214" s="133">
        <v>1.0961911781763536</v>
      </c>
      <c r="G214" s="133">
        <v>0.9411856459405965</v>
      </c>
      <c r="H214" s="133">
        <v>1.1829756532213342</v>
      </c>
      <c r="I214" s="133">
        <v>0.31707130444067111</v>
      </c>
      <c r="J214" s="133">
        <v>0.31707130444067111</v>
      </c>
      <c r="K214" s="133">
        <v>2.4664329382299285E-2</v>
      </c>
      <c r="L214" s="133">
        <v>3.163413332087996</v>
      </c>
      <c r="M214" s="45">
        <v>17154.621781186994</v>
      </c>
    </row>
    <row r="215" spans="1:13" x14ac:dyDescent="0.25">
      <c r="A215" s="812" t="s">
        <v>1996</v>
      </c>
      <c r="B215" s="812">
        <v>12</v>
      </c>
      <c r="C215" s="608">
        <v>39481</v>
      </c>
      <c r="D215" s="812">
        <v>99702</v>
      </c>
      <c r="E215" s="812" t="s">
        <v>2032</v>
      </c>
      <c r="F215" s="133">
        <v>0</v>
      </c>
      <c r="G215" s="133">
        <v>0</v>
      </c>
      <c r="H215" s="133">
        <v>0</v>
      </c>
      <c r="I215" s="133">
        <v>0</v>
      </c>
      <c r="J215" s="133">
        <v>0</v>
      </c>
      <c r="K215" s="133">
        <v>0</v>
      </c>
      <c r="L215" s="133">
        <v>0</v>
      </c>
      <c r="M215" s="45">
        <v>0</v>
      </c>
    </row>
    <row r="216" spans="1:13" x14ac:dyDescent="0.25">
      <c r="A216" s="812" t="s">
        <v>1996</v>
      </c>
      <c r="B216" s="812">
        <v>12</v>
      </c>
      <c r="C216" s="608">
        <v>39481</v>
      </c>
      <c r="D216" s="812">
        <v>99703</v>
      </c>
      <c r="E216" s="812" t="s">
        <v>2033</v>
      </c>
      <c r="F216" s="133">
        <v>2.5656538295146084E-2</v>
      </c>
      <c r="G216" s="133">
        <v>1.7326957124009727E-2</v>
      </c>
      <c r="H216" s="133">
        <v>2.5917940276619578E-2</v>
      </c>
      <c r="I216" s="133">
        <v>8.449289796414584E-3</v>
      </c>
      <c r="J216" s="133">
        <v>8.449289796414584E-3</v>
      </c>
      <c r="K216" s="133">
        <v>4.8705448813150381E-4</v>
      </c>
      <c r="L216" s="133">
        <v>9.0943049382687408E-2</v>
      </c>
      <c r="M216" s="45">
        <v>331.35829702911877</v>
      </c>
    </row>
    <row r="217" spans="1:13" x14ac:dyDescent="0.25">
      <c r="A217" s="812" t="s">
        <v>1996</v>
      </c>
      <c r="B217" s="812">
        <v>12</v>
      </c>
      <c r="C217" s="608">
        <v>39481</v>
      </c>
      <c r="D217" s="812">
        <v>99705</v>
      </c>
      <c r="E217" s="812" t="s">
        <v>1599</v>
      </c>
      <c r="F217" s="133">
        <v>4.3816588221970765</v>
      </c>
      <c r="G217" s="133">
        <v>0.88805765946990267</v>
      </c>
      <c r="H217" s="133">
        <v>1.4812436369179691</v>
      </c>
      <c r="I217" s="133">
        <v>1.328547334476857</v>
      </c>
      <c r="J217" s="133">
        <v>1.328547334476857</v>
      </c>
      <c r="K217" s="133">
        <v>5.884209307531519E-2</v>
      </c>
      <c r="L217" s="133">
        <v>14.543401232009382</v>
      </c>
      <c r="M217" s="45">
        <v>18044.671302138871</v>
      </c>
    </row>
    <row r="218" spans="1:13" x14ac:dyDescent="0.25">
      <c r="A218" s="812" t="s">
        <v>1996</v>
      </c>
      <c r="B218" s="812">
        <v>12</v>
      </c>
      <c r="C218" s="608">
        <v>39481</v>
      </c>
      <c r="D218" s="812">
        <v>99709</v>
      </c>
      <c r="E218" s="812" t="s">
        <v>1600</v>
      </c>
      <c r="F218" s="133">
        <v>4.0327837248694838</v>
      </c>
      <c r="G218" s="133">
        <v>1.0316746850715788</v>
      </c>
      <c r="H218" s="133">
        <v>1.6937809658204492</v>
      </c>
      <c r="I218" s="133">
        <v>1.0801431081257309</v>
      </c>
      <c r="J218" s="133">
        <v>1.0801431081257309</v>
      </c>
      <c r="K218" s="133">
        <v>5.1420588765820736E-2</v>
      </c>
      <c r="L218" s="133">
        <v>11.237443670590821</v>
      </c>
      <c r="M218" s="45">
        <v>20887.833568085662</v>
      </c>
    </row>
    <row r="219" spans="1:13" x14ac:dyDescent="0.25">
      <c r="A219" s="812" t="s">
        <v>1996</v>
      </c>
      <c r="B219" s="812">
        <v>12</v>
      </c>
      <c r="C219" s="608">
        <v>39481</v>
      </c>
      <c r="D219" s="812">
        <v>99712</v>
      </c>
      <c r="E219" s="812" t="s">
        <v>1601</v>
      </c>
      <c r="F219" s="133">
        <v>2.2776077655528835</v>
      </c>
      <c r="G219" s="133">
        <v>0.37229661163553512</v>
      </c>
      <c r="H219" s="133">
        <v>0.66454750911631821</v>
      </c>
      <c r="I219" s="133">
        <v>0.61088649084106084</v>
      </c>
      <c r="J219" s="133">
        <v>0.61088649084106084</v>
      </c>
      <c r="K219" s="133">
        <v>2.7926100502203628E-2</v>
      </c>
      <c r="L219" s="133">
        <v>6.4255287343731169</v>
      </c>
      <c r="M219" s="45">
        <v>7701.2606179180802</v>
      </c>
    </row>
    <row r="220" spans="1:13" x14ac:dyDescent="0.25">
      <c r="A220" s="812" t="s">
        <v>1996</v>
      </c>
      <c r="B220" s="812">
        <v>12</v>
      </c>
      <c r="C220" s="608">
        <v>39481</v>
      </c>
      <c r="D220" s="812">
        <v>99714</v>
      </c>
      <c r="E220" s="812" t="s">
        <v>2034</v>
      </c>
      <c r="F220" s="133">
        <v>0</v>
      </c>
      <c r="G220" s="133">
        <v>0</v>
      </c>
      <c r="H220" s="133">
        <v>0</v>
      </c>
      <c r="I220" s="133">
        <v>0</v>
      </c>
      <c r="J220" s="133">
        <v>0</v>
      </c>
      <c r="K220" s="133">
        <v>0</v>
      </c>
      <c r="L220" s="133">
        <v>0</v>
      </c>
      <c r="M220" s="45">
        <v>0</v>
      </c>
    </row>
    <row r="221" spans="1:13" x14ac:dyDescent="0.25">
      <c r="A221" s="812" t="s">
        <v>1996</v>
      </c>
      <c r="B221" s="812">
        <v>12</v>
      </c>
      <c r="C221" s="608">
        <v>39481</v>
      </c>
      <c r="D221" s="812">
        <v>99730</v>
      </c>
      <c r="E221" s="812" t="s">
        <v>2035</v>
      </c>
      <c r="F221" s="133">
        <v>0</v>
      </c>
      <c r="G221" s="133">
        <v>0</v>
      </c>
      <c r="H221" s="133">
        <v>0</v>
      </c>
      <c r="I221" s="133">
        <v>0</v>
      </c>
      <c r="J221" s="133">
        <v>0</v>
      </c>
      <c r="K221" s="133">
        <v>0</v>
      </c>
      <c r="L221" s="133">
        <v>0</v>
      </c>
      <c r="M221" s="45">
        <v>0</v>
      </c>
    </row>
    <row r="222" spans="1:13" x14ac:dyDescent="0.25">
      <c r="A222" s="812" t="s">
        <v>1996</v>
      </c>
      <c r="B222" s="812">
        <v>12</v>
      </c>
      <c r="C222" s="608">
        <v>39481</v>
      </c>
      <c r="D222" s="812">
        <v>99737</v>
      </c>
      <c r="E222" s="812" t="s">
        <v>2036</v>
      </c>
      <c r="F222" s="133">
        <v>0</v>
      </c>
      <c r="G222" s="133">
        <v>0</v>
      </c>
      <c r="H222" s="133">
        <v>0</v>
      </c>
      <c r="I222" s="133">
        <v>0</v>
      </c>
      <c r="J222" s="133">
        <v>0</v>
      </c>
      <c r="K222" s="133">
        <v>0</v>
      </c>
      <c r="L222" s="133">
        <v>0</v>
      </c>
      <c r="M222" s="45">
        <v>0</v>
      </c>
    </row>
    <row r="223" spans="1:13" x14ac:dyDescent="0.25">
      <c r="A223" s="812" t="s">
        <v>1996</v>
      </c>
      <c r="B223" s="812">
        <v>12</v>
      </c>
      <c r="C223" s="608">
        <v>39481</v>
      </c>
      <c r="D223" s="812">
        <v>99743</v>
      </c>
      <c r="E223" s="812" t="s">
        <v>2037</v>
      </c>
      <c r="F223" s="133">
        <v>0</v>
      </c>
      <c r="G223" s="133">
        <v>0</v>
      </c>
      <c r="H223" s="133">
        <v>0</v>
      </c>
      <c r="I223" s="133">
        <v>0</v>
      </c>
      <c r="J223" s="133">
        <v>0</v>
      </c>
      <c r="K223" s="133">
        <v>0</v>
      </c>
      <c r="L223" s="133">
        <v>0</v>
      </c>
      <c r="M223" s="45">
        <v>0</v>
      </c>
    </row>
    <row r="224" spans="1:13" x14ac:dyDescent="0.25">
      <c r="A224" s="812" t="s">
        <v>1996</v>
      </c>
      <c r="B224" s="812">
        <v>12</v>
      </c>
      <c r="C224" s="608">
        <v>39481</v>
      </c>
      <c r="D224" s="812">
        <v>99744</v>
      </c>
      <c r="E224" s="812" t="s">
        <v>2038</v>
      </c>
      <c r="F224" s="133">
        <v>0</v>
      </c>
      <c r="G224" s="133">
        <v>0</v>
      </c>
      <c r="H224" s="133">
        <v>0</v>
      </c>
      <c r="I224" s="133">
        <v>0</v>
      </c>
      <c r="J224" s="133">
        <v>0</v>
      </c>
      <c r="K224" s="133">
        <v>0</v>
      </c>
      <c r="L224" s="133">
        <v>0</v>
      </c>
      <c r="M224" s="45">
        <v>0</v>
      </c>
    </row>
    <row r="225" spans="1:13" x14ac:dyDescent="0.25">
      <c r="A225" s="812" t="s">
        <v>1996</v>
      </c>
      <c r="B225" s="812">
        <v>12</v>
      </c>
      <c r="C225" s="608">
        <v>39481</v>
      </c>
      <c r="D225" s="812">
        <v>99755</v>
      </c>
      <c r="E225" s="812" t="s">
        <v>2039</v>
      </c>
      <c r="F225" s="133">
        <v>0</v>
      </c>
      <c r="G225" s="133">
        <v>0</v>
      </c>
      <c r="H225" s="133">
        <v>0</v>
      </c>
      <c r="I225" s="133">
        <v>0</v>
      </c>
      <c r="J225" s="133">
        <v>0</v>
      </c>
      <c r="K225" s="133">
        <v>0</v>
      </c>
      <c r="L225" s="133">
        <v>0</v>
      </c>
      <c r="M225" s="45">
        <v>0</v>
      </c>
    </row>
    <row r="226" spans="1:13" x14ac:dyDescent="0.25">
      <c r="A226" s="812" t="s">
        <v>1996</v>
      </c>
      <c r="B226" s="812">
        <v>12</v>
      </c>
      <c r="C226" s="608">
        <v>39481</v>
      </c>
      <c r="D226" s="812">
        <v>99756</v>
      </c>
      <c r="E226" s="812" t="s">
        <v>2040</v>
      </c>
      <c r="F226" s="133">
        <v>0</v>
      </c>
      <c r="G226" s="133">
        <v>0</v>
      </c>
      <c r="H226" s="133">
        <v>0</v>
      </c>
      <c r="I226" s="133">
        <v>0</v>
      </c>
      <c r="J226" s="133">
        <v>0</v>
      </c>
      <c r="K226" s="133">
        <v>0</v>
      </c>
      <c r="L226" s="133">
        <v>0</v>
      </c>
      <c r="M226" s="45">
        <v>0</v>
      </c>
    </row>
    <row r="227" spans="1:13" x14ac:dyDescent="0.25">
      <c r="A227" s="812" t="s">
        <v>1996</v>
      </c>
      <c r="B227" s="812">
        <v>12</v>
      </c>
      <c r="C227" s="608">
        <v>39481</v>
      </c>
      <c r="D227" s="812">
        <v>99758</v>
      </c>
      <c r="E227" s="812" t="s">
        <v>2041</v>
      </c>
      <c r="F227" s="133">
        <v>0</v>
      </c>
      <c r="G227" s="133">
        <v>0</v>
      </c>
      <c r="H227" s="133">
        <v>0</v>
      </c>
      <c r="I227" s="133">
        <v>0</v>
      </c>
      <c r="J227" s="133">
        <v>0</v>
      </c>
      <c r="K227" s="133">
        <v>0</v>
      </c>
      <c r="L227" s="133">
        <v>0</v>
      </c>
      <c r="M227" s="45">
        <v>0</v>
      </c>
    </row>
    <row r="228" spans="1:13" x14ac:dyDescent="0.25">
      <c r="A228" s="812" t="s">
        <v>1996</v>
      </c>
      <c r="B228" s="812">
        <v>12</v>
      </c>
      <c r="C228" s="608">
        <v>39481</v>
      </c>
      <c r="D228" s="812">
        <v>99760</v>
      </c>
      <c r="E228" s="812" t="s">
        <v>2042</v>
      </c>
      <c r="F228" s="133">
        <v>0</v>
      </c>
      <c r="G228" s="133">
        <v>0</v>
      </c>
      <c r="H228" s="133">
        <v>0</v>
      </c>
      <c r="I228" s="133">
        <v>0</v>
      </c>
      <c r="J228" s="133">
        <v>0</v>
      </c>
      <c r="K228" s="133">
        <v>0</v>
      </c>
      <c r="L228" s="133">
        <v>0</v>
      </c>
      <c r="M228" s="45">
        <v>0</v>
      </c>
    </row>
    <row r="229" spans="1:13" x14ac:dyDescent="0.25">
      <c r="A229" s="812" t="s">
        <v>1996</v>
      </c>
      <c r="B229" s="812">
        <v>12</v>
      </c>
      <c r="C229" s="608">
        <v>39481</v>
      </c>
      <c r="D229" s="812">
        <v>99767</v>
      </c>
      <c r="E229" s="812" t="s">
        <v>2043</v>
      </c>
      <c r="F229" s="133">
        <v>0</v>
      </c>
      <c r="G229" s="133">
        <v>0</v>
      </c>
      <c r="H229" s="133">
        <v>0</v>
      </c>
      <c r="I229" s="133">
        <v>0</v>
      </c>
      <c r="J229" s="133">
        <v>0</v>
      </c>
      <c r="K229" s="133">
        <v>0</v>
      </c>
      <c r="L229" s="133">
        <v>0</v>
      </c>
      <c r="M229" s="45">
        <v>0</v>
      </c>
    </row>
    <row r="230" spans="1:13" x14ac:dyDescent="0.25">
      <c r="A230" s="812" t="s">
        <v>1996</v>
      </c>
      <c r="B230" s="812">
        <v>12</v>
      </c>
      <c r="C230" s="608">
        <v>39481</v>
      </c>
      <c r="D230" s="812">
        <v>99774</v>
      </c>
      <c r="E230" s="812" t="s">
        <v>2044</v>
      </c>
      <c r="F230" s="133">
        <v>0</v>
      </c>
      <c r="G230" s="133">
        <v>0</v>
      </c>
      <c r="H230" s="133">
        <v>0</v>
      </c>
      <c r="I230" s="133">
        <v>0</v>
      </c>
      <c r="J230" s="133">
        <v>0</v>
      </c>
      <c r="K230" s="133">
        <v>0</v>
      </c>
      <c r="L230" s="133">
        <v>0</v>
      </c>
      <c r="M230" s="45">
        <v>0</v>
      </c>
    </row>
    <row r="231" spans="1:13" x14ac:dyDescent="0.25">
      <c r="A231" s="812" t="s">
        <v>1996</v>
      </c>
      <c r="B231" s="812">
        <v>12</v>
      </c>
      <c r="C231" s="608">
        <v>39481</v>
      </c>
      <c r="D231" s="812">
        <v>99775</v>
      </c>
      <c r="E231" s="812" t="s">
        <v>1602</v>
      </c>
      <c r="F231" s="133">
        <v>9.1243443395026878E-5</v>
      </c>
      <c r="G231" s="133">
        <v>2.220529307254005E-3</v>
      </c>
      <c r="H231" s="133">
        <v>1.4199256498902636E-3</v>
      </c>
      <c r="I231" s="133">
        <v>6.7138249536545107E-5</v>
      </c>
      <c r="J231" s="133">
        <v>6.7138249536545107E-5</v>
      </c>
      <c r="K231" s="133">
        <v>4.5435038844459307E-5</v>
      </c>
      <c r="L231" s="133">
        <v>1.3534240600396747E-4</v>
      </c>
      <c r="M231" s="45">
        <v>35.220091161990617</v>
      </c>
    </row>
    <row r="232" spans="1:13" x14ac:dyDescent="0.25">
      <c r="A232" s="812" t="s">
        <v>1996</v>
      </c>
      <c r="B232" s="812">
        <v>12</v>
      </c>
      <c r="C232" s="608">
        <v>39481</v>
      </c>
      <c r="D232" s="812">
        <v>99790</v>
      </c>
      <c r="E232" s="812" t="s">
        <v>2045</v>
      </c>
      <c r="F232" s="133">
        <v>0</v>
      </c>
      <c r="G232" s="133">
        <v>0</v>
      </c>
      <c r="H232" s="133">
        <v>0</v>
      </c>
      <c r="I232" s="133">
        <v>0</v>
      </c>
      <c r="J232" s="133">
        <v>0</v>
      </c>
      <c r="K232" s="133">
        <v>0</v>
      </c>
      <c r="L232" s="133">
        <v>0</v>
      </c>
      <c r="M232" s="45">
        <v>0</v>
      </c>
    </row>
    <row r="233" spans="1:13" x14ac:dyDescent="0.25">
      <c r="A233" s="812" t="s">
        <v>1996</v>
      </c>
      <c r="B233" s="812">
        <v>13</v>
      </c>
      <c r="C233" s="608">
        <v>39482</v>
      </c>
      <c r="D233" s="812">
        <v>99701</v>
      </c>
      <c r="E233" s="812" t="s">
        <v>2031</v>
      </c>
      <c r="F233" s="133">
        <v>1.2531185457945839</v>
      </c>
      <c r="G233" s="133">
        <v>1.0160085494053042</v>
      </c>
      <c r="H233" s="133">
        <v>1.2904217313482496</v>
      </c>
      <c r="I233" s="133">
        <v>0.35416323386170773</v>
      </c>
      <c r="J233" s="133">
        <v>0.35416323386170773</v>
      </c>
      <c r="K233" s="133">
        <v>2.6340139973905361E-2</v>
      </c>
      <c r="L233" s="133">
        <v>3.5129452985077658</v>
      </c>
      <c r="M233" s="45">
        <v>18544.201183719873</v>
      </c>
    </row>
    <row r="234" spans="1:13" x14ac:dyDescent="0.25">
      <c r="A234" s="812" t="s">
        <v>1996</v>
      </c>
      <c r="B234" s="812">
        <v>13</v>
      </c>
      <c r="C234" s="608">
        <v>39482</v>
      </c>
      <c r="D234" s="812">
        <v>99702</v>
      </c>
      <c r="E234" s="812" t="s">
        <v>2032</v>
      </c>
      <c r="F234" s="133">
        <v>0</v>
      </c>
      <c r="G234" s="133">
        <v>0</v>
      </c>
      <c r="H234" s="133">
        <v>0</v>
      </c>
      <c r="I234" s="133">
        <v>0</v>
      </c>
      <c r="J234" s="133">
        <v>0</v>
      </c>
      <c r="K234" s="133">
        <v>0</v>
      </c>
      <c r="L234" s="133">
        <v>0</v>
      </c>
      <c r="M234" s="45">
        <v>0</v>
      </c>
    </row>
    <row r="235" spans="1:13" x14ac:dyDescent="0.25">
      <c r="A235" s="812" t="s">
        <v>1996</v>
      </c>
      <c r="B235" s="812">
        <v>13</v>
      </c>
      <c r="C235" s="608">
        <v>39482</v>
      </c>
      <c r="D235" s="812">
        <v>99703</v>
      </c>
      <c r="E235" s="812" t="s">
        <v>2033</v>
      </c>
      <c r="F235" s="133">
        <v>2.9100400788065316E-2</v>
      </c>
      <c r="G235" s="133">
        <v>1.8863807879743073E-2</v>
      </c>
      <c r="H235" s="133">
        <v>2.8507295704679664E-2</v>
      </c>
      <c r="I235" s="133">
        <v>9.4101683927376983E-3</v>
      </c>
      <c r="J235" s="133">
        <v>9.4101683927376983E-3</v>
      </c>
      <c r="K235" s="133">
        <v>5.2744101147232029E-4</v>
      </c>
      <c r="L235" s="133">
        <v>0.10082133022678084</v>
      </c>
      <c r="M235" s="45">
        <v>361.61530745700657</v>
      </c>
    </row>
    <row r="236" spans="1:13" x14ac:dyDescent="0.25">
      <c r="A236" s="812" t="s">
        <v>1996</v>
      </c>
      <c r="B236" s="812">
        <v>13</v>
      </c>
      <c r="C236" s="608">
        <v>39482</v>
      </c>
      <c r="D236" s="812">
        <v>99705</v>
      </c>
      <c r="E236" s="812" t="s">
        <v>1599</v>
      </c>
      <c r="F236" s="133">
        <v>4.91759983729282</v>
      </c>
      <c r="G236" s="133">
        <v>0.96771918313866079</v>
      </c>
      <c r="H236" s="133">
        <v>1.6180036202249113</v>
      </c>
      <c r="I236" s="133">
        <v>1.4674540238692309</v>
      </c>
      <c r="J236" s="133">
        <v>1.4674540238692309</v>
      </c>
      <c r="K236" s="133">
        <v>6.4903682949862221E-2</v>
      </c>
      <c r="L236" s="133">
        <v>15.9684648973723</v>
      </c>
      <c r="M236" s="45">
        <v>19663.464752983709</v>
      </c>
    </row>
    <row r="237" spans="1:13" x14ac:dyDescent="0.25">
      <c r="A237" s="812" t="s">
        <v>1996</v>
      </c>
      <c r="B237" s="812">
        <v>13</v>
      </c>
      <c r="C237" s="608">
        <v>39482</v>
      </c>
      <c r="D237" s="812">
        <v>99709</v>
      </c>
      <c r="E237" s="812" t="s">
        <v>1600</v>
      </c>
      <c r="F237" s="133">
        <v>4.4301899763632093</v>
      </c>
      <c r="G237" s="133">
        <v>1.1006729227052814</v>
      </c>
      <c r="H237" s="133">
        <v>1.8111179577821386</v>
      </c>
      <c r="I237" s="133">
        <v>1.1629123275632522</v>
      </c>
      <c r="J237" s="133">
        <v>1.1629123275632522</v>
      </c>
      <c r="K237" s="133">
        <v>5.5220970434429341E-2</v>
      </c>
      <c r="L237" s="133">
        <v>11.987089427848549</v>
      </c>
      <c r="M237" s="45">
        <v>22273.52758014698</v>
      </c>
    </row>
    <row r="238" spans="1:13" x14ac:dyDescent="0.25">
      <c r="A238" s="812" t="s">
        <v>1996</v>
      </c>
      <c r="B238" s="812">
        <v>13</v>
      </c>
      <c r="C238" s="608">
        <v>39482</v>
      </c>
      <c r="D238" s="812">
        <v>99712</v>
      </c>
      <c r="E238" s="812" t="s">
        <v>1601</v>
      </c>
      <c r="F238" s="133">
        <v>2.4056380278637017</v>
      </c>
      <c r="G238" s="133">
        <v>0.38298238490337705</v>
      </c>
      <c r="H238" s="133">
        <v>0.68286862163796325</v>
      </c>
      <c r="I238" s="133">
        <v>0.63360359069239147</v>
      </c>
      <c r="J238" s="133">
        <v>0.63360359069239147</v>
      </c>
      <c r="K238" s="133">
        <v>2.903108802587645E-2</v>
      </c>
      <c r="L238" s="133">
        <v>6.6023754054492247</v>
      </c>
      <c r="M238" s="45">
        <v>7914.4101919281484</v>
      </c>
    </row>
    <row r="239" spans="1:13" x14ac:dyDescent="0.25">
      <c r="A239" s="812" t="s">
        <v>1996</v>
      </c>
      <c r="B239" s="812">
        <v>13</v>
      </c>
      <c r="C239" s="608">
        <v>39482</v>
      </c>
      <c r="D239" s="812">
        <v>99714</v>
      </c>
      <c r="E239" s="812" t="s">
        <v>2034</v>
      </c>
      <c r="F239" s="133">
        <v>0</v>
      </c>
      <c r="G239" s="133">
        <v>0</v>
      </c>
      <c r="H239" s="133">
        <v>0</v>
      </c>
      <c r="I239" s="133">
        <v>0</v>
      </c>
      <c r="J239" s="133">
        <v>0</v>
      </c>
      <c r="K239" s="133">
        <v>0</v>
      </c>
      <c r="L239" s="133">
        <v>0</v>
      </c>
      <c r="M239" s="45">
        <v>0</v>
      </c>
    </row>
    <row r="240" spans="1:13" x14ac:dyDescent="0.25">
      <c r="A240" s="812" t="s">
        <v>1996</v>
      </c>
      <c r="B240" s="812">
        <v>13</v>
      </c>
      <c r="C240" s="608">
        <v>39482</v>
      </c>
      <c r="D240" s="812">
        <v>99730</v>
      </c>
      <c r="E240" s="812" t="s">
        <v>2035</v>
      </c>
      <c r="F240" s="133">
        <v>0</v>
      </c>
      <c r="G240" s="133">
        <v>0</v>
      </c>
      <c r="H240" s="133">
        <v>0</v>
      </c>
      <c r="I240" s="133">
        <v>0</v>
      </c>
      <c r="J240" s="133">
        <v>0</v>
      </c>
      <c r="K240" s="133">
        <v>0</v>
      </c>
      <c r="L240" s="133">
        <v>0</v>
      </c>
      <c r="M240" s="45">
        <v>0</v>
      </c>
    </row>
    <row r="241" spans="1:13" x14ac:dyDescent="0.25">
      <c r="A241" s="812" t="s">
        <v>1996</v>
      </c>
      <c r="B241" s="812">
        <v>13</v>
      </c>
      <c r="C241" s="608">
        <v>39482</v>
      </c>
      <c r="D241" s="812">
        <v>99737</v>
      </c>
      <c r="E241" s="812" t="s">
        <v>2036</v>
      </c>
      <c r="F241" s="133">
        <v>0</v>
      </c>
      <c r="G241" s="133">
        <v>0</v>
      </c>
      <c r="H241" s="133">
        <v>0</v>
      </c>
      <c r="I241" s="133">
        <v>0</v>
      </c>
      <c r="J241" s="133">
        <v>0</v>
      </c>
      <c r="K241" s="133">
        <v>0</v>
      </c>
      <c r="L241" s="133">
        <v>0</v>
      </c>
      <c r="M241" s="45">
        <v>0</v>
      </c>
    </row>
    <row r="242" spans="1:13" x14ac:dyDescent="0.25">
      <c r="A242" s="812" t="s">
        <v>1996</v>
      </c>
      <c r="B242" s="812">
        <v>13</v>
      </c>
      <c r="C242" s="608">
        <v>39482</v>
      </c>
      <c r="D242" s="812">
        <v>99743</v>
      </c>
      <c r="E242" s="812" t="s">
        <v>2037</v>
      </c>
      <c r="F242" s="133">
        <v>0</v>
      </c>
      <c r="G242" s="133">
        <v>0</v>
      </c>
      <c r="H242" s="133">
        <v>0</v>
      </c>
      <c r="I242" s="133">
        <v>0</v>
      </c>
      <c r="J242" s="133">
        <v>0</v>
      </c>
      <c r="K242" s="133">
        <v>0</v>
      </c>
      <c r="L242" s="133">
        <v>0</v>
      </c>
      <c r="M242" s="45">
        <v>0</v>
      </c>
    </row>
    <row r="243" spans="1:13" x14ac:dyDescent="0.25">
      <c r="A243" s="812" t="s">
        <v>1996</v>
      </c>
      <c r="B243" s="812">
        <v>13</v>
      </c>
      <c r="C243" s="608">
        <v>39482</v>
      </c>
      <c r="D243" s="812">
        <v>99744</v>
      </c>
      <c r="E243" s="812" t="s">
        <v>2038</v>
      </c>
      <c r="F243" s="133">
        <v>0</v>
      </c>
      <c r="G243" s="133">
        <v>0</v>
      </c>
      <c r="H243" s="133">
        <v>0</v>
      </c>
      <c r="I243" s="133">
        <v>0</v>
      </c>
      <c r="J243" s="133">
        <v>0</v>
      </c>
      <c r="K243" s="133">
        <v>0</v>
      </c>
      <c r="L243" s="133">
        <v>0</v>
      </c>
      <c r="M243" s="45">
        <v>0</v>
      </c>
    </row>
    <row r="244" spans="1:13" x14ac:dyDescent="0.25">
      <c r="A244" s="812" t="s">
        <v>1996</v>
      </c>
      <c r="B244" s="812">
        <v>13</v>
      </c>
      <c r="C244" s="608">
        <v>39482</v>
      </c>
      <c r="D244" s="812">
        <v>99755</v>
      </c>
      <c r="E244" s="812" t="s">
        <v>2039</v>
      </c>
      <c r="F244" s="133">
        <v>0</v>
      </c>
      <c r="G244" s="133">
        <v>0</v>
      </c>
      <c r="H244" s="133">
        <v>0</v>
      </c>
      <c r="I244" s="133">
        <v>0</v>
      </c>
      <c r="J244" s="133">
        <v>0</v>
      </c>
      <c r="K244" s="133">
        <v>0</v>
      </c>
      <c r="L244" s="133">
        <v>0</v>
      </c>
      <c r="M244" s="45">
        <v>0</v>
      </c>
    </row>
    <row r="245" spans="1:13" x14ac:dyDescent="0.25">
      <c r="A245" s="812" t="s">
        <v>1996</v>
      </c>
      <c r="B245" s="812">
        <v>13</v>
      </c>
      <c r="C245" s="608">
        <v>39482</v>
      </c>
      <c r="D245" s="812">
        <v>99756</v>
      </c>
      <c r="E245" s="812" t="s">
        <v>2040</v>
      </c>
      <c r="F245" s="133">
        <v>0</v>
      </c>
      <c r="G245" s="133">
        <v>0</v>
      </c>
      <c r="H245" s="133">
        <v>0</v>
      </c>
      <c r="I245" s="133">
        <v>0</v>
      </c>
      <c r="J245" s="133">
        <v>0</v>
      </c>
      <c r="K245" s="133">
        <v>0</v>
      </c>
      <c r="L245" s="133">
        <v>0</v>
      </c>
      <c r="M245" s="45">
        <v>0</v>
      </c>
    </row>
    <row r="246" spans="1:13" x14ac:dyDescent="0.25">
      <c r="A246" s="812" t="s">
        <v>1996</v>
      </c>
      <c r="B246" s="812">
        <v>13</v>
      </c>
      <c r="C246" s="608">
        <v>39482</v>
      </c>
      <c r="D246" s="812">
        <v>99758</v>
      </c>
      <c r="E246" s="812" t="s">
        <v>2041</v>
      </c>
      <c r="F246" s="133">
        <v>0</v>
      </c>
      <c r="G246" s="133">
        <v>0</v>
      </c>
      <c r="H246" s="133">
        <v>0</v>
      </c>
      <c r="I246" s="133">
        <v>0</v>
      </c>
      <c r="J246" s="133">
        <v>0</v>
      </c>
      <c r="K246" s="133">
        <v>0</v>
      </c>
      <c r="L246" s="133">
        <v>0</v>
      </c>
      <c r="M246" s="45">
        <v>0</v>
      </c>
    </row>
    <row r="247" spans="1:13" x14ac:dyDescent="0.25">
      <c r="A247" s="812" t="s">
        <v>1996</v>
      </c>
      <c r="B247" s="812">
        <v>13</v>
      </c>
      <c r="C247" s="608">
        <v>39482</v>
      </c>
      <c r="D247" s="812">
        <v>99760</v>
      </c>
      <c r="E247" s="812" t="s">
        <v>2042</v>
      </c>
      <c r="F247" s="133">
        <v>0</v>
      </c>
      <c r="G247" s="133">
        <v>0</v>
      </c>
      <c r="H247" s="133">
        <v>0</v>
      </c>
      <c r="I247" s="133">
        <v>0</v>
      </c>
      <c r="J247" s="133">
        <v>0</v>
      </c>
      <c r="K247" s="133">
        <v>0</v>
      </c>
      <c r="L247" s="133">
        <v>0</v>
      </c>
      <c r="M247" s="45">
        <v>0</v>
      </c>
    </row>
    <row r="248" spans="1:13" x14ac:dyDescent="0.25">
      <c r="A248" s="812" t="s">
        <v>1996</v>
      </c>
      <c r="B248" s="812">
        <v>13</v>
      </c>
      <c r="C248" s="608">
        <v>39482</v>
      </c>
      <c r="D248" s="812">
        <v>99767</v>
      </c>
      <c r="E248" s="812" t="s">
        <v>2043</v>
      </c>
      <c r="F248" s="133">
        <v>0</v>
      </c>
      <c r="G248" s="133">
        <v>0</v>
      </c>
      <c r="H248" s="133">
        <v>0</v>
      </c>
      <c r="I248" s="133">
        <v>0</v>
      </c>
      <c r="J248" s="133">
        <v>0</v>
      </c>
      <c r="K248" s="133">
        <v>0</v>
      </c>
      <c r="L248" s="133">
        <v>0</v>
      </c>
      <c r="M248" s="45">
        <v>0</v>
      </c>
    </row>
    <row r="249" spans="1:13" x14ac:dyDescent="0.25">
      <c r="A249" s="812" t="s">
        <v>1996</v>
      </c>
      <c r="B249" s="812">
        <v>13</v>
      </c>
      <c r="C249" s="608">
        <v>39482</v>
      </c>
      <c r="D249" s="812">
        <v>99774</v>
      </c>
      <c r="E249" s="812" t="s">
        <v>2044</v>
      </c>
      <c r="F249" s="133">
        <v>0</v>
      </c>
      <c r="G249" s="133">
        <v>0</v>
      </c>
      <c r="H249" s="133">
        <v>0</v>
      </c>
      <c r="I249" s="133">
        <v>0</v>
      </c>
      <c r="J249" s="133">
        <v>0</v>
      </c>
      <c r="K249" s="133">
        <v>0</v>
      </c>
      <c r="L249" s="133">
        <v>0</v>
      </c>
      <c r="M249" s="45">
        <v>0</v>
      </c>
    </row>
    <row r="250" spans="1:13" x14ac:dyDescent="0.25">
      <c r="A250" s="812" t="s">
        <v>1996</v>
      </c>
      <c r="B250" s="812">
        <v>13</v>
      </c>
      <c r="C250" s="608">
        <v>39482</v>
      </c>
      <c r="D250" s="812">
        <v>99775</v>
      </c>
      <c r="E250" s="812" t="s">
        <v>1602</v>
      </c>
      <c r="F250" s="133">
        <v>9.7163651226011652E-5</v>
      </c>
      <c r="G250" s="133">
        <v>2.3699875694668041E-3</v>
      </c>
      <c r="H250" s="133">
        <v>1.5255693922117018E-3</v>
      </c>
      <c r="I250" s="133">
        <v>7.092948337212939E-5</v>
      </c>
      <c r="J250" s="133">
        <v>7.092948337212939E-5</v>
      </c>
      <c r="K250" s="133">
        <v>4.5638438539738404E-5</v>
      </c>
      <c r="L250" s="133">
        <v>1.3906097452436972E-4</v>
      </c>
      <c r="M250" s="45">
        <v>37.520087752709806</v>
      </c>
    </row>
    <row r="251" spans="1:13" x14ac:dyDescent="0.25">
      <c r="A251" s="812" t="s">
        <v>1996</v>
      </c>
      <c r="B251" s="812">
        <v>13</v>
      </c>
      <c r="C251" s="608">
        <v>39482</v>
      </c>
      <c r="D251" s="812">
        <v>99790</v>
      </c>
      <c r="E251" s="812" t="s">
        <v>2045</v>
      </c>
      <c r="F251" s="133">
        <v>0</v>
      </c>
      <c r="G251" s="133">
        <v>0</v>
      </c>
      <c r="H251" s="133">
        <v>0</v>
      </c>
      <c r="I251" s="133">
        <v>0</v>
      </c>
      <c r="J251" s="133">
        <v>0</v>
      </c>
      <c r="K251" s="133">
        <v>0</v>
      </c>
      <c r="L251" s="133">
        <v>0</v>
      </c>
      <c r="M251" s="45">
        <v>0</v>
      </c>
    </row>
    <row r="252" spans="1:13" x14ac:dyDescent="0.25">
      <c r="A252" s="812" t="s">
        <v>1996</v>
      </c>
      <c r="B252" s="812">
        <v>14</v>
      </c>
      <c r="C252" s="608">
        <v>39483</v>
      </c>
      <c r="D252" s="812">
        <v>99701</v>
      </c>
      <c r="E252" s="812" t="s">
        <v>2031</v>
      </c>
      <c r="F252" s="133">
        <v>1.2836269087439527</v>
      </c>
      <c r="G252" s="133">
        <v>1.0296448516354826</v>
      </c>
      <c r="H252" s="133">
        <v>1.3121788345044774</v>
      </c>
      <c r="I252" s="133">
        <v>0.36217607501205007</v>
      </c>
      <c r="J252" s="133">
        <v>0.36217607501205007</v>
      </c>
      <c r="K252" s="133">
        <v>2.669011560565179E-2</v>
      </c>
      <c r="L252" s="133">
        <v>3.5942272448333914</v>
      </c>
      <c r="M252" s="45">
        <v>18808.785815367279</v>
      </c>
    </row>
    <row r="253" spans="1:13" x14ac:dyDescent="0.25">
      <c r="A253" s="812" t="s">
        <v>1996</v>
      </c>
      <c r="B253" s="812">
        <v>14</v>
      </c>
      <c r="C253" s="608">
        <v>39483</v>
      </c>
      <c r="D253" s="812">
        <v>99702</v>
      </c>
      <c r="E253" s="812" t="s">
        <v>2032</v>
      </c>
      <c r="F253" s="133">
        <v>0</v>
      </c>
      <c r="G253" s="133">
        <v>0</v>
      </c>
      <c r="H253" s="133">
        <v>0</v>
      </c>
      <c r="I253" s="133">
        <v>0</v>
      </c>
      <c r="J253" s="133">
        <v>0</v>
      </c>
      <c r="K253" s="133">
        <v>0</v>
      </c>
      <c r="L253" s="133">
        <v>0</v>
      </c>
      <c r="M253" s="45">
        <v>0</v>
      </c>
    </row>
    <row r="254" spans="1:13" x14ac:dyDescent="0.25">
      <c r="A254" s="812" t="s">
        <v>1996</v>
      </c>
      <c r="B254" s="812">
        <v>14</v>
      </c>
      <c r="C254" s="608">
        <v>39483</v>
      </c>
      <c r="D254" s="812">
        <v>99703</v>
      </c>
      <c r="E254" s="812" t="s">
        <v>2033</v>
      </c>
      <c r="F254" s="133">
        <v>2.985690658714301E-2</v>
      </c>
      <c r="G254" s="133">
        <v>1.9189410063531896E-2</v>
      </c>
      <c r="H254" s="133">
        <v>2.9103036953502824E-2</v>
      </c>
      <c r="I254" s="133">
        <v>9.6448216224882082E-3</v>
      </c>
      <c r="J254" s="133">
        <v>9.6448216224882082E-3</v>
      </c>
      <c r="K254" s="133">
        <v>5.3697011842120319E-4</v>
      </c>
      <c r="L254" s="133">
        <v>0.10339064677983417</v>
      </c>
      <c r="M254" s="45">
        <v>368.29371364490811</v>
      </c>
    </row>
    <row r="255" spans="1:13" x14ac:dyDescent="0.25">
      <c r="A255" s="812" t="s">
        <v>1996</v>
      </c>
      <c r="B255" s="812">
        <v>14</v>
      </c>
      <c r="C255" s="608">
        <v>39483</v>
      </c>
      <c r="D255" s="812">
        <v>99705</v>
      </c>
      <c r="E255" s="812" t="s">
        <v>1599</v>
      </c>
      <c r="F255" s="133">
        <v>5.0327004510286368</v>
      </c>
      <c r="G255" s="133">
        <v>0.98707873598182416</v>
      </c>
      <c r="H255" s="133">
        <v>1.6516556152983279</v>
      </c>
      <c r="I255" s="133">
        <v>1.5014192304462046</v>
      </c>
      <c r="J255" s="133">
        <v>1.5014192304462046</v>
      </c>
      <c r="K255" s="133">
        <v>6.6368914564024828E-2</v>
      </c>
      <c r="L255" s="133">
        <v>16.346148869959354</v>
      </c>
      <c r="M255" s="45">
        <v>20059.754046858125</v>
      </c>
    </row>
    <row r="256" spans="1:13" x14ac:dyDescent="0.25">
      <c r="A256" s="812" t="s">
        <v>1996</v>
      </c>
      <c r="B256" s="812">
        <v>14</v>
      </c>
      <c r="C256" s="608">
        <v>39483</v>
      </c>
      <c r="D256" s="812">
        <v>99709</v>
      </c>
      <c r="E256" s="812" t="s">
        <v>1600</v>
      </c>
      <c r="F256" s="133">
        <v>4.4148470246883518</v>
      </c>
      <c r="G256" s="133">
        <v>1.1035469508988849</v>
      </c>
      <c r="H256" s="133">
        <v>1.8151782009737853</v>
      </c>
      <c r="I256" s="133">
        <v>1.1588430933036176</v>
      </c>
      <c r="J256" s="133">
        <v>1.1588430933036176</v>
      </c>
      <c r="K256" s="133">
        <v>5.5067849378369657E-2</v>
      </c>
      <c r="L256" s="133">
        <v>11.941661115140141</v>
      </c>
      <c r="M256" s="45">
        <v>22324.098503170706</v>
      </c>
    </row>
    <row r="257" spans="1:13" x14ac:dyDescent="0.25">
      <c r="A257" s="812" t="s">
        <v>1996</v>
      </c>
      <c r="B257" s="812">
        <v>14</v>
      </c>
      <c r="C257" s="608">
        <v>39483</v>
      </c>
      <c r="D257" s="812">
        <v>99712</v>
      </c>
      <c r="E257" s="812" t="s">
        <v>1601</v>
      </c>
      <c r="F257" s="133">
        <v>2.3309654404091154</v>
      </c>
      <c r="G257" s="133">
        <v>0.37441871593555176</v>
      </c>
      <c r="H257" s="133">
        <v>0.6667262224423296</v>
      </c>
      <c r="I257" s="133">
        <v>0.61547850037099572</v>
      </c>
      <c r="J257" s="133">
        <v>0.61547850037099572</v>
      </c>
      <c r="K257" s="133">
        <v>2.8195576153954367E-2</v>
      </c>
      <c r="L257" s="133">
        <v>6.4162244235608705</v>
      </c>
      <c r="M257" s="45">
        <v>7735.3160384630955</v>
      </c>
    </row>
    <row r="258" spans="1:13" x14ac:dyDescent="0.25">
      <c r="A258" s="812" t="s">
        <v>1996</v>
      </c>
      <c r="B258" s="812">
        <v>14</v>
      </c>
      <c r="C258" s="608">
        <v>39483</v>
      </c>
      <c r="D258" s="812">
        <v>99714</v>
      </c>
      <c r="E258" s="812" t="s">
        <v>2034</v>
      </c>
      <c r="F258" s="133">
        <v>0</v>
      </c>
      <c r="G258" s="133">
        <v>0</v>
      </c>
      <c r="H258" s="133">
        <v>0</v>
      </c>
      <c r="I258" s="133">
        <v>0</v>
      </c>
      <c r="J258" s="133">
        <v>0</v>
      </c>
      <c r="K258" s="133">
        <v>0</v>
      </c>
      <c r="L258" s="133">
        <v>0</v>
      </c>
      <c r="M258" s="45">
        <v>0</v>
      </c>
    </row>
    <row r="259" spans="1:13" x14ac:dyDescent="0.25">
      <c r="A259" s="812" t="s">
        <v>1996</v>
      </c>
      <c r="B259" s="812">
        <v>14</v>
      </c>
      <c r="C259" s="608">
        <v>39483</v>
      </c>
      <c r="D259" s="812">
        <v>99730</v>
      </c>
      <c r="E259" s="812" t="s">
        <v>2035</v>
      </c>
      <c r="F259" s="133">
        <v>0</v>
      </c>
      <c r="G259" s="133">
        <v>0</v>
      </c>
      <c r="H259" s="133">
        <v>0</v>
      </c>
      <c r="I259" s="133">
        <v>0</v>
      </c>
      <c r="J259" s="133">
        <v>0</v>
      </c>
      <c r="K259" s="133">
        <v>0</v>
      </c>
      <c r="L259" s="133">
        <v>0</v>
      </c>
      <c r="M259" s="45">
        <v>0</v>
      </c>
    </row>
    <row r="260" spans="1:13" x14ac:dyDescent="0.25">
      <c r="A260" s="812" t="s">
        <v>1996</v>
      </c>
      <c r="B260" s="812">
        <v>14</v>
      </c>
      <c r="C260" s="608">
        <v>39483</v>
      </c>
      <c r="D260" s="812">
        <v>99737</v>
      </c>
      <c r="E260" s="812" t="s">
        <v>2036</v>
      </c>
      <c r="F260" s="133">
        <v>0</v>
      </c>
      <c r="G260" s="133">
        <v>0</v>
      </c>
      <c r="H260" s="133">
        <v>0</v>
      </c>
      <c r="I260" s="133">
        <v>0</v>
      </c>
      <c r="J260" s="133">
        <v>0</v>
      </c>
      <c r="K260" s="133">
        <v>0</v>
      </c>
      <c r="L260" s="133">
        <v>0</v>
      </c>
      <c r="M260" s="45">
        <v>0</v>
      </c>
    </row>
    <row r="261" spans="1:13" x14ac:dyDescent="0.25">
      <c r="A261" s="812" t="s">
        <v>1996</v>
      </c>
      <c r="B261" s="812">
        <v>14</v>
      </c>
      <c r="C261" s="608">
        <v>39483</v>
      </c>
      <c r="D261" s="812">
        <v>99743</v>
      </c>
      <c r="E261" s="812" t="s">
        <v>2037</v>
      </c>
      <c r="F261" s="133">
        <v>0</v>
      </c>
      <c r="G261" s="133">
        <v>0</v>
      </c>
      <c r="H261" s="133">
        <v>0</v>
      </c>
      <c r="I261" s="133">
        <v>0</v>
      </c>
      <c r="J261" s="133">
        <v>0</v>
      </c>
      <c r="K261" s="133">
        <v>0</v>
      </c>
      <c r="L261" s="133">
        <v>0</v>
      </c>
      <c r="M261" s="45">
        <v>0</v>
      </c>
    </row>
    <row r="262" spans="1:13" x14ac:dyDescent="0.25">
      <c r="A262" s="812" t="s">
        <v>1996</v>
      </c>
      <c r="B262" s="812">
        <v>14</v>
      </c>
      <c r="C262" s="608">
        <v>39483</v>
      </c>
      <c r="D262" s="812">
        <v>99744</v>
      </c>
      <c r="E262" s="812" t="s">
        <v>2038</v>
      </c>
      <c r="F262" s="133">
        <v>0</v>
      </c>
      <c r="G262" s="133">
        <v>0</v>
      </c>
      <c r="H262" s="133">
        <v>0</v>
      </c>
      <c r="I262" s="133">
        <v>0</v>
      </c>
      <c r="J262" s="133">
        <v>0</v>
      </c>
      <c r="K262" s="133">
        <v>0</v>
      </c>
      <c r="L262" s="133">
        <v>0</v>
      </c>
      <c r="M262" s="45">
        <v>0</v>
      </c>
    </row>
    <row r="263" spans="1:13" x14ac:dyDescent="0.25">
      <c r="A263" s="812" t="s">
        <v>1996</v>
      </c>
      <c r="B263" s="812">
        <v>14</v>
      </c>
      <c r="C263" s="608">
        <v>39483</v>
      </c>
      <c r="D263" s="812">
        <v>99755</v>
      </c>
      <c r="E263" s="812" t="s">
        <v>2039</v>
      </c>
      <c r="F263" s="133">
        <v>0</v>
      </c>
      <c r="G263" s="133">
        <v>0</v>
      </c>
      <c r="H263" s="133">
        <v>0</v>
      </c>
      <c r="I263" s="133">
        <v>0</v>
      </c>
      <c r="J263" s="133">
        <v>0</v>
      </c>
      <c r="K263" s="133">
        <v>0</v>
      </c>
      <c r="L263" s="133">
        <v>0</v>
      </c>
      <c r="M263" s="45">
        <v>0</v>
      </c>
    </row>
    <row r="264" spans="1:13" x14ac:dyDescent="0.25">
      <c r="A264" s="812" t="s">
        <v>1996</v>
      </c>
      <c r="B264" s="812">
        <v>14</v>
      </c>
      <c r="C264" s="608">
        <v>39483</v>
      </c>
      <c r="D264" s="812">
        <v>99756</v>
      </c>
      <c r="E264" s="812" t="s">
        <v>2040</v>
      </c>
      <c r="F264" s="133">
        <v>0</v>
      </c>
      <c r="G264" s="133">
        <v>0</v>
      </c>
      <c r="H264" s="133">
        <v>0</v>
      </c>
      <c r="I264" s="133">
        <v>0</v>
      </c>
      <c r="J264" s="133">
        <v>0</v>
      </c>
      <c r="K264" s="133">
        <v>0</v>
      </c>
      <c r="L264" s="133">
        <v>0</v>
      </c>
      <c r="M264" s="45">
        <v>0</v>
      </c>
    </row>
    <row r="265" spans="1:13" x14ac:dyDescent="0.25">
      <c r="A265" s="812" t="s">
        <v>1996</v>
      </c>
      <c r="B265" s="812">
        <v>14</v>
      </c>
      <c r="C265" s="608">
        <v>39483</v>
      </c>
      <c r="D265" s="812">
        <v>99758</v>
      </c>
      <c r="E265" s="812" t="s">
        <v>2041</v>
      </c>
      <c r="F265" s="133">
        <v>0</v>
      </c>
      <c r="G265" s="133">
        <v>0</v>
      </c>
      <c r="H265" s="133">
        <v>0</v>
      </c>
      <c r="I265" s="133">
        <v>0</v>
      </c>
      <c r="J265" s="133">
        <v>0</v>
      </c>
      <c r="K265" s="133">
        <v>0</v>
      </c>
      <c r="L265" s="133">
        <v>0</v>
      </c>
      <c r="M265" s="45">
        <v>0</v>
      </c>
    </row>
    <row r="266" spans="1:13" x14ac:dyDescent="0.25">
      <c r="A266" s="812" t="s">
        <v>1996</v>
      </c>
      <c r="B266" s="812">
        <v>14</v>
      </c>
      <c r="C266" s="608">
        <v>39483</v>
      </c>
      <c r="D266" s="812">
        <v>99760</v>
      </c>
      <c r="E266" s="812" t="s">
        <v>2042</v>
      </c>
      <c r="F266" s="133">
        <v>0</v>
      </c>
      <c r="G266" s="133">
        <v>0</v>
      </c>
      <c r="H266" s="133">
        <v>0</v>
      </c>
      <c r="I266" s="133">
        <v>0</v>
      </c>
      <c r="J266" s="133">
        <v>0</v>
      </c>
      <c r="K266" s="133">
        <v>0</v>
      </c>
      <c r="L266" s="133">
        <v>0</v>
      </c>
      <c r="M266" s="45">
        <v>0</v>
      </c>
    </row>
    <row r="267" spans="1:13" x14ac:dyDescent="0.25">
      <c r="A267" s="812" t="s">
        <v>1996</v>
      </c>
      <c r="B267" s="812">
        <v>14</v>
      </c>
      <c r="C267" s="608">
        <v>39483</v>
      </c>
      <c r="D267" s="812">
        <v>99767</v>
      </c>
      <c r="E267" s="812" t="s">
        <v>2043</v>
      </c>
      <c r="F267" s="133">
        <v>0</v>
      </c>
      <c r="G267" s="133">
        <v>0</v>
      </c>
      <c r="H267" s="133">
        <v>0</v>
      </c>
      <c r="I267" s="133">
        <v>0</v>
      </c>
      <c r="J267" s="133">
        <v>0</v>
      </c>
      <c r="K267" s="133">
        <v>0</v>
      </c>
      <c r="L267" s="133">
        <v>0</v>
      </c>
      <c r="M267" s="45">
        <v>0</v>
      </c>
    </row>
    <row r="268" spans="1:13" x14ac:dyDescent="0.25">
      <c r="A268" s="812" t="s">
        <v>1996</v>
      </c>
      <c r="B268" s="812">
        <v>14</v>
      </c>
      <c r="C268" s="608">
        <v>39483</v>
      </c>
      <c r="D268" s="812">
        <v>99774</v>
      </c>
      <c r="E268" s="812" t="s">
        <v>2044</v>
      </c>
      <c r="F268" s="133">
        <v>0</v>
      </c>
      <c r="G268" s="133">
        <v>0</v>
      </c>
      <c r="H268" s="133">
        <v>0</v>
      </c>
      <c r="I268" s="133">
        <v>0</v>
      </c>
      <c r="J268" s="133">
        <v>0</v>
      </c>
      <c r="K268" s="133">
        <v>0</v>
      </c>
      <c r="L268" s="133">
        <v>0</v>
      </c>
      <c r="M268" s="45">
        <v>0</v>
      </c>
    </row>
    <row r="269" spans="1:13" x14ac:dyDescent="0.25">
      <c r="A269" s="812" t="s">
        <v>1996</v>
      </c>
      <c r="B269" s="812">
        <v>14</v>
      </c>
      <c r="C269" s="608">
        <v>39483</v>
      </c>
      <c r="D269" s="812">
        <v>99775</v>
      </c>
      <c r="E269" s="812" t="s">
        <v>1602</v>
      </c>
      <c r="F269" s="133">
        <v>9.8009395201866623E-5</v>
      </c>
      <c r="G269" s="133">
        <v>2.3913387497829183E-3</v>
      </c>
      <c r="H269" s="133">
        <v>1.5406613554004786E-3</v>
      </c>
      <c r="I269" s="133">
        <v>7.1471088205784291E-5</v>
      </c>
      <c r="J269" s="133">
        <v>7.1471088205784291E-5</v>
      </c>
      <c r="K269" s="133">
        <v>4.5667495639063993E-5</v>
      </c>
      <c r="L269" s="133">
        <v>1.395921985987129E-4</v>
      </c>
      <c r="M269" s="45">
        <v>37.848658694241117</v>
      </c>
    </row>
    <row r="270" spans="1:13" x14ac:dyDescent="0.25">
      <c r="A270" s="812" t="s">
        <v>1996</v>
      </c>
      <c r="B270" s="812">
        <v>14</v>
      </c>
      <c r="C270" s="608">
        <v>39483</v>
      </c>
      <c r="D270" s="812">
        <v>99790</v>
      </c>
      <c r="E270" s="812" t="s">
        <v>2045</v>
      </c>
      <c r="F270" s="133">
        <v>0</v>
      </c>
      <c r="G270" s="133">
        <v>0</v>
      </c>
      <c r="H270" s="133">
        <v>0</v>
      </c>
      <c r="I270" s="133">
        <v>0</v>
      </c>
      <c r="J270" s="133">
        <v>0</v>
      </c>
      <c r="K270" s="133">
        <v>0</v>
      </c>
      <c r="L270" s="133">
        <v>0</v>
      </c>
      <c r="M270" s="45">
        <v>0</v>
      </c>
    </row>
    <row r="271" spans="1:13" x14ac:dyDescent="0.25">
      <c r="A271" s="812" t="s">
        <v>1996</v>
      </c>
      <c r="B271" s="812">
        <v>15</v>
      </c>
      <c r="C271" s="608">
        <v>39484</v>
      </c>
      <c r="D271" s="812">
        <v>99701</v>
      </c>
      <c r="E271" s="812" t="s">
        <v>2031</v>
      </c>
      <c r="F271" s="133">
        <v>1.3167349584316181</v>
      </c>
      <c r="G271" s="133">
        <v>1.0384275312701912</v>
      </c>
      <c r="H271" s="133">
        <v>1.3316162677371579</v>
      </c>
      <c r="I271" s="133">
        <v>0.37077343917620426</v>
      </c>
      <c r="J271" s="133">
        <v>0.37077343917620426</v>
      </c>
      <c r="K271" s="133">
        <v>2.7064848207714313E-2</v>
      </c>
      <c r="L271" s="133">
        <v>3.6830860872624718</v>
      </c>
      <c r="M271" s="45">
        <v>19006.404040800986</v>
      </c>
    </row>
    <row r="272" spans="1:13" x14ac:dyDescent="0.25">
      <c r="A272" s="812" t="s">
        <v>1996</v>
      </c>
      <c r="B272" s="812">
        <v>15</v>
      </c>
      <c r="C272" s="608">
        <v>39484</v>
      </c>
      <c r="D272" s="812">
        <v>99702</v>
      </c>
      <c r="E272" s="812" t="s">
        <v>2032</v>
      </c>
      <c r="F272" s="133">
        <v>0</v>
      </c>
      <c r="G272" s="133">
        <v>0</v>
      </c>
      <c r="H272" s="133">
        <v>0</v>
      </c>
      <c r="I272" s="133">
        <v>0</v>
      </c>
      <c r="J272" s="133">
        <v>0</v>
      </c>
      <c r="K272" s="133">
        <v>0</v>
      </c>
      <c r="L272" s="133">
        <v>0</v>
      </c>
      <c r="M272" s="45">
        <v>0</v>
      </c>
    </row>
    <row r="273" spans="1:13" x14ac:dyDescent="0.25">
      <c r="A273" s="812" t="s">
        <v>1996</v>
      </c>
      <c r="B273" s="812">
        <v>15</v>
      </c>
      <c r="C273" s="608">
        <v>39484</v>
      </c>
      <c r="D273" s="812">
        <v>99703</v>
      </c>
      <c r="E273" s="812" t="s">
        <v>2033</v>
      </c>
      <c r="F273" s="133">
        <v>3.0526264835040465E-2</v>
      </c>
      <c r="G273" s="133">
        <v>1.9396254589275096E-2</v>
      </c>
      <c r="H273" s="133">
        <v>2.954704026210072E-2</v>
      </c>
      <c r="I273" s="133">
        <v>9.8478519613167826E-3</v>
      </c>
      <c r="J273" s="133">
        <v>9.8478519613167826E-3</v>
      </c>
      <c r="K273" s="133">
        <v>5.4540256911579134E-4</v>
      </c>
      <c r="L273" s="133">
        <v>0.10562908797363967</v>
      </c>
      <c r="M273" s="45">
        <v>372.8778014864148</v>
      </c>
    </row>
    <row r="274" spans="1:13" x14ac:dyDescent="0.25">
      <c r="A274" s="812" t="s">
        <v>1996</v>
      </c>
      <c r="B274" s="812">
        <v>15</v>
      </c>
      <c r="C274" s="608">
        <v>39484</v>
      </c>
      <c r="D274" s="812">
        <v>99705</v>
      </c>
      <c r="E274" s="812" t="s">
        <v>1599</v>
      </c>
      <c r="F274" s="133">
        <v>5.1625915707743211</v>
      </c>
      <c r="G274" s="133">
        <v>1.0075392848228422</v>
      </c>
      <c r="H274" s="133">
        <v>1.6888708772865604</v>
      </c>
      <c r="I274" s="133">
        <v>1.5394188755987863</v>
      </c>
      <c r="J274" s="133">
        <v>1.5394188755987863</v>
      </c>
      <c r="K274" s="133">
        <v>6.8028267542627377E-2</v>
      </c>
      <c r="L274" s="133">
        <v>16.767967908002166</v>
      </c>
      <c r="M274" s="45">
        <v>20485.143292779991</v>
      </c>
    </row>
    <row r="275" spans="1:13" x14ac:dyDescent="0.25">
      <c r="A275" s="812" t="s">
        <v>1996</v>
      </c>
      <c r="B275" s="812">
        <v>15</v>
      </c>
      <c r="C275" s="608">
        <v>39484</v>
      </c>
      <c r="D275" s="812">
        <v>99709</v>
      </c>
      <c r="E275" s="812" t="s">
        <v>1600</v>
      </c>
      <c r="F275" s="133">
        <v>4.5311649013983235</v>
      </c>
      <c r="G275" s="133">
        <v>1.1211810200938763</v>
      </c>
      <c r="H275" s="133">
        <v>1.8507435778306631</v>
      </c>
      <c r="I275" s="133">
        <v>1.186713329339681</v>
      </c>
      <c r="J275" s="133">
        <v>1.186713329339681</v>
      </c>
      <c r="K275" s="133">
        <v>5.6291037396931712E-2</v>
      </c>
      <c r="L275" s="133">
        <v>12.223064887410048</v>
      </c>
      <c r="M275" s="45">
        <v>22708.282825447968</v>
      </c>
    </row>
    <row r="276" spans="1:13" x14ac:dyDescent="0.25">
      <c r="A276" s="812" t="s">
        <v>1996</v>
      </c>
      <c r="B276" s="812">
        <v>15</v>
      </c>
      <c r="C276" s="608">
        <v>39484</v>
      </c>
      <c r="D276" s="812">
        <v>99712</v>
      </c>
      <c r="E276" s="812" t="s">
        <v>1601</v>
      </c>
      <c r="F276" s="133">
        <v>2.3555636035288687</v>
      </c>
      <c r="G276" s="133">
        <v>0.37651344708209822</v>
      </c>
      <c r="H276" s="133">
        <v>0.67075910938702443</v>
      </c>
      <c r="I276" s="133">
        <v>0.62032116191044429</v>
      </c>
      <c r="J276" s="133">
        <v>0.62032116191044429</v>
      </c>
      <c r="K276" s="133">
        <v>2.8438910731277196E-2</v>
      </c>
      <c r="L276" s="133">
        <v>6.4602041908252126</v>
      </c>
      <c r="M276" s="45">
        <v>7778.6437088119574</v>
      </c>
    </row>
    <row r="277" spans="1:13" x14ac:dyDescent="0.25">
      <c r="A277" s="812" t="s">
        <v>1996</v>
      </c>
      <c r="B277" s="812">
        <v>15</v>
      </c>
      <c r="C277" s="608">
        <v>39484</v>
      </c>
      <c r="D277" s="812">
        <v>99714</v>
      </c>
      <c r="E277" s="812" t="s">
        <v>2034</v>
      </c>
      <c r="F277" s="133">
        <v>0</v>
      </c>
      <c r="G277" s="133">
        <v>0</v>
      </c>
      <c r="H277" s="133">
        <v>0</v>
      </c>
      <c r="I277" s="133">
        <v>0</v>
      </c>
      <c r="J277" s="133">
        <v>0</v>
      </c>
      <c r="K277" s="133">
        <v>0</v>
      </c>
      <c r="L277" s="133">
        <v>0</v>
      </c>
      <c r="M277" s="45">
        <v>0</v>
      </c>
    </row>
    <row r="278" spans="1:13" x14ac:dyDescent="0.25">
      <c r="A278" s="812" t="s">
        <v>1996</v>
      </c>
      <c r="B278" s="812">
        <v>15</v>
      </c>
      <c r="C278" s="608">
        <v>39484</v>
      </c>
      <c r="D278" s="812">
        <v>99730</v>
      </c>
      <c r="E278" s="812" t="s">
        <v>2035</v>
      </c>
      <c r="F278" s="133">
        <v>0</v>
      </c>
      <c r="G278" s="133">
        <v>0</v>
      </c>
      <c r="H278" s="133">
        <v>0</v>
      </c>
      <c r="I278" s="133">
        <v>0</v>
      </c>
      <c r="J278" s="133">
        <v>0</v>
      </c>
      <c r="K278" s="133">
        <v>0</v>
      </c>
      <c r="L278" s="133">
        <v>0</v>
      </c>
      <c r="M278" s="45">
        <v>0</v>
      </c>
    </row>
    <row r="279" spans="1:13" x14ac:dyDescent="0.25">
      <c r="A279" s="812" t="s">
        <v>1996</v>
      </c>
      <c r="B279" s="812">
        <v>15</v>
      </c>
      <c r="C279" s="608">
        <v>39484</v>
      </c>
      <c r="D279" s="812">
        <v>99737</v>
      </c>
      <c r="E279" s="812" t="s">
        <v>2036</v>
      </c>
      <c r="F279" s="133">
        <v>0</v>
      </c>
      <c r="G279" s="133">
        <v>0</v>
      </c>
      <c r="H279" s="133">
        <v>0</v>
      </c>
      <c r="I279" s="133">
        <v>0</v>
      </c>
      <c r="J279" s="133">
        <v>0</v>
      </c>
      <c r="K279" s="133">
        <v>0</v>
      </c>
      <c r="L279" s="133">
        <v>0</v>
      </c>
      <c r="M279" s="45">
        <v>0</v>
      </c>
    </row>
    <row r="280" spans="1:13" x14ac:dyDescent="0.25">
      <c r="A280" s="812" t="s">
        <v>1996</v>
      </c>
      <c r="B280" s="812">
        <v>15</v>
      </c>
      <c r="C280" s="608">
        <v>39484</v>
      </c>
      <c r="D280" s="812">
        <v>99743</v>
      </c>
      <c r="E280" s="812" t="s">
        <v>2037</v>
      </c>
      <c r="F280" s="133">
        <v>0</v>
      </c>
      <c r="G280" s="133">
        <v>0</v>
      </c>
      <c r="H280" s="133">
        <v>0</v>
      </c>
      <c r="I280" s="133">
        <v>0</v>
      </c>
      <c r="J280" s="133">
        <v>0</v>
      </c>
      <c r="K280" s="133">
        <v>0</v>
      </c>
      <c r="L280" s="133">
        <v>0</v>
      </c>
      <c r="M280" s="45">
        <v>0</v>
      </c>
    </row>
    <row r="281" spans="1:13" x14ac:dyDescent="0.25">
      <c r="A281" s="812" t="s">
        <v>1996</v>
      </c>
      <c r="B281" s="812">
        <v>15</v>
      </c>
      <c r="C281" s="608">
        <v>39484</v>
      </c>
      <c r="D281" s="812">
        <v>99744</v>
      </c>
      <c r="E281" s="812" t="s">
        <v>2038</v>
      </c>
      <c r="F281" s="133">
        <v>0</v>
      </c>
      <c r="G281" s="133">
        <v>0</v>
      </c>
      <c r="H281" s="133">
        <v>0</v>
      </c>
      <c r="I281" s="133">
        <v>0</v>
      </c>
      <c r="J281" s="133">
        <v>0</v>
      </c>
      <c r="K281" s="133">
        <v>0</v>
      </c>
      <c r="L281" s="133">
        <v>0</v>
      </c>
      <c r="M281" s="45">
        <v>0</v>
      </c>
    </row>
    <row r="282" spans="1:13" x14ac:dyDescent="0.25">
      <c r="A282" s="812" t="s">
        <v>1996</v>
      </c>
      <c r="B282" s="812">
        <v>15</v>
      </c>
      <c r="C282" s="608">
        <v>39484</v>
      </c>
      <c r="D282" s="812">
        <v>99755</v>
      </c>
      <c r="E282" s="812" t="s">
        <v>2039</v>
      </c>
      <c r="F282" s="133">
        <v>0</v>
      </c>
      <c r="G282" s="133">
        <v>0</v>
      </c>
      <c r="H282" s="133">
        <v>0</v>
      </c>
      <c r="I282" s="133">
        <v>0</v>
      </c>
      <c r="J282" s="133">
        <v>0</v>
      </c>
      <c r="K282" s="133">
        <v>0</v>
      </c>
      <c r="L282" s="133">
        <v>0</v>
      </c>
      <c r="M282" s="45">
        <v>0</v>
      </c>
    </row>
    <row r="283" spans="1:13" x14ac:dyDescent="0.25">
      <c r="A283" s="812" t="s">
        <v>1996</v>
      </c>
      <c r="B283" s="812">
        <v>15</v>
      </c>
      <c r="C283" s="608">
        <v>39484</v>
      </c>
      <c r="D283" s="812">
        <v>99756</v>
      </c>
      <c r="E283" s="812" t="s">
        <v>2040</v>
      </c>
      <c r="F283" s="133">
        <v>0</v>
      </c>
      <c r="G283" s="133">
        <v>0</v>
      </c>
      <c r="H283" s="133">
        <v>0</v>
      </c>
      <c r="I283" s="133">
        <v>0</v>
      </c>
      <c r="J283" s="133">
        <v>0</v>
      </c>
      <c r="K283" s="133">
        <v>0</v>
      </c>
      <c r="L283" s="133">
        <v>0</v>
      </c>
      <c r="M283" s="45">
        <v>0</v>
      </c>
    </row>
    <row r="284" spans="1:13" x14ac:dyDescent="0.25">
      <c r="A284" s="812" t="s">
        <v>1996</v>
      </c>
      <c r="B284" s="812">
        <v>15</v>
      </c>
      <c r="C284" s="608">
        <v>39484</v>
      </c>
      <c r="D284" s="812">
        <v>99758</v>
      </c>
      <c r="E284" s="812" t="s">
        <v>2041</v>
      </c>
      <c r="F284" s="133">
        <v>0</v>
      </c>
      <c r="G284" s="133">
        <v>0</v>
      </c>
      <c r="H284" s="133">
        <v>0</v>
      </c>
      <c r="I284" s="133">
        <v>0</v>
      </c>
      <c r="J284" s="133">
        <v>0</v>
      </c>
      <c r="K284" s="133">
        <v>0</v>
      </c>
      <c r="L284" s="133">
        <v>0</v>
      </c>
      <c r="M284" s="45">
        <v>0</v>
      </c>
    </row>
    <row r="285" spans="1:13" x14ac:dyDescent="0.25">
      <c r="A285" s="812" t="s">
        <v>1996</v>
      </c>
      <c r="B285" s="812">
        <v>15</v>
      </c>
      <c r="C285" s="608">
        <v>39484</v>
      </c>
      <c r="D285" s="812">
        <v>99760</v>
      </c>
      <c r="E285" s="812" t="s">
        <v>2042</v>
      </c>
      <c r="F285" s="133">
        <v>0</v>
      </c>
      <c r="G285" s="133">
        <v>0</v>
      </c>
      <c r="H285" s="133">
        <v>0</v>
      </c>
      <c r="I285" s="133">
        <v>0</v>
      </c>
      <c r="J285" s="133">
        <v>0</v>
      </c>
      <c r="K285" s="133">
        <v>0</v>
      </c>
      <c r="L285" s="133">
        <v>0</v>
      </c>
      <c r="M285" s="45">
        <v>0</v>
      </c>
    </row>
    <row r="286" spans="1:13" x14ac:dyDescent="0.25">
      <c r="A286" s="812" t="s">
        <v>1996</v>
      </c>
      <c r="B286" s="812">
        <v>15</v>
      </c>
      <c r="C286" s="608">
        <v>39484</v>
      </c>
      <c r="D286" s="812">
        <v>99767</v>
      </c>
      <c r="E286" s="812" t="s">
        <v>2043</v>
      </c>
      <c r="F286" s="133">
        <v>0</v>
      </c>
      <c r="G286" s="133">
        <v>0</v>
      </c>
      <c r="H286" s="133">
        <v>0</v>
      </c>
      <c r="I286" s="133">
        <v>0</v>
      </c>
      <c r="J286" s="133">
        <v>0</v>
      </c>
      <c r="K286" s="133">
        <v>0</v>
      </c>
      <c r="L286" s="133">
        <v>0</v>
      </c>
      <c r="M286" s="45">
        <v>0</v>
      </c>
    </row>
    <row r="287" spans="1:13" x14ac:dyDescent="0.25">
      <c r="A287" s="812" t="s">
        <v>1996</v>
      </c>
      <c r="B287" s="812">
        <v>15</v>
      </c>
      <c r="C287" s="608">
        <v>39484</v>
      </c>
      <c r="D287" s="812">
        <v>99774</v>
      </c>
      <c r="E287" s="812" t="s">
        <v>2044</v>
      </c>
      <c r="F287" s="133">
        <v>0</v>
      </c>
      <c r="G287" s="133">
        <v>0</v>
      </c>
      <c r="H287" s="133">
        <v>0</v>
      </c>
      <c r="I287" s="133">
        <v>0</v>
      </c>
      <c r="J287" s="133">
        <v>0</v>
      </c>
      <c r="K287" s="133">
        <v>0</v>
      </c>
      <c r="L287" s="133">
        <v>0</v>
      </c>
      <c r="M287" s="45">
        <v>0</v>
      </c>
    </row>
    <row r="288" spans="1:13" x14ac:dyDescent="0.25">
      <c r="A288" s="812" t="s">
        <v>1996</v>
      </c>
      <c r="B288" s="812">
        <v>15</v>
      </c>
      <c r="C288" s="608">
        <v>39484</v>
      </c>
      <c r="D288" s="812">
        <v>99775</v>
      </c>
      <c r="E288" s="812" t="s">
        <v>1602</v>
      </c>
      <c r="F288" s="133">
        <v>9.8009395201866569E-5</v>
      </c>
      <c r="G288" s="133">
        <v>2.3913387497829178E-3</v>
      </c>
      <c r="H288" s="133">
        <v>1.5406613554004782E-3</v>
      </c>
      <c r="I288" s="133">
        <v>7.1471088205784291E-5</v>
      </c>
      <c r="J288" s="133">
        <v>7.1471088205784291E-5</v>
      </c>
      <c r="K288" s="133">
        <v>4.5667495639063986E-5</v>
      </c>
      <c r="L288" s="133">
        <v>1.395921985987129E-4</v>
      </c>
      <c r="M288" s="45">
        <v>37.848658694241117</v>
      </c>
    </row>
    <row r="289" spans="1:13" x14ac:dyDescent="0.25">
      <c r="A289" s="812" t="s">
        <v>1996</v>
      </c>
      <c r="B289" s="812">
        <v>15</v>
      </c>
      <c r="C289" s="608">
        <v>39484</v>
      </c>
      <c r="D289" s="812">
        <v>99790</v>
      </c>
      <c r="E289" s="812" t="s">
        <v>2045</v>
      </c>
      <c r="F289" s="133">
        <v>0</v>
      </c>
      <c r="G289" s="133">
        <v>0</v>
      </c>
      <c r="H289" s="133">
        <v>0</v>
      </c>
      <c r="I289" s="133">
        <v>0</v>
      </c>
      <c r="J289" s="133">
        <v>0</v>
      </c>
      <c r="K289" s="133">
        <v>0</v>
      </c>
      <c r="L289" s="133">
        <v>0</v>
      </c>
      <c r="M289" s="45">
        <v>0</v>
      </c>
    </row>
    <row r="290" spans="1:13" x14ac:dyDescent="0.25">
      <c r="A290" s="812" t="s">
        <v>1996</v>
      </c>
      <c r="B290" s="812">
        <v>16</v>
      </c>
      <c r="C290" s="608">
        <v>39485</v>
      </c>
      <c r="D290" s="812">
        <v>99701</v>
      </c>
      <c r="E290" s="812" t="s">
        <v>2031</v>
      </c>
      <c r="F290" s="133">
        <v>1.3316740129828064</v>
      </c>
      <c r="G290" s="133">
        <v>1.047783088093027</v>
      </c>
      <c r="H290" s="133">
        <v>1.3439268206543702</v>
      </c>
      <c r="I290" s="133">
        <v>0.37464224224275083</v>
      </c>
      <c r="J290" s="133">
        <v>0.37464224224275083</v>
      </c>
      <c r="K290" s="133">
        <v>2.7236542887588321E-2</v>
      </c>
      <c r="L290" s="133">
        <v>3.7210886184559064</v>
      </c>
      <c r="M290" s="45">
        <v>19174.745830086929</v>
      </c>
    </row>
    <row r="291" spans="1:13" x14ac:dyDescent="0.25">
      <c r="A291" s="812" t="s">
        <v>1996</v>
      </c>
      <c r="B291" s="812">
        <v>16</v>
      </c>
      <c r="C291" s="608">
        <v>39485</v>
      </c>
      <c r="D291" s="812">
        <v>99702</v>
      </c>
      <c r="E291" s="812" t="s">
        <v>2032</v>
      </c>
      <c r="F291" s="133">
        <v>0</v>
      </c>
      <c r="G291" s="133">
        <v>0</v>
      </c>
      <c r="H291" s="133">
        <v>0</v>
      </c>
      <c r="I291" s="133">
        <v>0</v>
      </c>
      <c r="J291" s="133">
        <v>0</v>
      </c>
      <c r="K291" s="133">
        <v>0</v>
      </c>
      <c r="L291" s="133">
        <v>0</v>
      </c>
      <c r="M291" s="45">
        <v>0</v>
      </c>
    </row>
    <row r="292" spans="1:13" x14ac:dyDescent="0.25">
      <c r="A292" s="812" t="s">
        <v>1996</v>
      </c>
      <c r="B292" s="812">
        <v>16</v>
      </c>
      <c r="C292" s="608">
        <v>39485</v>
      </c>
      <c r="D292" s="812">
        <v>99703</v>
      </c>
      <c r="E292" s="812" t="s">
        <v>2033</v>
      </c>
      <c r="F292" s="133">
        <v>3.0803618551901991E-2</v>
      </c>
      <c r="G292" s="133">
        <v>1.9555685724758444E-2</v>
      </c>
      <c r="H292" s="133">
        <v>2.9781686223278037E-2</v>
      </c>
      <c r="I292" s="133">
        <v>9.9338318679081002E-3</v>
      </c>
      <c r="J292" s="133">
        <v>9.9338318679081002E-3</v>
      </c>
      <c r="K292" s="133">
        <v>5.490154165775946E-4</v>
      </c>
      <c r="L292" s="133">
        <v>0.10655525028106969</v>
      </c>
      <c r="M292" s="45">
        <v>375.84255196277746</v>
      </c>
    </row>
    <row r="293" spans="1:13" x14ac:dyDescent="0.25">
      <c r="A293" s="812" t="s">
        <v>1996</v>
      </c>
      <c r="B293" s="812">
        <v>16</v>
      </c>
      <c r="C293" s="608">
        <v>39485</v>
      </c>
      <c r="D293" s="812">
        <v>99705</v>
      </c>
      <c r="E293" s="812" t="s">
        <v>1599</v>
      </c>
      <c r="F293" s="133">
        <v>5.2026209501983729</v>
      </c>
      <c r="G293" s="133">
        <v>1.0144885787377371</v>
      </c>
      <c r="H293" s="133">
        <v>1.7002140165067792</v>
      </c>
      <c r="I293" s="133">
        <v>1.5504193939188931</v>
      </c>
      <c r="J293" s="133">
        <v>1.5504193939188931</v>
      </c>
      <c r="K293" s="133">
        <v>6.8517993023504059E-2</v>
      </c>
      <c r="L293" s="133">
        <v>16.886712843860632</v>
      </c>
      <c r="M293" s="45">
        <v>20623.053235529875</v>
      </c>
    </row>
    <row r="294" spans="1:13" x14ac:dyDescent="0.25">
      <c r="A294" s="812" t="s">
        <v>1996</v>
      </c>
      <c r="B294" s="812">
        <v>16</v>
      </c>
      <c r="C294" s="608">
        <v>39485</v>
      </c>
      <c r="D294" s="812">
        <v>99709</v>
      </c>
      <c r="E294" s="812" t="s">
        <v>1600</v>
      </c>
      <c r="F294" s="133">
        <v>4.7129886261763536</v>
      </c>
      <c r="G294" s="133">
        <v>1.1480042832271047</v>
      </c>
      <c r="H294" s="133">
        <v>1.8981295152040971</v>
      </c>
      <c r="I294" s="133">
        <v>1.2320686772753517</v>
      </c>
      <c r="J294" s="133">
        <v>1.2320686772753517</v>
      </c>
      <c r="K294" s="133">
        <v>5.8231281978639179E-2</v>
      </c>
      <c r="L294" s="133">
        <v>12.691940422429386</v>
      </c>
      <c r="M294" s="45">
        <v>23265.036931906492</v>
      </c>
    </row>
    <row r="295" spans="1:13" x14ac:dyDescent="0.25">
      <c r="A295" s="812" t="s">
        <v>1996</v>
      </c>
      <c r="B295" s="812">
        <v>16</v>
      </c>
      <c r="C295" s="608">
        <v>39485</v>
      </c>
      <c r="D295" s="812">
        <v>99712</v>
      </c>
      <c r="E295" s="812" t="s">
        <v>1601</v>
      </c>
      <c r="F295" s="133">
        <v>2.5188921142228873</v>
      </c>
      <c r="G295" s="133">
        <v>0.39664160383796865</v>
      </c>
      <c r="H295" s="133">
        <v>0.70759474086916108</v>
      </c>
      <c r="I295" s="133">
        <v>0.66065916097748334</v>
      </c>
      <c r="J295" s="133">
        <v>0.66065916097748334</v>
      </c>
      <c r="K295" s="133">
        <v>3.0287003813405065E-2</v>
      </c>
      <c r="L295" s="133">
        <v>6.8777498697825692</v>
      </c>
      <c r="M295" s="45">
        <v>8194.970071933807</v>
      </c>
    </row>
    <row r="296" spans="1:13" x14ac:dyDescent="0.25">
      <c r="A296" s="812" t="s">
        <v>1996</v>
      </c>
      <c r="B296" s="812">
        <v>16</v>
      </c>
      <c r="C296" s="608">
        <v>39485</v>
      </c>
      <c r="D296" s="812">
        <v>99714</v>
      </c>
      <c r="E296" s="812" t="s">
        <v>2034</v>
      </c>
      <c r="F296" s="133">
        <v>0</v>
      </c>
      <c r="G296" s="133">
        <v>0</v>
      </c>
      <c r="H296" s="133">
        <v>0</v>
      </c>
      <c r="I296" s="133">
        <v>0</v>
      </c>
      <c r="J296" s="133">
        <v>0</v>
      </c>
      <c r="K296" s="133">
        <v>0</v>
      </c>
      <c r="L296" s="133">
        <v>0</v>
      </c>
      <c r="M296" s="45">
        <v>0</v>
      </c>
    </row>
    <row r="297" spans="1:13" x14ac:dyDescent="0.25">
      <c r="A297" s="812" t="s">
        <v>1996</v>
      </c>
      <c r="B297" s="812">
        <v>16</v>
      </c>
      <c r="C297" s="608">
        <v>39485</v>
      </c>
      <c r="D297" s="812">
        <v>99730</v>
      </c>
      <c r="E297" s="812" t="s">
        <v>2035</v>
      </c>
      <c r="F297" s="133">
        <v>0</v>
      </c>
      <c r="G297" s="133">
        <v>0</v>
      </c>
      <c r="H297" s="133">
        <v>0</v>
      </c>
      <c r="I297" s="133">
        <v>0</v>
      </c>
      <c r="J297" s="133">
        <v>0</v>
      </c>
      <c r="K297" s="133">
        <v>0</v>
      </c>
      <c r="L297" s="133">
        <v>0</v>
      </c>
      <c r="M297" s="45">
        <v>0</v>
      </c>
    </row>
    <row r="298" spans="1:13" x14ac:dyDescent="0.25">
      <c r="A298" s="812" t="s">
        <v>1996</v>
      </c>
      <c r="B298" s="812">
        <v>16</v>
      </c>
      <c r="C298" s="608">
        <v>39485</v>
      </c>
      <c r="D298" s="812">
        <v>99737</v>
      </c>
      <c r="E298" s="812" t="s">
        <v>2036</v>
      </c>
      <c r="F298" s="133">
        <v>0</v>
      </c>
      <c r="G298" s="133">
        <v>0</v>
      </c>
      <c r="H298" s="133">
        <v>0</v>
      </c>
      <c r="I298" s="133">
        <v>0</v>
      </c>
      <c r="J298" s="133">
        <v>0</v>
      </c>
      <c r="K298" s="133">
        <v>0</v>
      </c>
      <c r="L298" s="133">
        <v>0</v>
      </c>
      <c r="M298" s="45">
        <v>0</v>
      </c>
    </row>
    <row r="299" spans="1:13" x14ac:dyDescent="0.25">
      <c r="A299" s="812" t="s">
        <v>1996</v>
      </c>
      <c r="B299" s="812">
        <v>16</v>
      </c>
      <c r="C299" s="608">
        <v>39485</v>
      </c>
      <c r="D299" s="812">
        <v>99743</v>
      </c>
      <c r="E299" s="812" t="s">
        <v>2037</v>
      </c>
      <c r="F299" s="133">
        <v>0</v>
      </c>
      <c r="G299" s="133">
        <v>0</v>
      </c>
      <c r="H299" s="133">
        <v>0</v>
      </c>
      <c r="I299" s="133">
        <v>0</v>
      </c>
      <c r="J299" s="133">
        <v>0</v>
      </c>
      <c r="K299" s="133">
        <v>0</v>
      </c>
      <c r="L299" s="133">
        <v>0</v>
      </c>
      <c r="M299" s="45">
        <v>0</v>
      </c>
    </row>
    <row r="300" spans="1:13" x14ac:dyDescent="0.25">
      <c r="A300" s="812" t="s">
        <v>1996</v>
      </c>
      <c r="B300" s="812">
        <v>16</v>
      </c>
      <c r="C300" s="608">
        <v>39485</v>
      </c>
      <c r="D300" s="812">
        <v>99744</v>
      </c>
      <c r="E300" s="812" t="s">
        <v>2038</v>
      </c>
      <c r="F300" s="133">
        <v>0</v>
      </c>
      <c r="G300" s="133">
        <v>0</v>
      </c>
      <c r="H300" s="133">
        <v>0</v>
      </c>
      <c r="I300" s="133">
        <v>0</v>
      </c>
      <c r="J300" s="133">
        <v>0</v>
      </c>
      <c r="K300" s="133">
        <v>0</v>
      </c>
      <c r="L300" s="133">
        <v>0</v>
      </c>
      <c r="M300" s="45">
        <v>0</v>
      </c>
    </row>
    <row r="301" spans="1:13" x14ac:dyDescent="0.25">
      <c r="A301" s="812" t="s">
        <v>1996</v>
      </c>
      <c r="B301" s="812">
        <v>16</v>
      </c>
      <c r="C301" s="608">
        <v>39485</v>
      </c>
      <c r="D301" s="812">
        <v>99755</v>
      </c>
      <c r="E301" s="812" t="s">
        <v>2039</v>
      </c>
      <c r="F301" s="133">
        <v>0</v>
      </c>
      <c r="G301" s="133">
        <v>0</v>
      </c>
      <c r="H301" s="133">
        <v>0</v>
      </c>
      <c r="I301" s="133">
        <v>0</v>
      </c>
      <c r="J301" s="133">
        <v>0</v>
      </c>
      <c r="K301" s="133">
        <v>0</v>
      </c>
      <c r="L301" s="133">
        <v>0</v>
      </c>
      <c r="M301" s="45">
        <v>0</v>
      </c>
    </row>
    <row r="302" spans="1:13" x14ac:dyDescent="0.25">
      <c r="A302" s="812" t="s">
        <v>1996</v>
      </c>
      <c r="B302" s="812">
        <v>16</v>
      </c>
      <c r="C302" s="608">
        <v>39485</v>
      </c>
      <c r="D302" s="812">
        <v>99756</v>
      </c>
      <c r="E302" s="812" t="s">
        <v>2040</v>
      </c>
      <c r="F302" s="133">
        <v>0</v>
      </c>
      <c r="G302" s="133">
        <v>0</v>
      </c>
      <c r="H302" s="133">
        <v>0</v>
      </c>
      <c r="I302" s="133">
        <v>0</v>
      </c>
      <c r="J302" s="133">
        <v>0</v>
      </c>
      <c r="K302" s="133">
        <v>0</v>
      </c>
      <c r="L302" s="133">
        <v>0</v>
      </c>
      <c r="M302" s="45">
        <v>0</v>
      </c>
    </row>
    <row r="303" spans="1:13" x14ac:dyDescent="0.25">
      <c r="A303" s="812" t="s">
        <v>1996</v>
      </c>
      <c r="B303" s="812">
        <v>16</v>
      </c>
      <c r="C303" s="608">
        <v>39485</v>
      </c>
      <c r="D303" s="812">
        <v>99758</v>
      </c>
      <c r="E303" s="812" t="s">
        <v>2041</v>
      </c>
      <c r="F303" s="133">
        <v>0</v>
      </c>
      <c r="G303" s="133">
        <v>0</v>
      </c>
      <c r="H303" s="133">
        <v>0</v>
      </c>
      <c r="I303" s="133">
        <v>0</v>
      </c>
      <c r="J303" s="133">
        <v>0</v>
      </c>
      <c r="K303" s="133">
        <v>0</v>
      </c>
      <c r="L303" s="133">
        <v>0</v>
      </c>
      <c r="M303" s="45">
        <v>0</v>
      </c>
    </row>
    <row r="304" spans="1:13" x14ac:dyDescent="0.25">
      <c r="A304" s="812" t="s">
        <v>1996</v>
      </c>
      <c r="B304" s="812">
        <v>16</v>
      </c>
      <c r="C304" s="608">
        <v>39485</v>
      </c>
      <c r="D304" s="812">
        <v>99760</v>
      </c>
      <c r="E304" s="812" t="s">
        <v>2042</v>
      </c>
      <c r="F304" s="133">
        <v>0</v>
      </c>
      <c r="G304" s="133">
        <v>0</v>
      </c>
      <c r="H304" s="133">
        <v>0</v>
      </c>
      <c r="I304" s="133">
        <v>0</v>
      </c>
      <c r="J304" s="133">
        <v>0</v>
      </c>
      <c r="K304" s="133">
        <v>0</v>
      </c>
      <c r="L304" s="133">
        <v>0</v>
      </c>
      <c r="M304" s="45">
        <v>0</v>
      </c>
    </row>
    <row r="305" spans="1:13" x14ac:dyDescent="0.25">
      <c r="A305" s="812" t="s">
        <v>1996</v>
      </c>
      <c r="B305" s="812">
        <v>16</v>
      </c>
      <c r="C305" s="608">
        <v>39485</v>
      </c>
      <c r="D305" s="812">
        <v>99767</v>
      </c>
      <c r="E305" s="812" t="s">
        <v>2043</v>
      </c>
      <c r="F305" s="133">
        <v>0</v>
      </c>
      <c r="G305" s="133">
        <v>0</v>
      </c>
      <c r="H305" s="133">
        <v>0</v>
      </c>
      <c r="I305" s="133">
        <v>0</v>
      </c>
      <c r="J305" s="133">
        <v>0</v>
      </c>
      <c r="K305" s="133">
        <v>0</v>
      </c>
      <c r="L305" s="133">
        <v>0</v>
      </c>
      <c r="M305" s="45">
        <v>0</v>
      </c>
    </row>
    <row r="306" spans="1:13" x14ac:dyDescent="0.25">
      <c r="A306" s="812" t="s">
        <v>1996</v>
      </c>
      <c r="B306" s="812">
        <v>16</v>
      </c>
      <c r="C306" s="608">
        <v>39485</v>
      </c>
      <c r="D306" s="812">
        <v>99774</v>
      </c>
      <c r="E306" s="812" t="s">
        <v>2044</v>
      </c>
      <c r="F306" s="133">
        <v>0</v>
      </c>
      <c r="G306" s="133">
        <v>0</v>
      </c>
      <c r="H306" s="133">
        <v>0</v>
      </c>
      <c r="I306" s="133">
        <v>0</v>
      </c>
      <c r="J306" s="133">
        <v>0</v>
      </c>
      <c r="K306" s="133">
        <v>0</v>
      </c>
      <c r="L306" s="133">
        <v>0</v>
      </c>
      <c r="M306" s="45">
        <v>0</v>
      </c>
    </row>
    <row r="307" spans="1:13" x14ac:dyDescent="0.25">
      <c r="A307" s="812" t="s">
        <v>1996</v>
      </c>
      <c r="B307" s="812">
        <v>16</v>
      </c>
      <c r="C307" s="608">
        <v>39485</v>
      </c>
      <c r="D307" s="812">
        <v>99775</v>
      </c>
      <c r="E307" s="812" t="s">
        <v>1602</v>
      </c>
      <c r="F307" s="133">
        <v>9.8855139177721595E-5</v>
      </c>
      <c r="G307" s="133">
        <v>2.4126899300990334E-3</v>
      </c>
      <c r="H307" s="133">
        <v>1.5557533185892561E-3</v>
      </c>
      <c r="I307" s="133">
        <v>7.2012693039439206E-5</v>
      </c>
      <c r="J307" s="133">
        <v>7.2012693039439206E-5</v>
      </c>
      <c r="K307" s="133">
        <v>4.5696552738389575E-5</v>
      </c>
      <c r="L307" s="133">
        <v>1.4012342267305609E-4</v>
      </c>
      <c r="M307" s="45">
        <v>38.177229635772441</v>
      </c>
    </row>
    <row r="308" spans="1:13" x14ac:dyDescent="0.25">
      <c r="A308" s="812" t="s">
        <v>1996</v>
      </c>
      <c r="B308" s="812">
        <v>16</v>
      </c>
      <c r="C308" s="608">
        <v>39485</v>
      </c>
      <c r="D308" s="812">
        <v>99790</v>
      </c>
      <c r="E308" s="812" t="s">
        <v>2045</v>
      </c>
      <c r="F308" s="133">
        <v>0</v>
      </c>
      <c r="G308" s="133">
        <v>0</v>
      </c>
      <c r="H308" s="133">
        <v>0</v>
      </c>
      <c r="I308" s="133">
        <v>0</v>
      </c>
      <c r="J308" s="133">
        <v>0</v>
      </c>
      <c r="K308" s="133">
        <v>0</v>
      </c>
      <c r="L308" s="133">
        <v>0</v>
      </c>
      <c r="M308" s="45">
        <v>0</v>
      </c>
    </row>
    <row r="309" spans="1:13" x14ac:dyDescent="0.25">
      <c r="A309" s="812" t="s">
        <v>1996</v>
      </c>
      <c r="B309" s="812">
        <v>17</v>
      </c>
      <c r="C309" s="608">
        <v>39486</v>
      </c>
      <c r="D309" s="812">
        <v>99701</v>
      </c>
      <c r="E309" s="812" t="s">
        <v>2031</v>
      </c>
      <c r="F309" s="133">
        <v>1.2956908317882159</v>
      </c>
      <c r="G309" s="133">
        <v>1.0217164414207267</v>
      </c>
      <c r="H309" s="133">
        <v>1.3114981310578839</v>
      </c>
      <c r="I309" s="133">
        <v>0.36505890750465614</v>
      </c>
      <c r="J309" s="133">
        <v>0.36505890750465614</v>
      </c>
      <c r="K309" s="133">
        <v>2.68157082806691E-2</v>
      </c>
      <c r="L309" s="133">
        <v>3.6267637898741376</v>
      </c>
      <c r="M309" s="45">
        <v>18714.856308714425</v>
      </c>
    </row>
    <row r="310" spans="1:13" x14ac:dyDescent="0.25">
      <c r="A310" s="812" t="s">
        <v>1996</v>
      </c>
      <c r="B310" s="812">
        <v>17</v>
      </c>
      <c r="C310" s="608">
        <v>39486</v>
      </c>
      <c r="D310" s="812">
        <v>99702</v>
      </c>
      <c r="E310" s="812" t="s">
        <v>2032</v>
      </c>
      <c r="F310" s="133">
        <v>0</v>
      </c>
      <c r="G310" s="133">
        <v>0</v>
      </c>
      <c r="H310" s="133">
        <v>0</v>
      </c>
      <c r="I310" s="133">
        <v>0</v>
      </c>
      <c r="J310" s="133">
        <v>0</v>
      </c>
      <c r="K310" s="133">
        <v>0</v>
      </c>
      <c r="L310" s="133">
        <v>0</v>
      </c>
      <c r="M310" s="45">
        <v>0</v>
      </c>
    </row>
    <row r="311" spans="1:13" x14ac:dyDescent="0.25">
      <c r="A311" s="812" t="s">
        <v>1996</v>
      </c>
      <c r="B311" s="812">
        <v>17</v>
      </c>
      <c r="C311" s="608">
        <v>39486</v>
      </c>
      <c r="D311" s="812">
        <v>99703</v>
      </c>
      <c r="E311" s="812" t="s">
        <v>2033</v>
      </c>
      <c r="F311" s="133">
        <v>3.0101637976677129E-2</v>
      </c>
      <c r="G311" s="133">
        <v>1.911681827467324E-2</v>
      </c>
      <c r="H311" s="133">
        <v>2.9162190868401338E-2</v>
      </c>
      <c r="I311" s="133">
        <v>9.7152061309664101E-3</v>
      </c>
      <c r="J311" s="133">
        <v>9.7152061309664101E-3</v>
      </c>
      <c r="K311" s="133">
        <v>5.3982071886697668E-4</v>
      </c>
      <c r="L311" s="133">
        <v>0.10421003538763178</v>
      </c>
      <c r="M311" s="45">
        <v>367.82073865253369</v>
      </c>
    </row>
    <row r="312" spans="1:13" x14ac:dyDescent="0.25">
      <c r="A312" s="812" t="s">
        <v>1996</v>
      </c>
      <c r="B312" s="812">
        <v>17</v>
      </c>
      <c r="C312" s="608">
        <v>39486</v>
      </c>
      <c r="D312" s="812">
        <v>99705</v>
      </c>
      <c r="E312" s="812" t="s">
        <v>1599</v>
      </c>
      <c r="F312" s="133">
        <v>5.0665738488277148</v>
      </c>
      <c r="G312" s="133">
        <v>0.98987111367556191</v>
      </c>
      <c r="H312" s="133">
        <v>1.6595221440505721</v>
      </c>
      <c r="I312" s="133">
        <v>1.5110441393426555</v>
      </c>
      <c r="J312" s="133">
        <v>1.5110441393426555</v>
      </c>
      <c r="K312" s="133">
        <v>6.6792130093255894E-2</v>
      </c>
      <c r="L312" s="133">
        <v>16.452549866944391</v>
      </c>
      <c r="M312" s="45">
        <v>20131.176724717639</v>
      </c>
    </row>
    <row r="313" spans="1:13" x14ac:dyDescent="0.25">
      <c r="A313" s="812" t="s">
        <v>1996</v>
      </c>
      <c r="B313" s="812">
        <v>17</v>
      </c>
      <c r="C313" s="608">
        <v>39486</v>
      </c>
      <c r="D313" s="812">
        <v>99709</v>
      </c>
      <c r="E313" s="812" t="s">
        <v>1600</v>
      </c>
      <c r="F313" s="133">
        <v>4.5552023863650026</v>
      </c>
      <c r="G313" s="133">
        <v>1.1170976914106299</v>
      </c>
      <c r="H313" s="133">
        <v>1.8470614400083205</v>
      </c>
      <c r="I313" s="133">
        <v>1.1940090100816012</v>
      </c>
      <c r="J313" s="133">
        <v>1.1940090100816012</v>
      </c>
      <c r="K313" s="133">
        <v>5.6566902608742843E-2</v>
      </c>
      <c r="L313" s="133">
        <v>12.308415083275362</v>
      </c>
      <c r="M313" s="45">
        <v>22646.642188345348</v>
      </c>
    </row>
    <row r="314" spans="1:13" x14ac:dyDescent="0.25">
      <c r="A314" s="812" t="s">
        <v>1996</v>
      </c>
      <c r="B314" s="812">
        <v>17</v>
      </c>
      <c r="C314" s="608">
        <v>39486</v>
      </c>
      <c r="D314" s="812">
        <v>99712</v>
      </c>
      <c r="E314" s="812" t="s">
        <v>1601</v>
      </c>
      <c r="F314" s="133">
        <v>2.4457709695352428</v>
      </c>
      <c r="G314" s="133">
        <v>0.38740463609597009</v>
      </c>
      <c r="H314" s="133">
        <v>0.69132957765849701</v>
      </c>
      <c r="I314" s="133">
        <v>0.64332064761704766</v>
      </c>
      <c r="J314" s="133">
        <v>0.64332064761704766</v>
      </c>
      <c r="K314" s="133">
        <v>2.9480446248201307E-2</v>
      </c>
      <c r="L314" s="133">
        <v>6.7021676285715452</v>
      </c>
      <c r="M314" s="45">
        <v>8007.3845851265742</v>
      </c>
    </row>
    <row r="315" spans="1:13" x14ac:dyDescent="0.25">
      <c r="A315" s="812" t="s">
        <v>1996</v>
      </c>
      <c r="B315" s="812">
        <v>17</v>
      </c>
      <c r="C315" s="608">
        <v>39486</v>
      </c>
      <c r="D315" s="812">
        <v>99714</v>
      </c>
      <c r="E315" s="812" t="s">
        <v>2034</v>
      </c>
      <c r="F315" s="133">
        <v>0</v>
      </c>
      <c r="G315" s="133">
        <v>0</v>
      </c>
      <c r="H315" s="133">
        <v>0</v>
      </c>
      <c r="I315" s="133">
        <v>0</v>
      </c>
      <c r="J315" s="133">
        <v>0</v>
      </c>
      <c r="K315" s="133">
        <v>0</v>
      </c>
      <c r="L315" s="133">
        <v>0</v>
      </c>
      <c r="M315" s="45">
        <v>0</v>
      </c>
    </row>
    <row r="316" spans="1:13" x14ac:dyDescent="0.25">
      <c r="A316" s="812" t="s">
        <v>1996</v>
      </c>
      <c r="B316" s="812">
        <v>17</v>
      </c>
      <c r="C316" s="608">
        <v>39486</v>
      </c>
      <c r="D316" s="812">
        <v>99730</v>
      </c>
      <c r="E316" s="812" t="s">
        <v>2035</v>
      </c>
      <c r="F316" s="133">
        <v>0</v>
      </c>
      <c r="G316" s="133">
        <v>0</v>
      </c>
      <c r="H316" s="133">
        <v>0</v>
      </c>
      <c r="I316" s="133">
        <v>0</v>
      </c>
      <c r="J316" s="133">
        <v>0</v>
      </c>
      <c r="K316" s="133">
        <v>0</v>
      </c>
      <c r="L316" s="133">
        <v>0</v>
      </c>
      <c r="M316" s="45">
        <v>0</v>
      </c>
    </row>
    <row r="317" spans="1:13" x14ac:dyDescent="0.25">
      <c r="A317" s="812" t="s">
        <v>1996</v>
      </c>
      <c r="B317" s="812">
        <v>17</v>
      </c>
      <c r="C317" s="608">
        <v>39486</v>
      </c>
      <c r="D317" s="812">
        <v>99737</v>
      </c>
      <c r="E317" s="812" t="s">
        <v>2036</v>
      </c>
      <c r="F317" s="133">
        <v>0</v>
      </c>
      <c r="G317" s="133">
        <v>0</v>
      </c>
      <c r="H317" s="133">
        <v>0</v>
      </c>
      <c r="I317" s="133">
        <v>0</v>
      </c>
      <c r="J317" s="133">
        <v>0</v>
      </c>
      <c r="K317" s="133">
        <v>0</v>
      </c>
      <c r="L317" s="133">
        <v>0</v>
      </c>
      <c r="M317" s="45">
        <v>0</v>
      </c>
    </row>
    <row r="318" spans="1:13" x14ac:dyDescent="0.25">
      <c r="A318" s="812" t="s">
        <v>1996</v>
      </c>
      <c r="B318" s="812">
        <v>17</v>
      </c>
      <c r="C318" s="608">
        <v>39486</v>
      </c>
      <c r="D318" s="812">
        <v>99743</v>
      </c>
      <c r="E318" s="812" t="s">
        <v>2037</v>
      </c>
      <c r="F318" s="133">
        <v>0</v>
      </c>
      <c r="G318" s="133">
        <v>0</v>
      </c>
      <c r="H318" s="133">
        <v>0</v>
      </c>
      <c r="I318" s="133">
        <v>0</v>
      </c>
      <c r="J318" s="133">
        <v>0</v>
      </c>
      <c r="K318" s="133">
        <v>0</v>
      </c>
      <c r="L318" s="133">
        <v>0</v>
      </c>
      <c r="M318" s="45">
        <v>0</v>
      </c>
    </row>
    <row r="319" spans="1:13" x14ac:dyDescent="0.25">
      <c r="A319" s="812" t="s">
        <v>1996</v>
      </c>
      <c r="B319" s="812">
        <v>17</v>
      </c>
      <c r="C319" s="608">
        <v>39486</v>
      </c>
      <c r="D319" s="812">
        <v>99744</v>
      </c>
      <c r="E319" s="812" t="s">
        <v>2038</v>
      </c>
      <c r="F319" s="133">
        <v>0</v>
      </c>
      <c r="G319" s="133">
        <v>0</v>
      </c>
      <c r="H319" s="133">
        <v>0</v>
      </c>
      <c r="I319" s="133">
        <v>0</v>
      </c>
      <c r="J319" s="133">
        <v>0</v>
      </c>
      <c r="K319" s="133">
        <v>0</v>
      </c>
      <c r="L319" s="133">
        <v>0</v>
      </c>
      <c r="M319" s="45">
        <v>0</v>
      </c>
    </row>
    <row r="320" spans="1:13" x14ac:dyDescent="0.25">
      <c r="A320" s="812" t="s">
        <v>1996</v>
      </c>
      <c r="B320" s="812">
        <v>17</v>
      </c>
      <c r="C320" s="608">
        <v>39486</v>
      </c>
      <c r="D320" s="812">
        <v>99755</v>
      </c>
      <c r="E320" s="812" t="s">
        <v>2039</v>
      </c>
      <c r="F320" s="133">
        <v>0</v>
      </c>
      <c r="G320" s="133">
        <v>0</v>
      </c>
      <c r="H320" s="133">
        <v>0</v>
      </c>
      <c r="I320" s="133">
        <v>0</v>
      </c>
      <c r="J320" s="133">
        <v>0</v>
      </c>
      <c r="K320" s="133">
        <v>0</v>
      </c>
      <c r="L320" s="133">
        <v>0</v>
      </c>
      <c r="M320" s="45">
        <v>0</v>
      </c>
    </row>
    <row r="321" spans="1:13" x14ac:dyDescent="0.25">
      <c r="A321" s="812" t="s">
        <v>1996</v>
      </c>
      <c r="B321" s="812">
        <v>17</v>
      </c>
      <c r="C321" s="608">
        <v>39486</v>
      </c>
      <c r="D321" s="812">
        <v>99756</v>
      </c>
      <c r="E321" s="812" t="s">
        <v>2040</v>
      </c>
      <c r="F321" s="133">
        <v>0</v>
      </c>
      <c r="G321" s="133">
        <v>0</v>
      </c>
      <c r="H321" s="133">
        <v>0</v>
      </c>
      <c r="I321" s="133">
        <v>0</v>
      </c>
      <c r="J321" s="133">
        <v>0</v>
      </c>
      <c r="K321" s="133">
        <v>0</v>
      </c>
      <c r="L321" s="133">
        <v>0</v>
      </c>
      <c r="M321" s="45">
        <v>0</v>
      </c>
    </row>
    <row r="322" spans="1:13" x14ac:dyDescent="0.25">
      <c r="A322" s="812" t="s">
        <v>1996</v>
      </c>
      <c r="B322" s="812">
        <v>17</v>
      </c>
      <c r="C322" s="608">
        <v>39486</v>
      </c>
      <c r="D322" s="812">
        <v>99758</v>
      </c>
      <c r="E322" s="812" t="s">
        <v>2041</v>
      </c>
      <c r="F322" s="133">
        <v>0</v>
      </c>
      <c r="G322" s="133">
        <v>0</v>
      </c>
      <c r="H322" s="133">
        <v>0</v>
      </c>
      <c r="I322" s="133">
        <v>0</v>
      </c>
      <c r="J322" s="133">
        <v>0</v>
      </c>
      <c r="K322" s="133">
        <v>0</v>
      </c>
      <c r="L322" s="133">
        <v>0</v>
      </c>
      <c r="M322" s="45">
        <v>0</v>
      </c>
    </row>
    <row r="323" spans="1:13" x14ac:dyDescent="0.25">
      <c r="A323" s="812" t="s">
        <v>1996</v>
      </c>
      <c r="B323" s="812">
        <v>17</v>
      </c>
      <c r="C323" s="608">
        <v>39486</v>
      </c>
      <c r="D323" s="812">
        <v>99760</v>
      </c>
      <c r="E323" s="812" t="s">
        <v>2042</v>
      </c>
      <c r="F323" s="133">
        <v>0</v>
      </c>
      <c r="G323" s="133">
        <v>0</v>
      </c>
      <c r="H323" s="133">
        <v>0</v>
      </c>
      <c r="I323" s="133">
        <v>0</v>
      </c>
      <c r="J323" s="133">
        <v>0</v>
      </c>
      <c r="K323" s="133">
        <v>0</v>
      </c>
      <c r="L323" s="133">
        <v>0</v>
      </c>
      <c r="M323" s="45">
        <v>0</v>
      </c>
    </row>
    <row r="324" spans="1:13" x14ac:dyDescent="0.25">
      <c r="A324" s="812" t="s">
        <v>1996</v>
      </c>
      <c r="B324" s="812">
        <v>17</v>
      </c>
      <c r="C324" s="608">
        <v>39486</v>
      </c>
      <c r="D324" s="812">
        <v>99767</v>
      </c>
      <c r="E324" s="812" t="s">
        <v>2043</v>
      </c>
      <c r="F324" s="133">
        <v>0</v>
      </c>
      <c r="G324" s="133">
        <v>0</v>
      </c>
      <c r="H324" s="133">
        <v>0</v>
      </c>
      <c r="I324" s="133">
        <v>0</v>
      </c>
      <c r="J324" s="133">
        <v>0</v>
      </c>
      <c r="K324" s="133">
        <v>0</v>
      </c>
      <c r="L324" s="133">
        <v>0</v>
      </c>
      <c r="M324" s="45">
        <v>0</v>
      </c>
    </row>
    <row r="325" spans="1:13" x14ac:dyDescent="0.25">
      <c r="A325" s="812" t="s">
        <v>1996</v>
      </c>
      <c r="B325" s="812">
        <v>17</v>
      </c>
      <c r="C325" s="608">
        <v>39486</v>
      </c>
      <c r="D325" s="812">
        <v>99774</v>
      </c>
      <c r="E325" s="812" t="s">
        <v>2044</v>
      </c>
      <c r="F325" s="133">
        <v>0</v>
      </c>
      <c r="G325" s="133">
        <v>0</v>
      </c>
      <c r="H325" s="133">
        <v>0</v>
      </c>
      <c r="I325" s="133">
        <v>0</v>
      </c>
      <c r="J325" s="133">
        <v>0</v>
      </c>
      <c r="K325" s="133">
        <v>0</v>
      </c>
      <c r="L325" s="133">
        <v>0</v>
      </c>
      <c r="M325" s="45">
        <v>0</v>
      </c>
    </row>
    <row r="326" spans="1:13" x14ac:dyDescent="0.25">
      <c r="A326" s="812" t="s">
        <v>1996</v>
      </c>
      <c r="B326" s="812">
        <v>17</v>
      </c>
      <c r="C326" s="608">
        <v>39486</v>
      </c>
      <c r="D326" s="812">
        <v>99775</v>
      </c>
      <c r="E326" s="812" t="s">
        <v>1602</v>
      </c>
      <c r="F326" s="133">
        <v>9.6317907250156721E-5</v>
      </c>
      <c r="G326" s="133">
        <v>2.3486363891506903E-3</v>
      </c>
      <c r="H326" s="133">
        <v>1.5104774290229253E-3</v>
      </c>
      <c r="I326" s="133">
        <v>7.0387878538474515E-5</v>
      </c>
      <c r="J326" s="133">
        <v>7.0387878538474515E-5</v>
      </c>
      <c r="K326" s="133">
        <v>4.5609381440412828E-5</v>
      </c>
      <c r="L326" s="133">
        <v>1.3852975045002659E-4</v>
      </c>
      <c r="M326" s="45">
        <v>37.191516811178495</v>
      </c>
    </row>
    <row r="327" spans="1:13" x14ac:dyDescent="0.25">
      <c r="A327" s="812" t="s">
        <v>1996</v>
      </c>
      <c r="B327" s="812">
        <v>17</v>
      </c>
      <c r="C327" s="608">
        <v>39486</v>
      </c>
      <c r="D327" s="812">
        <v>99790</v>
      </c>
      <c r="E327" s="812" t="s">
        <v>2045</v>
      </c>
      <c r="F327" s="133">
        <v>0</v>
      </c>
      <c r="G327" s="133">
        <v>0</v>
      </c>
      <c r="H327" s="133">
        <v>0</v>
      </c>
      <c r="I327" s="133">
        <v>0</v>
      </c>
      <c r="J327" s="133">
        <v>0</v>
      </c>
      <c r="K327" s="133">
        <v>0</v>
      </c>
      <c r="L327" s="133">
        <v>0</v>
      </c>
      <c r="M327" s="45">
        <v>0</v>
      </c>
    </row>
    <row r="328" spans="1:13" x14ac:dyDescent="0.25">
      <c r="A328" s="812" t="s">
        <v>1996</v>
      </c>
      <c r="B328" s="812">
        <v>18</v>
      </c>
      <c r="C328" s="608">
        <v>39487</v>
      </c>
      <c r="D328" s="812">
        <v>99701</v>
      </c>
      <c r="E328" s="812" t="s">
        <v>2031</v>
      </c>
      <c r="F328" s="133">
        <v>1.1041725487949678</v>
      </c>
      <c r="G328" s="133">
        <v>0.9441678031546531</v>
      </c>
      <c r="H328" s="133">
        <v>1.1893823947264452</v>
      </c>
      <c r="I328" s="133">
        <v>0.31981320935247481</v>
      </c>
      <c r="J328" s="133">
        <v>0.31981320935247481</v>
      </c>
      <c r="K328" s="133">
        <v>2.4769128588943836E-2</v>
      </c>
      <c r="L328" s="133">
        <v>3.1947875832956614</v>
      </c>
      <c r="M328" s="45">
        <v>17221.297642876372</v>
      </c>
    </row>
    <row r="329" spans="1:13" x14ac:dyDescent="0.25">
      <c r="A329" s="812" t="s">
        <v>1996</v>
      </c>
      <c r="B329" s="812">
        <v>18</v>
      </c>
      <c r="C329" s="608">
        <v>39487</v>
      </c>
      <c r="D329" s="812">
        <v>99702</v>
      </c>
      <c r="E329" s="812" t="s">
        <v>2032</v>
      </c>
      <c r="F329" s="133">
        <v>0</v>
      </c>
      <c r="G329" s="133">
        <v>0</v>
      </c>
      <c r="H329" s="133">
        <v>0</v>
      </c>
      <c r="I329" s="133">
        <v>0</v>
      </c>
      <c r="J329" s="133">
        <v>0</v>
      </c>
      <c r="K329" s="133">
        <v>0</v>
      </c>
      <c r="L329" s="133">
        <v>0</v>
      </c>
      <c r="M329" s="45">
        <v>0</v>
      </c>
    </row>
    <row r="330" spans="1:13" x14ac:dyDescent="0.25">
      <c r="A330" s="812" t="s">
        <v>1996</v>
      </c>
      <c r="B330" s="812">
        <v>18</v>
      </c>
      <c r="C330" s="608">
        <v>39487</v>
      </c>
      <c r="D330" s="812">
        <v>99703</v>
      </c>
      <c r="E330" s="812" t="s">
        <v>2033</v>
      </c>
      <c r="F330" s="133">
        <v>2.5941699901296637E-2</v>
      </c>
      <c r="G330" s="133">
        <v>1.7452389660409288E-2</v>
      </c>
      <c r="H330" s="133">
        <v>2.6196256348108463E-2</v>
      </c>
      <c r="I330" s="133">
        <v>8.5426617791590827E-3</v>
      </c>
      <c r="J330" s="133">
        <v>8.5426617791590827E-3</v>
      </c>
      <c r="K330" s="133">
        <v>4.9039956144852209E-4</v>
      </c>
      <c r="L330" s="133">
        <v>9.1980749830189321E-2</v>
      </c>
      <c r="M330" s="45">
        <v>334.20196878453294</v>
      </c>
    </row>
    <row r="331" spans="1:13" x14ac:dyDescent="0.25">
      <c r="A331" s="812" t="s">
        <v>1996</v>
      </c>
      <c r="B331" s="812">
        <v>18</v>
      </c>
      <c r="C331" s="608">
        <v>39487</v>
      </c>
      <c r="D331" s="812">
        <v>99705</v>
      </c>
      <c r="E331" s="812" t="s">
        <v>1599</v>
      </c>
      <c r="F331" s="133">
        <v>4.1583417558104205</v>
      </c>
      <c r="G331" s="133">
        <v>0.85291918118406818</v>
      </c>
      <c r="H331" s="133">
        <v>1.4175103814286605</v>
      </c>
      <c r="I331" s="133">
        <v>1.2630455319685931</v>
      </c>
      <c r="J331" s="133">
        <v>1.2630455319685931</v>
      </c>
      <c r="K331" s="133">
        <v>5.5997608752044709E-2</v>
      </c>
      <c r="L331" s="133">
        <v>13.816035031855975</v>
      </c>
      <c r="M331" s="45">
        <v>17314.008626121031</v>
      </c>
    </row>
    <row r="332" spans="1:13" x14ac:dyDescent="0.25">
      <c r="A332" s="812" t="s">
        <v>1996</v>
      </c>
      <c r="B332" s="812">
        <v>18</v>
      </c>
      <c r="C332" s="608">
        <v>39487</v>
      </c>
      <c r="D332" s="812">
        <v>99709</v>
      </c>
      <c r="E332" s="812" t="s">
        <v>1600</v>
      </c>
      <c r="F332" s="133">
        <v>3.6859917326055318</v>
      </c>
      <c r="G332" s="133">
        <v>0.98897499963096192</v>
      </c>
      <c r="H332" s="133">
        <v>1.615103525601042</v>
      </c>
      <c r="I332" s="133">
        <v>0.99451263669140344</v>
      </c>
      <c r="J332" s="133">
        <v>0.99451263669140344</v>
      </c>
      <c r="K332" s="133">
        <v>4.7717010357538989E-2</v>
      </c>
      <c r="L332" s="133">
        <v>10.35291768887061</v>
      </c>
      <c r="M332" s="45">
        <v>19984.715453740813</v>
      </c>
    </row>
    <row r="333" spans="1:13" x14ac:dyDescent="0.25">
      <c r="A333" s="812" t="s">
        <v>1996</v>
      </c>
      <c r="B333" s="812">
        <v>18</v>
      </c>
      <c r="C333" s="608">
        <v>39487</v>
      </c>
      <c r="D333" s="812">
        <v>99712</v>
      </c>
      <c r="E333" s="812" t="s">
        <v>1601</v>
      </c>
      <c r="F333" s="133">
        <v>1.9013966193886245</v>
      </c>
      <c r="G333" s="133">
        <v>0.32536085341376925</v>
      </c>
      <c r="H333" s="133">
        <v>0.57815492331422125</v>
      </c>
      <c r="I333" s="133">
        <v>0.51633165941362114</v>
      </c>
      <c r="J333" s="133">
        <v>0.51633165941362114</v>
      </c>
      <c r="K333" s="133">
        <v>2.3621521206624804E-2</v>
      </c>
      <c r="L333" s="133">
        <v>5.4382885159697123</v>
      </c>
      <c r="M333" s="45">
        <v>6727.004114925966</v>
      </c>
    </row>
    <row r="334" spans="1:13" x14ac:dyDescent="0.25">
      <c r="A334" s="812" t="s">
        <v>1996</v>
      </c>
      <c r="B334" s="812">
        <v>18</v>
      </c>
      <c r="C334" s="608">
        <v>39487</v>
      </c>
      <c r="D334" s="812">
        <v>99714</v>
      </c>
      <c r="E334" s="812" t="s">
        <v>2034</v>
      </c>
      <c r="F334" s="133">
        <v>0</v>
      </c>
      <c r="G334" s="133">
        <v>0</v>
      </c>
      <c r="H334" s="133">
        <v>0</v>
      </c>
      <c r="I334" s="133">
        <v>0</v>
      </c>
      <c r="J334" s="133">
        <v>0</v>
      </c>
      <c r="K334" s="133">
        <v>0</v>
      </c>
      <c r="L334" s="133">
        <v>0</v>
      </c>
      <c r="M334" s="45">
        <v>0</v>
      </c>
    </row>
    <row r="335" spans="1:13" x14ac:dyDescent="0.25">
      <c r="A335" s="812" t="s">
        <v>1996</v>
      </c>
      <c r="B335" s="812">
        <v>18</v>
      </c>
      <c r="C335" s="608">
        <v>39487</v>
      </c>
      <c r="D335" s="812">
        <v>99730</v>
      </c>
      <c r="E335" s="812" t="s">
        <v>2035</v>
      </c>
      <c r="F335" s="133">
        <v>0</v>
      </c>
      <c r="G335" s="133">
        <v>0</v>
      </c>
      <c r="H335" s="133">
        <v>0</v>
      </c>
      <c r="I335" s="133">
        <v>0</v>
      </c>
      <c r="J335" s="133">
        <v>0</v>
      </c>
      <c r="K335" s="133">
        <v>0</v>
      </c>
      <c r="L335" s="133">
        <v>0</v>
      </c>
      <c r="M335" s="45">
        <v>0</v>
      </c>
    </row>
    <row r="336" spans="1:13" x14ac:dyDescent="0.25">
      <c r="A336" s="812" t="s">
        <v>1996</v>
      </c>
      <c r="B336" s="812">
        <v>18</v>
      </c>
      <c r="C336" s="608">
        <v>39487</v>
      </c>
      <c r="D336" s="812">
        <v>99737</v>
      </c>
      <c r="E336" s="812" t="s">
        <v>2036</v>
      </c>
      <c r="F336" s="133">
        <v>0</v>
      </c>
      <c r="G336" s="133">
        <v>0</v>
      </c>
      <c r="H336" s="133">
        <v>0</v>
      </c>
      <c r="I336" s="133">
        <v>0</v>
      </c>
      <c r="J336" s="133">
        <v>0</v>
      </c>
      <c r="K336" s="133">
        <v>0</v>
      </c>
      <c r="L336" s="133">
        <v>0</v>
      </c>
      <c r="M336" s="45">
        <v>0</v>
      </c>
    </row>
    <row r="337" spans="1:13" x14ac:dyDescent="0.25">
      <c r="A337" s="812" t="s">
        <v>1996</v>
      </c>
      <c r="B337" s="812">
        <v>18</v>
      </c>
      <c r="C337" s="608">
        <v>39487</v>
      </c>
      <c r="D337" s="812">
        <v>99743</v>
      </c>
      <c r="E337" s="812" t="s">
        <v>2037</v>
      </c>
      <c r="F337" s="133">
        <v>0</v>
      </c>
      <c r="G337" s="133">
        <v>0</v>
      </c>
      <c r="H337" s="133">
        <v>0</v>
      </c>
      <c r="I337" s="133">
        <v>0</v>
      </c>
      <c r="J337" s="133">
        <v>0</v>
      </c>
      <c r="K337" s="133">
        <v>0</v>
      </c>
      <c r="L337" s="133">
        <v>0</v>
      </c>
      <c r="M337" s="45">
        <v>0</v>
      </c>
    </row>
    <row r="338" spans="1:13" x14ac:dyDescent="0.25">
      <c r="A338" s="812" t="s">
        <v>1996</v>
      </c>
      <c r="B338" s="812">
        <v>18</v>
      </c>
      <c r="C338" s="608">
        <v>39487</v>
      </c>
      <c r="D338" s="812">
        <v>99744</v>
      </c>
      <c r="E338" s="812" t="s">
        <v>2038</v>
      </c>
      <c r="F338" s="133">
        <v>0</v>
      </c>
      <c r="G338" s="133">
        <v>0</v>
      </c>
      <c r="H338" s="133">
        <v>0</v>
      </c>
      <c r="I338" s="133">
        <v>0</v>
      </c>
      <c r="J338" s="133">
        <v>0</v>
      </c>
      <c r="K338" s="133">
        <v>0</v>
      </c>
      <c r="L338" s="133">
        <v>0</v>
      </c>
      <c r="M338" s="45">
        <v>0</v>
      </c>
    </row>
    <row r="339" spans="1:13" x14ac:dyDescent="0.25">
      <c r="A339" s="812" t="s">
        <v>1996</v>
      </c>
      <c r="B339" s="812">
        <v>18</v>
      </c>
      <c r="C339" s="608">
        <v>39487</v>
      </c>
      <c r="D339" s="812">
        <v>99755</v>
      </c>
      <c r="E339" s="812" t="s">
        <v>2039</v>
      </c>
      <c r="F339" s="133">
        <v>0</v>
      </c>
      <c r="G339" s="133">
        <v>0</v>
      </c>
      <c r="H339" s="133">
        <v>0</v>
      </c>
      <c r="I339" s="133">
        <v>0</v>
      </c>
      <c r="J339" s="133">
        <v>0</v>
      </c>
      <c r="K339" s="133">
        <v>0</v>
      </c>
      <c r="L339" s="133">
        <v>0</v>
      </c>
      <c r="M339" s="45">
        <v>0</v>
      </c>
    </row>
    <row r="340" spans="1:13" x14ac:dyDescent="0.25">
      <c r="A340" s="812" t="s">
        <v>1996</v>
      </c>
      <c r="B340" s="812">
        <v>18</v>
      </c>
      <c r="C340" s="608">
        <v>39487</v>
      </c>
      <c r="D340" s="812">
        <v>99756</v>
      </c>
      <c r="E340" s="812" t="s">
        <v>2040</v>
      </c>
      <c r="F340" s="133">
        <v>0</v>
      </c>
      <c r="G340" s="133">
        <v>0</v>
      </c>
      <c r="H340" s="133">
        <v>0</v>
      </c>
      <c r="I340" s="133">
        <v>0</v>
      </c>
      <c r="J340" s="133">
        <v>0</v>
      </c>
      <c r="K340" s="133">
        <v>0</v>
      </c>
      <c r="L340" s="133">
        <v>0</v>
      </c>
      <c r="M340" s="45">
        <v>0</v>
      </c>
    </row>
    <row r="341" spans="1:13" x14ac:dyDescent="0.25">
      <c r="A341" s="812" t="s">
        <v>1996</v>
      </c>
      <c r="B341" s="812">
        <v>18</v>
      </c>
      <c r="C341" s="608">
        <v>39487</v>
      </c>
      <c r="D341" s="812">
        <v>99758</v>
      </c>
      <c r="E341" s="812" t="s">
        <v>2041</v>
      </c>
      <c r="F341" s="133">
        <v>0</v>
      </c>
      <c r="G341" s="133">
        <v>0</v>
      </c>
      <c r="H341" s="133">
        <v>0</v>
      </c>
      <c r="I341" s="133">
        <v>0</v>
      </c>
      <c r="J341" s="133">
        <v>0</v>
      </c>
      <c r="K341" s="133">
        <v>0</v>
      </c>
      <c r="L341" s="133">
        <v>0</v>
      </c>
      <c r="M341" s="45">
        <v>0</v>
      </c>
    </row>
    <row r="342" spans="1:13" x14ac:dyDescent="0.25">
      <c r="A342" s="812" t="s">
        <v>1996</v>
      </c>
      <c r="B342" s="812">
        <v>18</v>
      </c>
      <c r="C342" s="608">
        <v>39487</v>
      </c>
      <c r="D342" s="812">
        <v>99760</v>
      </c>
      <c r="E342" s="812" t="s">
        <v>2042</v>
      </c>
      <c r="F342" s="133">
        <v>0</v>
      </c>
      <c r="G342" s="133">
        <v>0</v>
      </c>
      <c r="H342" s="133">
        <v>0</v>
      </c>
      <c r="I342" s="133">
        <v>0</v>
      </c>
      <c r="J342" s="133">
        <v>0</v>
      </c>
      <c r="K342" s="133">
        <v>0</v>
      </c>
      <c r="L342" s="133">
        <v>0</v>
      </c>
      <c r="M342" s="45">
        <v>0</v>
      </c>
    </row>
    <row r="343" spans="1:13" x14ac:dyDescent="0.25">
      <c r="A343" s="812" t="s">
        <v>1996</v>
      </c>
      <c r="B343" s="812">
        <v>18</v>
      </c>
      <c r="C343" s="608">
        <v>39487</v>
      </c>
      <c r="D343" s="812">
        <v>99767</v>
      </c>
      <c r="E343" s="812" t="s">
        <v>2043</v>
      </c>
      <c r="F343" s="133">
        <v>0</v>
      </c>
      <c r="G343" s="133">
        <v>0</v>
      </c>
      <c r="H343" s="133">
        <v>0</v>
      </c>
      <c r="I343" s="133">
        <v>0</v>
      </c>
      <c r="J343" s="133">
        <v>0</v>
      </c>
      <c r="K343" s="133">
        <v>0</v>
      </c>
      <c r="L343" s="133">
        <v>0</v>
      </c>
      <c r="M343" s="45">
        <v>0</v>
      </c>
    </row>
    <row r="344" spans="1:13" x14ac:dyDescent="0.25">
      <c r="A344" s="812" t="s">
        <v>1996</v>
      </c>
      <c r="B344" s="812">
        <v>18</v>
      </c>
      <c r="C344" s="608">
        <v>39487</v>
      </c>
      <c r="D344" s="812">
        <v>99774</v>
      </c>
      <c r="E344" s="812" t="s">
        <v>2044</v>
      </c>
      <c r="F344" s="133">
        <v>0</v>
      </c>
      <c r="G344" s="133">
        <v>0</v>
      </c>
      <c r="H344" s="133">
        <v>0</v>
      </c>
      <c r="I344" s="133">
        <v>0</v>
      </c>
      <c r="J344" s="133">
        <v>0</v>
      </c>
      <c r="K344" s="133">
        <v>0</v>
      </c>
      <c r="L344" s="133">
        <v>0</v>
      </c>
      <c r="M344" s="45">
        <v>0</v>
      </c>
    </row>
    <row r="345" spans="1:13" x14ac:dyDescent="0.25">
      <c r="A345" s="812" t="s">
        <v>1996</v>
      </c>
      <c r="B345" s="812">
        <v>18</v>
      </c>
      <c r="C345" s="608">
        <v>39487</v>
      </c>
      <c r="D345" s="812">
        <v>99775</v>
      </c>
      <c r="E345" s="812" t="s">
        <v>1602</v>
      </c>
      <c r="F345" s="133">
        <v>9.1243443395026892E-5</v>
      </c>
      <c r="G345" s="133">
        <v>2.2205293072540058E-3</v>
      </c>
      <c r="H345" s="133">
        <v>1.4199256498902638E-3</v>
      </c>
      <c r="I345" s="133">
        <v>6.713824953654512E-5</v>
      </c>
      <c r="J345" s="133">
        <v>6.713824953654512E-5</v>
      </c>
      <c r="K345" s="133">
        <v>4.5435038844459334E-5</v>
      </c>
      <c r="L345" s="133">
        <v>1.3534240600396753E-4</v>
      </c>
      <c r="M345" s="45">
        <v>35.220091161990617</v>
      </c>
    </row>
    <row r="346" spans="1:13" x14ac:dyDescent="0.25">
      <c r="A346" s="812" t="s">
        <v>1996</v>
      </c>
      <c r="B346" s="812">
        <v>18</v>
      </c>
      <c r="C346" s="608">
        <v>39487</v>
      </c>
      <c r="D346" s="812">
        <v>99790</v>
      </c>
      <c r="E346" s="812" t="s">
        <v>2045</v>
      </c>
      <c r="F346" s="133">
        <v>0</v>
      </c>
      <c r="G346" s="133">
        <v>0</v>
      </c>
      <c r="H346" s="133">
        <v>0</v>
      </c>
      <c r="I346" s="133">
        <v>0</v>
      </c>
      <c r="J346" s="133">
        <v>0</v>
      </c>
      <c r="K346" s="133">
        <v>0</v>
      </c>
      <c r="L346" s="133">
        <v>0</v>
      </c>
      <c r="M346" s="45">
        <v>0</v>
      </c>
    </row>
    <row r="347" spans="1:13" x14ac:dyDescent="0.25">
      <c r="A347" s="812" t="s">
        <v>1996</v>
      </c>
      <c r="B347" s="812">
        <v>19</v>
      </c>
      <c r="C347" s="608">
        <v>39488</v>
      </c>
      <c r="D347" s="812">
        <v>99701</v>
      </c>
      <c r="E347" s="812" t="s">
        <v>2031</v>
      </c>
      <c r="F347" s="133">
        <v>1.1717380776747279</v>
      </c>
      <c r="G347" s="133">
        <v>0.96686365183663991</v>
      </c>
      <c r="H347" s="133">
        <v>1.2313777723572381</v>
      </c>
      <c r="I347" s="133">
        <v>0.33681977779905625</v>
      </c>
      <c r="J347" s="133">
        <v>0.33681977779905625</v>
      </c>
      <c r="K347" s="133">
        <v>2.5524485989640557E-2</v>
      </c>
      <c r="L347" s="133">
        <v>3.3661454316927171</v>
      </c>
      <c r="M347" s="45">
        <v>17690.143959586243</v>
      </c>
    </row>
    <row r="348" spans="1:13" x14ac:dyDescent="0.25">
      <c r="A348" s="812" t="s">
        <v>1996</v>
      </c>
      <c r="B348" s="812">
        <v>19</v>
      </c>
      <c r="C348" s="608">
        <v>39488</v>
      </c>
      <c r="D348" s="812">
        <v>99702</v>
      </c>
      <c r="E348" s="812" t="s">
        <v>2032</v>
      </c>
      <c r="F348" s="133">
        <v>0</v>
      </c>
      <c r="G348" s="133">
        <v>0</v>
      </c>
      <c r="H348" s="133">
        <v>0</v>
      </c>
      <c r="I348" s="133">
        <v>0</v>
      </c>
      <c r="J348" s="133">
        <v>0</v>
      </c>
      <c r="K348" s="133">
        <v>0</v>
      </c>
      <c r="L348" s="133">
        <v>0</v>
      </c>
      <c r="M348" s="45">
        <v>0</v>
      </c>
    </row>
    <row r="349" spans="1:13" x14ac:dyDescent="0.25">
      <c r="A349" s="812" t="s">
        <v>1996</v>
      </c>
      <c r="B349" s="812">
        <v>19</v>
      </c>
      <c r="C349" s="608">
        <v>39488</v>
      </c>
      <c r="D349" s="812">
        <v>99703</v>
      </c>
      <c r="E349" s="812" t="s">
        <v>2033</v>
      </c>
      <c r="F349" s="133">
        <v>2.7623336868088526E-2</v>
      </c>
      <c r="G349" s="133">
        <v>1.805248471057937E-2</v>
      </c>
      <c r="H349" s="133">
        <v>2.7378443581974523E-2</v>
      </c>
      <c r="I349" s="133">
        <v>9.0558274030502449E-3</v>
      </c>
      <c r="J349" s="133">
        <v>9.0558274030502449E-3</v>
      </c>
      <c r="K349" s="133">
        <v>5.1165880488131591E-4</v>
      </c>
      <c r="L349" s="133">
        <v>9.7618187543726462E-2</v>
      </c>
      <c r="M349" s="45">
        <v>346.94419768242147</v>
      </c>
    </row>
    <row r="350" spans="1:13" x14ac:dyDescent="0.25">
      <c r="A350" s="812" t="s">
        <v>1996</v>
      </c>
      <c r="B350" s="812">
        <v>19</v>
      </c>
      <c r="C350" s="608">
        <v>39488</v>
      </c>
      <c r="D350" s="812">
        <v>99705</v>
      </c>
      <c r="E350" s="812" t="s">
        <v>1599</v>
      </c>
      <c r="F350" s="133">
        <v>4.4897115409380293</v>
      </c>
      <c r="G350" s="133">
        <v>0.90388772881730584</v>
      </c>
      <c r="H350" s="133">
        <v>1.5084917526222805</v>
      </c>
      <c r="I350" s="133">
        <v>1.3576279796121937</v>
      </c>
      <c r="J350" s="133">
        <v>1.3576279796121937</v>
      </c>
      <c r="K350" s="133">
        <v>6.0101115323459312E-2</v>
      </c>
      <c r="L350" s="133">
        <v>14.854794808097951</v>
      </c>
      <c r="M350" s="45">
        <v>18368.74184395601</v>
      </c>
    </row>
    <row r="351" spans="1:13" x14ac:dyDescent="0.25">
      <c r="A351" s="812" t="s">
        <v>1996</v>
      </c>
      <c r="B351" s="812">
        <v>19</v>
      </c>
      <c r="C351" s="608">
        <v>39488</v>
      </c>
      <c r="D351" s="812">
        <v>99709</v>
      </c>
      <c r="E351" s="812" t="s">
        <v>1600</v>
      </c>
      <c r="F351" s="133">
        <v>4.0173802034728912</v>
      </c>
      <c r="G351" s="133">
        <v>1.0373605820751275</v>
      </c>
      <c r="H351" s="133">
        <v>1.7058209534640492</v>
      </c>
      <c r="I351" s="133">
        <v>1.0750452980538356</v>
      </c>
      <c r="J351" s="133">
        <v>1.0750452980538356</v>
      </c>
      <c r="K351" s="133">
        <v>5.1234833749450294E-2</v>
      </c>
      <c r="L351" s="133">
        <v>11.174073195931705</v>
      </c>
      <c r="M351" s="45">
        <v>21008.63783728256</v>
      </c>
    </row>
    <row r="352" spans="1:13" x14ac:dyDescent="0.25">
      <c r="A352" s="812" t="s">
        <v>1996</v>
      </c>
      <c r="B352" s="812">
        <v>19</v>
      </c>
      <c r="C352" s="608">
        <v>39488</v>
      </c>
      <c r="D352" s="812">
        <v>99712</v>
      </c>
      <c r="E352" s="812" t="s">
        <v>1601</v>
      </c>
      <c r="F352" s="133">
        <v>2.0981286514340942</v>
      </c>
      <c r="G352" s="133">
        <v>0.34837682082355348</v>
      </c>
      <c r="H352" s="133">
        <v>0.62048692368073888</v>
      </c>
      <c r="I352" s="133">
        <v>0.56338229320928701</v>
      </c>
      <c r="J352" s="133">
        <v>0.56338229320928701</v>
      </c>
      <c r="K352" s="133">
        <v>2.5805149878608151E-2</v>
      </c>
      <c r="L352" s="133">
        <v>5.9177456696153738</v>
      </c>
      <c r="M352" s="45">
        <v>7202.8129257175897</v>
      </c>
    </row>
    <row r="353" spans="1:13" x14ac:dyDescent="0.25">
      <c r="A353" s="812" t="s">
        <v>1996</v>
      </c>
      <c r="B353" s="812">
        <v>19</v>
      </c>
      <c r="C353" s="608">
        <v>39488</v>
      </c>
      <c r="D353" s="812">
        <v>99714</v>
      </c>
      <c r="E353" s="812" t="s">
        <v>2034</v>
      </c>
      <c r="F353" s="133">
        <v>0</v>
      </c>
      <c r="G353" s="133">
        <v>0</v>
      </c>
      <c r="H353" s="133">
        <v>0</v>
      </c>
      <c r="I353" s="133">
        <v>0</v>
      </c>
      <c r="J353" s="133">
        <v>0</v>
      </c>
      <c r="K353" s="133">
        <v>0</v>
      </c>
      <c r="L353" s="133">
        <v>0</v>
      </c>
      <c r="M353" s="45">
        <v>0</v>
      </c>
    </row>
    <row r="354" spans="1:13" x14ac:dyDescent="0.25">
      <c r="A354" s="812" t="s">
        <v>1996</v>
      </c>
      <c r="B354" s="812">
        <v>19</v>
      </c>
      <c r="C354" s="608">
        <v>39488</v>
      </c>
      <c r="D354" s="812">
        <v>99730</v>
      </c>
      <c r="E354" s="812" t="s">
        <v>2035</v>
      </c>
      <c r="F354" s="133">
        <v>0</v>
      </c>
      <c r="G354" s="133">
        <v>0</v>
      </c>
      <c r="H354" s="133">
        <v>0</v>
      </c>
      <c r="I354" s="133">
        <v>0</v>
      </c>
      <c r="J354" s="133">
        <v>0</v>
      </c>
      <c r="K354" s="133">
        <v>0</v>
      </c>
      <c r="L354" s="133">
        <v>0</v>
      </c>
      <c r="M354" s="45">
        <v>0</v>
      </c>
    </row>
    <row r="355" spans="1:13" x14ac:dyDescent="0.25">
      <c r="A355" s="812" t="s">
        <v>1996</v>
      </c>
      <c r="B355" s="812">
        <v>19</v>
      </c>
      <c r="C355" s="608">
        <v>39488</v>
      </c>
      <c r="D355" s="812">
        <v>99737</v>
      </c>
      <c r="E355" s="812" t="s">
        <v>2036</v>
      </c>
      <c r="F355" s="133">
        <v>0</v>
      </c>
      <c r="G355" s="133">
        <v>0</v>
      </c>
      <c r="H355" s="133">
        <v>0</v>
      </c>
      <c r="I355" s="133">
        <v>0</v>
      </c>
      <c r="J355" s="133">
        <v>0</v>
      </c>
      <c r="K355" s="133">
        <v>0</v>
      </c>
      <c r="L355" s="133">
        <v>0</v>
      </c>
      <c r="M355" s="45">
        <v>0</v>
      </c>
    </row>
    <row r="356" spans="1:13" x14ac:dyDescent="0.25">
      <c r="A356" s="812" t="s">
        <v>1996</v>
      </c>
      <c r="B356" s="812">
        <v>19</v>
      </c>
      <c r="C356" s="608">
        <v>39488</v>
      </c>
      <c r="D356" s="812">
        <v>99743</v>
      </c>
      <c r="E356" s="812" t="s">
        <v>2037</v>
      </c>
      <c r="F356" s="133">
        <v>0</v>
      </c>
      <c r="G356" s="133">
        <v>0</v>
      </c>
      <c r="H356" s="133">
        <v>0</v>
      </c>
      <c r="I356" s="133">
        <v>0</v>
      </c>
      <c r="J356" s="133">
        <v>0</v>
      </c>
      <c r="K356" s="133">
        <v>0</v>
      </c>
      <c r="L356" s="133">
        <v>0</v>
      </c>
      <c r="M356" s="45">
        <v>0</v>
      </c>
    </row>
    <row r="357" spans="1:13" x14ac:dyDescent="0.25">
      <c r="A357" s="812" t="s">
        <v>1996</v>
      </c>
      <c r="B357" s="812">
        <v>19</v>
      </c>
      <c r="C357" s="608">
        <v>39488</v>
      </c>
      <c r="D357" s="812">
        <v>99744</v>
      </c>
      <c r="E357" s="812" t="s">
        <v>2038</v>
      </c>
      <c r="F357" s="133">
        <v>0</v>
      </c>
      <c r="G357" s="133">
        <v>0</v>
      </c>
      <c r="H357" s="133">
        <v>0</v>
      </c>
      <c r="I357" s="133">
        <v>0</v>
      </c>
      <c r="J357" s="133">
        <v>0</v>
      </c>
      <c r="K357" s="133">
        <v>0</v>
      </c>
      <c r="L357" s="133">
        <v>0</v>
      </c>
      <c r="M357" s="45">
        <v>0</v>
      </c>
    </row>
    <row r="358" spans="1:13" x14ac:dyDescent="0.25">
      <c r="A358" s="812" t="s">
        <v>1996</v>
      </c>
      <c r="B358" s="812">
        <v>19</v>
      </c>
      <c r="C358" s="608">
        <v>39488</v>
      </c>
      <c r="D358" s="812">
        <v>99755</v>
      </c>
      <c r="E358" s="812" t="s">
        <v>2039</v>
      </c>
      <c r="F358" s="133">
        <v>0</v>
      </c>
      <c r="G358" s="133">
        <v>0</v>
      </c>
      <c r="H358" s="133">
        <v>0</v>
      </c>
      <c r="I358" s="133">
        <v>0</v>
      </c>
      <c r="J358" s="133">
        <v>0</v>
      </c>
      <c r="K358" s="133">
        <v>0</v>
      </c>
      <c r="L358" s="133">
        <v>0</v>
      </c>
      <c r="M358" s="45">
        <v>0</v>
      </c>
    </row>
    <row r="359" spans="1:13" x14ac:dyDescent="0.25">
      <c r="A359" s="812" t="s">
        <v>1996</v>
      </c>
      <c r="B359" s="812">
        <v>19</v>
      </c>
      <c r="C359" s="608">
        <v>39488</v>
      </c>
      <c r="D359" s="812">
        <v>99756</v>
      </c>
      <c r="E359" s="812" t="s">
        <v>2040</v>
      </c>
      <c r="F359" s="133">
        <v>0</v>
      </c>
      <c r="G359" s="133">
        <v>0</v>
      </c>
      <c r="H359" s="133">
        <v>0</v>
      </c>
      <c r="I359" s="133">
        <v>0</v>
      </c>
      <c r="J359" s="133">
        <v>0</v>
      </c>
      <c r="K359" s="133">
        <v>0</v>
      </c>
      <c r="L359" s="133">
        <v>0</v>
      </c>
      <c r="M359" s="45">
        <v>0</v>
      </c>
    </row>
    <row r="360" spans="1:13" x14ac:dyDescent="0.25">
      <c r="A360" s="812" t="s">
        <v>1996</v>
      </c>
      <c r="B360" s="812">
        <v>19</v>
      </c>
      <c r="C360" s="608">
        <v>39488</v>
      </c>
      <c r="D360" s="812">
        <v>99758</v>
      </c>
      <c r="E360" s="812" t="s">
        <v>2041</v>
      </c>
      <c r="F360" s="133">
        <v>0</v>
      </c>
      <c r="G360" s="133">
        <v>0</v>
      </c>
      <c r="H360" s="133">
        <v>0</v>
      </c>
      <c r="I360" s="133">
        <v>0</v>
      </c>
      <c r="J360" s="133">
        <v>0</v>
      </c>
      <c r="K360" s="133">
        <v>0</v>
      </c>
      <c r="L360" s="133">
        <v>0</v>
      </c>
      <c r="M360" s="45">
        <v>0</v>
      </c>
    </row>
    <row r="361" spans="1:13" x14ac:dyDescent="0.25">
      <c r="A361" s="812" t="s">
        <v>1996</v>
      </c>
      <c r="B361" s="812">
        <v>19</v>
      </c>
      <c r="C361" s="608">
        <v>39488</v>
      </c>
      <c r="D361" s="812">
        <v>99760</v>
      </c>
      <c r="E361" s="812" t="s">
        <v>2042</v>
      </c>
      <c r="F361" s="133">
        <v>0</v>
      </c>
      <c r="G361" s="133">
        <v>0</v>
      </c>
      <c r="H361" s="133">
        <v>0</v>
      </c>
      <c r="I361" s="133">
        <v>0</v>
      </c>
      <c r="J361" s="133">
        <v>0</v>
      </c>
      <c r="K361" s="133">
        <v>0</v>
      </c>
      <c r="L361" s="133">
        <v>0</v>
      </c>
      <c r="M361" s="45">
        <v>0</v>
      </c>
    </row>
    <row r="362" spans="1:13" x14ac:dyDescent="0.25">
      <c r="A362" s="812" t="s">
        <v>1996</v>
      </c>
      <c r="B362" s="812">
        <v>19</v>
      </c>
      <c r="C362" s="608">
        <v>39488</v>
      </c>
      <c r="D362" s="812">
        <v>99767</v>
      </c>
      <c r="E362" s="812" t="s">
        <v>2043</v>
      </c>
      <c r="F362" s="133">
        <v>0</v>
      </c>
      <c r="G362" s="133">
        <v>0</v>
      </c>
      <c r="H362" s="133">
        <v>0</v>
      </c>
      <c r="I362" s="133">
        <v>0</v>
      </c>
      <c r="J362" s="133">
        <v>0</v>
      </c>
      <c r="K362" s="133">
        <v>0</v>
      </c>
      <c r="L362" s="133">
        <v>0</v>
      </c>
      <c r="M362" s="45">
        <v>0</v>
      </c>
    </row>
    <row r="363" spans="1:13" x14ac:dyDescent="0.25">
      <c r="A363" s="812" t="s">
        <v>1996</v>
      </c>
      <c r="B363" s="812">
        <v>19</v>
      </c>
      <c r="C363" s="608">
        <v>39488</v>
      </c>
      <c r="D363" s="812">
        <v>99774</v>
      </c>
      <c r="E363" s="812" t="s">
        <v>2044</v>
      </c>
      <c r="F363" s="133">
        <v>0</v>
      </c>
      <c r="G363" s="133">
        <v>0</v>
      </c>
      <c r="H363" s="133">
        <v>0</v>
      </c>
      <c r="I363" s="133">
        <v>0</v>
      </c>
      <c r="J363" s="133">
        <v>0</v>
      </c>
      <c r="K363" s="133">
        <v>0</v>
      </c>
      <c r="L363" s="133">
        <v>0</v>
      </c>
      <c r="M363" s="45">
        <v>0</v>
      </c>
    </row>
    <row r="364" spans="1:13" x14ac:dyDescent="0.25">
      <c r="A364" s="812" t="s">
        <v>1996</v>
      </c>
      <c r="B364" s="812">
        <v>19</v>
      </c>
      <c r="C364" s="608">
        <v>39488</v>
      </c>
      <c r="D364" s="812">
        <v>99775</v>
      </c>
      <c r="E364" s="812" t="s">
        <v>1602</v>
      </c>
      <c r="F364" s="133">
        <v>9.2089187370881863E-5</v>
      </c>
      <c r="G364" s="133">
        <v>2.2418804875701192E-3</v>
      </c>
      <c r="H364" s="133">
        <v>1.4350176130790411E-3</v>
      </c>
      <c r="I364" s="133">
        <v>6.7679854370200008E-5</v>
      </c>
      <c r="J364" s="133">
        <v>6.7679854370200008E-5</v>
      </c>
      <c r="K364" s="133">
        <v>4.5464095943784896E-5</v>
      </c>
      <c r="L364" s="133">
        <v>1.3587363007831066E-4</v>
      </c>
      <c r="M364" s="45">
        <v>35.548662103521934</v>
      </c>
    </row>
    <row r="365" spans="1:13" x14ac:dyDescent="0.25">
      <c r="A365" s="812" t="s">
        <v>1996</v>
      </c>
      <c r="B365" s="812">
        <v>19</v>
      </c>
      <c r="C365" s="608">
        <v>39488</v>
      </c>
      <c r="D365" s="812">
        <v>99790</v>
      </c>
      <c r="E365" s="812" t="s">
        <v>2045</v>
      </c>
      <c r="F365" s="133">
        <v>0</v>
      </c>
      <c r="G365" s="133">
        <v>0</v>
      </c>
      <c r="H365" s="133">
        <v>0</v>
      </c>
      <c r="I365" s="133">
        <v>0</v>
      </c>
      <c r="J365" s="133">
        <v>0</v>
      </c>
      <c r="K365" s="133">
        <v>0</v>
      </c>
      <c r="L365" s="133">
        <v>0</v>
      </c>
      <c r="M365" s="45">
        <v>0</v>
      </c>
    </row>
    <row r="366" spans="1:13" x14ac:dyDescent="0.25">
      <c r="A366" s="812" t="s">
        <v>1999</v>
      </c>
      <c r="B366" s="812">
        <v>1</v>
      </c>
      <c r="C366" s="608">
        <v>39754</v>
      </c>
      <c r="D366" s="812">
        <v>99701</v>
      </c>
      <c r="E366" s="812" t="s">
        <v>2031</v>
      </c>
      <c r="F366" s="133">
        <v>0.7943144481909884</v>
      </c>
      <c r="G366" s="133">
        <v>0.73927336943916644</v>
      </c>
      <c r="H366" s="133">
        <v>0.88883559583360272</v>
      </c>
      <c r="I366" s="133">
        <v>0.23911752260795471</v>
      </c>
      <c r="J366" s="133">
        <v>0.23911752260795471</v>
      </c>
      <c r="K366" s="133">
        <v>3.0092673600354277E-2</v>
      </c>
      <c r="L366" s="133">
        <v>2.3879721025921858</v>
      </c>
      <c r="M366" s="45">
        <v>13773.923601658773</v>
      </c>
    </row>
    <row r="367" spans="1:13" x14ac:dyDescent="0.25">
      <c r="A367" s="812" t="s">
        <v>1999</v>
      </c>
      <c r="B367" s="812">
        <v>1</v>
      </c>
      <c r="C367" s="608">
        <v>39754</v>
      </c>
      <c r="D367" s="812">
        <v>99702</v>
      </c>
      <c r="E367" s="812" t="s">
        <v>2032</v>
      </c>
      <c r="F367" s="133">
        <v>0</v>
      </c>
      <c r="G367" s="133">
        <v>0</v>
      </c>
      <c r="H367" s="133">
        <v>0</v>
      </c>
      <c r="I367" s="133">
        <v>0</v>
      </c>
      <c r="J367" s="133">
        <v>0</v>
      </c>
      <c r="K367" s="133">
        <v>0</v>
      </c>
      <c r="L367" s="133">
        <v>0</v>
      </c>
      <c r="M367" s="45">
        <v>0</v>
      </c>
    </row>
    <row r="368" spans="1:13" x14ac:dyDescent="0.25">
      <c r="A368" s="812" t="s">
        <v>1999</v>
      </c>
      <c r="B368" s="812">
        <v>1</v>
      </c>
      <c r="C368" s="608">
        <v>39754</v>
      </c>
      <c r="D368" s="812">
        <v>99703</v>
      </c>
      <c r="E368" s="812" t="s">
        <v>2033</v>
      </c>
      <c r="F368" s="133">
        <v>1.9276793791643567E-2</v>
      </c>
      <c r="G368" s="133">
        <v>1.3587925326813398E-2</v>
      </c>
      <c r="H368" s="133">
        <v>1.9889375373353828E-2</v>
      </c>
      <c r="I368" s="133">
        <v>6.4786186238177919E-3</v>
      </c>
      <c r="J368" s="133">
        <v>6.4786186238177919E-3</v>
      </c>
      <c r="K368" s="133">
        <v>5.1504623509386258E-4</v>
      </c>
      <c r="L368" s="133">
        <v>6.9613544609384501E-2</v>
      </c>
      <c r="M368" s="45">
        <v>264.22756435577338</v>
      </c>
    </row>
    <row r="369" spans="1:13" x14ac:dyDescent="0.25">
      <c r="A369" s="812" t="s">
        <v>1999</v>
      </c>
      <c r="B369" s="812">
        <v>1</v>
      </c>
      <c r="C369" s="608">
        <v>39754</v>
      </c>
      <c r="D369" s="812">
        <v>99705</v>
      </c>
      <c r="E369" s="812" t="s">
        <v>1599</v>
      </c>
      <c r="F369" s="133">
        <v>3.3098110388507123</v>
      </c>
      <c r="G369" s="133">
        <v>0.69291536839306545</v>
      </c>
      <c r="H369" s="133">
        <v>1.1481971694660749</v>
      </c>
      <c r="I369" s="133">
        <v>1.0161247686460473</v>
      </c>
      <c r="J369" s="133">
        <v>1.0161247686460473</v>
      </c>
      <c r="K369" s="133">
        <v>4.7185380297664135E-2</v>
      </c>
      <c r="L369" s="133">
        <v>11.084217654731411</v>
      </c>
      <c r="M369" s="45">
        <v>14154.932939963341</v>
      </c>
    </row>
    <row r="370" spans="1:13" x14ac:dyDescent="0.25">
      <c r="A370" s="812" t="s">
        <v>1999</v>
      </c>
      <c r="B370" s="812">
        <v>1</v>
      </c>
      <c r="C370" s="608">
        <v>39754</v>
      </c>
      <c r="D370" s="812">
        <v>99709</v>
      </c>
      <c r="E370" s="812" t="s">
        <v>1600</v>
      </c>
      <c r="F370" s="133">
        <v>2.7080153683050581</v>
      </c>
      <c r="G370" s="133">
        <v>0.77945056187399731</v>
      </c>
      <c r="H370" s="133">
        <v>1.2573930323231965</v>
      </c>
      <c r="I370" s="133">
        <v>0.7522621186210412</v>
      </c>
      <c r="J370" s="133">
        <v>0.7522621186210412</v>
      </c>
      <c r="K370" s="133">
        <v>4.1523390503397761E-2</v>
      </c>
      <c r="L370" s="133">
        <v>7.8733869180431899</v>
      </c>
      <c r="M370" s="45">
        <v>15913.457702249087</v>
      </c>
    </row>
    <row r="371" spans="1:13" x14ac:dyDescent="0.25">
      <c r="A371" s="812" t="s">
        <v>1999</v>
      </c>
      <c r="B371" s="812">
        <v>1</v>
      </c>
      <c r="C371" s="608">
        <v>39754</v>
      </c>
      <c r="D371" s="812">
        <v>99712</v>
      </c>
      <c r="E371" s="812" t="s">
        <v>1601</v>
      </c>
      <c r="F371" s="133">
        <v>1.516242623616938</v>
      </c>
      <c r="G371" s="133">
        <v>0.2710219554531646</v>
      </c>
      <c r="H371" s="133">
        <v>0.48271573826265679</v>
      </c>
      <c r="I371" s="133">
        <v>0.42021053627803356</v>
      </c>
      <c r="J371" s="133">
        <v>0.42021053627803356</v>
      </c>
      <c r="K371" s="133">
        <v>1.9636937422326004E-2</v>
      </c>
      <c r="L371" s="133">
        <v>4.4383159209651719</v>
      </c>
      <c r="M371" s="45">
        <v>5633.1861646009002</v>
      </c>
    </row>
    <row r="372" spans="1:13" x14ac:dyDescent="0.25">
      <c r="A372" s="812" t="s">
        <v>1999</v>
      </c>
      <c r="B372" s="812">
        <v>1</v>
      </c>
      <c r="C372" s="608">
        <v>39754</v>
      </c>
      <c r="D372" s="812">
        <v>99714</v>
      </c>
      <c r="E372" s="812" t="s">
        <v>2034</v>
      </c>
      <c r="F372" s="133">
        <v>0</v>
      </c>
      <c r="G372" s="133">
        <v>0</v>
      </c>
      <c r="H372" s="133">
        <v>0</v>
      </c>
      <c r="I372" s="133">
        <v>0</v>
      </c>
      <c r="J372" s="133">
        <v>0</v>
      </c>
      <c r="K372" s="133">
        <v>0</v>
      </c>
      <c r="L372" s="133">
        <v>0</v>
      </c>
      <c r="M372" s="45">
        <v>0</v>
      </c>
    </row>
    <row r="373" spans="1:13" x14ac:dyDescent="0.25">
      <c r="A373" s="812" t="s">
        <v>1999</v>
      </c>
      <c r="B373" s="812">
        <v>1</v>
      </c>
      <c r="C373" s="608">
        <v>39754</v>
      </c>
      <c r="D373" s="812">
        <v>99730</v>
      </c>
      <c r="E373" s="812" t="s">
        <v>2035</v>
      </c>
      <c r="F373" s="133">
        <v>0</v>
      </c>
      <c r="G373" s="133">
        <v>0</v>
      </c>
      <c r="H373" s="133">
        <v>0</v>
      </c>
      <c r="I373" s="133">
        <v>0</v>
      </c>
      <c r="J373" s="133">
        <v>0</v>
      </c>
      <c r="K373" s="133">
        <v>0</v>
      </c>
      <c r="L373" s="133">
        <v>0</v>
      </c>
      <c r="M373" s="45">
        <v>0</v>
      </c>
    </row>
    <row r="374" spans="1:13" x14ac:dyDescent="0.25">
      <c r="A374" s="812" t="s">
        <v>1999</v>
      </c>
      <c r="B374" s="812">
        <v>1</v>
      </c>
      <c r="C374" s="608">
        <v>39754</v>
      </c>
      <c r="D374" s="812">
        <v>99737</v>
      </c>
      <c r="E374" s="812" t="s">
        <v>2036</v>
      </c>
      <c r="F374" s="133">
        <v>0</v>
      </c>
      <c r="G374" s="133">
        <v>0</v>
      </c>
      <c r="H374" s="133">
        <v>0</v>
      </c>
      <c r="I374" s="133">
        <v>0</v>
      </c>
      <c r="J374" s="133">
        <v>0</v>
      </c>
      <c r="K374" s="133">
        <v>0</v>
      </c>
      <c r="L374" s="133">
        <v>0</v>
      </c>
      <c r="M374" s="45">
        <v>0</v>
      </c>
    </row>
    <row r="375" spans="1:13" x14ac:dyDescent="0.25">
      <c r="A375" s="812" t="s">
        <v>1999</v>
      </c>
      <c r="B375" s="812">
        <v>1</v>
      </c>
      <c r="C375" s="608">
        <v>39754</v>
      </c>
      <c r="D375" s="812">
        <v>99743</v>
      </c>
      <c r="E375" s="812" t="s">
        <v>2037</v>
      </c>
      <c r="F375" s="133">
        <v>0</v>
      </c>
      <c r="G375" s="133">
        <v>0</v>
      </c>
      <c r="H375" s="133">
        <v>0</v>
      </c>
      <c r="I375" s="133">
        <v>0</v>
      </c>
      <c r="J375" s="133">
        <v>0</v>
      </c>
      <c r="K375" s="133">
        <v>0</v>
      </c>
      <c r="L375" s="133">
        <v>0</v>
      </c>
      <c r="M375" s="45">
        <v>0</v>
      </c>
    </row>
    <row r="376" spans="1:13" x14ac:dyDescent="0.25">
      <c r="A376" s="812" t="s">
        <v>1999</v>
      </c>
      <c r="B376" s="812">
        <v>1</v>
      </c>
      <c r="C376" s="608">
        <v>39754</v>
      </c>
      <c r="D376" s="812">
        <v>99744</v>
      </c>
      <c r="E376" s="812" t="s">
        <v>2038</v>
      </c>
      <c r="F376" s="133">
        <v>0</v>
      </c>
      <c r="G376" s="133">
        <v>0</v>
      </c>
      <c r="H376" s="133">
        <v>0</v>
      </c>
      <c r="I376" s="133">
        <v>0</v>
      </c>
      <c r="J376" s="133">
        <v>0</v>
      </c>
      <c r="K376" s="133">
        <v>0</v>
      </c>
      <c r="L376" s="133">
        <v>0</v>
      </c>
      <c r="M376" s="45">
        <v>0</v>
      </c>
    </row>
    <row r="377" spans="1:13" x14ac:dyDescent="0.25">
      <c r="A377" s="812" t="s">
        <v>1999</v>
      </c>
      <c r="B377" s="812">
        <v>1</v>
      </c>
      <c r="C377" s="608">
        <v>39754</v>
      </c>
      <c r="D377" s="812">
        <v>99755</v>
      </c>
      <c r="E377" s="812" t="s">
        <v>2039</v>
      </c>
      <c r="F377" s="133">
        <v>0</v>
      </c>
      <c r="G377" s="133">
        <v>0</v>
      </c>
      <c r="H377" s="133">
        <v>0</v>
      </c>
      <c r="I377" s="133">
        <v>0</v>
      </c>
      <c r="J377" s="133">
        <v>0</v>
      </c>
      <c r="K377" s="133">
        <v>0</v>
      </c>
      <c r="L377" s="133">
        <v>0</v>
      </c>
      <c r="M377" s="45">
        <v>0</v>
      </c>
    </row>
    <row r="378" spans="1:13" x14ac:dyDescent="0.25">
      <c r="A378" s="812" t="s">
        <v>1999</v>
      </c>
      <c r="B378" s="812">
        <v>1</v>
      </c>
      <c r="C378" s="608">
        <v>39754</v>
      </c>
      <c r="D378" s="812">
        <v>99756</v>
      </c>
      <c r="E378" s="812" t="s">
        <v>2040</v>
      </c>
      <c r="F378" s="133">
        <v>0</v>
      </c>
      <c r="G378" s="133">
        <v>0</v>
      </c>
      <c r="H378" s="133">
        <v>0</v>
      </c>
      <c r="I378" s="133">
        <v>0</v>
      </c>
      <c r="J378" s="133">
        <v>0</v>
      </c>
      <c r="K378" s="133">
        <v>0</v>
      </c>
      <c r="L378" s="133">
        <v>0</v>
      </c>
      <c r="M378" s="45">
        <v>0</v>
      </c>
    </row>
    <row r="379" spans="1:13" x14ac:dyDescent="0.25">
      <c r="A379" s="812" t="s">
        <v>1999</v>
      </c>
      <c r="B379" s="812">
        <v>1</v>
      </c>
      <c r="C379" s="608">
        <v>39754</v>
      </c>
      <c r="D379" s="812">
        <v>99758</v>
      </c>
      <c r="E379" s="812" t="s">
        <v>2041</v>
      </c>
      <c r="F379" s="133">
        <v>0</v>
      </c>
      <c r="G379" s="133">
        <v>0</v>
      </c>
      <c r="H379" s="133">
        <v>0</v>
      </c>
      <c r="I379" s="133">
        <v>0</v>
      </c>
      <c r="J379" s="133">
        <v>0</v>
      </c>
      <c r="K379" s="133">
        <v>0</v>
      </c>
      <c r="L379" s="133">
        <v>0</v>
      </c>
      <c r="M379" s="45">
        <v>0</v>
      </c>
    </row>
    <row r="380" spans="1:13" x14ac:dyDescent="0.25">
      <c r="A380" s="812" t="s">
        <v>1999</v>
      </c>
      <c r="B380" s="812">
        <v>1</v>
      </c>
      <c r="C380" s="608">
        <v>39754</v>
      </c>
      <c r="D380" s="812">
        <v>99760</v>
      </c>
      <c r="E380" s="812" t="s">
        <v>2042</v>
      </c>
      <c r="F380" s="133">
        <v>0</v>
      </c>
      <c r="G380" s="133">
        <v>0</v>
      </c>
      <c r="H380" s="133">
        <v>0</v>
      </c>
      <c r="I380" s="133">
        <v>0</v>
      </c>
      <c r="J380" s="133">
        <v>0</v>
      </c>
      <c r="K380" s="133">
        <v>0</v>
      </c>
      <c r="L380" s="133">
        <v>0</v>
      </c>
      <c r="M380" s="45">
        <v>0</v>
      </c>
    </row>
    <row r="381" spans="1:13" x14ac:dyDescent="0.25">
      <c r="A381" s="812" t="s">
        <v>1999</v>
      </c>
      <c r="B381" s="812">
        <v>1</v>
      </c>
      <c r="C381" s="608">
        <v>39754</v>
      </c>
      <c r="D381" s="812">
        <v>99767</v>
      </c>
      <c r="E381" s="812" t="s">
        <v>2043</v>
      </c>
      <c r="F381" s="133">
        <v>0</v>
      </c>
      <c r="G381" s="133">
        <v>0</v>
      </c>
      <c r="H381" s="133">
        <v>0</v>
      </c>
      <c r="I381" s="133">
        <v>0</v>
      </c>
      <c r="J381" s="133">
        <v>0</v>
      </c>
      <c r="K381" s="133">
        <v>0</v>
      </c>
      <c r="L381" s="133">
        <v>0</v>
      </c>
      <c r="M381" s="45">
        <v>0</v>
      </c>
    </row>
    <row r="382" spans="1:13" x14ac:dyDescent="0.25">
      <c r="A382" s="812" t="s">
        <v>1999</v>
      </c>
      <c r="B382" s="812">
        <v>1</v>
      </c>
      <c r="C382" s="608">
        <v>39754</v>
      </c>
      <c r="D382" s="812">
        <v>99774</v>
      </c>
      <c r="E382" s="812" t="s">
        <v>2044</v>
      </c>
      <c r="F382" s="133">
        <v>0</v>
      </c>
      <c r="G382" s="133">
        <v>0</v>
      </c>
      <c r="H382" s="133">
        <v>0</v>
      </c>
      <c r="I382" s="133">
        <v>0</v>
      </c>
      <c r="J382" s="133">
        <v>0</v>
      </c>
      <c r="K382" s="133">
        <v>0</v>
      </c>
      <c r="L382" s="133">
        <v>0</v>
      </c>
      <c r="M382" s="45">
        <v>0</v>
      </c>
    </row>
    <row r="383" spans="1:13" x14ac:dyDescent="0.25">
      <c r="A383" s="812" t="s">
        <v>1999</v>
      </c>
      <c r="B383" s="812">
        <v>1</v>
      </c>
      <c r="C383" s="608">
        <v>39754</v>
      </c>
      <c r="D383" s="812">
        <v>99775</v>
      </c>
      <c r="E383" s="812" t="s">
        <v>1602</v>
      </c>
      <c r="F383" s="133">
        <v>7.5797982958181301E-5</v>
      </c>
      <c r="G383" s="133">
        <v>1.7604822402942791E-3</v>
      </c>
      <c r="H383" s="133">
        <v>9.6824968428209943E-4</v>
      </c>
      <c r="I383" s="133">
        <v>6.4607218558699283E-5</v>
      </c>
      <c r="J383" s="133">
        <v>6.4607218558699283E-5</v>
      </c>
      <c r="K383" s="133">
        <v>8.0660994369431539E-5</v>
      </c>
      <c r="L383" s="133">
        <v>1.9160102078315169E-4</v>
      </c>
      <c r="M383" s="45">
        <v>29.026876269282322</v>
      </c>
    </row>
    <row r="384" spans="1:13" x14ac:dyDescent="0.25">
      <c r="A384" s="812" t="s">
        <v>1999</v>
      </c>
      <c r="B384" s="812">
        <v>1</v>
      </c>
      <c r="C384" s="608">
        <v>39754</v>
      </c>
      <c r="D384" s="812">
        <v>99790</v>
      </c>
      <c r="E384" s="812" t="s">
        <v>2045</v>
      </c>
      <c r="F384" s="133">
        <v>0</v>
      </c>
      <c r="G384" s="133">
        <v>0</v>
      </c>
      <c r="H384" s="133">
        <v>0</v>
      </c>
      <c r="I384" s="133">
        <v>0</v>
      </c>
      <c r="J384" s="133">
        <v>0</v>
      </c>
      <c r="K384" s="133">
        <v>0</v>
      </c>
      <c r="L384" s="133">
        <v>0</v>
      </c>
      <c r="M384" s="45">
        <v>0</v>
      </c>
    </row>
    <row r="385" spans="1:13" x14ac:dyDescent="0.25">
      <c r="A385" s="812" t="s">
        <v>1999</v>
      </c>
      <c r="B385" s="812">
        <v>2</v>
      </c>
      <c r="C385" s="608">
        <v>39755</v>
      </c>
      <c r="D385" s="812">
        <v>99701</v>
      </c>
      <c r="E385" s="812" t="s">
        <v>2031</v>
      </c>
      <c r="F385" s="133">
        <v>0.74723107130850586</v>
      </c>
      <c r="G385" s="133">
        <v>0.68827249974442983</v>
      </c>
      <c r="H385" s="133">
        <v>0.82731877786483887</v>
      </c>
      <c r="I385" s="133">
        <v>0.22211637338632947</v>
      </c>
      <c r="J385" s="133">
        <v>0.22211637338632947</v>
      </c>
      <c r="K385" s="133">
        <v>2.9399719269672615E-2</v>
      </c>
      <c r="L385" s="133">
        <v>2.1985271260991399</v>
      </c>
      <c r="M385" s="45">
        <v>12881.544611416975</v>
      </c>
    </row>
    <row r="386" spans="1:13" x14ac:dyDescent="0.25">
      <c r="A386" s="812" t="s">
        <v>1999</v>
      </c>
      <c r="B386" s="812">
        <v>2</v>
      </c>
      <c r="C386" s="608">
        <v>39755</v>
      </c>
      <c r="D386" s="812">
        <v>99702</v>
      </c>
      <c r="E386" s="812" t="s">
        <v>2032</v>
      </c>
      <c r="F386" s="133">
        <v>0</v>
      </c>
      <c r="G386" s="133">
        <v>0</v>
      </c>
      <c r="H386" s="133">
        <v>0</v>
      </c>
      <c r="I386" s="133">
        <v>0</v>
      </c>
      <c r="J386" s="133">
        <v>0</v>
      </c>
      <c r="K386" s="133">
        <v>0</v>
      </c>
      <c r="L386" s="133">
        <v>0</v>
      </c>
      <c r="M386" s="45">
        <v>0</v>
      </c>
    </row>
    <row r="387" spans="1:13" x14ac:dyDescent="0.25">
      <c r="A387" s="812" t="s">
        <v>1999</v>
      </c>
      <c r="B387" s="812">
        <v>2</v>
      </c>
      <c r="C387" s="608">
        <v>39755</v>
      </c>
      <c r="D387" s="812">
        <v>99703</v>
      </c>
      <c r="E387" s="812" t="s">
        <v>2033</v>
      </c>
      <c r="F387" s="133">
        <v>1.7990688696092591E-2</v>
      </c>
      <c r="G387" s="133">
        <v>1.262361435926332E-2</v>
      </c>
      <c r="H387" s="133">
        <v>1.8489373588055399E-2</v>
      </c>
      <c r="I387" s="133">
        <v>5.9649052816785767E-3</v>
      </c>
      <c r="J387" s="133">
        <v>5.9649052816785767E-3</v>
      </c>
      <c r="K387" s="133">
        <v>4.9484150287748801E-4</v>
      </c>
      <c r="L387" s="133">
        <v>6.34950159693419E-2</v>
      </c>
      <c r="M387" s="45">
        <v>246.31578412141619</v>
      </c>
    </row>
    <row r="388" spans="1:13" x14ac:dyDescent="0.25">
      <c r="A388" s="812" t="s">
        <v>1999</v>
      </c>
      <c r="B388" s="812">
        <v>2</v>
      </c>
      <c r="C388" s="608">
        <v>39755</v>
      </c>
      <c r="D388" s="812">
        <v>99705</v>
      </c>
      <c r="E388" s="812" t="s">
        <v>1599</v>
      </c>
      <c r="F388" s="133">
        <v>3.1699363545894021</v>
      </c>
      <c r="G388" s="133">
        <v>0.65131884076128532</v>
      </c>
      <c r="H388" s="133">
        <v>1.0829961804952644</v>
      </c>
      <c r="I388" s="133">
        <v>0.95695567081260513</v>
      </c>
      <c r="J388" s="133">
        <v>0.95695567081260513</v>
      </c>
      <c r="K388" s="133">
        <v>4.4675906290604472E-2</v>
      </c>
      <c r="L388" s="133">
        <v>10.314925682427653</v>
      </c>
      <c r="M388" s="45">
        <v>13337.076474477723</v>
      </c>
    </row>
    <row r="389" spans="1:13" x14ac:dyDescent="0.25">
      <c r="A389" s="812" t="s">
        <v>1999</v>
      </c>
      <c r="B389" s="812">
        <v>2</v>
      </c>
      <c r="C389" s="608">
        <v>39755</v>
      </c>
      <c r="D389" s="812">
        <v>99709</v>
      </c>
      <c r="E389" s="812" t="s">
        <v>1600</v>
      </c>
      <c r="F389" s="133">
        <v>2.6890895350230268</v>
      </c>
      <c r="G389" s="133">
        <v>0.74470687415082959</v>
      </c>
      <c r="H389" s="133">
        <v>1.2101113525362219</v>
      </c>
      <c r="I389" s="133">
        <v>0.73133245226074461</v>
      </c>
      <c r="J389" s="133">
        <v>0.73133245226074461</v>
      </c>
      <c r="K389" s="133">
        <v>4.0791433575804073E-2</v>
      </c>
      <c r="L389" s="133">
        <v>7.5681748293870328</v>
      </c>
      <c r="M389" s="45">
        <v>15263.476805967828</v>
      </c>
    </row>
    <row r="390" spans="1:13" x14ac:dyDescent="0.25">
      <c r="A390" s="812" t="s">
        <v>1999</v>
      </c>
      <c r="B390" s="812">
        <v>2</v>
      </c>
      <c r="C390" s="608">
        <v>39755</v>
      </c>
      <c r="D390" s="812">
        <v>99712</v>
      </c>
      <c r="E390" s="812" t="s">
        <v>1601</v>
      </c>
      <c r="F390" s="133">
        <v>1.528693476939581</v>
      </c>
      <c r="G390" s="133">
        <v>0.26391445075446662</v>
      </c>
      <c r="H390" s="133">
        <v>0.47180636267538584</v>
      </c>
      <c r="I390" s="133">
        <v>0.41471037962882001</v>
      </c>
      <c r="J390" s="133">
        <v>0.41471037962882001</v>
      </c>
      <c r="K390" s="133">
        <v>1.9446369339198553E-2</v>
      </c>
      <c r="L390" s="133">
        <v>4.3261917650172759</v>
      </c>
      <c r="M390" s="45">
        <v>5493.9364242259398</v>
      </c>
    </row>
    <row r="391" spans="1:13" x14ac:dyDescent="0.25">
      <c r="A391" s="812" t="s">
        <v>1999</v>
      </c>
      <c r="B391" s="812">
        <v>2</v>
      </c>
      <c r="C391" s="608">
        <v>39755</v>
      </c>
      <c r="D391" s="812">
        <v>99714</v>
      </c>
      <c r="E391" s="812" t="s">
        <v>2034</v>
      </c>
      <c r="F391" s="133">
        <v>0</v>
      </c>
      <c r="G391" s="133">
        <v>0</v>
      </c>
      <c r="H391" s="133">
        <v>0</v>
      </c>
      <c r="I391" s="133">
        <v>0</v>
      </c>
      <c r="J391" s="133">
        <v>0</v>
      </c>
      <c r="K391" s="133">
        <v>0</v>
      </c>
      <c r="L391" s="133">
        <v>0</v>
      </c>
      <c r="M391" s="45">
        <v>0</v>
      </c>
    </row>
    <row r="392" spans="1:13" x14ac:dyDescent="0.25">
      <c r="A392" s="812" t="s">
        <v>1999</v>
      </c>
      <c r="B392" s="812">
        <v>2</v>
      </c>
      <c r="C392" s="608">
        <v>39755</v>
      </c>
      <c r="D392" s="812">
        <v>99730</v>
      </c>
      <c r="E392" s="812" t="s">
        <v>2035</v>
      </c>
      <c r="F392" s="133">
        <v>0</v>
      </c>
      <c r="G392" s="133">
        <v>0</v>
      </c>
      <c r="H392" s="133">
        <v>0</v>
      </c>
      <c r="I392" s="133">
        <v>0</v>
      </c>
      <c r="J392" s="133">
        <v>0</v>
      </c>
      <c r="K392" s="133">
        <v>0</v>
      </c>
      <c r="L392" s="133">
        <v>0</v>
      </c>
      <c r="M392" s="45">
        <v>0</v>
      </c>
    </row>
    <row r="393" spans="1:13" x14ac:dyDescent="0.25">
      <c r="A393" s="812" t="s">
        <v>1999</v>
      </c>
      <c r="B393" s="812">
        <v>2</v>
      </c>
      <c r="C393" s="608">
        <v>39755</v>
      </c>
      <c r="D393" s="812">
        <v>99737</v>
      </c>
      <c r="E393" s="812" t="s">
        <v>2036</v>
      </c>
      <c r="F393" s="133">
        <v>0</v>
      </c>
      <c r="G393" s="133">
        <v>0</v>
      </c>
      <c r="H393" s="133">
        <v>0</v>
      </c>
      <c r="I393" s="133">
        <v>0</v>
      </c>
      <c r="J393" s="133">
        <v>0</v>
      </c>
      <c r="K393" s="133">
        <v>0</v>
      </c>
      <c r="L393" s="133">
        <v>0</v>
      </c>
      <c r="M393" s="45">
        <v>0</v>
      </c>
    </row>
    <row r="394" spans="1:13" x14ac:dyDescent="0.25">
      <c r="A394" s="812" t="s">
        <v>1999</v>
      </c>
      <c r="B394" s="812">
        <v>2</v>
      </c>
      <c r="C394" s="608">
        <v>39755</v>
      </c>
      <c r="D394" s="812">
        <v>99743</v>
      </c>
      <c r="E394" s="812" t="s">
        <v>2037</v>
      </c>
      <c r="F394" s="133">
        <v>0</v>
      </c>
      <c r="G394" s="133">
        <v>0</v>
      </c>
      <c r="H394" s="133">
        <v>0</v>
      </c>
      <c r="I394" s="133">
        <v>0</v>
      </c>
      <c r="J394" s="133">
        <v>0</v>
      </c>
      <c r="K394" s="133">
        <v>0</v>
      </c>
      <c r="L394" s="133">
        <v>0</v>
      </c>
      <c r="M394" s="45">
        <v>0</v>
      </c>
    </row>
    <row r="395" spans="1:13" x14ac:dyDescent="0.25">
      <c r="A395" s="812" t="s">
        <v>1999</v>
      </c>
      <c r="B395" s="812">
        <v>2</v>
      </c>
      <c r="C395" s="608">
        <v>39755</v>
      </c>
      <c r="D395" s="812">
        <v>99744</v>
      </c>
      <c r="E395" s="812" t="s">
        <v>2038</v>
      </c>
      <c r="F395" s="133">
        <v>0</v>
      </c>
      <c r="G395" s="133">
        <v>0</v>
      </c>
      <c r="H395" s="133">
        <v>0</v>
      </c>
      <c r="I395" s="133">
        <v>0</v>
      </c>
      <c r="J395" s="133">
        <v>0</v>
      </c>
      <c r="K395" s="133">
        <v>0</v>
      </c>
      <c r="L395" s="133">
        <v>0</v>
      </c>
      <c r="M395" s="45">
        <v>0</v>
      </c>
    </row>
    <row r="396" spans="1:13" x14ac:dyDescent="0.25">
      <c r="A396" s="812" t="s">
        <v>1999</v>
      </c>
      <c r="B396" s="812">
        <v>2</v>
      </c>
      <c r="C396" s="608">
        <v>39755</v>
      </c>
      <c r="D396" s="812">
        <v>99755</v>
      </c>
      <c r="E396" s="812" t="s">
        <v>2039</v>
      </c>
      <c r="F396" s="133">
        <v>0</v>
      </c>
      <c r="G396" s="133">
        <v>0</v>
      </c>
      <c r="H396" s="133">
        <v>0</v>
      </c>
      <c r="I396" s="133">
        <v>0</v>
      </c>
      <c r="J396" s="133">
        <v>0</v>
      </c>
      <c r="K396" s="133">
        <v>0</v>
      </c>
      <c r="L396" s="133">
        <v>0</v>
      </c>
      <c r="M396" s="45">
        <v>0</v>
      </c>
    </row>
    <row r="397" spans="1:13" x14ac:dyDescent="0.25">
      <c r="A397" s="812" t="s">
        <v>1999</v>
      </c>
      <c r="B397" s="812">
        <v>2</v>
      </c>
      <c r="C397" s="608">
        <v>39755</v>
      </c>
      <c r="D397" s="812">
        <v>99756</v>
      </c>
      <c r="E397" s="812" t="s">
        <v>2040</v>
      </c>
      <c r="F397" s="133">
        <v>0</v>
      </c>
      <c r="G397" s="133">
        <v>0</v>
      </c>
      <c r="H397" s="133">
        <v>0</v>
      </c>
      <c r="I397" s="133">
        <v>0</v>
      </c>
      <c r="J397" s="133">
        <v>0</v>
      </c>
      <c r="K397" s="133">
        <v>0</v>
      </c>
      <c r="L397" s="133">
        <v>0</v>
      </c>
      <c r="M397" s="45">
        <v>0</v>
      </c>
    </row>
    <row r="398" spans="1:13" x14ac:dyDescent="0.25">
      <c r="A398" s="812" t="s">
        <v>1999</v>
      </c>
      <c r="B398" s="812">
        <v>2</v>
      </c>
      <c r="C398" s="608">
        <v>39755</v>
      </c>
      <c r="D398" s="812">
        <v>99758</v>
      </c>
      <c r="E398" s="812" t="s">
        <v>2041</v>
      </c>
      <c r="F398" s="133">
        <v>0</v>
      </c>
      <c r="G398" s="133">
        <v>0</v>
      </c>
      <c r="H398" s="133">
        <v>0</v>
      </c>
      <c r="I398" s="133">
        <v>0</v>
      </c>
      <c r="J398" s="133">
        <v>0</v>
      </c>
      <c r="K398" s="133">
        <v>0</v>
      </c>
      <c r="L398" s="133">
        <v>0</v>
      </c>
      <c r="M398" s="45">
        <v>0</v>
      </c>
    </row>
    <row r="399" spans="1:13" x14ac:dyDescent="0.25">
      <c r="A399" s="812" t="s">
        <v>1999</v>
      </c>
      <c r="B399" s="812">
        <v>2</v>
      </c>
      <c r="C399" s="608">
        <v>39755</v>
      </c>
      <c r="D399" s="812">
        <v>99760</v>
      </c>
      <c r="E399" s="812" t="s">
        <v>2042</v>
      </c>
      <c r="F399" s="133">
        <v>0</v>
      </c>
      <c r="G399" s="133">
        <v>0</v>
      </c>
      <c r="H399" s="133">
        <v>0</v>
      </c>
      <c r="I399" s="133">
        <v>0</v>
      </c>
      <c r="J399" s="133">
        <v>0</v>
      </c>
      <c r="K399" s="133">
        <v>0</v>
      </c>
      <c r="L399" s="133">
        <v>0</v>
      </c>
      <c r="M399" s="45">
        <v>0</v>
      </c>
    </row>
    <row r="400" spans="1:13" x14ac:dyDescent="0.25">
      <c r="A400" s="812" t="s">
        <v>1999</v>
      </c>
      <c r="B400" s="812">
        <v>2</v>
      </c>
      <c r="C400" s="608">
        <v>39755</v>
      </c>
      <c r="D400" s="812">
        <v>99767</v>
      </c>
      <c r="E400" s="812" t="s">
        <v>2043</v>
      </c>
      <c r="F400" s="133">
        <v>0</v>
      </c>
      <c r="G400" s="133">
        <v>0</v>
      </c>
      <c r="H400" s="133">
        <v>0</v>
      </c>
      <c r="I400" s="133">
        <v>0</v>
      </c>
      <c r="J400" s="133">
        <v>0</v>
      </c>
      <c r="K400" s="133">
        <v>0</v>
      </c>
      <c r="L400" s="133">
        <v>0</v>
      </c>
      <c r="M400" s="45">
        <v>0</v>
      </c>
    </row>
    <row r="401" spans="1:13" x14ac:dyDescent="0.25">
      <c r="A401" s="812" t="s">
        <v>1999</v>
      </c>
      <c r="B401" s="812">
        <v>2</v>
      </c>
      <c r="C401" s="608">
        <v>39755</v>
      </c>
      <c r="D401" s="812">
        <v>99774</v>
      </c>
      <c r="E401" s="812" t="s">
        <v>2044</v>
      </c>
      <c r="F401" s="133">
        <v>0</v>
      </c>
      <c r="G401" s="133">
        <v>0</v>
      </c>
      <c r="H401" s="133">
        <v>0</v>
      </c>
      <c r="I401" s="133">
        <v>0</v>
      </c>
      <c r="J401" s="133">
        <v>0</v>
      </c>
      <c r="K401" s="133">
        <v>0</v>
      </c>
      <c r="L401" s="133">
        <v>0</v>
      </c>
      <c r="M401" s="45">
        <v>0</v>
      </c>
    </row>
    <row r="402" spans="1:13" x14ac:dyDescent="0.25">
      <c r="A402" s="812" t="s">
        <v>1999</v>
      </c>
      <c r="B402" s="812">
        <v>2</v>
      </c>
      <c r="C402" s="608">
        <v>39755</v>
      </c>
      <c r="D402" s="812">
        <v>99775</v>
      </c>
      <c r="E402" s="812" t="s">
        <v>1602</v>
      </c>
      <c r="F402" s="133">
        <v>7.0723519103051499E-5</v>
      </c>
      <c r="G402" s="133">
        <v>1.6323751583975931E-3</v>
      </c>
      <c r="H402" s="133">
        <v>8.7769790514943737E-4</v>
      </c>
      <c r="I402" s="133">
        <v>6.1357589556769874E-5</v>
      </c>
      <c r="J402" s="133">
        <v>6.1357589556769874E-5</v>
      </c>
      <c r="K402" s="133">
        <v>8.0486651773478018E-5</v>
      </c>
      <c r="L402" s="133">
        <v>1.8841367633709257E-4</v>
      </c>
      <c r="M402" s="45">
        <v>27.055450620094444</v>
      </c>
    </row>
    <row r="403" spans="1:13" x14ac:dyDescent="0.25">
      <c r="A403" s="812" t="s">
        <v>1999</v>
      </c>
      <c r="B403" s="812">
        <v>2</v>
      </c>
      <c r="C403" s="608">
        <v>39755</v>
      </c>
      <c r="D403" s="812">
        <v>99790</v>
      </c>
      <c r="E403" s="812" t="s">
        <v>2045</v>
      </c>
      <c r="F403" s="133">
        <v>0</v>
      </c>
      <c r="G403" s="133">
        <v>0</v>
      </c>
      <c r="H403" s="133">
        <v>0</v>
      </c>
      <c r="I403" s="133">
        <v>0</v>
      </c>
      <c r="J403" s="133">
        <v>0</v>
      </c>
      <c r="K403" s="133">
        <v>0</v>
      </c>
      <c r="L403" s="133">
        <v>0</v>
      </c>
      <c r="M403" s="45">
        <v>0</v>
      </c>
    </row>
    <row r="404" spans="1:13" x14ac:dyDescent="0.25">
      <c r="A404" s="812" t="s">
        <v>1999</v>
      </c>
      <c r="B404" s="812">
        <v>3</v>
      </c>
      <c r="C404" s="608">
        <v>39756</v>
      </c>
      <c r="D404" s="812">
        <v>99701</v>
      </c>
      <c r="E404" s="812" t="s">
        <v>2031</v>
      </c>
      <c r="F404" s="133">
        <v>0.7007239587330697</v>
      </c>
      <c r="G404" s="133">
        <v>0.68176213284101894</v>
      </c>
      <c r="H404" s="133">
        <v>0.80444650410617569</v>
      </c>
      <c r="I404" s="133">
        <v>0.2103347842438931</v>
      </c>
      <c r="J404" s="133">
        <v>0.2103347842438931</v>
      </c>
      <c r="K404" s="133">
        <v>2.8882967079581916E-2</v>
      </c>
      <c r="L404" s="133">
        <v>2.076145679985641</v>
      </c>
      <c r="M404" s="45">
        <v>12692.921073493064</v>
      </c>
    </row>
    <row r="405" spans="1:13" x14ac:dyDescent="0.25">
      <c r="A405" s="812" t="s">
        <v>1999</v>
      </c>
      <c r="B405" s="812">
        <v>3</v>
      </c>
      <c r="C405" s="608">
        <v>39756</v>
      </c>
      <c r="D405" s="812">
        <v>99702</v>
      </c>
      <c r="E405" s="812" t="s">
        <v>2032</v>
      </c>
      <c r="F405" s="133">
        <v>0</v>
      </c>
      <c r="G405" s="133">
        <v>0</v>
      </c>
      <c r="H405" s="133">
        <v>0</v>
      </c>
      <c r="I405" s="133">
        <v>0</v>
      </c>
      <c r="J405" s="133">
        <v>0</v>
      </c>
      <c r="K405" s="133">
        <v>0</v>
      </c>
      <c r="L405" s="133">
        <v>0</v>
      </c>
      <c r="M405" s="45">
        <v>0</v>
      </c>
    </row>
    <row r="406" spans="1:13" x14ac:dyDescent="0.25">
      <c r="A406" s="812" t="s">
        <v>1999</v>
      </c>
      <c r="B406" s="812">
        <v>3</v>
      </c>
      <c r="C406" s="608">
        <v>39756</v>
      </c>
      <c r="D406" s="812">
        <v>99703</v>
      </c>
      <c r="E406" s="812" t="s">
        <v>2033</v>
      </c>
      <c r="F406" s="133">
        <v>1.6984160462752525E-2</v>
      </c>
      <c r="G406" s="133">
        <v>1.2381678513040459E-2</v>
      </c>
      <c r="H406" s="133">
        <v>1.7861569706412811E-2</v>
      </c>
      <c r="I406" s="133">
        <v>5.6603891837389486E-3</v>
      </c>
      <c r="J406" s="133">
        <v>5.6603891837389486E-3</v>
      </c>
      <c r="K406" s="133">
        <v>4.8232864549742913E-4</v>
      </c>
      <c r="L406" s="133">
        <v>6.011416363492271E-2</v>
      </c>
      <c r="M406" s="45">
        <v>240.38168852104587</v>
      </c>
    </row>
    <row r="407" spans="1:13" x14ac:dyDescent="0.25">
      <c r="A407" s="812" t="s">
        <v>1999</v>
      </c>
      <c r="B407" s="812">
        <v>3</v>
      </c>
      <c r="C407" s="608">
        <v>39756</v>
      </c>
      <c r="D407" s="812">
        <v>99705</v>
      </c>
      <c r="E407" s="812" t="s">
        <v>1599</v>
      </c>
      <c r="F407" s="133">
        <v>2.9504785570347014</v>
      </c>
      <c r="G407" s="133">
        <v>0.6185726735748448</v>
      </c>
      <c r="H407" s="133">
        <v>1.0224382541164874</v>
      </c>
      <c r="I407" s="133">
        <v>0.89302310447126099</v>
      </c>
      <c r="J407" s="133">
        <v>0.89302310447126099</v>
      </c>
      <c r="K407" s="133">
        <v>4.1906319949853735E-2</v>
      </c>
      <c r="L407" s="133">
        <v>9.6062655303024389</v>
      </c>
      <c r="M407" s="45">
        <v>12650.398579549195</v>
      </c>
    </row>
    <row r="408" spans="1:13" x14ac:dyDescent="0.25">
      <c r="A408" s="812" t="s">
        <v>1999</v>
      </c>
      <c r="B408" s="812">
        <v>3</v>
      </c>
      <c r="C408" s="608">
        <v>39756</v>
      </c>
      <c r="D408" s="812">
        <v>99709</v>
      </c>
      <c r="E408" s="812" t="s">
        <v>1600</v>
      </c>
      <c r="F408" s="133">
        <v>2.5663855788829624</v>
      </c>
      <c r="G408" s="133">
        <v>0.72834113876455198</v>
      </c>
      <c r="H408" s="133">
        <v>1.1736105970981778</v>
      </c>
      <c r="I408" s="133">
        <v>0.70152522470751899</v>
      </c>
      <c r="J408" s="133">
        <v>0.70152522470751899</v>
      </c>
      <c r="K408" s="133">
        <v>3.9488437427255704E-2</v>
      </c>
      <c r="L408" s="133">
        <v>7.2641751577588938</v>
      </c>
      <c r="M408" s="45">
        <v>14889.74407129519</v>
      </c>
    </row>
    <row r="409" spans="1:13" x14ac:dyDescent="0.25">
      <c r="A409" s="812" t="s">
        <v>1999</v>
      </c>
      <c r="B409" s="812">
        <v>3</v>
      </c>
      <c r="C409" s="608">
        <v>39756</v>
      </c>
      <c r="D409" s="812">
        <v>99712</v>
      </c>
      <c r="E409" s="812" t="s">
        <v>1601</v>
      </c>
      <c r="F409" s="133">
        <v>1.468096464638442</v>
      </c>
      <c r="G409" s="133">
        <v>0.25696719829828168</v>
      </c>
      <c r="H409" s="133">
        <v>0.45852393030903282</v>
      </c>
      <c r="I409" s="133">
        <v>0.4001386254930302</v>
      </c>
      <c r="J409" s="133">
        <v>0.4001386254930302</v>
      </c>
      <c r="K409" s="133">
        <v>1.8774155075006967E-2</v>
      </c>
      <c r="L409" s="133">
        <v>4.1773612456283953</v>
      </c>
      <c r="M409" s="45">
        <v>5347.953111471641</v>
      </c>
    </row>
    <row r="410" spans="1:13" x14ac:dyDescent="0.25">
      <c r="A410" s="812" t="s">
        <v>1999</v>
      </c>
      <c r="B410" s="812">
        <v>3</v>
      </c>
      <c r="C410" s="608">
        <v>39756</v>
      </c>
      <c r="D410" s="812">
        <v>99714</v>
      </c>
      <c r="E410" s="812" t="s">
        <v>2034</v>
      </c>
      <c r="F410" s="133">
        <v>0</v>
      </c>
      <c r="G410" s="133">
        <v>0</v>
      </c>
      <c r="H410" s="133">
        <v>0</v>
      </c>
      <c r="I410" s="133">
        <v>0</v>
      </c>
      <c r="J410" s="133">
        <v>0</v>
      </c>
      <c r="K410" s="133">
        <v>0</v>
      </c>
      <c r="L410" s="133">
        <v>0</v>
      </c>
      <c r="M410" s="45">
        <v>0</v>
      </c>
    </row>
    <row r="411" spans="1:13" x14ac:dyDescent="0.25">
      <c r="A411" s="812" t="s">
        <v>1999</v>
      </c>
      <c r="B411" s="812">
        <v>3</v>
      </c>
      <c r="C411" s="608">
        <v>39756</v>
      </c>
      <c r="D411" s="812">
        <v>99730</v>
      </c>
      <c r="E411" s="812" t="s">
        <v>2035</v>
      </c>
      <c r="F411" s="133">
        <v>0</v>
      </c>
      <c r="G411" s="133">
        <v>0</v>
      </c>
      <c r="H411" s="133">
        <v>0</v>
      </c>
      <c r="I411" s="133">
        <v>0</v>
      </c>
      <c r="J411" s="133">
        <v>0</v>
      </c>
      <c r="K411" s="133">
        <v>0</v>
      </c>
      <c r="L411" s="133">
        <v>0</v>
      </c>
      <c r="M411" s="45">
        <v>0</v>
      </c>
    </row>
    <row r="412" spans="1:13" x14ac:dyDescent="0.25">
      <c r="A412" s="812" t="s">
        <v>1999</v>
      </c>
      <c r="B412" s="812">
        <v>3</v>
      </c>
      <c r="C412" s="608">
        <v>39756</v>
      </c>
      <c r="D412" s="812">
        <v>99737</v>
      </c>
      <c r="E412" s="812" t="s">
        <v>2036</v>
      </c>
      <c r="F412" s="133">
        <v>0</v>
      </c>
      <c r="G412" s="133">
        <v>0</v>
      </c>
      <c r="H412" s="133">
        <v>0</v>
      </c>
      <c r="I412" s="133">
        <v>0</v>
      </c>
      <c r="J412" s="133">
        <v>0</v>
      </c>
      <c r="K412" s="133">
        <v>0</v>
      </c>
      <c r="L412" s="133">
        <v>0</v>
      </c>
      <c r="M412" s="45">
        <v>0</v>
      </c>
    </row>
    <row r="413" spans="1:13" x14ac:dyDescent="0.25">
      <c r="A413" s="812" t="s">
        <v>1999</v>
      </c>
      <c r="B413" s="812">
        <v>3</v>
      </c>
      <c r="C413" s="608">
        <v>39756</v>
      </c>
      <c r="D413" s="812">
        <v>99743</v>
      </c>
      <c r="E413" s="812" t="s">
        <v>2037</v>
      </c>
      <c r="F413" s="133">
        <v>0</v>
      </c>
      <c r="G413" s="133">
        <v>0</v>
      </c>
      <c r="H413" s="133">
        <v>0</v>
      </c>
      <c r="I413" s="133">
        <v>0</v>
      </c>
      <c r="J413" s="133">
        <v>0</v>
      </c>
      <c r="K413" s="133">
        <v>0</v>
      </c>
      <c r="L413" s="133">
        <v>0</v>
      </c>
      <c r="M413" s="45">
        <v>0</v>
      </c>
    </row>
    <row r="414" spans="1:13" x14ac:dyDescent="0.25">
      <c r="A414" s="812" t="s">
        <v>1999</v>
      </c>
      <c r="B414" s="812">
        <v>3</v>
      </c>
      <c r="C414" s="608">
        <v>39756</v>
      </c>
      <c r="D414" s="812">
        <v>99744</v>
      </c>
      <c r="E414" s="812" t="s">
        <v>2038</v>
      </c>
      <c r="F414" s="133">
        <v>0</v>
      </c>
      <c r="G414" s="133">
        <v>0</v>
      </c>
      <c r="H414" s="133">
        <v>0</v>
      </c>
      <c r="I414" s="133">
        <v>0</v>
      </c>
      <c r="J414" s="133">
        <v>0</v>
      </c>
      <c r="K414" s="133">
        <v>0</v>
      </c>
      <c r="L414" s="133">
        <v>0</v>
      </c>
      <c r="M414" s="45">
        <v>0</v>
      </c>
    </row>
    <row r="415" spans="1:13" x14ac:dyDescent="0.25">
      <c r="A415" s="812" t="s">
        <v>1999</v>
      </c>
      <c r="B415" s="812">
        <v>3</v>
      </c>
      <c r="C415" s="608">
        <v>39756</v>
      </c>
      <c r="D415" s="812">
        <v>99755</v>
      </c>
      <c r="E415" s="812" t="s">
        <v>2039</v>
      </c>
      <c r="F415" s="133">
        <v>0</v>
      </c>
      <c r="G415" s="133">
        <v>0</v>
      </c>
      <c r="H415" s="133">
        <v>0</v>
      </c>
      <c r="I415" s="133">
        <v>0</v>
      </c>
      <c r="J415" s="133">
        <v>0</v>
      </c>
      <c r="K415" s="133">
        <v>0</v>
      </c>
      <c r="L415" s="133">
        <v>0</v>
      </c>
      <c r="M415" s="45">
        <v>0</v>
      </c>
    </row>
    <row r="416" spans="1:13" x14ac:dyDescent="0.25">
      <c r="A416" s="812" t="s">
        <v>1999</v>
      </c>
      <c r="B416" s="812">
        <v>3</v>
      </c>
      <c r="C416" s="608">
        <v>39756</v>
      </c>
      <c r="D416" s="812">
        <v>99756</v>
      </c>
      <c r="E416" s="812" t="s">
        <v>2040</v>
      </c>
      <c r="F416" s="133">
        <v>0</v>
      </c>
      <c r="G416" s="133">
        <v>0</v>
      </c>
      <c r="H416" s="133">
        <v>0</v>
      </c>
      <c r="I416" s="133">
        <v>0</v>
      </c>
      <c r="J416" s="133">
        <v>0</v>
      </c>
      <c r="K416" s="133">
        <v>0</v>
      </c>
      <c r="L416" s="133">
        <v>0</v>
      </c>
      <c r="M416" s="45">
        <v>0</v>
      </c>
    </row>
    <row r="417" spans="1:13" x14ac:dyDescent="0.25">
      <c r="A417" s="812" t="s">
        <v>1999</v>
      </c>
      <c r="B417" s="812">
        <v>3</v>
      </c>
      <c r="C417" s="608">
        <v>39756</v>
      </c>
      <c r="D417" s="812">
        <v>99758</v>
      </c>
      <c r="E417" s="812" t="s">
        <v>2041</v>
      </c>
      <c r="F417" s="133">
        <v>0</v>
      </c>
      <c r="G417" s="133">
        <v>0</v>
      </c>
      <c r="H417" s="133">
        <v>0</v>
      </c>
      <c r="I417" s="133">
        <v>0</v>
      </c>
      <c r="J417" s="133">
        <v>0</v>
      </c>
      <c r="K417" s="133">
        <v>0</v>
      </c>
      <c r="L417" s="133">
        <v>0</v>
      </c>
      <c r="M417" s="45">
        <v>0</v>
      </c>
    </row>
    <row r="418" spans="1:13" x14ac:dyDescent="0.25">
      <c r="A418" s="812" t="s">
        <v>1999</v>
      </c>
      <c r="B418" s="812">
        <v>3</v>
      </c>
      <c r="C418" s="608">
        <v>39756</v>
      </c>
      <c r="D418" s="812">
        <v>99760</v>
      </c>
      <c r="E418" s="812" t="s">
        <v>2042</v>
      </c>
      <c r="F418" s="133">
        <v>0</v>
      </c>
      <c r="G418" s="133">
        <v>0</v>
      </c>
      <c r="H418" s="133">
        <v>0</v>
      </c>
      <c r="I418" s="133">
        <v>0</v>
      </c>
      <c r="J418" s="133">
        <v>0</v>
      </c>
      <c r="K418" s="133">
        <v>0</v>
      </c>
      <c r="L418" s="133">
        <v>0</v>
      </c>
      <c r="M418" s="45">
        <v>0</v>
      </c>
    </row>
    <row r="419" spans="1:13" x14ac:dyDescent="0.25">
      <c r="A419" s="812" t="s">
        <v>1999</v>
      </c>
      <c r="B419" s="812">
        <v>3</v>
      </c>
      <c r="C419" s="608">
        <v>39756</v>
      </c>
      <c r="D419" s="812">
        <v>99767</v>
      </c>
      <c r="E419" s="812" t="s">
        <v>2043</v>
      </c>
      <c r="F419" s="133">
        <v>0</v>
      </c>
      <c r="G419" s="133">
        <v>0</v>
      </c>
      <c r="H419" s="133">
        <v>0</v>
      </c>
      <c r="I419" s="133">
        <v>0</v>
      </c>
      <c r="J419" s="133">
        <v>0</v>
      </c>
      <c r="K419" s="133">
        <v>0</v>
      </c>
      <c r="L419" s="133">
        <v>0</v>
      </c>
      <c r="M419" s="45">
        <v>0</v>
      </c>
    </row>
    <row r="420" spans="1:13" x14ac:dyDescent="0.25">
      <c r="A420" s="812" t="s">
        <v>1999</v>
      </c>
      <c r="B420" s="812">
        <v>3</v>
      </c>
      <c r="C420" s="608">
        <v>39756</v>
      </c>
      <c r="D420" s="812">
        <v>99774</v>
      </c>
      <c r="E420" s="812" t="s">
        <v>2044</v>
      </c>
      <c r="F420" s="133">
        <v>0</v>
      </c>
      <c r="G420" s="133">
        <v>0</v>
      </c>
      <c r="H420" s="133">
        <v>0</v>
      </c>
      <c r="I420" s="133">
        <v>0</v>
      </c>
      <c r="J420" s="133">
        <v>0</v>
      </c>
      <c r="K420" s="133">
        <v>0</v>
      </c>
      <c r="L420" s="133">
        <v>0</v>
      </c>
      <c r="M420" s="45">
        <v>0</v>
      </c>
    </row>
    <row r="421" spans="1:13" x14ac:dyDescent="0.25">
      <c r="A421" s="812" t="s">
        <v>1999</v>
      </c>
      <c r="B421" s="812">
        <v>3</v>
      </c>
      <c r="C421" s="608">
        <v>39756</v>
      </c>
      <c r="D421" s="812">
        <v>99775</v>
      </c>
      <c r="E421" s="812" t="s">
        <v>1602</v>
      </c>
      <c r="F421" s="133">
        <v>7.1569263078906443E-5</v>
      </c>
      <c r="G421" s="133">
        <v>1.6537263387137071E-3</v>
      </c>
      <c r="H421" s="133">
        <v>8.9278986833821444E-4</v>
      </c>
      <c r="I421" s="133">
        <v>6.1899194390424762E-5</v>
      </c>
      <c r="J421" s="133">
        <v>6.1899194390424762E-5</v>
      </c>
      <c r="K421" s="133">
        <v>8.0515708872803593E-5</v>
      </c>
      <c r="L421" s="133">
        <v>1.889449004114357E-4</v>
      </c>
      <c r="M421" s="45">
        <v>27.384021561625755</v>
      </c>
    </row>
    <row r="422" spans="1:13" x14ac:dyDescent="0.25">
      <c r="A422" s="812" t="s">
        <v>1999</v>
      </c>
      <c r="B422" s="812">
        <v>3</v>
      </c>
      <c r="C422" s="608">
        <v>39756</v>
      </c>
      <c r="D422" s="812">
        <v>99790</v>
      </c>
      <c r="E422" s="812" t="s">
        <v>2045</v>
      </c>
      <c r="F422" s="133">
        <v>0</v>
      </c>
      <c r="G422" s="133">
        <v>0</v>
      </c>
      <c r="H422" s="133">
        <v>0</v>
      </c>
      <c r="I422" s="133">
        <v>0</v>
      </c>
      <c r="J422" s="133">
        <v>0</v>
      </c>
      <c r="K422" s="133">
        <v>0</v>
      </c>
      <c r="L422" s="133">
        <v>0</v>
      </c>
      <c r="M422" s="45">
        <v>0</v>
      </c>
    </row>
    <row r="423" spans="1:13" x14ac:dyDescent="0.25">
      <c r="A423" s="812" t="s">
        <v>1999</v>
      </c>
      <c r="B423" s="812">
        <v>4</v>
      </c>
      <c r="C423" s="608">
        <v>39757</v>
      </c>
      <c r="D423" s="812">
        <v>99701</v>
      </c>
      <c r="E423" s="812" t="s">
        <v>2031</v>
      </c>
      <c r="F423" s="133">
        <v>0.76722117359190511</v>
      </c>
      <c r="G423" s="133">
        <v>0.73789535215373259</v>
      </c>
      <c r="H423" s="133">
        <v>0.86970891543728668</v>
      </c>
      <c r="I423" s="133">
        <v>0.22816301510436277</v>
      </c>
      <c r="J423" s="133">
        <v>0.22816301510436277</v>
      </c>
      <c r="K423" s="133">
        <v>2.966668820603776E-2</v>
      </c>
      <c r="L423" s="133">
        <v>2.2494164477808036</v>
      </c>
      <c r="M423" s="45">
        <v>13660.183621915663</v>
      </c>
    </row>
    <row r="424" spans="1:13" x14ac:dyDescent="0.25">
      <c r="A424" s="812" t="s">
        <v>1999</v>
      </c>
      <c r="B424" s="812">
        <v>4</v>
      </c>
      <c r="C424" s="608">
        <v>39757</v>
      </c>
      <c r="D424" s="812">
        <v>99702</v>
      </c>
      <c r="E424" s="812" t="s">
        <v>2032</v>
      </c>
      <c r="F424" s="133">
        <v>0</v>
      </c>
      <c r="G424" s="133">
        <v>0</v>
      </c>
      <c r="H424" s="133">
        <v>0</v>
      </c>
      <c r="I424" s="133">
        <v>0</v>
      </c>
      <c r="J424" s="133">
        <v>0</v>
      </c>
      <c r="K424" s="133">
        <v>0</v>
      </c>
      <c r="L424" s="133">
        <v>0</v>
      </c>
      <c r="M424" s="45">
        <v>0</v>
      </c>
    </row>
    <row r="425" spans="1:13" x14ac:dyDescent="0.25">
      <c r="A425" s="812" t="s">
        <v>1999</v>
      </c>
      <c r="B425" s="812">
        <v>4</v>
      </c>
      <c r="C425" s="608">
        <v>39757</v>
      </c>
      <c r="D425" s="812">
        <v>99703</v>
      </c>
      <c r="E425" s="812" t="s">
        <v>2033</v>
      </c>
      <c r="F425" s="133">
        <v>1.848256122171902E-2</v>
      </c>
      <c r="G425" s="133">
        <v>1.3383701429182934E-2</v>
      </c>
      <c r="H425" s="133">
        <v>1.9264617453448263E-2</v>
      </c>
      <c r="I425" s="133">
        <v>6.132412838432408E-3</v>
      </c>
      <c r="J425" s="133">
        <v>6.132412838432408E-3</v>
      </c>
      <c r="K425" s="133">
        <v>5.01859409842957E-4</v>
      </c>
      <c r="L425" s="133">
        <v>6.5172050214890531E-2</v>
      </c>
      <c r="M425" s="45">
        <v>258.64159618678349</v>
      </c>
    </row>
    <row r="426" spans="1:13" x14ac:dyDescent="0.25">
      <c r="A426" s="812" t="s">
        <v>1999</v>
      </c>
      <c r="B426" s="812">
        <v>4</v>
      </c>
      <c r="C426" s="608">
        <v>39757</v>
      </c>
      <c r="D426" s="812">
        <v>99705</v>
      </c>
      <c r="E426" s="812" t="s">
        <v>1599</v>
      </c>
      <c r="F426" s="133">
        <v>3.2543415558519664</v>
      </c>
      <c r="G426" s="133">
        <v>0.67441373518994341</v>
      </c>
      <c r="H426" s="133">
        <v>1.1137471963655383</v>
      </c>
      <c r="I426" s="133">
        <v>0.98243239722698983</v>
      </c>
      <c r="J426" s="133">
        <v>0.98243239722698983</v>
      </c>
      <c r="K426" s="133">
        <v>4.5751932682963611E-2</v>
      </c>
      <c r="L426" s="133">
        <v>10.597416391457889</v>
      </c>
      <c r="M426" s="45">
        <v>13765.097949893991</v>
      </c>
    </row>
    <row r="427" spans="1:13" x14ac:dyDescent="0.25">
      <c r="A427" s="812" t="s">
        <v>1999</v>
      </c>
      <c r="B427" s="812">
        <v>4</v>
      </c>
      <c r="C427" s="608">
        <v>39757</v>
      </c>
      <c r="D427" s="812">
        <v>99709</v>
      </c>
      <c r="E427" s="812" t="s">
        <v>1600</v>
      </c>
      <c r="F427" s="133">
        <v>2.5790282773596296</v>
      </c>
      <c r="G427" s="133">
        <v>0.7538851403633684</v>
      </c>
      <c r="H427" s="133">
        <v>1.2039778451052985</v>
      </c>
      <c r="I427" s="133">
        <v>0.70391286553606447</v>
      </c>
      <c r="J427" s="133">
        <v>0.70391286553606447</v>
      </c>
      <c r="K427" s="133">
        <v>3.9632601863905298E-2</v>
      </c>
      <c r="L427" s="133">
        <v>7.275781514470979</v>
      </c>
      <c r="M427" s="45">
        <v>15335.257430120964</v>
      </c>
    </row>
    <row r="428" spans="1:13" x14ac:dyDescent="0.25">
      <c r="A428" s="812" t="s">
        <v>1999</v>
      </c>
      <c r="B428" s="812">
        <v>4</v>
      </c>
      <c r="C428" s="608">
        <v>39757</v>
      </c>
      <c r="D428" s="812">
        <v>99712</v>
      </c>
      <c r="E428" s="812" t="s">
        <v>1601</v>
      </c>
      <c r="F428" s="133">
        <v>1.3343384792787831</v>
      </c>
      <c r="G428" s="133">
        <v>0.24145607103402236</v>
      </c>
      <c r="H428" s="133">
        <v>0.42809235701203402</v>
      </c>
      <c r="I428" s="133">
        <v>0.36534482372396848</v>
      </c>
      <c r="J428" s="133">
        <v>0.36534482372396848</v>
      </c>
      <c r="K428" s="133">
        <v>1.7211648353683124E-2</v>
      </c>
      <c r="L428" s="133">
        <v>3.8076131401785904</v>
      </c>
      <c r="M428" s="45">
        <v>5016.7671723265039</v>
      </c>
    </row>
    <row r="429" spans="1:13" x14ac:dyDescent="0.25">
      <c r="A429" s="812" t="s">
        <v>1999</v>
      </c>
      <c r="B429" s="812">
        <v>4</v>
      </c>
      <c r="C429" s="608">
        <v>39757</v>
      </c>
      <c r="D429" s="812">
        <v>99714</v>
      </c>
      <c r="E429" s="812" t="s">
        <v>2034</v>
      </c>
      <c r="F429" s="133">
        <v>0</v>
      </c>
      <c r="G429" s="133">
        <v>0</v>
      </c>
      <c r="H429" s="133">
        <v>0</v>
      </c>
      <c r="I429" s="133">
        <v>0</v>
      </c>
      <c r="J429" s="133">
        <v>0</v>
      </c>
      <c r="K429" s="133">
        <v>0</v>
      </c>
      <c r="L429" s="133">
        <v>0</v>
      </c>
      <c r="M429" s="45">
        <v>0</v>
      </c>
    </row>
    <row r="430" spans="1:13" x14ac:dyDescent="0.25">
      <c r="A430" s="812" t="s">
        <v>1999</v>
      </c>
      <c r="B430" s="812">
        <v>4</v>
      </c>
      <c r="C430" s="608">
        <v>39757</v>
      </c>
      <c r="D430" s="812">
        <v>99730</v>
      </c>
      <c r="E430" s="812" t="s">
        <v>2035</v>
      </c>
      <c r="F430" s="133">
        <v>0</v>
      </c>
      <c r="G430" s="133">
        <v>0</v>
      </c>
      <c r="H430" s="133">
        <v>0</v>
      </c>
      <c r="I430" s="133">
        <v>0</v>
      </c>
      <c r="J430" s="133">
        <v>0</v>
      </c>
      <c r="K430" s="133">
        <v>0</v>
      </c>
      <c r="L430" s="133">
        <v>0</v>
      </c>
      <c r="M430" s="45">
        <v>0</v>
      </c>
    </row>
    <row r="431" spans="1:13" x14ac:dyDescent="0.25">
      <c r="A431" s="812" t="s">
        <v>1999</v>
      </c>
      <c r="B431" s="812">
        <v>4</v>
      </c>
      <c r="C431" s="608">
        <v>39757</v>
      </c>
      <c r="D431" s="812">
        <v>99737</v>
      </c>
      <c r="E431" s="812" t="s">
        <v>2036</v>
      </c>
      <c r="F431" s="133">
        <v>0</v>
      </c>
      <c r="G431" s="133">
        <v>0</v>
      </c>
      <c r="H431" s="133">
        <v>0</v>
      </c>
      <c r="I431" s="133">
        <v>0</v>
      </c>
      <c r="J431" s="133">
        <v>0</v>
      </c>
      <c r="K431" s="133">
        <v>0</v>
      </c>
      <c r="L431" s="133">
        <v>0</v>
      </c>
      <c r="M431" s="45">
        <v>0</v>
      </c>
    </row>
    <row r="432" spans="1:13" x14ac:dyDescent="0.25">
      <c r="A432" s="812" t="s">
        <v>1999</v>
      </c>
      <c r="B432" s="812">
        <v>4</v>
      </c>
      <c r="C432" s="608">
        <v>39757</v>
      </c>
      <c r="D432" s="812">
        <v>99743</v>
      </c>
      <c r="E432" s="812" t="s">
        <v>2037</v>
      </c>
      <c r="F432" s="133">
        <v>0</v>
      </c>
      <c r="G432" s="133">
        <v>0</v>
      </c>
      <c r="H432" s="133">
        <v>0</v>
      </c>
      <c r="I432" s="133">
        <v>0</v>
      </c>
      <c r="J432" s="133">
        <v>0</v>
      </c>
      <c r="K432" s="133">
        <v>0</v>
      </c>
      <c r="L432" s="133">
        <v>0</v>
      </c>
      <c r="M432" s="45">
        <v>0</v>
      </c>
    </row>
    <row r="433" spans="1:13" x14ac:dyDescent="0.25">
      <c r="A433" s="812" t="s">
        <v>1999</v>
      </c>
      <c r="B433" s="812">
        <v>4</v>
      </c>
      <c r="C433" s="608">
        <v>39757</v>
      </c>
      <c r="D433" s="812">
        <v>99744</v>
      </c>
      <c r="E433" s="812" t="s">
        <v>2038</v>
      </c>
      <c r="F433" s="133">
        <v>0</v>
      </c>
      <c r="G433" s="133">
        <v>0</v>
      </c>
      <c r="H433" s="133">
        <v>0</v>
      </c>
      <c r="I433" s="133">
        <v>0</v>
      </c>
      <c r="J433" s="133">
        <v>0</v>
      </c>
      <c r="K433" s="133">
        <v>0</v>
      </c>
      <c r="L433" s="133">
        <v>0</v>
      </c>
      <c r="M433" s="45">
        <v>0</v>
      </c>
    </row>
    <row r="434" spans="1:13" x14ac:dyDescent="0.25">
      <c r="A434" s="812" t="s">
        <v>1999</v>
      </c>
      <c r="B434" s="812">
        <v>4</v>
      </c>
      <c r="C434" s="608">
        <v>39757</v>
      </c>
      <c r="D434" s="812">
        <v>99755</v>
      </c>
      <c r="E434" s="812" t="s">
        <v>2039</v>
      </c>
      <c r="F434" s="133">
        <v>0</v>
      </c>
      <c r="G434" s="133">
        <v>0</v>
      </c>
      <c r="H434" s="133">
        <v>0</v>
      </c>
      <c r="I434" s="133">
        <v>0</v>
      </c>
      <c r="J434" s="133">
        <v>0</v>
      </c>
      <c r="K434" s="133">
        <v>0</v>
      </c>
      <c r="L434" s="133">
        <v>0</v>
      </c>
      <c r="M434" s="45">
        <v>0</v>
      </c>
    </row>
    <row r="435" spans="1:13" x14ac:dyDescent="0.25">
      <c r="A435" s="812" t="s">
        <v>1999</v>
      </c>
      <c r="B435" s="812">
        <v>4</v>
      </c>
      <c r="C435" s="608">
        <v>39757</v>
      </c>
      <c r="D435" s="812">
        <v>99756</v>
      </c>
      <c r="E435" s="812" t="s">
        <v>2040</v>
      </c>
      <c r="F435" s="133">
        <v>0</v>
      </c>
      <c r="G435" s="133">
        <v>0</v>
      </c>
      <c r="H435" s="133">
        <v>0</v>
      </c>
      <c r="I435" s="133">
        <v>0</v>
      </c>
      <c r="J435" s="133">
        <v>0</v>
      </c>
      <c r="K435" s="133">
        <v>0</v>
      </c>
      <c r="L435" s="133">
        <v>0</v>
      </c>
      <c r="M435" s="45">
        <v>0</v>
      </c>
    </row>
    <row r="436" spans="1:13" x14ac:dyDescent="0.25">
      <c r="A436" s="812" t="s">
        <v>1999</v>
      </c>
      <c r="B436" s="812">
        <v>4</v>
      </c>
      <c r="C436" s="608">
        <v>39757</v>
      </c>
      <c r="D436" s="812">
        <v>99758</v>
      </c>
      <c r="E436" s="812" t="s">
        <v>2041</v>
      </c>
      <c r="F436" s="133">
        <v>0</v>
      </c>
      <c r="G436" s="133">
        <v>0</v>
      </c>
      <c r="H436" s="133">
        <v>0</v>
      </c>
      <c r="I436" s="133">
        <v>0</v>
      </c>
      <c r="J436" s="133">
        <v>0</v>
      </c>
      <c r="K436" s="133">
        <v>0</v>
      </c>
      <c r="L436" s="133">
        <v>0</v>
      </c>
      <c r="M436" s="45">
        <v>0</v>
      </c>
    </row>
    <row r="437" spans="1:13" x14ac:dyDescent="0.25">
      <c r="A437" s="812" t="s">
        <v>1999</v>
      </c>
      <c r="B437" s="812">
        <v>4</v>
      </c>
      <c r="C437" s="608">
        <v>39757</v>
      </c>
      <c r="D437" s="812">
        <v>99760</v>
      </c>
      <c r="E437" s="812" t="s">
        <v>2042</v>
      </c>
      <c r="F437" s="133">
        <v>0</v>
      </c>
      <c r="G437" s="133">
        <v>0</v>
      </c>
      <c r="H437" s="133">
        <v>0</v>
      </c>
      <c r="I437" s="133">
        <v>0</v>
      </c>
      <c r="J437" s="133">
        <v>0</v>
      </c>
      <c r="K437" s="133">
        <v>0</v>
      </c>
      <c r="L437" s="133">
        <v>0</v>
      </c>
      <c r="M437" s="45">
        <v>0</v>
      </c>
    </row>
    <row r="438" spans="1:13" x14ac:dyDescent="0.25">
      <c r="A438" s="812" t="s">
        <v>1999</v>
      </c>
      <c r="B438" s="812">
        <v>4</v>
      </c>
      <c r="C438" s="608">
        <v>39757</v>
      </c>
      <c r="D438" s="812">
        <v>99767</v>
      </c>
      <c r="E438" s="812" t="s">
        <v>2043</v>
      </c>
      <c r="F438" s="133">
        <v>0</v>
      </c>
      <c r="G438" s="133">
        <v>0</v>
      </c>
      <c r="H438" s="133">
        <v>0</v>
      </c>
      <c r="I438" s="133">
        <v>0</v>
      </c>
      <c r="J438" s="133">
        <v>0</v>
      </c>
      <c r="K438" s="133">
        <v>0</v>
      </c>
      <c r="L438" s="133">
        <v>0</v>
      </c>
      <c r="M438" s="45">
        <v>0</v>
      </c>
    </row>
    <row r="439" spans="1:13" x14ac:dyDescent="0.25">
      <c r="A439" s="812" t="s">
        <v>1999</v>
      </c>
      <c r="B439" s="812">
        <v>4</v>
      </c>
      <c r="C439" s="608">
        <v>39757</v>
      </c>
      <c r="D439" s="812">
        <v>99774</v>
      </c>
      <c r="E439" s="812" t="s">
        <v>2044</v>
      </c>
      <c r="F439" s="133">
        <v>0</v>
      </c>
      <c r="G439" s="133">
        <v>0</v>
      </c>
      <c r="H439" s="133">
        <v>0</v>
      </c>
      <c r="I439" s="133">
        <v>0</v>
      </c>
      <c r="J439" s="133">
        <v>0</v>
      </c>
      <c r="K439" s="133">
        <v>0</v>
      </c>
      <c r="L439" s="133">
        <v>0</v>
      </c>
      <c r="M439" s="45">
        <v>0</v>
      </c>
    </row>
    <row r="440" spans="1:13" x14ac:dyDescent="0.25">
      <c r="A440" s="812" t="s">
        <v>1999</v>
      </c>
      <c r="B440" s="812">
        <v>4</v>
      </c>
      <c r="C440" s="608">
        <v>39757</v>
      </c>
      <c r="D440" s="812">
        <v>99775</v>
      </c>
      <c r="E440" s="812" t="s">
        <v>1602</v>
      </c>
      <c r="F440" s="133">
        <v>7.7489470909891217E-5</v>
      </c>
      <c r="G440" s="133">
        <v>1.8031846009265071E-3</v>
      </c>
      <c r="H440" s="133">
        <v>9.9843361065965301E-4</v>
      </c>
      <c r="I440" s="133">
        <v>6.5690428226009045E-5</v>
      </c>
      <c r="J440" s="133">
        <v>6.5690428226009045E-5</v>
      </c>
      <c r="K440" s="133">
        <v>8.071910856808269E-5</v>
      </c>
      <c r="L440" s="133">
        <v>1.9266346893183798E-4</v>
      </c>
      <c r="M440" s="45">
        <v>29.684018152344947</v>
      </c>
    </row>
    <row r="441" spans="1:13" x14ac:dyDescent="0.25">
      <c r="A441" s="812" t="s">
        <v>1999</v>
      </c>
      <c r="B441" s="812">
        <v>4</v>
      </c>
      <c r="C441" s="608">
        <v>39757</v>
      </c>
      <c r="D441" s="812">
        <v>99790</v>
      </c>
      <c r="E441" s="812" t="s">
        <v>2045</v>
      </c>
      <c r="F441" s="133">
        <v>0</v>
      </c>
      <c r="G441" s="133">
        <v>0</v>
      </c>
      <c r="H441" s="133">
        <v>0</v>
      </c>
      <c r="I441" s="133">
        <v>0</v>
      </c>
      <c r="J441" s="133">
        <v>0</v>
      </c>
      <c r="K441" s="133">
        <v>0</v>
      </c>
      <c r="L441" s="133">
        <v>0</v>
      </c>
      <c r="M441" s="45">
        <v>0</v>
      </c>
    </row>
    <row r="442" spans="1:13" x14ac:dyDescent="0.25">
      <c r="A442" s="812" t="s">
        <v>1999</v>
      </c>
      <c r="B442" s="812">
        <v>5</v>
      </c>
      <c r="C442" s="608">
        <v>39758</v>
      </c>
      <c r="D442" s="812">
        <v>99701</v>
      </c>
      <c r="E442" s="812" t="s">
        <v>2031</v>
      </c>
      <c r="F442" s="133">
        <v>0.78464456886102185</v>
      </c>
      <c r="G442" s="133">
        <v>0.74270050029212797</v>
      </c>
      <c r="H442" s="133">
        <v>0.88029484431567262</v>
      </c>
      <c r="I442" s="133">
        <v>0.23283109122032258</v>
      </c>
      <c r="J442" s="133">
        <v>0.23283109122032258</v>
      </c>
      <c r="K442" s="133">
        <v>2.986681756246766E-2</v>
      </c>
      <c r="L442" s="133">
        <v>2.2983161704665886</v>
      </c>
      <c r="M442" s="45">
        <v>13768.099055411401</v>
      </c>
    </row>
    <row r="443" spans="1:13" x14ac:dyDescent="0.25">
      <c r="A443" s="812" t="s">
        <v>1999</v>
      </c>
      <c r="B443" s="812">
        <v>5</v>
      </c>
      <c r="C443" s="608">
        <v>39758</v>
      </c>
      <c r="D443" s="812">
        <v>99702</v>
      </c>
      <c r="E443" s="812" t="s">
        <v>2032</v>
      </c>
      <c r="F443" s="133">
        <v>0</v>
      </c>
      <c r="G443" s="133">
        <v>0</v>
      </c>
      <c r="H443" s="133">
        <v>0</v>
      </c>
      <c r="I443" s="133">
        <v>0</v>
      </c>
      <c r="J443" s="133">
        <v>0</v>
      </c>
      <c r="K443" s="133">
        <v>0</v>
      </c>
      <c r="L443" s="133">
        <v>0</v>
      </c>
      <c r="M443" s="45">
        <v>0</v>
      </c>
    </row>
    <row r="444" spans="1:13" x14ac:dyDescent="0.25">
      <c r="A444" s="812" t="s">
        <v>1999</v>
      </c>
      <c r="B444" s="812">
        <v>5</v>
      </c>
      <c r="C444" s="608">
        <v>39758</v>
      </c>
      <c r="D444" s="812">
        <v>99703</v>
      </c>
      <c r="E444" s="812" t="s">
        <v>2033</v>
      </c>
      <c r="F444" s="133">
        <v>1.9100469794731144E-2</v>
      </c>
      <c r="G444" s="133">
        <v>1.3587760326371531E-2</v>
      </c>
      <c r="H444" s="133">
        <v>1.9705678979341626E-2</v>
      </c>
      <c r="I444" s="133">
        <v>6.3223987890951155E-3</v>
      </c>
      <c r="J444" s="133">
        <v>6.3223987890951155E-3</v>
      </c>
      <c r="K444" s="133">
        <v>5.0954626959387255E-4</v>
      </c>
      <c r="L444" s="133">
        <v>6.7270078747808576E-2</v>
      </c>
      <c r="M444" s="45">
        <v>263.1837478557315</v>
      </c>
    </row>
    <row r="445" spans="1:13" x14ac:dyDescent="0.25">
      <c r="A445" s="812" t="s">
        <v>1999</v>
      </c>
      <c r="B445" s="812">
        <v>5</v>
      </c>
      <c r="C445" s="608">
        <v>39758</v>
      </c>
      <c r="D445" s="812">
        <v>99705</v>
      </c>
      <c r="E445" s="812" t="s">
        <v>1599</v>
      </c>
      <c r="F445" s="133">
        <v>3.3363574369396551</v>
      </c>
      <c r="G445" s="133">
        <v>0.68706459841345346</v>
      </c>
      <c r="H445" s="133">
        <v>1.1364665423450029</v>
      </c>
      <c r="I445" s="133">
        <v>1.0064855444071932</v>
      </c>
      <c r="J445" s="133">
        <v>1.0064855444071932</v>
      </c>
      <c r="K445" s="133">
        <v>4.6782455372972716E-2</v>
      </c>
      <c r="L445" s="133">
        <v>10.864473305926568</v>
      </c>
      <c r="M445" s="45">
        <v>14027.962121671417</v>
      </c>
    </row>
    <row r="446" spans="1:13" x14ac:dyDescent="0.25">
      <c r="A446" s="812" t="s">
        <v>1999</v>
      </c>
      <c r="B446" s="812">
        <v>5</v>
      </c>
      <c r="C446" s="608">
        <v>39758</v>
      </c>
      <c r="D446" s="812">
        <v>99709</v>
      </c>
      <c r="E446" s="812" t="s">
        <v>1600</v>
      </c>
      <c r="F446" s="133">
        <v>2.5277322418748467</v>
      </c>
      <c r="G446" s="133">
        <v>0.74847878541117696</v>
      </c>
      <c r="H446" s="133">
        <v>1.1940024333874328</v>
      </c>
      <c r="I446" s="133">
        <v>0.69230353198384886</v>
      </c>
      <c r="J446" s="133">
        <v>0.69230353198384886</v>
      </c>
      <c r="K446" s="133">
        <v>3.9113307972443327E-2</v>
      </c>
      <c r="L446" s="133">
        <v>7.1611278233404541</v>
      </c>
      <c r="M446" s="45">
        <v>15221.5872693743</v>
      </c>
    </row>
    <row r="447" spans="1:13" x14ac:dyDescent="0.25">
      <c r="A447" s="812" t="s">
        <v>1999</v>
      </c>
      <c r="B447" s="812">
        <v>5</v>
      </c>
      <c r="C447" s="608">
        <v>39758</v>
      </c>
      <c r="D447" s="812">
        <v>99712</v>
      </c>
      <c r="E447" s="812" t="s">
        <v>1601</v>
      </c>
      <c r="F447" s="133">
        <v>1.3240397217454247</v>
      </c>
      <c r="G447" s="133">
        <v>0.24083212554685932</v>
      </c>
      <c r="H447" s="133">
        <v>0.42685568552341552</v>
      </c>
      <c r="I447" s="133">
        <v>0.3636183942769069</v>
      </c>
      <c r="J447" s="133">
        <v>0.3636183942769069</v>
      </c>
      <c r="K447" s="133">
        <v>1.7118001642034669E-2</v>
      </c>
      <c r="L447" s="133">
        <v>3.7937876300477584</v>
      </c>
      <c r="M447" s="45">
        <v>5004.0628807820558</v>
      </c>
    </row>
    <row r="448" spans="1:13" x14ac:dyDescent="0.25">
      <c r="A448" s="812" t="s">
        <v>1999</v>
      </c>
      <c r="B448" s="812">
        <v>5</v>
      </c>
      <c r="C448" s="608">
        <v>39758</v>
      </c>
      <c r="D448" s="812">
        <v>99714</v>
      </c>
      <c r="E448" s="812" t="s">
        <v>2034</v>
      </c>
      <c r="F448" s="133">
        <v>0</v>
      </c>
      <c r="G448" s="133">
        <v>0</v>
      </c>
      <c r="H448" s="133">
        <v>0</v>
      </c>
      <c r="I448" s="133">
        <v>0</v>
      </c>
      <c r="J448" s="133">
        <v>0</v>
      </c>
      <c r="K448" s="133">
        <v>0</v>
      </c>
      <c r="L448" s="133">
        <v>0</v>
      </c>
      <c r="M448" s="45">
        <v>0</v>
      </c>
    </row>
    <row r="449" spans="1:13" x14ac:dyDescent="0.25">
      <c r="A449" s="812" t="s">
        <v>1999</v>
      </c>
      <c r="B449" s="812">
        <v>5</v>
      </c>
      <c r="C449" s="608">
        <v>39758</v>
      </c>
      <c r="D449" s="812">
        <v>99730</v>
      </c>
      <c r="E449" s="812" t="s">
        <v>2035</v>
      </c>
      <c r="F449" s="133">
        <v>0</v>
      </c>
      <c r="G449" s="133">
        <v>0</v>
      </c>
      <c r="H449" s="133">
        <v>0</v>
      </c>
      <c r="I449" s="133">
        <v>0</v>
      </c>
      <c r="J449" s="133">
        <v>0</v>
      </c>
      <c r="K449" s="133">
        <v>0</v>
      </c>
      <c r="L449" s="133">
        <v>0</v>
      </c>
      <c r="M449" s="45">
        <v>0</v>
      </c>
    </row>
    <row r="450" spans="1:13" x14ac:dyDescent="0.25">
      <c r="A450" s="812" t="s">
        <v>1999</v>
      </c>
      <c r="B450" s="812">
        <v>5</v>
      </c>
      <c r="C450" s="608">
        <v>39758</v>
      </c>
      <c r="D450" s="812">
        <v>99737</v>
      </c>
      <c r="E450" s="812" t="s">
        <v>2036</v>
      </c>
      <c r="F450" s="133">
        <v>0</v>
      </c>
      <c r="G450" s="133">
        <v>0</v>
      </c>
      <c r="H450" s="133">
        <v>0</v>
      </c>
      <c r="I450" s="133">
        <v>0</v>
      </c>
      <c r="J450" s="133">
        <v>0</v>
      </c>
      <c r="K450" s="133">
        <v>0</v>
      </c>
      <c r="L450" s="133">
        <v>0</v>
      </c>
      <c r="M450" s="45">
        <v>0</v>
      </c>
    </row>
    <row r="451" spans="1:13" x14ac:dyDescent="0.25">
      <c r="A451" s="812" t="s">
        <v>1999</v>
      </c>
      <c r="B451" s="812">
        <v>5</v>
      </c>
      <c r="C451" s="608">
        <v>39758</v>
      </c>
      <c r="D451" s="812">
        <v>99743</v>
      </c>
      <c r="E451" s="812" t="s">
        <v>2037</v>
      </c>
      <c r="F451" s="133">
        <v>0</v>
      </c>
      <c r="G451" s="133">
        <v>0</v>
      </c>
      <c r="H451" s="133">
        <v>0</v>
      </c>
      <c r="I451" s="133">
        <v>0</v>
      </c>
      <c r="J451" s="133">
        <v>0</v>
      </c>
      <c r="K451" s="133">
        <v>0</v>
      </c>
      <c r="L451" s="133">
        <v>0</v>
      </c>
      <c r="M451" s="45">
        <v>0</v>
      </c>
    </row>
    <row r="452" spans="1:13" x14ac:dyDescent="0.25">
      <c r="A452" s="812" t="s">
        <v>1999</v>
      </c>
      <c r="B452" s="812">
        <v>5</v>
      </c>
      <c r="C452" s="608">
        <v>39758</v>
      </c>
      <c r="D452" s="812">
        <v>99744</v>
      </c>
      <c r="E452" s="812" t="s">
        <v>2038</v>
      </c>
      <c r="F452" s="133">
        <v>0</v>
      </c>
      <c r="G452" s="133">
        <v>0</v>
      </c>
      <c r="H452" s="133">
        <v>0</v>
      </c>
      <c r="I452" s="133">
        <v>0</v>
      </c>
      <c r="J452" s="133">
        <v>0</v>
      </c>
      <c r="K452" s="133">
        <v>0</v>
      </c>
      <c r="L452" s="133">
        <v>0</v>
      </c>
      <c r="M452" s="45">
        <v>0</v>
      </c>
    </row>
    <row r="453" spans="1:13" x14ac:dyDescent="0.25">
      <c r="A453" s="812" t="s">
        <v>1999</v>
      </c>
      <c r="B453" s="812">
        <v>5</v>
      </c>
      <c r="C453" s="608">
        <v>39758</v>
      </c>
      <c r="D453" s="812">
        <v>99755</v>
      </c>
      <c r="E453" s="812" t="s">
        <v>2039</v>
      </c>
      <c r="F453" s="133">
        <v>0</v>
      </c>
      <c r="G453" s="133">
        <v>0</v>
      </c>
      <c r="H453" s="133">
        <v>0</v>
      </c>
      <c r="I453" s="133">
        <v>0</v>
      </c>
      <c r="J453" s="133">
        <v>0</v>
      </c>
      <c r="K453" s="133">
        <v>0</v>
      </c>
      <c r="L453" s="133">
        <v>0</v>
      </c>
      <c r="M453" s="45">
        <v>0</v>
      </c>
    </row>
    <row r="454" spans="1:13" x14ac:dyDescent="0.25">
      <c r="A454" s="812" t="s">
        <v>1999</v>
      </c>
      <c r="B454" s="812">
        <v>5</v>
      </c>
      <c r="C454" s="608">
        <v>39758</v>
      </c>
      <c r="D454" s="812">
        <v>99756</v>
      </c>
      <c r="E454" s="812" t="s">
        <v>2040</v>
      </c>
      <c r="F454" s="133">
        <v>0</v>
      </c>
      <c r="G454" s="133">
        <v>0</v>
      </c>
      <c r="H454" s="133">
        <v>0</v>
      </c>
      <c r="I454" s="133">
        <v>0</v>
      </c>
      <c r="J454" s="133">
        <v>0</v>
      </c>
      <c r="K454" s="133">
        <v>0</v>
      </c>
      <c r="L454" s="133">
        <v>0</v>
      </c>
      <c r="M454" s="45">
        <v>0</v>
      </c>
    </row>
    <row r="455" spans="1:13" x14ac:dyDescent="0.25">
      <c r="A455" s="812" t="s">
        <v>1999</v>
      </c>
      <c r="B455" s="812">
        <v>5</v>
      </c>
      <c r="C455" s="608">
        <v>39758</v>
      </c>
      <c r="D455" s="812">
        <v>99758</v>
      </c>
      <c r="E455" s="812" t="s">
        <v>2041</v>
      </c>
      <c r="F455" s="133">
        <v>0</v>
      </c>
      <c r="G455" s="133">
        <v>0</v>
      </c>
      <c r="H455" s="133">
        <v>0</v>
      </c>
      <c r="I455" s="133">
        <v>0</v>
      </c>
      <c r="J455" s="133">
        <v>0</v>
      </c>
      <c r="K455" s="133">
        <v>0</v>
      </c>
      <c r="L455" s="133">
        <v>0</v>
      </c>
      <c r="M455" s="45">
        <v>0</v>
      </c>
    </row>
    <row r="456" spans="1:13" x14ac:dyDescent="0.25">
      <c r="A456" s="812" t="s">
        <v>1999</v>
      </c>
      <c r="B456" s="812">
        <v>5</v>
      </c>
      <c r="C456" s="608">
        <v>39758</v>
      </c>
      <c r="D456" s="812">
        <v>99760</v>
      </c>
      <c r="E456" s="812" t="s">
        <v>2042</v>
      </c>
      <c r="F456" s="133">
        <v>0</v>
      </c>
      <c r="G456" s="133">
        <v>0</v>
      </c>
      <c r="H456" s="133">
        <v>0</v>
      </c>
      <c r="I456" s="133">
        <v>0</v>
      </c>
      <c r="J456" s="133">
        <v>0</v>
      </c>
      <c r="K456" s="133">
        <v>0</v>
      </c>
      <c r="L456" s="133">
        <v>0</v>
      </c>
      <c r="M456" s="45">
        <v>0</v>
      </c>
    </row>
    <row r="457" spans="1:13" x14ac:dyDescent="0.25">
      <c r="A457" s="812" t="s">
        <v>1999</v>
      </c>
      <c r="B457" s="812">
        <v>5</v>
      </c>
      <c r="C457" s="608">
        <v>39758</v>
      </c>
      <c r="D457" s="812">
        <v>99767</v>
      </c>
      <c r="E457" s="812" t="s">
        <v>2043</v>
      </c>
      <c r="F457" s="133">
        <v>0</v>
      </c>
      <c r="G457" s="133">
        <v>0</v>
      </c>
      <c r="H457" s="133">
        <v>0</v>
      </c>
      <c r="I457" s="133">
        <v>0</v>
      </c>
      <c r="J457" s="133">
        <v>0</v>
      </c>
      <c r="K457" s="133">
        <v>0</v>
      </c>
      <c r="L457" s="133">
        <v>0</v>
      </c>
      <c r="M457" s="45">
        <v>0</v>
      </c>
    </row>
    <row r="458" spans="1:13" x14ac:dyDescent="0.25">
      <c r="A458" s="812" t="s">
        <v>1999</v>
      </c>
      <c r="B458" s="812">
        <v>5</v>
      </c>
      <c r="C458" s="608">
        <v>39758</v>
      </c>
      <c r="D458" s="812">
        <v>99774</v>
      </c>
      <c r="E458" s="812" t="s">
        <v>2044</v>
      </c>
      <c r="F458" s="133">
        <v>0</v>
      </c>
      <c r="G458" s="133">
        <v>0</v>
      </c>
      <c r="H458" s="133">
        <v>0</v>
      </c>
      <c r="I458" s="133">
        <v>0</v>
      </c>
      <c r="J458" s="133">
        <v>0</v>
      </c>
      <c r="K458" s="133">
        <v>0</v>
      </c>
      <c r="L458" s="133">
        <v>0</v>
      </c>
      <c r="M458" s="45">
        <v>0</v>
      </c>
    </row>
    <row r="459" spans="1:13" x14ac:dyDescent="0.25">
      <c r="A459" s="812" t="s">
        <v>1999</v>
      </c>
      <c r="B459" s="812">
        <v>5</v>
      </c>
      <c r="C459" s="608">
        <v>39758</v>
      </c>
      <c r="D459" s="812">
        <v>99775</v>
      </c>
      <c r="E459" s="812" t="s">
        <v>1602</v>
      </c>
      <c r="F459" s="133">
        <v>7.748947090989119E-5</v>
      </c>
      <c r="G459" s="133">
        <v>1.8031846009265062E-3</v>
      </c>
      <c r="H459" s="133">
        <v>9.984336106596528E-4</v>
      </c>
      <c r="I459" s="133">
        <v>6.5690428226009045E-5</v>
      </c>
      <c r="J459" s="133">
        <v>6.5690428226009045E-5</v>
      </c>
      <c r="K459" s="133">
        <v>8.071910856808269E-5</v>
      </c>
      <c r="L459" s="133">
        <v>1.9266346893183795E-4</v>
      </c>
      <c r="M459" s="45">
        <v>29.684018152344947</v>
      </c>
    </row>
    <row r="460" spans="1:13" x14ac:dyDescent="0.25">
      <c r="A460" s="812" t="s">
        <v>1999</v>
      </c>
      <c r="B460" s="812">
        <v>5</v>
      </c>
      <c r="C460" s="608">
        <v>39758</v>
      </c>
      <c r="D460" s="812">
        <v>99790</v>
      </c>
      <c r="E460" s="812" t="s">
        <v>2045</v>
      </c>
      <c r="F460" s="133">
        <v>0</v>
      </c>
      <c r="G460" s="133">
        <v>0</v>
      </c>
      <c r="H460" s="133">
        <v>0</v>
      </c>
      <c r="I460" s="133">
        <v>0</v>
      </c>
      <c r="J460" s="133">
        <v>0</v>
      </c>
      <c r="K460" s="133">
        <v>0</v>
      </c>
      <c r="L460" s="133">
        <v>0</v>
      </c>
      <c r="M460" s="45">
        <v>0</v>
      </c>
    </row>
    <row r="461" spans="1:13" x14ac:dyDescent="0.25">
      <c r="A461" s="812" t="s">
        <v>1999</v>
      </c>
      <c r="B461" s="812">
        <v>6</v>
      </c>
      <c r="C461" s="608">
        <v>39759</v>
      </c>
      <c r="D461" s="812">
        <v>99701</v>
      </c>
      <c r="E461" s="812" t="s">
        <v>2031</v>
      </c>
      <c r="F461" s="133">
        <v>0.90213285515587838</v>
      </c>
      <c r="G461" s="133">
        <v>0.81173425596642457</v>
      </c>
      <c r="H461" s="133">
        <v>0.97421198744261861</v>
      </c>
      <c r="I461" s="133">
        <v>0.26345381600545237</v>
      </c>
      <c r="J461" s="133">
        <v>0.26345381600545237</v>
      </c>
      <c r="K461" s="133">
        <v>3.1217889162117294E-2</v>
      </c>
      <c r="L461" s="133">
        <v>2.6018271411676626</v>
      </c>
      <c r="M461" s="45">
        <v>15025.624264845337</v>
      </c>
    </row>
    <row r="462" spans="1:13" x14ac:dyDescent="0.25">
      <c r="A462" s="812" t="s">
        <v>1999</v>
      </c>
      <c r="B462" s="812">
        <v>6</v>
      </c>
      <c r="C462" s="608">
        <v>39759</v>
      </c>
      <c r="D462" s="812">
        <v>99702</v>
      </c>
      <c r="E462" s="812" t="s">
        <v>2032</v>
      </c>
      <c r="F462" s="133">
        <v>0</v>
      </c>
      <c r="G462" s="133">
        <v>0</v>
      </c>
      <c r="H462" s="133">
        <v>0</v>
      </c>
      <c r="I462" s="133">
        <v>0</v>
      </c>
      <c r="J462" s="133">
        <v>0</v>
      </c>
      <c r="K462" s="133">
        <v>0</v>
      </c>
      <c r="L462" s="133">
        <v>0</v>
      </c>
      <c r="M462" s="45">
        <v>0</v>
      </c>
    </row>
    <row r="463" spans="1:13" x14ac:dyDescent="0.25">
      <c r="A463" s="812" t="s">
        <v>1999</v>
      </c>
      <c r="B463" s="812">
        <v>6</v>
      </c>
      <c r="C463" s="608">
        <v>39759</v>
      </c>
      <c r="D463" s="812">
        <v>99703</v>
      </c>
      <c r="E463" s="812" t="s">
        <v>2033</v>
      </c>
      <c r="F463" s="133">
        <v>2.1316449410210866E-2</v>
      </c>
      <c r="G463" s="133">
        <v>1.4816101257983619E-2</v>
      </c>
      <c r="H463" s="133">
        <v>2.159547762278444E-2</v>
      </c>
      <c r="I463" s="133">
        <v>7.0130765781110131E-3</v>
      </c>
      <c r="J463" s="133">
        <v>7.0130765781110131E-3</v>
      </c>
      <c r="K463" s="133">
        <v>5.3807407167486508E-4</v>
      </c>
      <c r="L463" s="133">
        <v>7.4740186825456328E-2</v>
      </c>
      <c r="M463" s="45">
        <v>286.46417295979552</v>
      </c>
    </row>
    <row r="464" spans="1:13" x14ac:dyDescent="0.25">
      <c r="A464" s="812" t="s">
        <v>1999</v>
      </c>
      <c r="B464" s="812">
        <v>6</v>
      </c>
      <c r="C464" s="608">
        <v>39759</v>
      </c>
      <c r="D464" s="812">
        <v>99705</v>
      </c>
      <c r="E464" s="812" t="s">
        <v>1599</v>
      </c>
      <c r="F464" s="133">
        <v>3.6214656563229988</v>
      </c>
      <c r="G464" s="133">
        <v>0.74004394819283481</v>
      </c>
      <c r="H464" s="133">
        <v>1.2233663737432268</v>
      </c>
      <c r="I464" s="133">
        <v>1.0895322840224588</v>
      </c>
      <c r="J464" s="133">
        <v>1.0895322840224588</v>
      </c>
      <c r="K464" s="133">
        <v>5.0410415426196051E-2</v>
      </c>
      <c r="L464" s="133">
        <v>11.781954355207715</v>
      </c>
      <c r="M464" s="45">
        <v>15082.576626905604</v>
      </c>
    </row>
    <row r="465" spans="1:13" x14ac:dyDescent="0.25">
      <c r="A465" s="812" t="s">
        <v>1999</v>
      </c>
      <c r="B465" s="812">
        <v>6</v>
      </c>
      <c r="C465" s="608">
        <v>39759</v>
      </c>
      <c r="D465" s="812">
        <v>99709</v>
      </c>
      <c r="E465" s="812" t="s">
        <v>1600</v>
      </c>
      <c r="F465" s="133">
        <v>3.1183735787315316</v>
      </c>
      <c r="G465" s="133">
        <v>0.85060783375805959</v>
      </c>
      <c r="H465" s="133">
        <v>1.3702130864272164</v>
      </c>
      <c r="I465" s="133">
        <v>0.83642127555379697</v>
      </c>
      <c r="J465" s="133">
        <v>0.83642127555379697</v>
      </c>
      <c r="K465" s="133">
        <v>4.540235127571355E-2</v>
      </c>
      <c r="L465" s="133">
        <v>8.6280864332821743</v>
      </c>
      <c r="M465" s="45">
        <v>17302.834362132893</v>
      </c>
    </row>
    <row r="466" spans="1:13" x14ac:dyDescent="0.25">
      <c r="A466" s="812" t="s">
        <v>1999</v>
      </c>
      <c r="B466" s="812">
        <v>6</v>
      </c>
      <c r="C466" s="608">
        <v>39759</v>
      </c>
      <c r="D466" s="812">
        <v>99712</v>
      </c>
      <c r="E466" s="812" t="s">
        <v>1601</v>
      </c>
      <c r="F466" s="133">
        <v>1.6187953817441418</v>
      </c>
      <c r="G466" s="133">
        <v>0.27728723287042789</v>
      </c>
      <c r="H466" s="133">
        <v>0.49204052458673081</v>
      </c>
      <c r="I466" s="133">
        <v>0.43491033574724242</v>
      </c>
      <c r="J466" s="133">
        <v>0.43491033574724242</v>
      </c>
      <c r="K466" s="133">
        <v>2.0410650411545102E-2</v>
      </c>
      <c r="L466" s="133">
        <v>4.5238967223398054</v>
      </c>
      <c r="M466" s="45">
        <v>5749.0045961567121</v>
      </c>
    </row>
    <row r="467" spans="1:13" x14ac:dyDescent="0.25">
      <c r="A467" s="812" t="s">
        <v>1999</v>
      </c>
      <c r="B467" s="812">
        <v>6</v>
      </c>
      <c r="C467" s="608">
        <v>39759</v>
      </c>
      <c r="D467" s="812">
        <v>99714</v>
      </c>
      <c r="E467" s="812" t="s">
        <v>2034</v>
      </c>
      <c r="F467" s="133">
        <v>0</v>
      </c>
      <c r="G467" s="133">
        <v>0</v>
      </c>
      <c r="H467" s="133">
        <v>0</v>
      </c>
      <c r="I467" s="133">
        <v>0</v>
      </c>
      <c r="J467" s="133">
        <v>0</v>
      </c>
      <c r="K467" s="133">
        <v>0</v>
      </c>
      <c r="L467" s="133">
        <v>0</v>
      </c>
      <c r="M467" s="45">
        <v>0</v>
      </c>
    </row>
    <row r="468" spans="1:13" x14ac:dyDescent="0.25">
      <c r="A468" s="812" t="s">
        <v>1999</v>
      </c>
      <c r="B468" s="812">
        <v>6</v>
      </c>
      <c r="C468" s="608">
        <v>39759</v>
      </c>
      <c r="D468" s="812">
        <v>99730</v>
      </c>
      <c r="E468" s="812" t="s">
        <v>2035</v>
      </c>
      <c r="F468" s="133">
        <v>0</v>
      </c>
      <c r="G468" s="133">
        <v>0</v>
      </c>
      <c r="H468" s="133">
        <v>0</v>
      </c>
      <c r="I468" s="133">
        <v>0</v>
      </c>
      <c r="J468" s="133">
        <v>0</v>
      </c>
      <c r="K468" s="133">
        <v>0</v>
      </c>
      <c r="L468" s="133">
        <v>0</v>
      </c>
      <c r="M468" s="45">
        <v>0</v>
      </c>
    </row>
    <row r="469" spans="1:13" x14ac:dyDescent="0.25">
      <c r="A469" s="812" t="s">
        <v>1999</v>
      </c>
      <c r="B469" s="812">
        <v>6</v>
      </c>
      <c r="C469" s="608">
        <v>39759</v>
      </c>
      <c r="D469" s="812">
        <v>99737</v>
      </c>
      <c r="E469" s="812" t="s">
        <v>2036</v>
      </c>
      <c r="F469" s="133">
        <v>0</v>
      </c>
      <c r="G469" s="133">
        <v>0</v>
      </c>
      <c r="H469" s="133">
        <v>0</v>
      </c>
      <c r="I469" s="133">
        <v>0</v>
      </c>
      <c r="J469" s="133">
        <v>0</v>
      </c>
      <c r="K469" s="133">
        <v>0</v>
      </c>
      <c r="L469" s="133">
        <v>0</v>
      </c>
      <c r="M469" s="45">
        <v>0</v>
      </c>
    </row>
    <row r="470" spans="1:13" x14ac:dyDescent="0.25">
      <c r="A470" s="812" t="s">
        <v>1999</v>
      </c>
      <c r="B470" s="812">
        <v>6</v>
      </c>
      <c r="C470" s="608">
        <v>39759</v>
      </c>
      <c r="D470" s="812">
        <v>99743</v>
      </c>
      <c r="E470" s="812" t="s">
        <v>2037</v>
      </c>
      <c r="F470" s="133">
        <v>0</v>
      </c>
      <c r="G470" s="133">
        <v>0</v>
      </c>
      <c r="H470" s="133">
        <v>0</v>
      </c>
      <c r="I470" s="133">
        <v>0</v>
      </c>
      <c r="J470" s="133">
        <v>0</v>
      </c>
      <c r="K470" s="133">
        <v>0</v>
      </c>
      <c r="L470" s="133">
        <v>0</v>
      </c>
      <c r="M470" s="45">
        <v>0</v>
      </c>
    </row>
    <row r="471" spans="1:13" x14ac:dyDescent="0.25">
      <c r="A471" s="812" t="s">
        <v>1999</v>
      </c>
      <c r="B471" s="812">
        <v>6</v>
      </c>
      <c r="C471" s="608">
        <v>39759</v>
      </c>
      <c r="D471" s="812">
        <v>99744</v>
      </c>
      <c r="E471" s="812" t="s">
        <v>2038</v>
      </c>
      <c r="F471" s="133">
        <v>0</v>
      </c>
      <c r="G471" s="133">
        <v>0</v>
      </c>
      <c r="H471" s="133">
        <v>0</v>
      </c>
      <c r="I471" s="133">
        <v>0</v>
      </c>
      <c r="J471" s="133">
        <v>0</v>
      </c>
      <c r="K471" s="133">
        <v>0</v>
      </c>
      <c r="L471" s="133">
        <v>0</v>
      </c>
      <c r="M471" s="45">
        <v>0</v>
      </c>
    </row>
    <row r="472" spans="1:13" x14ac:dyDescent="0.25">
      <c r="A472" s="812" t="s">
        <v>1999</v>
      </c>
      <c r="B472" s="812">
        <v>6</v>
      </c>
      <c r="C472" s="608">
        <v>39759</v>
      </c>
      <c r="D472" s="812">
        <v>99755</v>
      </c>
      <c r="E472" s="812" t="s">
        <v>2039</v>
      </c>
      <c r="F472" s="133">
        <v>0</v>
      </c>
      <c r="G472" s="133">
        <v>0</v>
      </c>
      <c r="H472" s="133">
        <v>0</v>
      </c>
      <c r="I472" s="133">
        <v>0</v>
      </c>
      <c r="J472" s="133">
        <v>0</v>
      </c>
      <c r="K472" s="133">
        <v>0</v>
      </c>
      <c r="L472" s="133">
        <v>0</v>
      </c>
      <c r="M472" s="45">
        <v>0</v>
      </c>
    </row>
    <row r="473" spans="1:13" x14ac:dyDescent="0.25">
      <c r="A473" s="812" t="s">
        <v>1999</v>
      </c>
      <c r="B473" s="812">
        <v>6</v>
      </c>
      <c r="C473" s="608">
        <v>39759</v>
      </c>
      <c r="D473" s="812">
        <v>99756</v>
      </c>
      <c r="E473" s="812" t="s">
        <v>2040</v>
      </c>
      <c r="F473" s="133">
        <v>0</v>
      </c>
      <c r="G473" s="133">
        <v>0</v>
      </c>
      <c r="H473" s="133">
        <v>0</v>
      </c>
      <c r="I473" s="133">
        <v>0</v>
      </c>
      <c r="J473" s="133">
        <v>0</v>
      </c>
      <c r="K473" s="133">
        <v>0</v>
      </c>
      <c r="L473" s="133">
        <v>0</v>
      </c>
      <c r="M473" s="45">
        <v>0</v>
      </c>
    </row>
    <row r="474" spans="1:13" x14ac:dyDescent="0.25">
      <c r="A474" s="812" t="s">
        <v>1999</v>
      </c>
      <c r="B474" s="812">
        <v>6</v>
      </c>
      <c r="C474" s="608">
        <v>39759</v>
      </c>
      <c r="D474" s="812">
        <v>99758</v>
      </c>
      <c r="E474" s="812" t="s">
        <v>2041</v>
      </c>
      <c r="F474" s="133">
        <v>0</v>
      </c>
      <c r="G474" s="133">
        <v>0</v>
      </c>
      <c r="H474" s="133">
        <v>0</v>
      </c>
      <c r="I474" s="133">
        <v>0</v>
      </c>
      <c r="J474" s="133">
        <v>0</v>
      </c>
      <c r="K474" s="133">
        <v>0</v>
      </c>
      <c r="L474" s="133">
        <v>0</v>
      </c>
      <c r="M474" s="45">
        <v>0</v>
      </c>
    </row>
    <row r="475" spans="1:13" x14ac:dyDescent="0.25">
      <c r="A475" s="812" t="s">
        <v>1999</v>
      </c>
      <c r="B475" s="812">
        <v>6</v>
      </c>
      <c r="C475" s="608">
        <v>39759</v>
      </c>
      <c r="D475" s="812">
        <v>99760</v>
      </c>
      <c r="E475" s="812" t="s">
        <v>2042</v>
      </c>
      <c r="F475" s="133">
        <v>0</v>
      </c>
      <c r="G475" s="133">
        <v>0</v>
      </c>
      <c r="H475" s="133">
        <v>0</v>
      </c>
      <c r="I475" s="133">
        <v>0</v>
      </c>
      <c r="J475" s="133">
        <v>0</v>
      </c>
      <c r="K475" s="133">
        <v>0</v>
      </c>
      <c r="L475" s="133">
        <v>0</v>
      </c>
      <c r="M475" s="45">
        <v>0</v>
      </c>
    </row>
    <row r="476" spans="1:13" x14ac:dyDescent="0.25">
      <c r="A476" s="812" t="s">
        <v>1999</v>
      </c>
      <c r="B476" s="812">
        <v>6</v>
      </c>
      <c r="C476" s="608">
        <v>39759</v>
      </c>
      <c r="D476" s="812">
        <v>99767</v>
      </c>
      <c r="E476" s="812" t="s">
        <v>2043</v>
      </c>
      <c r="F476" s="133">
        <v>0</v>
      </c>
      <c r="G476" s="133">
        <v>0</v>
      </c>
      <c r="H476" s="133">
        <v>0</v>
      </c>
      <c r="I476" s="133">
        <v>0</v>
      </c>
      <c r="J476" s="133">
        <v>0</v>
      </c>
      <c r="K476" s="133">
        <v>0</v>
      </c>
      <c r="L476" s="133">
        <v>0</v>
      </c>
      <c r="M476" s="45">
        <v>0</v>
      </c>
    </row>
    <row r="477" spans="1:13" x14ac:dyDescent="0.25">
      <c r="A477" s="812" t="s">
        <v>1999</v>
      </c>
      <c r="B477" s="812">
        <v>6</v>
      </c>
      <c r="C477" s="608">
        <v>39759</v>
      </c>
      <c r="D477" s="812">
        <v>99774</v>
      </c>
      <c r="E477" s="812" t="s">
        <v>2044</v>
      </c>
      <c r="F477" s="133">
        <v>0</v>
      </c>
      <c r="G477" s="133">
        <v>0</v>
      </c>
      <c r="H477" s="133">
        <v>0</v>
      </c>
      <c r="I477" s="133">
        <v>0</v>
      </c>
      <c r="J477" s="133">
        <v>0</v>
      </c>
      <c r="K477" s="133">
        <v>0</v>
      </c>
      <c r="L477" s="133">
        <v>0</v>
      </c>
      <c r="M477" s="45">
        <v>0</v>
      </c>
    </row>
    <row r="478" spans="1:13" x14ac:dyDescent="0.25">
      <c r="A478" s="812" t="s">
        <v>1999</v>
      </c>
      <c r="B478" s="812">
        <v>6</v>
      </c>
      <c r="C478" s="608">
        <v>39759</v>
      </c>
      <c r="D478" s="812">
        <v>99775</v>
      </c>
      <c r="E478" s="812" t="s">
        <v>1602</v>
      </c>
      <c r="F478" s="133">
        <v>8.3409678740875977E-5</v>
      </c>
      <c r="G478" s="133">
        <v>1.9526428631393058E-3</v>
      </c>
      <c r="H478" s="133">
        <v>1.1040773529810909E-3</v>
      </c>
      <c r="I478" s="133">
        <v>6.9481662061593327E-5</v>
      </c>
      <c r="J478" s="133">
        <v>6.9481662061593327E-5</v>
      </c>
      <c r="K478" s="133">
        <v>8.0922508263361773E-5</v>
      </c>
      <c r="L478" s="133">
        <v>1.9638203745224019E-4</v>
      </c>
      <c r="M478" s="45">
        <v>31.984014743064137</v>
      </c>
    </row>
    <row r="479" spans="1:13" x14ac:dyDescent="0.25">
      <c r="A479" s="812" t="s">
        <v>1999</v>
      </c>
      <c r="B479" s="812">
        <v>6</v>
      </c>
      <c r="C479" s="608">
        <v>39759</v>
      </c>
      <c r="D479" s="812">
        <v>99790</v>
      </c>
      <c r="E479" s="812" t="s">
        <v>2045</v>
      </c>
      <c r="F479" s="133">
        <v>0</v>
      </c>
      <c r="G479" s="133">
        <v>0</v>
      </c>
      <c r="H479" s="133">
        <v>0</v>
      </c>
      <c r="I479" s="133">
        <v>0</v>
      </c>
      <c r="J479" s="133">
        <v>0</v>
      </c>
      <c r="K479" s="133">
        <v>0</v>
      </c>
      <c r="L479" s="133">
        <v>0</v>
      </c>
      <c r="M479" s="45">
        <v>0</v>
      </c>
    </row>
    <row r="480" spans="1:13" x14ac:dyDescent="0.25">
      <c r="A480" s="812" t="s">
        <v>1999</v>
      </c>
      <c r="B480" s="812">
        <v>7</v>
      </c>
      <c r="C480" s="608">
        <v>39760</v>
      </c>
      <c r="D480" s="812">
        <v>99701</v>
      </c>
      <c r="E480" s="812" t="s">
        <v>2031</v>
      </c>
      <c r="F480" s="133">
        <v>0.80460064297963652</v>
      </c>
      <c r="G480" s="133">
        <v>0.77499828446277563</v>
      </c>
      <c r="H480" s="133">
        <v>0.91737592354781428</v>
      </c>
      <c r="I480" s="133">
        <v>0.24225724276632862</v>
      </c>
      <c r="J480" s="133">
        <v>0.24225724276632862</v>
      </c>
      <c r="K480" s="133">
        <v>3.0236069352660634E-2</v>
      </c>
      <c r="L480" s="133">
        <v>2.4109431040113423</v>
      </c>
      <c r="M480" s="45">
        <v>14324.486390271539</v>
      </c>
    </row>
    <row r="481" spans="1:13" x14ac:dyDescent="0.25">
      <c r="A481" s="812" t="s">
        <v>1999</v>
      </c>
      <c r="B481" s="812">
        <v>7</v>
      </c>
      <c r="C481" s="608">
        <v>39760</v>
      </c>
      <c r="D481" s="812">
        <v>99702</v>
      </c>
      <c r="E481" s="812" t="s">
        <v>2032</v>
      </c>
      <c r="F481" s="133">
        <v>0</v>
      </c>
      <c r="G481" s="133">
        <v>0</v>
      </c>
      <c r="H481" s="133">
        <v>0</v>
      </c>
      <c r="I481" s="133">
        <v>0</v>
      </c>
      <c r="J481" s="133">
        <v>0</v>
      </c>
      <c r="K481" s="133">
        <v>0</v>
      </c>
      <c r="L481" s="133">
        <v>0</v>
      </c>
      <c r="M481" s="45">
        <v>0</v>
      </c>
    </row>
    <row r="482" spans="1:13" x14ac:dyDescent="0.25">
      <c r="A482" s="812" t="s">
        <v>1999</v>
      </c>
      <c r="B482" s="812">
        <v>7</v>
      </c>
      <c r="C482" s="608">
        <v>39760</v>
      </c>
      <c r="D482" s="812">
        <v>99703</v>
      </c>
      <c r="E482" s="812" t="s">
        <v>2033</v>
      </c>
      <c r="F482" s="133">
        <v>1.9250249757554544E-2</v>
      </c>
      <c r="G482" s="133">
        <v>1.4022129027851681E-2</v>
      </c>
      <c r="H482" s="133">
        <v>2.0175953653385377E-2</v>
      </c>
      <c r="I482" s="133">
        <v>6.4816848745383885E-3</v>
      </c>
      <c r="J482" s="133">
        <v>6.4816848745383885E-3</v>
      </c>
      <c r="K482" s="133">
        <v>5.1542497654335714E-4</v>
      </c>
      <c r="L482" s="133">
        <v>6.9516650119081855E-2</v>
      </c>
      <c r="M482" s="45">
        <v>270.43932270775394</v>
      </c>
    </row>
    <row r="483" spans="1:13" x14ac:dyDescent="0.25">
      <c r="A483" s="812" t="s">
        <v>1999</v>
      </c>
      <c r="B483" s="812">
        <v>7</v>
      </c>
      <c r="C483" s="608">
        <v>39760</v>
      </c>
      <c r="D483" s="812">
        <v>99705</v>
      </c>
      <c r="E483" s="812" t="s">
        <v>1599</v>
      </c>
      <c r="F483" s="133">
        <v>3.285045693254478</v>
      </c>
      <c r="G483" s="133">
        <v>0.69672175374104384</v>
      </c>
      <c r="H483" s="133">
        <v>1.1471829384150305</v>
      </c>
      <c r="I483" s="133">
        <v>1.009240361319258</v>
      </c>
      <c r="J483" s="133">
        <v>1.009240361319258</v>
      </c>
      <c r="K483" s="133">
        <v>4.6886363104315647E-2</v>
      </c>
      <c r="L483" s="133">
        <v>11.006832602116457</v>
      </c>
      <c r="M483" s="45">
        <v>14195.397200762704</v>
      </c>
    </row>
    <row r="484" spans="1:13" x14ac:dyDescent="0.25">
      <c r="A484" s="812" t="s">
        <v>1999</v>
      </c>
      <c r="B484" s="812">
        <v>7</v>
      </c>
      <c r="C484" s="608">
        <v>39760</v>
      </c>
      <c r="D484" s="812">
        <v>99709</v>
      </c>
      <c r="E484" s="812" t="s">
        <v>1600</v>
      </c>
      <c r="F484" s="133">
        <v>2.9027949097538888</v>
      </c>
      <c r="G484" s="133">
        <v>0.82162536673863773</v>
      </c>
      <c r="H484" s="133">
        <v>1.3193404055694398</v>
      </c>
      <c r="I484" s="133">
        <v>0.79916288045354389</v>
      </c>
      <c r="J484" s="133">
        <v>0.79916288045354389</v>
      </c>
      <c r="K484" s="133">
        <v>4.358839801716919E-2</v>
      </c>
      <c r="L484" s="133">
        <v>8.3447046000988809</v>
      </c>
      <c r="M484" s="45">
        <v>16718.111480355368</v>
      </c>
    </row>
    <row r="485" spans="1:13" x14ac:dyDescent="0.25">
      <c r="A485" s="812" t="s">
        <v>1999</v>
      </c>
      <c r="B485" s="812">
        <v>7</v>
      </c>
      <c r="C485" s="608">
        <v>39760</v>
      </c>
      <c r="D485" s="812">
        <v>99712</v>
      </c>
      <c r="E485" s="812" t="s">
        <v>1601</v>
      </c>
      <c r="F485" s="133">
        <v>1.5658741003271206</v>
      </c>
      <c r="G485" s="133">
        <v>0.27762583925773127</v>
      </c>
      <c r="H485" s="133">
        <v>0.49306471259837681</v>
      </c>
      <c r="I485" s="133">
        <v>0.43129712590313518</v>
      </c>
      <c r="J485" s="133">
        <v>0.43129712590313518</v>
      </c>
      <c r="K485" s="133">
        <v>2.0167572783445383E-2</v>
      </c>
      <c r="L485" s="133">
        <v>4.5469004291819264</v>
      </c>
      <c r="M485" s="45">
        <v>5760.6224162604376</v>
      </c>
    </row>
    <row r="486" spans="1:13" x14ac:dyDescent="0.25">
      <c r="A486" s="812" t="s">
        <v>1999</v>
      </c>
      <c r="B486" s="812">
        <v>7</v>
      </c>
      <c r="C486" s="608">
        <v>39760</v>
      </c>
      <c r="D486" s="812">
        <v>99714</v>
      </c>
      <c r="E486" s="812" t="s">
        <v>2034</v>
      </c>
      <c r="F486" s="133">
        <v>0</v>
      </c>
      <c r="G486" s="133">
        <v>0</v>
      </c>
      <c r="H486" s="133">
        <v>0</v>
      </c>
      <c r="I486" s="133">
        <v>0</v>
      </c>
      <c r="J486" s="133">
        <v>0</v>
      </c>
      <c r="K486" s="133">
        <v>0</v>
      </c>
      <c r="L486" s="133">
        <v>0</v>
      </c>
      <c r="M486" s="45">
        <v>0</v>
      </c>
    </row>
    <row r="487" spans="1:13" x14ac:dyDescent="0.25">
      <c r="A487" s="812" t="s">
        <v>1999</v>
      </c>
      <c r="B487" s="812">
        <v>7</v>
      </c>
      <c r="C487" s="608">
        <v>39760</v>
      </c>
      <c r="D487" s="812">
        <v>99730</v>
      </c>
      <c r="E487" s="812" t="s">
        <v>2035</v>
      </c>
      <c r="F487" s="133">
        <v>0</v>
      </c>
      <c r="G487" s="133">
        <v>0</v>
      </c>
      <c r="H487" s="133">
        <v>0</v>
      </c>
      <c r="I487" s="133">
        <v>0</v>
      </c>
      <c r="J487" s="133">
        <v>0</v>
      </c>
      <c r="K487" s="133">
        <v>0</v>
      </c>
      <c r="L487" s="133">
        <v>0</v>
      </c>
      <c r="M487" s="45">
        <v>0</v>
      </c>
    </row>
    <row r="488" spans="1:13" x14ac:dyDescent="0.25">
      <c r="A488" s="812" t="s">
        <v>1999</v>
      </c>
      <c r="B488" s="812">
        <v>7</v>
      </c>
      <c r="C488" s="608">
        <v>39760</v>
      </c>
      <c r="D488" s="812">
        <v>99737</v>
      </c>
      <c r="E488" s="812" t="s">
        <v>2036</v>
      </c>
      <c r="F488" s="133">
        <v>0</v>
      </c>
      <c r="G488" s="133">
        <v>0</v>
      </c>
      <c r="H488" s="133">
        <v>0</v>
      </c>
      <c r="I488" s="133">
        <v>0</v>
      </c>
      <c r="J488" s="133">
        <v>0</v>
      </c>
      <c r="K488" s="133">
        <v>0</v>
      </c>
      <c r="L488" s="133">
        <v>0</v>
      </c>
      <c r="M488" s="45">
        <v>0</v>
      </c>
    </row>
    <row r="489" spans="1:13" x14ac:dyDescent="0.25">
      <c r="A489" s="812" t="s">
        <v>1999</v>
      </c>
      <c r="B489" s="812">
        <v>7</v>
      </c>
      <c r="C489" s="608">
        <v>39760</v>
      </c>
      <c r="D489" s="812">
        <v>99743</v>
      </c>
      <c r="E489" s="812" t="s">
        <v>2037</v>
      </c>
      <c r="F489" s="133">
        <v>0</v>
      </c>
      <c r="G489" s="133">
        <v>0</v>
      </c>
      <c r="H489" s="133">
        <v>0</v>
      </c>
      <c r="I489" s="133">
        <v>0</v>
      </c>
      <c r="J489" s="133">
        <v>0</v>
      </c>
      <c r="K489" s="133">
        <v>0</v>
      </c>
      <c r="L489" s="133">
        <v>0</v>
      </c>
      <c r="M489" s="45">
        <v>0</v>
      </c>
    </row>
    <row r="490" spans="1:13" x14ac:dyDescent="0.25">
      <c r="A490" s="812" t="s">
        <v>1999</v>
      </c>
      <c r="B490" s="812">
        <v>7</v>
      </c>
      <c r="C490" s="608">
        <v>39760</v>
      </c>
      <c r="D490" s="812">
        <v>99744</v>
      </c>
      <c r="E490" s="812" t="s">
        <v>2038</v>
      </c>
      <c r="F490" s="133">
        <v>0</v>
      </c>
      <c r="G490" s="133">
        <v>0</v>
      </c>
      <c r="H490" s="133">
        <v>0</v>
      </c>
      <c r="I490" s="133">
        <v>0</v>
      </c>
      <c r="J490" s="133">
        <v>0</v>
      </c>
      <c r="K490" s="133">
        <v>0</v>
      </c>
      <c r="L490" s="133">
        <v>0</v>
      </c>
      <c r="M490" s="45">
        <v>0</v>
      </c>
    </row>
    <row r="491" spans="1:13" x14ac:dyDescent="0.25">
      <c r="A491" s="812" t="s">
        <v>1999</v>
      </c>
      <c r="B491" s="812">
        <v>7</v>
      </c>
      <c r="C491" s="608">
        <v>39760</v>
      </c>
      <c r="D491" s="812">
        <v>99755</v>
      </c>
      <c r="E491" s="812" t="s">
        <v>2039</v>
      </c>
      <c r="F491" s="133">
        <v>0</v>
      </c>
      <c r="G491" s="133">
        <v>0</v>
      </c>
      <c r="H491" s="133">
        <v>0</v>
      </c>
      <c r="I491" s="133">
        <v>0</v>
      </c>
      <c r="J491" s="133">
        <v>0</v>
      </c>
      <c r="K491" s="133">
        <v>0</v>
      </c>
      <c r="L491" s="133">
        <v>0</v>
      </c>
      <c r="M491" s="45">
        <v>0</v>
      </c>
    </row>
    <row r="492" spans="1:13" x14ac:dyDescent="0.25">
      <c r="A492" s="812" t="s">
        <v>1999</v>
      </c>
      <c r="B492" s="812">
        <v>7</v>
      </c>
      <c r="C492" s="608">
        <v>39760</v>
      </c>
      <c r="D492" s="812">
        <v>99756</v>
      </c>
      <c r="E492" s="812" t="s">
        <v>2040</v>
      </c>
      <c r="F492" s="133">
        <v>0</v>
      </c>
      <c r="G492" s="133">
        <v>0</v>
      </c>
      <c r="H492" s="133">
        <v>0</v>
      </c>
      <c r="I492" s="133">
        <v>0</v>
      </c>
      <c r="J492" s="133">
        <v>0</v>
      </c>
      <c r="K492" s="133">
        <v>0</v>
      </c>
      <c r="L492" s="133">
        <v>0</v>
      </c>
      <c r="M492" s="45">
        <v>0</v>
      </c>
    </row>
    <row r="493" spans="1:13" x14ac:dyDescent="0.25">
      <c r="A493" s="812" t="s">
        <v>1999</v>
      </c>
      <c r="B493" s="812">
        <v>7</v>
      </c>
      <c r="C493" s="608">
        <v>39760</v>
      </c>
      <c r="D493" s="812">
        <v>99758</v>
      </c>
      <c r="E493" s="812" t="s">
        <v>2041</v>
      </c>
      <c r="F493" s="133">
        <v>0</v>
      </c>
      <c r="G493" s="133">
        <v>0</v>
      </c>
      <c r="H493" s="133">
        <v>0</v>
      </c>
      <c r="I493" s="133">
        <v>0</v>
      </c>
      <c r="J493" s="133">
        <v>0</v>
      </c>
      <c r="K493" s="133">
        <v>0</v>
      </c>
      <c r="L493" s="133">
        <v>0</v>
      </c>
      <c r="M493" s="45">
        <v>0</v>
      </c>
    </row>
    <row r="494" spans="1:13" x14ac:dyDescent="0.25">
      <c r="A494" s="812" t="s">
        <v>1999</v>
      </c>
      <c r="B494" s="812">
        <v>7</v>
      </c>
      <c r="C494" s="608">
        <v>39760</v>
      </c>
      <c r="D494" s="812">
        <v>99760</v>
      </c>
      <c r="E494" s="812" t="s">
        <v>2042</v>
      </c>
      <c r="F494" s="133">
        <v>0</v>
      </c>
      <c r="G494" s="133">
        <v>0</v>
      </c>
      <c r="H494" s="133">
        <v>0</v>
      </c>
      <c r="I494" s="133">
        <v>0</v>
      </c>
      <c r="J494" s="133">
        <v>0</v>
      </c>
      <c r="K494" s="133">
        <v>0</v>
      </c>
      <c r="L494" s="133">
        <v>0</v>
      </c>
      <c r="M494" s="45">
        <v>0</v>
      </c>
    </row>
    <row r="495" spans="1:13" x14ac:dyDescent="0.25">
      <c r="A495" s="812" t="s">
        <v>1999</v>
      </c>
      <c r="B495" s="812">
        <v>7</v>
      </c>
      <c r="C495" s="608">
        <v>39760</v>
      </c>
      <c r="D495" s="812">
        <v>99767</v>
      </c>
      <c r="E495" s="812" t="s">
        <v>2043</v>
      </c>
      <c r="F495" s="133">
        <v>0</v>
      </c>
      <c r="G495" s="133">
        <v>0</v>
      </c>
      <c r="H495" s="133">
        <v>0</v>
      </c>
      <c r="I495" s="133">
        <v>0</v>
      </c>
      <c r="J495" s="133">
        <v>0</v>
      </c>
      <c r="K495" s="133">
        <v>0</v>
      </c>
      <c r="L495" s="133">
        <v>0</v>
      </c>
      <c r="M495" s="45">
        <v>0</v>
      </c>
    </row>
    <row r="496" spans="1:13" x14ac:dyDescent="0.25">
      <c r="A496" s="812" t="s">
        <v>1999</v>
      </c>
      <c r="B496" s="812">
        <v>7</v>
      </c>
      <c r="C496" s="608">
        <v>39760</v>
      </c>
      <c r="D496" s="812">
        <v>99774</v>
      </c>
      <c r="E496" s="812" t="s">
        <v>2044</v>
      </c>
      <c r="F496" s="133">
        <v>0</v>
      </c>
      <c r="G496" s="133">
        <v>0</v>
      </c>
      <c r="H496" s="133">
        <v>0</v>
      </c>
      <c r="I496" s="133">
        <v>0</v>
      </c>
      <c r="J496" s="133">
        <v>0</v>
      </c>
      <c r="K496" s="133">
        <v>0</v>
      </c>
      <c r="L496" s="133">
        <v>0</v>
      </c>
      <c r="M496" s="45">
        <v>0</v>
      </c>
    </row>
    <row r="497" spans="1:13" x14ac:dyDescent="0.25">
      <c r="A497" s="812" t="s">
        <v>1999</v>
      </c>
      <c r="B497" s="812">
        <v>7</v>
      </c>
      <c r="C497" s="608">
        <v>39760</v>
      </c>
      <c r="D497" s="812">
        <v>99775</v>
      </c>
      <c r="E497" s="812" t="s">
        <v>1602</v>
      </c>
      <c r="F497" s="133">
        <v>8.0872446813311103E-5</v>
      </c>
      <c r="G497" s="133">
        <v>1.888589322190964E-3</v>
      </c>
      <c r="H497" s="133">
        <v>1.0588014634147608E-3</v>
      </c>
      <c r="I497" s="133">
        <v>6.785684756062865E-5</v>
      </c>
      <c r="J497" s="133">
        <v>6.785684756062865E-5</v>
      </c>
      <c r="K497" s="133">
        <v>8.083533696538506E-5</v>
      </c>
      <c r="L497" s="133">
        <v>1.9478836522921075E-4</v>
      </c>
      <c r="M497" s="45">
        <v>30.998301918470197</v>
      </c>
    </row>
    <row r="498" spans="1:13" x14ac:dyDescent="0.25">
      <c r="A498" s="812" t="s">
        <v>1999</v>
      </c>
      <c r="B498" s="812">
        <v>7</v>
      </c>
      <c r="C498" s="608">
        <v>39760</v>
      </c>
      <c r="D498" s="812">
        <v>99790</v>
      </c>
      <c r="E498" s="812" t="s">
        <v>2045</v>
      </c>
      <c r="F498" s="133">
        <v>0</v>
      </c>
      <c r="G498" s="133">
        <v>0</v>
      </c>
      <c r="H498" s="133">
        <v>0</v>
      </c>
      <c r="I498" s="133">
        <v>0</v>
      </c>
      <c r="J498" s="133">
        <v>0</v>
      </c>
      <c r="K498" s="133">
        <v>0</v>
      </c>
      <c r="L498" s="133">
        <v>0</v>
      </c>
      <c r="M498" s="45">
        <v>0</v>
      </c>
    </row>
    <row r="499" spans="1:13" x14ac:dyDescent="0.25">
      <c r="A499" s="812" t="s">
        <v>1999</v>
      </c>
      <c r="B499" s="812">
        <v>8</v>
      </c>
      <c r="C499" s="608">
        <v>39761</v>
      </c>
      <c r="D499" s="812">
        <v>99701</v>
      </c>
      <c r="E499" s="812" t="s">
        <v>2031</v>
      </c>
      <c r="F499" s="133">
        <v>0.86276975558037206</v>
      </c>
      <c r="G499" s="133">
        <v>0.80197251906933409</v>
      </c>
      <c r="H499" s="133">
        <v>0.96008194933709778</v>
      </c>
      <c r="I499" s="133">
        <v>0.25795440473453779</v>
      </c>
      <c r="J499" s="133">
        <v>0.25795440473453779</v>
      </c>
      <c r="K499" s="133">
        <v>3.0912466807903684E-2</v>
      </c>
      <c r="L499" s="133">
        <v>2.5720107252939841</v>
      </c>
      <c r="M499" s="45">
        <v>14846.356057354027</v>
      </c>
    </row>
    <row r="500" spans="1:13" x14ac:dyDescent="0.25">
      <c r="A500" s="812" t="s">
        <v>1999</v>
      </c>
      <c r="B500" s="812">
        <v>8</v>
      </c>
      <c r="C500" s="608">
        <v>39761</v>
      </c>
      <c r="D500" s="812">
        <v>99702</v>
      </c>
      <c r="E500" s="812" t="s">
        <v>2032</v>
      </c>
      <c r="F500" s="133">
        <v>0</v>
      </c>
      <c r="G500" s="133">
        <v>0</v>
      </c>
      <c r="H500" s="133">
        <v>0</v>
      </c>
      <c r="I500" s="133">
        <v>0</v>
      </c>
      <c r="J500" s="133">
        <v>0</v>
      </c>
      <c r="K500" s="133">
        <v>0</v>
      </c>
      <c r="L500" s="133">
        <v>0</v>
      </c>
      <c r="M500" s="45">
        <v>0</v>
      </c>
    </row>
    <row r="501" spans="1:13" x14ac:dyDescent="0.25">
      <c r="A501" s="812" t="s">
        <v>1999</v>
      </c>
      <c r="B501" s="812">
        <v>8</v>
      </c>
      <c r="C501" s="608">
        <v>39761</v>
      </c>
      <c r="D501" s="812">
        <v>99703</v>
      </c>
      <c r="E501" s="812" t="s">
        <v>2033</v>
      </c>
      <c r="F501" s="133">
        <v>2.1030815187850643E-2</v>
      </c>
      <c r="G501" s="133">
        <v>1.475424000064436E-2</v>
      </c>
      <c r="H501" s="133">
        <v>2.1540250261890704E-2</v>
      </c>
      <c r="I501" s="133">
        <v>7.0322301508307424E-3</v>
      </c>
      <c r="J501" s="133">
        <v>7.0322301508307424E-3</v>
      </c>
      <c r="K501" s="133">
        <v>5.3783523642174835E-4</v>
      </c>
      <c r="L501" s="133">
        <v>7.5551976684302871E-2</v>
      </c>
      <c r="M501" s="45">
        <v>285.57861801826692</v>
      </c>
    </row>
    <row r="502" spans="1:13" x14ac:dyDescent="0.25">
      <c r="A502" s="812" t="s">
        <v>1999</v>
      </c>
      <c r="B502" s="812">
        <v>8</v>
      </c>
      <c r="C502" s="608">
        <v>39761</v>
      </c>
      <c r="D502" s="812">
        <v>99705</v>
      </c>
      <c r="E502" s="812" t="s">
        <v>1599</v>
      </c>
      <c r="F502" s="133">
        <v>3.551977438184744</v>
      </c>
      <c r="G502" s="133">
        <v>0.74048010939607178</v>
      </c>
      <c r="H502" s="133">
        <v>1.2232798466346575</v>
      </c>
      <c r="I502" s="133">
        <v>1.0875496598528418</v>
      </c>
      <c r="J502" s="133">
        <v>1.0875496598528418</v>
      </c>
      <c r="K502" s="133">
        <v>5.0259608654025262E-2</v>
      </c>
      <c r="L502" s="133">
        <v>11.875827604765414</v>
      </c>
      <c r="M502" s="45">
        <v>15090.97958516805</v>
      </c>
    </row>
    <row r="503" spans="1:13" x14ac:dyDescent="0.25">
      <c r="A503" s="812" t="s">
        <v>1999</v>
      </c>
      <c r="B503" s="812">
        <v>8</v>
      </c>
      <c r="C503" s="608">
        <v>39761</v>
      </c>
      <c r="D503" s="812">
        <v>99709</v>
      </c>
      <c r="E503" s="812" t="s">
        <v>1600</v>
      </c>
      <c r="F503" s="133">
        <v>2.6970120326483116</v>
      </c>
      <c r="G503" s="133">
        <v>0.80485680899542211</v>
      </c>
      <c r="H503" s="133">
        <v>1.2839639702827788</v>
      </c>
      <c r="I503" s="133">
        <v>0.74966899155960165</v>
      </c>
      <c r="J503" s="133">
        <v>0.74966899155960165</v>
      </c>
      <c r="K503" s="133">
        <v>4.1436789780779422E-2</v>
      </c>
      <c r="L503" s="133">
        <v>7.8371145960088038</v>
      </c>
      <c r="M503" s="45">
        <v>16338.90913526702</v>
      </c>
    </row>
    <row r="504" spans="1:13" x14ac:dyDescent="0.25">
      <c r="A504" s="812" t="s">
        <v>1999</v>
      </c>
      <c r="B504" s="812">
        <v>8</v>
      </c>
      <c r="C504" s="608">
        <v>39761</v>
      </c>
      <c r="D504" s="812">
        <v>99712</v>
      </c>
      <c r="E504" s="812" t="s">
        <v>1601</v>
      </c>
      <c r="F504" s="133">
        <v>1.3345818878561189</v>
      </c>
      <c r="G504" s="133">
        <v>0.24961582410170943</v>
      </c>
      <c r="H504" s="133">
        <v>0.44091285332698066</v>
      </c>
      <c r="I504" s="133">
        <v>0.37348440367610325</v>
      </c>
      <c r="J504" s="133">
        <v>0.37348440367610325</v>
      </c>
      <c r="K504" s="133">
        <v>1.753321725956461E-2</v>
      </c>
      <c r="L504" s="133">
        <v>3.9447260232947521</v>
      </c>
      <c r="M504" s="45">
        <v>5177.2315698294669</v>
      </c>
    </row>
    <row r="505" spans="1:13" x14ac:dyDescent="0.25">
      <c r="A505" s="812" t="s">
        <v>1999</v>
      </c>
      <c r="B505" s="812">
        <v>8</v>
      </c>
      <c r="C505" s="608">
        <v>39761</v>
      </c>
      <c r="D505" s="812">
        <v>99714</v>
      </c>
      <c r="E505" s="812" t="s">
        <v>2034</v>
      </c>
      <c r="F505" s="133">
        <v>0</v>
      </c>
      <c r="G505" s="133">
        <v>0</v>
      </c>
      <c r="H505" s="133">
        <v>0</v>
      </c>
      <c r="I505" s="133">
        <v>0</v>
      </c>
      <c r="J505" s="133">
        <v>0</v>
      </c>
      <c r="K505" s="133">
        <v>0</v>
      </c>
      <c r="L505" s="133">
        <v>0</v>
      </c>
      <c r="M505" s="45">
        <v>0</v>
      </c>
    </row>
    <row r="506" spans="1:13" x14ac:dyDescent="0.25">
      <c r="A506" s="812" t="s">
        <v>1999</v>
      </c>
      <c r="B506" s="812">
        <v>8</v>
      </c>
      <c r="C506" s="608">
        <v>39761</v>
      </c>
      <c r="D506" s="812">
        <v>99730</v>
      </c>
      <c r="E506" s="812" t="s">
        <v>2035</v>
      </c>
      <c r="F506" s="133">
        <v>0</v>
      </c>
      <c r="G506" s="133">
        <v>0</v>
      </c>
      <c r="H506" s="133">
        <v>0</v>
      </c>
      <c r="I506" s="133">
        <v>0</v>
      </c>
      <c r="J506" s="133">
        <v>0</v>
      </c>
      <c r="K506" s="133">
        <v>0</v>
      </c>
      <c r="L506" s="133">
        <v>0</v>
      </c>
      <c r="M506" s="45">
        <v>0</v>
      </c>
    </row>
    <row r="507" spans="1:13" x14ac:dyDescent="0.25">
      <c r="A507" s="812" t="s">
        <v>1999</v>
      </c>
      <c r="B507" s="812">
        <v>8</v>
      </c>
      <c r="C507" s="608">
        <v>39761</v>
      </c>
      <c r="D507" s="812">
        <v>99737</v>
      </c>
      <c r="E507" s="812" t="s">
        <v>2036</v>
      </c>
      <c r="F507" s="133">
        <v>0</v>
      </c>
      <c r="G507" s="133">
        <v>0</v>
      </c>
      <c r="H507" s="133">
        <v>0</v>
      </c>
      <c r="I507" s="133">
        <v>0</v>
      </c>
      <c r="J507" s="133">
        <v>0</v>
      </c>
      <c r="K507" s="133">
        <v>0</v>
      </c>
      <c r="L507" s="133">
        <v>0</v>
      </c>
      <c r="M507" s="45">
        <v>0</v>
      </c>
    </row>
    <row r="508" spans="1:13" x14ac:dyDescent="0.25">
      <c r="A508" s="812" t="s">
        <v>1999</v>
      </c>
      <c r="B508" s="812">
        <v>8</v>
      </c>
      <c r="C508" s="608">
        <v>39761</v>
      </c>
      <c r="D508" s="812">
        <v>99743</v>
      </c>
      <c r="E508" s="812" t="s">
        <v>2037</v>
      </c>
      <c r="F508" s="133">
        <v>0</v>
      </c>
      <c r="G508" s="133">
        <v>0</v>
      </c>
      <c r="H508" s="133">
        <v>0</v>
      </c>
      <c r="I508" s="133">
        <v>0</v>
      </c>
      <c r="J508" s="133">
        <v>0</v>
      </c>
      <c r="K508" s="133">
        <v>0</v>
      </c>
      <c r="L508" s="133">
        <v>0</v>
      </c>
      <c r="M508" s="45">
        <v>0</v>
      </c>
    </row>
    <row r="509" spans="1:13" x14ac:dyDescent="0.25">
      <c r="A509" s="812" t="s">
        <v>1999</v>
      </c>
      <c r="B509" s="812">
        <v>8</v>
      </c>
      <c r="C509" s="608">
        <v>39761</v>
      </c>
      <c r="D509" s="812">
        <v>99744</v>
      </c>
      <c r="E509" s="812" t="s">
        <v>2038</v>
      </c>
      <c r="F509" s="133">
        <v>0</v>
      </c>
      <c r="G509" s="133">
        <v>0</v>
      </c>
      <c r="H509" s="133">
        <v>0</v>
      </c>
      <c r="I509" s="133">
        <v>0</v>
      </c>
      <c r="J509" s="133">
        <v>0</v>
      </c>
      <c r="K509" s="133">
        <v>0</v>
      </c>
      <c r="L509" s="133">
        <v>0</v>
      </c>
      <c r="M509" s="45">
        <v>0</v>
      </c>
    </row>
    <row r="510" spans="1:13" x14ac:dyDescent="0.25">
      <c r="A510" s="812" t="s">
        <v>1999</v>
      </c>
      <c r="B510" s="812">
        <v>8</v>
      </c>
      <c r="C510" s="608">
        <v>39761</v>
      </c>
      <c r="D510" s="812">
        <v>99755</v>
      </c>
      <c r="E510" s="812" t="s">
        <v>2039</v>
      </c>
      <c r="F510" s="133">
        <v>0</v>
      </c>
      <c r="G510" s="133">
        <v>0</v>
      </c>
      <c r="H510" s="133">
        <v>0</v>
      </c>
      <c r="I510" s="133">
        <v>0</v>
      </c>
      <c r="J510" s="133">
        <v>0</v>
      </c>
      <c r="K510" s="133">
        <v>0</v>
      </c>
      <c r="L510" s="133">
        <v>0</v>
      </c>
      <c r="M510" s="45">
        <v>0</v>
      </c>
    </row>
    <row r="511" spans="1:13" x14ac:dyDescent="0.25">
      <c r="A511" s="812" t="s">
        <v>1999</v>
      </c>
      <c r="B511" s="812">
        <v>8</v>
      </c>
      <c r="C511" s="608">
        <v>39761</v>
      </c>
      <c r="D511" s="812">
        <v>99756</v>
      </c>
      <c r="E511" s="812" t="s">
        <v>2040</v>
      </c>
      <c r="F511" s="133">
        <v>0</v>
      </c>
      <c r="G511" s="133">
        <v>0</v>
      </c>
      <c r="H511" s="133">
        <v>0</v>
      </c>
      <c r="I511" s="133">
        <v>0</v>
      </c>
      <c r="J511" s="133">
        <v>0</v>
      </c>
      <c r="K511" s="133">
        <v>0</v>
      </c>
      <c r="L511" s="133">
        <v>0</v>
      </c>
      <c r="M511" s="45">
        <v>0</v>
      </c>
    </row>
    <row r="512" spans="1:13" x14ac:dyDescent="0.25">
      <c r="A512" s="812" t="s">
        <v>1999</v>
      </c>
      <c r="B512" s="812">
        <v>8</v>
      </c>
      <c r="C512" s="608">
        <v>39761</v>
      </c>
      <c r="D512" s="812">
        <v>99758</v>
      </c>
      <c r="E512" s="812" t="s">
        <v>2041</v>
      </c>
      <c r="F512" s="133">
        <v>0</v>
      </c>
      <c r="G512" s="133">
        <v>0</v>
      </c>
      <c r="H512" s="133">
        <v>0</v>
      </c>
      <c r="I512" s="133">
        <v>0</v>
      </c>
      <c r="J512" s="133">
        <v>0</v>
      </c>
      <c r="K512" s="133">
        <v>0</v>
      </c>
      <c r="L512" s="133">
        <v>0</v>
      </c>
      <c r="M512" s="45">
        <v>0</v>
      </c>
    </row>
    <row r="513" spans="1:13" x14ac:dyDescent="0.25">
      <c r="A513" s="812" t="s">
        <v>1999</v>
      </c>
      <c r="B513" s="812">
        <v>8</v>
      </c>
      <c r="C513" s="608">
        <v>39761</v>
      </c>
      <c r="D513" s="812">
        <v>99760</v>
      </c>
      <c r="E513" s="812" t="s">
        <v>2042</v>
      </c>
      <c r="F513" s="133">
        <v>0</v>
      </c>
      <c r="G513" s="133">
        <v>0</v>
      </c>
      <c r="H513" s="133">
        <v>0</v>
      </c>
      <c r="I513" s="133">
        <v>0</v>
      </c>
      <c r="J513" s="133">
        <v>0</v>
      </c>
      <c r="K513" s="133">
        <v>0</v>
      </c>
      <c r="L513" s="133">
        <v>0</v>
      </c>
      <c r="M513" s="45">
        <v>0</v>
      </c>
    </row>
    <row r="514" spans="1:13" x14ac:dyDescent="0.25">
      <c r="A514" s="812" t="s">
        <v>1999</v>
      </c>
      <c r="B514" s="812">
        <v>8</v>
      </c>
      <c r="C514" s="608">
        <v>39761</v>
      </c>
      <c r="D514" s="812">
        <v>99767</v>
      </c>
      <c r="E514" s="812" t="s">
        <v>2043</v>
      </c>
      <c r="F514" s="133">
        <v>0</v>
      </c>
      <c r="G514" s="133">
        <v>0</v>
      </c>
      <c r="H514" s="133">
        <v>0</v>
      </c>
      <c r="I514" s="133">
        <v>0</v>
      </c>
      <c r="J514" s="133">
        <v>0</v>
      </c>
      <c r="K514" s="133">
        <v>0</v>
      </c>
      <c r="L514" s="133">
        <v>0</v>
      </c>
      <c r="M514" s="45">
        <v>0</v>
      </c>
    </row>
    <row r="515" spans="1:13" x14ac:dyDescent="0.25">
      <c r="A515" s="812" t="s">
        <v>1999</v>
      </c>
      <c r="B515" s="812">
        <v>8</v>
      </c>
      <c r="C515" s="608">
        <v>39761</v>
      </c>
      <c r="D515" s="812">
        <v>99774</v>
      </c>
      <c r="E515" s="812" t="s">
        <v>2044</v>
      </c>
      <c r="F515" s="133">
        <v>0</v>
      </c>
      <c r="G515" s="133">
        <v>0</v>
      </c>
      <c r="H515" s="133">
        <v>0</v>
      </c>
      <c r="I515" s="133">
        <v>0</v>
      </c>
      <c r="J515" s="133">
        <v>0</v>
      </c>
      <c r="K515" s="133">
        <v>0</v>
      </c>
      <c r="L515" s="133">
        <v>0</v>
      </c>
      <c r="M515" s="45">
        <v>0</v>
      </c>
    </row>
    <row r="516" spans="1:13" x14ac:dyDescent="0.25">
      <c r="A516" s="812" t="s">
        <v>1999</v>
      </c>
      <c r="B516" s="812">
        <v>8</v>
      </c>
      <c r="C516" s="608">
        <v>39761</v>
      </c>
      <c r="D516" s="812">
        <v>99775</v>
      </c>
      <c r="E516" s="812" t="s">
        <v>1602</v>
      </c>
      <c r="F516" s="133">
        <v>8.2563934765021046E-5</v>
      </c>
      <c r="G516" s="133">
        <v>1.9312916828231929E-3</v>
      </c>
      <c r="H516" s="133">
        <v>1.0889853897923143E-3</v>
      </c>
      <c r="I516" s="133">
        <v>6.8940057227938467E-5</v>
      </c>
      <c r="J516" s="133">
        <v>6.8940057227938467E-5</v>
      </c>
      <c r="K516" s="133">
        <v>8.0893451164036211E-5</v>
      </c>
      <c r="L516" s="133">
        <v>1.9585081337789712E-4</v>
      </c>
      <c r="M516" s="45">
        <v>31.655443801532826</v>
      </c>
    </row>
    <row r="517" spans="1:13" x14ac:dyDescent="0.25">
      <c r="A517" s="812" t="s">
        <v>1999</v>
      </c>
      <c r="B517" s="812">
        <v>8</v>
      </c>
      <c r="C517" s="608">
        <v>39761</v>
      </c>
      <c r="D517" s="812">
        <v>99790</v>
      </c>
      <c r="E517" s="812" t="s">
        <v>2045</v>
      </c>
      <c r="F517" s="133">
        <v>0</v>
      </c>
      <c r="G517" s="133">
        <v>0</v>
      </c>
      <c r="H517" s="133">
        <v>0</v>
      </c>
      <c r="I517" s="133">
        <v>0</v>
      </c>
      <c r="J517" s="133">
        <v>0</v>
      </c>
      <c r="K517" s="133">
        <v>0</v>
      </c>
      <c r="L517" s="133">
        <v>0</v>
      </c>
      <c r="M517" s="45">
        <v>0</v>
      </c>
    </row>
    <row r="518" spans="1:13" x14ac:dyDescent="0.25">
      <c r="A518" s="812" t="s">
        <v>1999</v>
      </c>
      <c r="B518" s="812">
        <v>9</v>
      </c>
      <c r="C518" s="608">
        <v>39762</v>
      </c>
      <c r="D518" s="812">
        <v>99701</v>
      </c>
      <c r="E518" s="812" t="s">
        <v>2031</v>
      </c>
      <c r="F518" s="133">
        <v>0.75663845333011359</v>
      </c>
      <c r="G518" s="133">
        <v>0.69724511311515946</v>
      </c>
      <c r="H518" s="133">
        <v>0.83853882786119038</v>
      </c>
      <c r="I518" s="133">
        <v>0.22537783993181248</v>
      </c>
      <c r="J518" s="133">
        <v>0.22537783993181248</v>
      </c>
      <c r="K518" s="133">
        <v>2.9526546136398928E-2</v>
      </c>
      <c r="L518" s="133">
        <v>2.2340064772250114</v>
      </c>
      <c r="M518" s="45">
        <v>13040.643327103746</v>
      </c>
    </row>
    <row r="519" spans="1:13" x14ac:dyDescent="0.25">
      <c r="A519" s="812" t="s">
        <v>1999</v>
      </c>
      <c r="B519" s="812">
        <v>9</v>
      </c>
      <c r="C519" s="608">
        <v>39762</v>
      </c>
      <c r="D519" s="812">
        <v>99702</v>
      </c>
      <c r="E519" s="812" t="s">
        <v>2032</v>
      </c>
      <c r="F519" s="133">
        <v>0</v>
      </c>
      <c r="G519" s="133">
        <v>0</v>
      </c>
      <c r="H519" s="133">
        <v>0</v>
      </c>
      <c r="I519" s="133">
        <v>0</v>
      </c>
      <c r="J519" s="133">
        <v>0</v>
      </c>
      <c r="K519" s="133">
        <v>0</v>
      </c>
      <c r="L519" s="133">
        <v>0</v>
      </c>
      <c r="M519" s="45">
        <v>0</v>
      </c>
    </row>
    <row r="520" spans="1:13" x14ac:dyDescent="0.25">
      <c r="A520" s="812" t="s">
        <v>1999</v>
      </c>
      <c r="B520" s="812">
        <v>9</v>
      </c>
      <c r="C520" s="608">
        <v>39762</v>
      </c>
      <c r="D520" s="812">
        <v>99703</v>
      </c>
      <c r="E520" s="812" t="s">
        <v>2033</v>
      </c>
      <c r="F520" s="133">
        <v>1.8596726730499981E-2</v>
      </c>
      <c r="G520" s="133">
        <v>1.2928833512547774E-2</v>
      </c>
      <c r="H520" s="133">
        <v>1.9047536974385743E-2</v>
      </c>
      <c r="I520" s="133">
        <v>6.1589109874882067E-3</v>
      </c>
      <c r="J520" s="133">
        <v>6.1589109874882067E-3</v>
      </c>
      <c r="K520" s="133">
        <v>5.0229277165426565E-4</v>
      </c>
      <c r="L520" s="133">
        <v>6.5622657184725736E-2</v>
      </c>
      <c r="M520" s="45">
        <v>252.58428426638451</v>
      </c>
    </row>
    <row r="521" spans="1:13" x14ac:dyDescent="0.25">
      <c r="A521" s="812" t="s">
        <v>1999</v>
      </c>
      <c r="B521" s="812">
        <v>9</v>
      </c>
      <c r="C521" s="608">
        <v>39762</v>
      </c>
      <c r="D521" s="812">
        <v>99705</v>
      </c>
      <c r="E521" s="812" t="s">
        <v>1599</v>
      </c>
      <c r="F521" s="133">
        <v>3.0450488139877203</v>
      </c>
      <c r="G521" s="133">
        <v>0.63112554352763472</v>
      </c>
      <c r="H521" s="133">
        <v>1.0446631884980673</v>
      </c>
      <c r="I521" s="133">
        <v>0.91872835746087955</v>
      </c>
      <c r="J521" s="133">
        <v>0.91872835746087955</v>
      </c>
      <c r="K521" s="133">
        <v>4.2980200690651407E-2</v>
      </c>
      <c r="L521" s="133">
        <v>9.8826578633436686</v>
      </c>
      <c r="M521" s="45">
        <v>12913.235599520143</v>
      </c>
    </row>
    <row r="522" spans="1:13" x14ac:dyDescent="0.25">
      <c r="A522" s="812" t="s">
        <v>1999</v>
      </c>
      <c r="B522" s="812">
        <v>9</v>
      </c>
      <c r="C522" s="608">
        <v>39762</v>
      </c>
      <c r="D522" s="812">
        <v>99709</v>
      </c>
      <c r="E522" s="812" t="s">
        <v>1600</v>
      </c>
      <c r="F522" s="133">
        <v>2.3242944597425543</v>
      </c>
      <c r="G522" s="133">
        <v>0.70098775460652951</v>
      </c>
      <c r="H522" s="133">
        <v>1.1252296865071563</v>
      </c>
      <c r="I522" s="133">
        <v>0.64150128450259492</v>
      </c>
      <c r="J522" s="133">
        <v>0.64150128450259492</v>
      </c>
      <c r="K522" s="133">
        <v>3.6887628601639133E-2</v>
      </c>
      <c r="L522" s="133">
        <v>6.6414020372613942</v>
      </c>
      <c r="M522" s="45">
        <v>14320.57650480769</v>
      </c>
    </row>
    <row r="523" spans="1:13" x14ac:dyDescent="0.25">
      <c r="A523" s="812" t="s">
        <v>1999</v>
      </c>
      <c r="B523" s="812">
        <v>9</v>
      </c>
      <c r="C523" s="608">
        <v>39762</v>
      </c>
      <c r="D523" s="812">
        <v>99712</v>
      </c>
      <c r="E523" s="812" t="s">
        <v>1601</v>
      </c>
      <c r="F523" s="133">
        <v>1.1852465578367362</v>
      </c>
      <c r="G523" s="133">
        <v>0.22133910309057153</v>
      </c>
      <c r="H523" s="133">
        <v>0.39363123045140774</v>
      </c>
      <c r="I523" s="133">
        <v>0.32766848069379989</v>
      </c>
      <c r="J523" s="133">
        <v>0.32766848069379989</v>
      </c>
      <c r="K523" s="133">
        <v>1.5493618700829059E-2</v>
      </c>
      <c r="L523" s="133">
        <v>3.4132788648952692</v>
      </c>
      <c r="M523" s="45">
        <v>4611.8142633314455</v>
      </c>
    </row>
    <row r="524" spans="1:13" x14ac:dyDescent="0.25">
      <c r="A524" s="812" t="s">
        <v>1999</v>
      </c>
      <c r="B524" s="812">
        <v>9</v>
      </c>
      <c r="C524" s="608">
        <v>39762</v>
      </c>
      <c r="D524" s="812">
        <v>99714</v>
      </c>
      <c r="E524" s="812" t="s">
        <v>2034</v>
      </c>
      <c r="F524" s="133">
        <v>0</v>
      </c>
      <c r="G524" s="133">
        <v>0</v>
      </c>
      <c r="H524" s="133">
        <v>0</v>
      </c>
      <c r="I524" s="133">
        <v>0</v>
      </c>
      <c r="J524" s="133">
        <v>0</v>
      </c>
      <c r="K524" s="133">
        <v>0</v>
      </c>
      <c r="L524" s="133">
        <v>0</v>
      </c>
      <c r="M524" s="45">
        <v>0</v>
      </c>
    </row>
    <row r="525" spans="1:13" x14ac:dyDescent="0.25">
      <c r="A525" s="812" t="s">
        <v>1999</v>
      </c>
      <c r="B525" s="812">
        <v>9</v>
      </c>
      <c r="C525" s="608">
        <v>39762</v>
      </c>
      <c r="D525" s="812">
        <v>99730</v>
      </c>
      <c r="E525" s="812" t="s">
        <v>2035</v>
      </c>
      <c r="F525" s="133">
        <v>0</v>
      </c>
      <c r="G525" s="133">
        <v>0</v>
      </c>
      <c r="H525" s="133">
        <v>0</v>
      </c>
      <c r="I525" s="133">
        <v>0</v>
      </c>
      <c r="J525" s="133">
        <v>0</v>
      </c>
      <c r="K525" s="133">
        <v>0</v>
      </c>
      <c r="L525" s="133">
        <v>0</v>
      </c>
      <c r="M525" s="45">
        <v>0</v>
      </c>
    </row>
    <row r="526" spans="1:13" x14ac:dyDescent="0.25">
      <c r="A526" s="812" t="s">
        <v>1999</v>
      </c>
      <c r="B526" s="812">
        <v>9</v>
      </c>
      <c r="C526" s="608">
        <v>39762</v>
      </c>
      <c r="D526" s="812">
        <v>99737</v>
      </c>
      <c r="E526" s="812" t="s">
        <v>2036</v>
      </c>
      <c r="F526" s="133">
        <v>0</v>
      </c>
      <c r="G526" s="133">
        <v>0</v>
      </c>
      <c r="H526" s="133">
        <v>0</v>
      </c>
      <c r="I526" s="133">
        <v>0</v>
      </c>
      <c r="J526" s="133">
        <v>0</v>
      </c>
      <c r="K526" s="133">
        <v>0</v>
      </c>
      <c r="L526" s="133">
        <v>0</v>
      </c>
      <c r="M526" s="45">
        <v>0</v>
      </c>
    </row>
    <row r="527" spans="1:13" x14ac:dyDescent="0.25">
      <c r="A527" s="812" t="s">
        <v>1999</v>
      </c>
      <c r="B527" s="812">
        <v>9</v>
      </c>
      <c r="C527" s="608">
        <v>39762</v>
      </c>
      <c r="D527" s="812">
        <v>99743</v>
      </c>
      <c r="E527" s="812" t="s">
        <v>2037</v>
      </c>
      <c r="F527" s="133">
        <v>0</v>
      </c>
      <c r="G527" s="133">
        <v>0</v>
      </c>
      <c r="H527" s="133">
        <v>0</v>
      </c>
      <c r="I527" s="133">
        <v>0</v>
      </c>
      <c r="J527" s="133">
        <v>0</v>
      </c>
      <c r="K527" s="133">
        <v>0</v>
      </c>
      <c r="L527" s="133">
        <v>0</v>
      </c>
      <c r="M527" s="45">
        <v>0</v>
      </c>
    </row>
    <row r="528" spans="1:13" x14ac:dyDescent="0.25">
      <c r="A528" s="812" t="s">
        <v>1999</v>
      </c>
      <c r="B528" s="812">
        <v>9</v>
      </c>
      <c r="C528" s="608">
        <v>39762</v>
      </c>
      <c r="D528" s="812">
        <v>99744</v>
      </c>
      <c r="E528" s="812" t="s">
        <v>2038</v>
      </c>
      <c r="F528" s="133">
        <v>0</v>
      </c>
      <c r="G528" s="133">
        <v>0</v>
      </c>
      <c r="H528" s="133">
        <v>0</v>
      </c>
      <c r="I528" s="133">
        <v>0</v>
      </c>
      <c r="J528" s="133">
        <v>0</v>
      </c>
      <c r="K528" s="133">
        <v>0</v>
      </c>
      <c r="L528" s="133">
        <v>0</v>
      </c>
      <c r="M528" s="45">
        <v>0</v>
      </c>
    </row>
    <row r="529" spans="1:13" x14ac:dyDescent="0.25">
      <c r="A529" s="812" t="s">
        <v>1999</v>
      </c>
      <c r="B529" s="812">
        <v>9</v>
      </c>
      <c r="C529" s="608">
        <v>39762</v>
      </c>
      <c r="D529" s="812">
        <v>99755</v>
      </c>
      <c r="E529" s="812" t="s">
        <v>2039</v>
      </c>
      <c r="F529" s="133">
        <v>0</v>
      </c>
      <c r="G529" s="133">
        <v>0</v>
      </c>
      <c r="H529" s="133">
        <v>0</v>
      </c>
      <c r="I529" s="133">
        <v>0</v>
      </c>
      <c r="J529" s="133">
        <v>0</v>
      </c>
      <c r="K529" s="133">
        <v>0</v>
      </c>
      <c r="L529" s="133">
        <v>0</v>
      </c>
      <c r="M529" s="45">
        <v>0</v>
      </c>
    </row>
    <row r="530" spans="1:13" x14ac:dyDescent="0.25">
      <c r="A530" s="812" t="s">
        <v>1999</v>
      </c>
      <c r="B530" s="812">
        <v>9</v>
      </c>
      <c r="C530" s="608">
        <v>39762</v>
      </c>
      <c r="D530" s="812">
        <v>99756</v>
      </c>
      <c r="E530" s="812" t="s">
        <v>2040</v>
      </c>
      <c r="F530" s="133">
        <v>0</v>
      </c>
      <c r="G530" s="133">
        <v>0</v>
      </c>
      <c r="H530" s="133">
        <v>0</v>
      </c>
      <c r="I530" s="133">
        <v>0</v>
      </c>
      <c r="J530" s="133">
        <v>0</v>
      </c>
      <c r="K530" s="133">
        <v>0</v>
      </c>
      <c r="L530" s="133">
        <v>0</v>
      </c>
      <c r="M530" s="45">
        <v>0</v>
      </c>
    </row>
    <row r="531" spans="1:13" x14ac:dyDescent="0.25">
      <c r="A531" s="812" t="s">
        <v>1999</v>
      </c>
      <c r="B531" s="812">
        <v>9</v>
      </c>
      <c r="C531" s="608">
        <v>39762</v>
      </c>
      <c r="D531" s="812">
        <v>99758</v>
      </c>
      <c r="E531" s="812" t="s">
        <v>2041</v>
      </c>
      <c r="F531" s="133">
        <v>0</v>
      </c>
      <c r="G531" s="133">
        <v>0</v>
      </c>
      <c r="H531" s="133">
        <v>0</v>
      </c>
      <c r="I531" s="133">
        <v>0</v>
      </c>
      <c r="J531" s="133">
        <v>0</v>
      </c>
      <c r="K531" s="133">
        <v>0</v>
      </c>
      <c r="L531" s="133">
        <v>0</v>
      </c>
      <c r="M531" s="45">
        <v>0</v>
      </c>
    </row>
    <row r="532" spans="1:13" x14ac:dyDescent="0.25">
      <c r="A532" s="812" t="s">
        <v>1999</v>
      </c>
      <c r="B532" s="812">
        <v>9</v>
      </c>
      <c r="C532" s="608">
        <v>39762</v>
      </c>
      <c r="D532" s="812">
        <v>99760</v>
      </c>
      <c r="E532" s="812" t="s">
        <v>2042</v>
      </c>
      <c r="F532" s="133">
        <v>0</v>
      </c>
      <c r="G532" s="133">
        <v>0</v>
      </c>
      <c r="H532" s="133">
        <v>0</v>
      </c>
      <c r="I532" s="133">
        <v>0</v>
      </c>
      <c r="J532" s="133">
        <v>0</v>
      </c>
      <c r="K532" s="133">
        <v>0</v>
      </c>
      <c r="L532" s="133">
        <v>0</v>
      </c>
      <c r="M532" s="45">
        <v>0</v>
      </c>
    </row>
    <row r="533" spans="1:13" x14ac:dyDescent="0.25">
      <c r="A533" s="812" t="s">
        <v>1999</v>
      </c>
      <c r="B533" s="812">
        <v>9</v>
      </c>
      <c r="C533" s="608">
        <v>39762</v>
      </c>
      <c r="D533" s="812">
        <v>99767</v>
      </c>
      <c r="E533" s="812" t="s">
        <v>2043</v>
      </c>
      <c r="F533" s="133">
        <v>0</v>
      </c>
      <c r="G533" s="133">
        <v>0</v>
      </c>
      <c r="H533" s="133">
        <v>0</v>
      </c>
      <c r="I533" s="133">
        <v>0</v>
      </c>
      <c r="J533" s="133">
        <v>0</v>
      </c>
      <c r="K533" s="133">
        <v>0</v>
      </c>
      <c r="L533" s="133">
        <v>0</v>
      </c>
      <c r="M533" s="45">
        <v>0</v>
      </c>
    </row>
    <row r="534" spans="1:13" x14ac:dyDescent="0.25">
      <c r="A534" s="812" t="s">
        <v>1999</v>
      </c>
      <c r="B534" s="812">
        <v>9</v>
      </c>
      <c r="C534" s="608">
        <v>39762</v>
      </c>
      <c r="D534" s="812">
        <v>99774</v>
      </c>
      <c r="E534" s="812" t="s">
        <v>2044</v>
      </c>
      <c r="F534" s="133">
        <v>0</v>
      </c>
      <c r="G534" s="133">
        <v>0</v>
      </c>
      <c r="H534" s="133">
        <v>0</v>
      </c>
      <c r="I534" s="133">
        <v>0</v>
      </c>
      <c r="J534" s="133">
        <v>0</v>
      </c>
      <c r="K534" s="133">
        <v>0</v>
      </c>
      <c r="L534" s="133">
        <v>0</v>
      </c>
      <c r="M534" s="45">
        <v>0</v>
      </c>
    </row>
    <row r="535" spans="1:13" x14ac:dyDescent="0.25">
      <c r="A535" s="812" t="s">
        <v>1999</v>
      </c>
      <c r="B535" s="812">
        <v>9</v>
      </c>
      <c r="C535" s="608">
        <v>39762</v>
      </c>
      <c r="D535" s="812">
        <v>99775</v>
      </c>
      <c r="E535" s="812" t="s">
        <v>1602</v>
      </c>
      <c r="F535" s="133">
        <v>7.156926307890647E-5</v>
      </c>
      <c r="G535" s="133">
        <v>1.653726338713708E-3</v>
      </c>
      <c r="H535" s="133">
        <v>8.9278986833821454E-4</v>
      </c>
      <c r="I535" s="133">
        <v>6.1899194390424762E-5</v>
      </c>
      <c r="J535" s="133">
        <v>6.1899194390424762E-5</v>
      </c>
      <c r="K535" s="133">
        <v>8.0515708872803593E-5</v>
      </c>
      <c r="L535" s="133">
        <v>1.889449004114357E-4</v>
      </c>
      <c r="M535" s="45">
        <v>27.384021561625755</v>
      </c>
    </row>
    <row r="536" spans="1:13" x14ac:dyDescent="0.25">
      <c r="A536" s="812" t="s">
        <v>1999</v>
      </c>
      <c r="B536" s="812">
        <v>9</v>
      </c>
      <c r="C536" s="608">
        <v>39762</v>
      </c>
      <c r="D536" s="812">
        <v>99790</v>
      </c>
      <c r="E536" s="812" t="s">
        <v>2045</v>
      </c>
      <c r="F536" s="133">
        <v>0</v>
      </c>
      <c r="G536" s="133">
        <v>0</v>
      </c>
      <c r="H536" s="133">
        <v>0</v>
      </c>
      <c r="I536" s="133">
        <v>0</v>
      </c>
      <c r="J536" s="133">
        <v>0</v>
      </c>
      <c r="K536" s="133">
        <v>0</v>
      </c>
      <c r="L536" s="133">
        <v>0</v>
      </c>
      <c r="M536" s="45">
        <v>0</v>
      </c>
    </row>
    <row r="537" spans="1:13" x14ac:dyDescent="0.25">
      <c r="A537" s="812" t="s">
        <v>1999</v>
      </c>
      <c r="B537" s="812">
        <v>10</v>
      </c>
      <c r="C537" s="608">
        <v>39763</v>
      </c>
      <c r="D537" s="812">
        <v>99701</v>
      </c>
      <c r="E537" s="812" t="s">
        <v>2031</v>
      </c>
      <c r="F537" s="133">
        <v>0.67629763253374098</v>
      </c>
      <c r="G537" s="133">
        <v>0.6648989703196857</v>
      </c>
      <c r="H537" s="133">
        <v>0.78384574146020913</v>
      </c>
      <c r="I537" s="133">
        <v>0.20430144041623222</v>
      </c>
      <c r="J537" s="133">
        <v>0.20430144041623222</v>
      </c>
      <c r="K537" s="133">
        <v>2.8607405845803634E-2</v>
      </c>
      <c r="L537" s="133">
        <v>2.0190440889242569</v>
      </c>
      <c r="M537" s="45">
        <v>12397.787115968416</v>
      </c>
    </row>
    <row r="538" spans="1:13" x14ac:dyDescent="0.25">
      <c r="A538" s="812" t="s">
        <v>1999</v>
      </c>
      <c r="B538" s="812">
        <v>10</v>
      </c>
      <c r="C538" s="608">
        <v>39763</v>
      </c>
      <c r="D538" s="812">
        <v>99702</v>
      </c>
      <c r="E538" s="812" t="s">
        <v>2032</v>
      </c>
      <c r="F538" s="133">
        <v>0</v>
      </c>
      <c r="G538" s="133">
        <v>0</v>
      </c>
      <c r="H538" s="133">
        <v>0</v>
      </c>
      <c r="I538" s="133">
        <v>0</v>
      </c>
      <c r="J538" s="133">
        <v>0</v>
      </c>
      <c r="K538" s="133">
        <v>0</v>
      </c>
      <c r="L538" s="133">
        <v>0</v>
      </c>
      <c r="M538" s="45">
        <v>0</v>
      </c>
    </row>
    <row r="539" spans="1:13" x14ac:dyDescent="0.25">
      <c r="A539" s="812" t="s">
        <v>1999</v>
      </c>
      <c r="B539" s="812">
        <v>10</v>
      </c>
      <c r="C539" s="608">
        <v>39763</v>
      </c>
      <c r="D539" s="812">
        <v>99703</v>
      </c>
      <c r="E539" s="812" t="s">
        <v>2033</v>
      </c>
      <c r="F539" s="133">
        <v>1.6743769899840701E-2</v>
      </c>
      <c r="G539" s="133">
        <v>1.2173371254977529E-2</v>
      </c>
      <c r="H539" s="133">
        <v>1.7632894156273428E-2</v>
      </c>
      <c r="I539" s="133">
        <v>5.5862108419282791E-3</v>
      </c>
      <c r="J539" s="133">
        <v>5.5862108419282791E-3</v>
      </c>
      <c r="K539" s="133">
        <v>4.7897829176077339E-4</v>
      </c>
      <c r="L539" s="133">
        <v>5.9342797453792312E-2</v>
      </c>
      <c r="M539" s="45">
        <v>236.92610335949246</v>
      </c>
    </row>
    <row r="540" spans="1:13" x14ac:dyDescent="0.25">
      <c r="A540" s="812" t="s">
        <v>1999</v>
      </c>
      <c r="B540" s="812">
        <v>10</v>
      </c>
      <c r="C540" s="608">
        <v>39763</v>
      </c>
      <c r="D540" s="812">
        <v>99705</v>
      </c>
      <c r="E540" s="812" t="s">
        <v>1599</v>
      </c>
      <c r="F540" s="133">
        <v>2.8198705719067467</v>
      </c>
      <c r="G540" s="133">
        <v>0.5962899420744685</v>
      </c>
      <c r="H540" s="133">
        <v>0.98452924487459392</v>
      </c>
      <c r="I540" s="133">
        <v>0.85567091951495555</v>
      </c>
      <c r="J540" s="133">
        <v>0.85567091951495555</v>
      </c>
      <c r="K540" s="133">
        <v>4.0245680458510256E-2</v>
      </c>
      <c r="L540" s="133">
        <v>9.1956911485860964</v>
      </c>
      <c r="M540" s="45">
        <v>12202.177339806689</v>
      </c>
    </row>
    <row r="541" spans="1:13" x14ac:dyDescent="0.25">
      <c r="A541" s="812" t="s">
        <v>1999</v>
      </c>
      <c r="B541" s="812">
        <v>10</v>
      </c>
      <c r="C541" s="608">
        <v>39763</v>
      </c>
      <c r="D541" s="812">
        <v>99709</v>
      </c>
      <c r="E541" s="812" t="s">
        <v>1600</v>
      </c>
      <c r="F541" s="133">
        <v>2.1594828372039432</v>
      </c>
      <c r="G541" s="133">
        <v>0.67009469846394387</v>
      </c>
      <c r="H541" s="133">
        <v>1.0704646951811763</v>
      </c>
      <c r="I541" s="133">
        <v>0.60068228565431803</v>
      </c>
      <c r="J541" s="133">
        <v>0.60068228565431803</v>
      </c>
      <c r="K541" s="133">
        <v>3.5111236962809871E-2</v>
      </c>
      <c r="L541" s="133">
        <v>6.223778561058146</v>
      </c>
      <c r="M541" s="45">
        <v>13684.789733434332</v>
      </c>
    </row>
    <row r="542" spans="1:13" x14ac:dyDescent="0.25">
      <c r="A542" s="812" t="s">
        <v>1999</v>
      </c>
      <c r="B542" s="812">
        <v>10</v>
      </c>
      <c r="C542" s="608">
        <v>39763</v>
      </c>
      <c r="D542" s="812">
        <v>99712</v>
      </c>
      <c r="E542" s="812" t="s">
        <v>1601</v>
      </c>
      <c r="F542" s="133">
        <v>1.0895105007634549</v>
      </c>
      <c r="G542" s="133">
        <v>0.20870541987033744</v>
      </c>
      <c r="H542" s="133">
        <v>0.37066622741299554</v>
      </c>
      <c r="I542" s="133">
        <v>0.30391956590288155</v>
      </c>
      <c r="J542" s="133">
        <v>0.30391956590288155</v>
      </c>
      <c r="K542" s="133">
        <v>1.4412374812457987E-2</v>
      </c>
      <c r="L542" s="133">
        <v>3.1674688111233675</v>
      </c>
      <c r="M542" s="45">
        <v>4351.1477054348352</v>
      </c>
    </row>
    <row r="543" spans="1:13" x14ac:dyDescent="0.25">
      <c r="A543" s="812" t="s">
        <v>1999</v>
      </c>
      <c r="B543" s="812">
        <v>10</v>
      </c>
      <c r="C543" s="608">
        <v>39763</v>
      </c>
      <c r="D543" s="812">
        <v>99714</v>
      </c>
      <c r="E543" s="812" t="s">
        <v>2034</v>
      </c>
      <c r="F543" s="133">
        <v>0</v>
      </c>
      <c r="G543" s="133">
        <v>0</v>
      </c>
      <c r="H543" s="133">
        <v>0</v>
      </c>
      <c r="I543" s="133">
        <v>0</v>
      </c>
      <c r="J543" s="133">
        <v>0</v>
      </c>
      <c r="K543" s="133">
        <v>0</v>
      </c>
      <c r="L543" s="133">
        <v>0</v>
      </c>
      <c r="M543" s="45">
        <v>0</v>
      </c>
    </row>
    <row r="544" spans="1:13" x14ac:dyDescent="0.25">
      <c r="A544" s="812" t="s">
        <v>1999</v>
      </c>
      <c r="B544" s="812">
        <v>10</v>
      </c>
      <c r="C544" s="608">
        <v>39763</v>
      </c>
      <c r="D544" s="812">
        <v>99730</v>
      </c>
      <c r="E544" s="812" t="s">
        <v>2035</v>
      </c>
      <c r="F544" s="133">
        <v>0</v>
      </c>
      <c r="G544" s="133">
        <v>0</v>
      </c>
      <c r="H544" s="133">
        <v>0</v>
      </c>
      <c r="I544" s="133">
        <v>0</v>
      </c>
      <c r="J544" s="133">
        <v>0</v>
      </c>
      <c r="K544" s="133">
        <v>0</v>
      </c>
      <c r="L544" s="133">
        <v>0</v>
      </c>
      <c r="M544" s="45">
        <v>0</v>
      </c>
    </row>
    <row r="545" spans="1:13" x14ac:dyDescent="0.25">
      <c r="A545" s="812" t="s">
        <v>1999</v>
      </c>
      <c r="B545" s="812">
        <v>10</v>
      </c>
      <c r="C545" s="608">
        <v>39763</v>
      </c>
      <c r="D545" s="812">
        <v>99737</v>
      </c>
      <c r="E545" s="812" t="s">
        <v>2036</v>
      </c>
      <c r="F545" s="133">
        <v>0</v>
      </c>
      <c r="G545" s="133">
        <v>0</v>
      </c>
      <c r="H545" s="133">
        <v>0</v>
      </c>
      <c r="I545" s="133">
        <v>0</v>
      </c>
      <c r="J545" s="133">
        <v>0</v>
      </c>
      <c r="K545" s="133">
        <v>0</v>
      </c>
      <c r="L545" s="133">
        <v>0</v>
      </c>
      <c r="M545" s="45">
        <v>0</v>
      </c>
    </row>
    <row r="546" spans="1:13" x14ac:dyDescent="0.25">
      <c r="A546" s="812" t="s">
        <v>1999</v>
      </c>
      <c r="B546" s="812">
        <v>10</v>
      </c>
      <c r="C546" s="608">
        <v>39763</v>
      </c>
      <c r="D546" s="812">
        <v>99743</v>
      </c>
      <c r="E546" s="812" t="s">
        <v>2037</v>
      </c>
      <c r="F546" s="133">
        <v>0</v>
      </c>
      <c r="G546" s="133">
        <v>0</v>
      </c>
      <c r="H546" s="133">
        <v>0</v>
      </c>
      <c r="I546" s="133">
        <v>0</v>
      </c>
      <c r="J546" s="133">
        <v>0</v>
      </c>
      <c r="K546" s="133">
        <v>0</v>
      </c>
      <c r="L546" s="133">
        <v>0</v>
      </c>
      <c r="M546" s="45">
        <v>0</v>
      </c>
    </row>
    <row r="547" spans="1:13" x14ac:dyDescent="0.25">
      <c r="A547" s="812" t="s">
        <v>1999</v>
      </c>
      <c r="B547" s="812">
        <v>10</v>
      </c>
      <c r="C547" s="608">
        <v>39763</v>
      </c>
      <c r="D547" s="812">
        <v>99744</v>
      </c>
      <c r="E547" s="812" t="s">
        <v>2038</v>
      </c>
      <c r="F547" s="133">
        <v>0</v>
      </c>
      <c r="G547" s="133">
        <v>0</v>
      </c>
      <c r="H547" s="133">
        <v>0</v>
      </c>
      <c r="I547" s="133">
        <v>0</v>
      </c>
      <c r="J547" s="133">
        <v>0</v>
      </c>
      <c r="K547" s="133">
        <v>0</v>
      </c>
      <c r="L547" s="133">
        <v>0</v>
      </c>
      <c r="M547" s="45">
        <v>0</v>
      </c>
    </row>
    <row r="548" spans="1:13" x14ac:dyDescent="0.25">
      <c r="A548" s="812" t="s">
        <v>1999</v>
      </c>
      <c r="B548" s="812">
        <v>10</v>
      </c>
      <c r="C548" s="608">
        <v>39763</v>
      </c>
      <c r="D548" s="812">
        <v>99755</v>
      </c>
      <c r="E548" s="812" t="s">
        <v>2039</v>
      </c>
      <c r="F548" s="133">
        <v>0</v>
      </c>
      <c r="G548" s="133">
        <v>0</v>
      </c>
      <c r="H548" s="133">
        <v>0</v>
      </c>
      <c r="I548" s="133">
        <v>0</v>
      </c>
      <c r="J548" s="133">
        <v>0</v>
      </c>
      <c r="K548" s="133">
        <v>0</v>
      </c>
      <c r="L548" s="133">
        <v>0</v>
      </c>
      <c r="M548" s="45">
        <v>0</v>
      </c>
    </row>
    <row r="549" spans="1:13" x14ac:dyDescent="0.25">
      <c r="A549" s="812" t="s">
        <v>1999</v>
      </c>
      <c r="B549" s="812">
        <v>10</v>
      </c>
      <c r="C549" s="608">
        <v>39763</v>
      </c>
      <c r="D549" s="812">
        <v>99756</v>
      </c>
      <c r="E549" s="812" t="s">
        <v>2040</v>
      </c>
      <c r="F549" s="133">
        <v>0</v>
      </c>
      <c r="G549" s="133">
        <v>0</v>
      </c>
      <c r="H549" s="133">
        <v>0</v>
      </c>
      <c r="I549" s="133">
        <v>0</v>
      </c>
      <c r="J549" s="133">
        <v>0</v>
      </c>
      <c r="K549" s="133">
        <v>0</v>
      </c>
      <c r="L549" s="133">
        <v>0</v>
      </c>
      <c r="M549" s="45">
        <v>0</v>
      </c>
    </row>
    <row r="550" spans="1:13" x14ac:dyDescent="0.25">
      <c r="A550" s="812" t="s">
        <v>1999</v>
      </c>
      <c r="B550" s="812">
        <v>10</v>
      </c>
      <c r="C550" s="608">
        <v>39763</v>
      </c>
      <c r="D550" s="812">
        <v>99758</v>
      </c>
      <c r="E550" s="812" t="s">
        <v>2041</v>
      </c>
      <c r="F550" s="133">
        <v>0</v>
      </c>
      <c r="G550" s="133">
        <v>0</v>
      </c>
      <c r="H550" s="133">
        <v>0</v>
      </c>
      <c r="I550" s="133">
        <v>0</v>
      </c>
      <c r="J550" s="133">
        <v>0</v>
      </c>
      <c r="K550" s="133">
        <v>0</v>
      </c>
      <c r="L550" s="133">
        <v>0</v>
      </c>
      <c r="M550" s="45">
        <v>0</v>
      </c>
    </row>
    <row r="551" spans="1:13" x14ac:dyDescent="0.25">
      <c r="A551" s="812" t="s">
        <v>1999</v>
      </c>
      <c r="B551" s="812">
        <v>10</v>
      </c>
      <c r="C551" s="608">
        <v>39763</v>
      </c>
      <c r="D551" s="812">
        <v>99760</v>
      </c>
      <c r="E551" s="812" t="s">
        <v>2042</v>
      </c>
      <c r="F551" s="133">
        <v>0</v>
      </c>
      <c r="G551" s="133">
        <v>0</v>
      </c>
      <c r="H551" s="133">
        <v>0</v>
      </c>
      <c r="I551" s="133">
        <v>0</v>
      </c>
      <c r="J551" s="133">
        <v>0</v>
      </c>
      <c r="K551" s="133">
        <v>0</v>
      </c>
      <c r="L551" s="133">
        <v>0</v>
      </c>
      <c r="M551" s="45">
        <v>0</v>
      </c>
    </row>
    <row r="552" spans="1:13" x14ac:dyDescent="0.25">
      <c r="A552" s="812" t="s">
        <v>1999</v>
      </c>
      <c r="B552" s="812">
        <v>10</v>
      </c>
      <c r="C552" s="608">
        <v>39763</v>
      </c>
      <c r="D552" s="812">
        <v>99767</v>
      </c>
      <c r="E552" s="812" t="s">
        <v>2043</v>
      </c>
      <c r="F552" s="133">
        <v>0</v>
      </c>
      <c r="G552" s="133">
        <v>0</v>
      </c>
      <c r="H552" s="133">
        <v>0</v>
      </c>
      <c r="I552" s="133">
        <v>0</v>
      </c>
      <c r="J552" s="133">
        <v>0</v>
      </c>
      <c r="K552" s="133">
        <v>0</v>
      </c>
      <c r="L552" s="133">
        <v>0</v>
      </c>
      <c r="M552" s="45">
        <v>0</v>
      </c>
    </row>
    <row r="553" spans="1:13" x14ac:dyDescent="0.25">
      <c r="A553" s="812" t="s">
        <v>1999</v>
      </c>
      <c r="B553" s="812">
        <v>10</v>
      </c>
      <c r="C553" s="608">
        <v>39763</v>
      </c>
      <c r="D553" s="812">
        <v>99774</v>
      </c>
      <c r="E553" s="812" t="s">
        <v>2044</v>
      </c>
      <c r="F553" s="133">
        <v>0</v>
      </c>
      <c r="G553" s="133">
        <v>0</v>
      </c>
      <c r="H553" s="133">
        <v>0</v>
      </c>
      <c r="I553" s="133">
        <v>0</v>
      </c>
      <c r="J553" s="133">
        <v>0</v>
      </c>
      <c r="K553" s="133">
        <v>0</v>
      </c>
      <c r="L553" s="133">
        <v>0</v>
      </c>
      <c r="M553" s="45">
        <v>0</v>
      </c>
    </row>
    <row r="554" spans="1:13" x14ac:dyDescent="0.25">
      <c r="A554" s="812" t="s">
        <v>1999</v>
      </c>
      <c r="B554" s="812">
        <v>10</v>
      </c>
      <c r="C554" s="608">
        <v>39763</v>
      </c>
      <c r="D554" s="812">
        <v>99775</v>
      </c>
      <c r="E554" s="812" t="s">
        <v>1602</v>
      </c>
      <c r="F554" s="133">
        <v>6.9877775127196541E-5</v>
      </c>
      <c r="G554" s="133">
        <v>1.6110239780814796E-3</v>
      </c>
      <c r="H554" s="133">
        <v>8.6260594196066096E-4</v>
      </c>
      <c r="I554" s="133">
        <v>6.0815984723114986E-5</v>
      </c>
      <c r="J554" s="133">
        <v>6.0815984723114986E-5</v>
      </c>
      <c r="K554" s="133">
        <v>8.0457594674152415E-5</v>
      </c>
      <c r="L554" s="133">
        <v>1.8788245226274939E-4</v>
      </c>
      <c r="M554" s="45">
        <v>26.726879678563133</v>
      </c>
    </row>
    <row r="555" spans="1:13" x14ac:dyDescent="0.25">
      <c r="A555" s="812" t="s">
        <v>1999</v>
      </c>
      <c r="B555" s="812">
        <v>10</v>
      </c>
      <c r="C555" s="608">
        <v>39763</v>
      </c>
      <c r="D555" s="812">
        <v>99790</v>
      </c>
      <c r="E555" s="812" t="s">
        <v>2045</v>
      </c>
      <c r="F555" s="133">
        <v>0</v>
      </c>
      <c r="G555" s="133">
        <v>0</v>
      </c>
      <c r="H555" s="133">
        <v>0</v>
      </c>
      <c r="I555" s="133">
        <v>0</v>
      </c>
      <c r="J555" s="133">
        <v>0</v>
      </c>
      <c r="K555" s="133">
        <v>0</v>
      </c>
      <c r="L555" s="133">
        <v>0</v>
      </c>
      <c r="M555" s="45">
        <v>0</v>
      </c>
    </row>
    <row r="556" spans="1:13" x14ac:dyDescent="0.25">
      <c r="A556" s="812" t="s">
        <v>1999</v>
      </c>
      <c r="B556" s="812">
        <v>11</v>
      </c>
      <c r="C556" s="608">
        <v>39764</v>
      </c>
      <c r="D556" s="812">
        <v>99701</v>
      </c>
      <c r="E556" s="812" t="s">
        <v>2031</v>
      </c>
      <c r="F556" s="133">
        <v>0.67497723591256931</v>
      </c>
      <c r="G556" s="133">
        <v>0.65861660420164936</v>
      </c>
      <c r="H556" s="133">
        <v>0.77845707915816065</v>
      </c>
      <c r="I556" s="133">
        <v>0.20355096747803711</v>
      </c>
      <c r="J556" s="133">
        <v>0.20355096747803711</v>
      </c>
      <c r="K556" s="133">
        <v>2.8580914283367818E-2</v>
      </c>
      <c r="L556" s="133">
        <v>2.0113774178584394</v>
      </c>
      <c r="M556" s="45">
        <v>12298.860983720926</v>
      </c>
    </row>
    <row r="557" spans="1:13" x14ac:dyDescent="0.25">
      <c r="A557" s="812" t="s">
        <v>1999</v>
      </c>
      <c r="B557" s="812">
        <v>11</v>
      </c>
      <c r="C557" s="608">
        <v>39764</v>
      </c>
      <c r="D557" s="812">
        <v>99702</v>
      </c>
      <c r="E557" s="812" t="s">
        <v>2032</v>
      </c>
      <c r="F557" s="133">
        <v>0</v>
      </c>
      <c r="G557" s="133">
        <v>0</v>
      </c>
      <c r="H557" s="133">
        <v>0</v>
      </c>
      <c r="I557" s="133">
        <v>0</v>
      </c>
      <c r="J557" s="133">
        <v>0</v>
      </c>
      <c r="K557" s="133">
        <v>0</v>
      </c>
      <c r="L557" s="133">
        <v>0</v>
      </c>
      <c r="M557" s="45">
        <v>0</v>
      </c>
    </row>
    <row r="558" spans="1:13" x14ac:dyDescent="0.25">
      <c r="A558" s="812" t="s">
        <v>1999</v>
      </c>
      <c r="B558" s="812">
        <v>11</v>
      </c>
      <c r="C558" s="608">
        <v>39764</v>
      </c>
      <c r="D558" s="812">
        <v>99703</v>
      </c>
      <c r="E558" s="812" t="s">
        <v>2033</v>
      </c>
      <c r="F558" s="133">
        <v>1.6431657613140121E-2</v>
      </c>
      <c r="G558" s="133">
        <v>1.1991071046359929E-2</v>
      </c>
      <c r="H558" s="133">
        <v>1.7346289964463597E-2</v>
      </c>
      <c r="I558" s="133">
        <v>5.4873738188834136E-3</v>
      </c>
      <c r="J558" s="133">
        <v>5.4873738188834136E-3</v>
      </c>
      <c r="K558" s="133">
        <v>4.7501302246445417E-4</v>
      </c>
      <c r="L558" s="133">
        <v>5.8271913664382717E-2</v>
      </c>
      <c r="M558" s="45">
        <v>233.43514579367937</v>
      </c>
    </row>
    <row r="559" spans="1:13" x14ac:dyDescent="0.25">
      <c r="A559" s="812" t="s">
        <v>1999</v>
      </c>
      <c r="B559" s="812">
        <v>11</v>
      </c>
      <c r="C559" s="608">
        <v>39764</v>
      </c>
      <c r="D559" s="812">
        <v>99705</v>
      </c>
      <c r="E559" s="812" t="s">
        <v>1599</v>
      </c>
      <c r="F559" s="133">
        <v>2.8382447041766428</v>
      </c>
      <c r="G559" s="133">
        <v>0.59753573568485963</v>
      </c>
      <c r="H559" s="133">
        <v>0.98825014214218732</v>
      </c>
      <c r="I559" s="133">
        <v>0.86041372472018463</v>
      </c>
      <c r="J559" s="133">
        <v>0.86041372472018463</v>
      </c>
      <c r="K559" s="133">
        <v>4.0470305173290068E-2</v>
      </c>
      <c r="L559" s="133">
        <v>9.2462671283149565</v>
      </c>
      <c r="M559" s="45">
        <v>12234.006689511274</v>
      </c>
    </row>
    <row r="560" spans="1:13" x14ac:dyDescent="0.25">
      <c r="A560" s="812" t="s">
        <v>1999</v>
      </c>
      <c r="B560" s="812">
        <v>11</v>
      </c>
      <c r="C560" s="608">
        <v>39764</v>
      </c>
      <c r="D560" s="812">
        <v>99709</v>
      </c>
      <c r="E560" s="812" t="s">
        <v>1600</v>
      </c>
      <c r="F560" s="133">
        <v>2.326374650297502</v>
      </c>
      <c r="G560" s="133">
        <v>0.68835117633089127</v>
      </c>
      <c r="H560" s="133">
        <v>1.1077896925017343</v>
      </c>
      <c r="I560" s="133">
        <v>0.64137691957925236</v>
      </c>
      <c r="J560" s="133">
        <v>0.64137691957925236</v>
      </c>
      <c r="K560" s="133">
        <v>3.689384688647273E-2</v>
      </c>
      <c r="L560" s="133">
        <v>6.6422196239614184</v>
      </c>
      <c r="M560" s="45">
        <v>14087.289237196355</v>
      </c>
    </row>
    <row r="561" spans="1:13" x14ac:dyDescent="0.25">
      <c r="A561" s="812" t="s">
        <v>1999</v>
      </c>
      <c r="B561" s="812">
        <v>11</v>
      </c>
      <c r="C561" s="608">
        <v>39764</v>
      </c>
      <c r="D561" s="812">
        <v>99712</v>
      </c>
      <c r="E561" s="812" t="s">
        <v>1601</v>
      </c>
      <c r="F561" s="133">
        <v>1.2319470929917011</v>
      </c>
      <c r="G561" s="133">
        <v>0.22600175741452661</v>
      </c>
      <c r="H561" s="133">
        <v>0.4027321765933578</v>
      </c>
      <c r="I561" s="133">
        <v>0.33960290695416356</v>
      </c>
      <c r="J561" s="133">
        <v>0.33960290695416356</v>
      </c>
      <c r="K561" s="133">
        <v>1.6038352837904873E-2</v>
      </c>
      <c r="L561" s="133">
        <v>3.5396300627188366</v>
      </c>
      <c r="M561" s="45">
        <v>4710.7289468253593</v>
      </c>
    </row>
    <row r="562" spans="1:13" x14ac:dyDescent="0.25">
      <c r="A562" s="812" t="s">
        <v>1999</v>
      </c>
      <c r="B562" s="812">
        <v>11</v>
      </c>
      <c r="C562" s="608">
        <v>39764</v>
      </c>
      <c r="D562" s="812">
        <v>99714</v>
      </c>
      <c r="E562" s="812" t="s">
        <v>2034</v>
      </c>
      <c r="F562" s="133">
        <v>0</v>
      </c>
      <c r="G562" s="133">
        <v>0</v>
      </c>
      <c r="H562" s="133">
        <v>0</v>
      </c>
      <c r="I562" s="133">
        <v>0</v>
      </c>
      <c r="J562" s="133">
        <v>0</v>
      </c>
      <c r="K562" s="133">
        <v>0</v>
      </c>
      <c r="L562" s="133">
        <v>0</v>
      </c>
      <c r="M562" s="45">
        <v>0</v>
      </c>
    </row>
    <row r="563" spans="1:13" x14ac:dyDescent="0.25">
      <c r="A563" s="812" t="s">
        <v>1999</v>
      </c>
      <c r="B563" s="812">
        <v>11</v>
      </c>
      <c r="C563" s="608">
        <v>39764</v>
      </c>
      <c r="D563" s="812">
        <v>99730</v>
      </c>
      <c r="E563" s="812" t="s">
        <v>2035</v>
      </c>
      <c r="F563" s="133">
        <v>0</v>
      </c>
      <c r="G563" s="133">
        <v>0</v>
      </c>
      <c r="H563" s="133">
        <v>0</v>
      </c>
      <c r="I563" s="133">
        <v>0</v>
      </c>
      <c r="J563" s="133">
        <v>0</v>
      </c>
      <c r="K563" s="133">
        <v>0</v>
      </c>
      <c r="L563" s="133">
        <v>0</v>
      </c>
      <c r="M563" s="45">
        <v>0</v>
      </c>
    </row>
    <row r="564" spans="1:13" x14ac:dyDescent="0.25">
      <c r="A564" s="812" t="s">
        <v>1999</v>
      </c>
      <c r="B564" s="812">
        <v>11</v>
      </c>
      <c r="C564" s="608">
        <v>39764</v>
      </c>
      <c r="D564" s="812">
        <v>99737</v>
      </c>
      <c r="E564" s="812" t="s">
        <v>2036</v>
      </c>
      <c r="F564" s="133">
        <v>0</v>
      </c>
      <c r="G564" s="133">
        <v>0</v>
      </c>
      <c r="H564" s="133">
        <v>0</v>
      </c>
      <c r="I564" s="133">
        <v>0</v>
      </c>
      <c r="J564" s="133">
        <v>0</v>
      </c>
      <c r="K564" s="133">
        <v>0</v>
      </c>
      <c r="L564" s="133">
        <v>0</v>
      </c>
      <c r="M564" s="45">
        <v>0</v>
      </c>
    </row>
    <row r="565" spans="1:13" x14ac:dyDescent="0.25">
      <c r="A565" s="812" t="s">
        <v>1999</v>
      </c>
      <c r="B565" s="812">
        <v>11</v>
      </c>
      <c r="C565" s="608">
        <v>39764</v>
      </c>
      <c r="D565" s="812">
        <v>99743</v>
      </c>
      <c r="E565" s="812" t="s">
        <v>2037</v>
      </c>
      <c r="F565" s="133">
        <v>0</v>
      </c>
      <c r="G565" s="133">
        <v>0</v>
      </c>
      <c r="H565" s="133">
        <v>0</v>
      </c>
      <c r="I565" s="133">
        <v>0</v>
      </c>
      <c r="J565" s="133">
        <v>0</v>
      </c>
      <c r="K565" s="133">
        <v>0</v>
      </c>
      <c r="L565" s="133">
        <v>0</v>
      </c>
      <c r="M565" s="45">
        <v>0</v>
      </c>
    </row>
    <row r="566" spans="1:13" x14ac:dyDescent="0.25">
      <c r="A566" s="812" t="s">
        <v>1999</v>
      </c>
      <c r="B566" s="812">
        <v>11</v>
      </c>
      <c r="C566" s="608">
        <v>39764</v>
      </c>
      <c r="D566" s="812">
        <v>99744</v>
      </c>
      <c r="E566" s="812" t="s">
        <v>2038</v>
      </c>
      <c r="F566" s="133">
        <v>0</v>
      </c>
      <c r="G566" s="133">
        <v>0</v>
      </c>
      <c r="H566" s="133">
        <v>0</v>
      </c>
      <c r="I566" s="133">
        <v>0</v>
      </c>
      <c r="J566" s="133">
        <v>0</v>
      </c>
      <c r="K566" s="133">
        <v>0</v>
      </c>
      <c r="L566" s="133">
        <v>0</v>
      </c>
      <c r="M566" s="45">
        <v>0</v>
      </c>
    </row>
    <row r="567" spans="1:13" x14ac:dyDescent="0.25">
      <c r="A567" s="812" t="s">
        <v>1999</v>
      </c>
      <c r="B567" s="812">
        <v>11</v>
      </c>
      <c r="C567" s="608">
        <v>39764</v>
      </c>
      <c r="D567" s="812">
        <v>99755</v>
      </c>
      <c r="E567" s="812" t="s">
        <v>2039</v>
      </c>
      <c r="F567" s="133">
        <v>0</v>
      </c>
      <c r="G567" s="133">
        <v>0</v>
      </c>
      <c r="H567" s="133">
        <v>0</v>
      </c>
      <c r="I567" s="133">
        <v>0</v>
      </c>
      <c r="J567" s="133">
        <v>0</v>
      </c>
      <c r="K567" s="133">
        <v>0</v>
      </c>
      <c r="L567" s="133">
        <v>0</v>
      </c>
      <c r="M567" s="45">
        <v>0</v>
      </c>
    </row>
    <row r="568" spans="1:13" x14ac:dyDescent="0.25">
      <c r="A568" s="812" t="s">
        <v>1999</v>
      </c>
      <c r="B568" s="812">
        <v>11</v>
      </c>
      <c r="C568" s="608">
        <v>39764</v>
      </c>
      <c r="D568" s="812">
        <v>99756</v>
      </c>
      <c r="E568" s="812" t="s">
        <v>2040</v>
      </c>
      <c r="F568" s="133">
        <v>0</v>
      </c>
      <c r="G568" s="133">
        <v>0</v>
      </c>
      <c r="H568" s="133">
        <v>0</v>
      </c>
      <c r="I568" s="133">
        <v>0</v>
      </c>
      <c r="J568" s="133">
        <v>0</v>
      </c>
      <c r="K568" s="133">
        <v>0</v>
      </c>
      <c r="L568" s="133">
        <v>0</v>
      </c>
      <c r="M568" s="45">
        <v>0</v>
      </c>
    </row>
    <row r="569" spans="1:13" x14ac:dyDescent="0.25">
      <c r="A569" s="812" t="s">
        <v>1999</v>
      </c>
      <c r="B569" s="812">
        <v>11</v>
      </c>
      <c r="C569" s="608">
        <v>39764</v>
      </c>
      <c r="D569" s="812">
        <v>99758</v>
      </c>
      <c r="E569" s="812" t="s">
        <v>2041</v>
      </c>
      <c r="F569" s="133">
        <v>0</v>
      </c>
      <c r="G569" s="133">
        <v>0</v>
      </c>
      <c r="H569" s="133">
        <v>0</v>
      </c>
      <c r="I569" s="133">
        <v>0</v>
      </c>
      <c r="J569" s="133">
        <v>0</v>
      </c>
      <c r="K569" s="133">
        <v>0</v>
      </c>
      <c r="L569" s="133">
        <v>0</v>
      </c>
      <c r="M569" s="45">
        <v>0</v>
      </c>
    </row>
    <row r="570" spans="1:13" x14ac:dyDescent="0.25">
      <c r="A570" s="812" t="s">
        <v>1999</v>
      </c>
      <c r="B570" s="812">
        <v>11</v>
      </c>
      <c r="C570" s="608">
        <v>39764</v>
      </c>
      <c r="D570" s="812">
        <v>99760</v>
      </c>
      <c r="E570" s="812" t="s">
        <v>2042</v>
      </c>
      <c r="F570" s="133">
        <v>0</v>
      </c>
      <c r="G570" s="133">
        <v>0</v>
      </c>
      <c r="H570" s="133">
        <v>0</v>
      </c>
      <c r="I570" s="133">
        <v>0</v>
      </c>
      <c r="J570" s="133">
        <v>0</v>
      </c>
      <c r="K570" s="133">
        <v>0</v>
      </c>
      <c r="L570" s="133">
        <v>0</v>
      </c>
      <c r="M570" s="45">
        <v>0</v>
      </c>
    </row>
    <row r="571" spans="1:13" x14ac:dyDescent="0.25">
      <c r="A571" s="812" t="s">
        <v>1999</v>
      </c>
      <c r="B571" s="812">
        <v>11</v>
      </c>
      <c r="C571" s="608">
        <v>39764</v>
      </c>
      <c r="D571" s="812">
        <v>99767</v>
      </c>
      <c r="E571" s="812" t="s">
        <v>2043</v>
      </c>
      <c r="F571" s="133">
        <v>0</v>
      </c>
      <c r="G571" s="133">
        <v>0</v>
      </c>
      <c r="H571" s="133">
        <v>0</v>
      </c>
      <c r="I571" s="133">
        <v>0</v>
      </c>
      <c r="J571" s="133">
        <v>0</v>
      </c>
      <c r="K571" s="133">
        <v>0</v>
      </c>
      <c r="L571" s="133">
        <v>0</v>
      </c>
      <c r="M571" s="45">
        <v>0</v>
      </c>
    </row>
    <row r="572" spans="1:13" x14ac:dyDescent="0.25">
      <c r="A572" s="812" t="s">
        <v>1999</v>
      </c>
      <c r="B572" s="812">
        <v>11</v>
      </c>
      <c r="C572" s="608">
        <v>39764</v>
      </c>
      <c r="D572" s="812">
        <v>99774</v>
      </c>
      <c r="E572" s="812" t="s">
        <v>2044</v>
      </c>
      <c r="F572" s="133">
        <v>0</v>
      </c>
      <c r="G572" s="133">
        <v>0</v>
      </c>
      <c r="H572" s="133">
        <v>0</v>
      </c>
      <c r="I572" s="133">
        <v>0</v>
      </c>
      <c r="J572" s="133">
        <v>0</v>
      </c>
      <c r="K572" s="133">
        <v>0</v>
      </c>
      <c r="L572" s="133">
        <v>0</v>
      </c>
      <c r="M572" s="45">
        <v>0</v>
      </c>
    </row>
    <row r="573" spans="1:13" x14ac:dyDescent="0.25">
      <c r="A573" s="812" t="s">
        <v>1999</v>
      </c>
      <c r="B573" s="812">
        <v>11</v>
      </c>
      <c r="C573" s="608">
        <v>39764</v>
      </c>
      <c r="D573" s="812">
        <v>99775</v>
      </c>
      <c r="E573" s="812" t="s">
        <v>1602</v>
      </c>
      <c r="F573" s="133">
        <v>6.9032031151341542E-5</v>
      </c>
      <c r="G573" s="133">
        <v>1.5896727977653647E-3</v>
      </c>
      <c r="H573" s="133">
        <v>8.4751397877188379E-4</v>
      </c>
      <c r="I573" s="133">
        <v>6.0274379889460051E-5</v>
      </c>
      <c r="J573" s="133">
        <v>6.0274379889460051E-5</v>
      </c>
      <c r="K573" s="133">
        <v>8.042853757482684E-5</v>
      </c>
      <c r="L573" s="133">
        <v>1.873512281884062E-4</v>
      </c>
      <c r="M573" s="45">
        <v>26.398308737031815</v>
      </c>
    </row>
    <row r="574" spans="1:13" x14ac:dyDescent="0.25">
      <c r="A574" s="812" t="s">
        <v>1999</v>
      </c>
      <c r="B574" s="812">
        <v>11</v>
      </c>
      <c r="C574" s="608">
        <v>39764</v>
      </c>
      <c r="D574" s="812">
        <v>99790</v>
      </c>
      <c r="E574" s="812" t="s">
        <v>2045</v>
      </c>
      <c r="F574" s="133">
        <v>0</v>
      </c>
      <c r="G574" s="133">
        <v>0</v>
      </c>
      <c r="H574" s="133">
        <v>0</v>
      </c>
      <c r="I574" s="133">
        <v>0</v>
      </c>
      <c r="J574" s="133">
        <v>0</v>
      </c>
      <c r="K574" s="133">
        <v>0</v>
      </c>
      <c r="L574" s="133">
        <v>0</v>
      </c>
      <c r="M574" s="45">
        <v>0</v>
      </c>
    </row>
    <row r="575" spans="1:13" x14ac:dyDescent="0.25">
      <c r="A575" s="812" t="s">
        <v>1999</v>
      </c>
      <c r="B575" s="812">
        <v>12</v>
      </c>
      <c r="C575" s="608">
        <v>39765</v>
      </c>
      <c r="D575" s="812">
        <v>99701</v>
      </c>
      <c r="E575" s="812" t="s">
        <v>2031</v>
      </c>
      <c r="F575" s="133">
        <v>0.71579264234872253</v>
      </c>
      <c r="G575" s="133">
        <v>0.7023331280918067</v>
      </c>
      <c r="H575" s="133">
        <v>0.82468970202165326</v>
      </c>
      <c r="I575" s="133">
        <v>0.21454319662854165</v>
      </c>
      <c r="J575" s="133">
        <v>0.21454319662854165</v>
      </c>
      <c r="K575" s="133">
        <v>2.9068203319419551E-2</v>
      </c>
      <c r="L575" s="133">
        <v>2.1151798614120816</v>
      </c>
      <c r="M575" s="45">
        <v>13029.05332683127</v>
      </c>
    </row>
    <row r="576" spans="1:13" x14ac:dyDescent="0.25">
      <c r="A576" s="812" t="s">
        <v>1999</v>
      </c>
      <c r="B576" s="812">
        <v>12</v>
      </c>
      <c r="C576" s="608">
        <v>39765</v>
      </c>
      <c r="D576" s="812">
        <v>99702</v>
      </c>
      <c r="E576" s="812" t="s">
        <v>2032</v>
      </c>
      <c r="F576" s="133">
        <v>0</v>
      </c>
      <c r="G576" s="133">
        <v>0</v>
      </c>
      <c r="H576" s="133">
        <v>0</v>
      </c>
      <c r="I576" s="133">
        <v>0</v>
      </c>
      <c r="J576" s="133">
        <v>0</v>
      </c>
      <c r="K576" s="133">
        <v>0</v>
      </c>
      <c r="L576" s="133">
        <v>0</v>
      </c>
      <c r="M576" s="45">
        <v>0</v>
      </c>
    </row>
    <row r="577" spans="1:13" x14ac:dyDescent="0.25">
      <c r="A577" s="812" t="s">
        <v>1999</v>
      </c>
      <c r="B577" s="812">
        <v>12</v>
      </c>
      <c r="C577" s="608">
        <v>39765</v>
      </c>
      <c r="D577" s="812">
        <v>99703</v>
      </c>
      <c r="E577" s="812" t="s">
        <v>2033</v>
      </c>
      <c r="F577" s="133">
        <v>1.7296003570545292E-2</v>
      </c>
      <c r="G577" s="133">
        <v>1.2691147934764802E-2</v>
      </c>
      <c r="H577" s="133">
        <v>1.8201096368284767E-2</v>
      </c>
      <c r="I577" s="133">
        <v>5.7591014271783075E-3</v>
      </c>
      <c r="J577" s="133">
        <v>5.7591014271783075E-3</v>
      </c>
      <c r="K577" s="133">
        <v>4.8666139245267457E-4</v>
      </c>
      <c r="L577" s="133">
        <v>6.1135505775289339E-2</v>
      </c>
      <c r="M577" s="45">
        <v>245.51951010835953</v>
      </c>
    </row>
    <row r="578" spans="1:13" x14ac:dyDescent="0.25">
      <c r="A578" s="812" t="s">
        <v>1999</v>
      </c>
      <c r="B578" s="812">
        <v>12</v>
      </c>
      <c r="C578" s="608">
        <v>39765</v>
      </c>
      <c r="D578" s="812">
        <v>99705</v>
      </c>
      <c r="E578" s="812" t="s">
        <v>1599</v>
      </c>
      <c r="F578" s="133">
        <v>3.0795600165168988</v>
      </c>
      <c r="G578" s="133">
        <v>0.64199124679378017</v>
      </c>
      <c r="H578" s="133">
        <v>1.0604545274061126</v>
      </c>
      <c r="I578" s="133">
        <v>0.93084968914312716</v>
      </c>
      <c r="J578" s="133">
        <v>0.93084968914312716</v>
      </c>
      <c r="K578" s="133">
        <v>4.3519701879835233E-2</v>
      </c>
      <c r="L578" s="133">
        <v>10.024767383680988</v>
      </c>
      <c r="M578" s="45">
        <v>13117.750146327895</v>
      </c>
    </row>
    <row r="579" spans="1:13" x14ac:dyDescent="0.25">
      <c r="A579" s="812" t="s">
        <v>1999</v>
      </c>
      <c r="B579" s="812">
        <v>12</v>
      </c>
      <c r="C579" s="608">
        <v>39765</v>
      </c>
      <c r="D579" s="812">
        <v>99709</v>
      </c>
      <c r="E579" s="812" t="s">
        <v>1600</v>
      </c>
      <c r="F579" s="133">
        <v>2.6254594976708958</v>
      </c>
      <c r="G579" s="133">
        <v>0.74543760667694381</v>
      </c>
      <c r="H579" s="133">
        <v>1.1974944771181097</v>
      </c>
      <c r="I579" s="133">
        <v>0.71593885885909503</v>
      </c>
      <c r="J579" s="133">
        <v>0.71593885885909503</v>
      </c>
      <c r="K579" s="133">
        <v>4.0123890455066563E-2</v>
      </c>
      <c r="L579" s="133">
        <v>7.4084739109526287</v>
      </c>
      <c r="M579" s="45">
        <v>15208.933492058917</v>
      </c>
    </row>
    <row r="580" spans="1:13" x14ac:dyDescent="0.25">
      <c r="A580" s="812" t="s">
        <v>1999</v>
      </c>
      <c r="B580" s="812">
        <v>12</v>
      </c>
      <c r="C580" s="608">
        <v>39765</v>
      </c>
      <c r="D580" s="812">
        <v>99712</v>
      </c>
      <c r="E580" s="812" t="s">
        <v>1601</v>
      </c>
      <c r="F580" s="133">
        <v>1.4619406729803128</v>
      </c>
      <c r="G580" s="133">
        <v>0.25649189069880646</v>
      </c>
      <c r="H580" s="133">
        <v>0.45674286453612495</v>
      </c>
      <c r="I580" s="133">
        <v>0.39799877324074695</v>
      </c>
      <c r="J580" s="133">
        <v>0.39799877324074695</v>
      </c>
      <c r="K580" s="133">
        <v>1.868812166253905E-2</v>
      </c>
      <c r="L580" s="133">
        <v>4.1519237623842651</v>
      </c>
      <c r="M580" s="45">
        <v>5333.4144064371967</v>
      </c>
    </row>
    <row r="581" spans="1:13" x14ac:dyDescent="0.25">
      <c r="A581" s="812" t="s">
        <v>1999</v>
      </c>
      <c r="B581" s="812">
        <v>12</v>
      </c>
      <c r="C581" s="608">
        <v>39765</v>
      </c>
      <c r="D581" s="812">
        <v>99714</v>
      </c>
      <c r="E581" s="812" t="s">
        <v>2034</v>
      </c>
      <c r="F581" s="133">
        <v>0</v>
      </c>
      <c r="G581" s="133">
        <v>0</v>
      </c>
      <c r="H581" s="133">
        <v>0</v>
      </c>
      <c r="I581" s="133">
        <v>0</v>
      </c>
      <c r="J581" s="133">
        <v>0</v>
      </c>
      <c r="K581" s="133">
        <v>0</v>
      </c>
      <c r="L581" s="133">
        <v>0</v>
      </c>
      <c r="M581" s="45">
        <v>0</v>
      </c>
    </row>
    <row r="582" spans="1:13" x14ac:dyDescent="0.25">
      <c r="A582" s="812" t="s">
        <v>1999</v>
      </c>
      <c r="B582" s="812">
        <v>12</v>
      </c>
      <c r="C582" s="608">
        <v>39765</v>
      </c>
      <c r="D582" s="812">
        <v>99730</v>
      </c>
      <c r="E582" s="812" t="s">
        <v>2035</v>
      </c>
      <c r="F582" s="133">
        <v>0</v>
      </c>
      <c r="G582" s="133">
        <v>0</v>
      </c>
      <c r="H582" s="133">
        <v>0</v>
      </c>
      <c r="I582" s="133">
        <v>0</v>
      </c>
      <c r="J582" s="133">
        <v>0</v>
      </c>
      <c r="K582" s="133">
        <v>0</v>
      </c>
      <c r="L582" s="133">
        <v>0</v>
      </c>
      <c r="M582" s="45">
        <v>0</v>
      </c>
    </row>
    <row r="583" spans="1:13" x14ac:dyDescent="0.25">
      <c r="A583" s="812" t="s">
        <v>1999</v>
      </c>
      <c r="B583" s="812">
        <v>12</v>
      </c>
      <c r="C583" s="608">
        <v>39765</v>
      </c>
      <c r="D583" s="812">
        <v>99737</v>
      </c>
      <c r="E583" s="812" t="s">
        <v>2036</v>
      </c>
      <c r="F583" s="133">
        <v>0</v>
      </c>
      <c r="G583" s="133">
        <v>0</v>
      </c>
      <c r="H583" s="133">
        <v>0</v>
      </c>
      <c r="I583" s="133">
        <v>0</v>
      </c>
      <c r="J583" s="133">
        <v>0</v>
      </c>
      <c r="K583" s="133">
        <v>0</v>
      </c>
      <c r="L583" s="133">
        <v>0</v>
      </c>
      <c r="M583" s="45">
        <v>0</v>
      </c>
    </row>
    <row r="584" spans="1:13" x14ac:dyDescent="0.25">
      <c r="A584" s="812" t="s">
        <v>1999</v>
      </c>
      <c r="B584" s="812">
        <v>12</v>
      </c>
      <c r="C584" s="608">
        <v>39765</v>
      </c>
      <c r="D584" s="812">
        <v>99743</v>
      </c>
      <c r="E584" s="812" t="s">
        <v>2037</v>
      </c>
      <c r="F584" s="133">
        <v>0</v>
      </c>
      <c r="G584" s="133">
        <v>0</v>
      </c>
      <c r="H584" s="133">
        <v>0</v>
      </c>
      <c r="I584" s="133">
        <v>0</v>
      </c>
      <c r="J584" s="133">
        <v>0</v>
      </c>
      <c r="K584" s="133">
        <v>0</v>
      </c>
      <c r="L584" s="133">
        <v>0</v>
      </c>
      <c r="M584" s="45">
        <v>0</v>
      </c>
    </row>
    <row r="585" spans="1:13" x14ac:dyDescent="0.25">
      <c r="A585" s="812" t="s">
        <v>1999</v>
      </c>
      <c r="B585" s="812">
        <v>12</v>
      </c>
      <c r="C585" s="608">
        <v>39765</v>
      </c>
      <c r="D585" s="812">
        <v>99744</v>
      </c>
      <c r="E585" s="812" t="s">
        <v>2038</v>
      </c>
      <c r="F585" s="133">
        <v>0</v>
      </c>
      <c r="G585" s="133">
        <v>0</v>
      </c>
      <c r="H585" s="133">
        <v>0</v>
      </c>
      <c r="I585" s="133">
        <v>0</v>
      </c>
      <c r="J585" s="133">
        <v>0</v>
      </c>
      <c r="K585" s="133">
        <v>0</v>
      </c>
      <c r="L585" s="133">
        <v>0</v>
      </c>
      <c r="M585" s="45">
        <v>0</v>
      </c>
    </row>
    <row r="586" spans="1:13" x14ac:dyDescent="0.25">
      <c r="A586" s="812" t="s">
        <v>1999</v>
      </c>
      <c r="B586" s="812">
        <v>12</v>
      </c>
      <c r="C586" s="608">
        <v>39765</v>
      </c>
      <c r="D586" s="812">
        <v>99755</v>
      </c>
      <c r="E586" s="812" t="s">
        <v>2039</v>
      </c>
      <c r="F586" s="133">
        <v>0</v>
      </c>
      <c r="G586" s="133">
        <v>0</v>
      </c>
      <c r="H586" s="133">
        <v>0</v>
      </c>
      <c r="I586" s="133">
        <v>0</v>
      </c>
      <c r="J586" s="133">
        <v>0</v>
      </c>
      <c r="K586" s="133">
        <v>0</v>
      </c>
      <c r="L586" s="133">
        <v>0</v>
      </c>
      <c r="M586" s="45">
        <v>0</v>
      </c>
    </row>
    <row r="587" spans="1:13" x14ac:dyDescent="0.25">
      <c r="A587" s="812" t="s">
        <v>1999</v>
      </c>
      <c r="B587" s="812">
        <v>12</v>
      </c>
      <c r="C587" s="608">
        <v>39765</v>
      </c>
      <c r="D587" s="812">
        <v>99756</v>
      </c>
      <c r="E587" s="812" t="s">
        <v>2040</v>
      </c>
      <c r="F587" s="133">
        <v>0</v>
      </c>
      <c r="G587" s="133">
        <v>0</v>
      </c>
      <c r="H587" s="133">
        <v>0</v>
      </c>
      <c r="I587" s="133">
        <v>0</v>
      </c>
      <c r="J587" s="133">
        <v>0</v>
      </c>
      <c r="K587" s="133">
        <v>0</v>
      </c>
      <c r="L587" s="133">
        <v>0</v>
      </c>
      <c r="M587" s="45">
        <v>0</v>
      </c>
    </row>
    <row r="588" spans="1:13" x14ac:dyDescent="0.25">
      <c r="A588" s="812" t="s">
        <v>1999</v>
      </c>
      <c r="B588" s="812">
        <v>12</v>
      </c>
      <c r="C588" s="608">
        <v>39765</v>
      </c>
      <c r="D588" s="812">
        <v>99758</v>
      </c>
      <c r="E588" s="812" t="s">
        <v>2041</v>
      </c>
      <c r="F588" s="133">
        <v>0</v>
      </c>
      <c r="G588" s="133">
        <v>0</v>
      </c>
      <c r="H588" s="133">
        <v>0</v>
      </c>
      <c r="I588" s="133">
        <v>0</v>
      </c>
      <c r="J588" s="133">
        <v>0</v>
      </c>
      <c r="K588" s="133">
        <v>0</v>
      </c>
      <c r="L588" s="133">
        <v>0</v>
      </c>
      <c r="M588" s="45">
        <v>0</v>
      </c>
    </row>
    <row r="589" spans="1:13" x14ac:dyDescent="0.25">
      <c r="A589" s="812" t="s">
        <v>1999</v>
      </c>
      <c r="B589" s="812">
        <v>12</v>
      </c>
      <c r="C589" s="608">
        <v>39765</v>
      </c>
      <c r="D589" s="812">
        <v>99760</v>
      </c>
      <c r="E589" s="812" t="s">
        <v>2042</v>
      </c>
      <c r="F589" s="133">
        <v>0</v>
      </c>
      <c r="G589" s="133">
        <v>0</v>
      </c>
      <c r="H589" s="133">
        <v>0</v>
      </c>
      <c r="I589" s="133">
        <v>0</v>
      </c>
      <c r="J589" s="133">
        <v>0</v>
      </c>
      <c r="K589" s="133">
        <v>0</v>
      </c>
      <c r="L589" s="133">
        <v>0</v>
      </c>
      <c r="M589" s="45">
        <v>0</v>
      </c>
    </row>
    <row r="590" spans="1:13" x14ac:dyDescent="0.25">
      <c r="A590" s="812" t="s">
        <v>1999</v>
      </c>
      <c r="B590" s="812">
        <v>12</v>
      </c>
      <c r="C590" s="608">
        <v>39765</v>
      </c>
      <c r="D590" s="812">
        <v>99767</v>
      </c>
      <c r="E590" s="812" t="s">
        <v>2043</v>
      </c>
      <c r="F590" s="133">
        <v>0</v>
      </c>
      <c r="G590" s="133">
        <v>0</v>
      </c>
      <c r="H590" s="133">
        <v>0</v>
      </c>
      <c r="I590" s="133">
        <v>0</v>
      </c>
      <c r="J590" s="133">
        <v>0</v>
      </c>
      <c r="K590" s="133">
        <v>0</v>
      </c>
      <c r="L590" s="133">
        <v>0</v>
      </c>
      <c r="M590" s="45">
        <v>0</v>
      </c>
    </row>
    <row r="591" spans="1:13" x14ac:dyDescent="0.25">
      <c r="A591" s="812" t="s">
        <v>1999</v>
      </c>
      <c r="B591" s="812">
        <v>12</v>
      </c>
      <c r="C591" s="608">
        <v>39765</v>
      </c>
      <c r="D591" s="812">
        <v>99774</v>
      </c>
      <c r="E591" s="812" t="s">
        <v>2044</v>
      </c>
      <c r="F591" s="133">
        <v>0</v>
      </c>
      <c r="G591" s="133">
        <v>0</v>
      </c>
      <c r="H591" s="133">
        <v>0</v>
      </c>
      <c r="I591" s="133">
        <v>0</v>
      </c>
      <c r="J591" s="133">
        <v>0</v>
      </c>
      <c r="K591" s="133">
        <v>0</v>
      </c>
      <c r="L591" s="133">
        <v>0</v>
      </c>
      <c r="M591" s="45">
        <v>0</v>
      </c>
    </row>
    <row r="592" spans="1:13" x14ac:dyDescent="0.25">
      <c r="A592" s="812" t="s">
        <v>1999</v>
      </c>
      <c r="B592" s="812">
        <v>12</v>
      </c>
      <c r="C592" s="608">
        <v>39765</v>
      </c>
      <c r="D592" s="812">
        <v>99775</v>
      </c>
      <c r="E592" s="812" t="s">
        <v>1602</v>
      </c>
      <c r="F592" s="133">
        <v>7.4106495006471358E-5</v>
      </c>
      <c r="G592" s="133">
        <v>1.7177798796620507E-3</v>
      </c>
      <c r="H592" s="133">
        <v>9.3806575790454541E-4</v>
      </c>
      <c r="I592" s="133">
        <v>6.352400889138948E-5</v>
      </c>
      <c r="J592" s="133">
        <v>6.352400889138948E-5</v>
      </c>
      <c r="K592" s="133">
        <v>8.0602880170780374E-5</v>
      </c>
      <c r="L592" s="133">
        <v>1.9053857263446532E-4</v>
      </c>
      <c r="M592" s="45">
        <v>28.369734386219697</v>
      </c>
    </row>
    <row r="593" spans="1:13" x14ac:dyDescent="0.25">
      <c r="A593" s="812" t="s">
        <v>1999</v>
      </c>
      <c r="B593" s="812">
        <v>12</v>
      </c>
      <c r="C593" s="608">
        <v>39765</v>
      </c>
      <c r="D593" s="812">
        <v>99790</v>
      </c>
      <c r="E593" s="812" t="s">
        <v>2045</v>
      </c>
      <c r="F593" s="133">
        <v>0</v>
      </c>
      <c r="G593" s="133">
        <v>0</v>
      </c>
      <c r="H593" s="133">
        <v>0</v>
      </c>
      <c r="I593" s="133">
        <v>0</v>
      </c>
      <c r="J593" s="133">
        <v>0</v>
      </c>
      <c r="K593" s="133">
        <v>0</v>
      </c>
      <c r="L593" s="133">
        <v>0</v>
      </c>
      <c r="M593" s="45">
        <v>0</v>
      </c>
    </row>
    <row r="594" spans="1:13" x14ac:dyDescent="0.25">
      <c r="A594" s="812" t="s">
        <v>1999</v>
      </c>
      <c r="B594" s="812">
        <v>13</v>
      </c>
      <c r="C594" s="608">
        <v>39766</v>
      </c>
      <c r="D594" s="812">
        <v>99701</v>
      </c>
      <c r="E594" s="812" t="s">
        <v>2031</v>
      </c>
      <c r="F594" s="133">
        <v>0.82906062838052197</v>
      </c>
      <c r="G594" s="133">
        <v>0.77123393214528235</v>
      </c>
      <c r="H594" s="133">
        <v>0.91810372334695767</v>
      </c>
      <c r="I594" s="133">
        <v>0.24481452032132442</v>
      </c>
      <c r="J594" s="133">
        <v>0.24481452032132442</v>
      </c>
      <c r="K594" s="133">
        <v>3.0387247173884031E-2</v>
      </c>
      <c r="L594" s="133">
        <v>2.4184161305013032</v>
      </c>
      <c r="M594" s="45">
        <v>14283.144468858905</v>
      </c>
    </row>
    <row r="595" spans="1:13" x14ac:dyDescent="0.25">
      <c r="A595" s="812" t="s">
        <v>1999</v>
      </c>
      <c r="B595" s="812">
        <v>13</v>
      </c>
      <c r="C595" s="608">
        <v>39766</v>
      </c>
      <c r="D595" s="812">
        <v>99702</v>
      </c>
      <c r="E595" s="812" t="s">
        <v>2032</v>
      </c>
      <c r="F595" s="133">
        <v>0</v>
      </c>
      <c r="G595" s="133">
        <v>0</v>
      </c>
      <c r="H595" s="133">
        <v>0</v>
      </c>
      <c r="I595" s="133">
        <v>0</v>
      </c>
      <c r="J595" s="133">
        <v>0</v>
      </c>
      <c r="K595" s="133">
        <v>0</v>
      </c>
      <c r="L595" s="133">
        <v>0</v>
      </c>
      <c r="M595" s="45">
        <v>0</v>
      </c>
    </row>
    <row r="596" spans="1:13" x14ac:dyDescent="0.25">
      <c r="A596" s="812" t="s">
        <v>1999</v>
      </c>
      <c r="B596" s="812">
        <v>13</v>
      </c>
      <c r="C596" s="608">
        <v>39766</v>
      </c>
      <c r="D596" s="812">
        <v>99703</v>
      </c>
      <c r="E596" s="812" t="s">
        <v>2033</v>
      </c>
      <c r="F596" s="133">
        <v>2.0085805294117302E-2</v>
      </c>
      <c r="G596" s="133">
        <v>1.413617545710179E-2</v>
      </c>
      <c r="H596" s="133">
        <v>2.05654308882538E-2</v>
      </c>
      <c r="I596" s="133">
        <v>6.6312541062095772E-3</v>
      </c>
      <c r="J596" s="133">
        <v>6.6312541062095772E-3</v>
      </c>
      <c r="K596" s="133">
        <v>5.2214834104004587E-4</v>
      </c>
      <c r="L596" s="133">
        <v>7.0615756439508237E-2</v>
      </c>
      <c r="M596" s="45">
        <v>273.66679523490097</v>
      </c>
    </row>
    <row r="597" spans="1:13" x14ac:dyDescent="0.25">
      <c r="A597" s="812" t="s">
        <v>1999</v>
      </c>
      <c r="B597" s="812">
        <v>13</v>
      </c>
      <c r="C597" s="608">
        <v>39766</v>
      </c>
      <c r="D597" s="812">
        <v>99705</v>
      </c>
      <c r="E597" s="812" t="s">
        <v>1599</v>
      </c>
      <c r="F597" s="133">
        <v>3.4387990478730948</v>
      </c>
      <c r="G597" s="133">
        <v>0.70703632513911097</v>
      </c>
      <c r="H597" s="133">
        <v>1.168650091213389</v>
      </c>
      <c r="I597" s="133">
        <v>1.0368238565350014</v>
      </c>
      <c r="J597" s="133">
        <v>1.0368238565350014</v>
      </c>
      <c r="K597" s="133">
        <v>4.8088392656507238E-2</v>
      </c>
      <c r="L597" s="133">
        <v>11.201301509255897</v>
      </c>
      <c r="M597" s="45">
        <v>14423.98288310412</v>
      </c>
    </row>
    <row r="598" spans="1:13" x14ac:dyDescent="0.25">
      <c r="A598" s="812" t="s">
        <v>1999</v>
      </c>
      <c r="B598" s="812">
        <v>13</v>
      </c>
      <c r="C598" s="608">
        <v>39766</v>
      </c>
      <c r="D598" s="812">
        <v>99709</v>
      </c>
      <c r="E598" s="812" t="s">
        <v>1600</v>
      </c>
      <c r="F598" s="133">
        <v>2.6997522552710542</v>
      </c>
      <c r="G598" s="133">
        <v>0.78254280922052899</v>
      </c>
      <c r="H598" s="133">
        <v>1.2508145504759658</v>
      </c>
      <c r="I598" s="133">
        <v>0.7355175300229353</v>
      </c>
      <c r="J598" s="133">
        <v>0.7355175300229353</v>
      </c>
      <c r="K598" s="133">
        <v>4.0960831876580832E-2</v>
      </c>
      <c r="L598" s="133">
        <v>7.6058298370083888</v>
      </c>
      <c r="M598" s="45">
        <v>15907.546433176409</v>
      </c>
    </row>
    <row r="599" spans="1:13" x14ac:dyDescent="0.25">
      <c r="A599" s="812" t="s">
        <v>1999</v>
      </c>
      <c r="B599" s="812">
        <v>13</v>
      </c>
      <c r="C599" s="608">
        <v>39766</v>
      </c>
      <c r="D599" s="812">
        <v>99712</v>
      </c>
      <c r="E599" s="812" t="s">
        <v>1601</v>
      </c>
      <c r="F599" s="133">
        <v>1.3894415897208185</v>
      </c>
      <c r="G599" s="133">
        <v>0.24873946493730123</v>
      </c>
      <c r="H599" s="133">
        <v>0.44050532055850428</v>
      </c>
      <c r="I599" s="133">
        <v>0.37885649466605992</v>
      </c>
      <c r="J599" s="133">
        <v>0.37885649466605992</v>
      </c>
      <c r="K599" s="133">
        <v>1.7833745279510295E-2</v>
      </c>
      <c r="L599" s="133">
        <v>3.9468907289861082</v>
      </c>
      <c r="M599" s="45">
        <v>5162.8610679597559</v>
      </c>
    </row>
    <row r="600" spans="1:13" x14ac:dyDescent="0.25">
      <c r="A600" s="812" t="s">
        <v>1999</v>
      </c>
      <c r="B600" s="812">
        <v>13</v>
      </c>
      <c r="C600" s="608">
        <v>39766</v>
      </c>
      <c r="D600" s="812">
        <v>99714</v>
      </c>
      <c r="E600" s="812" t="s">
        <v>2034</v>
      </c>
      <c r="F600" s="133">
        <v>0</v>
      </c>
      <c r="G600" s="133">
        <v>0</v>
      </c>
      <c r="H600" s="133">
        <v>0</v>
      </c>
      <c r="I600" s="133">
        <v>0</v>
      </c>
      <c r="J600" s="133">
        <v>0</v>
      </c>
      <c r="K600" s="133">
        <v>0</v>
      </c>
      <c r="L600" s="133">
        <v>0</v>
      </c>
      <c r="M600" s="45">
        <v>0</v>
      </c>
    </row>
    <row r="601" spans="1:13" x14ac:dyDescent="0.25">
      <c r="A601" s="812" t="s">
        <v>1999</v>
      </c>
      <c r="B601" s="812">
        <v>13</v>
      </c>
      <c r="C601" s="608">
        <v>39766</v>
      </c>
      <c r="D601" s="812">
        <v>99730</v>
      </c>
      <c r="E601" s="812" t="s">
        <v>2035</v>
      </c>
      <c r="F601" s="133">
        <v>0</v>
      </c>
      <c r="G601" s="133">
        <v>0</v>
      </c>
      <c r="H601" s="133">
        <v>0</v>
      </c>
      <c r="I601" s="133">
        <v>0</v>
      </c>
      <c r="J601" s="133">
        <v>0</v>
      </c>
      <c r="K601" s="133">
        <v>0</v>
      </c>
      <c r="L601" s="133">
        <v>0</v>
      </c>
      <c r="M601" s="45">
        <v>0</v>
      </c>
    </row>
    <row r="602" spans="1:13" x14ac:dyDescent="0.25">
      <c r="A602" s="812" t="s">
        <v>1999</v>
      </c>
      <c r="B602" s="812">
        <v>13</v>
      </c>
      <c r="C602" s="608">
        <v>39766</v>
      </c>
      <c r="D602" s="812">
        <v>99737</v>
      </c>
      <c r="E602" s="812" t="s">
        <v>2036</v>
      </c>
      <c r="F602" s="133">
        <v>0</v>
      </c>
      <c r="G602" s="133">
        <v>0</v>
      </c>
      <c r="H602" s="133">
        <v>0</v>
      </c>
      <c r="I602" s="133">
        <v>0</v>
      </c>
      <c r="J602" s="133">
        <v>0</v>
      </c>
      <c r="K602" s="133">
        <v>0</v>
      </c>
      <c r="L602" s="133">
        <v>0</v>
      </c>
      <c r="M602" s="45">
        <v>0</v>
      </c>
    </row>
    <row r="603" spans="1:13" x14ac:dyDescent="0.25">
      <c r="A603" s="812" t="s">
        <v>1999</v>
      </c>
      <c r="B603" s="812">
        <v>13</v>
      </c>
      <c r="C603" s="608">
        <v>39766</v>
      </c>
      <c r="D603" s="812">
        <v>99743</v>
      </c>
      <c r="E603" s="812" t="s">
        <v>2037</v>
      </c>
      <c r="F603" s="133">
        <v>0</v>
      </c>
      <c r="G603" s="133">
        <v>0</v>
      </c>
      <c r="H603" s="133">
        <v>0</v>
      </c>
      <c r="I603" s="133">
        <v>0</v>
      </c>
      <c r="J603" s="133">
        <v>0</v>
      </c>
      <c r="K603" s="133">
        <v>0</v>
      </c>
      <c r="L603" s="133">
        <v>0</v>
      </c>
      <c r="M603" s="45">
        <v>0</v>
      </c>
    </row>
    <row r="604" spans="1:13" x14ac:dyDescent="0.25">
      <c r="A604" s="812" t="s">
        <v>1999</v>
      </c>
      <c r="B604" s="812">
        <v>13</v>
      </c>
      <c r="C604" s="608">
        <v>39766</v>
      </c>
      <c r="D604" s="812">
        <v>99744</v>
      </c>
      <c r="E604" s="812" t="s">
        <v>2038</v>
      </c>
      <c r="F604" s="133">
        <v>0</v>
      </c>
      <c r="G604" s="133">
        <v>0</v>
      </c>
      <c r="H604" s="133">
        <v>0</v>
      </c>
      <c r="I604" s="133">
        <v>0</v>
      </c>
      <c r="J604" s="133">
        <v>0</v>
      </c>
      <c r="K604" s="133">
        <v>0</v>
      </c>
      <c r="L604" s="133">
        <v>0</v>
      </c>
      <c r="M604" s="45">
        <v>0</v>
      </c>
    </row>
    <row r="605" spans="1:13" x14ac:dyDescent="0.25">
      <c r="A605" s="812" t="s">
        <v>1999</v>
      </c>
      <c r="B605" s="812">
        <v>13</v>
      </c>
      <c r="C605" s="608">
        <v>39766</v>
      </c>
      <c r="D605" s="812">
        <v>99755</v>
      </c>
      <c r="E605" s="812" t="s">
        <v>2039</v>
      </c>
      <c r="F605" s="133">
        <v>0</v>
      </c>
      <c r="G605" s="133">
        <v>0</v>
      </c>
      <c r="H605" s="133">
        <v>0</v>
      </c>
      <c r="I605" s="133">
        <v>0</v>
      </c>
      <c r="J605" s="133">
        <v>0</v>
      </c>
      <c r="K605" s="133">
        <v>0</v>
      </c>
      <c r="L605" s="133">
        <v>0</v>
      </c>
      <c r="M605" s="45">
        <v>0</v>
      </c>
    </row>
    <row r="606" spans="1:13" x14ac:dyDescent="0.25">
      <c r="A606" s="812" t="s">
        <v>1999</v>
      </c>
      <c r="B606" s="812">
        <v>13</v>
      </c>
      <c r="C606" s="608">
        <v>39766</v>
      </c>
      <c r="D606" s="812">
        <v>99756</v>
      </c>
      <c r="E606" s="812" t="s">
        <v>2040</v>
      </c>
      <c r="F606" s="133">
        <v>0</v>
      </c>
      <c r="G606" s="133">
        <v>0</v>
      </c>
      <c r="H606" s="133">
        <v>0</v>
      </c>
      <c r="I606" s="133">
        <v>0</v>
      </c>
      <c r="J606" s="133">
        <v>0</v>
      </c>
      <c r="K606" s="133">
        <v>0</v>
      </c>
      <c r="L606" s="133">
        <v>0</v>
      </c>
      <c r="M606" s="45">
        <v>0</v>
      </c>
    </row>
    <row r="607" spans="1:13" x14ac:dyDescent="0.25">
      <c r="A607" s="812" t="s">
        <v>1999</v>
      </c>
      <c r="B607" s="812">
        <v>13</v>
      </c>
      <c r="C607" s="608">
        <v>39766</v>
      </c>
      <c r="D607" s="812">
        <v>99758</v>
      </c>
      <c r="E607" s="812" t="s">
        <v>2041</v>
      </c>
      <c r="F607" s="133">
        <v>0</v>
      </c>
      <c r="G607" s="133">
        <v>0</v>
      </c>
      <c r="H607" s="133">
        <v>0</v>
      </c>
      <c r="I607" s="133">
        <v>0</v>
      </c>
      <c r="J607" s="133">
        <v>0</v>
      </c>
      <c r="K607" s="133">
        <v>0</v>
      </c>
      <c r="L607" s="133">
        <v>0</v>
      </c>
      <c r="M607" s="45">
        <v>0</v>
      </c>
    </row>
    <row r="608" spans="1:13" x14ac:dyDescent="0.25">
      <c r="A608" s="812" t="s">
        <v>1999</v>
      </c>
      <c r="B608" s="812">
        <v>13</v>
      </c>
      <c r="C608" s="608">
        <v>39766</v>
      </c>
      <c r="D608" s="812">
        <v>99760</v>
      </c>
      <c r="E608" s="812" t="s">
        <v>2042</v>
      </c>
      <c r="F608" s="133">
        <v>0</v>
      </c>
      <c r="G608" s="133">
        <v>0</v>
      </c>
      <c r="H608" s="133">
        <v>0</v>
      </c>
      <c r="I608" s="133">
        <v>0</v>
      </c>
      <c r="J608" s="133">
        <v>0</v>
      </c>
      <c r="K608" s="133">
        <v>0</v>
      </c>
      <c r="L608" s="133">
        <v>0</v>
      </c>
      <c r="M608" s="45">
        <v>0</v>
      </c>
    </row>
    <row r="609" spans="1:13" x14ac:dyDescent="0.25">
      <c r="A609" s="812" t="s">
        <v>1999</v>
      </c>
      <c r="B609" s="812">
        <v>13</v>
      </c>
      <c r="C609" s="608">
        <v>39766</v>
      </c>
      <c r="D609" s="812">
        <v>99767</v>
      </c>
      <c r="E609" s="812" t="s">
        <v>2043</v>
      </c>
      <c r="F609" s="133">
        <v>0</v>
      </c>
      <c r="G609" s="133">
        <v>0</v>
      </c>
      <c r="H609" s="133">
        <v>0</v>
      </c>
      <c r="I609" s="133">
        <v>0</v>
      </c>
      <c r="J609" s="133">
        <v>0</v>
      </c>
      <c r="K609" s="133">
        <v>0</v>
      </c>
      <c r="L609" s="133">
        <v>0</v>
      </c>
      <c r="M609" s="45">
        <v>0</v>
      </c>
    </row>
    <row r="610" spans="1:13" x14ac:dyDescent="0.25">
      <c r="A610" s="812" t="s">
        <v>1999</v>
      </c>
      <c r="B610" s="812">
        <v>13</v>
      </c>
      <c r="C610" s="608">
        <v>39766</v>
      </c>
      <c r="D610" s="812">
        <v>99774</v>
      </c>
      <c r="E610" s="812" t="s">
        <v>2044</v>
      </c>
      <c r="F610" s="133">
        <v>0</v>
      </c>
      <c r="G610" s="133">
        <v>0</v>
      </c>
      <c r="H610" s="133">
        <v>0</v>
      </c>
      <c r="I610" s="133">
        <v>0</v>
      </c>
      <c r="J610" s="133">
        <v>0</v>
      </c>
      <c r="K610" s="133">
        <v>0</v>
      </c>
      <c r="L610" s="133">
        <v>0</v>
      </c>
      <c r="M610" s="45">
        <v>0</v>
      </c>
    </row>
    <row r="611" spans="1:13" x14ac:dyDescent="0.25">
      <c r="A611" s="812" t="s">
        <v>1999</v>
      </c>
      <c r="B611" s="812">
        <v>13</v>
      </c>
      <c r="C611" s="608">
        <v>39766</v>
      </c>
      <c r="D611" s="812">
        <v>99775</v>
      </c>
      <c r="E611" s="812" t="s">
        <v>1602</v>
      </c>
      <c r="F611" s="133">
        <v>8.0026702837456131E-5</v>
      </c>
      <c r="G611" s="133">
        <v>1.8672381418748498E-3</v>
      </c>
      <c r="H611" s="133">
        <v>1.0437095002259836E-3</v>
      </c>
      <c r="I611" s="133">
        <v>6.7315242726973763E-5</v>
      </c>
      <c r="J611" s="133">
        <v>6.7315242726973763E-5</v>
      </c>
      <c r="K611" s="133">
        <v>8.0806279866059471E-5</v>
      </c>
      <c r="L611" s="133">
        <v>1.9425714115486756E-4</v>
      </c>
      <c r="M611" s="45">
        <v>30.669730976938887</v>
      </c>
    </row>
    <row r="612" spans="1:13" x14ac:dyDescent="0.25">
      <c r="A612" s="812" t="s">
        <v>1999</v>
      </c>
      <c r="B612" s="812">
        <v>13</v>
      </c>
      <c r="C612" s="608">
        <v>39766</v>
      </c>
      <c r="D612" s="812">
        <v>99790</v>
      </c>
      <c r="E612" s="812" t="s">
        <v>2045</v>
      </c>
      <c r="F612" s="133">
        <v>0</v>
      </c>
      <c r="G612" s="133">
        <v>0</v>
      </c>
      <c r="H612" s="133">
        <v>0</v>
      </c>
      <c r="I612" s="133">
        <v>0</v>
      </c>
      <c r="J612" s="133">
        <v>0</v>
      </c>
      <c r="K612" s="133">
        <v>0</v>
      </c>
      <c r="L612" s="133">
        <v>0</v>
      </c>
      <c r="M612" s="45">
        <v>0</v>
      </c>
    </row>
    <row r="613" spans="1:13" x14ac:dyDescent="0.25">
      <c r="A613" s="812" t="s">
        <v>1999</v>
      </c>
      <c r="B613" s="812">
        <v>14</v>
      </c>
      <c r="C613" s="608">
        <v>39767</v>
      </c>
      <c r="D613" s="812">
        <v>99701</v>
      </c>
      <c r="E613" s="812" t="s">
        <v>2031</v>
      </c>
      <c r="F613" s="133">
        <v>0.83061635024656977</v>
      </c>
      <c r="G613" s="133">
        <v>0.72112478440377581</v>
      </c>
      <c r="H613" s="133">
        <v>0.89079968370386786</v>
      </c>
      <c r="I613" s="133">
        <v>0.24798687635461322</v>
      </c>
      <c r="J613" s="133">
        <v>0.24798687635461322</v>
      </c>
      <c r="K613" s="133">
        <v>3.0477327243068144E-2</v>
      </c>
      <c r="L613" s="133">
        <v>2.4868157301675957</v>
      </c>
      <c r="M613" s="45">
        <v>13576.519327510123</v>
      </c>
    </row>
    <row r="614" spans="1:13" x14ac:dyDescent="0.25">
      <c r="A614" s="812" t="s">
        <v>1999</v>
      </c>
      <c r="B614" s="812">
        <v>14</v>
      </c>
      <c r="C614" s="608">
        <v>39767</v>
      </c>
      <c r="D614" s="812">
        <v>99702</v>
      </c>
      <c r="E614" s="812" t="s">
        <v>2032</v>
      </c>
      <c r="F614" s="133">
        <v>0</v>
      </c>
      <c r="G614" s="133">
        <v>0</v>
      </c>
      <c r="H614" s="133">
        <v>0</v>
      </c>
      <c r="I614" s="133">
        <v>0</v>
      </c>
      <c r="J614" s="133">
        <v>0</v>
      </c>
      <c r="K614" s="133">
        <v>0</v>
      </c>
      <c r="L614" s="133">
        <v>0</v>
      </c>
      <c r="M614" s="45">
        <v>0</v>
      </c>
    </row>
    <row r="615" spans="1:13" x14ac:dyDescent="0.25">
      <c r="A615" s="812" t="s">
        <v>1999</v>
      </c>
      <c r="B615" s="812">
        <v>14</v>
      </c>
      <c r="C615" s="608">
        <v>39767</v>
      </c>
      <c r="D615" s="812">
        <v>99703</v>
      </c>
      <c r="E615" s="812" t="s">
        <v>2033</v>
      </c>
      <c r="F615" s="133">
        <v>1.9896820810940755E-2</v>
      </c>
      <c r="G615" s="133">
        <v>1.3419905455593458E-2</v>
      </c>
      <c r="H615" s="133">
        <v>2.006865662505115E-2</v>
      </c>
      <c r="I615" s="133">
        <v>6.6592247761141851E-3</v>
      </c>
      <c r="J615" s="133">
        <v>6.6592247761141851E-3</v>
      </c>
      <c r="K615" s="133">
        <v>5.2219263745421603E-4</v>
      </c>
      <c r="L615" s="133">
        <v>7.1716137763809557E-2</v>
      </c>
      <c r="M615" s="45">
        <v>263.35942951169562</v>
      </c>
    </row>
    <row r="616" spans="1:13" x14ac:dyDescent="0.25">
      <c r="A616" s="812" t="s">
        <v>1999</v>
      </c>
      <c r="B616" s="812">
        <v>14</v>
      </c>
      <c r="C616" s="608">
        <v>39767</v>
      </c>
      <c r="D616" s="812">
        <v>99705</v>
      </c>
      <c r="E616" s="812" t="s">
        <v>1599</v>
      </c>
      <c r="F616" s="133">
        <v>3.3451807443736197</v>
      </c>
      <c r="G616" s="133">
        <v>0.69284135949177827</v>
      </c>
      <c r="H616" s="133">
        <v>1.155002229361024</v>
      </c>
      <c r="I616" s="133">
        <v>1.0266078913207575</v>
      </c>
      <c r="J616" s="133">
        <v>1.0266078913207575</v>
      </c>
      <c r="K616" s="133">
        <v>4.7627508524094718E-2</v>
      </c>
      <c r="L616" s="133">
        <v>11.20276472347801</v>
      </c>
      <c r="M616" s="45">
        <v>14187.655629584946</v>
      </c>
    </row>
    <row r="617" spans="1:13" x14ac:dyDescent="0.25">
      <c r="A617" s="812" t="s">
        <v>1999</v>
      </c>
      <c r="B617" s="812">
        <v>14</v>
      </c>
      <c r="C617" s="608">
        <v>39767</v>
      </c>
      <c r="D617" s="812">
        <v>99709</v>
      </c>
      <c r="E617" s="812" t="s">
        <v>1600</v>
      </c>
      <c r="F617" s="133">
        <v>2.8959205830559167</v>
      </c>
      <c r="G617" s="133">
        <v>0.79376894366486417</v>
      </c>
      <c r="H617" s="133">
        <v>1.3029201245249316</v>
      </c>
      <c r="I617" s="133">
        <v>0.79783808078264107</v>
      </c>
      <c r="J617" s="133">
        <v>0.79783808078264107</v>
      </c>
      <c r="K617" s="133">
        <v>4.3514468615238514E-2</v>
      </c>
      <c r="L617" s="133">
        <v>8.3417646282840678</v>
      </c>
      <c r="M617" s="45">
        <v>16308.691070420644</v>
      </c>
    </row>
    <row r="618" spans="1:13" x14ac:dyDescent="0.25">
      <c r="A618" s="812" t="s">
        <v>1999</v>
      </c>
      <c r="B618" s="812">
        <v>14</v>
      </c>
      <c r="C618" s="608">
        <v>39767</v>
      </c>
      <c r="D618" s="812">
        <v>99712</v>
      </c>
      <c r="E618" s="812" t="s">
        <v>1601</v>
      </c>
      <c r="F618" s="133">
        <v>1.5538501266531346</v>
      </c>
      <c r="G618" s="133">
        <v>0.27374892400607231</v>
      </c>
      <c r="H618" s="133">
        <v>0.48912007998923124</v>
      </c>
      <c r="I618" s="133">
        <v>0.42919842275330927</v>
      </c>
      <c r="J618" s="133">
        <v>0.42919842275330927</v>
      </c>
      <c r="K618" s="133">
        <v>2.0056714368497396E-2</v>
      </c>
      <c r="L618" s="133">
        <v>4.5306342010212468</v>
      </c>
      <c r="M618" s="45">
        <v>5695.6205606394415</v>
      </c>
    </row>
    <row r="619" spans="1:13" x14ac:dyDescent="0.25">
      <c r="A619" s="812" t="s">
        <v>1999</v>
      </c>
      <c r="B619" s="812">
        <v>14</v>
      </c>
      <c r="C619" s="608">
        <v>39767</v>
      </c>
      <c r="D619" s="812">
        <v>99714</v>
      </c>
      <c r="E619" s="812" t="s">
        <v>2034</v>
      </c>
      <c r="F619" s="133">
        <v>0</v>
      </c>
      <c r="G619" s="133">
        <v>0</v>
      </c>
      <c r="H619" s="133">
        <v>0</v>
      </c>
      <c r="I619" s="133">
        <v>0</v>
      </c>
      <c r="J619" s="133">
        <v>0</v>
      </c>
      <c r="K619" s="133">
        <v>0</v>
      </c>
      <c r="L619" s="133">
        <v>0</v>
      </c>
      <c r="M619" s="45">
        <v>0</v>
      </c>
    </row>
    <row r="620" spans="1:13" x14ac:dyDescent="0.25">
      <c r="A620" s="812" t="s">
        <v>1999</v>
      </c>
      <c r="B620" s="812">
        <v>14</v>
      </c>
      <c r="C620" s="608">
        <v>39767</v>
      </c>
      <c r="D620" s="812">
        <v>99730</v>
      </c>
      <c r="E620" s="812" t="s">
        <v>2035</v>
      </c>
      <c r="F620" s="133">
        <v>0</v>
      </c>
      <c r="G620" s="133">
        <v>0</v>
      </c>
      <c r="H620" s="133">
        <v>0</v>
      </c>
      <c r="I620" s="133">
        <v>0</v>
      </c>
      <c r="J620" s="133">
        <v>0</v>
      </c>
      <c r="K620" s="133">
        <v>0</v>
      </c>
      <c r="L620" s="133">
        <v>0</v>
      </c>
      <c r="M620" s="45">
        <v>0</v>
      </c>
    </row>
    <row r="621" spans="1:13" x14ac:dyDescent="0.25">
      <c r="A621" s="812" t="s">
        <v>1999</v>
      </c>
      <c r="B621" s="812">
        <v>14</v>
      </c>
      <c r="C621" s="608">
        <v>39767</v>
      </c>
      <c r="D621" s="812">
        <v>99737</v>
      </c>
      <c r="E621" s="812" t="s">
        <v>2036</v>
      </c>
      <c r="F621" s="133">
        <v>0</v>
      </c>
      <c r="G621" s="133">
        <v>0</v>
      </c>
      <c r="H621" s="133">
        <v>0</v>
      </c>
      <c r="I621" s="133">
        <v>0</v>
      </c>
      <c r="J621" s="133">
        <v>0</v>
      </c>
      <c r="K621" s="133">
        <v>0</v>
      </c>
      <c r="L621" s="133">
        <v>0</v>
      </c>
      <c r="M621" s="45">
        <v>0</v>
      </c>
    </row>
    <row r="622" spans="1:13" x14ac:dyDescent="0.25">
      <c r="A622" s="812" t="s">
        <v>1999</v>
      </c>
      <c r="B622" s="812">
        <v>14</v>
      </c>
      <c r="C622" s="608">
        <v>39767</v>
      </c>
      <c r="D622" s="812">
        <v>99743</v>
      </c>
      <c r="E622" s="812" t="s">
        <v>2037</v>
      </c>
      <c r="F622" s="133">
        <v>0</v>
      </c>
      <c r="G622" s="133">
        <v>0</v>
      </c>
      <c r="H622" s="133">
        <v>0</v>
      </c>
      <c r="I622" s="133">
        <v>0</v>
      </c>
      <c r="J622" s="133">
        <v>0</v>
      </c>
      <c r="K622" s="133">
        <v>0</v>
      </c>
      <c r="L622" s="133">
        <v>0</v>
      </c>
      <c r="M622" s="45">
        <v>0</v>
      </c>
    </row>
    <row r="623" spans="1:13" x14ac:dyDescent="0.25">
      <c r="A623" s="812" t="s">
        <v>1999</v>
      </c>
      <c r="B623" s="812">
        <v>14</v>
      </c>
      <c r="C623" s="608">
        <v>39767</v>
      </c>
      <c r="D623" s="812">
        <v>99744</v>
      </c>
      <c r="E623" s="812" t="s">
        <v>2038</v>
      </c>
      <c r="F623" s="133">
        <v>0</v>
      </c>
      <c r="G623" s="133">
        <v>0</v>
      </c>
      <c r="H623" s="133">
        <v>0</v>
      </c>
      <c r="I623" s="133">
        <v>0</v>
      </c>
      <c r="J623" s="133">
        <v>0</v>
      </c>
      <c r="K623" s="133">
        <v>0</v>
      </c>
      <c r="L623" s="133">
        <v>0</v>
      </c>
      <c r="M623" s="45">
        <v>0</v>
      </c>
    </row>
    <row r="624" spans="1:13" x14ac:dyDescent="0.25">
      <c r="A624" s="812" t="s">
        <v>1999</v>
      </c>
      <c r="B624" s="812">
        <v>14</v>
      </c>
      <c r="C624" s="608">
        <v>39767</v>
      </c>
      <c r="D624" s="812">
        <v>99755</v>
      </c>
      <c r="E624" s="812" t="s">
        <v>2039</v>
      </c>
      <c r="F624" s="133">
        <v>0</v>
      </c>
      <c r="G624" s="133">
        <v>0</v>
      </c>
      <c r="H624" s="133">
        <v>0</v>
      </c>
      <c r="I624" s="133">
        <v>0</v>
      </c>
      <c r="J624" s="133">
        <v>0</v>
      </c>
      <c r="K624" s="133">
        <v>0</v>
      </c>
      <c r="L624" s="133">
        <v>0</v>
      </c>
      <c r="M624" s="45">
        <v>0</v>
      </c>
    </row>
    <row r="625" spans="1:13" x14ac:dyDescent="0.25">
      <c r="A625" s="812" t="s">
        <v>1999</v>
      </c>
      <c r="B625" s="812">
        <v>14</v>
      </c>
      <c r="C625" s="608">
        <v>39767</v>
      </c>
      <c r="D625" s="812">
        <v>99756</v>
      </c>
      <c r="E625" s="812" t="s">
        <v>2040</v>
      </c>
      <c r="F625" s="133">
        <v>0</v>
      </c>
      <c r="G625" s="133">
        <v>0</v>
      </c>
      <c r="H625" s="133">
        <v>0</v>
      </c>
      <c r="I625" s="133">
        <v>0</v>
      </c>
      <c r="J625" s="133">
        <v>0</v>
      </c>
      <c r="K625" s="133">
        <v>0</v>
      </c>
      <c r="L625" s="133">
        <v>0</v>
      </c>
      <c r="M625" s="45">
        <v>0</v>
      </c>
    </row>
    <row r="626" spans="1:13" x14ac:dyDescent="0.25">
      <c r="A626" s="812" t="s">
        <v>1999</v>
      </c>
      <c r="B626" s="812">
        <v>14</v>
      </c>
      <c r="C626" s="608">
        <v>39767</v>
      </c>
      <c r="D626" s="812">
        <v>99758</v>
      </c>
      <c r="E626" s="812" t="s">
        <v>2041</v>
      </c>
      <c r="F626" s="133">
        <v>0</v>
      </c>
      <c r="G626" s="133">
        <v>0</v>
      </c>
      <c r="H626" s="133">
        <v>0</v>
      </c>
      <c r="I626" s="133">
        <v>0</v>
      </c>
      <c r="J626" s="133">
        <v>0</v>
      </c>
      <c r="K626" s="133">
        <v>0</v>
      </c>
      <c r="L626" s="133">
        <v>0</v>
      </c>
      <c r="M626" s="45">
        <v>0</v>
      </c>
    </row>
    <row r="627" spans="1:13" x14ac:dyDescent="0.25">
      <c r="A627" s="812" t="s">
        <v>1999</v>
      </c>
      <c r="B627" s="812">
        <v>14</v>
      </c>
      <c r="C627" s="608">
        <v>39767</v>
      </c>
      <c r="D627" s="812">
        <v>99760</v>
      </c>
      <c r="E627" s="812" t="s">
        <v>2042</v>
      </c>
      <c r="F627" s="133">
        <v>0</v>
      </c>
      <c r="G627" s="133">
        <v>0</v>
      </c>
      <c r="H627" s="133">
        <v>0</v>
      </c>
      <c r="I627" s="133">
        <v>0</v>
      </c>
      <c r="J627" s="133">
        <v>0</v>
      </c>
      <c r="K627" s="133">
        <v>0</v>
      </c>
      <c r="L627" s="133">
        <v>0</v>
      </c>
      <c r="M627" s="45">
        <v>0</v>
      </c>
    </row>
    <row r="628" spans="1:13" x14ac:dyDescent="0.25">
      <c r="A628" s="812" t="s">
        <v>1999</v>
      </c>
      <c r="B628" s="812">
        <v>14</v>
      </c>
      <c r="C628" s="608">
        <v>39767</v>
      </c>
      <c r="D628" s="812">
        <v>99767</v>
      </c>
      <c r="E628" s="812" t="s">
        <v>2043</v>
      </c>
      <c r="F628" s="133">
        <v>0</v>
      </c>
      <c r="G628" s="133">
        <v>0</v>
      </c>
      <c r="H628" s="133">
        <v>0</v>
      </c>
      <c r="I628" s="133">
        <v>0</v>
      </c>
      <c r="J628" s="133">
        <v>0</v>
      </c>
      <c r="K628" s="133">
        <v>0</v>
      </c>
      <c r="L628" s="133">
        <v>0</v>
      </c>
      <c r="M628" s="45">
        <v>0</v>
      </c>
    </row>
    <row r="629" spans="1:13" x14ac:dyDescent="0.25">
      <c r="A629" s="812" t="s">
        <v>1999</v>
      </c>
      <c r="B629" s="812">
        <v>14</v>
      </c>
      <c r="C629" s="608">
        <v>39767</v>
      </c>
      <c r="D629" s="812">
        <v>99774</v>
      </c>
      <c r="E629" s="812" t="s">
        <v>2044</v>
      </c>
      <c r="F629" s="133">
        <v>0</v>
      </c>
      <c r="G629" s="133">
        <v>0</v>
      </c>
      <c r="H629" s="133">
        <v>0</v>
      </c>
      <c r="I629" s="133">
        <v>0</v>
      </c>
      <c r="J629" s="133">
        <v>0</v>
      </c>
      <c r="K629" s="133">
        <v>0</v>
      </c>
      <c r="L629" s="133">
        <v>0</v>
      </c>
      <c r="M629" s="45">
        <v>0</v>
      </c>
    </row>
    <row r="630" spans="1:13" x14ac:dyDescent="0.25">
      <c r="A630" s="812" t="s">
        <v>1999</v>
      </c>
      <c r="B630" s="812">
        <v>14</v>
      </c>
      <c r="C630" s="608">
        <v>39767</v>
      </c>
      <c r="D630" s="812">
        <v>99775</v>
      </c>
      <c r="E630" s="812" t="s">
        <v>1602</v>
      </c>
      <c r="F630" s="133">
        <v>7.1569263078906443E-5</v>
      </c>
      <c r="G630" s="133">
        <v>1.6537263387137078E-3</v>
      </c>
      <c r="H630" s="133">
        <v>8.9278986833821454E-4</v>
      </c>
      <c r="I630" s="133">
        <v>6.1899194390424762E-5</v>
      </c>
      <c r="J630" s="133">
        <v>6.1899194390424762E-5</v>
      </c>
      <c r="K630" s="133">
        <v>8.0515708872803607E-5</v>
      </c>
      <c r="L630" s="133">
        <v>1.8894490041143576E-4</v>
      </c>
      <c r="M630" s="45">
        <v>27.384021561625755</v>
      </c>
    </row>
    <row r="631" spans="1:13" x14ac:dyDescent="0.25">
      <c r="A631" s="812" t="s">
        <v>1999</v>
      </c>
      <c r="B631" s="812">
        <v>14</v>
      </c>
      <c r="C631" s="608">
        <v>39767</v>
      </c>
      <c r="D631" s="812">
        <v>99790</v>
      </c>
      <c r="E631" s="812" t="s">
        <v>2045</v>
      </c>
      <c r="F631" s="133">
        <v>0</v>
      </c>
      <c r="G631" s="133">
        <v>0</v>
      </c>
      <c r="H631" s="133">
        <v>0</v>
      </c>
      <c r="I631" s="133">
        <v>0</v>
      </c>
      <c r="J631" s="133">
        <v>0</v>
      </c>
      <c r="K631" s="133">
        <v>0</v>
      </c>
      <c r="L631" s="133">
        <v>0</v>
      </c>
      <c r="M631" s="45">
        <v>0</v>
      </c>
    </row>
    <row r="632" spans="1:13" x14ac:dyDescent="0.25">
      <c r="A632" s="812" t="s">
        <v>1999</v>
      </c>
      <c r="B632" s="812">
        <v>15</v>
      </c>
      <c r="C632" s="608">
        <v>39768</v>
      </c>
      <c r="D632" s="812">
        <v>99701</v>
      </c>
      <c r="E632" s="812" t="s">
        <v>2031</v>
      </c>
      <c r="F632" s="133">
        <v>0.75414285077358389</v>
      </c>
      <c r="G632" s="133">
        <v>0.74557951606411443</v>
      </c>
      <c r="H632" s="133">
        <v>0.87744855478569284</v>
      </c>
      <c r="I632" s="133">
        <v>0.22926382323370623</v>
      </c>
      <c r="J632" s="133">
        <v>0.22926382323370623</v>
      </c>
      <c r="K632" s="133">
        <v>2.9659344123898118E-2</v>
      </c>
      <c r="L632" s="133">
        <v>2.282939059928708</v>
      </c>
      <c r="M632" s="45">
        <v>13789.200656581641</v>
      </c>
    </row>
    <row r="633" spans="1:13" x14ac:dyDescent="0.25">
      <c r="A633" s="812" t="s">
        <v>1999</v>
      </c>
      <c r="B633" s="812">
        <v>15</v>
      </c>
      <c r="C633" s="608">
        <v>39768</v>
      </c>
      <c r="D633" s="812">
        <v>99702</v>
      </c>
      <c r="E633" s="812" t="s">
        <v>2032</v>
      </c>
      <c r="F633" s="133">
        <v>0</v>
      </c>
      <c r="G633" s="133">
        <v>0</v>
      </c>
      <c r="H633" s="133">
        <v>0</v>
      </c>
      <c r="I633" s="133">
        <v>0</v>
      </c>
      <c r="J633" s="133">
        <v>0</v>
      </c>
      <c r="K633" s="133">
        <v>0</v>
      </c>
      <c r="L633" s="133">
        <v>0</v>
      </c>
      <c r="M633" s="45">
        <v>0</v>
      </c>
    </row>
    <row r="634" spans="1:13" x14ac:dyDescent="0.25">
      <c r="A634" s="812" t="s">
        <v>1999</v>
      </c>
      <c r="B634" s="812">
        <v>15</v>
      </c>
      <c r="C634" s="608">
        <v>39768</v>
      </c>
      <c r="D634" s="812">
        <v>99703</v>
      </c>
      <c r="E634" s="812" t="s">
        <v>2033</v>
      </c>
      <c r="F634" s="133">
        <v>1.8333754483797461E-2</v>
      </c>
      <c r="G634" s="133">
        <v>1.3505047426490885E-2</v>
      </c>
      <c r="H634" s="133">
        <v>1.9385882295208125E-2</v>
      </c>
      <c r="I634" s="133">
        <v>6.1955911043958126E-3</v>
      </c>
      <c r="J634" s="133">
        <v>6.1955911043958126E-3</v>
      </c>
      <c r="K634" s="133">
        <v>5.036225794024581E-4</v>
      </c>
      <c r="L634" s="133">
        <v>6.6424260089311862E-2</v>
      </c>
      <c r="M634" s="45">
        <v>260.66752939782037</v>
      </c>
    </row>
    <row r="635" spans="1:13" x14ac:dyDescent="0.25">
      <c r="A635" s="812" t="s">
        <v>1999</v>
      </c>
      <c r="B635" s="812">
        <v>15</v>
      </c>
      <c r="C635" s="608">
        <v>39768</v>
      </c>
      <c r="D635" s="812">
        <v>99705</v>
      </c>
      <c r="E635" s="812" t="s">
        <v>1599</v>
      </c>
      <c r="F635" s="133">
        <v>3.1557152042809737</v>
      </c>
      <c r="G635" s="133">
        <v>0.6730081640893828</v>
      </c>
      <c r="H635" s="133">
        <v>1.1080426668196048</v>
      </c>
      <c r="I635" s="133">
        <v>0.97175044155339341</v>
      </c>
      <c r="J635" s="133">
        <v>0.97175044155339341</v>
      </c>
      <c r="K635" s="133">
        <v>4.5229219693526279E-2</v>
      </c>
      <c r="L635" s="133">
        <v>10.593005323392367</v>
      </c>
      <c r="M635" s="45">
        <v>13723.522945717768</v>
      </c>
    </row>
    <row r="636" spans="1:13" x14ac:dyDescent="0.25">
      <c r="A636" s="812" t="s">
        <v>1999</v>
      </c>
      <c r="B636" s="812">
        <v>15</v>
      </c>
      <c r="C636" s="608">
        <v>39768</v>
      </c>
      <c r="D636" s="812">
        <v>99709</v>
      </c>
      <c r="E636" s="812" t="s">
        <v>1600</v>
      </c>
      <c r="F636" s="133">
        <v>2.6044905612002482</v>
      </c>
      <c r="G636" s="133">
        <v>0.77164815532053332</v>
      </c>
      <c r="H636" s="133">
        <v>1.2313068586140883</v>
      </c>
      <c r="I636" s="133">
        <v>0.72709352157887441</v>
      </c>
      <c r="J636" s="133">
        <v>0.72709352157887441</v>
      </c>
      <c r="K636" s="133">
        <v>4.0419959368480626E-2</v>
      </c>
      <c r="L636" s="133">
        <v>7.6143737282419499</v>
      </c>
      <c r="M636" s="45">
        <v>15692.236752537776</v>
      </c>
    </row>
    <row r="637" spans="1:13" x14ac:dyDescent="0.25">
      <c r="A637" s="812" t="s">
        <v>1999</v>
      </c>
      <c r="B637" s="812">
        <v>15</v>
      </c>
      <c r="C637" s="608">
        <v>39768</v>
      </c>
      <c r="D637" s="812">
        <v>99712</v>
      </c>
      <c r="E637" s="812" t="s">
        <v>1601</v>
      </c>
      <c r="F637" s="133">
        <v>1.4319310808098893</v>
      </c>
      <c r="G637" s="133">
        <v>0.26080913169059849</v>
      </c>
      <c r="H637" s="133">
        <v>0.46268092676286282</v>
      </c>
      <c r="I637" s="133">
        <v>0.39893008212120262</v>
      </c>
      <c r="J637" s="133">
        <v>0.39893008212120262</v>
      </c>
      <c r="K637" s="133">
        <v>1.8676089276460927E-2</v>
      </c>
      <c r="L637" s="133">
        <v>4.215913693369953</v>
      </c>
      <c r="M637" s="45">
        <v>5415.3025726882097</v>
      </c>
    </row>
    <row r="638" spans="1:13" x14ac:dyDescent="0.25">
      <c r="A638" s="812" t="s">
        <v>1999</v>
      </c>
      <c r="B638" s="812">
        <v>15</v>
      </c>
      <c r="C638" s="608">
        <v>39768</v>
      </c>
      <c r="D638" s="812">
        <v>99714</v>
      </c>
      <c r="E638" s="812" t="s">
        <v>2034</v>
      </c>
      <c r="F638" s="133">
        <v>0</v>
      </c>
      <c r="G638" s="133">
        <v>0</v>
      </c>
      <c r="H638" s="133">
        <v>0</v>
      </c>
      <c r="I638" s="133">
        <v>0</v>
      </c>
      <c r="J638" s="133">
        <v>0</v>
      </c>
      <c r="K638" s="133">
        <v>0</v>
      </c>
      <c r="L638" s="133">
        <v>0</v>
      </c>
      <c r="M638" s="45">
        <v>0</v>
      </c>
    </row>
    <row r="639" spans="1:13" x14ac:dyDescent="0.25">
      <c r="A639" s="812" t="s">
        <v>1999</v>
      </c>
      <c r="B639" s="812">
        <v>15</v>
      </c>
      <c r="C639" s="608">
        <v>39768</v>
      </c>
      <c r="D639" s="812">
        <v>99730</v>
      </c>
      <c r="E639" s="812" t="s">
        <v>2035</v>
      </c>
      <c r="F639" s="133">
        <v>0</v>
      </c>
      <c r="G639" s="133">
        <v>0</v>
      </c>
      <c r="H639" s="133">
        <v>0</v>
      </c>
      <c r="I639" s="133">
        <v>0</v>
      </c>
      <c r="J639" s="133">
        <v>0</v>
      </c>
      <c r="K639" s="133">
        <v>0</v>
      </c>
      <c r="L639" s="133">
        <v>0</v>
      </c>
      <c r="M639" s="45">
        <v>0</v>
      </c>
    </row>
    <row r="640" spans="1:13" x14ac:dyDescent="0.25">
      <c r="A640" s="812" t="s">
        <v>1999</v>
      </c>
      <c r="B640" s="812">
        <v>15</v>
      </c>
      <c r="C640" s="608">
        <v>39768</v>
      </c>
      <c r="D640" s="812">
        <v>99737</v>
      </c>
      <c r="E640" s="812" t="s">
        <v>2036</v>
      </c>
      <c r="F640" s="133">
        <v>0</v>
      </c>
      <c r="G640" s="133">
        <v>0</v>
      </c>
      <c r="H640" s="133">
        <v>0</v>
      </c>
      <c r="I640" s="133">
        <v>0</v>
      </c>
      <c r="J640" s="133">
        <v>0</v>
      </c>
      <c r="K640" s="133">
        <v>0</v>
      </c>
      <c r="L640" s="133">
        <v>0</v>
      </c>
      <c r="M640" s="45">
        <v>0</v>
      </c>
    </row>
    <row r="641" spans="1:13" x14ac:dyDescent="0.25">
      <c r="A641" s="812" t="s">
        <v>1999</v>
      </c>
      <c r="B641" s="812">
        <v>15</v>
      </c>
      <c r="C641" s="608">
        <v>39768</v>
      </c>
      <c r="D641" s="812">
        <v>99743</v>
      </c>
      <c r="E641" s="812" t="s">
        <v>2037</v>
      </c>
      <c r="F641" s="133">
        <v>0</v>
      </c>
      <c r="G641" s="133">
        <v>0</v>
      </c>
      <c r="H641" s="133">
        <v>0</v>
      </c>
      <c r="I641" s="133">
        <v>0</v>
      </c>
      <c r="J641" s="133">
        <v>0</v>
      </c>
      <c r="K641" s="133">
        <v>0</v>
      </c>
      <c r="L641" s="133">
        <v>0</v>
      </c>
      <c r="M641" s="45">
        <v>0</v>
      </c>
    </row>
    <row r="642" spans="1:13" x14ac:dyDescent="0.25">
      <c r="A642" s="812" t="s">
        <v>1999</v>
      </c>
      <c r="B642" s="812">
        <v>15</v>
      </c>
      <c r="C642" s="608">
        <v>39768</v>
      </c>
      <c r="D642" s="812">
        <v>99744</v>
      </c>
      <c r="E642" s="812" t="s">
        <v>2038</v>
      </c>
      <c r="F642" s="133">
        <v>0</v>
      </c>
      <c r="G642" s="133">
        <v>0</v>
      </c>
      <c r="H642" s="133">
        <v>0</v>
      </c>
      <c r="I642" s="133">
        <v>0</v>
      </c>
      <c r="J642" s="133">
        <v>0</v>
      </c>
      <c r="K642" s="133">
        <v>0</v>
      </c>
      <c r="L642" s="133">
        <v>0</v>
      </c>
      <c r="M642" s="45">
        <v>0</v>
      </c>
    </row>
    <row r="643" spans="1:13" x14ac:dyDescent="0.25">
      <c r="A643" s="812" t="s">
        <v>1999</v>
      </c>
      <c r="B643" s="812">
        <v>15</v>
      </c>
      <c r="C643" s="608">
        <v>39768</v>
      </c>
      <c r="D643" s="812">
        <v>99755</v>
      </c>
      <c r="E643" s="812" t="s">
        <v>2039</v>
      </c>
      <c r="F643" s="133">
        <v>0</v>
      </c>
      <c r="G643" s="133">
        <v>0</v>
      </c>
      <c r="H643" s="133">
        <v>0</v>
      </c>
      <c r="I643" s="133">
        <v>0</v>
      </c>
      <c r="J643" s="133">
        <v>0</v>
      </c>
      <c r="K643" s="133">
        <v>0</v>
      </c>
      <c r="L643" s="133">
        <v>0</v>
      </c>
      <c r="M643" s="45">
        <v>0</v>
      </c>
    </row>
    <row r="644" spans="1:13" x14ac:dyDescent="0.25">
      <c r="A644" s="812" t="s">
        <v>1999</v>
      </c>
      <c r="B644" s="812">
        <v>15</v>
      </c>
      <c r="C644" s="608">
        <v>39768</v>
      </c>
      <c r="D644" s="812">
        <v>99756</v>
      </c>
      <c r="E644" s="812" t="s">
        <v>2040</v>
      </c>
      <c r="F644" s="133">
        <v>0</v>
      </c>
      <c r="G644" s="133">
        <v>0</v>
      </c>
      <c r="H644" s="133">
        <v>0</v>
      </c>
      <c r="I644" s="133">
        <v>0</v>
      </c>
      <c r="J644" s="133">
        <v>0</v>
      </c>
      <c r="K644" s="133">
        <v>0</v>
      </c>
      <c r="L644" s="133">
        <v>0</v>
      </c>
      <c r="M644" s="45">
        <v>0</v>
      </c>
    </row>
    <row r="645" spans="1:13" x14ac:dyDescent="0.25">
      <c r="A645" s="812" t="s">
        <v>1999</v>
      </c>
      <c r="B645" s="812">
        <v>15</v>
      </c>
      <c r="C645" s="608">
        <v>39768</v>
      </c>
      <c r="D645" s="812">
        <v>99758</v>
      </c>
      <c r="E645" s="812" t="s">
        <v>2041</v>
      </c>
      <c r="F645" s="133">
        <v>0</v>
      </c>
      <c r="G645" s="133">
        <v>0</v>
      </c>
      <c r="H645" s="133">
        <v>0</v>
      </c>
      <c r="I645" s="133">
        <v>0</v>
      </c>
      <c r="J645" s="133">
        <v>0</v>
      </c>
      <c r="K645" s="133">
        <v>0</v>
      </c>
      <c r="L645" s="133">
        <v>0</v>
      </c>
      <c r="M645" s="45">
        <v>0</v>
      </c>
    </row>
    <row r="646" spans="1:13" x14ac:dyDescent="0.25">
      <c r="A646" s="812" t="s">
        <v>1999</v>
      </c>
      <c r="B646" s="812">
        <v>15</v>
      </c>
      <c r="C646" s="608">
        <v>39768</v>
      </c>
      <c r="D646" s="812">
        <v>99760</v>
      </c>
      <c r="E646" s="812" t="s">
        <v>2042</v>
      </c>
      <c r="F646" s="133">
        <v>0</v>
      </c>
      <c r="G646" s="133">
        <v>0</v>
      </c>
      <c r="H646" s="133">
        <v>0</v>
      </c>
      <c r="I646" s="133">
        <v>0</v>
      </c>
      <c r="J646" s="133">
        <v>0</v>
      </c>
      <c r="K646" s="133">
        <v>0</v>
      </c>
      <c r="L646" s="133">
        <v>0</v>
      </c>
      <c r="M646" s="45">
        <v>0</v>
      </c>
    </row>
    <row r="647" spans="1:13" x14ac:dyDescent="0.25">
      <c r="A647" s="812" t="s">
        <v>1999</v>
      </c>
      <c r="B647" s="812">
        <v>15</v>
      </c>
      <c r="C647" s="608">
        <v>39768</v>
      </c>
      <c r="D647" s="812">
        <v>99767</v>
      </c>
      <c r="E647" s="812" t="s">
        <v>2043</v>
      </c>
      <c r="F647" s="133">
        <v>0</v>
      </c>
      <c r="G647" s="133">
        <v>0</v>
      </c>
      <c r="H647" s="133">
        <v>0</v>
      </c>
      <c r="I647" s="133">
        <v>0</v>
      </c>
      <c r="J647" s="133">
        <v>0</v>
      </c>
      <c r="K647" s="133">
        <v>0</v>
      </c>
      <c r="L647" s="133">
        <v>0</v>
      </c>
      <c r="M647" s="45">
        <v>0</v>
      </c>
    </row>
    <row r="648" spans="1:13" x14ac:dyDescent="0.25">
      <c r="A648" s="812" t="s">
        <v>1999</v>
      </c>
      <c r="B648" s="812">
        <v>15</v>
      </c>
      <c r="C648" s="608">
        <v>39768</v>
      </c>
      <c r="D648" s="812">
        <v>99774</v>
      </c>
      <c r="E648" s="812" t="s">
        <v>2044</v>
      </c>
      <c r="F648" s="133">
        <v>0</v>
      </c>
      <c r="G648" s="133">
        <v>0</v>
      </c>
      <c r="H648" s="133">
        <v>0</v>
      </c>
      <c r="I648" s="133">
        <v>0</v>
      </c>
      <c r="J648" s="133">
        <v>0</v>
      </c>
      <c r="K648" s="133">
        <v>0</v>
      </c>
      <c r="L648" s="133">
        <v>0</v>
      </c>
      <c r="M648" s="45">
        <v>0</v>
      </c>
    </row>
    <row r="649" spans="1:13" x14ac:dyDescent="0.25">
      <c r="A649" s="812" t="s">
        <v>1999</v>
      </c>
      <c r="B649" s="812">
        <v>15</v>
      </c>
      <c r="C649" s="608">
        <v>39768</v>
      </c>
      <c r="D649" s="812">
        <v>99775</v>
      </c>
      <c r="E649" s="812" t="s">
        <v>1602</v>
      </c>
      <c r="F649" s="133">
        <v>7.8335214885746202E-5</v>
      </c>
      <c r="G649" s="133">
        <v>1.8245357812426216E-3</v>
      </c>
      <c r="H649" s="133">
        <v>1.0135255738484296E-3</v>
      </c>
      <c r="I649" s="133">
        <v>6.6232033059663973E-5</v>
      </c>
      <c r="J649" s="133">
        <v>6.6232033059663973E-5</v>
      </c>
      <c r="K649" s="133">
        <v>8.074816566740832E-5</v>
      </c>
      <c r="L649" s="133">
        <v>1.9319469300618127E-4</v>
      </c>
      <c r="M649" s="45">
        <v>30.012589093876258</v>
      </c>
    </row>
    <row r="650" spans="1:13" x14ac:dyDescent="0.25">
      <c r="A650" s="812" t="s">
        <v>1999</v>
      </c>
      <c r="B650" s="812">
        <v>15</v>
      </c>
      <c r="C650" s="608">
        <v>39768</v>
      </c>
      <c r="D650" s="812">
        <v>99790</v>
      </c>
      <c r="E650" s="812" t="s">
        <v>2045</v>
      </c>
      <c r="F650" s="133">
        <v>0</v>
      </c>
      <c r="G650" s="133">
        <v>0</v>
      </c>
      <c r="H650" s="133">
        <v>0</v>
      </c>
      <c r="I650" s="133">
        <v>0</v>
      </c>
      <c r="J650" s="133">
        <v>0</v>
      </c>
      <c r="K650" s="133">
        <v>0</v>
      </c>
      <c r="L650" s="133">
        <v>0</v>
      </c>
      <c r="M650" s="45">
        <v>0</v>
      </c>
    </row>
    <row r="651" spans="1:13" x14ac:dyDescent="0.25">
      <c r="A651" s="812" t="s">
        <v>1999</v>
      </c>
      <c r="B651" s="812">
        <v>16</v>
      </c>
      <c r="C651" s="608">
        <v>39769</v>
      </c>
      <c r="D651" s="812">
        <v>99701</v>
      </c>
      <c r="E651" s="812" t="s">
        <v>2031</v>
      </c>
      <c r="F651" s="133">
        <v>0.73172388685104861</v>
      </c>
      <c r="G651" s="133">
        <v>0.66811381332719899</v>
      </c>
      <c r="H651" s="133">
        <v>0.80787450664352412</v>
      </c>
      <c r="I651" s="133">
        <v>0.21819242405582751</v>
      </c>
      <c r="J651" s="133">
        <v>0.21819242405582751</v>
      </c>
      <c r="K651" s="133">
        <v>2.9218000852956453E-2</v>
      </c>
      <c r="L651" s="133">
        <v>2.1642314172027617</v>
      </c>
      <c r="M651" s="45">
        <v>12554.42246649464</v>
      </c>
    </row>
    <row r="652" spans="1:13" x14ac:dyDescent="0.25">
      <c r="A652" s="812" t="s">
        <v>1999</v>
      </c>
      <c r="B652" s="812">
        <v>16</v>
      </c>
      <c r="C652" s="608">
        <v>39769</v>
      </c>
      <c r="D652" s="812">
        <v>99702</v>
      </c>
      <c r="E652" s="812" t="s">
        <v>2032</v>
      </c>
      <c r="F652" s="133">
        <v>0</v>
      </c>
      <c r="G652" s="133">
        <v>0</v>
      </c>
      <c r="H652" s="133">
        <v>0</v>
      </c>
      <c r="I652" s="133">
        <v>0</v>
      </c>
      <c r="J652" s="133">
        <v>0</v>
      </c>
      <c r="K652" s="133">
        <v>0</v>
      </c>
      <c r="L652" s="133">
        <v>0</v>
      </c>
      <c r="M652" s="45">
        <v>0</v>
      </c>
    </row>
    <row r="653" spans="1:13" x14ac:dyDescent="0.25">
      <c r="A653" s="812" t="s">
        <v>1999</v>
      </c>
      <c r="B653" s="812">
        <v>16</v>
      </c>
      <c r="C653" s="608">
        <v>39769</v>
      </c>
      <c r="D653" s="812">
        <v>99703</v>
      </c>
      <c r="E653" s="812" t="s">
        <v>2033</v>
      </c>
      <c r="F653" s="133">
        <v>1.7919096732073418E-2</v>
      </c>
      <c r="G653" s="133">
        <v>1.239420428823345E-2</v>
      </c>
      <c r="H653" s="133">
        <v>1.8323053928715582E-2</v>
      </c>
      <c r="I653" s="133">
        <v>5.9401954322077901E-3</v>
      </c>
      <c r="J653" s="133">
        <v>5.9401954322077901E-3</v>
      </c>
      <c r="K653" s="133">
        <v>4.9349277219935264E-4</v>
      </c>
      <c r="L653" s="133">
        <v>6.3291048870169328E-2</v>
      </c>
      <c r="M653" s="45">
        <v>242.96115849365464</v>
      </c>
    </row>
    <row r="654" spans="1:13" x14ac:dyDescent="0.25">
      <c r="A654" s="812" t="s">
        <v>1999</v>
      </c>
      <c r="B654" s="812">
        <v>16</v>
      </c>
      <c r="C654" s="608">
        <v>39769</v>
      </c>
      <c r="D654" s="812">
        <v>99705</v>
      </c>
      <c r="E654" s="812" t="s">
        <v>1599</v>
      </c>
      <c r="F654" s="133">
        <v>3.0162453768111623</v>
      </c>
      <c r="G654" s="133">
        <v>0.62444016073763475</v>
      </c>
      <c r="H654" s="133">
        <v>1.0384138791219188</v>
      </c>
      <c r="I654" s="133">
        <v>0.91270054258986244</v>
      </c>
      <c r="J654" s="133">
        <v>0.91270054258986244</v>
      </c>
      <c r="K654" s="133">
        <v>4.2733498910256899E-2</v>
      </c>
      <c r="L654" s="133">
        <v>9.8276015397113596</v>
      </c>
      <c r="M654" s="45">
        <v>12799.902791391443</v>
      </c>
    </row>
    <row r="655" spans="1:13" x14ac:dyDescent="0.25">
      <c r="A655" s="812" t="s">
        <v>1999</v>
      </c>
      <c r="B655" s="812">
        <v>16</v>
      </c>
      <c r="C655" s="608">
        <v>39769</v>
      </c>
      <c r="D655" s="812">
        <v>99709</v>
      </c>
      <c r="E655" s="812" t="s">
        <v>1600</v>
      </c>
      <c r="F655" s="133">
        <v>2.5512084611247992</v>
      </c>
      <c r="G655" s="133">
        <v>0.7183170642853256</v>
      </c>
      <c r="H655" s="133">
        <v>1.1690453960980605</v>
      </c>
      <c r="I655" s="133">
        <v>0.69800566656986973</v>
      </c>
      <c r="J655" s="133">
        <v>0.69800566656986973</v>
      </c>
      <c r="K655" s="133">
        <v>3.9333240681088372E-2</v>
      </c>
      <c r="L655" s="133">
        <v>7.2313157483582895</v>
      </c>
      <c r="M655" s="45">
        <v>14747.624870955071</v>
      </c>
    </row>
    <row r="656" spans="1:13" x14ac:dyDescent="0.25">
      <c r="A656" s="812" t="s">
        <v>1999</v>
      </c>
      <c r="B656" s="812">
        <v>16</v>
      </c>
      <c r="C656" s="608">
        <v>39769</v>
      </c>
      <c r="D656" s="812">
        <v>99712</v>
      </c>
      <c r="E656" s="812" t="s">
        <v>1601</v>
      </c>
      <c r="F656" s="133">
        <v>1.4112891387072839</v>
      </c>
      <c r="G656" s="133">
        <v>0.24801269726313474</v>
      </c>
      <c r="H656" s="133">
        <v>0.4433058353154184</v>
      </c>
      <c r="I656" s="133">
        <v>0.3849343867938273</v>
      </c>
      <c r="J656" s="133">
        <v>0.3849343867938273</v>
      </c>
      <c r="K656" s="133">
        <v>1.809925220897006E-2</v>
      </c>
      <c r="L656" s="133">
        <v>4.0145536062100593</v>
      </c>
      <c r="M656" s="45">
        <v>5167.4033947326488</v>
      </c>
    </row>
    <row r="657" spans="1:13" x14ac:dyDescent="0.25">
      <c r="A657" s="812" t="s">
        <v>1999</v>
      </c>
      <c r="B657" s="812">
        <v>16</v>
      </c>
      <c r="C657" s="608">
        <v>39769</v>
      </c>
      <c r="D657" s="812">
        <v>99714</v>
      </c>
      <c r="E657" s="812" t="s">
        <v>2034</v>
      </c>
      <c r="F657" s="133">
        <v>0</v>
      </c>
      <c r="G657" s="133">
        <v>0</v>
      </c>
      <c r="H657" s="133">
        <v>0</v>
      </c>
      <c r="I657" s="133">
        <v>0</v>
      </c>
      <c r="J657" s="133">
        <v>0</v>
      </c>
      <c r="K657" s="133">
        <v>0</v>
      </c>
      <c r="L657" s="133">
        <v>0</v>
      </c>
      <c r="M657" s="45">
        <v>0</v>
      </c>
    </row>
    <row r="658" spans="1:13" x14ac:dyDescent="0.25">
      <c r="A658" s="812" t="s">
        <v>1999</v>
      </c>
      <c r="B658" s="812">
        <v>16</v>
      </c>
      <c r="C658" s="608">
        <v>39769</v>
      </c>
      <c r="D658" s="812">
        <v>99730</v>
      </c>
      <c r="E658" s="812" t="s">
        <v>2035</v>
      </c>
      <c r="F658" s="133">
        <v>0</v>
      </c>
      <c r="G658" s="133">
        <v>0</v>
      </c>
      <c r="H658" s="133">
        <v>0</v>
      </c>
      <c r="I658" s="133">
        <v>0</v>
      </c>
      <c r="J658" s="133">
        <v>0</v>
      </c>
      <c r="K658" s="133">
        <v>0</v>
      </c>
      <c r="L658" s="133">
        <v>0</v>
      </c>
      <c r="M658" s="45">
        <v>0</v>
      </c>
    </row>
    <row r="659" spans="1:13" x14ac:dyDescent="0.25">
      <c r="A659" s="812" t="s">
        <v>1999</v>
      </c>
      <c r="B659" s="812">
        <v>16</v>
      </c>
      <c r="C659" s="608">
        <v>39769</v>
      </c>
      <c r="D659" s="812">
        <v>99737</v>
      </c>
      <c r="E659" s="812" t="s">
        <v>2036</v>
      </c>
      <c r="F659" s="133">
        <v>0</v>
      </c>
      <c r="G659" s="133">
        <v>0</v>
      </c>
      <c r="H659" s="133">
        <v>0</v>
      </c>
      <c r="I659" s="133">
        <v>0</v>
      </c>
      <c r="J659" s="133">
        <v>0</v>
      </c>
      <c r="K659" s="133">
        <v>0</v>
      </c>
      <c r="L659" s="133">
        <v>0</v>
      </c>
      <c r="M659" s="45">
        <v>0</v>
      </c>
    </row>
    <row r="660" spans="1:13" x14ac:dyDescent="0.25">
      <c r="A660" s="812" t="s">
        <v>1999</v>
      </c>
      <c r="B660" s="812">
        <v>16</v>
      </c>
      <c r="C660" s="608">
        <v>39769</v>
      </c>
      <c r="D660" s="812">
        <v>99743</v>
      </c>
      <c r="E660" s="812" t="s">
        <v>2037</v>
      </c>
      <c r="F660" s="133">
        <v>0</v>
      </c>
      <c r="G660" s="133">
        <v>0</v>
      </c>
      <c r="H660" s="133">
        <v>0</v>
      </c>
      <c r="I660" s="133">
        <v>0</v>
      </c>
      <c r="J660" s="133">
        <v>0</v>
      </c>
      <c r="K660" s="133">
        <v>0</v>
      </c>
      <c r="L660" s="133">
        <v>0</v>
      </c>
      <c r="M660" s="45">
        <v>0</v>
      </c>
    </row>
    <row r="661" spans="1:13" x14ac:dyDescent="0.25">
      <c r="A661" s="812" t="s">
        <v>1999</v>
      </c>
      <c r="B661" s="812">
        <v>16</v>
      </c>
      <c r="C661" s="608">
        <v>39769</v>
      </c>
      <c r="D661" s="812">
        <v>99744</v>
      </c>
      <c r="E661" s="812" t="s">
        <v>2038</v>
      </c>
      <c r="F661" s="133">
        <v>0</v>
      </c>
      <c r="G661" s="133">
        <v>0</v>
      </c>
      <c r="H661" s="133">
        <v>0</v>
      </c>
      <c r="I661" s="133">
        <v>0</v>
      </c>
      <c r="J661" s="133">
        <v>0</v>
      </c>
      <c r="K661" s="133">
        <v>0</v>
      </c>
      <c r="L661" s="133">
        <v>0</v>
      </c>
      <c r="M661" s="45">
        <v>0</v>
      </c>
    </row>
    <row r="662" spans="1:13" x14ac:dyDescent="0.25">
      <c r="A662" s="812" t="s">
        <v>1999</v>
      </c>
      <c r="B662" s="812">
        <v>16</v>
      </c>
      <c r="C662" s="608">
        <v>39769</v>
      </c>
      <c r="D662" s="812">
        <v>99755</v>
      </c>
      <c r="E662" s="812" t="s">
        <v>2039</v>
      </c>
      <c r="F662" s="133">
        <v>0</v>
      </c>
      <c r="G662" s="133">
        <v>0</v>
      </c>
      <c r="H662" s="133">
        <v>0</v>
      </c>
      <c r="I662" s="133">
        <v>0</v>
      </c>
      <c r="J662" s="133">
        <v>0</v>
      </c>
      <c r="K662" s="133">
        <v>0</v>
      </c>
      <c r="L662" s="133">
        <v>0</v>
      </c>
      <c r="M662" s="45">
        <v>0</v>
      </c>
    </row>
    <row r="663" spans="1:13" x14ac:dyDescent="0.25">
      <c r="A663" s="812" t="s">
        <v>1999</v>
      </c>
      <c r="B663" s="812">
        <v>16</v>
      </c>
      <c r="C663" s="608">
        <v>39769</v>
      </c>
      <c r="D663" s="812">
        <v>99756</v>
      </c>
      <c r="E663" s="812" t="s">
        <v>2040</v>
      </c>
      <c r="F663" s="133">
        <v>0</v>
      </c>
      <c r="G663" s="133">
        <v>0</v>
      </c>
      <c r="H663" s="133">
        <v>0</v>
      </c>
      <c r="I663" s="133">
        <v>0</v>
      </c>
      <c r="J663" s="133">
        <v>0</v>
      </c>
      <c r="K663" s="133">
        <v>0</v>
      </c>
      <c r="L663" s="133">
        <v>0</v>
      </c>
      <c r="M663" s="45">
        <v>0</v>
      </c>
    </row>
    <row r="664" spans="1:13" x14ac:dyDescent="0.25">
      <c r="A664" s="812" t="s">
        <v>1999</v>
      </c>
      <c r="B664" s="812">
        <v>16</v>
      </c>
      <c r="C664" s="608">
        <v>39769</v>
      </c>
      <c r="D664" s="812">
        <v>99758</v>
      </c>
      <c r="E664" s="812" t="s">
        <v>2041</v>
      </c>
      <c r="F664" s="133">
        <v>0</v>
      </c>
      <c r="G664" s="133">
        <v>0</v>
      </c>
      <c r="H664" s="133">
        <v>0</v>
      </c>
      <c r="I664" s="133">
        <v>0</v>
      </c>
      <c r="J664" s="133">
        <v>0</v>
      </c>
      <c r="K664" s="133">
        <v>0</v>
      </c>
      <c r="L664" s="133">
        <v>0</v>
      </c>
      <c r="M664" s="45">
        <v>0</v>
      </c>
    </row>
    <row r="665" spans="1:13" x14ac:dyDescent="0.25">
      <c r="A665" s="812" t="s">
        <v>1999</v>
      </c>
      <c r="B665" s="812">
        <v>16</v>
      </c>
      <c r="C665" s="608">
        <v>39769</v>
      </c>
      <c r="D665" s="812">
        <v>99760</v>
      </c>
      <c r="E665" s="812" t="s">
        <v>2042</v>
      </c>
      <c r="F665" s="133">
        <v>0</v>
      </c>
      <c r="G665" s="133">
        <v>0</v>
      </c>
      <c r="H665" s="133">
        <v>0</v>
      </c>
      <c r="I665" s="133">
        <v>0</v>
      </c>
      <c r="J665" s="133">
        <v>0</v>
      </c>
      <c r="K665" s="133">
        <v>0</v>
      </c>
      <c r="L665" s="133">
        <v>0</v>
      </c>
      <c r="M665" s="45">
        <v>0</v>
      </c>
    </row>
    <row r="666" spans="1:13" x14ac:dyDescent="0.25">
      <c r="A666" s="812" t="s">
        <v>1999</v>
      </c>
      <c r="B666" s="812">
        <v>16</v>
      </c>
      <c r="C666" s="608">
        <v>39769</v>
      </c>
      <c r="D666" s="812">
        <v>99767</v>
      </c>
      <c r="E666" s="812" t="s">
        <v>2043</v>
      </c>
      <c r="F666" s="133">
        <v>0</v>
      </c>
      <c r="G666" s="133">
        <v>0</v>
      </c>
      <c r="H666" s="133">
        <v>0</v>
      </c>
      <c r="I666" s="133">
        <v>0</v>
      </c>
      <c r="J666" s="133">
        <v>0</v>
      </c>
      <c r="K666" s="133">
        <v>0</v>
      </c>
      <c r="L666" s="133">
        <v>0</v>
      </c>
      <c r="M666" s="45">
        <v>0</v>
      </c>
    </row>
    <row r="667" spans="1:13" x14ac:dyDescent="0.25">
      <c r="A667" s="812" t="s">
        <v>1999</v>
      </c>
      <c r="B667" s="812">
        <v>16</v>
      </c>
      <c r="C667" s="608">
        <v>39769</v>
      </c>
      <c r="D667" s="812">
        <v>99774</v>
      </c>
      <c r="E667" s="812" t="s">
        <v>2044</v>
      </c>
      <c r="F667" s="133">
        <v>0</v>
      </c>
      <c r="G667" s="133">
        <v>0</v>
      </c>
      <c r="H667" s="133">
        <v>0</v>
      </c>
      <c r="I667" s="133">
        <v>0</v>
      </c>
      <c r="J667" s="133">
        <v>0</v>
      </c>
      <c r="K667" s="133">
        <v>0</v>
      </c>
      <c r="L667" s="133">
        <v>0</v>
      </c>
      <c r="M667" s="45">
        <v>0</v>
      </c>
    </row>
    <row r="668" spans="1:13" x14ac:dyDescent="0.25">
      <c r="A668" s="812" t="s">
        <v>1999</v>
      </c>
      <c r="B668" s="812">
        <v>16</v>
      </c>
      <c r="C668" s="608">
        <v>39769</v>
      </c>
      <c r="D668" s="812">
        <v>99775</v>
      </c>
      <c r="E668" s="812" t="s">
        <v>1602</v>
      </c>
      <c r="F668" s="133">
        <v>6.8186287175486584E-5</v>
      </c>
      <c r="G668" s="133">
        <v>1.5683216174492511E-3</v>
      </c>
      <c r="H668" s="133">
        <v>8.3242201558310694E-4</v>
      </c>
      <c r="I668" s="133">
        <v>5.9732775055805183E-5</v>
      </c>
      <c r="J668" s="133">
        <v>5.9732775055805183E-5</v>
      </c>
      <c r="K668" s="133">
        <v>8.0399480475501264E-5</v>
      </c>
      <c r="L668" s="133">
        <v>1.8682000411406304E-4</v>
      </c>
      <c r="M668" s="45">
        <v>26.069737795500508</v>
      </c>
    </row>
    <row r="669" spans="1:13" x14ac:dyDescent="0.25">
      <c r="A669" s="812" t="s">
        <v>1999</v>
      </c>
      <c r="B669" s="812">
        <v>16</v>
      </c>
      <c r="C669" s="608">
        <v>39769</v>
      </c>
      <c r="D669" s="812">
        <v>99790</v>
      </c>
      <c r="E669" s="812"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8"/>
  <sheetViews>
    <sheetView workbookViewId="0">
      <selection activeCell="B5" sqref="B5"/>
    </sheetView>
  </sheetViews>
  <sheetFormatPr defaultRowHeight="15" x14ac:dyDescent="0.25"/>
  <cols>
    <col min="1" max="1" width="16" customWidth="1"/>
    <col min="2" max="6" width="10.7109375" customWidth="1"/>
  </cols>
  <sheetData>
    <row r="1" spans="1:6" ht="15.75" x14ac:dyDescent="0.25">
      <c r="A1" s="831" t="s">
        <v>2046</v>
      </c>
      <c r="B1" s="831"/>
      <c r="C1" s="831"/>
      <c r="D1" s="831"/>
      <c r="E1" s="831"/>
      <c r="F1" s="831"/>
    </row>
    <row r="4" spans="1:6" ht="15.75" thickBot="1" x14ac:dyDescent="0.3">
      <c r="A4" s="85" t="s">
        <v>757</v>
      </c>
      <c r="B4" s="603" t="s">
        <v>2047</v>
      </c>
      <c r="C4" s="355" t="s">
        <v>847</v>
      </c>
      <c r="D4" s="85" t="s">
        <v>2048</v>
      </c>
      <c r="E4" s="603" t="s">
        <v>2049</v>
      </c>
      <c r="F4" s="355" t="s">
        <v>2050</v>
      </c>
    </row>
    <row r="5" spans="1:6" ht="15.75" thickTop="1" x14ac:dyDescent="0.25">
      <c r="A5" s="812" t="s">
        <v>2031</v>
      </c>
      <c r="B5" s="45">
        <v>22532</v>
      </c>
      <c r="C5" s="512">
        <v>20247</v>
      </c>
      <c r="D5" s="45">
        <v>2285</v>
      </c>
      <c r="E5" s="45">
        <v>54595</v>
      </c>
      <c r="F5" s="604">
        <v>0.63884769507462214</v>
      </c>
    </row>
    <row r="6" spans="1:6" x14ac:dyDescent="0.25">
      <c r="A6" s="812" t="s">
        <v>1599</v>
      </c>
      <c r="B6" s="45">
        <v>8265</v>
      </c>
      <c r="C6" s="512">
        <v>7531</v>
      </c>
      <c r="D6" s="45">
        <v>734</v>
      </c>
      <c r="E6" s="45">
        <v>21165</v>
      </c>
      <c r="F6" s="604">
        <v>0.23762344997318019</v>
      </c>
    </row>
    <row r="7" spans="1:6" ht="15.75" thickBot="1" x14ac:dyDescent="0.3">
      <c r="A7" s="6" t="s">
        <v>2051</v>
      </c>
      <c r="B7" s="567">
        <v>4441</v>
      </c>
      <c r="C7" s="605">
        <v>3915</v>
      </c>
      <c r="D7" s="567">
        <v>526</v>
      </c>
      <c r="E7" s="567">
        <v>9268</v>
      </c>
      <c r="F7" s="606">
        <v>0.12352885495219765</v>
      </c>
    </row>
    <row r="8" spans="1:6" ht="15.75" thickTop="1" x14ac:dyDescent="0.25">
      <c r="A8" s="810" t="s">
        <v>2052</v>
      </c>
      <c r="B8" s="87">
        <v>35238</v>
      </c>
      <c r="C8" s="607">
        <v>31693</v>
      </c>
      <c r="D8" s="87">
        <v>3545</v>
      </c>
      <c r="E8" s="87">
        <v>85028</v>
      </c>
      <c r="F8" s="604">
        <v>1</v>
      </c>
    </row>
  </sheetData>
  <mergeCells count="1">
    <mergeCell ref="A1:F1"/>
  </mergeCell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C98A3-31D9-4340-A7BC-E53DC468085B}">
  <dimension ref="A1:Q117"/>
  <sheetViews>
    <sheetView workbookViewId="0">
      <pane ySplit="3" topLeftCell="A4" activePane="bottomLeft" state="frozen"/>
      <selection pane="bottomLeft" activeCell="O11" sqref="O11"/>
    </sheetView>
  </sheetViews>
  <sheetFormatPr defaultRowHeight="15" x14ac:dyDescent="0.25"/>
  <cols>
    <col min="1" max="1" width="36.85546875" customWidth="1"/>
    <col min="2" max="2" width="13.5703125" customWidth="1"/>
    <col min="3" max="3" width="18.7109375" customWidth="1"/>
    <col min="4" max="4" width="20.42578125" customWidth="1"/>
    <col min="5" max="10" width="12.7109375" customWidth="1"/>
    <col min="16" max="17" width="12.42578125" customWidth="1"/>
  </cols>
  <sheetData>
    <row r="1" spans="1:17" ht="18.75" x14ac:dyDescent="0.3">
      <c r="A1" s="828" t="s">
        <v>2053</v>
      </c>
      <c r="B1" s="828"/>
      <c r="C1" s="828"/>
      <c r="D1" s="828"/>
      <c r="E1" s="828"/>
      <c r="F1" s="828"/>
      <c r="G1" s="828"/>
      <c r="H1" s="828"/>
      <c r="I1" s="828"/>
      <c r="J1" s="828"/>
    </row>
    <row r="3" spans="1:17" ht="60.75" customHeight="1" thickBot="1" x14ac:dyDescent="0.3">
      <c r="A3" s="49" t="s">
        <v>2054</v>
      </c>
      <c r="B3" s="49" t="s">
        <v>2055</v>
      </c>
      <c r="C3" s="49" t="s">
        <v>2056</v>
      </c>
      <c r="D3" s="49" t="s">
        <v>2057</v>
      </c>
      <c r="E3" s="10" t="s">
        <v>2058</v>
      </c>
      <c r="F3" s="10" t="s">
        <v>2059</v>
      </c>
      <c r="G3" s="10" t="s">
        <v>2060</v>
      </c>
      <c r="H3" s="10" t="s">
        <v>2061</v>
      </c>
      <c r="I3" s="10" t="s">
        <v>2062</v>
      </c>
      <c r="J3" s="10" t="s">
        <v>2063</v>
      </c>
      <c r="N3" s="10" t="s">
        <v>2064</v>
      </c>
      <c r="O3" s="10" t="s">
        <v>2065</v>
      </c>
      <c r="P3" s="10" t="s">
        <v>2066</v>
      </c>
      <c r="Q3" s="10" t="s">
        <v>2067</v>
      </c>
    </row>
    <row r="4" spans="1:17" ht="15.75" thickTop="1" x14ac:dyDescent="0.25">
      <c r="A4" t="s">
        <v>2068</v>
      </c>
      <c r="C4" t="s">
        <v>2069</v>
      </c>
      <c r="D4" t="s">
        <v>1643</v>
      </c>
      <c r="E4" s="1">
        <v>0.03</v>
      </c>
      <c r="F4" s="1">
        <v>532000</v>
      </c>
      <c r="G4" s="1">
        <v>532000</v>
      </c>
      <c r="H4" s="812">
        <v>88</v>
      </c>
      <c r="I4" s="812" t="s">
        <v>2070</v>
      </c>
      <c r="J4" s="812" t="s">
        <v>1964</v>
      </c>
      <c r="M4" s="1" t="s">
        <v>2071</v>
      </c>
      <c r="N4">
        <f>COUNTIFS($I$4:$I$117,"&gt;0")</f>
        <v>47</v>
      </c>
      <c r="P4" s="13">
        <f>AVERAGEIFS($I$4:$I$117,$I$4:$I$117,"&gt;0")</f>
        <v>3.9234042553191504</v>
      </c>
      <c r="Q4" s="13">
        <f>AVERAGEIFS($E$4:$E$117,$I$4:$I$117,"&gt;0")</f>
        <v>0.18023404255319153</v>
      </c>
    </row>
    <row r="5" spans="1:17" x14ac:dyDescent="0.25">
      <c r="A5" t="s">
        <v>2068</v>
      </c>
      <c r="C5" t="s">
        <v>2072</v>
      </c>
      <c r="D5" t="s">
        <v>1643</v>
      </c>
      <c r="E5" s="1">
        <v>0.02</v>
      </c>
      <c r="F5" s="1">
        <v>840000</v>
      </c>
      <c r="G5" s="1">
        <v>840000</v>
      </c>
      <c r="H5" s="812">
        <v>88</v>
      </c>
      <c r="I5" s="812" t="s">
        <v>2073</v>
      </c>
      <c r="J5" s="812" t="s">
        <v>1964</v>
      </c>
      <c r="M5" s="1" t="s">
        <v>2074</v>
      </c>
      <c r="N5">
        <f>COUNTIFS($I$4:$I$117,"&gt;0",$I$4:$I$117,"&lt;=2.5")</f>
        <v>18</v>
      </c>
      <c r="O5" s="658">
        <f>N5/N$4</f>
        <v>0.38297872340425532</v>
      </c>
      <c r="P5" s="13">
        <f>AVERAGEIFS($I$4:$I$117,$I$4:$I$117,"&lt;=2.5")</f>
        <v>1.4694444444444443</v>
      </c>
      <c r="Q5" s="13">
        <f>AVERAGEIFS($E$4:$E$117,$I$4:$I$117,"&lt;=2.5")</f>
        <v>8.6166666666666697E-2</v>
      </c>
    </row>
    <row r="6" spans="1:17" x14ac:dyDescent="0.25">
      <c r="A6" t="s">
        <v>2068</v>
      </c>
      <c r="C6" t="s">
        <v>2075</v>
      </c>
      <c r="D6" t="s">
        <v>1643</v>
      </c>
      <c r="E6" s="1">
        <v>0.03</v>
      </c>
      <c r="F6" s="1">
        <v>1030000</v>
      </c>
      <c r="G6" s="1">
        <v>1030000</v>
      </c>
      <c r="H6" s="812">
        <v>87</v>
      </c>
      <c r="I6" s="812" t="s">
        <v>2073</v>
      </c>
      <c r="J6" s="812" t="s">
        <v>1964</v>
      </c>
      <c r="M6" s="1" t="s">
        <v>2076</v>
      </c>
      <c r="N6">
        <f>COUNTIFS($I$4:$I$117,"&gt;2.5")</f>
        <v>29</v>
      </c>
      <c r="O6" s="658">
        <f>N6/N$4</f>
        <v>0.61702127659574468</v>
      </c>
      <c r="P6" s="13">
        <f>AVERAGEIFS($I$4:$I$117,$I$4:$I$117,"&gt;2.5")</f>
        <v>5.4465517241379322</v>
      </c>
      <c r="Q6" s="13">
        <f>AVERAGEIFS($E$4:$E$117,$I$4:$I$117,"&gt;2.5")</f>
        <v>0.23862068965517241</v>
      </c>
    </row>
    <row r="7" spans="1:17" x14ac:dyDescent="0.25">
      <c r="A7" t="s">
        <v>2068</v>
      </c>
      <c r="C7" t="s">
        <v>2077</v>
      </c>
      <c r="D7" t="s">
        <v>1643</v>
      </c>
      <c r="E7" s="1">
        <v>0.01</v>
      </c>
      <c r="F7" s="1">
        <v>1650000</v>
      </c>
      <c r="G7" s="1">
        <v>1650000</v>
      </c>
      <c r="H7" s="812">
        <v>89</v>
      </c>
      <c r="I7" s="812" t="s">
        <v>2073</v>
      </c>
      <c r="J7" s="812" t="s">
        <v>1964</v>
      </c>
      <c r="M7" s="1" t="s">
        <v>2078</v>
      </c>
      <c r="N7">
        <f>COUNTA($E$4:$E$117)</f>
        <v>114</v>
      </c>
      <c r="Q7" s="13">
        <f>AVERAGE($E$4:$E$117)</f>
        <v>9.9219298245613971E-2</v>
      </c>
    </row>
    <row r="8" spans="1:17" x14ac:dyDescent="0.25">
      <c r="A8" t="s">
        <v>2079</v>
      </c>
      <c r="B8" t="s">
        <v>2080</v>
      </c>
      <c r="C8" t="s">
        <v>2081</v>
      </c>
      <c r="D8" t="s">
        <v>2082</v>
      </c>
      <c r="E8" s="1">
        <v>0.32</v>
      </c>
      <c r="F8" s="1">
        <v>147632</v>
      </c>
      <c r="G8" s="1"/>
      <c r="H8" s="812">
        <v>53</v>
      </c>
      <c r="I8" s="812">
        <v>5.09</v>
      </c>
      <c r="J8" s="812"/>
    </row>
    <row r="9" spans="1:17" x14ac:dyDescent="0.25">
      <c r="A9" t="s">
        <v>2083</v>
      </c>
      <c r="B9" t="s">
        <v>2084</v>
      </c>
      <c r="C9">
        <v>1450</v>
      </c>
      <c r="D9" t="s">
        <v>2082</v>
      </c>
      <c r="E9" s="1">
        <v>0.18</v>
      </c>
      <c r="F9" s="1">
        <v>214000</v>
      </c>
      <c r="G9" s="1">
        <v>120529</v>
      </c>
      <c r="H9" s="812">
        <v>78</v>
      </c>
      <c r="I9" s="812">
        <v>4.7</v>
      </c>
      <c r="J9" s="812"/>
      <c r="O9" s="365" t="s">
        <v>2085</v>
      </c>
    </row>
    <row r="10" spans="1:17" x14ac:dyDescent="0.25">
      <c r="A10" t="s">
        <v>2083</v>
      </c>
      <c r="B10" t="s">
        <v>2086</v>
      </c>
      <c r="C10" t="s">
        <v>2087</v>
      </c>
      <c r="D10" t="s">
        <v>2082</v>
      </c>
      <c r="E10" s="1">
        <v>0.18</v>
      </c>
      <c r="F10" s="1">
        <v>245000</v>
      </c>
      <c r="G10" s="1">
        <v>244174</v>
      </c>
      <c r="H10" s="812">
        <v>69</v>
      </c>
      <c r="I10" s="812">
        <v>3.81</v>
      </c>
      <c r="J10" s="812"/>
      <c r="N10" s="1" t="s">
        <v>2088</v>
      </c>
      <c r="O10" s="658">
        <f>O5*Q4/Q7</f>
        <v>0.69568929383211842</v>
      </c>
    </row>
    <row r="11" spans="1:17" x14ac:dyDescent="0.25">
      <c r="A11" t="s">
        <v>2083</v>
      </c>
      <c r="B11" t="s">
        <v>2089</v>
      </c>
      <c r="C11" t="s">
        <v>2090</v>
      </c>
      <c r="D11" t="s">
        <v>1643</v>
      </c>
      <c r="E11" s="1">
        <v>0.04</v>
      </c>
      <c r="F11" s="1">
        <v>165215</v>
      </c>
      <c r="G11" s="1">
        <v>165215</v>
      </c>
      <c r="H11" s="812">
        <v>82</v>
      </c>
      <c r="I11" s="812">
        <v>0.8</v>
      </c>
      <c r="J11" s="812"/>
      <c r="N11" s="1" t="s">
        <v>2091</v>
      </c>
      <c r="O11" s="264">
        <f>1-O10</f>
        <v>0.30431070616788158</v>
      </c>
    </row>
    <row r="12" spans="1:17" x14ac:dyDescent="0.25">
      <c r="A12" t="s">
        <v>2083</v>
      </c>
      <c r="B12" t="s">
        <v>2092</v>
      </c>
      <c r="C12">
        <v>350</v>
      </c>
      <c r="D12" t="s">
        <v>2082</v>
      </c>
      <c r="E12" s="1">
        <v>0.18</v>
      </c>
      <c r="F12" s="1">
        <v>177802</v>
      </c>
      <c r="G12" s="1">
        <v>67702</v>
      </c>
      <c r="H12" s="812">
        <v>79</v>
      </c>
      <c r="I12" s="812">
        <v>3.6</v>
      </c>
      <c r="J12" s="812"/>
    </row>
    <row r="13" spans="1:17" x14ac:dyDescent="0.25">
      <c r="A13" t="s">
        <v>2083</v>
      </c>
      <c r="B13" t="s">
        <v>2092</v>
      </c>
      <c r="C13">
        <v>550</v>
      </c>
      <c r="D13" t="s">
        <v>2082</v>
      </c>
      <c r="E13" s="1">
        <v>0.31</v>
      </c>
      <c r="F13" s="1">
        <v>162170</v>
      </c>
      <c r="G13" s="1">
        <v>81168</v>
      </c>
      <c r="H13" s="812">
        <v>70</v>
      </c>
      <c r="I13" s="812">
        <v>5.2</v>
      </c>
      <c r="J13" s="812"/>
    </row>
    <row r="14" spans="1:17" x14ac:dyDescent="0.25">
      <c r="A14" t="s">
        <v>2083</v>
      </c>
      <c r="B14" t="s">
        <v>2092</v>
      </c>
      <c r="C14">
        <v>750</v>
      </c>
      <c r="D14" t="s">
        <v>2082</v>
      </c>
      <c r="E14" s="1">
        <v>0.18</v>
      </c>
      <c r="F14" s="1">
        <v>240362</v>
      </c>
      <c r="G14" s="1">
        <v>186669</v>
      </c>
      <c r="H14" s="812">
        <v>72.3</v>
      </c>
      <c r="I14" s="812">
        <v>4.5999999999999996</v>
      </c>
      <c r="J14" s="812"/>
    </row>
    <row r="15" spans="1:17" x14ac:dyDescent="0.25">
      <c r="A15" t="s">
        <v>2093</v>
      </c>
      <c r="B15" t="s">
        <v>2094</v>
      </c>
      <c r="C15" t="s">
        <v>2095</v>
      </c>
      <c r="D15" t="s">
        <v>2082</v>
      </c>
      <c r="E15" s="1">
        <v>7.0999999999999994E-2</v>
      </c>
      <c r="F15" s="1">
        <v>200000</v>
      </c>
      <c r="G15" s="1">
        <v>105050</v>
      </c>
      <c r="H15" s="812">
        <v>74</v>
      </c>
      <c r="I15" s="812">
        <v>1.69</v>
      </c>
      <c r="J15" s="812"/>
    </row>
    <row r="16" spans="1:17" x14ac:dyDescent="0.25">
      <c r="A16" t="s">
        <v>2093</v>
      </c>
      <c r="B16" t="s">
        <v>2094</v>
      </c>
      <c r="C16" t="s">
        <v>2096</v>
      </c>
      <c r="D16" t="s">
        <v>2082</v>
      </c>
      <c r="E16" s="1">
        <v>7.0000000000000007E-2</v>
      </c>
      <c r="F16" s="1">
        <v>200000</v>
      </c>
      <c r="G16" s="1">
        <v>105050</v>
      </c>
      <c r="H16" s="812">
        <v>74</v>
      </c>
      <c r="I16" s="812">
        <v>1.69</v>
      </c>
      <c r="J16" s="812"/>
    </row>
    <row r="17" spans="1:10" x14ac:dyDescent="0.25">
      <c r="A17" t="s">
        <v>2093</v>
      </c>
      <c r="B17" t="s">
        <v>2094</v>
      </c>
      <c r="C17" t="s">
        <v>2097</v>
      </c>
      <c r="D17" t="s">
        <v>2082</v>
      </c>
      <c r="E17" s="1">
        <v>0.14000000000000001</v>
      </c>
      <c r="F17" s="1">
        <v>177000</v>
      </c>
      <c r="G17" s="1">
        <v>87179</v>
      </c>
      <c r="H17" s="812">
        <v>65</v>
      </c>
      <c r="I17" s="812">
        <v>2.88</v>
      </c>
      <c r="J17" s="812"/>
    </row>
    <row r="18" spans="1:10" x14ac:dyDescent="0.25">
      <c r="A18" t="s">
        <v>2093</v>
      </c>
      <c r="B18" t="s">
        <v>2094</v>
      </c>
      <c r="C18" t="s">
        <v>2098</v>
      </c>
      <c r="D18" t="s">
        <v>2082</v>
      </c>
      <c r="E18" s="1">
        <v>0.14000000000000001</v>
      </c>
      <c r="F18" s="1">
        <v>177000</v>
      </c>
      <c r="G18" s="1">
        <v>87179</v>
      </c>
      <c r="H18" s="812">
        <v>65</v>
      </c>
      <c r="I18" s="812">
        <v>2.88</v>
      </c>
      <c r="J18" s="812"/>
    </row>
    <row r="19" spans="1:10" x14ac:dyDescent="0.25">
      <c r="A19" t="s">
        <v>2099</v>
      </c>
      <c r="B19" t="s">
        <v>2100</v>
      </c>
      <c r="C19">
        <v>400</v>
      </c>
      <c r="D19" t="s">
        <v>2082</v>
      </c>
      <c r="E19" s="1">
        <v>0.3</v>
      </c>
      <c r="F19" s="1">
        <v>70770</v>
      </c>
      <c r="G19" s="1">
        <v>45786</v>
      </c>
      <c r="H19" s="812">
        <v>47</v>
      </c>
      <c r="I19" s="812">
        <v>5.0999999999999996</v>
      </c>
      <c r="J19" s="812"/>
    </row>
    <row r="20" spans="1:10" x14ac:dyDescent="0.25">
      <c r="A20" t="s">
        <v>2101</v>
      </c>
      <c r="B20" t="s">
        <v>2102</v>
      </c>
      <c r="C20" t="s">
        <v>2103</v>
      </c>
      <c r="D20" t="s">
        <v>2082</v>
      </c>
      <c r="E20" s="1">
        <v>0.16</v>
      </c>
      <c r="F20" s="1">
        <v>171638</v>
      </c>
      <c r="G20" s="1"/>
      <c r="H20" s="812">
        <v>60</v>
      </c>
      <c r="I20" s="812" t="s">
        <v>2073</v>
      </c>
      <c r="J20" s="812" t="s">
        <v>2104</v>
      </c>
    </row>
    <row r="21" spans="1:10" x14ac:dyDescent="0.25">
      <c r="A21" t="s">
        <v>2105</v>
      </c>
      <c r="C21" t="s">
        <v>2106</v>
      </c>
      <c r="D21" t="s">
        <v>2107</v>
      </c>
      <c r="E21" s="1">
        <v>0.02</v>
      </c>
      <c r="F21" s="1">
        <v>68000</v>
      </c>
      <c r="G21" s="1">
        <v>68000</v>
      </c>
      <c r="H21" s="812">
        <v>85</v>
      </c>
      <c r="I21" s="812" t="s">
        <v>2073</v>
      </c>
      <c r="J21" s="812" t="s">
        <v>1964</v>
      </c>
    </row>
    <row r="22" spans="1:10" x14ac:dyDescent="0.25">
      <c r="A22" t="s">
        <v>2105</v>
      </c>
      <c r="C22" t="s">
        <v>2108</v>
      </c>
      <c r="D22" t="s">
        <v>2107</v>
      </c>
      <c r="E22" s="1">
        <v>0.02</v>
      </c>
      <c r="F22" s="1">
        <v>85000</v>
      </c>
      <c r="G22" s="1">
        <v>85000</v>
      </c>
      <c r="H22" s="812">
        <v>86</v>
      </c>
      <c r="I22" s="812" t="s">
        <v>2073</v>
      </c>
      <c r="J22" s="812" t="s">
        <v>1964</v>
      </c>
    </row>
    <row r="23" spans="1:10" x14ac:dyDescent="0.25">
      <c r="A23" t="s">
        <v>2105</v>
      </c>
      <c r="C23" t="s">
        <v>2109</v>
      </c>
      <c r="D23" t="s">
        <v>2107</v>
      </c>
      <c r="E23" s="1">
        <v>0.02</v>
      </c>
      <c r="F23" s="1">
        <v>120000</v>
      </c>
      <c r="G23" s="1">
        <v>120000</v>
      </c>
      <c r="H23" s="812">
        <v>85</v>
      </c>
      <c r="I23" s="812" t="s">
        <v>2073</v>
      </c>
      <c r="J23" s="812" t="s">
        <v>1964</v>
      </c>
    </row>
    <row r="24" spans="1:10" x14ac:dyDescent="0.25">
      <c r="A24" t="s">
        <v>2110</v>
      </c>
      <c r="B24" t="s">
        <v>2111</v>
      </c>
      <c r="C24" t="s">
        <v>2112</v>
      </c>
      <c r="D24" t="s">
        <v>2082</v>
      </c>
      <c r="E24" s="1">
        <v>0.2</v>
      </c>
      <c r="F24" s="1">
        <v>350367</v>
      </c>
      <c r="G24" s="1"/>
      <c r="H24" s="812">
        <v>61</v>
      </c>
      <c r="I24" s="812">
        <v>7.55</v>
      </c>
      <c r="J24" s="812"/>
    </row>
    <row r="25" spans="1:10" x14ac:dyDescent="0.25">
      <c r="A25" t="s">
        <v>2113</v>
      </c>
      <c r="C25" t="s">
        <v>2114</v>
      </c>
      <c r="D25" t="s">
        <v>1643</v>
      </c>
      <c r="E25" s="1">
        <v>0.01</v>
      </c>
      <c r="F25" s="1">
        <v>47800</v>
      </c>
      <c r="G25" s="1">
        <v>47800</v>
      </c>
      <c r="H25" s="812">
        <v>88</v>
      </c>
      <c r="I25" s="812" t="s">
        <v>2073</v>
      </c>
      <c r="J25" s="812" t="s">
        <v>1964</v>
      </c>
    </row>
    <row r="26" spans="1:10" x14ac:dyDescent="0.25">
      <c r="A26" t="s">
        <v>2113</v>
      </c>
      <c r="C26" t="s">
        <v>2115</v>
      </c>
      <c r="D26" t="s">
        <v>1643</v>
      </c>
      <c r="E26" s="1">
        <v>0.02</v>
      </c>
      <c r="F26" s="1">
        <v>94200</v>
      </c>
      <c r="G26" s="1">
        <v>94200</v>
      </c>
      <c r="H26" s="812">
        <v>85</v>
      </c>
      <c r="I26" s="812" t="s">
        <v>2073</v>
      </c>
      <c r="J26" s="812" t="s">
        <v>1964</v>
      </c>
    </row>
    <row r="27" spans="1:10" x14ac:dyDescent="0.25">
      <c r="A27" t="s">
        <v>2113</v>
      </c>
      <c r="C27" t="s">
        <v>2116</v>
      </c>
      <c r="D27" t="s">
        <v>1643</v>
      </c>
      <c r="E27" s="1">
        <v>0.01</v>
      </c>
      <c r="F27" s="1">
        <v>163000</v>
      </c>
      <c r="G27" s="1">
        <v>163000</v>
      </c>
      <c r="H27" s="812">
        <v>90</v>
      </c>
      <c r="I27" s="812" t="s">
        <v>2073</v>
      </c>
      <c r="J27" s="812" t="s">
        <v>1964</v>
      </c>
    </row>
    <row r="28" spans="1:10" x14ac:dyDescent="0.25">
      <c r="A28" t="s">
        <v>2113</v>
      </c>
      <c r="C28" t="s">
        <v>2117</v>
      </c>
      <c r="D28" t="s">
        <v>1643</v>
      </c>
      <c r="E28" s="1">
        <v>0.02</v>
      </c>
      <c r="F28" s="1">
        <v>360000</v>
      </c>
      <c r="G28" s="1">
        <v>360000</v>
      </c>
      <c r="H28" s="812">
        <v>88</v>
      </c>
      <c r="I28" s="812" t="s">
        <v>2073</v>
      </c>
      <c r="J28" s="812" t="s">
        <v>1964</v>
      </c>
    </row>
    <row r="29" spans="1:10" x14ac:dyDescent="0.25">
      <c r="A29" t="s">
        <v>2113</v>
      </c>
      <c r="C29" t="s">
        <v>2118</v>
      </c>
      <c r="D29" t="s">
        <v>1643</v>
      </c>
      <c r="E29" s="1">
        <v>0.02</v>
      </c>
      <c r="F29" s="1">
        <v>699000</v>
      </c>
      <c r="G29" s="1">
        <v>699000</v>
      </c>
      <c r="H29" s="812">
        <v>86</v>
      </c>
      <c r="I29" s="812" t="s">
        <v>2073</v>
      </c>
      <c r="J29" s="812" t="s">
        <v>1964</v>
      </c>
    </row>
    <row r="30" spans="1:10" x14ac:dyDescent="0.25">
      <c r="A30" t="s">
        <v>2119</v>
      </c>
      <c r="C30" t="s">
        <v>2120</v>
      </c>
      <c r="D30" t="s">
        <v>1643</v>
      </c>
      <c r="E30" s="1">
        <v>0.04</v>
      </c>
      <c r="F30" s="1">
        <v>35800</v>
      </c>
      <c r="G30" s="1">
        <v>35800</v>
      </c>
      <c r="H30" s="812">
        <v>88</v>
      </c>
      <c r="I30" s="812" t="s">
        <v>2073</v>
      </c>
      <c r="J30" s="812" t="s">
        <v>1964</v>
      </c>
    </row>
    <row r="31" spans="1:10" x14ac:dyDescent="0.25">
      <c r="A31" t="s">
        <v>2119</v>
      </c>
      <c r="C31" t="s">
        <v>2121</v>
      </c>
      <c r="D31" t="s">
        <v>1643</v>
      </c>
      <c r="E31" s="1">
        <v>0.03</v>
      </c>
      <c r="F31" s="1">
        <v>50800</v>
      </c>
      <c r="G31" s="1">
        <v>50800</v>
      </c>
      <c r="H31" s="812">
        <v>87</v>
      </c>
      <c r="I31" s="812" t="s">
        <v>2073</v>
      </c>
      <c r="J31" s="812" t="s">
        <v>1964</v>
      </c>
    </row>
    <row r="32" spans="1:10" x14ac:dyDescent="0.25">
      <c r="A32" t="s">
        <v>2119</v>
      </c>
      <c r="C32" t="s">
        <v>2122</v>
      </c>
      <c r="D32" t="s">
        <v>1643</v>
      </c>
      <c r="E32" s="1">
        <v>0.03</v>
      </c>
      <c r="F32" s="1">
        <v>68200</v>
      </c>
      <c r="G32" s="1">
        <v>68200</v>
      </c>
      <c r="H32" s="812">
        <v>87</v>
      </c>
      <c r="I32" s="812" t="s">
        <v>2073</v>
      </c>
      <c r="J32" s="812" t="s">
        <v>1964</v>
      </c>
    </row>
    <row r="33" spans="1:10" x14ac:dyDescent="0.25">
      <c r="A33" t="s">
        <v>2119</v>
      </c>
      <c r="C33" t="s">
        <v>2123</v>
      </c>
      <c r="D33" t="s">
        <v>1643</v>
      </c>
      <c r="E33" s="1">
        <v>0.03</v>
      </c>
      <c r="F33" s="1">
        <v>85300</v>
      </c>
      <c r="G33" s="1">
        <v>85300</v>
      </c>
      <c r="H33" s="812">
        <v>87</v>
      </c>
      <c r="I33" s="812" t="s">
        <v>2073</v>
      </c>
      <c r="J33" s="812" t="s">
        <v>1964</v>
      </c>
    </row>
    <row r="34" spans="1:10" x14ac:dyDescent="0.25">
      <c r="A34" t="s">
        <v>2119</v>
      </c>
      <c r="C34" t="s">
        <v>2124</v>
      </c>
      <c r="D34" t="s">
        <v>1643</v>
      </c>
      <c r="E34" s="1">
        <v>0.03</v>
      </c>
      <c r="F34" s="1">
        <v>109000</v>
      </c>
      <c r="G34" s="1">
        <v>109000</v>
      </c>
      <c r="H34" s="812">
        <v>87</v>
      </c>
      <c r="I34" s="812" t="s">
        <v>2073</v>
      </c>
      <c r="J34" s="812" t="s">
        <v>1964</v>
      </c>
    </row>
    <row r="35" spans="1:10" x14ac:dyDescent="0.25">
      <c r="A35" t="s">
        <v>2119</v>
      </c>
      <c r="C35" t="s">
        <v>2125</v>
      </c>
      <c r="D35" t="s">
        <v>1643</v>
      </c>
      <c r="E35" s="1">
        <v>0.02</v>
      </c>
      <c r="F35" s="1">
        <v>130000</v>
      </c>
      <c r="G35" s="1">
        <v>130000</v>
      </c>
      <c r="H35" s="812">
        <v>86</v>
      </c>
      <c r="I35" s="812" t="s">
        <v>2073</v>
      </c>
      <c r="J35" s="812" t="s">
        <v>1964</v>
      </c>
    </row>
    <row r="36" spans="1:10" x14ac:dyDescent="0.25">
      <c r="A36" t="s">
        <v>2119</v>
      </c>
      <c r="C36" t="s">
        <v>2126</v>
      </c>
      <c r="D36" t="s">
        <v>1643</v>
      </c>
      <c r="E36" s="1">
        <v>0.03</v>
      </c>
      <c r="F36" s="1">
        <v>164000</v>
      </c>
      <c r="G36" s="1">
        <v>164000</v>
      </c>
      <c r="H36" s="812">
        <v>86</v>
      </c>
      <c r="I36" s="812" t="s">
        <v>2073</v>
      </c>
      <c r="J36" s="812" t="s">
        <v>1964</v>
      </c>
    </row>
    <row r="37" spans="1:10" x14ac:dyDescent="0.25">
      <c r="A37" t="s">
        <v>2119</v>
      </c>
      <c r="C37" t="s">
        <v>2127</v>
      </c>
      <c r="D37" t="s">
        <v>1643</v>
      </c>
      <c r="E37" s="1">
        <v>0.03</v>
      </c>
      <c r="F37" s="1">
        <v>200000</v>
      </c>
      <c r="G37" s="1">
        <v>200000</v>
      </c>
      <c r="H37" s="812">
        <v>86</v>
      </c>
      <c r="I37" s="812" t="s">
        <v>2073</v>
      </c>
      <c r="J37" s="812" t="s">
        <v>1964</v>
      </c>
    </row>
    <row r="38" spans="1:10" x14ac:dyDescent="0.25">
      <c r="A38" t="s">
        <v>2119</v>
      </c>
      <c r="C38" t="s">
        <v>2128</v>
      </c>
      <c r="D38" t="s">
        <v>1643</v>
      </c>
      <c r="E38" s="1">
        <v>0.03</v>
      </c>
      <c r="F38" s="1">
        <v>273000</v>
      </c>
      <c r="G38" s="1">
        <v>273000</v>
      </c>
      <c r="H38" s="812">
        <v>87</v>
      </c>
      <c r="I38" s="812" t="s">
        <v>2073</v>
      </c>
      <c r="J38" s="812" t="s">
        <v>1964</v>
      </c>
    </row>
    <row r="39" spans="1:10" x14ac:dyDescent="0.25">
      <c r="A39" t="s">
        <v>2119</v>
      </c>
      <c r="C39" t="s">
        <v>2129</v>
      </c>
      <c r="D39" t="s">
        <v>1643</v>
      </c>
      <c r="E39" s="1">
        <v>0.03</v>
      </c>
      <c r="F39" s="1">
        <v>341000</v>
      </c>
      <c r="G39" s="1">
        <v>341000</v>
      </c>
      <c r="H39" s="812">
        <v>88</v>
      </c>
      <c r="I39" s="812" t="s">
        <v>2073</v>
      </c>
      <c r="J39" s="812" t="s">
        <v>1964</v>
      </c>
    </row>
    <row r="40" spans="1:10" x14ac:dyDescent="0.25">
      <c r="A40" t="s">
        <v>2119</v>
      </c>
      <c r="C40" t="s">
        <v>2130</v>
      </c>
      <c r="D40" t="s">
        <v>1643</v>
      </c>
      <c r="E40" s="1">
        <v>0.02</v>
      </c>
      <c r="F40" s="1">
        <v>444000</v>
      </c>
      <c r="G40" s="1">
        <v>444000</v>
      </c>
      <c r="H40" s="812">
        <v>85</v>
      </c>
      <c r="I40" s="812" t="s">
        <v>2073</v>
      </c>
      <c r="J40" s="812" t="s">
        <v>1964</v>
      </c>
    </row>
    <row r="41" spans="1:10" x14ac:dyDescent="0.25">
      <c r="A41" t="s">
        <v>2119</v>
      </c>
      <c r="C41" t="s">
        <v>2131</v>
      </c>
      <c r="D41" t="s">
        <v>2082</v>
      </c>
      <c r="E41" s="1">
        <v>0.12</v>
      </c>
      <c r="F41" s="1">
        <v>83097</v>
      </c>
      <c r="G41" s="1">
        <v>83097</v>
      </c>
      <c r="H41" s="812">
        <v>73</v>
      </c>
      <c r="I41" s="812" t="s">
        <v>2073</v>
      </c>
      <c r="J41" s="812" t="s">
        <v>1964</v>
      </c>
    </row>
    <row r="42" spans="1:10" x14ac:dyDescent="0.25">
      <c r="A42" t="s">
        <v>2119</v>
      </c>
      <c r="C42" t="s">
        <v>2132</v>
      </c>
      <c r="D42" t="s">
        <v>1643</v>
      </c>
      <c r="E42" s="1">
        <v>0.02</v>
      </c>
      <c r="F42" s="1">
        <v>512000</v>
      </c>
      <c r="G42" s="1">
        <v>512000</v>
      </c>
      <c r="H42" s="812">
        <v>85</v>
      </c>
      <c r="I42" s="812" t="s">
        <v>2073</v>
      </c>
      <c r="J42" s="812" t="s">
        <v>1964</v>
      </c>
    </row>
    <row r="43" spans="1:10" x14ac:dyDescent="0.25">
      <c r="A43" t="s">
        <v>2133</v>
      </c>
      <c r="B43" t="s">
        <v>2134</v>
      </c>
      <c r="C43" t="s">
        <v>2135</v>
      </c>
      <c r="D43" t="s">
        <v>2082</v>
      </c>
      <c r="E43" s="1">
        <v>0.24</v>
      </c>
      <c r="F43" s="1">
        <v>296192</v>
      </c>
      <c r="G43" s="1">
        <v>116597</v>
      </c>
      <c r="H43" s="812">
        <v>61</v>
      </c>
      <c r="I43" s="812">
        <v>8</v>
      </c>
      <c r="J43" s="812"/>
    </row>
    <row r="44" spans="1:10" x14ac:dyDescent="0.25">
      <c r="A44" t="s">
        <v>2133</v>
      </c>
      <c r="B44" t="s">
        <v>2134</v>
      </c>
      <c r="C44" t="s">
        <v>2136</v>
      </c>
      <c r="D44" t="s">
        <v>2082</v>
      </c>
      <c r="E44" s="1">
        <v>0.13</v>
      </c>
      <c r="F44" s="1">
        <v>184508</v>
      </c>
      <c r="G44" s="1">
        <v>184508</v>
      </c>
      <c r="H44" s="812">
        <v>60</v>
      </c>
      <c r="I44" s="812">
        <v>2.46</v>
      </c>
      <c r="J44" s="812"/>
    </row>
    <row r="45" spans="1:10" x14ac:dyDescent="0.25">
      <c r="A45" t="s">
        <v>2133</v>
      </c>
      <c r="B45" t="s">
        <v>2134</v>
      </c>
      <c r="C45" t="s">
        <v>2137</v>
      </c>
      <c r="D45" t="s">
        <v>2082</v>
      </c>
      <c r="E45" s="1">
        <v>0.28999999999999998</v>
      </c>
      <c r="F45" s="1">
        <v>189599</v>
      </c>
      <c r="G45" s="1">
        <v>60612</v>
      </c>
      <c r="H45" s="812">
        <v>54</v>
      </c>
      <c r="I45" s="812">
        <v>6.2</v>
      </c>
      <c r="J45" s="812"/>
    </row>
    <row r="46" spans="1:10" x14ac:dyDescent="0.25">
      <c r="A46" t="s">
        <v>2138</v>
      </c>
      <c r="B46" t="s">
        <v>2139</v>
      </c>
      <c r="C46">
        <v>125</v>
      </c>
      <c r="D46" t="s">
        <v>2082</v>
      </c>
      <c r="E46" s="1">
        <v>0.3</v>
      </c>
      <c r="F46" s="1">
        <v>119457</v>
      </c>
      <c r="G46" s="1">
        <v>60261</v>
      </c>
      <c r="H46" s="812">
        <v>61</v>
      </c>
      <c r="I46" s="812">
        <v>4.0999999999999996</v>
      </c>
      <c r="J46" s="812"/>
    </row>
    <row r="47" spans="1:10" x14ac:dyDescent="0.25">
      <c r="A47" t="s">
        <v>2138</v>
      </c>
      <c r="B47" t="s">
        <v>2139</v>
      </c>
      <c r="C47">
        <v>165</v>
      </c>
      <c r="D47" t="s">
        <v>2082</v>
      </c>
      <c r="E47" s="1">
        <v>0.31</v>
      </c>
      <c r="F47" s="1">
        <v>150000</v>
      </c>
      <c r="G47" s="1">
        <v>73573</v>
      </c>
      <c r="H47" s="812">
        <v>57</v>
      </c>
      <c r="I47" s="812">
        <v>3.9</v>
      </c>
      <c r="J47" s="812"/>
    </row>
    <row r="48" spans="1:10" x14ac:dyDescent="0.25">
      <c r="A48" t="s">
        <v>2140</v>
      </c>
      <c r="B48" t="s">
        <v>2141</v>
      </c>
      <c r="C48" t="s">
        <v>2142</v>
      </c>
      <c r="D48" t="s">
        <v>2082</v>
      </c>
      <c r="E48" s="1">
        <v>0.14000000000000001</v>
      </c>
      <c r="F48" s="1">
        <v>144870</v>
      </c>
      <c r="G48" s="1">
        <v>76887</v>
      </c>
      <c r="H48" s="812">
        <v>64</v>
      </c>
      <c r="I48" s="812">
        <v>2.2000000000000002</v>
      </c>
      <c r="J48" s="812"/>
    </row>
    <row r="49" spans="1:10" x14ac:dyDescent="0.25">
      <c r="A49" t="s">
        <v>2140</v>
      </c>
      <c r="B49" t="s">
        <v>2141</v>
      </c>
      <c r="C49" t="s">
        <v>2143</v>
      </c>
      <c r="D49" t="s">
        <v>2082</v>
      </c>
      <c r="E49" s="1">
        <v>0.18</v>
      </c>
      <c r="F49" s="1">
        <v>176116</v>
      </c>
      <c r="G49" s="1">
        <v>73234</v>
      </c>
      <c r="H49" s="812">
        <v>70</v>
      </c>
      <c r="I49" s="812">
        <v>3.7</v>
      </c>
      <c r="J49" s="812"/>
    </row>
    <row r="50" spans="1:10" x14ac:dyDescent="0.25">
      <c r="A50" t="s">
        <v>2140</v>
      </c>
      <c r="B50" t="s">
        <v>2141</v>
      </c>
      <c r="C50" t="s">
        <v>2144</v>
      </c>
      <c r="D50" t="s">
        <v>2082</v>
      </c>
      <c r="E50" s="1">
        <v>0.17</v>
      </c>
      <c r="F50" s="1">
        <v>242090</v>
      </c>
      <c r="G50" s="1">
        <v>104865</v>
      </c>
      <c r="H50" s="812">
        <v>67</v>
      </c>
      <c r="I50" s="812">
        <v>4.9000000000000004</v>
      </c>
      <c r="J50" s="812"/>
    </row>
    <row r="51" spans="1:10" x14ac:dyDescent="0.25">
      <c r="A51" t="s">
        <v>2145</v>
      </c>
      <c r="C51" t="s">
        <v>2146</v>
      </c>
      <c r="D51" t="s">
        <v>2082</v>
      </c>
      <c r="E51" s="1">
        <v>0.28000000000000003</v>
      </c>
      <c r="F51" s="1">
        <v>400000</v>
      </c>
      <c r="G51" s="1">
        <v>160599</v>
      </c>
      <c r="H51" s="812">
        <v>76</v>
      </c>
      <c r="I51" s="812">
        <v>10.7</v>
      </c>
      <c r="J51" s="812"/>
    </row>
    <row r="52" spans="1:10" x14ac:dyDescent="0.25">
      <c r="A52" t="s">
        <v>2145</v>
      </c>
      <c r="B52" t="s">
        <v>2147</v>
      </c>
      <c r="C52" t="s">
        <v>2148</v>
      </c>
      <c r="D52" t="s">
        <v>2082</v>
      </c>
      <c r="E52" s="1">
        <v>0.3</v>
      </c>
      <c r="F52" s="1">
        <v>184459</v>
      </c>
      <c r="G52" s="1">
        <v>54019</v>
      </c>
      <c r="H52" s="812">
        <v>62</v>
      </c>
      <c r="I52" s="812">
        <v>8.1</v>
      </c>
      <c r="J52" s="812"/>
    </row>
    <row r="53" spans="1:10" x14ac:dyDescent="0.25">
      <c r="A53" t="s">
        <v>2145</v>
      </c>
      <c r="C53" t="s">
        <v>2149</v>
      </c>
      <c r="D53" t="s">
        <v>2082</v>
      </c>
      <c r="E53" s="1">
        <v>0.31</v>
      </c>
      <c r="F53" s="1">
        <v>255582</v>
      </c>
      <c r="G53" s="1">
        <v>89753</v>
      </c>
      <c r="H53" s="812">
        <v>58</v>
      </c>
      <c r="I53" s="812">
        <v>9.1999999999999993</v>
      </c>
      <c r="J53" s="812"/>
    </row>
    <row r="54" spans="1:10" x14ac:dyDescent="0.25">
      <c r="A54" t="s">
        <v>2150</v>
      </c>
      <c r="B54" t="s">
        <v>2151</v>
      </c>
      <c r="C54" t="s">
        <v>2151</v>
      </c>
      <c r="D54" t="s">
        <v>2082</v>
      </c>
      <c r="E54" s="1">
        <v>0.32</v>
      </c>
      <c r="F54" s="1">
        <v>180000</v>
      </c>
      <c r="G54" s="1">
        <v>162793</v>
      </c>
      <c r="H54" s="812">
        <v>69</v>
      </c>
      <c r="I54" s="812" t="s">
        <v>2073</v>
      </c>
      <c r="J54" s="812"/>
    </row>
    <row r="55" spans="1:10" x14ac:dyDescent="0.25">
      <c r="A55" t="s">
        <v>2152</v>
      </c>
      <c r="C55" t="s">
        <v>2153</v>
      </c>
      <c r="D55" t="s">
        <v>1643</v>
      </c>
      <c r="E55" s="1">
        <v>0.04</v>
      </c>
      <c r="F55" s="1">
        <v>142000</v>
      </c>
      <c r="G55" s="1">
        <v>142000</v>
      </c>
      <c r="H55" s="812">
        <v>86</v>
      </c>
      <c r="I55" s="812" t="s">
        <v>2073</v>
      </c>
      <c r="J55" s="812" t="s">
        <v>1964</v>
      </c>
    </row>
    <row r="56" spans="1:10" x14ac:dyDescent="0.25">
      <c r="A56" t="s">
        <v>2154</v>
      </c>
      <c r="B56" t="s">
        <v>2155</v>
      </c>
      <c r="C56" t="s">
        <v>2156</v>
      </c>
      <c r="D56" t="s">
        <v>2082</v>
      </c>
      <c r="E56" s="1">
        <v>0.32</v>
      </c>
      <c r="F56" s="1">
        <v>115000</v>
      </c>
      <c r="G56" s="1"/>
      <c r="H56" s="812">
        <v>60</v>
      </c>
      <c r="I56" s="812" t="s">
        <v>2073</v>
      </c>
      <c r="J56" s="812" t="s">
        <v>2104</v>
      </c>
    </row>
    <row r="57" spans="1:10" x14ac:dyDescent="0.25">
      <c r="A57" t="s">
        <v>2157</v>
      </c>
      <c r="B57" t="s">
        <v>2158</v>
      </c>
      <c r="C57" t="s">
        <v>2159</v>
      </c>
      <c r="D57" t="s">
        <v>2082</v>
      </c>
      <c r="E57" s="1">
        <v>0.18</v>
      </c>
      <c r="F57" s="1">
        <v>110000</v>
      </c>
      <c r="G57" s="1">
        <v>82594</v>
      </c>
      <c r="H57" s="812">
        <v>54</v>
      </c>
      <c r="I57" s="812">
        <v>2.4</v>
      </c>
      <c r="J57" s="812"/>
    </row>
    <row r="58" spans="1:10" x14ac:dyDescent="0.25">
      <c r="A58" t="s">
        <v>2160</v>
      </c>
      <c r="C58" t="s">
        <v>2161</v>
      </c>
      <c r="D58" t="s">
        <v>2107</v>
      </c>
      <c r="E58" s="1">
        <v>2.3E-2</v>
      </c>
      <c r="F58" s="1">
        <v>57000</v>
      </c>
      <c r="G58" s="1">
        <v>57000</v>
      </c>
      <c r="H58" s="812">
        <v>86</v>
      </c>
      <c r="I58" s="812" t="s">
        <v>2073</v>
      </c>
      <c r="J58" s="812" t="s">
        <v>2104</v>
      </c>
    </row>
    <row r="59" spans="1:10" x14ac:dyDescent="0.25">
      <c r="A59" t="s">
        <v>2160</v>
      </c>
      <c r="C59" t="s">
        <v>2162</v>
      </c>
      <c r="D59" t="s">
        <v>2107</v>
      </c>
      <c r="E59" s="1">
        <v>1.9E-2</v>
      </c>
      <c r="F59" s="1">
        <v>109000</v>
      </c>
      <c r="G59" s="1">
        <v>109000</v>
      </c>
      <c r="H59" s="812">
        <v>85</v>
      </c>
      <c r="I59" s="812" t="s">
        <v>2073</v>
      </c>
      <c r="J59" s="812" t="s">
        <v>2104</v>
      </c>
    </row>
    <row r="60" spans="1:10" x14ac:dyDescent="0.25">
      <c r="A60" t="s">
        <v>2160</v>
      </c>
      <c r="C60" t="s">
        <v>2163</v>
      </c>
      <c r="D60" t="s">
        <v>2107</v>
      </c>
      <c r="E60" s="1">
        <v>2.1000000000000001E-2</v>
      </c>
      <c r="F60" s="1">
        <v>229000</v>
      </c>
      <c r="G60" s="1">
        <v>229000</v>
      </c>
      <c r="H60" s="812">
        <v>87</v>
      </c>
      <c r="I60" s="812" t="s">
        <v>2073</v>
      </c>
      <c r="J60" s="812" t="s">
        <v>2104</v>
      </c>
    </row>
    <row r="61" spans="1:10" x14ac:dyDescent="0.25">
      <c r="A61" t="s">
        <v>2160</v>
      </c>
      <c r="B61" t="s">
        <v>2164</v>
      </c>
      <c r="C61" t="s">
        <v>2165</v>
      </c>
      <c r="D61" t="s">
        <v>2107</v>
      </c>
      <c r="E61" s="1">
        <v>7.0000000000000007E-2</v>
      </c>
      <c r="F61" s="1">
        <v>67694</v>
      </c>
      <c r="G61" s="1"/>
      <c r="H61" s="812">
        <v>75</v>
      </c>
      <c r="I61" s="812">
        <v>0.7</v>
      </c>
      <c r="J61" s="812"/>
    </row>
    <row r="62" spans="1:10" x14ac:dyDescent="0.25">
      <c r="A62" t="s">
        <v>2160</v>
      </c>
      <c r="B62" t="s">
        <v>2166</v>
      </c>
      <c r="C62" t="s">
        <v>2167</v>
      </c>
      <c r="D62" t="s">
        <v>2107</v>
      </c>
      <c r="E62" s="1">
        <v>0.06</v>
      </c>
      <c r="F62" s="1">
        <v>99797</v>
      </c>
      <c r="G62" s="1"/>
      <c r="H62" s="812">
        <v>81</v>
      </c>
      <c r="I62" s="812">
        <v>0.8</v>
      </c>
      <c r="J62" s="812"/>
    </row>
    <row r="63" spans="1:10" x14ac:dyDescent="0.25">
      <c r="A63" t="s">
        <v>2160</v>
      </c>
      <c r="B63" t="s">
        <v>2164</v>
      </c>
      <c r="C63" t="s">
        <v>2168</v>
      </c>
      <c r="D63" t="s">
        <v>2107</v>
      </c>
      <c r="E63" s="1">
        <v>7.0000000000000007E-2</v>
      </c>
      <c r="F63" s="1">
        <v>199408</v>
      </c>
      <c r="G63" s="1"/>
      <c r="H63" s="812">
        <v>86</v>
      </c>
      <c r="I63" s="812">
        <v>1.7</v>
      </c>
      <c r="J63" s="812"/>
    </row>
    <row r="64" spans="1:10" x14ac:dyDescent="0.25">
      <c r="A64" t="s">
        <v>2160</v>
      </c>
      <c r="B64" t="s">
        <v>2169</v>
      </c>
      <c r="C64" t="s">
        <v>2170</v>
      </c>
      <c r="D64" t="s">
        <v>2107</v>
      </c>
      <c r="E64" s="1">
        <v>0.1</v>
      </c>
      <c r="F64" s="1">
        <v>68000</v>
      </c>
      <c r="G64" s="1"/>
      <c r="H64" s="812">
        <v>75</v>
      </c>
      <c r="I64" s="812" t="s">
        <v>2073</v>
      </c>
      <c r="J64" s="812"/>
    </row>
    <row r="65" spans="1:10" x14ac:dyDescent="0.25">
      <c r="A65" t="s">
        <v>2171</v>
      </c>
      <c r="B65" t="s">
        <v>2172</v>
      </c>
      <c r="C65" t="s">
        <v>2173</v>
      </c>
      <c r="D65" t="s">
        <v>2082</v>
      </c>
      <c r="E65" s="1">
        <v>0.26</v>
      </c>
      <c r="F65" s="1">
        <v>139576</v>
      </c>
      <c r="G65" s="1">
        <v>65336</v>
      </c>
      <c r="H65" s="812">
        <v>39</v>
      </c>
      <c r="I65" s="812">
        <v>3.75</v>
      </c>
      <c r="J65" s="812"/>
    </row>
    <row r="66" spans="1:10" x14ac:dyDescent="0.25">
      <c r="A66" t="s">
        <v>2174</v>
      </c>
      <c r="B66" t="s">
        <v>2175</v>
      </c>
      <c r="C66" t="s">
        <v>2176</v>
      </c>
      <c r="D66" t="s">
        <v>2082</v>
      </c>
      <c r="E66" s="1">
        <v>0.22</v>
      </c>
      <c r="F66" s="1">
        <v>250000</v>
      </c>
      <c r="G66" s="1">
        <v>100959</v>
      </c>
      <c r="H66" s="812">
        <v>73</v>
      </c>
      <c r="I66" s="812">
        <v>5.7</v>
      </c>
      <c r="J66" s="812"/>
    </row>
    <row r="67" spans="1:10" x14ac:dyDescent="0.25">
      <c r="A67" t="s">
        <v>2177</v>
      </c>
      <c r="B67" t="s">
        <v>2178</v>
      </c>
      <c r="C67" t="s">
        <v>2179</v>
      </c>
      <c r="D67" t="s">
        <v>2107</v>
      </c>
      <c r="E67" s="1">
        <v>0.08</v>
      </c>
      <c r="F67" s="1">
        <v>60000</v>
      </c>
      <c r="G67" s="1"/>
      <c r="H67" s="812">
        <v>70</v>
      </c>
      <c r="I67" s="812">
        <v>0.68</v>
      </c>
      <c r="J67" s="812"/>
    </row>
    <row r="68" spans="1:10" x14ac:dyDescent="0.25">
      <c r="A68" t="s">
        <v>2177</v>
      </c>
      <c r="B68" t="s">
        <v>2178</v>
      </c>
      <c r="C68" t="s">
        <v>2180</v>
      </c>
      <c r="D68" t="s">
        <v>2107</v>
      </c>
      <c r="E68" s="1">
        <v>7.0000000000000007E-2</v>
      </c>
      <c r="F68" s="1">
        <v>87379</v>
      </c>
      <c r="G68" s="1"/>
      <c r="H68" s="812">
        <v>73</v>
      </c>
      <c r="I68" s="812">
        <v>0.87</v>
      </c>
      <c r="J68" s="812"/>
    </row>
    <row r="69" spans="1:10" x14ac:dyDescent="0.25">
      <c r="A69" t="s">
        <v>2177</v>
      </c>
      <c r="B69" t="s">
        <v>2178</v>
      </c>
      <c r="C69" t="s">
        <v>2181</v>
      </c>
      <c r="D69" t="s">
        <v>2107</v>
      </c>
      <c r="E69" s="1">
        <v>0.08</v>
      </c>
      <c r="F69" s="1">
        <v>162000</v>
      </c>
      <c r="G69" s="1"/>
      <c r="H69" s="812">
        <v>79</v>
      </c>
      <c r="I69" s="812">
        <v>1.76</v>
      </c>
      <c r="J69" s="812"/>
    </row>
    <row r="70" spans="1:10" x14ac:dyDescent="0.25">
      <c r="A70" t="s">
        <v>2182</v>
      </c>
      <c r="B70" t="s">
        <v>2178</v>
      </c>
      <c r="C70" t="s">
        <v>2183</v>
      </c>
      <c r="D70" t="s">
        <v>2107</v>
      </c>
      <c r="E70" s="1">
        <v>0.03</v>
      </c>
      <c r="F70" s="1">
        <v>58000</v>
      </c>
      <c r="G70" s="1">
        <v>58000</v>
      </c>
      <c r="H70" s="812">
        <v>85</v>
      </c>
      <c r="I70" s="812" t="s">
        <v>2073</v>
      </c>
      <c r="J70" s="812" t="s">
        <v>2104</v>
      </c>
    </row>
    <row r="71" spans="1:10" x14ac:dyDescent="0.25">
      <c r="A71" t="s">
        <v>2182</v>
      </c>
      <c r="B71" t="s">
        <v>2178</v>
      </c>
      <c r="C71" t="s">
        <v>2180</v>
      </c>
      <c r="D71" t="s">
        <v>2107</v>
      </c>
      <c r="E71" s="1">
        <v>3.6999999999999998E-2</v>
      </c>
      <c r="F71" s="1">
        <v>86000</v>
      </c>
      <c r="G71" s="1">
        <v>86000</v>
      </c>
      <c r="H71" s="812">
        <v>85</v>
      </c>
      <c r="I71" s="812" t="s">
        <v>2073</v>
      </c>
      <c r="J71" s="812" t="s">
        <v>2104</v>
      </c>
    </row>
    <row r="72" spans="1:10" x14ac:dyDescent="0.25">
      <c r="A72" t="s">
        <v>2182</v>
      </c>
      <c r="B72" t="s">
        <v>2178</v>
      </c>
      <c r="C72" t="s">
        <v>2181</v>
      </c>
      <c r="D72" t="s">
        <v>2107</v>
      </c>
      <c r="E72" s="1">
        <v>4.2000000000000003E-2</v>
      </c>
      <c r="F72" s="1">
        <v>156000</v>
      </c>
      <c r="G72" s="1">
        <v>156000</v>
      </c>
      <c r="H72" s="812">
        <v>86</v>
      </c>
      <c r="I72" s="812" t="s">
        <v>2073</v>
      </c>
      <c r="J72" s="812" t="s">
        <v>2104</v>
      </c>
    </row>
    <row r="73" spans="1:10" x14ac:dyDescent="0.25">
      <c r="A73" t="s">
        <v>2184</v>
      </c>
      <c r="C73" t="s">
        <v>2185</v>
      </c>
      <c r="D73" t="s">
        <v>2107</v>
      </c>
      <c r="E73" s="1">
        <v>1.6E-2</v>
      </c>
      <c r="F73" s="1">
        <v>51900</v>
      </c>
      <c r="G73" s="1">
        <v>51900</v>
      </c>
      <c r="H73" s="812">
        <v>86</v>
      </c>
      <c r="I73" s="812" t="s">
        <v>2073</v>
      </c>
      <c r="J73" s="812" t="s">
        <v>2104</v>
      </c>
    </row>
    <row r="74" spans="1:10" x14ac:dyDescent="0.25">
      <c r="A74" t="s">
        <v>2184</v>
      </c>
      <c r="C74" t="s">
        <v>2186</v>
      </c>
      <c r="D74" t="s">
        <v>2107</v>
      </c>
      <c r="E74" s="1">
        <v>1.4E-2</v>
      </c>
      <c r="F74" s="1">
        <v>88400</v>
      </c>
      <c r="G74" s="1">
        <v>88400</v>
      </c>
      <c r="H74" s="812">
        <v>86</v>
      </c>
      <c r="I74" s="812" t="s">
        <v>2073</v>
      </c>
      <c r="J74" s="812" t="s">
        <v>2104</v>
      </c>
    </row>
    <row r="75" spans="1:10" x14ac:dyDescent="0.25">
      <c r="A75" t="s">
        <v>2187</v>
      </c>
      <c r="B75" t="s">
        <v>2188</v>
      </c>
      <c r="C75" t="s">
        <v>2189</v>
      </c>
      <c r="D75" t="s">
        <v>2082</v>
      </c>
      <c r="E75" s="1">
        <v>0.3</v>
      </c>
      <c r="F75" s="1">
        <v>400000</v>
      </c>
      <c r="G75" s="1">
        <v>160421</v>
      </c>
      <c r="H75" s="812">
        <v>65</v>
      </c>
      <c r="I75" s="812">
        <v>7.3</v>
      </c>
      <c r="J75" s="812"/>
    </row>
    <row r="76" spans="1:10" x14ac:dyDescent="0.25">
      <c r="A76" t="s">
        <v>2187</v>
      </c>
      <c r="B76" t="s">
        <v>2190</v>
      </c>
      <c r="C76">
        <v>500</v>
      </c>
      <c r="D76" t="s">
        <v>2082</v>
      </c>
      <c r="E76" s="1">
        <v>0.19</v>
      </c>
      <c r="F76" s="1">
        <v>280000</v>
      </c>
      <c r="G76" s="1"/>
      <c r="H76" s="812">
        <v>73</v>
      </c>
      <c r="I76" s="812">
        <v>5.4</v>
      </c>
      <c r="J76" s="812"/>
    </row>
    <row r="77" spans="1:10" x14ac:dyDescent="0.25">
      <c r="A77" t="s">
        <v>2191</v>
      </c>
      <c r="B77" t="s">
        <v>2192</v>
      </c>
      <c r="C77" t="s">
        <v>2192</v>
      </c>
      <c r="D77" t="s">
        <v>2082</v>
      </c>
      <c r="E77" s="1">
        <v>0.08</v>
      </c>
      <c r="F77" s="1">
        <v>200000</v>
      </c>
      <c r="G77" s="1">
        <v>142533</v>
      </c>
      <c r="H77" s="812">
        <v>72</v>
      </c>
      <c r="I77" s="812">
        <v>1.96</v>
      </c>
      <c r="J77" s="812"/>
    </row>
    <row r="78" spans="1:10" x14ac:dyDescent="0.25">
      <c r="A78" t="s">
        <v>2191</v>
      </c>
      <c r="B78" t="s">
        <v>2193</v>
      </c>
      <c r="C78" t="s">
        <v>2193</v>
      </c>
      <c r="D78" t="s">
        <v>2082</v>
      </c>
      <c r="E78" s="1">
        <v>0.19</v>
      </c>
      <c r="F78" s="1">
        <v>200000</v>
      </c>
      <c r="G78" s="1">
        <v>66897</v>
      </c>
      <c r="H78" s="812">
        <v>67</v>
      </c>
      <c r="I78" s="812">
        <v>3.53</v>
      </c>
      <c r="J78" s="812"/>
    </row>
    <row r="79" spans="1:10" x14ac:dyDescent="0.25">
      <c r="A79" t="s">
        <v>2194</v>
      </c>
      <c r="B79" t="s">
        <v>2195</v>
      </c>
      <c r="C79" t="s">
        <v>2196</v>
      </c>
      <c r="D79" t="s">
        <v>2082</v>
      </c>
      <c r="E79" s="1">
        <v>0.31</v>
      </c>
      <c r="F79" s="1">
        <v>185983</v>
      </c>
      <c r="G79" s="1">
        <v>64047</v>
      </c>
      <c r="H79" s="812">
        <v>61</v>
      </c>
      <c r="I79" s="812">
        <v>5.96</v>
      </c>
      <c r="J79" s="812"/>
    </row>
    <row r="80" spans="1:10" x14ac:dyDescent="0.25">
      <c r="A80" t="s">
        <v>2197</v>
      </c>
      <c r="C80" t="s">
        <v>2198</v>
      </c>
      <c r="D80" t="s">
        <v>2107</v>
      </c>
      <c r="E80" s="1">
        <v>0.03</v>
      </c>
      <c r="F80" s="1">
        <v>83100</v>
      </c>
      <c r="G80" s="1">
        <v>83100</v>
      </c>
      <c r="H80" s="812">
        <v>85</v>
      </c>
      <c r="I80" s="812" t="s">
        <v>2073</v>
      </c>
      <c r="J80" s="812" t="s">
        <v>2104</v>
      </c>
    </row>
    <row r="81" spans="1:10" x14ac:dyDescent="0.25">
      <c r="A81" t="s">
        <v>2199</v>
      </c>
      <c r="B81" t="s">
        <v>2200</v>
      </c>
      <c r="C81" t="s">
        <v>2201</v>
      </c>
      <c r="D81" t="s">
        <v>2082</v>
      </c>
      <c r="E81" s="1">
        <v>7.0000000000000007E-2</v>
      </c>
      <c r="F81" s="1">
        <v>232000</v>
      </c>
      <c r="G81" s="1">
        <v>111315</v>
      </c>
      <c r="H81" s="812">
        <v>75</v>
      </c>
      <c r="I81" s="812">
        <v>1.7</v>
      </c>
      <c r="J81" s="812"/>
    </row>
    <row r="82" spans="1:10" x14ac:dyDescent="0.25">
      <c r="A82" t="s">
        <v>2199</v>
      </c>
      <c r="B82" t="s">
        <v>2200</v>
      </c>
      <c r="C82" t="s">
        <v>2202</v>
      </c>
      <c r="D82" t="s">
        <v>2082</v>
      </c>
      <c r="E82" s="1">
        <v>7.0000000000000007E-2</v>
      </c>
      <c r="F82" s="1">
        <v>125000</v>
      </c>
      <c r="G82" s="1"/>
      <c r="H82" s="812">
        <v>68</v>
      </c>
      <c r="I82" s="812">
        <v>1</v>
      </c>
      <c r="J82" s="812"/>
    </row>
    <row r="83" spans="1:10" x14ac:dyDescent="0.25">
      <c r="A83" t="s">
        <v>2199</v>
      </c>
      <c r="B83" t="s">
        <v>2200</v>
      </c>
      <c r="C83" t="s">
        <v>2203</v>
      </c>
      <c r="D83" t="s">
        <v>2082</v>
      </c>
      <c r="E83" s="1">
        <v>0.23</v>
      </c>
      <c r="F83" s="1">
        <v>350000</v>
      </c>
      <c r="G83" s="1">
        <v>180409</v>
      </c>
      <c r="H83" s="812">
        <v>74</v>
      </c>
      <c r="I83" s="812">
        <v>9</v>
      </c>
      <c r="J83" s="812"/>
    </row>
    <row r="84" spans="1:10" x14ac:dyDescent="0.25">
      <c r="A84" t="s">
        <v>2204</v>
      </c>
      <c r="B84" t="s">
        <v>2205</v>
      </c>
      <c r="C84" t="s">
        <v>2206</v>
      </c>
      <c r="D84" t="s">
        <v>2082</v>
      </c>
      <c r="E84" s="1">
        <v>0.18</v>
      </c>
      <c r="F84" s="1">
        <v>70000</v>
      </c>
      <c r="G84" s="1"/>
      <c r="H84" s="812">
        <v>69</v>
      </c>
      <c r="I84" s="812" t="s">
        <v>2073</v>
      </c>
      <c r="J84" s="812" t="s">
        <v>2104</v>
      </c>
    </row>
    <row r="85" spans="1:10" x14ac:dyDescent="0.25">
      <c r="A85" t="s">
        <v>2207</v>
      </c>
      <c r="C85" t="s">
        <v>2120</v>
      </c>
      <c r="D85" t="s">
        <v>2107</v>
      </c>
      <c r="E85" s="1">
        <v>3.5000000000000003E-2</v>
      </c>
      <c r="F85" s="1">
        <v>35800</v>
      </c>
      <c r="G85" s="1">
        <v>35800</v>
      </c>
      <c r="H85" s="812">
        <v>88</v>
      </c>
      <c r="I85" s="812" t="s">
        <v>2073</v>
      </c>
      <c r="J85" s="812" t="s">
        <v>2104</v>
      </c>
    </row>
    <row r="86" spans="1:10" x14ac:dyDescent="0.25">
      <c r="A86" t="s">
        <v>2207</v>
      </c>
      <c r="C86" t="s">
        <v>2121</v>
      </c>
      <c r="D86" t="s">
        <v>2107</v>
      </c>
      <c r="E86" s="1">
        <v>0.03</v>
      </c>
      <c r="F86" s="1">
        <v>50800</v>
      </c>
      <c r="G86" s="1">
        <v>50800</v>
      </c>
      <c r="H86" s="812">
        <v>87</v>
      </c>
      <c r="I86" s="812" t="s">
        <v>2073</v>
      </c>
      <c r="J86" s="812" t="s">
        <v>2104</v>
      </c>
    </row>
    <row r="87" spans="1:10" x14ac:dyDescent="0.25">
      <c r="A87" t="s">
        <v>2207</v>
      </c>
      <c r="C87" t="s">
        <v>2122</v>
      </c>
      <c r="D87" t="s">
        <v>2107</v>
      </c>
      <c r="E87" s="1">
        <v>2.8000000000000001E-2</v>
      </c>
      <c r="F87" s="1">
        <v>68200</v>
      </c>
      <c r="G87" s="1">
        <v>68200</v>
      </c>
      <c r="H87" s="812">
        <v>87</v>
      </c>
      <c r="I87" s="812" t="s">
        <v>2073</v>
      </c>
      <c r="J87" s="812" t="s">
        <v>2104</v>
      </c>
    </row>
    <row r="88" spans="1:10" x14ac:dyDescent="0.25">
      <c r="A88" t="s">
        <v>2207</v>
      </c>
      <c r="C88" t="s">
        <v>2123</v>
      </c>
      <c r="D88" t="s">
        <v>2107</v>
      </c>
      <c r="E88" s="1">
        <v>2.8000000000000001E-2</v>
      </c>
      <c r="F88" s="1">
        <v>85300</v>
      </c>
      <c r="G88" s="1">
        <v>85300</v>
      </c>
      <c r="H88" s="812">
        <v>87</v>
      </c>
      <c r="I88" s="812" t="s">
        <v>2073</v>
      </c>
      <c r="J88" s="812" t="s">
        <v>2104</v>
      </c>
    </row>
    <row r="89" spans="1:10" x14ac:dyDescent="0.25">
      <c r="A89" t="s">
        <v>2207</v>
      </c>
      <c r="C89" t="s">
        <v>2124</v>
      </c>
      <c r="D89" t="s">
        <v>2107</v>
      </c>
      <c r="E89" s="1">
        <v>2.5999999999999999E-2</v>
      </c>
      <c r="F89" s="1">
        <v>109000</v>
      </c>
      <c r="G89" s="1">
        <v>109000</v>
      </c>
      <c r="H89" s="812">
        <v>87</v>
      </c>
      <c r="I89" s="812" t="s">
        <v>2073</v>
      </c>
      <c r="J89" s="812" t="s">
        <v>2104</v>
      </c>
    </row>
    <row r="90" spans="1:10" x14ac:dyDescent="0.25">
      <c r="A90" t="s">
        <v>2207</v>
      </c>
      <c r="C90" t="s">
        <v>2125</v>
      </c>
      <c r="D90" t="s">
        <v>2107</v>
      </c>
      <c r="E90" s="1">
        <v>2.3E-2</v>
      </c>
      <c r="F90" s="1">
        <v>130000</v>
      </c>
      <c r="G90" s="1">
        <v>130000</v>
      </c>
      <c r="H90" s="812">
        <v>86</v>
      </c>
      <c r="I90" s="812" t="s">
        <v>2073</v>
      </c>
      <c r="J90" s="812" t="s">
        <v>2104</v>
      </c>
    </row>
    <row r="91" spans="1:10" x14ac:dyDescent="0.25">
      <c r="A91" t="s">
        <v>2207</v>
      </c>
      <c r="C91" t="s">
        <v>2126</v>
      </c>
      <c r="D91" t="s">
        <v>2107</v>
      </c>
      <c r="E91" s="1">
        <v>2.7E-2</v>
      </c>
      <c r="F91" s="1">
        <v>164000</v>
      </c>
      <c r="G91" s="1">
        <v>164000</v>
      </c>
      <c r="H91" s="812">
        <v>86</v>
      </c>
      <c r="I91" s="812" t="s">
        <v>2073</v>
      </c>
      <c r="J91" s="812" t="s">
        <v>2104</v>
      </c>
    </row>
    <row r="92" spans="1:10" x14ac:dyDescent="0.25">
      <c r="A92" t="s">
        <v>2207</v>
      </c>
      <c r="C92" t="s">
        <v>2127</v>
      </c>
      <c r="D92" t="s">
        <v>2107</v>
      </c>
      <c r="E92" s="1">
        <v>0.03</v>
      </c>
      <c r="F92" s="1">
        <v>200000</v>
      </c>
      <c r="G92" s="1">
        <v>200000</v>
      </c>
      <c r="H92" s="812">
        <v>86</v>
      </c>
      <c r="I92" s="812" t="s">
        <v>2073</v>
      </c>
      <c r="J92" s="812" t="s">
        <v>2104</v>
      </c>
    </row>
    <row r="93" spans="1:10" x14ac:dyDescent="0.25">
      <c r="A93" t="s">
        <v>2207</v>
      </c>
      <c r="C93" t="s">
        <v>2128</v>
      </c>
      <c r="D93" t="s">
        <v>2107</v>
      </c>
      <c r="E93" s="1">
        <v>3.3000000000000002E-2</v>
      </c>
      <c r="F93" s="1">
        <v>273000</v>
      </c>
      <c r="G93" s="1">
        <v>273000</v>
      </c>
      <c r="H93" s="812">
        <v>87</v>
      </c>
      <c r="I93" s="812" t="s">
        <v>2073</v>
      </c>
      <c r="J93" s="812" t="s">
        <v>2104</v>
      </c>
    </row>
    <row r="94" spans="1:10" x14ac:dyDescent="0.25">
      <c r="A94" t="s">
        <v>2207</v>
      </c>
      <c r="C94" t="s">
        <v>2129</v>
      </c>
      <c r="D94" t="s">
        <v>2107</v>
      </c>
      <c r="E94" s="1">
        <v>3.3000000000000002E-2</v>
      </c>
      <c r="F94" s="1">
        <v>341000</v>
      </c>
      <c r="G94" s="1">
        <v>341000</v>
      </c>
      <c r="H94" s="812">
        <v>88</v>
      </c>
      <c r="I94" s="812" t="s">
        <v>2073</v>
      </c>
      <c r="J94" s="812" t="s">
        <v>2104</v>
      </c>
    </row>
    <row r="95" spans="1:10" x14ac:dyDescent="0.25">
      <c r="A95" t="s">
        <v>2207</v>
      </c>
      <c r="C95" t="s">
        <v>2130</v>
      </c>
      <c r="D95" t="s">
        <v>2107</v>
      </c>
      <c r="E95" s="1">
        <v>2.1000000000000001E-2</v>
      </c>
      <c r="F95" s="1">
        <v>444000</v>
      </c>
      <c r="G95" s="1">
        <v>444000</v>
      </c>
      <c r="H95" s="812">
        <v>85</v>
      </c>
      <c r="I95" s="812" t="s">
        <v>2073</v>
      </c>
      <c r="J95" s="812" t="s">
        <v>2104</v>
      </c>
    </row>
    <row r="96" spans="1:10" x14ac:dyDescent="0.25">
      <c r="A96" t="s">
        <v>2207</v>
      </c>
      <c r="C96" t="s">
        <v>2132</v>
      </c>
      <c r="D96" t="s">
        <v>2107</v>
      </c>
      <c r="E96" s="1">
        <v>2.1000000000000001E-2</v>
      </c>
      <c r="F96" s="1">
        <v>512000</v>
      </c>
      <c r="G96" s="1">
        <v>512000</v>
      </c>
      <c r="H96" s="812">
        <v>85</v>
      </c>
      <c r="I96" s="812" t="s">
        <v>2073</v>
      </c>
      <c r="J96" s="812" t="s">
        <v>2104</v>
      </c>
    </row>
    <row r="97" spans="1:10" x14ac:dyDescent="0.25">
      <c r="A97" t="s">
        <v>2208</v>
      </c>
      <c r="B97" t="s">
        <v>2209</v>
      </c>
      <c r="C97" t="s">
        <v>2210</v>
      </c>
      <c r="D97" t="s">
        <v>1643</v>
      </c>
      <c r="E97" s="1">
        <v>0.03</v>
      </c>
      <c r="F97" s="1">
        <v>83100</v>
      </c>
      <c r="G97" s="1">
        <v>83100</v>
      </c>
      <c r="H97" s="812">
        <v>85</v>
      </c>
      <c r="I97" s="812" t="s">
        <v>2073</v>
      </c>
      <c r="J97" s="812" t="s">
        <v>1964</v>
      </c>
    </row>
    <row r="98" spans="1:10" x14ac:dyDescent="0.25">
      <c r="A98" t="s">
        <v>2211</v>
      </c>
      <c r="C98" t="s">
        <v>2212</v>
      </c>
      <c r="D98" t="s">
        <v>1643</v>
      </c>
      <c r="E98" s="1">
        <v>0.01</v>
      </c>
      <c r="F98" s="1">
        <v>494000</v>
      </c>
      <c r="G98" s="1">
        <v>494000</v>
      </c>
      <c r="H98" s="812">
        <v>85</v>
      </c>
      <c r="I98" s="812" t="s">
        <v>2073</v>
      </c>
      <c r="J98" s="812" t="s">
        <v>1964</v>
      </c>
    </row>
    <row r="99" spans="1:10" x14ac:dyDescent="0.25">
      <c r="A99" t="s">
        <v>2211</v>
      </c>
      <c r="C99" t="s">
        <v>2213</v>
      </c>
      <c r="D99" t="s">
        <v>1643</v>
      </c>
      <c r="E99" s="1">
        <v>0.02</v>
      </c>
      <c r="F99" s="1">
        <v>1700000</v>
      </c>
      <c r="G99" s="1">
        <v>1700000</v>
      </c>
      <c r="H99" s="812">
        <v>88</v>
      </c>
      <c r="I99" s="812" t="s">
        <v>2073</v>
      </c>
      <c r="J99" s="812" t="s">
        <v>1964</v>
      </c>
    </row>
    <row r="100" spans="1:10" x14ac:dyDescent="0.25">
      <c r="A100" t="s">
        <v>2211</v>
      </c>
      <c r="C100" t="s">
        <v>2214</v>
      </c>
      <c r="D100" t="s">
        <v>1643</v>
      </c>
      <c r="E100" s="1">
        <v>0.04</v>
      </c>
      <c r="F100" s="1">
        <v>1430000</v>
      </c>
      <c r="G100" s="1">
        <v>1430000</v>
      </c>
      <c r="H100" s="812">
        <v>86</v>
      </c>
      <c r="I100" s="812" t="s">
        <v>2073</v>
      </c>
      <c r="J100" s="812" t="s">
        <v>1964</v>
      </c>
    </row>
    <row r="101" spans="1:10" x14ac:dyDescent="0.25">
      <c r="A101" t="s">
        <v>2211</v>
      </c>
      <c r="C101" t="s">
        <v>2215</v>
      </c>
      <c r="D101" t="s">
        <v>1643</v>
      </c>
      <c r="E101" s="1">
        <v>0.06</v>
      </c>
      <c r="F101" s="1">
        <v>1860000</v>
      </c>
      <c r="G101" s="1">
        <v>1860000</v>
      </c>
      <c r="H101" s="812">
        <v>87</v>
      </c>
      <c r="I101" s="812" t="s">
        <v>2073</v>
      </c>
      <c r="J101" s="812" t="s">
        <v>1964</v>
      </c>
    </row>
    <row r="102" spans="1:10" x14ac:dyDescent="0.25">
      <c r="A102" t="s">
        <v>2211</v>
      </c>
      <c r="C102" t="s">
        <v>2216</v>
      </c>
      <c r="D102" t="s">
        <v>1643</v>
      </c>
      <c r="E102" s="1">
        <v>0.06</v>
      </c>
      <c r="F102" s="1">
        <v>2470000</v>
      </c>
      <c r="G102" s="1">
        <v>2470000</v>
      </c>
      <c r="H102" s="812">
        <v>85</v>
      </c>
      <c r="I102" s="812" t="s">
        <v>2073</v>
      </c>
      <c r="J102" s="812" t="s">
        <v>1964</v>
      </c>
    </row>
    <row r="103" spans="1:10" x14ac:dyDescent="0.25">
      <c r="A103" t="s">
        <v>2217</v>
      </c>
      <c r="B103" t="s">
        <v>2218</v>
      </c>
      <c r="D103" t="s">
        <v>2107</v>
      </c>
      <c r="E103" s="1">
        <v>0.19</v>
      </c>
      <c r="F103" s="1">
        <v>153000</v>
      </c>
      <c r="G103" s="1"/>
      <c r="H103" s="812">
        <v>72</v>
      </c>
      <c r="I103" s="812">
        <v>3.3</v>
      </c>
      <c r="J103" s="812"/>
    </row>
    <row r="104" spans="1:10" x14ac:dyDescent="0.25">
      <c r="A104" t="s">
        <v>2219</v>
      </c>
      <c r="C104" t="s">
        <v>2220</v>
      </c>
      <c r="D104" t="s">
        <v>2107</v>
      </c>
      <c r="E104" s="1">
        <v>0.02</v>
      </c>
      <c r="F104" s="1">
        <v>55000</v>
      </c>
      <c r="G104" s="1">
        <v>55000</v>
      </c>
      <c r="H104" s="812">
        <v>87</v>
      </c>
      <c r="I104" s="812" t="s">
        <v>2073</v>
      </c>
      <c r="J104" s="812" t="s">
        <v>1964</v>
      </c>
    </row>
    <row r="105" spans="1:10" x14ac:dyDescent="0.25">
      <c r="A105" t="s">
        <v>2219</v>
      </c>
      <c r="C105" t="s">
        <v>2221</v>
      </c>
      <c r="D105" t="s">
        <v>1643</v>
      </c>
      <c r="E105" s="1">
        <v>0.02</v>
      </c>
      <c r="F105" s="1">
        <v>36900</v>
      </c>
      <c r="G105" s="1">
        <v>36900</v>
      </c>
      <c r="H105" s="812">
        <v>88</v>
      </c>
      <c r="I105" s="812" t="s">
        <v>2073</v>
      </c>
      <c r="J105" s="812" t="s">
        <v>1964</v>
      </c>
    </row>
    <row r="106" spans="1:10" x14ac:dyDescent="0.25">
      <c r="A106" t="s">
        <v>2219</v>
      </c>
      <c r="C106" t="s">
        <v>2222</v>
      </c>
      <c r="D106" t="s">
        <v>1643</v>
      </c>
      <c r="E106" s="1">
        <v>0.02</v>
      </c>
      <c r="F106" s="1">
        <v>94500</v>
      </c>
      <c r="G106" s="1">
        <v>94500</v>
      </c>
      <c r="H106" s="812">
        <v>87</v>
      </c>
      <c r="I106" s="812" t="s">
        <v>2073</v>
      </c>
      <c r="J106" s="812" t="s">
        <v>1964</v>
      </c>
    </row>
    <row r="107" spans="1:10" x14ac:dyDescent="0.25">
      <c r="A107" t="s">
        <v>2223</v>
      </c>
      <c r="C107" t="s">
        <v>2224</v>
      </c>
      <c r="D107" t="s">
        <v>2107</v>
      </c>
      <c r="E107" s="1">
        <v>1.6E-2</v>
      </c>
      <c r="F107" s="1">
        <v>34800</v>
      </c>
      <c r="G107" s="1">
        <v>34800</v>
      </c>
      <c r="H107" s="812">
        <v>87</v>
      </c>
      <c r="I107" s="812" t="s">
        <v>2073</v>
      </c>
      <c r="J107" s="812" t="s">
        <v>2104</v>
      </c>
    </row>
    <row r="108" spans="1:10" x14ac:dyDescent="0.25">
      <c r="A108" t="s">
        <v>2223</v>
      </c>
      <c r="C108" t="s">
        <v>2225</v>
      </c>
      <c r="D108" t="s">
        <v>2107</v>
      </c>
      <c r="E108" s="1">
        <v>1.6E-2</v>
      </c>
      <c r="F108" s="1">
        <v>51900</v>
      </c>
      <c r="G108" s="1">
        <v>51900</v>
      </c>
      <c r="H108" s="812">
        <v>86</v>
      </c>
      <c r="I108" s="812" t="s">
        <v>2073</v>
      </c>
      <c r="J108" s="812" t="s">
        <v>2104</v>
      </c>
    </row>
    <row r="109" spans="1:10" x14ac:dyDescent="0.25">
      <c r="A109" t="s">
        <v>2223</v>
      </c>
      <c r="C109" t="s">
        <v>2226</v>
      </c>
      <c r="D109" t="s">
        <v>2107</v>
      </c>
      <c r="E109" s="1">
        <v>1.4E-2</v>
      </c>
      <c r="F109" s="1">
        <v>88400</v>
      </c>
      <c r="G109" s="1">
        <v>88400</v>
      </c>
      <c r="H109" s="812">
        <v>86</v>
      </c>
      <c r="I109" s="812" t="s">
        <v>2073</v>
      </c>
      <c r="J109" s="812" t="s">
        <v>2104</v>
      </c>
    </row>
    <row r="110" spans="1:10" x14ac:dyDescent="0.25">
      <c r="A110" t="s">
        <v>2223</v>
      </c>
      <c r="C110" t="s">
        <v>2227</v>
      </c>
      <c r="D110" t="s">
        <v>2107</v>
      </c>
      <c r="E110" s="1">
        <v>1.6E-2</v>
      </c>
      <c r="F110" s="1">
        <v>119000</v>
      </c>
      <c r="G110" s="1">
        <v>119000</v>
      </c>
      <c r="H110" s="812">
        <v>85</v>
      </c>
      <c r="I110" s="812" t="s">
        <v>2073</v>
      </c>
      <c r="J110" s="812" t="s">
        <v>2104</v>
      </c>
    </row>
    <row r="111" spans="1:10" x14ac:dyDescent="0.25">
      <c r="A111" t="s">
        <v>2223</v>
      </c>
      <c r="C111" t="s">
        <v>2228</v>
      </c>
      <c r="D111" t="s">
        <v>2107</v>
      </c>
      <c r="E111" s="1">
        <v>2.1000000000000001E-2</v>
      </c>
      <c r="F111" s="1">
        <v>202000</v>
      </c>
      <c r="G111" s="1">
        <v>202000</v>
      </c>
      <c r="H111" s="812">
        <v>85</v>
      </c>
      <c r="I111" s="812" t="s">
        <v>2073</v>
      </c>
      <c r="J111" s="812" t="s">
        <v>2104</v>
      </c>
    </row>
    <row r="112" spans="1:10" x14ac:dyDescent="0.25">
      <c r="A112" t="s">
        <v>2229</v>
      </c>
      <c r="B112" t="s">
        <v>2230</v>
      </c>
      <c r="C112">
        <v>35</v>
      </c>
      <c r="D112" t="s">
        <v>429</v>
      </c>
      <c r="E112" s="1">
        <v>0.1</v>
      </c>
      <c r="F112" s="1">
        <v>429452</v>
      </c>
      <c r="G112" s="1">
        <v>429452</v>
      </c>
      <c r="H112" s="812">
        <v>67</v>
      </c>
      <c r="I112" s="812" t="s">
        <v>2073</v>
      </c>
      <c r="J112" s="812"/>
    </row>
    <row r="113" spans="1:10" x14ac:dyDescent="0.25">
      <c r="A113" t="s">
        <v>2231</v>
      </c>
      <c r="C113" t="s">
        <v>2232</v>
      </c>
      <c r="D113" t="s">
        <v>2082</v>
      </c>
      <c r="E113" s="1">
        <v>0.25</v>
      </c>
      <c r="F113" s="1">
        <v>161455</v>
      </c>
      <c r="G113" s="1">
        <v>77308</v>
      </c>
      <c r="H113" s="812">
        <v>61</v>
      </c>
      <c r="I113" s="812">
        <v>4.5</v>
      </c>
      <c r="J113" s="812"/>
    </row>
    <row r="114" spans="1:10" x14ac:dyDescent="0.25">
      <c r="A114" t="s">
        <v>2231</v>
      </c>
      <c r="C114" t="s">
        <v>2233</v>
      </c>
      <c r="D114" t="s">
        <v>2082</v>
      </c>
      <c r="E114" s="1">
        <v>0.27</v>
      </c>
      <c r="F114" s="1">
        <v>166109</v>
      </c>
      <c r="G114" s="1">
        <v>60000</v>
      </c>
      <c r="H114" s="812">
        <v>58</v>
      </c>
      <c r="I114" s="812">
        <v>5.3</v>
      </c>
      <c r="J114" s="812"/>
    </row>
    <row r="115" spans="1:10" x14ac:dyDescent="0.25">
      <c r="A115" t="s">
        <v>2234</v>
      </c>
      <c r="B115" t="s">
        <v>2235</v>
      </c>
      <c r="C115" t="s">
        <v>2236</v>
      </c>
      <c r="D115" t="s">
        <v>2107</v>
      </c>
      <c r="E115" s="1">
        <v>0.09</v>
      </c>
      <c r="F115" s="1">
        <v>102716</v>
      </c>
      <c r="G115" s="1">
        <v>102716</v>
      </c>
      <c r="H115" s="812">
        <v>59</v>
      </c>
      <c r="I115" s="812">
        <v>1.6</v>
      </c>
      <c r="J115" s="812"/>
    </row>
    <row r="116" spans="1:10" x14ac:dyDescent="0.25">
      <c r="A116" t="s">
        <v>2234</v>
      </c>
      <c r="B116" t="s">
        <v>2235</v>
      </c>
      <c r="C116" t="s">
        <v>2237</v>
      </c>
      <c r="D116" t="s">
        <v>2082</v>
      </c>
      <c r="E116" s="1">
        <v>7.0000000000000007E-2</v>
      </c>
      <c r="F116" s="1">
        <v>102408</v>
      </c>
      <c r="G116" s="1">
        <v>102408</v>
      </c>
      <c r="H116" s="812">
        <v>67</v>
      </c>
      <c r="I116" s="812">
        <v>1.04</v>
      </c>
      <c r="J116" s="812"/>
    </row>
    <row r="117" spans="1:10" x14ac:dyDescent="0.25">
      <c r="A117" t="s">
        <v>2234</v>
      </c>
      <c r="B117" t="s">
        <v>2235</v>
      </c>
      <c r="C117" t="s">
        <v>2238</v>
      </c>
      <c r="D117" t="s">
        <v>2107</v>
      </c>
      <c r="E117" s="1">
        <v>0.11</v>
      </c>
      <c r="F117" s="1">
        <v>101577</v>
      </c>
      <c r="G117" s="1">
        <v>101577</v>
      </c>
      <c r="H117" s="812">
        <v>65</v>
      </c>
      <c r="I117" s="812">
        <v>1.4</v>
      </c>
      <c r="J117" s="812"/>
    </row>
  </sheetData>
  <autoFilter ref="A3:J117" xr:uid="{00000000-0009-0000-0000-000024000000}"/>
  <mergeCells count="1">
    <mergeCell ref="A1:J1"/>
  </mergeCells>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I42"/>
  <sheetViews>
    <sheetView zoomScale="84" zoomScaleNormal="84" workbookViewId="0">
      <selection activeCell="F9" sqref="F9"/>
    </sheetView>
  </sheetViews>
  <sheetFormatPr defaultRowHeight="15" x14ac:dyDescent="0.25"/>
  <cols>
    <col min="2" max="9" width="9.140625" customWidth="1"/>
    <col min="10" max="33" width="0" hidden="1" customWidth="1"/>
    <col min="34" max="34" width="12.42578125" customWidth="1"/>
    <col min="35" max="35" width="14" customWidth="1"/>
  </cols>
  <sheetData>
    <row r="1" spans="1:35" ht="15.75" x14ac:dyDescent="0.25">
      <c r="A1" s="831" t="s">
        <v>2239</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row>
    <row r="2" spans="1:35" x14ac:dyDescent="0.25">
      <c r="AI2" s="602" t="s">
        <v>2240</v>
      </c>
    </row>
    <row r="3" spans="1:35" x14ac:dyDescent="0.25">
      <c r="A3" s="812" t="s">
        <v>1994</v>
      </c>
      <c r="B3" s="812" t="s">
        <v>2027</v>
      </c>
      <c r="C3" s="812"/>
      <c r="D3" s="812" t="s">
        <v>2241</v>
      </c>
      <c r="E3" s="812" t="s">
        <v>2242</v>
      </c>
      <c r="F3" s="845" t="s">
        <v>2243</v>
      </c>
      <c r="G3" s="845"/>
      <c r="H3" s="845"/>
      <c r="I3" s="845"/>
      <c r="J3" s="845" t="s">
        <v>2244</v>
      </c>
      <c r="K3" s="845"/>
      <c r="L3" s="845"/>
      <c r="M3" s="845"/>
      <c r="N3" s="845"/>
      <c r="O3" s="845"/>
      <c r="P3" s="845"/>
      <c r="Q3" s="845"/>
      <c r="R3" s="845"/>
      <c r="S3" s="845"/>
      <c r="T3" s="845"/>
      <c r="U3" s="845"/>
      <c r="V3" s="845"/>
      <c r="W3" s="845"/>
      <c r="X3" s="845"/>
      <c r="Y3" s="845"/>
      <c r="Z3" s="845"/>
      <c r="AA3" s="845"/>
      <c r="AB3" s="845"/>
      <c r="AC3" s="845"/>
      <c r="AD3" s="845"/>
      <c r="AE3" s="845"/>
      <c r="AF3" s="845"/>
      <c r="AG3" s="845"/>
      <c r="AH3" s="812" t="s">
        <v>722</v>
      </c>
      <c r="AI3" s="812" t="s">
        <v>722</v>
      </c>
    </row>
    <row r="4" spans="1:35" ht="15.75" thickBot="1" x14ac:dyDescent="0.3">
      <c r="A4" s="6" t="s">
        <v>2245</v>
      </c>
      <c r="B4" s="6" t="s">
        <v>2029</v>
      </c>
      <c r="C4" s="6" t="s">
        <v>1994</v>
      </c>
      <c r="D4" s="6" t="s">
        <v>2246</v>
      </c>
      <c r="E4" s="6" t="s">
        <v>654</v>
      </c>
      <c r="F4" s="6" t="s">
        <v>1702</v>
      </c>
      <c r="G4" s="6" t="s">
        <v>2247</v>
      </c>
      <c r="H4" s="6" t="s">
        <v>2248</v>
      </c>
      <c r="I4" s="6" t="s">
        <v>2249</v>
      </c>
      <c r="J4" s="6">
        <v>1</v>
      </c>
      <c r="K4" s="6">
        <v>2</v>
      </c>
      <c r="L4" s="6">
        <v>3</v>
      </c>
      <c r="M4" s="6">
        <v>4</v>
      </c>
      <c r="N4" s="6">
        <v>5</v>
      </c>
      <c r="O4" s="6">
        <v>6</v>
      </c>
      <c r="P4" s="6">
        <v>7</v>
      </c>
      <c r="Q4" s="6">
        <v>8</v>
      </c>
      <c r="R4" s="6">
        <v>9</v>
      </c>
      <c r="S4" s="6">
        <v>10</v>
      </c>
      <c r="T4" s="6">
        <v>11</v>
      </c>
      <c r="U4" s="6">
        <v>12</v>
      </c>
      <c r="V4" s="6">
        <v>13</v>
      </c>
      <c r="W4" s="6">
        <v>14</v>
      </c>
      <c r="X4" s="6">
        <v>15</v>
      </c>
      <c r="Y4" s="6">
        <v>16</v>
      </c>
      <c r="Z4" s="6">
        <v>17</v>
      </c>
      <c r="AA4" s="6">
        <v>18</v>
      </c>
      <c r="AB4" s="6">
        <v>19</v>
      </c>
      <c r="AC4" s="6">
        <v>20</v>
      </c>
      <c r="AD4" s="6">
        <v>21</v>
      </c>
      <c r="AE4" s="6">
        <v>22</v>
      </c>
      <c r="AF4" s="6">
        <v>23</v>
      </c>
      <c r="AG4" s="6">
        <v>24</v>
      </c>
      <c r="AH4" s="6" t="s">
        <v>2250</v>
      </c>
      <c r="AI4" s="6" t="s">
        <v>2250</v>
      </c>
    </row>
    <row r="5" spans="1:35" ht="15.75" thickTop="1" x14ac:dyDescent="0.25">
      <c r="A5" s="601" t="str">
        <f t="shared" ref="A5:A23" si="0">RIGHT(C5,2)&amp;"D"&amp;TEXT(ROW()-4,"00")</f>
        <v>E1D01</v>
      </c>
      <c r="B5" s="599">
        <v>39470</v>
      </c>
      <c r="C5" s="601" t="s">
        <v>2251</v>
      </c>
      <c r="D5" s="600">
        <f t="shared" ref="D5:D39" si="1">B5</f>
        <v>39470</v>
      </c>
      <c r="E5" s="601" t="str">
        <f t="shared" ref="E5:E39" si="2">IF(WEEKDAY(B5,2)&lt;=5,"WD","WE")</f>
        <v>WD</v>
      </c>
      <c r="F5" s="598">
        <f t="shared" ref="F5:F39" si="3">AVERAGE($J5:$AG5)</f>
        <v>5.875</v>
      </c>
      <c r="G5" s="598">
        <f t="shared" ref="G5:G39" si="4">STDEV($J5:$AG5)</f>
        <v>9.0135767161205926</v>
      </c>
      <c r="H5" s="597">
        <f t="shared" ref="H5:H39" si="5">MIN($J5:$AG5)</f>
        <v>-10</v>
      </c>
      <c r="I5" s="597">
        <f t="shared" ref="I5:I39" si="6">MAX($J5:$AG5)</f>
        <v>21</v>
      </c>
      <c r="J5" s="12">
        <v>21</v>
      </c>
      <c r="K5" s="12">
        <v>21</v>
      </c>
      <c r="L5" s="12">
        <v>21</v>
      </c>
      <c r="M5" s="12">
        <v>19</v>
      </c>
      <c r="N5" s="12">
        <v>16</v>
      </c>
      <c r="O5" s="12">
        <v>14</v>
      </c>
      <c r="P5" s="12">
        <v>12</v>
      </c>
      <c r="Q5" s="12">
        <v>9</v>
      </c>
      <c r="R5" s="12">
        <v>7</v>
      </c>
      <c r="S5" s="12">
        <v>7</v>
      </c>
      <c r="T5" s="12">
        <v>5</v>
      </c>
      <c r="U5" s="12">
        <v>3</v>
      </c>
      <c r="V5" s="12">
        <v>3</v>
      </c>
      <c r="W5" s="12">
        <v>3</v>
      </c>
      <c r="X5" s="12">
        <v>2</v>
      </c>
      <c r="Y5" s="12">
        <v>1</v>
      </c>
      <c r="Z5" s="12">
        <v>1</v>
      </c>
      <c r="AA5" s="12">
        <v>1</v>
      </c>
      <c r="AB5" s="12">
        <v>0</v>
      </c>
      <c r="AC5" s="12">
        <v>-1</v>
      </c>
      <c r="AD5" s="12">
        <v>-2</v>
      </c>
      <c r="AE5" s="12">
        <v>-7</v>
      </c>
      <c r="AF5" s="12">
        <v>-5</v>
      </c>
      <c r="AG5" s="12">
        <v>-10</v>
      </c>
      <c r="AH5" s="812"/>
      <c r="AI5" s="812"/>
    </row>
    <row r="6" spans="1:35" x14ac:dyDescent="0.25">
      <c r="A6" s="601" t="str">
        <f t="shared" si="0"/>
        <v>E1D02</v>
      </c>
      <c r="B6" s="599">
        <v>39471</v>
      </c>
      <c r="C6" s="601" t="s">
        <v>2251</v>
      </c>
      <c r="D6" s="600">
        <f t="shared" si="1"/>
        <v>39471</v>
      </c>
      <c r="E6" s="599" t="str">
        <f t="shared" si="2"/>
        <v>WD</v>
      </c>
      <c r="F6" s="598">
        <f t="shared" si="3"/>
        <v>-14.416666666666666</v>
      </c>
      <c r="G6" s="598">
        <f t="shared" si="4"/>
        <v>8.048314253235926</v>
      </c>
      <c r="H6" s="597">
        <f t="shared" si="5"/>
        <v>-26</v>
      </c>
      <c r="I6" s="597">
        <f t="shared" si="6"/>
        <v>-3</v>
      </c>
      <c r="J6" s="12">
        <v>-10</v>
      </c>
      <c r="K6" s="12">
        <v>-12</v>
      </c>
      <c r="L6" s="12">
        <v>-17</v>
      </c>
      <c r="M6" s="12">
        <v>-19</v>
      </c>
      <c r="N6" s="12">
        <v>-23</v>
      </c>
      <c r="O6" s="12">
        <v>-23</v>
      </c>
      <c r="P6" s="12">
        <v>-25</v>
      </c>
      <c r="Q6" s="12">
        <v>-26</v>
      </c>
      <c r="R6" s="12">
        <v>-26</v>
      </c>
      <c r="S6" s="12">
        <v>-25</v>
      </c>
      <c r="T6" s="12">
        <v>-25</v>
      </c>
      <c r="U6" s="12">
        <v>-17</v>
      </c>
      <c r="V6" s="12">
        <v>-17</v>
      </c>
      <c r="W6" s="12">
        <v>-16</v>
      </c>
      <c r="X6" s="12">
        <v>-11</v>
      </c>
      <c r="Y6" s="12">
        <v>-8</v>
      </c>
      <c r="Z6" s="12">
        <v>-7</v>
      </c>
      <c r="AA6" s="12">
        <v>-7</v>
      </c>
      <c r="AB6" s="12">
        <v>-7</v>
      </c>
      <c r="AC6" s="12">
        <v>-7</v>
      </c>
      <c r="AD6" s="12">
        <v>-5</v>
      </c>
      <c r="AE6" s="12">
        <v>-5</v>
      </c>
      <c r="AF6" s="12">
        <v>-5</v>
      </c>
      <c r="AG6" s="12">
        <v>-3</v>
      </c>
      <c r="AH6" s="812"/>
      <c r="AI6" s="812"/>
    </row>
    <row r="7" spans="1:35" x14ac:dyDescent="0.25">
      <c r="A7" s="601" t="str">
        <f t="shared" si="0"/>
        <v>E1D03</v>
      </c>
      <c r="B7" s="599">
        <v>39472</v>
      </c>
      <c r="C7" s="601" t="s">
        <v>2251</v>
      </c>
      <c r="D7" s="600">
        <f t="shared" si="1"/>
        <v>39472</v>
      </c>
      <c r="E7" s="599" t="str">
        <f t="shared" si="2"/>
        <v>WD</v>
      </c>
      <c r="F7" s="598">
        <f t="shared" si="3"/>
        <v>-9</v>
      </c>
      <c r="G7" s="598">
        <f t="shared" si="4"/>
        <v>11.037485535959798</v>
      </c>
      <c r="H7" s="597">
        <f t="shared" si="5"/>
        <v>-28</v>
      </c>
      <c r="I7" s="597">
        <f t="shared" si="6"/>
        <v>0</v>
      </c>
      <c r="J7" s="12">
        <v>-1</v>
      </c>
      <c r="K7" s="12">
        <v>-1</v>
      </c>
      <c r="L7" s="12">
        <v>0</v>
      </c>
      <c r="M7" s="12">
        <v>0</v>
      </c>
      <c r="N7" s="12">
        <v>0</v>
      </c>
      <c r="O7" s="12">
        <v>0</v>
      </c>
      <c r="P7" s="12">
        <v>0</v>
      </c>
      <c r="Q7" s="12">
        <v>0</v>
      </c>
      <c r="R7" s="12">
        <v>0</v>
      </c>
      <c r="S7" s="12">
        <v>0</v>
      </c>
      <c r="T7" s="12">
        <v>0</v>
      </c>
      <c r="U7" s="12">
        <v>-1</v>
      </c>
      <c r="V7" s="12">
        <v>-1</v>
      </c>
      <c r="W7" s="12">
        <v>-5</v>
      </c>
      <c r="X7" s="12">
        <v>-9</v>
      </c>
      <c r="Y7" s="12">
        <v>-12</v>
      </c>
      <c r="Z7" s="12">
        <v>-14</v>
      </c>
      <c r="AA7" s="12">
        <v>-19</v>
      </c>
      <c r="AB7" s="12">
        <v>-21</v>
      </c>
      <c r="AC7" s="12">
        <v>-28</v>
      </c>
      <c r="AD7" s="12">
        <v>-25</v>
      </c>
      <c r="AE7" s="12">
        <v>-25</v>
      </c>
      <c r="AF7" s="12">
        <v>-26</v>
      </c>
      <c r="AG7" s="12">
        <v>-28</v>
      </c>
      <c r="AH7" s="812"/>
      <c r="AI7" s="812"/>
    </row>
    <row r="8" spans="1:35" x14ac:dyDescent="0.25">
      <c r="A8" s="601" t="str">
        <f t="shared" si="0"/>
        <v>E1D04</v>
      </c>
      <c r="B8" s="599">
        <v>39473</v>
      </c>
      <c r="C8" s="601" t="s">
        <v>2251</v>
      </c>
      <c r="D8" s="600">
        <f t="shared" si="1"/>
        <v>39473</v>
      </c>
      <c r="E8" s="599" t="str">
        <f t="shared" si="2"/>
        <v>WE</v>
      </c>
      <c r="F8" s="598">
        <f t="shared" si="3"/>
        <v>-34.625</v>
      </c>
      <c r="G8" s="598">
        <f t="shared" si="4"/>
        <v>4.5090488730030893</v>
      </c>
      <c r="H8" s="597">
        <f t="shared" si="5"/>
        <v>-41</v>
      </c>
      <c r="I8" s="597">
        <f t="shared" si="6"/>
        <v>-25</v>
      </c>
      <c r="J8" s="12">
        <v>-32</v>
      </c>
      <c r="K8" s="12">
        <v>-35</v>
      </c>
      <c r="L8" s="12">
        <v>-33</v>
      </c>
      <c r="M8" s="12">
        <v>-37</v>
      </c>
      <c r="N8" s="12">
        <v>-37</v>
      </c>
      <c r="O8" s="12">
        <v>-41</v>
      </c>
      <c r="P8" s="12">
        <v>-35</v>
      </c>
      <c r="Q8" s="12">
        <v>-37</v>
      </c>
      <c r="R8" s="12">
        <v>-41</v>
      </c>
      <c r="S8" s="12">
        <v>-37</v>
      </c>
      <c r="T8" s="12">
        <v>-34</v>
      </c>
      <c r="U8" s="12">
        <v>-34</v>
      </c>
      <c r="V8" s="12">
        <v>-32</v>
      </c>
      <c r="W8" s="12">
        <v>-25</v>
      </c>
      <c r="X8" s="12">
        <v>-25</v>
      </c>
      <c r="Y8" s="12">
        <v>-26</v>
      </c>
      <c r="Z8" s="12">
        <v>-32</v>
      </c>
      <c r="AA8" s="12">
        <v>-34</v>
      </c>
      <c r="AB8" s="12">
        <v>-35</v>
      </c>
      <c r="AC8" s="12">
        <v>-35</v>
      </c>
      <c r="AD8" s="12">
        <v>-35</v>
      </c>
      <c r="AE8" s="12">
        <v>-39</v>
      </c>
      <c r="AF8" s="12">
        <v>-41</v>
      </c>
      <c r="AG8" s="12">
        <v>-39</v>
      </c>
      <c r="AH8" s="812"/>
      <c r="AI8" s="812"/>
    </row>
    <row r="9" spans="1:35" x14ac:dyDescent="0.25">
      <c r="A9" s="601" t="str">
        <f t="shared" si="0"/>
        <v>E1D05</v>
      </c>
      <c r="B9" s="599">
        <v>39474</v>
      </c>
      <c r="C9" s="601" t="s">
        <v>2251</v>
      </c>
      <c r="D9" s="600">
        <f t="shared" si="1"/>
        <v>39474</v>
      </c>
      <c r="E9" s="599" t="str">
        <f t="shared" si="2"/>
        <v>WE</v>
      </c>
      <c r="F9" s="598">
        <f t="shared" si="3"/>
        <v>-27.375</v>
      </c>
      <c r="G9" s="598">
        <f t="shared" si="4"/>
        <v>11.247463482163822</v>
      </c>
      <c r="H9" s="597">
        <f t="shared" si="5"/>
        <v>-41</v>
      </c>
      <c r="I9" s="597">
        <f t="shared" si="6"/>
        <v>-12</v>
      </c>
      <c r="J9" s="12">
        <v>-37</v>
      </c>
      <c r="K9" s="12">
        <v>-39</v>
      </c>
      <c r="L9" s="12">
        <v>-38</v>
      </c>
      <c r="M9" s="12">
        <v>-37</v>
      </c>
      <c r="N9" s="12">
        <v>-39</v>
      </c>
      <c r="O9" s="12">
        <v>-41</v>
      </c>
      <c r="P9" s="12">
        <v>-41</v>
      </c>
      <c r="Q9" s="12">
        <v>-41</v>
      </c>
      <c r="R9" s="12">
        <v>-39</v>
      </c>
      <c r="S9" s="12">
        <v>-37</v>
      </c>
      <c r="T9" s="12">
        <v>-35</v>
      </c>
      <c r="U9" s="12">
        <v>-30</v>
      </c>
      <c r="V9" s="12">
        <v>-26</v>
      </c>
      <c r="W9" s="12">
        <v>-21</v>
      </c>
      <c r="X9" s="12">
        <v>-18</v>
      </c>
      <c r="Y9" s="12">
        <v>-16</v>
      </c>
      <c r="Z9" s="12">
        <v>-14</v>
      </c>
      <c r="AA9" s="12">
        <v>-12</v>
      </c>
      <c r="AB9" s="12">
        <v>-12</v>
      </c>
      <c r="AC9" s="12">
        <v>-14</v>
      </c>
      <c r="AD9" s="12">
        <v>-15</v>
      </c>
      <c r="AE9" s="12">
        <v>-17</v>
      </c>
      <c r="AF9" s="12">
        <v>-19</v>
      </c>
      <c r="AG9" s="12">
        <v>-19</v>
      </c>
      <c r="AH9" s="812" t="s">
        <v>2252</v>
      </c>
      <c r="AI9" s="812" t="s">
        <v>2253</v>
      </c>
    </row>
    <row r="10" spans="1:35" x14ac:dyDescent="0.25">
      <c r="A10" s="601" t="str">
        <f t="shared" si="0"/>
        <v>E1D06</v>
      </c>
      <c r="B10" s="599">
        <v>39475</v>
      </c>
      <c r="C10" s="601" t="s">
        <v>2251</v>
      </c>
      <c r="D10" s="600">
        <f t="shared" si="1"/>
        <v>39475</v>
      </c>
      <c r="E10" s="599" t="str">
        <f t="shared" si="2"/>
        <v>WD</v>
      </c>
      <c r="F10" s="598">
        <f t="shared" si="3"/>
        <v>-11.625</v>
      </c>
      <c r="G10" s="598">
        <f t="shared" si="4"/>
        <v>5.0114000473702562</v>
      </c>
      <c r="H10" s="597">
        <f t="shared" si="5"/>
        <v>-23</v>
      </c>
      <c r="I10" s="597">
        <f t="shared" si="6"/>
        <v>-7</v>
      </c>
      <c r="J10" s="12">
        <v>-16</v>
      </c>
      <c r="K10" s="12">
        <v>-14</v>
      </c>
      <c r="L10" s="12">
        <v>-10</v>
      </c>
      <c r="M10" s="12">
        <v>-8</v>
      </c>
      <c r="N10" s="12">
        <v>-8</v>
      </c>
      <c r="O10" s="12">
        <v>-8</v>
      </c>
      <c r="P10" s="12">
        <v>-7</v>
      </c>
      <c r="Q10" s="12">
        <v>-7</v>
      </c>
      <c r="R10" s="12">
        <v>-7</v>
      </c>
      <c r="S10" s="12">
        <v>-7</v>
      </c>
      <c r="T10" s="12">
        <v>-7</v>
      </c>
      <c r="U10" s="12">
        <v>-8</v>
      </c>
      <c r="V10" s="12">
        <v>-8</v>
      </c>
      <c r="W10" s="12">
        <v>-8</v>
      </c>
      <c r="X10" s="12">
        <v>-9</v>
      </c>
      <c r="Y10" s="12">
        <v>-10</v>
      </c>
      <c r="Z10" s="12">
        <v>-14</v>
      </c>
      <c r="AA10" s="12">
        <v>-14</v>
      </c>
      <c r="AB10" s="12">
        <v>-16</v>
      </c>
      <c r="AC10" s="12">
        <v>-14</v>
      </c>
      <c r="AD10" s="12">
        <v>-14</v>
      </c>
      <c r="AE10" s="12">
        <v>-19</v>
      </c>
      <c r="AF10" s="12">
        <v>-23</v>
      </c>
      <c r="AG10" s="12">
        <v>-23</v>
      </c>
      <c r="AH10" s="812"/>
      <c r="AI10" s="812" t="s">
        <v>2254</v>
      </c>
    </row>
    <row r="11" spans="1:35" x14ac:dyDescent="0.25">
      <c r="A11" s="601" t="str">
        <f t="shared" si="0"/>
        <v>E1D07</v>
      </c>
      <c r="B11" s="599">
        <v>39476</v>
      </c>
      <c r="C11" s="601" t="s">
        <v>2251</v>
      </c>
      <c r="D11" s="600">
        <f t="shared" si="1"/>
        <v>39476</v>
      </c>
      <c r="E11" s="599" t="str">
        <f t="shared" si="2"/>
        <v>WD</v>
      </c>
      <c r="F11" s="598">
        <f t="shared" si="3"/>
        <v>-24.291666666666668</v>
      </c>
      <c r="G11" s="598">
        <f t="shared" si="4"/>
        <v>2.3121449982113198</v>
      </c>
      <c r="H11" s="597">
        <f t="shared" si="5"/>
        <v>-28</v>
      </c>
      <c r="I11" s="597">
        <f t="shared" si="6"/>
        <v>-19</v>
      </c>
      <c r="J11" s="12">
        <v>-26</v>
      </c>
      <c r="K11" s="12">
        <v>-23</v>
      </c>
      <c r="L11" s="12">
        <v>-28</v>
      </c>
      <c r="M11" s="12">
        <v>-25</v>
      </c>
      <c r="N11" s="12">
        <v>-23</v>
      </c>
      <c r="O11" s="12">
        <v>-23</v>
      </c>
      <c r="P11" s="12">
        <v>-26</v>
      </c>
      <c r="Q11" s="12">
        <v>-26</v>
      </c>
      <c r="R11" s="12">
        <v>-27</v>
      </c>
      <c r="S11" s="12">
        <v>-26</v>
      </c>
      <c r="T11" s="12">
        <v>-26</v>
      </c>
      <c r="U11" s="12">
        <v>-26</v>
      </c>
      <c r="V11" s="12">
        <v>-23</v>
      </c>
      <c r="W11" s="12">
        <v>-21</v>
      </c>
      <c r="X11" s="12">
        <v>-20</v>
      </c>
      <c r="Y11" s="12">
        <v>-19</v>
      </c>
      <c r="Z11" s="12">
        <v>-21</v>
      </c>
      <c r="AA11" s="12">
        <v>-23</v>
      </c>
      <c r="AB11" s="12">
        <v>-25</v>
      </c>
      <c r="AC11" s="12">
        <v>-25</v>
      </c>
      <c r="AD11" s="12">
        <v>-24</v>
      </c>
      <c r="AE11" s="12">
        <v>-25</v>
      </c>
      <c r="AF11" s="12">
        <v>-26</v>
      </c>
      <c r="AG11" s="12">
        <v>-26</v>
      </c>
      <c r="AH11" s="812"/>
      <c r="AI11" s="812"/>
    </row>
    <row r="12" spans="1:35" x14ac:dyDescent="0.25">
      <c r="A12" s="601" t="str">
        <f t="shared" si="0"/>
        <v>E1D08</v>
      </c>
      <c r="B12" s="599">
        <v>39477</v>
      </c>
      <c r="C12" s="601" t="s">
        <v>2251</v>
      </c>
      <c r="D12" s="600">
        <f t="shared" si="1"/>
        <v>39477</v>
      </c>
      <c r="E12" s="599" t="str">
        <f t="shared" si="2"/>
        <v>WD</v>
      </c>
      <c r="F12" s="598">
        <f t="shared" si="3"/>
        <v>-22</v>
      </c>
      <c r="G12" s="598">
        <f t="shared" si="4"/>
        <v>4.211784708978203</v>
      </c>
      <c r="H12" s="597">
        <f t="shared" si="5"/>
        <v>-26</v>
      </c>
      <c r="I12" s="597">
        <f t="shared" si="6"/>
        <v>-14</v>
      </c>
      <c r="J12" s="12">
        <v>-25</v>
      </c>
      <c r="K12" s="12">
        <v>-25</v>
      </c>
      <c r="L12" s="12">
        <v>-24</v>
      </c>
      <c r="M12" s="12">
        <v>-25</v>
      </c>
      <c r="N12" s="12">
        <v>-26</v>
      </c>
      <c r="O12" s="12">
        <v>-25</v>
      </c>
      <c r="P12" s="12">
        <v>-25</v>
      </c>
      <c r="Q12" s="12">
        <v>-26</v>
      </c>
      <c r="R12" s="12">
        <v>-25</v>
      </c>
      <c r="S12" s="12">
        <v>-25</v>
      </c>
      <c r="T12" s="12">
        <v>-25</v>
      </c>
      <c r="U12" s="12">
        <v>-25</v>
      </c>
      <c r="V12" s="12">
        <v>-21</v>
      </c>
      <c r="W12" s="12">
        <v>-19</v>
      </c>
      <c r="X12" s="12">
        <v>-18</v>
      </c>
      <c r="Y12" s="12">
        <v>-17</v>
      </c>
      <c r="Z12" s="12">
        <v>-23</v>
      </c>
      <c r="AA12" s="12">
        <v>-26</v>
      </c>
      <c r="AB12" s="12">
        <v>-25</v>
      </c>
      <c r="AC12" s="12">
        <v>-17</v>
      </c>
      <c r="AD12" s="12">
        <v>-17</v>
      </c>
      <c r="AE12" s="12">
        <v>-16</v>
      </c>
      <c r="AF12" s="12">
        <v>-14</v>
      </c>
      <c r="AG12" s="12">
        <v>-14</v>
      </c>
      <c r="AH12" s="812" t="s">
        <v>2255</v>
      </c>
      <c r="AI12" s="812"/>
    </row>
    <row r="13" spans="1:35" x14ac:dyDescent="0.25">
      <c r="A13" s="601" t="str">
        <f t="shared" si="0"/>
        <v>E1D09</v>
      </c>
      <c r="B13" s="599">
        <v>39478</v>
      </c>
      <c r="C13" s="601" t="s">
        <v>2251</v>
      </c>
      <c r="D13" s="600">
        <f t="shared" si="1"/>
        <v>39478</v>
      </c>
      <c r="E13" s="599" t="str">
        <f t="shared" si="2"/>
        <v>WD</v>
      </c>
      <c r="F13" s="598">
        <f t="shared" si="3"/>
        <v>-9.0833333333333339</v>
      </c>
      <c r="G13" s="598">
        <f t="shared" si="4"/>
        <v>2.357534944490272</v>
      </c>
      <c r="H13" s="597">
        <f t="shared" si="5"/>
        <v>-14</v>
      </c>
      <c r="I13" s="597">
        <f t="shared" si="6"/>
        <v>-5</v>
      </c>
      <c r="J13" s="12">
        <v>-14</v>
      </c>
      <c r="K13" s="12">
        <v>-14</v>
      </c>
      <c r="L13" s="12">
        <v>-13</v>
      </c>
      <c r="M13" s="12">
        <v>-12</v>
      </c>
      <c r="N13" s="12">
        <v>-10</v>
      </c>
      <c r="O13" s="12">
        <v>-10</v>
      </c>
      <c r="P13" s="12">
        <v>-10</v>
      </c>
      <c r="Q13" s="12">
        <v>-10</v>
      </c>
      <c r="R13" s="12">
        <v>-10</v>
      </c>
      <c r="S13" s="12">
        <v>-10</v>
      </c>
      <c r="T13" s="12">
        <v>-8</v>
      </c>
      <c r="U13" s="12">
        <v>-8</v>
      </c>
      <c r="V13" s="12">
        <v>-8</v>
      </c>
      <c r="W13" s="12">
        <v>-7</v>
      </c>
      <c r="X13" s="12">
        <v>-7</v>
      </c>
      <c r="Y13" s="12">
        <v>-7</v>
      </c>
      <c r="Z13" s="12">
        <v>-7</v>
      </c>
      <c r="AA13" s="12">
        <v>-8</v>
      </c>
      <c r="AB13" s="12">
        <v>-8</v>
      </c>
      <c r="AC13" s="12">
        <v>-10</v>
      </c>
      <c r="AD13" s="12">
        <v>-8</v>
      </c>
      <c r="AE13" s="12">
        <v>-7</v>
      </c>
      <c r="AF13" s="12">
        <v>-7</v>
      </c>
      <c r="AG13" s="12">
        <v>-5</v>
      </c>
      <c r="AH13" s="812"/>
      <c r="AI13" s="812"/>
    </row>
    <row r="14" spans="1:35" x14ac:dyDescent="0.25">
      <c r="A14" s="601" t="str">
        <f t="shared" si="0"/>
        <v>E1D10</v>
      </c>
      <c r="B14" s="599">
        <v>39479</v>
      </c>
      <c r="C14" s="601" t="s">
        <v>2251</v>
      </c>
      <c r="D14" s="600">
        <f t="shared" si="1"/>
        <v>39479</v>
      </c>
      <c r="E14" s="599" t="str">
        <f t="shared" si="2"/>
        <v>WD</v>
      </c>
      <c r="F14" s="598">
        <f t="shared" si="3"/>
        <v>-6.416666666666667</v>
      </c>
      <c r="G14" s="598">
        <f t="shared" si="4"/>
        <v>1.4719601443879751</v>
      </c>
      <c r="H14" s="597">
        <f t="shared" si="5"/>
        <v>-10</v>
      </c>
      <c r="I14" s="597">
        <f t="shared" si="6"/>
        <v>-4</v>
      </c>
      <c r="J14" s="12">
        <v>-5</v>
      </c>
      <c r="K14" s="12">
        <v>-5</v>
      </c>
      <c r="L14" s="12">
        <v>-7</v>
      </c>
      <c r="M14" s="12">
        <v>-7</v>
      </c>
      <c r="N14" s="12">
        <v>-7</v>
      </c>
      <c r="O14" s="12">
        <v>-7</v>
      </c>
      <c r="P14" s="12">
        <v>-5</v>
      </c>
      <c r="Q14" s="12">
        <v>-7</v>
      </c>
      <c r="R14" s="12">
        <v>-7</v>
      </c>
      <c r="S14" s="12">
        <v>-8</v>
      </c>
      <c r="T14" s="12">
        <v>-7</v>
      </c>
      <c r="U14" s="12">
        <v>-5</v>
      </c>
      <c r="V14" s="12">
        <v>-5</v>
      </c>
      <c r="W14" s="12">
        <v>-5</v>
      </c>
      <c r="X14" s="12">
        <v>-4</v>
      </c>
      <c r="Y14" s="12">
        <v>-5</v>
      </c>
      <c r="Z14" s="12">
        <v>-5</v>
      </c>
      <c r="AA14" s="12">
        <v>-5</v>
      </c>
      <c r="AB14" s="12">
        <v>-7</v>
      </c>
      <c r="AC14" s="12">
        <v>-7</v>
      </c>
      <c r="AD14" s="12">
        <v>-8</v>
      </c>
      <c r="AE14" s="12">
        <v>-10</v>
      </c>
      <c r="AF14" s="12">
        <v>-8</v>
      </c>
      <c r="AG14" s="12">
        <v>-8</v>
      </c>
      <c r="AH14" s="812"/>
      <c r="AI14" s="812" t="s">
        <v>2256</v>
      </c>
    </row>
    <row r="15" spans="1:35" x14ac:dyDescent="0.25">
      <c r="A15" s="601" t="str">
        <f t="shared" si="0"/>
        <v>E1D11</v>
      </c>
      <c r="B15" s="599">
        <v>39480</v>
      </c>
      <c r="C15" s="601" t="s">
        <v>2251</v>
      </c>
      <c r="D15" s="600">
        <f t="shared" si="1"/>
        <v>39480</v>
      </c>
      <c r="E15" s="599" t="str">
        <f t="shared" si="2"/>
        <v>WE</v>
      </c>
      <c r="F15" s="598">
        <f t="shared" si="3"/>
        <v>-13.416666666666666</v>
      </c>
      <c r="G15" s="598">
        <f t="shared" si="4"/>
        <v>6.807391549642559</v>
      </c>
      <c r="H15" s="597">
        <f t="shared" si="5"/>
        <v>-28</v>
      </c>
      <c r="I15" s="597">
        <f t="shared" si="6"/>
        <v>-7</v>
      </c>
      <c r="J15" s="12">
        <v>-8</v>
      </c>
      <c r="K15" s="12">
        <v>-8</v>
      </c>
      <c r="L15" s="12">
        <v>-7</v>
      </c>
      <c r="M15" s="12">
        <v>-8</v>
      </c>
      <c r="N15" s="12">
        <v>-8</v>
      </c>
      <c r="O15" s="12">
        <v>-8</v>
      </c>
      <c r="P15" s="12">
        <v>-8</v>
      </c>
      <c r="Q15" s="12">
        <v>-8</v>
      </c>
      <c r="R15" s="12">
        <v>-9</v>
      </c>
      <c r="S15" s="12">
        <v>-10</v>
      </c>
      <c r="T15" s="12">
        <v>-12</v>
      </c>
      <c r="U15" s="12">
        <v>-10</v>
      </c>
      <c r="V15" s="12">
        <v>-10</v>
      </c>
      <c r="W15" s="12">
        <v>-10</v>
      </c>
      <c r="X15" s="12">
        <v>-11</v>
      </c>
      <c r="Y15" s="12">
        <v>-12</v>
      </c>
      <c r="Z15" s="12">
        <v>-14</v>
      </c>
      <c r="AA15" s="12">
        <v>-17</v>
      </c>
      <c r="AB15" s="12">
        <v>-19</v>
      </c>
      <c r="AC15" s="12">
        <v>-21</v>
      </c>
      <c r="AD15" s="12">
        <v>-24</v>
      </c>
      <c r="AE15" s="12">
        <v>-26</v>
      </c>
      <c r="AF15" s="12">
        <v>-26</v>
      </c>
      <c r="AG15" s="12">
        <v>-28</v>
      </c>
      <c r="AH15" s="812"/>
      <c r="AI15" s="812"/>
    </row>
    <row r="16" spans="1:35" x14ac:dyDescent="0.25">
      <c r="A16" s="601" t="str">
        <f t="shared" si="0"/>
        <v>E1D12</v>
      </c>
      <c r="B16" s="599">
        <v>39481</v>
      </c>
      <c r="C16" s="601" t="s">
        <v>2251</v>
      </c>
      <c r="D16" s="600">
        <f t="shared" si="1"/>
        <v>39481</v>
      </c>
      <c r="E16" s="599" t="str">
        <f t="shared" si="2"/>
        <v>WE</v>
      </c>
      <c r="F16" s="598">
        <f t="shared" si="3"/>
        <v>-25.791666666666668</v>
      </c>
      <c r="G16" s="598">
        <f t="shared" si="4"/>
        <v>5.5870904512227968</v>
      </c>
      <c r="H16" s="597">
        <f t="shared" si="5"/>
        <v>-37</v>
      </c>
      <c r="I16" s="597">
        <f t="shared" si="6"/>
        <v>-19</v>
      </c>
      <c r="J16" s="12">
        <v>-25</v>
      </c>
      <c r="K16" s="12">
        <v>-23</v>
      </c>
      <c r="L16" s="12">
        <v>-23</v>
      </c>
      <c r="M16" s="12">
        <v>-23</v>
      </c>
      <c r="N16" s="12">
        <v>-23</v>
      </c>
      <c r="O16" s="12">
        <v>-21</v>
      </c>
      <c r="P16" s="12">
        <v>-23</v>
      </c>
      <c r="Q16" s="12">
        <v>-21</v>
      </c>
      <c r="R16" s="12">
        <v>-23</v>
      </c>
      <c r="S16" s="12">
        <v>-23</v>
      </c>
      <c r="T16" s="12">
        <v>-25</v>
      </c>
      <c r="U16" s="12">
        <v>-23</v>
      </c>
      <c r="V16" s="12">
        <v>-23</v>
      </c>
      <c r="W16" s="12">
        <v>-23</v>
      </c>
      <c r="X16" s="12">
        <v>-19</v>
      </c>
      <c r="Y16" s="12">
        <v>-19</v>
      </c>
      <c r="Z16" s="12">
        <v>-23</v>
      </c>
      <c r="AA16" s="12">
        <v>-28</v>
      </c>
      <c r="AB16" s="12">
        <v>-32</v>
      </c>
      <c r="AC16" s="12">
        <v>-34</v>
      </c>
      <c r="AD16" s="12">
        <v>-36</v>
      </c>
      <c r="AE16" s="12">
        <v>-35</v>
      </c>
      <c r="AF16" s="12">
        <v>-34</v>
      </c>
      <c r="AG16" s="12">
        <v>-37</v>
      </c>
      <c r="AH16" s="812" t="s">
        <v>2253</v>
      </c>
      <c r="AI16" s="812"/>
    </row>
    <row r="17" spans="1:35" x14ac:dyDescent="0.25">
      <c r="A17" s="601" t="str">
        <f t="shared" si="0"/>
        <v>E1D13</v>
      </c>
      <c r="B17" s="599">
        <v>39482</v>
      </c>
      <c r="C17" s="601" t="s">
        <v>2251</v>
      </c>
      <c r="D17" s="600">
        <f t="shared" si="1"/>
        <v>39482</v>
      </c>
      <c r="E17" s="599" t="str">
        <f t="shared" si="2"/>
        <v>WD</v>
      </c>
      <c r="F17" s="598">
        <f t="shared" si="3"/>
        <v>-36.75</v>
      </c>
      <c r="G17" s="598">
        <f t="shared" si="4"/>
        <v>4.4648384750957844</v>
      </c>
      <c r="H17" s="597">
        <f t="shared" si="5"/>
        <v>-43</v>
      </c>
      <c r="I17" s="597">
        <f t="shared" si="6"/>
        <v>-28</v>
      </c>
      <c r="J17" s="12">
        <v>-37</v>
      </c>
      <c r="K17" s="12">
        <v>-37</v>
      </c>
      <c r="L17" s="12">
        <v>-37</v>
      </c>
      <c r="M17" s="12">
        <v>-37</v>
      </c>
      <c r="N17" s="12">
        <v>-37</v>
      </c>
      <c r="O17" s="12">
        <v>-41</v>
      </c>
      <c r="P17" s="12">
        <v>-43</v>
      </c>
      <c r="Q17" s="12">
        <v>-41</v>
      </c>
      <c r="R17" s="12">
        <v>-41</v>
      </c>
      <c r="S17" s="12">
        <v>-43</v>
      </c>
      <c r="T17" s="12">
        <v>-37</v>
      </c>
      <c r="U17" s="12">
        <v>-37</v>
      </c>
      <c r="V17" s="12">
        <v>-32</v>
      </c>
      <c r="W17" s="12">
        <v>-28</v>
      </c>
      <c r="X17" s="12">
        <v>-29</v>
      </c>
      <c r="Y17" s="12">
        <v>-28</v>
      </c>
      <c r="Z17" s="12">
        <v>-30</v>
      </c>
      <c r="AA17" s="12">
        <v>-35</v>
      </c>
      <c r="AB17" s="12">
        <v>-37</v>
      </c>
      <c r="AC17" s="12">
        <v>-37</v>
      </c>
      <c r="AD17" s="12">
        <v>-37</v>
      </c>
      <c r="AE17" s="12">
        <v>-39</v>
      </c>
      <c r="AF17" s="12">
        <v>-41</v>
      </c>
      <c r="AG17" s="12">
        <v>-41</v>
      </c>
      <c r="AH17" s="812"/>
      <c r="AI17" s="812"/>
    </row>
    <row r="18" spans="1:35" x14ac:dyDescent="0.25">
      <c r="A18" s="601" t="str">
        <f t="shared" si="0"/>
        <v>E1D14</v>
      </c>
      <c r="B18" s="599">
        <v>39483</v>
      </c>
      <c r="C18" s="601" t="s">
        <v>2251</v>
      </c>
      <c r="D18" s="600">
        <f t="shared" si="1"/>
        <v>39483</v>
      </c>
      <c r="E18" s="599" t="str">
        <f t="shared" si="2"/>
        <v>WD</v>
      </c>
      <c r="F18" s="598">
        <f t="shared" si="3"/>
        <v>-39.041666666666664</v>
      </c>
      <c r="G18" s="598">
        <f t="shared" si="4"/>
        <v>5.0689092100480799</v>
      </c>
      <c r="H18" s="597">
        <f t="shared" si="5"/>
        <v>-44</v>
      </c>
      <c r="I18" s="597">
        <f t="shared" si="6"/>
        <v>-28</v>
      </c>
      <c r="J18" s="12">
        <v>-43</v>
      </c>
      <c r="K18" s="12">
        <v>-43</v>
      </c>
      <c r="L18" s="12">
        <v>-41</v>
      </c>
      <c r="M18" s="12">
        <v>-43</v>
      </c>
      <c r="N18" s="12">
        <v>-43</v>
      </c>
      <c r="O18" s="12">
        <v>-44</v>
      </c>
      <c r="P18" s="12">
        <v>-43</v>
      </c>
      <c r="Q18" s="12">
        <v>-43</v>
      </c>
      <c r="R18" s="12">
        <v>-44</v>
      </c>
      <c r="S18" s="12">
        <v>-43</v>
      </c>
      <c r="T18" s="12">
        <v>-43</v>
      </c>
      <c r="U18" s="12">
        <v>-37</v>
      </c>
      <c r="V18" s="12">
        <v>-35</v>
      </c>
      <c r="W18" s="12">
        <v>-32</v>
      </c>
      <c r="X18" s="12">
        <v>-28</v>
      </c>
      <c r="Y18" s="12">
        <v>-28</v>
      </c>
      <c r="Z18" s="12">
        <v>-32</v>
      </c>
      <c r="AA18" s="12">
        <v>-35</v>
      </c>
      <c r="AB18" s="12">
        <v>-37</v>
      </c>
      <c r="AC18" s="12">
        <v>-37</v>
      </c>
      <c r="AD18" s="12">
        <v>-38</v>
      </c>
      <c r="AE18" s="12">
        <v>-41</v>
      </c>
      <c r="AF18" s="12">
        <v>-43</v>
      </c>
      <c r="AG18" s="12">
        <v>-41</v>
      </c>
      <c r="AH18" s="812"/>
      <c r="AI18" s="812"/>
    </row>
    <row r="19" spans="1:35" x14ac:dyDescent="0.25">
      <c r="A19" s="601" t="str">
        <f t="shared" si="0"/>
        <v>E1D15</v>
      </c>
      <c r="B19" s="599">
        <v>39484</v>
      </c>
      <c r="C19" s="601" t="s">
        <v>2251</v>
      </c>
      <c r="D19" s="600">
        <f t="shared" si="1"/>
        <v>39484</v>
      </c>
      <c r="E19" s="599" t="str">
        <f t="shared" si="2"/>
        <v>WD</v>
      </c>
      <c r="F19" s="598">
        <f t="shared" si="3"/>
        <v>-39.791666666666664</v>
      </c>
      <c r="G19" s="598">
        <f t="shared" si="4"/>
        <v>4.7363457448219357</v>
      </c>
      <c r="H19" s="597">
        <f t="shared" si="5"/>
        <v>-44</v>
      </c>
      <c r="I19" s="597">
        <f t="shared" si="6"/>
        <v>-29</v>
      </c>
      <c r="J19" s="12">
        <v>-43</v>
      </c>
      <c r="K19" s="12">
        <v>-43</v>
      </c>
      <c r="L19" s="12">
        <v>-42</v>
      </c>
      <c r="M19" s="12">
        <v>-43</v>
      </c>
      <c r="N19" s="12">
        <v>-43</v>
      </c>
      <c r="O19" s="12">
        <v>-43</v>
      </c>
      <c r="P19" s="12">
        <v>-43</v>
      </c>
      <c r="Q19" s="12">
        <v>-44</v>
      </c>
      <c r="R19" s="12">
        <v>-44</v>
      </c>
      <c r="S19" s="12">
        <v>-43</v>
      </c>
      <c r="T19" s="12">
        <v>-43</v>
      </c>
      <c r="U19" s="12">
        <v>-37</v>
      </c>
      <c r="V19" s="12">
        <v>-34</v>
      </c>
      <c r="W19" s="12">
        <v>-35</v>
      </c>
      <c r="X19" s="12">
        <v>-29</v>
      </c>
      <c r="Y19" s="12">
        <v>-30</v>
      </c>
      <c r="Z19" s="12">
        <v>-32</v>
      </c>
      <c r="AA19" s="12">
        <v>-37</v>
      </c>
      <c r="AB19" s="12">
        <v>-41</v>
      </c>
      <c r="AC19" s="12">
        <v>-37</v>
      </c>
      <c r="AD19" s="12">
        <v>-39</v>
      </c>
      <c r="AE19" s="12">
        <v>-43</v>
      </c>
      <c r="AF19" s="12">
        <v>-43</v>
      </c>
      <c r="AG19" s="12">
        <v>-44</v>
      </c>
      <c r="AH19" s="812"/>
      <c r="AI19" s="812"/>
    </row>
    <row r="20" spans="1:35" x14ac:dyDescent="0.25">
      <c r="A20" s="601" t="str">
        <f t="shared" si="0"/>
        <v>E1D16</v>
      </c>
      <c r="B20" s="599">
        <v>39485</v>
      </c>
      <c r="C20" s="601" t="s">
        <v>2251</v>
      </c>
      <c r="D20" s="600">
        <f t="shared" si="1"/>
        <v>39485</v>
      </c>
      <c r="E20" s="599" t="str">
        <f t="shared" si="2"/>
        <v>WD</v>
      </c>
      <c r="F20" s="598">
        <f t="shared" si="3"/>
        <v>-38.958333333333336</v>
      </c>
      <c r="G20" s="598">
        <f t="shared" si="4"/>
        <v>4.8137408996824353</v>
      </c>
      <c r="H20" s="597">
        <f t="shared" si="5"/>
        <v>-44</v>
      </c>
      <c r="I20" s="597">
        <f t="shared" si="6"/>
        <v>-30</v>
      </c>
      <c r="J20" s="12">
        <v>-44</v>
      </c>
      <c r="K20" s="12">
        <v>-44</v>
      </c>
      <c r="L20" s="12">
        <v>-44</v>
      </c>
      <c r="M20" s="12">
        <v>-44</v>
      </c>
      <c r="N20" s="12">
        <v>-44</v>
      </c>
      <c r="O20" s="12">
        <v>-43</v>
      </c>
      <c r="P20" s="12">
        <v>-43</v>
      </c>
      <c r="Q20" s="12">
        <v>-44</v>
      </c>
      <c r="R20" s="12">
        <v>-44</v>
      </c>
      <c r="S20" s="12">
        <v>-43</v>
      </c>
      <c r="T20" s="12">
        <v>-43</v>
      </c>
      <c r="U20" s="12">
        <v>-37</v>
      </c>
      <c r="V20" s="12">
        <v>-37</v>
      </c>
      <c r="W20" s="12">
        <v>-34</v>
      </c>
      <c r="X20" s="12">
        <v>-30</v>
      </c>
      <c r="Y20" s="12">
        <v>-30</v>
      </c>
      <c r="Z20" s="12">
        <v>-34</v>
      </c>
      <c r="AA20" s="12">
        <v>-35</v>
      </c>
      <c r="AB20" s="12">
        <v>-34</v>
      </c>
      <c r="AC20" s="12">
        <v>-35</v>
      </c>
      <c r="AD20" s="12">
        <v>-36</v>
      </c>
      <c r="AE20" s="12">
        <v>-37</v>
      </c>
      <c r="AF20" s="12">
        <v>-37</v>
      </c>
      <c r="AG20" s="12">
        <v>-39</v>
      </c>
      <c r="AH20" s="812"/>
      <c r="AI20" s="812"/>
    </row>
    <row r="21" spans="1:35" x14ac:dyDescent="0.25">
      <c r="A21" s="601" t="str">
        <f t="shared" si="0"/>
        <v>E1D17</v>
      </c>
      <c r="B21" s="599">
        <v>39486</v>
      </c>
      <c r="C21" s="601" t="s">
        <v>2251</v>
      </c>
      <c r="D21" s="600">
        <f t="shared" si="1"/>
        <v>39486</v>
      </c>
      <c r="E21" s="599" t="str">
        <f t="shared" si="2"/>
        <v>WD</v>
      </c>
      <c r="F21" s="598">
        <f t="shared" si="3"/>
        <v>-36.166666666666664</v>
      </c>
      <c r="G21" s="598">
        <f t="shared" si="4"/>
        <v>5.5455949354785865</v>
      </c>
      <c r="H21" s="597">
        <f t="shared" si="5"/>
        <v>-44</v>
      </c>
      <c r="I21" s="597">
        <f t="shared" si="6"/>
        <v>-24</v>
      </c>
      <c r="J21" s="12">
        <v>-37</v>
      </c>
      <c r="K21" s="12">
        <v>-41</v>
      </c>
      <c r="L21" s="12">
        <v>-39</v>
      </c>
      <c r="M21" s="12">
        <v>-41</v>
      </c>
      <c r="N21" s="12">
        <v>-43</v>
      </c>
      <c r="O21" s="12">
        <v>-43</v>
      </c>
      <c r="P21" s="12">
        <v>-41</v>
      </c>
      <c r="Q21" s="12">
        <v>-44</v>
      </c>
      <c r="R21" s="12">
        <v>-40</v>
      </c>
      <c r="S21" s="12">
        <v>-41</v>
      </c>
      <c r="T21" s="12">
        <v>-39</v>
      </c>
      <c r="U21" s="12">
        <v>-37</v>
      </c>
      <c r="V21" s="12">
        <v>-32</v>
      </c>
      <c r="W21" s="12">
        <v>-26</v>
      </c>
      <c r="X21" s="12">
        <v>-24</v>
      </c>
      <c r="Y21" s="12">
        <v>-25</v>
      </c>
      <c r="Z21" s="12">
        <v>-32</v>
      </c>
      <c r="AA21" s="12">
        <v>-34</v>
      </c>
      <c r="AB21" s="12">
        <v>-35</v>
      </c>
      <c r="AC21" s="12">
        <v>-35</v>
      </c>
      <c r="AD21" s="12">
        <v>-34</v>
      </c>
      <c r="AE21" s="12">
        <v>-35</v>
      </c>
      <c r="AF21" s="12">
        <v>-35</v>
      </c>
      <c r="AG21" s="12">
        <v>-35</v>
      </c>
      <c r="AH21" s="812"/>
      <c r="AI21" s="812"/>
    </row>
    <row r="22" spans="1:35" x14ac:dyDescent="0.25">
      <c r="A22" s="601" t="str">
        <f t="shared" si="0"/>
        <v>E1D18</v>
      </c>
      <c r="B22" s="599">
        <v>39487</v>
      </c>
      <c r="C22" s="601" t="s">
        <v>2251</v>
      </c>
      <c r="D22" s="600">
        <f t="shared" si="1"/>
        <v>39487</v>
      </c>
      <c r="E22" s="599" t="str">
        <f t="shared" si="2"/>
        <v>WE</v>
      </c>
      <c r="F22" s="598">
        <f t="shared" si="3"/>
        <v>-33.583333333333336</v>
      </c>
      <c r="G22" s="598">
        <f t="shared" si="4"/>
        <v>8.682399321098659</v>
      </c>
      <c r="H22" s="597">
        <f t="shared" si="5"/>
        <v>-43</v>
      </c>
      <c r="I22" s="597">
        <f t="shared" si="6"/>
        <v>-15</v>
      </c>
      <c r="J22" s="12">
        <v>-41</v>
      </c>
      <c r="K22" s="12">
        <v>-41</v>
      </c>
      <c r="L22" s="12">
        <v>-41</v>
      </c>
      <c r="M22" s="12">
        <v>-37</v>
      </c>
      <c r="N22" s="12">
        <v>-41</v>
      </c>
      <c r="O22" s="12">
        <v>-43</v>
      </c>
      <c r="P22" s="12">
        <v>-41</v>
      </c>
      <c r="Q22" s="12">
        <v>-43</v>
      </c>
      <c r="R22" s="12">
        <v>-41</v>
      </c>
      <c r="S22" s="12">
        <v>-39</v>
      </c>
      <c r="T22" s="12">
        <v>-37</v>
      </c>
      <c r="U22" s="12">
        <v>-32</v>
      </c>
      <c r="V22" s="12">
        <v>-28</v>
      </c>
      <c r="W22" s="12">
        <v>-21</v>
      </c>
      <c r="X22" s="12">
        <v>-15</v>
      </c>
      <c r="Y22" s="12">
        <v>-18</v>
      </c>
      <c r="Z22" s="12">
        <v>-21</v>
      </c>
      <c r="AA22" s="12">
        <v>-24</v>
      </c>
      <c r="AB22" s="12">
        <v>-27</v>
      </c>
      <c r="AC22" s="12">
        <v>-29</v>
      </c>
      <c r="AD22" s="12">
        <v>-32</v>
      </c>
      <c r="AE22" s="12">
        <v>-35</v>
      </c>
      <c r="AF22" s="12">
        <v>-38</v>
      </c>
      <c r="AG22" s="12">
        <v>-41</v>
      </c>
      <c r="AH22" s="812"/>
      <c r="AI22" s="812"/>
    </row>
    <row r="23" spans="1:35" x14ac:dyDescent="0.25">
      <c r="A23" s="596" t="str">
        <f t="shared" si="0"/>
        <v>E1D19</v>
      </c>
      <c r="B23" s="594">
        <v>39488</v>
      </c>
      <c r="C23" s="596" t="s">
        <v>2251</v>
      </c>
      <c r="D23" s="595">
        <f t="shared" si="1"/>
        <v>39488</v>
      </c>
      <c r="E23" s="594" t="str">
        <f t="shared" si="2"/>
        <v>WE</v>
      </c>
      <c r="F23" s="593">
        <f t="shared" si="3"/>
        <v>-38.666666666666664</v>
      </c>
      <c r="G23" s="593">
        <f t="shared" si="4"/>
        <v>6.741607772803083</v>
      </c>
      <c r="H23" s="592">
        <f t="shared" si="5"/>
        <v>-46</v>
      </c>
      <c r="I23" s="592">
        <f t="shared" si="6"/>
        <v>-23</v>
      </c>
      <c r="J23" s="583">
        <v>-41</v>
      </c>
      <c r="K23" s="583">
        <v>-43</v>
      </c>
      <c r="L23" s="583">
        <v>-43</v>
      </c>
      <c r="M23" s="583">
        <v>-43</v>
      </c>
      <c r="N23" s="583">
        <v>-44</v>
      </c>
      <c r="O23" s="583">
        <v>-44</v>
      </c>
      <c r="P23" s="583">
        <v>-44</v>
      </c>
      <c r="Q23" s="583">
        <v>-46</v>
      </c>
      <c r="R23" s="583">
        <v>-45</v>
      </c>
      <c r="S23" s="583">
        <v>-46</v>
      </c>
      <c r="T23" s="583">
        <v>-45</v>
      </c>
      <c r="U23" s="583">
        <v>-43</v>
      </c>
      <c r="V23" s="583">
        <v>-42</v>
      </c>
      <c r="W23" s="583">
        <v>-40</v>
      </c>
      <c r="X23" s="583">
        <v>-39</v>
      </c>
      <c r="Y23" s="583">
        <v>-37</v>
      </c>
      <c r="Z23" s="583">
        <v>-36</v>
      </c>
      <c r="AA23" s="583">
        <v>-34</v>
      </c>
      <c r="AB23" s="583">
        <v>-33</v>
      </c>
      <c r="AC23" s="583">
        <v>-31</v>
      </c>
      <c r="AD23" s="583">
        <v>-30</v>
      </c>
      <c r="AE23" s="583">
        <v>-23</v>
      </c>
      <c r="AF23" s="583">
        <v>-30</v>
      </c>
      <c r="AG23" s="583">
        <v>-26</v>
      </c>
      <c r="AH23" s="812"/>
      <c r="AI23" s="812"/>
    </row>
    <row r="24" spans="1:35" x14ac:dyDescent="0.25">
      <c r="A24" s="591" t="str">
        <f t="shared" ref="A24:A39" si="7">RIGHT(C24,2)&amp;"D"&amp;TEXT(ROW()-23,"00")</f>
        <v>E2D01</v>
      </c>
      <c r="B24" s="589">
        <v>39754</v>
      </c>
      <c r="C24" s="591" t="s">
        <v>2257</v>
      </c>
      <c r="D24" s="590">
        <f t="shared" si="1"/>
        <v>39754</v>
      </c>
      <c r="E24" s="589" t="str">
        <f t="shared" si="2"/>
        <v>WE</v>
      </c>
      <c r="F24" s="503">
        <f t="shared" si="3"/>
        <v>4.875</v>
      </c>
      <c r="G24" s="503">
        <f t="shared" si="4"/>
        <v>3.5669070757389409</v>
      </c>
      <c r="H24" s="588">
        <f t="shared" si="5"/>
        <v>-3</v>
      </c>
      <c r="I24" s="588">
        <f t="shared" si="6"/>
        <v>9</v>
      </c>
      <c r="J24" s="12">
        <v>-3</v>
      </c>
      <c r="K24" s="12">
        <v>-1</v>
      </c>
      <c r="L24" s="12">
        <v>0</v>
      </c>
      <c r="M24" s="12">
        <v>0</v>
      </c>
      <c r="N24" s="12">
        <v>1</v>
      </c>
      <c r="O24" s="12">
        <v>3</v>
      </c>
      <c r="P24" s="12">
        <v>3</v>
      </c>
      <c r="Q24" s="12">
        <v>3</v>
      </c>
      <c r="R24" s="12">
        <v>4</v>
      </c>
      <c r="S24" s="12">
        <v>3</v>
      </c>
      <c r="T24" s="12">
        <v>5</v>
      </c>
      <c r="U24" s="12">
        <v>7</v>
      </c>
      <c r="V24" s="12">
        <v>7</v>
      </c>
      <c r="W24" s="12">
        <v>9</v>
      </c>
      <c r="X24" s="12">
        <v>8</v>
      </c>
      <c r="Y24" s="12">
        <v>9</v>
      </c>
      <c r="Z24" s="12">
        <v>9</v>
      </c>
      <c r="AA24" s="12">
        <v>9</v>
      </c>
      <c r="AB24" s="12">
        <v>7</v>
      </c>
      <c r="AC24" s="12">
        <v>7</v>
      </c>
      <c r="AD24" s="12">
        <v>6</v>
      </c>
      <c r="AE24" s="12">
        <v>5</v>
      </c>
      <c r="AF24" s="12">
        <v>7</v>
      </c>
      <c r="AG24" s="12">
        <v>9</v>
      </c>
      <c r="AH24" s="812"/>
      <c r="AI24" s="812"/>
    </row>
    <row r="25" spans="1:35" x14ac:dyDescent="0.25">
      <c r="A25" s="591" t="str">
        <f t="shared" si="7"/>
        <v>E2D02</v>
      </c>
      <c r="B25" s="589">
        <v>39755</v>
      </c>
      <c r="C25" s="591" t="s">
        <v>2257</v>
      </c>
      <c r="D25" s="590">
        <f t="shared" si="1"/>
        <v>39755</v>
      </c>
      <c r="E25" s="589" t="str">
        <f t="shared" si="2"/>
        <v>WD</v>
      </c>
      <c r="F25" s="503">
        <f t="shared" si="3"/>
        <v>8.9583333333333339</v>
      </c>
      <c r="G25" s="503">
        <f t="shared" si="4"/>
        <v>2.6942639015164214</v>
      </c>
      <c r="H25" s="588">
        <f t="shared" si="5"/>
        <v>1</v>
      </c>
      <c r="I25" s="588">
        <f t="shared" si="6"/>
        <v>12</v>
      </c>
      <c r="J25" s="12">
        <v>1</v>
      </c>
      <c r="K25" s="12">
        <v>3</v>
      </c>
      <c r="L25" s="12">
        <v>5</v>
      </c>
      <c r="M25" s="12">
        <v>7</v>
      </c>
      <c r="N25" s="12">
        <v>7</v>
      </c>
      <c r="O25" s="12">
        <v>9</v>
      </c>
      <c r="P25" s="12">
        <v>9</v>
      </c>
      <c r="Q25" s="12">
        <v>9</v>
      </c>
      <c r="R25" s="12">
        <v>9</v>
      </c>
      <c r="S25" s="12">
        <v>9</v>
      </c>
      <c r="T25" s="12">
        <v>9</v>
      </c>
      <c r="U25" s="12">
        <v>10</v>
      </c>
      <c r="V25" s="12">
        <v>10</v>
      </c>
      <c r="W25" s="12">
        <v>10</v>
      </c>
      <c r="X25" s="12">
        <v>11</v>
      </c>
      <c r="Y25" s="12">
        <v>10</v>
      </c>
      <c r="Z25" s="12">
        <v>10</v>
      </c>
      <c r="AA25" s="12">
        <v>10</v>
      </c>
      <c r="AB25" s="12">
        <v>10</v>
      </c>
      <c r="AC25" s="12">
        <v>10</v>
      </c>
      <c r="AD25" s="12">
        <v>11</v>
      </c>
      <c r="AE25" s="12">
        <v>12</v>
      </c>
      <c r="AF25" s="12">
        <v>12</v>
      </c>
      <c r="AG25" s="12">
        <v>12</v>
      </c>
      <c r="AH25" s="812"/>
      <c r="AI25" s="812"/>
    </row>
    <row r="26" spans="1:35" x14ac:dyDescent="0.25">
      <c r="A26" s="591" t="str">
        <f t="shared" si="7"/>
        <v>E2D03</v>
      </c>
      <c r="B26" s="589">
        <v>39756</v>
      </c>
      <c r="C26" s="591" t="s">
        <v>2257</v>
      </c>
      <c r="D26" s="590">
        <f t="shared" si="1"/>
        <v>39756</v>
      </c>
      <c r="E26" s="589" t="str">
        <f t="shared" si="2"/>
        <v>WD</v>
      </c>
      <c r="F26" s="503">
        <f t="shared" si="3"/>
        <v>8.4166666666666661</v>
      </c>
      <c r="G26" s="503">
        <f t="shared" si="4"/>
        <v>4.1485111699905337</v>
      </c>
      <c r="H26" s="588">
        <f t="shared" si="5"/>
        <v>1</v>
      </c>
      <c r="I26" s="588">
        <f t="shared" si="6"/>
        <v>13</v>
      </c>
      <c r="J26" s="12">
        <v>12</v>
      </c>
      <c r="K26" s="12">
        <v>9</v>
      </c>
      <c r="L26" s="12">
        <v>11</v>
      </c>
      <c r="M26" s="12">
        <v>12</v>
      </c>
      <c r="N26" s="12">
        <v>12</v>
      </c>
      <c r="O26" s="12">
        <v>12</v>
      </c>
      <c r="P26" s="12">
        <v>12</v>
      </c>
      <c r="Q26" s="12">
        <v>10</v>
      </c>
      <c r="R26" s="12">
        <v>10</v>
      </c>
      <c r="S26" s="12">
        <v>10</v>
      </c>
      <c r="T26" s="12">
        <v>9</v>
      </c>
      <c r="U26" s="12">
        <v>12</v>
      </c>
      <c r="V26" s="12">
        <v>9</v>
      </c>
      <c r="W26" s="12">
        <v>12</v>
      </c>
      <c r="X26" s="12">
        <v>13</v>
      </c>
      <c r="Y26" s="12">
        <v>10</v>
      </c>
      <c r="Z26" s="12">
        <v>10</v>
      </c>
      <c r="AA26" s="12">
        <v>5</v>
      </c>
      <c r="AB26" s="12">
        <v>1</v>
      </c>
      <c r="AC26" s="12">
        <v>1</v>
      </c>
      <c r="AD26" s="12">
        <v>3</v>
      </c>
      <c r="AE26" s="12">
        <v>3</v>
      </c>
      <c r="AF26" s="12">
        <v>3</v>
      </c>
      <c r="AG26" s="12">
        <v>1</v>
      </c>
      <c r="AH26" s="812"/>
      <c r="AI26" s="812"/>
    </row>
    <row r="27" spans="1:35" x14ac:dyDescent="0.25">
      <c r="A27" s="591" t="str">
        <f t="shared" si="7"/>
        <v>E2D04</v>
      </c>
      <c r="B27" s="589">
        <v>39757</v>
      </c>
      <c r="C27" s="591" t="s">
        <v>2257</v>
      </c>
      <c r="D27" s="590">
        <f t="shared" si="1"/>
        <v>39757</v>
      </c>
      <c r="E27" s="589" t="str">
        <f t="shared" si="2"/>
        <v>WD</v>
      </c>
      <c r="F27" s="503">
        <f t="shared" si="3"/>
        <v>-1.625</v>
      </c>
      <c r="G27" s="503">
        <f t="shared" si="4"/>
        <v>3.5485759544284559</v>
      </c>
      <c r="H27" s="588">
        <f t="shared" si="5"/>
        <v>-8</v>
      </c>
      <c r="I27" s="588">
        <f t="shared" si="6"/>
        <v>3</v>
      </c>
      <c r="J27" s="12">
        <v>1</v>
      </c>
      <c r="K27" s="12">
        <v>0</v>
      </c>
      <c r="L27" s="12">
        <v>-5</v>
      </c>
      <c r="M27" s="12">
        <v>-1</v>
      </c>
      <c r="N27" s="12">
        <v>-5</v>
      </c>
      <c r="O27" s="12">
        <v>-5</v>
      </c>
      <c r="P27" s="12">
        <v>-5</v>
      </c>
      <c r="Q27" s="12">
        <v>-7</v>
      </c>
      <c r="R27" s="12">
        <v>-8</v>
      </c>
      <c r="S27" s="12">
        <v>-7</v>
      </c>
      <c r="T27" s="12">
        <v>-5</v>
      </c>
      <c r="U27" s="12">
        <v>0</v>
      </c>
      <c r="V27" s="12">
        <v>3</v>
      </c>
      <c r="W27" s="12">
        <v>3</v>
      </c>
      <c r="X27" s="12">
        <v>3</v>
      </c>
      <c r="Y27" s="12">
        <v>3</v>
      </c>
      <c r="Z27" s="12">
        <v>3</v>
      </c>
      <c r="AA27" s="12">
        <v>-3</v>
      </c>
      <c r="AB27" s="12">
        <v>0</v>
      </c>
      <c r="AC27" s="12">
        <v>0</v>
      </c>
      <c r="AD27" s="12">
        <v>-3</v>
      </c>
      <c r="AE27" s="12">
        <v>0</v>
      </c>
      <c r="AF27" s="12">
        <v>-1</v>
      </c>
      <c r="AG27" s="12">
        <v>0</v>
      </c>
      <c r="AH27" s="812"/>
      <c r="AI27" s="812" t="s">
        <v>2258</v>
      </c>
    </row>
    <row r="28" spans="1:35" x14ac:dyDescent="0.25">
      <c r="A28" s="591" t="str">
        <f t="shared" si="7"/>
        <v>E2D05</v>
      </c>
      <c r="B28" s="589">
        <v>39758</v>
      </c>
      <c r="C28" s="591" t="s">
        <v>2257</v>
      </c>
      <c r="D28" s="590">
        <f t="shared" si="1"/>
        <v>39758</v>
      </c>
      <c r="E28" s="589" t="str">
        <f t="shared" si="2"/>
        <v>WD</v>
      </c>
      <c r="F28" s="503">
        <f t="shared" si="3"/>
        <v>-0.625</v>
      </c>
      <c r="G28" s="503">
        <f t="shared" si="4"/>
        <v>3.8199988618254621</v>
      </c>
      <c r="H28" s="588">
        <f t="shared" si="5"/>
        <v>-10</v>
      </c>
      <c r="I28" s="588">
        <f t="shared" si="6"/>
        <v>5</v>
      </c>
      <c r="J28" s="12">
        <v>0</v>
      </c>
      <c r="K28" s="12">
        <v>-1</v>
      </c>
      <c r="L28" s="12">
        <v>1</v>
      </c>
      <c r="M28" s="12">
        <v>3</v>
      </c>
      <c r="N28" s="12">
        <v>0</v>
      </c>
      <c r="O28" s="12">
        <v>0</v>
      </c>
      <c r="P28" s="12">
        <v>-1</v>
      </c>
      <c r="Q28" s="12">
        <v>1</v>
      </c>
      <c r="R28" s="12">
        <v>0</v>
      </c>
      <c r="S28" s="12">
        <v>0</v>
      </c>
      <c r="T28" s="12">
        <v>0</v>
      </c>
      <c r="U28" s="12">
        <v>1</v>
      </c>
      <c r="V28" s="12">
        <v>5</v>
      </c>
      <c r="W28" s="12">
        <v>3</v>
      </c>
      <c r="X28" s="12">
        <v>5</v>
      </c>
      <c r="Y28" s="12">
        <v>3</v>
      </c>
      <c r="Z28" s="12">
        <v>0</v>
      </c>
      <c r="AA28" s="12">
        <v>0</v>
      </c>
      <c r="AB28" s="12">
        <v>-1</v>
      </c>
      <c r="AC28" s="12">
        <v>-3</v>
      </c>
      <c r="AD28" s="12">
        <v>-5</v>
      </c>
      <c r="AE28" s="12">
        <v>-8</v>
      </c>
      <c r="AF28" s="12">
        <v>-8</v>
      </c>
      <c r="AG28" s="12">
        <v>-10</v>
      </c>
      <c r="AH28" s="812" t="s">
        <v>2259</v>
      </c>
      <c r="AI28" s="812"/>
    </row>
    <row r="29" spans="1:35" x14ac:dyDescent="0.25">
      <c r="A29" s="591" t="str">
        <f t="shared" si="7"/>
        <v>E2D06</v>
      </c>
      <c r="B29" s="589">
        <v>39759</v>
      </c>
      <c r="C29" s="591" t="s">
        <v>2257</v>
      </c>
      <c r="D29" s="590">
        <f t="shared" si="1"/>
        <v>39759</v>
      </c>
      <c r="E29" s="589" t="str">
        <f t="shared" si="2"/>
        <v>WD</v>
      </c>
      <c r="F29" s="503">
        <f t="shared" si="3"/>
        <v>-6.041666666666667</v>
      </c>
      <c r="G29" s="503">
        <f t="shared" si="4"/>
        <v>6.1253512173778155</v>
      </c>
      <c r="H29" s="588">
        <f t="shared" si="5"/>
        <v>-16</v>
      </c>
      <c r="I29" s="588">
        <f t="shared" si="6"/>
        <v>1</v>
      </c>
      <c r="J29" s="12">
        <v>-10</v>
      </c>
      <c r="K29" s="12">
        <v>-10</v>
      </c>
      <c r="L29" s="12">
        <v>-10</v>
      </c>
      <c r="M29" s="12">
        <v>-12</v>
      </c>
      <c r="N29" s="12">
        <v>-14</v>
      </c>
      <c r="O29" s="12">
        <v>-14</v>
      </c>
      <c r="P29" s="12">
        <v>-16</v>
      </c>
      <c r="Q29" s="12">
        <v>-14</v>
      </c>
      <c r="R29" s="12">
        <v>-15</v>
      </c>
      <c r="S29" s="12">
        <v>-10</v>
      </c>
      <c r="T29" s="12">
        <v>-8</v>
      </c>
      <c r="U29" s="12">
        <v>-7</v>
      </c>
      <c r="V29" s="12">
        <v>-3</v>
      </c>
      <c r="W29" s="12">
        <v>-1</v>
      </c>
      <c r="X29" s="12">
        <v>0</v>
      </c>
      <c r="Y29" s="12">
        <v>0</v>
      </c>
      <c r="Z29" s="12">
        <v>0</v>
      </c>
      <c r="AA29" s="12">
        <v>-1</v>
      </c>
      <c r="AB29" s="12">
        <v>-1</v>
      </c>
      <c r="AC29" s="12">
        <v>0</v>
      </c>
      <c r="AD29" s="12">
        <v>0</v>
      </c>
      <c r="AE29" s="12">
        <v>0</v>
      </c>
      <c r="AF29" s="12">
        <v>0</v>
      </c>
      <c r="AG29" s="12">
        <v>1</v>
      </c>
      <c r="AH29" s="812"/>
      <c r="AI29" s="812"/>
    </row>
    <row r="30" spans="1:35" x14ac:dyDescent="0.25">
      <c r="A30" s="591" t="str">
        <f t="shared" si="7"/>
        <v>E2D07</v>
      </c>
      <c r="B30" s="589">
        <v>39760</v>
      </c>
      <c r="C30" s="591" t="s">
        <v>2257</v>
      </c>
      <c r="D30" s="590">
        <f t="shared" si="1"/>
        <v>39760</v>
      </c>
      <c r="E30" s="589" t="str">
        <f t="shared" si="2"/>
        <v>WE</v>
      </c>
      <c r="F30" s="503">
        <f t="shared" si="3"/>
        <v>-4.041666666666667</v>
      </c>
      <c r="G30" s="503">
        <f t="shared" si="4"/>
        <v>3.0571252006997724</v>
      </c>
      <c r="H30" s="588">
        <f t="shared" si="5"/>
        <v>-10</v>
      </c>
      <c r="I30" s="588">
        <f t="shared" si="6"/>
        <v>1</v>
      </c>
      <c r="J30" s="12">
        <v>0</v>
      </c>
      <c r="K30" s="12">
        <v>-1</v>
      </c>
      <c r="L30" s="12">
        <v>-3</v>
      </c>
      <c r="M30" s="12">
        <v>-5</v>
      </c>
      <c r="N30" s="12">
        <v>-5</v>
      </c>
      <c r="O30" s="12">
        <v>-3</v>
      </c>
      <c r="P30" s="12">
        <v>-7</v>
      </c>
      <c r="Q30" s="12">
        <v>-7</v>
      </c>
      <c r="R30" s="12">
        <v>-7</v>
      </c>
      <c r="S30" s="12">
        <v>-8</v>
      </c>
      <c r="T30" s="12">
        <v>-5</v>
      </c>
      <c r="U30" s="12">
        <v>-3</v>
      </c>
      <c r="V30" s="12">
        <v>-1</v>
      </c>
      <c r="W30" s="12">
        <v>0</v>
      </c>
      <c r="X30" s="12">
        <v>-1</v>
      </c>
      <c r="Y30" s="12">
        <v>1</v>
      </c>
      <c r="Z30" s="12">
        <v>-1</v>
      </c>
      <c r="AA30" s="12">
        <v>-1</v>
      </c>
      <c r="AB30" s="12">
        <v>-5</v>
      </c>
      <c r="AC30" s="12">
        <v>-5</v>
      </c>
      <c r="AD30" s="12">
        <v>-5</v>
      </c>
      <c r="AE30" s="12">
        <v>-7</v>
      </c>
      <c r="AF30" s="12">
        <v>-8</v>
      </c>
      <c r="AG30" s="12">
        <v>-10</v>
      </c>
      <c r="AH30" s="812"/>
      <c r="AI30" s="812"/>
    </row>
    <row r="31" spans="1:35" x14ac:dyDescent="0.25">
      <c r="A31" s="591" t="str">
        <f t="shared" si="7"/>
        <v>E2D08</v>
      </c>
      <c r="B31" s="589">
        <v>39761</v>
      </c>
      <c r="C31" s="591" t="s">
        <v>2257</v>
      </c>
      <c r="D31" s="590">
        <f t="shared" si="1"/>
        <v>39761</v>
      </c>
      <c r="E31" s="589" t="str">
        <f t="shared" si="2"/>
        <v>WE</v>
      </c>
      <c r="F31" s="503">
        <f t="shared" si="3"/>
        <v>-6.25</v>
      </c>
      <c r="G31" s="503">
        <f t="shared" si="4"/>
        <v>4.5516361129101508</v>
      </c>
      <c r="H31" s="588">
        <f t="shared" si="5"/>
        <v>-14</v>
      </c>
      <c r="I31" s="588">
        <f t="shared" si="6"/>
        <v>0</v>
      </c>
      <c r="J31" s="12">
        <v>-8</v>
      </c>
      <c r="K31" s="12">
        <v>-8</v>
      </c>
      <c r="L31" s="12">
        <v>-11</v>
      </c>
      <c r="M31" s="12">
        <v>-8</v>
      </c>
      <c r="N31" s="12">
        <v>-10</v>
      </c>
      <c r="O31" s="12">
        <v>-12</v>
      </c>
      <c r="P31" s="12">
        <v>-14</v>
      </c>
      <c r="Q31" s="12">
        <v>-10</v>
      </c>
      <c r="R31" s="12">
        <v>-12</v>
      </c>
      <c r="S31" s="12">
        <v>-12</v>
      </c>
      <c r="T31" s="12">
        <v>-10</v>
      </c>
      <c r="U31" s="12">
        <v>-8</v>
      </c>
      <c r="V31" s="12">
        <v>-5</v>
      </c>
      <c r="W31" s="12">
        <v>-1</v>
      </c>
      <c r="X31" s="12">
        <v>0</v>
      </c>
      <c r="Y31" s="12">
        <v>-1</v>
      </c>
      <c r="Z31" s="12">
        <v>-5</v>
      </c>
      <c r="AA31" s="12">
        <v>-5</v>
      </c>
      <c r="AB31" s="12">
        <v>-5</v>
      </c>
      <c r="AC31" s="12">
        <v>0</v>
      </c>
      <c r="AD31" s="12">
        <v>-2</v>
      </c>
      <c r="AE31" s="12">
        <v>-1</v>
      </c>
      <c r="AF31" s="12">
        <v>-1</v>
      </c>
      <c r="AG31" s="12">
        <v>-1</v>
      </c>
      <c r="AH31" s="812"/>
      <c r="AI31" s="812"/>
    </row>
    <row r="32" spans="1:35" x14ac:dyDescent="0.25">
      <c r="A32" s="591" t="str">
        <f t="shared" si="7"/>
        <v>E2D09</v>
      </c>
      <c r="B32" s="589">
        <v>39762</v>
      </c>
      <c r="C32" s="591" t="s">
        <v>2257</v>
      </c>
      <c r="D32" s="590">
        <f t="shared" si="1"/>
        <v>39762</v>
      </c>
      <c r="E32" s="589" t="str">
        <f t="shared" si="2"/>
        <v>WD</v>
      </c>
      <c r="F32" s="503">
        <f t="shared" si="3"/>
        <v>6.083333333333333</v>
      </c>
      <c r="G32" s="503">
        <f t="shared" si="4"/>
        <v>5.4447155606360083</v>
      </c>
      <c r="H32" s="588">
        <f t="shared" si="5"/>
        <v>-3</v>
      </c>
      <c r="I32" s="588">
        <f t="shared" si="6"/>
        <v>16</v>
      </c>
      <c r="J32" s="12">
        <v>-1</v>
      </c>
      <c r="K32" s="12">
        <v>-1</v>
      </c>
      <c r="L32" s="12">
        <v>-3</v>
      </c>
      <c r="M32" s="12">
        <v>0</v>
      </c>
      <c r="N32" s="12">
        <v>1</v>
      </c>
      <c r="O32" s="12">
        <v>5</v>
      </c>
      <c r="P32" s="12">
        <v>5</v>
      </c>
      <c r="Q32" s="12">
        <v>1</v>
      </c>
      <c r="R32" s="12">
        <v>4</v>
      </c>
      <c r="S32" s="12">
        <v>1</v>
      </c>
      <c r="T32" s="12">
        <v>5</v>
      </c>
      <c r="U32" s="12">
        <v>9</v>
      </c>
      <c r="V32" s="12">
        <v>10</v>
      </c>
      <c r="W32" s="12">
        <v>12</v>
      </c>
      <c r="X32" s="12">
        <v>14</v>
      </c>
      <c r="Y32" s="12">
        <v>16</v>
      </c>
      <c r="Z32" s="12">
        <v>12</v>
      </c>
      <c r="AA32" s="12">
        <v>14</v>
      </c>
      <c r="AB32" s="12">
        <v>10</v>
      </c>
      <c r="AC32" s="12">
        <v>10</v>
      </c>
      <c r="AD32" s="12">
        <v>9</v>
      </c>
      <c r="AE32" s="12">
        <v>3</v>
      </c>
      <c r="AF32" s="12">
        <v>7</v>
      </c>
      <c r="AG32" s="12">
        <v>3</v>
      </c>
      <c r="AH32" s="812"/>
      <c r="AI32" s="812"/>
    </row>
    <row r="33" spans="1:35" x14ac:dyDescent="0.25">
      <c r="A33" s="591" t="str">
        <f t="shared" si="7"/>
        <v>E2D10</v>
      </c>
      <c r="B33" s="589">
        <v>39763</v>
      </c>
      <c r="C33" s="591" t="s">
        <v>2257</v>
      </c>
      <c r="D33" s="590">
        <f t="shared" si="1"/>
        <v>39763</v>
      </c>
      <c r="E33" s="589" t="str">
        <f t="shared" si="2"/>
        <v>WD</v>
      </c>
      <c r="F33" s="503">
        <f t="shared" si="3"/>
        <v>8.0416666666666661</v>
      </c>
      <c r="G33" s="503">
        <f t="shared" si="4"/>
        <v>5.3118339309644202</v>
      </c>
      <c r="H33" s="588">
        <f t="shared" si="5"/>
        <v>0</v>
      </c>
      <c r="I33" s="588">
        <f t="shared" si="6"/>
        <v>17</v>
      </c>
      <c r="J33" s="12">
        <v>1</v>
      </c>
      <c r="K33" s="12">
        <v>0</v>
      </c>
      <c r="L33" s="12">
        <v>0</v>
      </c>
      <c r="M33" s="12">
        <v>1</v>
      </c>
      <c r="N33" s="12">
        <v>1</v>
      </c>
      <c r="O33" s="12">
        <v>3</v>
      </c>
      <c r="P33" s="12">
        <v>7</v>
      </c>
      <c r="Q33" s="12">
        <v>9</v>
      </c>
      <c r="R33" s="12">
        <v>11</v>
      </c>
      <c r="S33" s="12">
        <v>12</v>
      </c>
      <c r="T33" s="12">
        <v>12</v>
      </c>
      <c r="U33" s="12">
        <v>12</v>
      </c>
      <c r="V33" s="12">
        <v>12</v>
      </c>
      <c r="W33" s="12">
        <v>12</v>
      </c>
      <c r="X33" s="12">
        <v>17</v>
      </c>
      <c r="Y33" s="12">
        <v>16</v>
      </c>
      <c r="Z33" s="12">
        <v>16</v>
      </c>
      <c r="AA33" s="12">
        <v>12</v>
      </c>
      <c r="AB33" s="12">
        <v>10</v>
      </c>
      <c r="AC33" s="12">
        <v>7</v>
      </c>
      <c r="AD33" s="12">
        <v>5</v>
      </c>
      <c r="AE33" s="12">
        <v>5</v>
      </c>
      <c r="AF33" s="12">
        <v>7</v>
      </c>
      <c r="AG33" s="12">
        <v>5</v>
      </c>
      <c r="AH33" s="812" t="s">
        <v>741</v>
      </c>
      <c r="AI33" s="812" t="s">
        <v>741</v>
      </c>
    </row>
    <row r="34" spans="1:35" x14ac:dyDescent="0.25">
      <c r="A34" s="591" t="str">
        <f t="shared" si="7"/>
        <v>E2D11</v>
      </c>
      <c r="B34" s="589">
        <v>39764</v>
      </c>
      <c r="C34" s="591" t="s">
        <v>2257</v>
      </c>
      <c r="D34" s="590">
        <f t="shared" si="1"/>
        <v>39764</v>
      </c>
      <c r="E34" s="589" t="str">
        <f t="shared" si="2"/>
        <v>WD</v>
      </c>
      <c r="F34" s="503">
        <f t="shared" si="3"/>
        <v>10.291666666666666</v>
      </c>
      <c r="G34" s="503">
        <f t="shared" si="4"/>
        <v>2.2550265913146652</v>
      </c>
      <c r="H34" s="588">
        <f t="shared" si="5"/>
        <v>4</v>
      </c>
      <c r="I34" s="588">
        <f t="shared" si="6"/>
        <v>14</v>
      </c>
      <c r="J34" s="12">
        <v>9</v>
      </c>
      <c r="K34" s="12">
        <v>7</v>
      </c>
      <c r="L34" s="12">
        <v>4</v>
      </c>
      <c r="M34" s="12">
        <v>7</v>
      </c>
      <c r="N34" s="12">
        <v>9</v>
      </c>
      <c r="O34" s="12">
        <v>10</v>
      </c>
      <c r="P34" s="12">
        <v>12</v>
      </c>
      <c r="Q34" s="12">
        <v>10</v>
      </c>
      <c r="R34" s="12">
        <v>11</v>
      </c>
      <c r="S34" s="12">
        <v>12</v>
      </c>
      <c r="T34" s="12">
        <v>10</v>
      </c>
      <c r="U34" s="12">
        <v>12</v>
      </c>
      <c r="V34" s="12">
        <v>12</v>
      </c>
      <c r="W34" s="12">
        <v>14</v>
      </c>
      <c r="X34" s="12">
        <v>14</v>
      </c>
      <c r="Y34" s="12">
        <v>12</v>
      </c>
      <c r="Z34" s="12">
        <v>9</v>
      </c>
      <c r="AA34" s="12">
        <v>10</v>
      </c>
      <c r="AB34" s="12">
        <v>10</v>
      </c>
      <c r="AC34" s="12">
        <v>12</v>
      </c>
      <c r="AD34" s="12">
        <v>10</v>
      </c>
      <c r="AE34" s="12">
        <v>9</v>
      </c>
      <c r="AF34" s="12">
        <v>10</v>
      </c>
      <c r="AG34" s="12">
        <v>12</v>
      </c>
      <c r="AH34" s="812"/>
      <c r="AI34" s="812"/>
    </row>
    <row r="35" spans="1:35" x14ac:dyDescent="0.25">
      <c r="A35" s="591" t="str">
        <f t="shared" si="7"/>
        <v>E2D12</v>
      </c>
      <c r="B35" s="589">
        <v>39765</v>
      </c>
      <c r="C35" s="591" t="s">
        <v>2257</v>
      </c>
      <c r="D35" s="590">
        <f t="shared" si="1"/>
        <v>39765</v>
      </c>
      <c r="E35" s="589" t="str">
        <f t="shared" si="2"/>
        <v>WD</v>
      </c>
      <c r="F35" s="503">
        <f t="shared" si="3"/>
        <v>5.458333333333333</v>
      </c>
      <c r="G35" s="503">
        <f t="shared" si="4"/>
        <v>7.7233647019184968</v>
      </c>
      <c r="H35" s="588">
        <f t="shared" si="5"/>
        <v>-7</v>
      </c>
      <c r="I35" s="588">
        <f t="shared" si="6"/>
        <v>16</v>
      </c>
      <c r="J35" s="12">
        <v>12</v>
      </c>
      <c r="K35" s="12">
        <v>16</v>
      </c>
      <c r="L35" s="12">
        <v>14</v>
      </c>
      <c r="M35" s="12">
        <v>14</v>
      </c>
      <c r="N35" s="12">
        <v>12</v>
      </c>
      <c r="O35" s="12">
        <v>16</v>
      </c>
      <c r="P35" s="12">
        <v>12</v>
      </c>
      <c r="Q35" s="12">
        <v>9</v>
      </c>
      <c r="R35" s="12">
        <v>7</v>
      </c>
      <c r="S35" s="12">
        <v>3</v>
      </c>
      <c r="T35" s="12">
        <v>9</v>
      </c>
      <c r="U35" s="12">
        <v>10</v>
      </c>
      <c r="V35" s="12">
        <v>10</v>
      </c>
      <c r="W35" s="12">
        <v>9</v>
      </c>
      <c r="X35" s="12">
        <v>7</v>
      </c>
      <c r="Y35" s="12">
        <v>3</v>
      </c>
      <c r="Z35" s="12">
        <v>1</v>
      </c>
      <c r="AA35" s="12">
        <v>-1</v>
      </c>
      <c r="AB35" s="12">
        <v>-3</v>
      </c>
      <c r="AC35" s="12">
        <v>-5</v>
      </c>
      <c r="AD35" s="12">
        <v>-3</v>
      </c>
      <c r="AE35" s="12">
        <v>-7</v>
      </c>
      <c r="AF35" s="12">
        <v>-7</v>
      </c>
      <c r="AG35" s="12">
        <v>-7</v>
      </c>
      <c r="AH35" s="812"/>
      <c r="AI35" s="812"/>
    </row>
    <row r="36" spans="1:35" x14ac:dyDescent="0.25">
      <c r="A36" s="591" t="str">
        <f t="shared" si="7"/>
        <v>E2D13</v>
      </c>
      <c r="B36" s="589">
        <v>39766</v>
      </c>
      <c r="C36" s="591" t="s">
        <v>2257</v>
      </c>
      <c r="D36" s="590">
        <f t="shared" si="1"/>
        <v>39766</v>
      </c>
      <c r="E36" s="589" t="str">
        <f t="shared" si="2"/>
        <v>WD</v>
      </c>
      <c r="F36" s="503">
        <f t="shared" si="3"/>
        <v>-4.333333333333333</v>
      </c>
      <c r="G36" s="503">
        <f t="shared" si="4"/>
        <v>3.4599153880916833</v>
      </c>
      <c r="H36" s="588">
        <f t="shared" si="5"/>
        <v>-8</v>
      </c>
      <c r="I36" s="588">
        <f t="shared" si="6"/>
        <v>2</v>
      </c>
      <c r="J36" s="12">
        <v>-7</v>
      </c>
      <c r="K36" s="12">
        <v>-7</v>
      </c>
      <c r="L36" s="12">
        <v>-8</v>
      </c>
      <c r="M36" s="12">
        <v>-5</v>
      </c>
      <c r="N36" s="12">
        <v>-5</v>
      </c>
      <c r="O36" s="12">
        <v>-8</v>
      </c>
      <c r="P36" s="12">
        <v>-8</v>
      </c>
      <c r="Q36" s="12">
        <v>-8</v>
      </c>
      <c r="R36" s="12">
        <v>-7</v>
      </c>
      <c r="S36" s="12">
        <v>-8</v>
      </c>
      <c r="T36" s="12">
        <v>-5</v>
      </c>
      <c r="U36" s="12">
        <v>-1</v>
      </c>
      <c r="V36" s="12">
        <v>0</v>
      </c>
      <c r="W36" s="12">
        <v>1</v>
      </c>
      <c r="X36" s="12">
        <v>2</v>
      </c>
      <c r="Y36" s="12">
        <v>-1</v>
      </c>
      <c r="Z36" s="12">
        <v>-5</v>
      </c>
      <c r="AA36" s="12">
        <v>-7</v>
      </c>
      <c r="AB36" s="12">
        <v>-7</v>
      </c>
      <c r="AC36" s="12">
        <v>-7</v>
      </c>
      <c r="AD36" s="12">
        <v>-2</v>
      </c>
      <c r="AE36" s="12">
        <v>0</v>
      </c>
      <c r="AF36" s="12">
        <v>0</v>
      </c>
      <c r="AG36" s="12">
        <v>-1</v>
      </c>
      <c r="AH36" s="812" t="s">
        <v>2254</v>
      </c>
      <c r="AI36" s="812"/>
    </row>
    <row r="37" spans="1:35" x14ac:dyDescent="0.25">
      <c r="A37" s="591" t="str">
        <f t="shared" si="7"/>
        <v>E2D14</v>
      </c>
      <c r="B37" s="589">
        <v>39767</v>
      </c>
      <c r="C37" s="591" t="s">
        <v>2257</v>
      </c>
      <c r="D37" s="590">
        <f t="shared" si="1"/>
        <v>39767</v>
      </c>
      <c r="E37" s="589" t="str">
        <f t="shared" si="2"/>
        <v>WE</v>
      </c>
      <c r="F37" s="503">
        <f t="shared" si="3"/>
        <v>6</v>
      </c>
      <c r="G37" s="503">
        <f t="shared" si="4"/>
        <v>4.2935745723925249</v>
      </c>
      <c r="H37" s="588">
        <f t="shared" si="5"/>
        <v>0</v>
      </c>
      <c r="I37" s="588">
        <f t="shared" si="6"/>
        <v>13</v>
      </c>
      <c r="J37" s="12">
        <v>0</v>
      </c>
      <c r="K37" s="12">
        <v>1</v>
      </c>
      <c r="L37" s="12">
        <v>3</v>
      </c>
      <c r="M37" s="12">
        <v>2</v>
      </c>
      <c r="N37" s="12">
        <v>1</v>
      </c>
      <c r="O37" s="12">
        <v>1</v>
      </c>
      <c r="P37" s="12">
        <v>3</v>
      </c>
      <c r="Q37" s="12">
        <v>5</v>
      </c>
      <c r="R37" s="12">
        <v>6</v>
      </c>
      <c r="S37" s="12">
        <v>7</v>
      </c>
      <c r="T37" s="12">
        <v>9</v>
      </c>
      <c r="U37" s="12">
        <v>10</v>
      </c>
      <c r="V37" s="12">
        <v>10</v>
      </c>
      <c r="W37" s="12">
        <v>12</v>
      </c>
      <c r="X37" s="12">
        <v>13</v>
      </c>
      <c r="Y37" s="12">
        <v>12</v>
      </c>
      <c r="Z37" s="12">
        <v>10</v>
      </c>
      <c r="AA37" s="12">
        <v>10</v>
      </c>
      <c r="AB37" s="12">
        <v>9</v>
      </c>
      <c r="AC37" s="12">
        <v>10</v>
      </c>
      <c r="AD37" s="12">
        <v>4</v>
      </c>
      <c r="AE37" s="12">
        <v>3</v>
      </c>
      <c r="AF37" s="12">
        <v>3</v>
      </c>
      <c r="AG37" s="12">
        <v>0</v>
      </c>
      <c r="AH37" s="812"/>
      <c r="AI37" s="812"/>
    </row>
    <row r="38" spans="1:35" x14ac:dyDescent="0.25">
      <c r="A38" s="591" t="str">
        <f t="shared" si="7"/>
        <v>E2D15</v>
      </c>
      <c r="B38" s="589">
        <v>39768</v>
      </c>
      <c r="C38" s="591" t="s">
        <v>2257</v>
      </c>
      <c r="D38" s="590">
        <f t="shared" si="1"/>
        <v>39768</v>
      </c>
      <c r="E38" s="589" t="str">
        <f t="shared" si="2"/>
        <v>WE</v>
      </c>
      <c r="F38" s="503">
        <f t="shared" si="3"/>
        <v>-2.125</v>
      </c>
      <c r="G38" s="503">
        <f t="shared" si="4"/>
        <v>5.7808717561341529</v>
      </c>
      <c r="H38" s="588">
        <f t="shared" si="5"/>
        <v>-10</v>
      </c>
      <c r="I38" s="588">
        <f t="shared" si="6"/>
        <v>8</v>
      </c>
      <c r="J38" s="12">
        <v>0</v>
      </c>
      <c r="K38" s="12">
        <v>-7</v>
      </c>
      <c r="L38" s="12">
        <v>-6</v>
      </c>
      <c r="M38" s="12">
        <v>-7</v>
      </c>
      <c r="N38" s="12">
        <v>-8</v>
      </c>
      <c r="O38" s="12">
        <v>-8</v>
      </c>
      <c r="P38" s="12">
        <v>-8</v>
      </c>
      <c r="Q38" s="12">
        <v>-10</v>
      </c>
      <c r="R38" s="12">
        <v>-9</v>
      </c>
      <c r="S38" s="12">
        <v>-8</v>
      </c>
      <c r="T38" s="12">
        <v>-7</v>
      </c>
      <c r="U38" s="12">
        <v>-5</v>
      </c>
      <c r="V38" s="12">
        <v>-3</v>
      </c>
      <c r="W38" s="12">
        <v>0</v>
      </c>
      <c r="X38" s="12">
        <v>0</v>
      </c>
      <c r="Y38" s="12">
        <v>-1</v>
      </c>
      <c r="Z38" s="12">
        <v>0</v>
      </c>
      <c r="AA38" s="12">
        <v>1</v>
      </c>
      <c r="AB38" s="12">
        <v>3</v>
      </c>
      <c r="AC38" s="12">
        <v>7</v>
      </c>
      <c r="AD38" s="12">
        <v>8</v>
      </c>
      <c r="AE38" s="12">
        <v>5</v>
      </c>
      <c r="AF38" s="12">
        <v>5</v>
      </c>
      <c r="AG38" s="12">
        <v>7</v>
      </c>
      <c r="AH38" s="812"/>
      <c r="AI38" s="812"/>
    </row>
    <row r="39" spans="1:35" x14ac:dyDescent="0.25">
      <c r="A39" s="399" t="str">
        <f t="shared" si="7"/>
        <v>E2D16</v>
      </c>
      <c r="B39" s="586">
        <v>39769</v>
      </c>
      <c r="C39" s="399" t="s">
        <v>2257</v>
      </c>
      <c r="D39" s="587">
        <f t="shared" si="1"/>
        <v>39769</v>
      </c>
      <c r="E39" s="586" t="str">
        <f t="shared" si="2"/>
        <v>WD</v>
      </c>
      <c r="F39" s="585">
        <f t="shared" si="3"/>
        <v>10.458333333333334</v>
      </c>
      <c r="G39" s="585">
        <f t="shared" si="4"/>
        <v>4.0214551407762054</v>
      </c>
      <c r="H39" s="584">
        <f t="shared" si="5"/>
        <v>3</v>
      </c>
      <c r="I39" s="584">
        <f t="shared" si="6"/>
        <v>16</v>
      </c>
      <c r="J39" s="583">
        <v>7</v>
      </c>
      <c r="K39" s="583">
        <v>3</v>
      </c>
      <c r="L39" s="583">
        <v>7</v>
      </c>
      <c r="M39" s="583">
        <v>9</v>
      </c>
      <c r="N39" s="583">
        <v>9</v>
      </c>
      <c r="O39" s="583">
        <v>10</v>
      </c>
      <c r="P39" s="583">
        <v>10</v>
      </c>
      <c r="Q39" s="583">
        <v>12</v>
      </c>
      <c r="R39" s="583">
        <v>14</v>
      </c>
      <c r="S39" s="583">
        <v>14</v>
      </c>
      <c r="T39" s="583">
        <v>16</v>
      </c>
      <c r="U39" s="583">
        <v>16</v>
      </c>
      <c r="V39" s="583">
        <v>12</v>
      </c>
      <c r="W39" s="583">
        <v>14</v>
      </c>
      <c r="X39" s="583">
        <v>14</v>
      </c>
      <c r="Y39" s="583">
        <v>16</v>
      </c>
      <c r="Z39" s="583">
        <v>16</v>
      </c>
      <c r="AA39" s="583">
        <v>10</v>
      </c>
      <c r="AB39" s="583">
        <v>10</v>
      </c>
      <c r="AC39" s="583">
        <v>10</v>
      </c>
      <c r="AD39" s="583">
        <v>7</v>
      </c>
      <c r="AE39" s="583">
        <v>7</v>
      </c>
      <c r="AF39" s="583">
        <v>5</v>
      </c>
      <c r="AG39" s="583">
        <v>3</v>
      </c>
      <c r="AH39" s="812"/>
      <c r="AI39" s="812"/>
    </row>
    <row r="40" spans="1:35" x14ac:dyDescent="0.25">
      <c r="F40" s="38"/>
    </row>
    <row r="41" spans="1:35" x14ac:dyDescent="0.25">
      <c r="F41" s="38"/>
    </row>
    <row r="42" spans="1:35" x14ac:dyDescent="0.25">
      <c r="F42" s="38"/>
    </row>
  </sheetData>
  <mergeCells count="3">
    <mergeCell ref="F3:I3"/>
    <mergeCell ref="J3:AG3"/>
    <mergeCell ref="A1:AI1"/>
  </mergeCells>
  <printOptions horizontalCentered="1" gridLines="1"/>
  <pageMargins left="0.7" right="0.7" top="0.75" bottom="0.75" header="0.3" footer="0.3"/>
  <pageSetup scale="83"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9"/>
  <sheetViews>
    <sheetView workbookViewId="0">
      <selection sqref="A1:L1"/>
    </sheetView>
  </sheetViews>
  <sheetFormatPr defaultRowHeight="15" x14ac:dyDescent="0.25"/>
  <cols>
    <col min="1" max="1" width="4.5703125" customWidth="1"/>
    <col min="2" max="2" width="9.140625" customWidth="1"/>
    <col min="9" max="9" width="9.140625" customWidth="1"/>
    <col min="15" max="15" width="9.140625" customWidth="1"/>
    <col min="17" max="17" width="8.85546875" customWidth="1"/>
    <col min="20" max="26" width="10.7109375" customWidth="1"/>
    <col min="27" max="28" width="8.85546875" customWidth="1"/>
  </cols>
  <sheetData>
    <row r="1" spans="1:27" ht="18.75" x14ac:dyDescent="0.3">
      <c r="A1" s="828" t="s">
        <v>2260</v>
      </c>
      <c r="B1" s="828"/>
      <c r="C1" s="828"/>
      <c r="D1" s="828"/>
      <c r="E1" s="828"/>
      <c r="F1" s="828"/>
      <c r="G1" s="828"/>
      <c r="H1" s="828"/>
      <c r="I1" s="828"/>
      <c r="J1" s="828"/>
      <c r="K1" s="828"/>
      <c r="L1" s="828"/>
    </row>
    <row r="4" spans="1:27" ht="15.75" x14ac:dyDescent="0.25">
      <c r="A4" s="350" t="s">
        <v>2261</v>
      </c>
      <c r="O4" s="840" t="s">
        <v>2262</v>
      </c>
      <c r="P4" s="840"/>
      <c r="Q4" s="840"/>
      <c r="R4" s="840"/>
      <c r="S4" s="840"/>
    </row>
    <row r="5" spans="1:27" x14ac:dyDescent="0.25">
      <c r="G5" s="848" t="s">
        <v>2263</v>
      </c>
      <c r="H5" s="848"/>
      <c r="I5" s="848"/>
      <c r="J5" s="848"/>
      <c r="K5" s="848"/>
      <c r="L5" s="848"/>
      <c r="O5" s="848" t="s">
        <v>68</v>
      </c>
      <c r="P5" s="848"/>
      <c r="Q5" s="848"/>
      <c r="R5" s="813" t="s">
        <v>2264</v>
      </c>
      <c r="S5" s="813" t="s">
        <v>2265</v>
      </c>
    </row>
    <row r="6" spans="1:27" x14ac:dyDescent="0.25">
      <c r="B6" s="1" t="s">
        <v>2266</v>
      </c>
      <c r="C6" s="886">
        <v>2104004000</v>
      </c>
      <c r="D6" s="886"/>
      <c r="G6" s="812" t="s">
        <v>206</v>
      </c>
      <c r="H6" s="812" t="s">
        <v>202</v>
      </c>
      <c r="I6" s="812" t="s">
        <v>2267</v>
      </c>
      <c r="J6" s="812" t="s">
        <v>2267</v>
      </c>
      <c r="K6" s="812" t="s">
        <v>132</v>
      </c>
      <c r="L6" s="812" t="s">
        <v>201</v>
      </c>
      <c r="Q6" s="1" t="s">
        <v>2268</v>
      </c>
      <c r="R6" s="353">
        <v>2035.3928754647418</v>
      </c>
      <c r="S6" s="353">
        <v>896</v>
      </c>
    </row>
    <row r="7" spans="1:27" x14ac:dyDescent="0.25">
      <c r="B7" s="1" t="s">
        <v>2269</v>
      </c>
      <c r="C7" t="s">
        <v>2270</v>
      </c>
      <c r="G7" s="812">
        <v>5</v>
      </c>
      <c r="H7" s="812">
        <v>18</v>
      </c>
      <c r="I7" s="817">
        <v>3</v>
      </c>
      <c r="J7" s="815">
        <v>0.4</v>
      </c>
      <c r="K7" s="2" t="s">
        <v>2271</v>
      </c>
      <c r="L7" s="812">
        <v>0.71299999999999997</v>
      </c>
      <c r="Q7" s="1" t="s">
        <v>2272</v>
      </c>
      <c r="R7" s="352">
        <v>134210.66096932575</v>
      </c>
      <c r="S7" s="351">
        <v>125000</v>
      </c>
    </row>
    <row r="8" spans="1:27" x14ac:dyDescent="0.25">
      <c r="B8" s="1" t="s">
        <v>2273</v>
      </c>
      <c r="C8" t="s">
        <v>195</v>
      </c>
    </row>
    <row r="9" spans="1:27" x14ac:dyDescent="0.25">
      <c r="B9" s="1" t="s">
        <v>2274</v>
      </c>
      <c r="C9" t="s">
        <v>2275</v>
      </c>
      <c r="I9" s="1" t="s">
        <v>2276</v>
      </c>
      <c r="J9" s="249">
        <v>2000</v>
      </c>
      <c r="K9">
        <f>142*J9/10000</f>
        <v>28.4</v>
      </c>
      <c r="L9" t="s">
        <v>1576</v>
      </c>
    </row>
    <row r="10" spans="1:27" x14ac:dyDescent="0.25">
      <c r="B10" s="1" t="s">
        <v>2277</v>
      </c>
      <c r="C10" t="s">
        <v>2278</v>
      </c>
      <c r="I10" s="1" t="s">
        <v>2279</v>
      </c>
      <c r="J10" s="249">
        <v>15</v>
      </c>
      <c r="K10">
        <f>142*J10/10000</f>
        <v>0.21299999999999999</v>
      </c>
      <c r="L10" t="s">
        <v>1576</v>
      </c>
    </row>
    <row r="13" spans="1:27" ht="15.75" x14ac:dyDescent="0.25">
      <c r="A13" s="350" t="s">
        <v>2280</v>
      </c>
    </row>
    <row r="14" spans="1:27" x14ac:dyDescent="0.25">
      <c r="T14" s="812"/>
      <c r="U14" s="812"/>
      <c r="V14" s="812"/>
      <c r="W14" s="812"/>
      <c r="X14" s="812"/>
      <c r="Y14" s="812"/>
      <c r="Z14" s="812" t="s">
        <v>287</v>
      </c>
    </row>
    <row r="15" spans="1:27" x14ac:dyDescent="0.25">
      <c r="A15" s="84" t="s">
        <v>2281</v>
      </c>
      <c r="S15" s="812" t="s">
        <v>1713</v>
      </c>
      <c r="T15" s="812" t="s">
        <v>186</v>
      </c>
      <c r="U15" s="812" t="s">
        <v>131</v>
      </c>
      <c r="V15" s="812" t="s">
        <v>131</v>
      </c>
      <c r="W15" s="812" t="s">
        <v>2282</v>
      </c>
      <c r="X15" s="812" t="s">
        <v>131</v>
      </c>
      <c r="Y15" s="812" t="s">
        <v>131</v>
      </c>
      <c r="Z15" s="812" t="s">
        <v>291</v>
      </c>
      <c r="AA15" s="812" t="s">
        <v>2283</v>
      </c>
    </row>
    <row r="16" spans="1:27" x14ac:dyDescent="0.25">
      <c r="G16" s="845" t="s">
        <v>2284</v>
      </c>
      <c r="H16" s="845"/>
      <c r="I16" s="845"/>
      <c r="O16" s="848" t="s">
        <v>2285</v>
      </c>
      <c r="P16" s="848"/>
      <c r="Q16" s="848"/>
      <c r="R16" s="848"/>
      <c r="S16" s="813" t="s">
        <v>1725</v>
      </c>
      <c r="T16" s="813" t="s">
        <v>192</v>
      </c>
      <c r="U16" s="813" t="s">
        <v>2286</v>
      </c>
      <c r="V16" s="813" t="s">
        <v>2287</v>
      </c>
      <c r="W16" s="813" t="s">
        <v>2287</v>
      </c>
      <c r="X16" s="813" t="s">
        <v>2288</v>
      </c>
      <c r="Y16" s="813" t="s">
        <v>2289</v>
      </c>
      <c r="Z16" s="813" t="s">
        <v>2290</v>
      </c>
      <c r="AA16" s="813" t="s">
        <v>290</v>
      </c>
    </row>
    <row r="17" spans="1:27" x14ac:dyDescent="0.25">
      <c r="B17" s="3" t="s">
        <v>2291</v>
      </c>
      <c r="C17" s="3"/>
      <c r="D17" s="3"/>
      <c r="E17" s="3"/>
      <c r="F17" s="3"/>
      <c r="G17" s="813" t="s">
        <v>1974</v>
      </c>
      <c r="H17" s="813"/>
      <c r="I17" s="813" t="s">
        <v>2292</v>
      </c>
      <c r="R17" s="1" t="s">
        <v>2293</v>
      </c>
      <c r="S17">
        <v>3</v>
      </c>
      <c r="T17">
        <v>5780</v>
      </c>
      <c r="U17">
        <v>4.5999999999999996</v>
      </c>
      <c r="V17">
        <v>203.1</v>
      </c>
      <c r="W17">
        <v>5.6</v>
      </c>
      <c r="X17">
        <v>1.0999999999999999E-2</v>
      </c>
      <c r="Y17">
        <v>1.4</v>
      </c>
      <c r="Z17" s="45">
        <f>3405*60/1.49</f>
        <v>137114.09395973154</v>
      </c>
      <c r="AA17" s="264">
        <v>0.86</v>
      </c>
    </row>
    <row r="18" spans="1:27" x14ac:dyDescent="0.25">
      <c r="B18" t="s">
        <v>2294</v>
      </c>
      <c r="G18">
        <v>3.5499999999999997E-2</v>
      </c>
      <c r="H18" s="812" t="s">
        <v>2295</v>
      </c>
      <c r="I18">
        <v>0.99690000000000001</v>
      </c>
      <c r="R18" s="1" t="s">
        <v>2293</v>
      </c>
      <c r="S18">
        <v>4</v>
      </c>
      <c r="T18">
        <f>AVERAGE(1700,1440)</f>
        <v>1570</v>
      </c>
      <c r="U18">
        <v>1.32</v>
      </c>
      <c r="V18">
        <v>60</v>
      </c>
      <c r="W18">
        <v>4.8</v>
      </c>
      <c r="X18">
        <v>3.0999999999999999E-3</v>
      </c>
      <c r="Y18">
        <v>0.43</v>
      </c>
      <c r="Z18" s="45">
        <f>10.68/1.5*AVERAGE(19696,19342)</f>
        <v>138975.28</v>
      </c>
      <c r="AA18" s="264">
        <v>0.86</v>
      </c>
    </row>
    <row r="19" spans="1:27" x14ac:dyDescent="0.25">
      <c r="B19" t="s">
        <v>2296</v>
      </c>
      <c r="H19" s="812"/>
      <c r="R19" s="1" t="s">
        <v>2293</v>
      </c>
      <c r="S19">
        <v>2</v>
      </c>
      <c r="T19">
        <v>332</v>
      </c>
      <c r="U19">
        <v>0.49</v>
      </c>
      <c r="V19">
        <v>22</v>
      </c>
      <c r="W19" s="38">
        <f>V19/0.49*0.04</f>
        <v>1.795918367346939</v>
      </c>
      <c r="X19">
        <v>1.1999999999999999E-3</v>
      </c>
      <c r="Y19">
        <v>0.16</v>
      </c>
      <c r="Z19" s="45">
        <f>10.74/1.5*19333</f>
        <v>138424.28</v>
      </c>
      <c r="AA19" s="264">
        <v>0.88</v>
      </c>
    </row>
    <row r="20" spans="1:27" x14ac:dyDescent="0.25">
      <c r="B20" s="1" t="s">
        <v>336</v>
      </c>
      <c r="C20" t="s">
        <v>2297</v>
      </c>
      <c r="G20">
        <v>8.9999999999999998E-4</v>
      </c>
      <c r="H20" s="812" t="s">
        <v>2295</v>
      </c>
      <c r="I20">
        <v>0.98919999999999997</v>
      </c>
      <c r="R20" s="1" t="s">
        <v>2293</v>
      </c>
      <c r="S20">
        <v>2</v>
      </c>
      <c r="T20">
        <v>11</v>
      </c>
      <c r="U20">
        <v>2.5000000000000001E-2</v>
      </c>
      <c r="V20">
        <v>1.18</v>
      </c>
      <c r="W20">
        <v>0.36</v>
      </c>
      <c r="X20" s="347">
        <f>V20/19865</f>
        <v>5.940095645607853E-5</v>
      </c>
      <c r="Y20" s="133">
        <v>8.0000000000000002E-3</v>
      </c>
      <c r="Z20" s="45">
        <f>10.29/1.5*19865</f>
        <v>136273.9</v>
      </c>
      <c r="AA20" s="264">
        <v>0.88</v>
      </c>
    </row>
    <row r="21" spans="1:27" x14ac:dyDescent="0.25">
      <c r="B21" s="1" t="s">
        <v>336</v>
      </c>
      <c r="C21" t="s">
        <v>2298</v>
      </c>
      <c r="G21">
        <v>1.4E-3</v>
      </c>
      <c r="H21" s="812" t="s">
        <v>2295</v>
      </c>
      <c r="I21">
        <v>0.99070000000000003</v>
      </c>
      <c r="R21" s="1" t="s">
        <v>2299</v>
      </c>
      <c r="S21">
        <v>3</v>
      </c>
      <c r="T21">
        <v>5780</v>
      </c>
      <c r="U21">
        <v>5.0999999999999996</v>
      </c>
      <c r="V21">
        <v>224.5</v>
      </c>
      <c r="W21">
        <v>4.8</v>
      </c>
      <c r="X21" s="5">
        <v>1.2E-2</v>
      </c>
      <c r="Y21" s="38">
        <v>1.6</v>
      </c>
      <c r="Z21" s="45">
        <f>3405*60/1.49</f>
        <v>137114.09395973154</v>
      </c>
      <c r="AA21" s="97">
        <v>0.874</v>
      </c>
    </row>
    <row r="22" spans="1:27" x14ac:dyDescent="0.25">
      <c r="B22" s="1" t="s">
        <v>336</v>
      </c>
      <c r="C22" t="s">
        <v>2300</v>
      </c>
      <c r="G22">
        <v>1.2999999999999999E-3</v>
      </c>
      <c r="H22" s="812" t="s">
        <v>2295</v>
      </c>
      <c r="I22">
        <v>0.99990000000000001</v>
      </c>
      <c r="R22" s="1" t="s">
        <v>2299</v>
      </c>
      <c r="S22">
        <v>3</v>
      </c>
      <c r="T22">
        <v>1440</v>
      </c>
      <c r="U22">
        <v>1.02</v>
      </c>
      <c r="V22">
        <v>45.9</v>
      </c>
      <c r="W22">
        <v>7.8</v>
      </c>
      <c r="X22" s="133">
        <f>V22/19342</f>
        <v>2.3730741391789888E-3</v>
      </c>
      <c r="Y22" s="13">
        <f>X22*1.5*10^3/10.7</f>
        <v>0.33267394474471806</v>
      </c>
      <c r="Z22" s="45">
        <f>10.7/1.5*19342</f>
        <v>137972.93333333332</v>
      </c>
      <c r="AA22" s="97">
        <v>0.91600000000000004</v>
      </c>
    </row>
    <row r="23" spans="1:27" x14ac:dyDescent="0.25">
      <c r="B23" s="1" t="s">
        <v>336</v>
      </c>
      <c r="C23" t="s">
        <v>2301</v>
      </c>
      <c r="G23">
        <v>1.2999999999999999E-3</v>
      </c>
      <c r="H23" s="812" t="s">
        <v>2295</v>
      </c>
      <c r="I23">
        <v>0.99609999999999999</v>
      </c>
      <c r="N23" s="501"/>
      <c r="O23" s="501"/>
      <c r="P23" s="501"/>
      <c r="Q23" s="501"/>
      <c r="R23" s="502" t="s">
        <v>2302</v>
      </c>
      <c r="S23" s="501">
        <v>3</v>
      </c>
      <c r="T23" s="501">
        <v>1440</v>
      </c>
      <c r="U23" s="501">
        <v>2.1</v>
      </c>
      <c r="V23" s="501">
        <v>95.9</v>
      </c>
      <c r="W23" s="505">
        <f>STDEV(95.7,96.7,95.3)</f>
        <v>0.72111025509280025</v>
      </c>
      <c r="X23" s="501">
        <v>5.0000000000000001E-3</v>
      </c>
      <c r="Y23" s="501">
        <v>0.69</v>
      </c>
      <c r="Z23" s="504">
        <f>1536*60/0.67</f>
        <v>137552.23880597015</v>
      </c>
      <c r="AA23" s="403">
        <v>0.89500000000000002</v>
      </c>
    </row>
    <row r="24" spans="1:27" x14ac:dyDescent="0.25">
      <c r="R24" s="1" t="s">
        <v>2302</v>
      </c>
      <c r="S24">
        <v>3</v>
      </c>
      <c r="T24">
        <v>450</v>
      </c>
      <c r="U24">
        <v>0.51</v>
      </c>
      <c r="V24" s="38">
        <f>AVERAGE(23.4,26.7,25.75)</f>
        <v>25.283333333333331</v>
      </c>
      <c r="W24" s="38">
        <f>STDEV(23.4,26.7,25.75)</f>
        <v>1.6987740677716194</v>
      </c>
      <c r="X24">
        <v>1.1999999999999999E-3</v>
      </c>
      <c r="Y24">
        <v>0.18</v>
      </c>
      <c r="Z24" s="45">
        <f>1537*60/0.67</f>
        <v>137641.79104477612</v>
      </c>
      <c r="AA24" s="97">
        <v>0.85699999999999998</v>
      </c>
    </row>
    <row r="25" spans="1:27" x14ac:dyDescent="0.25">
      <c r="G25" s="845" t="s">
        <v>2303</v>
      </c>
      <c r="H25" s="845"/>
      <c r="R25" s="1" t="s">
        <v>2302</v>
      </c>
      <c r="S25">
        <v>2</v>
      </c>
      <c r="T25">
        <v>11</v>
      </c>
      <c r="U25">
        <v>0.06</v>
      </c>
      <c r="V25">
        <v>2.6</v>
      </c>
      <c r="W25" s="38">
        <v>0.6</v>
      </c>
      <c r="X25">
        <v>1.2999999999999999E-3</v>
      </c>
      <c r="Y25">
        <v>1.7999999999999999E-2</v>
      </c>
      <c r="Z25" s="45">
        <f>1411*60/0.62</f>
        <v>136548.38709677418</v>
      </c>
      <c r="AA25" s="97">
        <v>0.86099999999999999</v>
      </c>
    </row>
    <row r="26" spans="1:27" x14ac:dyDescent="0.25">
      <c r="B26" s="3" t="s">
        <v>2304</v>
      </c>
      <c r="C26" s="3"/>
      <c r="D26" s="3"/>
      <c r="E26" s="3"/>
      <c r="F26" s="3"/>
      <c r="G26" s="813" t="s">
        <v>1512</v>
      </c>
      <c r="H26" s="813" t="s">
        <v>2305</v>
      </c>
      <c r="R26" s="1" t="s">
        <v>2306</v>
      </c>
      <c r="S26">
        <v>3</v>
      </c>
      <c r="T26">
        <v>1900</v>
      </c>
      <c r="U26">
        <v>2.5</v>
      </c>
      <c r="V26">
        <v>109.8</v>
      </c>
      <c r="W26" s="38">
        <v>2</v>
      </c>
      <c r="X26">
        <v>5.7000000000000002E-3</v>
      </c>
      <c r="Y26">
        <v>0.79</v>
      </c>
      <c r="Z26" s="45">
        <f>AVERAGE(1286,1307,1317)*60/AVERAGE(0.56,0.57,0.57)</f>
        <v>138000.00000000003</v>
      </c>
      <c r="AA26" s="97">
        <v>0.91700000000000004</v>
      </c>
    </row>
    <row r="27" spans="1:27" x14ac:dyDescent="0.25">
      <c r="B27" s="1" t="s">
        <v>336</v>
      </c>
      <c r="C27" t="s">
        <v>2307</v>
      </c>
      <c r="G27">
        <v>1.0999999999999999E-2</v>
      </c>
      <c r="H27">
        <v>0.63</v>
      </c>
      <c r="R27" s="1" t="s">
        <v>2306</v>
      </c>
      <c r="S27">
        <v>3</v>
      </c>
      <c r="T27">
        <v>37</v>
      </c>
      <c r="U27">
        <v>0.03</v>
      </c>
      <c r="V27">
        <v>1.34</v>
      </c>
      <c r="W27" s="38">
        <v>0.2</v>
      </c>
      <c r="X27">
        <v>6.9999999999999994E-5</v>
      </c>
      <c r="Y27">
        <v>0.01</v>
      </c>
      <c r="Z27" s="45">
        <f>AVERAGE(1330,1309,1254)*60/AVERAGE(0.58,0.57,0.55)</f>
        <v>137400</v>
      </c>
      <c r="AA27" s="97">
        <v>0.91700000000000004</v>
      </c>
    </row>
    <row r="28" spans="1:27" x14ac:dyDescent="0.25">
      <c r="B28" s="1" t="s">
        <v>336</v>
      </c>
      <c r="C28" t="s">
        <v>2308</v>
      </c>
      <c r="G28">
        <v>1.6E-2</v>
      </c>
      <c r="H28">
        <v>0.9</v>
      </c>
      <c r="N28" s="501"/>
      <c r="O28" s="501"/>
      <c r="P28" s="501"/>
      <c r="Q28" s="501"/>
      <c r="R28" s="502" t="s">
        <v>2309</v>
      </c>
      <c r="S28" s="501">
        <v>3</v>
      </c>
      <c r="T28" s="501">
        <v>1440</v>
      </c>
      <c r="U28" s="501">
        <v>1.8</v>
      </c>
      <c r="V28" s="501">
        <v>77.900000000000006</v>
      </c>
      <c r="W28" s="503">
        <v>7.9</v>
      </c>
      <c r="X28" s="501">
        <v>4.1999999999999997E-3</v>
      </c>
      <c r="Y28" s="501">
        <v>0.56000000000000005</v>
      </c>
      <c r="Z28" s="504">
        <f>1114*60/0.48</f>
        <v>139250</v>
      </c>
      <c r="AA28" s="403">
        <v>0.93700000000000006</v>
      </c>
    </row>
    <row r="29" spans="1:27" x14ac:dyDescent="0.25">
      <c r="B29" s="1" t="s">
        <v>336</v>
      </c>
      <c r="C29" t="s">
        <v>2300</v>
      </c>
      <c r="G29">
        <v>3.5999999999999997E-2</v>
      </c>
      <c r="H29">
        <v>1.96</v>
      </c>
      <c r="R29" s="1" t="s">
        <v>2309</v>
      </c>
      <c r="S29">
        <v>2</v>
      </c>
      <c r="T29">
        <v>332</v>
      </c>
      <c r="U29">
        <v>0.499</v>
      </c>
      <c r="V29">
        <v>22.4</v>
      </c>
      <c r="W29" s="38">
        <v>0.2</v>
      </c>
      <c r="X29">
        <v>1.6000000000000001E-3</v>
      </c>
      <c r="Y29">
        <v>0.159</v>
      </c>
      <c r="Z29" s="45">
        <f>1080*60/0.48</f>
        <v>135000</v>
      </c>
      <c r="AA29" s="97">
        <v>0.94699999999999995</v>
      </c>
    </row>
    <row r="30" spans="1:27" x14ac:dyDescent="0.25">
      <c r="R30" s="1" t="s">
        <v>2309</v>
      </c>
      <c r="S30">
        <v>2</v>
      </c>
      <c r="T30">
        <v>11</v>
      </c>
      <c r="U30">
        <v>1.4E-2</v>
      </c>
      <c r="V30">
        <v>0.85</v>
      </c>
      <c r="W30" s="38">
        <v>0.2</v>
      </c>
      <c r="X30">
        <v>3.0000000000000001E-5</v>
      </c>
      <c r="Y30">
        <v>6.0000000000000001E-3</v>
      </c>
      <c r="Z30" s="45">
        <f>1015*60/0.45</f>
        <v>135333.33333333334</v>
      </c>
      <c r="AA30" s="97">
        <v>0.93500000000000005</v>
      </c>
    </row>
    <row r="31" spans="1:27" x14ac:dyDescent="0.25">
      <c r="R31" s="1" t="s">
        <v>2310</v>
      </c>
      <c r="S31">
        <v>3</v>
      </c>
      <c r="T31">
        <v>37</v>
      </c>
      <c r="U31">
        <v>3.9E-2</v>
      </c>
      <c r="V31">
        <v>1.8</v>
      </c>
      <c r="W31" s="38">
        <f>STDEV(1.9,1.6,1.8)</f>
        <v>0.15275252316519458</v>
      </c>
      <c r="X31">
        <v>9.0000000000000006E-5</v>
      </c>
      <c r="Y31">
        <v>1.2999999999999999E-2</v>
      </c>
      <c r="Z31" s="45">
        <f>AVERAGE(1535,1485,1563)*60/AVERAGE(0.67,0.65,0.68)</f>
        <v>137490</v>
      </c>
      <c r="AA31" s="97"/>
    </row>
    <row r="32" spans="1:27" x14ac:dyDescent="0.25">
      <c r="A32" s="84" t="s">
        <v>2311</v>
      </c>
      <c r="B32" s="84"/>
      <c r="C32" s="84"/>
      <c r="D32" s="84"/>
      <c r="E32" s="84"/>
      <c r="F32" s="84"/>
      <c r="G32" s="84"/>
      <c r="H32" s="84"/>
      <c r="I32" s="84"/>
      <c r="J32" s="84"/>
      <c r="K32" s="84"/>
      <c r="L32" s="84"/>
    </row>
    <row r="33" spans="2:27" x14ac:dyDescent="0.25">
      <c r="T33" s="1" t="s">
        <v>2312</v>
      </c>
      <c r="U33" s="251">
        <f t="shared" ref="U33:V33" si="0">1-U28/U23</f>
        <v>0.1428571428571429</v>
      </c>
      <c r="V33" s="251">
        <f t="shared" si="0"/>
        <v>0.18769551616266944</v>
      </c>
      <c r="W33" s="97"/>
      <c r="X33" s="251">
        <f>1-X28/X23</f>
        <v>0.16000000000000003</v>
      </c>
      <c r="Y33" s="251">
        <f>1-Y28/Y23</f>
        <v>0.18840579710144911</v>
      </c>
    </row>
    <row r="34" spans="2:27" x14ac:dyDescent="0.25">
      <c r="B34" s="84"/>
      <c r="C34" s="84"/>
      <c r="D34" s="84"/>
      <c r="E34" s="84"/>
      <c r="F34" s="84"/>
      <c r="G34" s="84"/>
      <c r="H34" s="84"/>
      <c r="I34" s="810" t="s">
        <v>2313</v>
      </c>
      <c r="J34" s="810" t="s">
        <v>2313</v>
      </c>
      <c r="K34" s="810" t="s">
        <v>2314</v>
      </c>
      <c r="L34" s="810" t="s">
        <v>2315</v>
      </c>
      <c r="T34" s="1" t="s">
        <v>2316</v>
      </c>
      <c r="U34" s="251">
        <f>1-(U28*$AA23/$AA28)/U23</f>
        <v>0.1812776337856381</v>
      </c>
      <c r="V34" s="251">
        <f>1-(V28*$AA23/$AA28)/V23</f>
        <v>0.2241061760571923</v>
      </c>
      <c r="X34" s="251">
        <f t="shared" ref="X34:Y34" si="1">1-(X28*$AA23/$AA28)/X23</f>
        <v>0.19765208110992549</v>
      </c>
      <c r="Y34" s="491">
        <f t="shared" si="1"/>
        <v>0.22478461942987937</v>
      </c>
      <c r="Z34" s="1" t="s">
        <v>2317</v>
      </c>
      <c r="AA34" s="459">
        <f>AA28/AA23</f>
        <v>1.046927374301676</v>
      </c>
    </row>
    <row r="35" spans="2:27" x14ac:dyDescent="0.25">
      <c r="B35" s="349" t="s">
        <v>2318</v>
      </c>
      <c r="C35" s="349"/>
      <c r="D35" s="349"/>
      <c r="E35" s="349"/>
      <c r="F35" s="349"/>
      <c r="G35" s="349"/>
      <c r="H35" s="349"/>
      <c r="I35" s="348" t="s">
        <v>2319</v>
      </c>
      <c r="J35" s="348" t="s">
        <v>2319</v>
      </c>
      <c r="K35" s="348" t="s">
        <v>278</v>
      </c>
      <c r="L35" s="348" t="s">
        <v>278</v>
      </c>
    </row>
    <row r="36" spans="2:27" ht="15" customHeight="1" x14ac:dyDescent="0.25">
      <c r="B36" s="346" t="s">
        <v>2320</v>
      </c>
      <c r="T36" s="840" t="s">
        <v>2321</v>
      </c>
      <c r="U36" s="840"/>
      <c r="V36" s="840"/>
      <c r="W36" s="840"/>
      <c r="X36" s="840"/>
      <c r="Y36" s="840"/>
      <c r="Z36" s="840"/>
    </row>
    <row r="37" spans="2:27" ht="30" customHeight="1" x14ac:dyDescent="0.25">
      <c r="B37" s="345" t="s">
        <v>336</v>
      </c>
      <c r="C37" s="344" t="s">
        <v>751</v>
      </c>
      <c r="I37" s="826" t="s">
        <v>2322</v>
      </c>
      <c r="J37" s="826" t="s">
        <v>2323</v>
      </c>
      <c r="K37" s="826" t="s">
        <v>2324</v>
      </c>
      <c r="L37" s="826" t="s">
        <v>2325</v>
      </c>
    </row>
    <row r="38" spans="2:27" x14ac:dyDescent="0.25">
      <c r="B38" s="1" t="s">
        <v>336</v>
      </c>
      <c r="C38" t="s">
        <v>199</v>
      </c>
      <c r="I38">
        <v>5780</v>
      </c>
      <c r="J38">
        <f>AVERAGE(1700,1440)</f>
        <v>1570</v>
      </c>
      <c r="K38">
        <v>332</v>
      </c>
      <c r="L38">
        <v>11</v>
      </c>
    </row>
    <row r="39" spans="2:27" x14ac:dyDescent="0.25">
      <c r="B39" s="1" t="s">
        <v>336</v>
      </c>
      <c r="C39" t="s">
        <v>2326</v>
      </c>
      <c r="I39">
        <v>4.5999999999999996</v>
      </c>
      <c r="J39">
        <v>1.32</v>
      </c>
      <c r="K39">
        <v>0.49</v>
      </c>
      <c r="L39">
        <v>2.5000000000000001E-2</v>
      </c>
    </row>
    <row r="40" spans="2:27" x14ac:dyDescent="0.25">
      <c r="B40" s="1" t="s">
        <v>336</v>
      </c>
      <c r="C40" t="s">
        <v>2327</v>
      </c>
      <c r="I40">
        <v>203.1</v>
      </c>
      <c r="J40">
        <v>60</v>
      </c>
      <c r="K40">
        <v>22</v>
      </c>
      <c r="L40">
        <v>1.18</v>
      </c>
    </row>
    <row r="41" spans="2:27" x14ac:dyDescent="0.25">
      <c r="B41" s="1" t="s">
        <v>336</v>
      </c>
      <c r="C41" t="s">
        <v>2328</v>
      </c>
      <c r="I41">
        <v>5.6</v>
      </c>
      <c r="J41">
        <v>4.8</v>
      </c>
      <c r="K41" s="38">
        <f>K40/0.49*0.04</f>
        <v>1.795918367346939</v>
      </c>
      <c r="L41">
        <v>0.36</v>
      </c>
    </row>
    <row r="42" spans="2:27" x14ac:dyDescent="0.25">
      <c r="B42" s="1" t="s">
        <v>336</v>
      </c>
      <c r="C42" t="s">
        <v>2329</v>
      </c>
      <c r="I42">
        <v>1.0999999999999999E-2</v>
      </c>
      <c r="J42">
        <v>3.0999999999999999E-3</v>
      </c>
      <c r="K42">
        <v>1.1999999999999999E-3</v>
      </c>
      <c r="L42" s="347">
        <f>L40/19865</f>
        <v>5.940095645607853E-5</v>
      </c>
    </row>
    <row r="43" spans="2:27" x14ac:dyDescent="0.25">
      <c r="B43" s="1" t="s">
        <v>336</v>
      </c>
      <c r="C43" t="s">
        <v>2330</v>
      </c>
      <c r="I43">
        <v>1.4</v>
      </c>
      <c r="J43">
        <v>0.43</v>
      </c>
      <c r="K43">
        <v>0.16</v>
      </c>
      <c r="L43" s="133">
        <v>8.0000000000000002E-3</v>
      </c>
    </row>
    <row r="44" spans="2:27" x14ac:dyDescent="0.25">
      <c r="B44" s="1" t="s">
        <v>336</v>
      </c>
      <c r="C44" t="s">
        <v>2331</v>
      </c>
      <c r="I44" s="45">
        <f>3405*60/1.49</f>
        <v>137114.09395973154</v>
      </c>
      <c r="J44" s="45">
        <f>10.68/1.5*AVERAGE(19696,19342)</f>
        <v>138975.28</v>
      </c>
      <c r="K44" s="45">
        <f>10.74/1.5*19333</f>
        <v>138424.28</v>
      </c>
      <c r="L44" s="45">
        <f>10.29/1.5*19865</f>
        <v>136273.9</v>
      </c>
    </row>
    <row r="45" spans="2:27" x14ac:dyDescent="0.25">
      <c r="B45" s="346" t="s">
        <v>2332</v>
      </c>
    </row>
    <row r="46" spans="2:27" ht="30" x14ac:dyDescent="0.25">
      <c r="B46" s="345" t="s">
        <v>336</v>
      </c>
      <c r="C46" s="344" t="s">
        <v>751</v>
      </c>
      <c r="I46" s="826" t="s">
        <v>2333</v>
      </c>
      <c r="J46" s="826" t="s">
        <v>2334</v>
      </c>
    </row>
    <row r="47" spans="2:27" x14ac:dyDescent="0.25">
      <c r="B47" s="1" t="s">
        <v>336</v>
      </c>
      <c r="C47" t="s">
        <v>199</v>
      </c>
      <c r="I47">
        <v>5780</v>
      </c>
      <c r="J47">
        <v>1440</v>
      </c>
    </row>
    <row r="48" spans="2:27" x14ac:dyDescent="0.25">
      <c r="B48" s="1" t="s">
        <v>336</v>
      </c>
      <c r="C48" t="s">
        <v>2326</v>
      </c>
      <c r="I48">
        <v>5.0999999999999996</v>
      </c>
      <c r="J48">
        <v>1.02</v>
      </c>
    </row>
    <row r="49" spans="2:32" x14ac:dyDescent="0.25">
      <c r="B49" s="1" t="s">
        <v>336</v>
      </c>
      <c r="C49" t="s">
        <v>2327</v>
      </c>
      <c r="I49">
        <v>224.5</v>
      </c>
      <c r="J49">
        <v>45.9</v>
      </c>
    </row>
    <row r="50" spans="2:32" x14ac:dyDescent="0.25">
      <c r="B50" s="1" t="s">
        <v>336</v>
      </c>
      <c r="C50" t="s">
        <v>2328</v>
      </c>
      <c r="I50">
        <v>4.8</v>
      </c>
      <c r="J50">
        <v>7.8</v>
      </c>
    </row>
    <row r="51" spans="2:32" x14ac:dyDescent="0.25">
      <c r="B51" s="1" t="s">
        <v>336</v>
      </c>
      <c r="C51" t="s">
        <v>2329</v>
      </c>
      <c r="I51" s="5">
        <v>1.2E-2</v>
      </c>
      <c r="J51" s="133">
        <f>J49/19342</f>
        <v>2.3730741391789888E-3</v>
      </c>
    </row>
    <row r="52" spans="2:32" x14ac:dyDescent="0.25">
      <c r="B52" s="1" t="s">
        <v>336</v>
      </c>
      <c r="C52" t="s">
        <v>2330</v>
      </c>
      <c r="I52" s="38">
        <v>1.6</v>
      </c>
      <c r="J52" s="13">
        <f>J51*1.5*10^3/10.7</f>
        <v>0.33267394474471806</v>
      </c>
    </row>
    <row r="53" spans="2:32" x14ac:dyDescent="0.25">
      <c r="B53" s="1" t="s">
        <v>336</v>
      </c>
      <c r="C53" t="s">
        <v>2331</v>
      </c>
      <c r="I53" s="45">
        <f>3405*60/1.49</f>
        <v>137114.09395973154</v>
      </c>
      <c r="J53" s="45">
        <f>10.7/1.5*19342</f>
        <v>137972.93333333332</v>
      </c>
    </row>
    <row r="54" spans="2:32" x14ac:dyDescent="0.25">
      <c r="B54" s="346" t="s">
        <v>2335</v>
      </c>
      <c r="T54" s="840" t="s">
        <v>217</v>
      </c>
      <c r="U54" s="840"/>
      <c r="V54" s="840"/>
      <c r="W54" s="840"/>
      <c r="X54" s="840"/>
      <c r="Y54" s="840"/>
      <c r="Z54" s="840"/>
    </row>
    <row r="55" spans="2:32" ht="30" x14ac:dyDescent="0.25">
      <c r="B55" s="345" t="s">
        <v>336</v>
      </c>
      <c r="C55" s="344" t="s">
        <v>751</v>
      </c>
      <c r="J55" s="826" t="s">
        <v>2336</v>
      </c>
      <c r="K55" s="826" t="s">
        <v>2337</v>
      </c>
      <c r="L55" s="826" t="s">
        <v>2338</v>
      </c>
      <c r="N55" s="885" t="s">
        <v>2339</v>
      </c>
      <c r="O55" s="885"/>
      <c r="P55" s="885"/>
      <c r="Q55" s="885"/>
      <c r="R55" s="885"/>
      <c r="S55" s="885"/>
      <c r="AA55" s="885" t="s">
        <v>2340</v>
      </c>
      <c r="AB55" s="885"/>
      <c r="AC55" s="885"/>
      <c r="AD55" s="885"/>
      <c r="AE55" s="885"/>
      <c r="AF55" s="885"/>
    </row>
    <row r="56" spans="2:32" x14ac:dyDescent="0.25">
      <c r="B56" s="1" t="s">
        <v>336</v>
      </c>
      <c r="C56" t="s">
        <v>199</v>
      </c>
      <c r="J56">
        <v>1440</v>
      </c>
      <c r="K56">
        <v>450</v>
      </c>
      <c r="L56">
        <v>11</v>
      </c>
      <c r="N56" s="55">
        <f t="array" ref="N56:S60">LINEST($X$17:$X$31,$T$17:$T$31,TRUE,TRUE)</f>
        <v>1.942443864412639E-6</v>
      </c>
      <c r="O56">
        <v>5.9763082405351123E-4</v>
      </c>
      <c r="P56" t="e">
        <v>#N/A</v>
      </c>
      <c r="Q56" t="e">
        <v>#N/A</v>
      </c>
      <c r="R56" t="e">
        <v>#N/A</v>
      </c>
      <c r="S56" t="e">
        <v>#N/A</v>
      </c>
      <c r="AA56">
        <f t="array" ref="AA56:AF60">LINEST($X$17:$X$31,$T$17:$T$31,FALSE,TRUE)</f>
        <v>2.0970087117246603E-6</v>
      </c>
      <c r="AB56">
        <v>0</v>
      </c>
      <c r="AC56" t="e">
        <v>#N/A</v>
      </c>
      <c r="AD56" t="e">
        <v>#N/A</v>
      </c>
      <c r="AE56" t="e">
        <v>#N/A</v>
      </c>
      <c r="AF56" t="e">
        <v>#N/A</v>
      </c>
    </row>
    <row r="57" spans="2:32" x14ac:dyDescent="0.25">
      <c r="B57" s="1" t="s">
        <v>336</v>
      </c>
      <c r="C57" t="s">
        <v>2326</v>
      </c>
      <c r="J57">
        <v>2.1</v>
      </c>
      <c r="K57">
        <v>0.51</v>
      </c>
      <c r="L57">
        <v>0.06</v>
      </c>
      <c r="N57" s="55">
        <v>1.1802757246404243E-7</v>
      </c>
      <c r="O57">
        <v>2.7178574676352046E-4</v>
      </c>
      <c r="P57" t="e">
        <v>#N/A</v>
      </c>
      <c r="Q57" t="e">
        <v>#N/A</v>
      </c>
      <c r="R57" t="e">
        <v>#N/A</v>
      </c>
      <c r="S57" t="e">
        <v>#N/A</v>
      </c>
      <c r="AA57">
        <v>1.0701492213471273E-7</v>
      </c>
      <c r="AB57" t="e">
        <v>#N/A</v>
      </c>
      <c r="AC57" t="e">
        <v>#N/A</v>
      </c>
      <c r="AD57" t="e">
        <v>#N/A</v>
      </c>
      <c r="AE57" t="e">
        <v>#N/A</v>
      </c>
      <c r="AF57" t="e">
        <v>#N/A</v>
      </c>
    </row>
    <row r="58" spans="2:32" x14ac:dyDescent="0.25">
      <c r="B58" s="1" t="s">
        <v>336</v>
      </c>
      <c r="C58" t="s">
        <v>2327</v>
      </c>
      <c r="J58">
        <v>95.9</v>
      </c>
      <c r="K58" s="38">
        <f>AVERAGE(23.4,26.7,25.75)</f>
        <v>25.283333333333331</v>
      </c>
      <c r="L58">
        <v>2.6</v>
      </c>
      <c r="N58" s="55">
        <v>0.95420127970725499</v>
      </c>
      <c r="O58">
        <v>8.4558728590953766E-4</v>
      </c>
      <c r="P58" t="e">
        <v>#N/A</v>
      </c>
      <c r="Q58" t="e">
        <v>#N/A</v>
      </c>
      <c r="R58" t="e">
        <v>#N/A</v>
      </c>
      <c r="S58" t="e">
        <v>#N/A</v>
      </c>
      <c r="AA58">
        <v>0.9648226018241548</v>
      </c>
      <c r="AB58">
        <v>9.544060239697076E-4</v>
      </c>
      <c r="AC58" t="e">
        <v>#N/A</v>
      </c>
      <c r="AD58" t="e">
        <v>#N/A</v>
      </c>
      <c r="AE58" t="e">
        <v>#N/A</v>
      </c>
      <c r="AF58" t="e">
        <v>#N/A</v>
      </c>
    </row>
    <row r="59" spans="2:32" x14ac:dyDescent="0.25">
      <c r="B59" s="1" t="s">
        <v>336</v>
      </c>
      <c r="C59" t="s">
        <v>2328</v>
      </c>
      <c r="J59" s="13">
        <f>STDEV(95.7,96.7,95.3)</f>
        <v>0.72111025509280025</v>
      </c>
      <c r="K59" s="38">
        <f>STDEV(23.4,26.7,25.75)</f>
        <v>1.6987740677716194</v>
      </c>
      <c r="L59" s="38">
        <v>0.6</v>
      </c>
      <c r="N59">
        <v>270.85072589155544</v>
      </c>
      <c r="O59">
        <v>13</v>
      </c>
      <c r="P59" t="e">
        <v>#N/A</v>
      </c>
      <c r="Q59" t="e">
        <v>#N/A</v>
      </c>
      <c r="R59" t="e">
        <v>#N/A</v>
      </c>
      <c r="S59" t="e">
        <v>#N/A</v>
      </c>
      <c r="AA59">
        <v>383.98281641003246</v>
      </c>
      <c r="AB59">
        <v>14</v>
      </c>
      <c r="AC59" t="e">
        <v>#N/A</v>
      </c>
      <c r="AD59" t="e">
        <v>#N/A</v>
      </c>
      <c r="AE59" t="e">
        <v>#N/A</v>
      </c>
      <c r="AF59" t="e">
        <v>#N/A</v>
      </c>
    </row>
    <row r="60" spans="2:32" x14ac:dyDescent="0.25">
      <c r="B60" s="1" t="s">
        <v>336</v>
      </c>
      <c r="C60" t="s">
        <v>2329</v>
      </c>
      <c r="J60">
        <v>5.0000000000000001E-3</v>
      </c>
      <c r="K60">
        <v>1.1999999999999999E-3</v>
      </c>
      <c r="L60">
        <v>1.2999999999999999E-3</v>
      </c>
      <c r="N60">
        <v>1.9366310588960492E-4</v>
      </c>
      <c r="O60">
        <v>9.2952321551941554E-6</v>
      </c>
      <c r="P60" t="e">
        <v>#N/A</v>
      </c>
      <c r="Q60" t="e">
        <v>#N/A</v>
      </c>
      <c r="R60" t="e">
        <v>#N/A</v>
      </c>
      <c r="S60" t="e">
        <v>#N/A</v>
      </c>
      <c r="AA60">
        <v>3.4976643732341256E-4</v>
      </c>
      <c r="AB60">
        <v>1.2752472020255325E-5</v>
      </c>
      <c r="AC60" t="e">
        <v>#N/A</v>
      </c>
      <c r="AD60" t="e">
        <v>#N/A</v>
      </c>
      <c r="AE60" t="e">
        <v>#N/A</v>
      </c>
      <c r="AF60" t="e">
        <v>#N/A</v>
      </c>
    </row>
    <row r="61" spans="2:32" x14ac:dyDescent="0.25">
      <c r="B61" s="1" t="s">
        <v>336</v>
      </c>
      <c r="C61" t="s">
        <v>2330</v>
      </c>
      <c r="J61">
        <v>0.69</v>
      </c>
      <c r="K61">
        <v>0.18</v>
      </c>
      <c r="L61">
        <v>1.7999999999999999E-2</v>
      </c>
    </row>
    <row r="62" spans="2:32" x14ac:dyDescent="0.25">
      <c r="B62" s="1" t="s">
        <v>336</v>
      </c>
      <c r="C62" t="s">
        <v>2331</v>
      </c>
      <c r="J62" s="45">
        <f>1536*60/0.67</f>
        <v>137552.23880597015</v>
      </c>
      <c r="K62" s="45">
        <f>1537*60/0.67</f>
        <v>137641.79104477612</v>
      </c>
      <c r="L62" s="45">
        <f>1411*60/0.62</f>
        <v>136548.38709677418</v>
      </c>
      <c r="N62" s="168" t="s">
        <v>2341</v>
      </c>
    </row>
    <row r="63" spans="2:32" x14ac:dyDescent="0.25">
      <c r="B63" s="346" t="s">
        <v>2342</v>
      </c>
      <c r="N63" s="253" t="s">
        <v>2343</v>
      </c>
      <c r="O63" s="254">
        <f>$N$56</f>
        <v>1.942443864412639E-6</v>
      </c>
      <c r="P63" s="255" t="s">
        <v>221</v>
      </c>
      <c r="Q63" s="254">
        <f>$O$56</f>
        <v>5.9763082405351123E-4</v>
      </c>
    </row>
    <row r="64" spans="2:32" ht="30" x14ac:dyDescent="0.25">
      <c r="B64" s="345" t="s">
        <v>336</v>
      </c>
      <c r="C64" s="344" t="s">
        <v>751</v>
      </c>
      <c r="J64" s="826" t="s">
        <v>2344</v>
      </c>
      <c r="L64" s="826" t="s">
        <v>2345</v>
      </c>
    </row>
    <row r="65" spans="2:26" x14ac:dyDescent="0.25">
      <c r="B65" s="1" t="s">
        <v>336</v>
      </c>
      <c r="C65" t="s">
        <v>199</v>
      </c>
      <c r="J65">
        <v>1900</v>
      </c>
      <c r="L65">
        <v>37</v>
      </c>
    </row>
    <row r="66" spans="2:26" x14ac:dyDescent="0.25">
      <c r="B66" s="1" t="s">
        <v>336</v>
      </c>
      <c r="C66" t="s">
        <v>2326</v>
      </c>
      <c r="J66">
        <v>2.5</v>
      </c>
      <c r="L66">
        <v>0.03</v>
      </c>
    </row>
    <row r="67" spans="2:26" x14ac:dyDescent="0.25">
      <c r="B67" s="1" t="s">
        <v>336</v>
      </c>
      <c r="C67" t="s">
        <v>2327</v>
      </c>
      <c r="J67">
        <v>109.8</v>
      </c>
      <c r="L67">
        <v>1.34</v>
      </c>
    </row>
    <row r="68" spans="2:26" x14ac:dyDescent="0.25">
      <c r="B68" s="1" t="s">
        <v>336</v>
      </c>
      <c r="C68" t="s">
        <v>2328</v>
      </c>
      <c r="J68" s="38">
        <v>2</v>
      </c>
      <c r="L68" s="38">
        <v>0.2</v>
      </c>
    </row>
    <row r="69" spans="2:26" x14ac:dyDescent="0.25">
      <c r="B69" s="1" t="s">
        <v>336</v>
      </c>
      <c r="C69" t="s">
        <v>2329</v>
      </c>
      <c r="J69">
        <v>5.7000000000000002E-3</v>
      </c>
      <c r="L69">
        <v>6.9999999999999994E-5</v>
      </c>
    </row>
    <row r="70" spans="2:26" x14ac:dyDescent="0.25">
      <c r="B70" s="1" t="s">
        <v>336</v>
      </c>
      <c r="C70" t="s">
        <v>2330</v>
      </c>
      <c r="J70">
        <v>0.79</v>
      </c>
      <c r="L70">
        <v>0.01</v>
      </c>
    </row>
    <row r="71" spans="2:26" x14ac:dyDescent="0.25">
      <c r="B71" s="1" t="s">
        <v>336</v>
      </c>
      <c r="C71" t="s">
        <v>2331</v>
      </c>
      <c r="J71" s="45">
        <f>AVERAGE(1286,1307,1317)*60/AVERAGE(0.56,0.57,0.57)</f>
        <v>138000.00000000003</v>
      </c>
      <c r="L71" s="45">
        <f>AVERAGE(1330,1309,1254)*60/AVERAGE(0.58,0.57,0.55)</f>
        <v>137400</v>
      </c>
    </row>
    <row r="72" spans="2:26" x14ac:dyDescent="0.25">
      <c r="B72" s="346" t="s">
        <v>2346</v>
      </c>
      <c r="T72" s="840" t="s">
        <v>2347</v>
      </c>
      <c r="U72" s="840"/>
      <c r="V72" s="840"/>
      <c r="W72" s="840"/>
      <c r="X72" s="840"/>
      <c r="Y72" s="840"/>
      <c r="Z72" s="840"/>
    </row>
    <row r="73" spans="2:26" ht="30" x14ac:dyDescent="0.25">
      <c r="B73" s="345" t="s">
        <v>336</v>
      </c>
      <c r="C73" s="344" t="s">
        <v>751</v>
      </c>
      <c r="J73" s="826" t="s">
        <v>2348</v>
      </c>
      <c r="K73" s="826" t="s">
        <v>2349</v>
      </c>
      <c r="L73" s="826" t="s">
        <v>2350</v>
      </c>
    </row>
    <row r="74" spans="2:26" x14ac:dyDescent="0.25">
      <c r="B74" s="1" t="s">
        <v>336</v>
      </c>
      <c r="C74" t="s">
        <v>199</v>
      </c>
      <c r="J74">
        <v>1440</v>
      </c>
      <c r="K74">
        <v>332</v>
      </c>
      <c r="L74">
        <v>11</v>
      </c>
    </row>
    <row r="75" spans="2:26" x14ac:dyDescent="0.25">
      <c r="B75" s="1" t="s">
        <v>336</v>
      </c>
      <c r="C75" t="s">
        <v>2326</v>
      </c>
      <c r="J75">
        <v>1.8</v>
      </c>
      <c r="K75">
        <v>0.499</v>
      </c>
      <c r="L75">
        <v>1.4E-2</v>
      </c>
    </row>
    <row r="76" spans="2:26" x14ac:dyDescent="0.25">
      <c r="B76" s="1" t="s">
        <v>336</v>
      </c>
      <c r="C76" t="s">
        <v>2327</v>
      </c>
      <c r="J76">
        <v>77.900000000000006</v>
      </c>
      <c r="K76">
        <v>22.4</v>
      </c>
      <c r="L76">
        <v>0.85</v>
      </c>
    </row>
    <row r="77" spans="2:26" x14ac:dyDescent="0.25">
      <c r="B77" s="1" t="s">
        <v>336</v>
      </c>
      <c r="C77" t="s">
        <v>2328</v>
      </c>
      <c r="J77" s="38">
        <v>7.9</v>
      </c>
      <c r="K77" s="38">
        <v>0.2</v>
      </c>
      <c r="L77" s="38">
        <v>0.2</v>
      </c>
    </row>
    <row r="78" spans="2:26" x14ac:dyDescent="0.25">
      <c r="B78" s="1" t="s">
        <v>336</v>
      </c>
      <c r="C78" t="s">
        <v>2329</v>
      </c>
      <c r="J78">
        <v>4.1999999999999997E-3</v>
      </c>
      <c r="K78">
        <v>1.6000000000000001E-3</v>
      </c>
      <c r="L78">
        <v>3.0000000000000001E-5</v>
      </c>
    </row>
    <row r="79" spans="2:26" x14ac:dyDescent="0.25">
      <c r="B79" s="1" t="s">
        <v>336</v>
      </c>
      <c r="C79" t="s">
        <v>2330</v>
      </c>
      <c r="J79">
        <v>0.56000000000000005</v>
      </c>
      <c r="K79">
        <v>0.159</v>
      </c>
      <c r="L79">
        <v>6.0000000000000001E-3</v>
      </c>
    </row>
    <row r="80" spans="2:26" x14ac:dyDescent="0.25">
      <c r="B80" s="1" t="s">
        <v>336</v>
      </c>
      <c r="C80" t="s">
        <v>2331</v>
      </c>
      <c r="J80" s="45">
        <f>1114*60/0.48</f>
        <v>139250</v>
      </c>
      <c r="K80" s="45">
        <f>1080*60/0.48</f>
        <v>135000</v>
      </c>
      <c r="L80" s="45">
        <f>1015*60/0.45</f>
        <v>135333.33333333334</v>
      </c>
    </row>
    <row r="81" spans="2:12" x14ac:dyDescent="0.25">
      <c r="B81" s="346" t="s">
        <v>2351</v>
      </c>
    </row>
    <row r="82" spans="2:12" ht="30" x14ac:dyDescent="0.25">
      <c r="B82" s="345" t="s">
        <v>336</v>
      </c>
      <c r="C82" s="344" t="s">
        <v>751</v>
      </c>
      <c r="J82" s="826"/>
      <c r="K82" s="826"/>
      <c r="L82" s="826" t="s">
        <v>2352</v>
      </c>
    </row>
    <row r="83" spans="2:12" x14ac:dyDescent="0.25">
      <c r="B83" s="1" t="s">
        <v>336</v>
      </c>
      <c r="C83" t="s">
        <v>199</v>
      </c>
      <c r="L83">
        <v>37</v>
      </c>
    </row>
    <row r="84" spans="2:12" x14ac:dyDescent="0.25">
      <c r="B84" s="1" t="s">
        <v>336</v>
      </c>
      <c r="C84" t="s">
        <v>2326</v>
      </c>
      <c r="L84">
        <v>3.9E-2</v>
      </c>
    </row>
    <row r="85" spans="2:12" x14ac:dyDescent="0.25">
      <c r="B85" s="1" t="s">
        <v>336</v>
      </c>
      <c r="C85" t="s">
        <v>2327</v>
      </c>
      <c r="L85">
        <v>1.8</v>
      </c>
    </row>
    <row r="86" spans="2:12" x14ac:dyDescent="0.25">
      <c r="B86" s="1" t="s">
        <v>336</v>
      </c>
      <c r="C86" t="s">
        <v>2328</v>
      </c>
      <c r="J86" s="38"/>
      <c r="K86" s="38"/>
      <c r="L86" s="38">
        <f>STDEV(1.9,1.6,1.8)</f>
        <v>0.15275252316519458</v>
      </c>
    </row>
    <row r="87" spans="2:12" x14ac:dyDescent="0.25">
      <c r="B87" s="1" t="s">
        <v>336</v>
      </c>
      <c r="C87" t="s">
        <v>2329</v>
      </c>
      <c r="L87">
        <v>9.0000000000000006E-5</v>
      </c>
    </row>
    <row r="88" spans="2:12" x14ac:dyDescent="0.25">
      <c r="B88" s="1" t="s">
        <v>336</v>
      </c>
      <c r="C88" t="s">
        <v>2330</v>
      </c>
      <c r="L88">
        <v>1.2999999999999999E-2</v>
      </c>
    </row>
    <row r="89" spans="2:12" x14ac:dyDescent="0.25">
      <c r="B89" s="1" t="s">
        <v>336</v>
      </c>
      <c r="C89" t="s">
        <v>2331</v>
      </c>
      <c r="L89" s="45">
        <f>AVERAGE(1535,1485,1563)*60/AVERAGE(0.67,0.65,0.68)</f>
        <v>137490</v>
      </c>
    </row>
  </sheetData>
  <mergeCells count="13">
    <mergeCell ref="O4:S4"/>
    <mergeCell ref="A1:L1"/>
    <mergeCell ref="G5:L5"/>
    <mergeCell ref="C6:D6"/>
    <mergeCell ref="G16:I16"/>
    <mergeCell ref="O5:Q5"/>
    <mergeCell ref="T72:Z72"/>
    <mergeCell ref="N55:S55"/>
    <mergeCell ref="AA55:AF55"/>
    <mergeCell ref="G25:H25"/>
    <mergeCell ref="O16:R16"/>
    <mergeCell ref="T36:Z36"/>
    <mergeCell ref="T54:Z54"/>
  </mergeCells>
  <pageMargins left="0.7" right="0.7" top="0.75" bottom="0.75" header="0.3" footer="0.3"/>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9.9978637043366805E-2"/>
    <pageSetUpPr fitToPage="1"/>
  </sheetPr>
  <dimension ref="A1:V80"/>
  <sheetViews>
    <sheetView zoomScale="86" zoomScaleNormal="86" workbookViewId="0">
      <selection activeCell="P50" sqref="P50"/>
    </sheetView>
  </sheetViews>
  <sheetFormatPr defaultRowHeight="15" x14ac:dyDescent="0.25"/>
  <cols>
    <col min="1" max="1" width="38" style="167" customWidth="1"/>
    <col min="2" max="3" width="11.85546875" style="167" customWidth="1"/>
    <col min="4" max="9" width="13.85546875" style="167" customWidth="1"/>
    <col min="10" max="21" width="12.85546875" style="167" customWidth="1"/>
    <col min="22" max="258" width="8.85546875" style="167"/>
    <col min="259" max="259" width="25.7109375" style="167" customWidth="1"/>
    <col min="260" max="260" width="7.5703125" style="167" customWidth="1"/>
    <col min="261" max="261" width="6.28515625" style="167" customWidth="1"/>
    <col min="262" max="262" width="6.140625" style="167" customWidth="1"/>
    <col min="263" max="264" width="6.7109375" style="167" customWidth="1"/>
    <col min="265" max="265" width="6.28515625" style="167" customWidth="1"/>
    <col min="266" max="268" width="7.140625" style="167" customWidth="1"/>
    <col min="269" max="269" width="6.5703125" style="167" customWidth="1"/>
    <col min="270" max="270" width="6.28515625" style="167" customWidth="1"/>
    <col min="271" max="514" width="8.85546875" style="167"/>
    <col min="515" max="515" width="25.7109375" style="167" customWidth="1"/>
    <col min="516" max="516" width="7.5703125" style="167" customWidth="1"/>
    <col min="517" max="517" width="6.28515625" style="167" customWidth="1"/>
    <col min="518" max="518" width="6.140625" style="167" customWidth="1"/>
    <col min="519" max="520" width="6.7109375" style="167" customWidth="1"/>
    <col min="521" max="521" width="6.28515625" style="167" customWidth="1"/>
    <col min="522" max="524" width="7.140625" style="167" customWidth="1"/>
    <col min="525" max="525" width="6.5703125" style="167" customWidth="1"/>
    <col min="526" max="526" width="6.28515625" style="167" customWidth="1"/>
    <col min="527" max="770" width="8.85546875" style="167"/>
    <col min="771" max="771" width="25.7109375" style="167" customWidth="1"/>
    <col min="772" max="772" width="7.5703125" style="167" customWidth="1"/>
    <col min="773" max="773" width="6.28515625" style="167" customWidth="1"/>
    <col min="774" max="774" width="6.140625" style="167" customWidth="1"/>
    <col min="775" max="776" width="6.7109375" style="167" customWidth="1"/>
    <col min="777" max="777" width="6.28515625" style="167" customWidth="1"/>
    <col min="778" max="780" width="7.140625" style="167" customWidth="1"/>
    <col min="781" max="781" width="6.5703125" style="167" customWidth="1"/>
    <col min="782" max="782" width="6.28515625" style="167" customWidth="1"/>
    <col min="783" max="1026" width="8.85546875" style="167"/>
    <col min="1027" max="1027" width="25.7109375" style="167" customWidth="1"/>
    <col min="1028" max="1028" width="7.5703125" style="167" customWidth="1"/>
    <col min="1029" max="1029" width="6.28515625" style="167" customWidth="1"/>
    <col min="1030" max="1030" width="6.140625" style="167" customWidth="1"/>
    <col min="1031" max="1032" width="6.7109375" style="167" customWidth="1"/>
    <col min="1033" max="1033" width="6.28515625" style="167" customWidth="1"/>
    <col min="1034" max="1036" width="7.140625" style="167" customWidth="1"/>
    <col min="1037" max="1037" width="6.5703125" style="167" customWidth="1"/>
    <col min="1038" max="1038" width="6.28515625" style="167" customWidth="1"/>
    <col min="1039" max="1282" width="8.85546875" style="167"/>
    <col min="1283" max="1283" width="25.7109375" style="167" customWidth="1"/>
    <col min="1284" max="1284" width="7.5703125" style="167" customWidth="1"/>
    <col min="1285" max="1285" width="6.28515625" style="167" customWidth="1"/>
    <col min="1286" max="1286" width="6.140625" style="167" customWidth="1"/>
    <col min="1287" max="1288" width="6.7109375" style="167" customWidth="1"/>
    <col min="1289" max="1289" width="6.28515625" style="167" customWidth="1"/>
    <col min="1290" max="1292" width="7.140625" style="167" customWidth="1"/>
    <col min="1293" max="1293" width="6.5703125" style="167" customWidth="1"/>
    <col min="1294" max="1294" width="6.28515625" style="167" customWidth="1"/>
    <col min="1295" max="1538" width="8.85546875" style="167"/>
    <col min="1539" max="1539" width="25.7109375" style="167" customWidth="1"/>
    <col min="1540" max="1540" width="7.5703125" style="167" customWidth="1"/>
    <col min="1541" max="1541" width="6.28515625" style="167" customWidth="1"/>
    <col min="1542" max="1542" width="6.140625" style="167" customWidth="1"/>
    <col min="1543" max="1544" width="6.7109375" style="167" customWidth="1"/>
    <col min="1545" max="1545" width="6.28515625" style="167" customWidth="1"/>
    <col min="1546" max="1548" width="7.140625" style="167" customWidth="1"/>
    <col min="1549" max="1549" width="6.5703125" style="167" customWidth="1"/>
    <col min="1550" max="1550" width="6.28515625" style="167" customWidth="1"/>
    <col min="1551" max="1794" width="8.85546875" style="167"/>
    <col min="1795" max="1795" width="25.7109375" style="167" customWidth="1"/>
    <col min="1796" max="1796" width="7.5703125" style="167" customWidth="1"/>
    <col min="1797" max="1797" width="6.28515625" style="167" customWidth="1"/>
    <col min="1798" max="1798" width="6.140625" style="167" customWidth="1"/>
    <col min="1799" max="1800" width="6.7109375" style="167" customWidth="1"/>
    <col min="1801" max="1801" width="6.28515625" style="167" customWidth="1"/>
    <col min="1802" max="1804" width="7.140625" style="167" customWidth="1"/>
    <col min="1805" max="1805" width="6.5703125" style="167" customWidth="1"/>
    <col min="1806" max="1806" width="6.28515625" style="167" customWidth="1"/>
    <col min="1807" max="2050" width="8.85546875" style="167"/>
    <col min="2051" max="2051" width="25.7109375" style="167" customWidth="1"/>
    <col min="2052" max="2052" width="7.5703125" style="167" customWidth="1"/>
    <col min="2053" max="2053" width="6.28515625" style="167" customWidth="1"/>
    <col min="2054" max="2054" width="6.140625" style="167" customWidth="1"/>
    <col min="2055" max="2056" width="6.7109375" style="167" customWidth="1"/>
    <col min="2057" max="2057" width="6.28515625" style="167" customWidth="1"/>
    <col min="2058" max="2060" width="7.140625" style="167" customWidth="1"/>
    <col min="2061" max="2061" width="6.5703125" style="167" customWidth="1"/>
    <col min="2062" max="2062" width="6.28515625" style="167" customWidth="1"/>
    <col min="2063" max="2306" width="8.85546875" style="167"/>
    <col min="2307" max="2307" width="25.7109375" style="167" customWidth="1"/>
    <col min="2308" max="2308" width="7.5703125" style="167" customWidth="1"/>
    <col min="2309" max="2309" width="6.28515625" style="167" customWidth="1"/>
    <col min="2310" max="2310" width="6.140625" style="167" customWidth="1"/>
    <col min="2311" max="2312" width="6.7109375" style="167" customWidth="1"/>
    <col min="2313" max="2313" width="6.28515625" style="167" customWidth="1"/>
    <col min="2314" max="2316" width="7.140625" style="167" customWidth="1"/>
    <col min="2317" max="2317" width="6.5703125" style="167" customWidth="1"/>
    <col min="2318" max="2318" width="6.28515625" style="167" customWidth="1"/>
    <col min="2319" max="2562" width="8.85546875" style="167"/>
    <col min="2563" max="2563" width="25.7109375" style="167" customWidth="1"/>
    <col min="2564" max="2564" width="7.5703125" style="167" customWidth="1"/>
    <col min="2565" max="2565" width="6.28515625" style="167" customWidth="1"/>
    <col min="2566" max="2566" width="6.140625" style="167" customWidth="1"/>
    <col min="2567" max="2568" width="6.7109375" style="167" customWidth="1"/>
    <col min="2569" max="2569" width="6.28515625" style="167" customWidth="1"/>
    <col min="2570" max="2572" width="7.140625" style="167" customWidth="1"/>
    <col min="2573" max="2573" width="6.5703125" style="167" customWidth="1"/>
    <col min="2574" max="2574" width="6.28515625" style="167" customWidth="1"/>
    <col min="2575" max="2818" width="8.85546875" style="167"/>
    <col min="2819" max="2819" width="25.7109375" style="167" customWidth="1"/>
    <col min="2820" max="2820" width="7.5703125" style="167" customWidth="1"/>
    <col min="2821" max="2821" width="6.28515625" style="167" customWidth="1"/>
    <col min="2822" max="2822" width="6.140625" style="167" customWidth="1"/>
    <col min="2823" max="2824" width="6.7109375" style="167" customWidth="1"/>
    <col min="2825" max="2825" width="6.28515625" style="167" customWidth="1"/>
    <col min="2826" max="2828" width="7.140625" style="167" customWidth="1"/>
    <col min="2829" max="2829" width="6.5703125" style="167" customWidth="1"/>
    <col min="2830" max="2830" width="6.28515625" style="167" customWidth="1"/>
    <col min="2831" max="3074" width="8.85546875" style="167"/>
    <col min="3075" max="3075" width="25.7109375" style="167" customWidth="1"/>
    <col min="3076" max="3076" width="7.5703125" style="167" customWidth="1"/>
    <col min="3077" max="3077" width="6.28515625" style="167" customWidth="1"/>
    <col min="3078" max="3078" width="6.140625" style="167" customWidth="1"/>
    <col min="3079" max="3080" width="6.7109375" style="167" customWidth="1"/>
    <col min="3081" max="3081" width="6.28515625" style="167" customWidth="1"/>
    <col min="3082" max="3084" width="7.140625" style="167" customWidth="1"/>
    <col min="3085" max="3085" width="6.5703125" style="167" customWidth="1"/>
    <col min="3086" max="3086" width="6.28515625" style="167" customWidth="1"/>
    <col min="3087" max="3330" width="8.85546875" style="167"/>
    <col min="3331" max="3331" width="25.7109375" style="167" customWidth="1"/>
    <col min="3332" max="3332" width="7.5703125" style="167" customWidth="1"/>
    <col min="3333" max="3333" width="6.28515625" style="167" customWidth="1"/>
    <col min="3334" max="3334" width="6.140625" style="167" customWidth="1"/>
    <col min="3335" max="3336" width="6.7109375" style="167" customWidth="1"/>
    <col min="3337" max="3337" width="6.28515625" style="167" customWidth="1"/>
    <col min="3338" max="3340" width="7.140625" style="167" customWidth="1"/>
    <col min="3341" max="3341" width="6.5703125" style="167" customWidth="1"/>
    <col min="3342" max="3342" width="6.28515625" style="167" customWidth="1"/>
    <col min="3343" max="3586" width="8.85546875" style="167"/>
    <col min="3587" max="3587" width="25.7109375" style="167" customWidth="1"/>
    <col min="3588" max="3588" width="7.5703125" style="167" customWidth="1"/>
    <col min="3589" max="3589" width="6.28515625" style="167" customWidth="1"/>
    <col min="3590" max="3590" width="6.140625" style="167" customWidth="1"/>
    <col min="3591" max="3592" width="6.7109375" style="167" customWidth="1"/>
    <col min="3593" max="3593" width="6.28515625" style="167" customWidth="1"/>
    <col min="3594" max="3596" width="7.140625" style="167" customWidth="1"/>
    <col min="3597" max="3597" width="6.5703125" style="167" customWidth="1"/>
    <col min="3598" max="3598" width="6.28515625" style="167" customWidth="1"/>
    <col min="3599" max="3842" width="8.85546875" style="167"/>
    <col min="3843" max="3843" width="25.7109375" style="167" customWidth="1"/>
    <col min="3844" max="3844" width="7.5703125" style="167" customWidth="1"/>
    <col min="3845" max="3845" width="6.28515625" style="167" customWidth="1"/>
    <col min="3846" max="3846" width="6.140625" style="167" customWidth="1"/>
    <col min="3847" max="3848" width="6.7109375" style="167" customWidth="1"/>
    <col min="3849" max="3849" width="6.28515625" style="167" customWidth="1"/>
    <col min="3850" max="3852" width="7.140625" style="167" customWidth="1"/>
    <col min="3853" max="3853" width="6.5703125" style="167" customWidth="1"/>
    <col min="3854" max="3854" width="6.28515625" style="167" customWidth="1"/>
    <col min="3855" max="4098" width="8.85546875" style="167"/>
    <col min="4099" max="4099" width="25.7109375" style="167" customWidth="1"/>
    <col min="4100" max="4100" width="7.5703125" style="167" customWidth="1"/>
    <col min="4101" max="4101" width="6.28515625" style="167" customWidth="1"/>
    <col min="4102" max="4102" width="6.140625" style="167" customWidth="1"/>
    <col min="4103" max="4104" width="6.7109375" style="167" customWidth="1"/>
    <col min="4105" max="4105" width="6.28515625" style="167" customWidth="1"/>
    <col min="4106" max="4108" width="7.140625" style="167" customWidth="1"/>
    <col min="4109" max="4109" width="6.5703125" style="167" customWidth="1"/>
    <col min="4110" max="4110" width="6.28515625" style="167" customWidth="1"/>
    <col min="4111" max="4354" width="8.85546875" style="167"/>
    <col min="4355" max="4355" width="25.7109375" style="167" customWidth="1"/>
    <col min="4356" max="4356" width="7.5703125" style="167" customWidth="1"/>
    <col min="4357" max="4357" width="6.28515625" style="167" customWidth="1"/>
    <col min="4358" max="4358" width="6.140625" style="167" customWidth="1"/>
    <col min="4359" max="4360" width="6.7109375" style="167" customWidth="1"/>
    <col min="4361" max="4361" width="6.28515625" style="167" customWidth="1"/>
    <col min="4362" max="4364" width="7.140625" style="167" customWidth="1"/>
    <col min="4365" max="4365" width="6.5703125" style="167" customWidth="1"/>
    <col min="4366" max="4366" width="6.28515625" style="167" customWidth="1"/>
    <col min="4367" max="4610" width="8.85546875" style="167"/>
    <col min="4611" max="4611" width="25.7109375" style="167" customWidth="1"/>
    <col min="4612" max="4612" width="7.5703125" style="167" customWidth="1"/>
    <col min="4613" max="4613" width="6.28515625" style="167" customWidth="1"/>
    <col min="4614" max="4614" width="6.140625" style="167" customWidth="1"/>
    <col min="4615" max="4616" width="6.7109375" style="167" customWidth="1"/>
    <col min="4617" max="4617" width="6.28515625" style="167" customWidth="1"/>
    <col min="4618" max="4620" width="7.140625" style="167" customWidth="1"/>
    <col min="4621" max="4621" width="6.5703125" style="167" customWidth="1"/>
    <col min="4622" max="4622" width="6.28515625" style="167" customWidth="1"/>
    <col min="4623" max="4866" width="8.85546875" style="167"/>
    <col min="4867" max="4867" width="25.7109375" style="167" customWidth="1"/>
    <col min="4868" max="4868" width="7.5703125" style="167" customWidth="1"/>
    <col min="4869" max="4869" width="6.28515625" style="167" customWidth="1"/>
    <col min="4870" max="4870" width="6.140625" style="167" customWidth="1"/>
    <col min="4871" max="4872" width="6.7109375" style="167" customWidth="1"/>
    <col min="4873" max="4873" width="6.28515625" style="167" customWidth="1"/>
    <col min="4874" max="4876" width="7.140625" style="167" customWidth="1"/>
    <col min="4877" max="4877" width="6.5703125" style="167" customWidth="1"/>
    <col min="4878" max="4878" width="6.28515625" style="167" customWidth="1"/>
    <col min="4879" max="5122" width="8.85546875" style="167"/>
    <col min="5123" max="5123" width="25.7109375" style="167" customWidth="1"/>
    <col min="5124" max="5124" width="7.5703125" style="167" customWidth="1"/>
    <col min="5125" max="5125" width="6.28515625" style="167" customWidth="1"/>
    <col min="5126" max="5126" width="6.140625" style="167" customWidth="1"/>
    <col min="5127" max="5128" width="6.7109375" style="167" customWidth="1"/>
    <col min="5129" max="5129" width="6.28515625" style="167" customWidth="1"/>
    <col min="5130" max="5132" width="7.140625" style="167" customWidth="1"/>
    <col min="5133" max="5133" width="6.5703125" style="167" customWidth="1"/>
    <col min="5134" max="5134" width="6.28515625" style="167" customWidth="1"/>
    <col min="5135" max="5378" width="8.85546875" style="167"/>
    <col min="5379" max="5379" width="25.7109375" style="167" customWidth="1"/>
    <col min="5380" max="5380" width="7.5703125" style="167" customWidth="1"/>
    <col min="5381" max="5381" width="6.28515625" style="167" customWidth="1"/>
    <col min="5382" max="5382" width="6.140625" style="167" customWidth="1"/>
    <col min="5383" max="5384" width="6.7109375" style="167" customWidth="1"/>
    <col min="5385" max="5385" width="6.28515625" style="167" customWidth="1"/>
    <col min="5386" max="5388" width="7.140625" style="167" customWidth="1"/>
    <col min="5389" max="5389" width="6.5703125" style="167" customWidth="1"/>
    <col min="5390" max="5390" width="6.28515625" style="167" customWidth="1"/>
    <col min="5391" max="5634" width="8.85546875" style="167"/>
    <col min="5635" max="5635" width="25.7109375" style="167" customWidth="1"/>
    <col min="5636" max="5636" width="7.5703125" style="167" customWidth="1"/>
    <col min="5637" max="5637" width="6.28515625" style="167" customWidth="1"/>
    <col min="5638" max="5638" width="6.140625" style="167" customWidth="1"/>
    <col min="5639" max="5640" width="6.7109375" style="167" customWidth="1"/>
    <col min="5641" max="5641" width="6.28515625" style="167" customWidth="1"/>
    <col min="5642" max="5644" width="7.140625" style="167" customWidth="1"/>
    <col min="5645" max="5645" width="6.5703125" style="167" customWidth="1"/>
    <col min="5646" max="5646" width="6.28515625" style="167" customWidth="1"/>
    <col min="5647" max="5890" width="8.85546875" style="167"/>
    <col min="5891" max="5891" width="25.7109375" style="167" customWidth="1"/>
    <col min="5892" max="5892" width="7.5703125" style="167" customWidth="1"/>
    <col min="5893" max="5893" width="6.28515625" style="167" customWidth="1"/>
    <col min="5894" max="5894" width="6.140625" style="167" customWidth="1"/>
    <col min="5895" max="5896" width="6.7109375" style="167" customWidth="1"/>
    <col min="5897" max="5897" width="6.28515625" style="167" customWidth="1"/>
    <col min="5898" max="5900" width="7.140625" style="167" customWidth="1"/>
    <col min="5901" max="5901" width="6.5703125" style="167" customWidth="1"/>
    <col min="5902" max="5902" width="6.28515625" style="167" customWidth="1"/>
    <col min="5903" max="6146" width="8.85546875" style="167"/>
    <col min="6147" max="6147" width="25.7109375" style="167" customWidth="1"/>
    <col min="6148" max="6148" width="7.5703125" style="167" customWidth="1"/>
    <col min="6149" max="6149" width="6.28515625" style="167" customWidth="1"/>
    <col min="6150" max="6150" width="6.140625" style="167" customWidth="1"/>
    <col min="6151" max="6152" width="6.7109375" style="167" customWidth="1"/>
    <col min="6153" max="6153" width="6.28515625" style="167" customWidth="1"/>
    <col min="6154" max="6156" width="7.140625" style="167" customWidth="1"/>
    <col min="6157" max="6157" width="6.5703125" style="167" customWidth="1"/>
    <col min="6158" max="6158" width="6.28515625" style="167" customWidth="1"/>
    <col min="6159" max="6402" width="8.85546875" style="167"/>
    <col min="6403" max="6403" width="25.7109375" style="167" customWidth="1"/>
    <col min="6404" max="6404" width="7.5703125" style="167" customWidth="1"/>
    <col min="6405" max="6405" width="6.28515625" style="167" customWidth="1"/>
    <col min="6406" max="6406" width="6.140625" style="167" customWidth="1"/>
    <col min="6407" max="6408" width="6.7109375" style="167" customWidth="1"/>
    <col min="6409" max="6409" width="6.28515625" style="167" customWidth="1"/>
    <col min="6410" max="6412" width="7.140625" style="167" customWidth="1"/>
    <col min="6413" max="6413" width="6.5703125" style="167" customWidth="1"/>
    <col min="6414" max="6414" width="6.28515625" style="167" customWidth="1"/>
    <col min="6415" max="6658" width="8.85546875" style="167"/>
    <col min="6659" max="6659" width="25.7109375" style="167" customWidth="1"/>
    <col min="6660" max="6660" width="7.5703125" style="167" customWidth="1"/>
    <col min="6661" max="6661" width="6.28515625" style="167" customWidth="1"/>
    <col min="6662" max="6662" width="6.140625" style="167" customWidth="1"/>
    <col min="6663" max="6664" width="6.7109375" style="167" customWidth="1"/>
    <col min="6665" max="6665" width="6.28515625" style="167" customWidth="1"/>
    <col min="6666" max="6668" width="7.140625" style="167" customWidth="1"/>
    <col min="6669" max="6669" width="6.5703125" style="167" customWidth="1"/>
    <col min="6670" max="6670" width="6.28515625" style="167" customWidth="1"/>
    <col min="6671" max="6914" width="8.85546875" style="167"/>
    <col min="6915" max="6915" width="25.7109375" style="167" customWidth="1"/>
    <col min="6916" max="6916" width="7.5703125" style="167" customWidth="1"/>
    <col min="6917" max="6917" width="6.28515625" style="167" customWidth="1"/>
    <col min="6918" max="6918" width="6.140625" style="167" customWidth="1"/>
    <col min="6919" max="6920" width="6.7109375" style="167" customWidth="1"/>
    <col min="6921" max="6921" width="6.28515625" style="167" customWidth="1"/>
    <col min="6922" max="6924" width="7.140625" style="167" customWidth="1"/>
    <col min="6925" max="6925" width="6.5703125" style="167" customWidth="1"/>
    <col min="6926" max="6926" width="6.28515625" style="167" customWidth="1"/>
    <col min="6927" max="7170" width="8.85546875" style="167"/>
    <col min="7171" max="7171" width="25.7109375" style="167" customWidth="1"/>
    <col min="7172" max="7172" width="7.5703125" style="167" customWidth="1"/>
    <col min="7173" max="7173" width="6.28515625" style="167" customWidth="1"/>
    <col min="7174" max="7174" width="6.140625" style="167" customWidth="1"/>
    <col min="7175" max="7176" width="6.7109375" style="167" customWidth="1"/>
    <col min="7177" max="7177" width="6.28515625" style="167" customWidth="1"/>
    <col min="7178" max="7180" width="7.140625" style="167" customWidth="1"/>
    <col min="7181" max="7181" width="6.5703125" style="167" customWidth="1"/>
    <col min="7182" max="7182" width="6.28515625" style="167" customWidth="1"/>
    <col min="7183" max="7426" width="8.85546875" style="167"/>
    <col min="7427" max="7427" width="25.7109375" style="167" customWidth="1"/>
    <col min="7428" max="7428" width="7.5703125" style="167" customWidth="1"/>
    <col min="7429" max="7429" width="6.28515625" style="167" customWidth="1"/>
    <col min="7430" max="7430" width="6.140625" style="167" customWidth="1"/>
    <col min="7431" max="7432" width="6.7109375" style="167" customWidth="1"/>
    <col min="7433" max="7433" width="6.28515625" style="167" customWidth="1"/>
    <col min="7434" max="7436" width="7.140625" style="167" customWidth="1"/>
    <col min="7437" max="7437" width="6.5703125" style="167" customWidth="1"/>
    <col min="7438" max="7438" width="6.28515625" style="167" customWidth="1"/>
    <col min="7439" max="7682" width="8.85546875" style="167"/>
    <col min="7683" max="7683" width="25.7109375" style="167" customWidth="1"/>
    <col min="7684" max="7684" width="7.5703125" style="167" customWidth="1"/>
    <col min="7685" max="7685" width="6.28515625" style="167" customWidth="1"/>
    <col min="7686" max="7686" width="6.140625" style="167" customWidth="1"/>
    <col min="7687" max="7688" width="6.7109375" style="167" customWidth="1"/>
    <col min="7689" max="7689" width="6.28515625" style="167" customWidth="1"/>
    <col min="7690" max="7692" width="7.140625" style="167" customWidth="1"/>
    <col min="7693" max="7693" width="6.5703125" style="167" customWidth="1"/>
    <col min="7694" max="7694" width="6.28515625" style="167" customWidth="1"/>
    <col min="7695" max="7938" width="8.85546875" style="167"/>
    <col min="7939" max="7939" width="25.7109375" style="167" customWidth="1"/>
    <col min="7940" max="7940" width="7.5703125" style="167" customWidth="1"/>
    <col min="7941" max="7941" width="6.28515625" style="167" customWidth="1"/>
    <col min="7942" max="7942" width="6.140625" style="167" customWidth="1"/>
    <col min="7943" max="7944" width="6.7109375" style="167" customWidth="1"/>
    <col min="7945" max="7945" width="6.28515625" style="167" customWidth="1"/>
    <col min="7946" max="7948" width="7.140625" style="167" customWidth="1"/>
    <col min="7949" max="7949" width="6.5703125" style="167" customWidth="1"/>
    <col min="7950" max="7950" width="6.28515625" style="167" customWidth="1"/>
    <col min="7951" max="8194" width="8.85546875" style="167"/>
    <col min="8195" max="8195" width="25.7109375" style="167" customWidth="1"/>
    <col min="8196" max="8196" width="7.5703125" style="167" customWidth="1"/>
    <col min="8197" max="8197" width="6.28515625" style="167" customWidth="1"/>
    <col min="8198" max="8198" width="6.140625" style="167" customWidth="1"/>
    <col min="8199" max="8200" width="6.7109375" style="167" customWidth="1"/>
    <col min="8201" max="8201" width="6.28515625" style="167" customWidth="1"/>
    <col min="8202" max="8204" width="7.140625" style="167" customWidth="1"/>
    <col min="8205" max="8205" width="6.5703125" style="167" customWidth="1"/>
    <col min="8206" max="8206" width="6.28515625" style="167" customWidth="1"/>
    <col min="8207" max="8450" width="8.85546875" style="167"/>
    <col min="8451" max="8451" width="25.7109375" style="167" customWidth="1"/>
    <col min="8452" max="8452" width="7.5703125" style="167" customWidth="1"/>
    <col min="8453" max="8453" width="6.28515625" style="167" customWidth="1"/>
    <col min="8454" max="8454" width="6.140625" style="167" customWidth="1"/>
    <col min="8455" max="8456" width="6.7109375" style="167" customWidth="1"/>
    <col min="8457" max="8457" width="6.28515625" style="167" customWidth="1"/>
    <col min="8458" max="8460" width="7.140625" style="167" customWidth="1"/>
    <col min="8461" max="8461" width="6.5703125" style="167" customWidth="1"/>
    <col min="8462" max="8462" width="6.28515625" style="167" customWidth="1"/>
    <col min="8463" max="8706" width="8.85546875" style="167"/>
    <col min="8707" max="8707" width="25.7109375" style="167" customWidth="1"/>
    <col min="8708" max="8708" width="7.5703125" style="167" customWidth="1"/>
    <col min="8709" max="8709" width="6.28515625" style="167" customWidth="1"/>
    <col min="8710" max="8710" width="6.140625" style="167" customWidth="1"/>
    <col min="8711" max="8712" width="6.7109375" style="167" customWidth="1"/>
    <col min="8713" max="8713" width="6.28515625" style="167" customWidth="1"/>
    <col min="8714" max="8716" width="7.140625" style="167" customWidth="1"/>
    <col min="8717" max="8717" width="6.5703125" style="167" customWidth="1"/>
    <col min="8718" max="8718" width="6.28515625" style="167" customWidth="1"/>
    <col min="8719" max="8962" width="8.85546875" style="167"/>
    <col min="8963" max="8963" width="25.7109375" style="167" customWidth="1"/>
    <col min="8964" max="8964" width="7.5703125" style="167" customWidth="1"/>
    <col min="8965" max="8965" width="6.28515625" style="167" customWidth="1"/>
    <col min="8966" max="8966" width="6.140625" style="167" customWidth="1"/>
    <col min="8967" max="8968" width="6.7109375" style="167" customWidth="1"/>
    <col min="8969" max="8969" width="6.28515625" style="167" customWidth="1"/>
    <col min="8970" max="8972" width="7.140625" style="167" customWidth="1"/>
    <col min="8973" max="8973" width="6.5703125" style="167" customWidth="1"/>
    <col min="8974" max="8974" width="6.28515625" style="167" customWidth="1"/>
    <col min="8975" max="9218" width="8.85546875" style="167"/>
    <col min="9219" max="9219" width="25.7109375" style="167" customWidth="1"/>
    <col min="9220" max="9220" width="7.5703125" style="167" customWidth="1"/>
    <col min="9221" max="9221" width="6.28515625" style="167" customWidth="1"/>
    <col min="9222" max="9222" width="6.140625" style="167" customWidth="1"/>
    <col min="9223" max="9224" width="6.7109375" style="167" customWidth="1"/>
    <col min="9225" max="9225" width="6.28515625" style="167" customWidth="1"/>
    <col min="9226" max="9228" width="7.140625" style="167" customWidth="1"/>
    <col min="9229" max="9229" width="6.5703125" style="167" customWidth="1"/>
    <col min="9230" max="9230" width="6.28515625" style="167" customWidth="1"/>
    <col min="9231" max="9474" width="8.85546875" style="167"/>
    <col min="9475" max="9475" width="25.7109375" style="167" customWidth="1"/>
    <col min="9476" max="9476" width="7.5703125" style="167" customWidth="1"/>
    <col min="9477" max="9477" width="6.28515625" style="167" customWidth="1"/>
    <col min="9478" max="9478" width="6.140625" style="167" customWidth="1"/>
    <col min="9479" max="9480" width="6.7109375" style="167" customWidth="1"/>
    <col min="9481" max="9481" width="6.28515625" style="167" customWidth="1"/>
    <col min="9482" max="9484" width="7.140625" style="167" customWidth="1"/>
    <col min="9485" max="9485" width="6.5703125" style="167" customWidth="1"/>
    <col min="9486" max="9486" width="6.28515625" style="167" customWidth="1"/>
    <col min="9487" max="9730" width="8.85546875" style="167"/>
    <col min="9731" max="9731" width="25.7109375" style="167" customWidth="1"/>
    <col min="9732" max="9732" width="7.5703125" style="167" customWidth="1"/>
    <col min="9733" max="9733" width="6.28515625" style="167" customWidth="1"/>
    <col min="9734" max="9734" width="6.140625" style="167" customWidth="1"/>
    <col min="9735" max="9736" width="6.7109375" style="167" customWidth="1"/>
    <col min="9737" max="9737" width="6.28515625" style="167" customWidth="1"/>
    <col min="9738" max="9740" width="7.140625" style="167" customWidth="1"/>
    <col min="9741" max="9741" width="6.5703125" style="167" customWidth="1"/>
    <col min="9742" max="9742" width="6.28515625" style="167" customWidth="1"/>
    <col min="9743" max="9986" width="8.85546875" style="167"/>
    <col min="9987" max="9987" width="25.7109375" style="167" customWidth="1"/>
    <col min="9988" max="9988" width="7.5703125" style="167" customWidth="1"/>
    <col min="9989" max="9989" width="6.28515625" style="167" customWidth="1"/>
    <col min="9990" max="9990" width="6.140625" style="167" customWidth="1"/>
    <col min="9991" max="9992" width="6.7109375" style="167" customWidth="1"/>
    <col min="9993" max="9993" width="6.28515625" style="167" customWidth="1"/>
    <col min="9994" max="9996" width="7.140625" style="167" customWidth="1"/>
    <col min="9997" max="9997" width="6.5703125" style="167" customWidth="1"/>
    <col min="9998" max="9998" width="6.28515625" style="167" customWidth="1"/>
    <col min="9999" max="10242" width="8.85546875" style="167"/>
    <col min="10243" max="10243" width="25.7109375" style="167" customWidth="1"/>
    <col min="10244" max="10244" width="7.5703125" style="167" customWidth="1"/>
    <col min="10245" max="10245" width="6.28515625" style="167" customWidth="1"/>
    <col min="10246" max="10246" width="6.140625" style="167" customWidth="1"/>
    <col min="10247" max="10248" width="6.7109375" style="167" customWidth="1"/>
    <col min="10249" max="10249" width="6.28515625" style="167" customWidth="1"/>
    <col min="10250" max="10252" width="7.140625" style="167" customWidth="1"/>
    <col min="10253" max="10253" width="6.5703125" style="167" customWidth="1"/>
    <col min="10254" max="10254" width="6.28515625" style="167" customWidth="1"/>
    <col min="10255" max="10498" width="8.85546875" style="167"/>
    <col min="10499" max="10499" width="25.7109375" style="167" customWidth="1"/>
    <col min="10500" max="10500" width="7.5703125" style="167" customWidth="1"/>
    <col min="10501" max="10501" width="6.28515625" style="167" customWidth="1"/>
    <col min="10502" max="10502" width="6.140625" style="167" customWidth="1"/>
    <col min="10503" max="10504" width="6.7109375" style="167" customWidth="1"/>
    <col min="10505" max="10505" width="6.28515625" style="167" customWidth="1"/>
    <col min="10506" max="10508" width="7.140625" style="167" customWidth="1"/>
    <col min="10509" max="10509" width="6.5703125" style="167" customWidth="1"/>
    <col min="10510" max="10510" width="6.28515625" style="167" customWidth="1"/>
    <col min="10511" max="10754" width="8.85546875" style="167"/>
    <col min="10755" max="10755" width="25.7109375" style="167" customWidth="1"/>
    <col min="10756" max="10756" width="7.5703125" style="167" customWidth="1"/>
    <col min="10757" max="10757" width="6.28515625" style="167" customWidth="1"/>
    <col min="10758" max="10758" width="6.140625" style="167" customWidth="1"/>
    <col min="10759" max="10760" width="6.7109375" style="167" customWidth="1"/>
    <col min="10761" max="10761" width="6.28515625" style="167" customWidth="1"/>
    <col min="10762" max="10764" width="7.140625" style="167" customWidth="1"/>
    <col min="10765" max="10765" width="6.5703125" style="167" customWidth="1"/>
    <col min="10766" max="10766" width="6.28515625" style="167" customWidth="1"/>
    <col min="10767" max="11010" width="8.85546875" style="167"/>
    <col min="11011" max="11011" width="25.7109375" style="167" customWidth="1"/>
    <col min="11012" max="11012" width="7.5703125" style="167" customWidth="1"/>
    <col min="11013" max="11013" width="6.28515625" style="167" customWidth="1"/>
    <col min="11014" max="11014" width="6.140625" style="167" customWidth="1"/>
    <col min="11015" max="11016" width="6.7109375" style="167" customWidth="1"/>
    <col min="11017" max="11017" width="6.28515625" style="167" customWidth="1"/>
    <col min="11018" max="11020" width="7.140625" style="167" customWidth="1"/>
    <col min="11021" max="11021" width="6.5703125" style="167" customWidth="1"/>
    <col min="11022" max="11022" width="6.28515625" style="167" customWidth="1"/>
    <col min="11023" max="11266" width="8.85546875" style="167"/>
    <col min="11267" max="11267" width="25.7109375" style="167" customWidth="1"/>
    <col min="11268" max="11268" width="7.5703125" style="167" customWidth="1"/>
    <col min="11269" max="11269" width="6.28515625" style="167" customWidth="1"/>
    <col min="11270" max="11270" width="6.140625" style="167" customWidth="1"/>
    <col min="11271" max="11272" width="6.7109375" style="167" customWidth="1"/>
    <col min="11273" max="11273" width="6.28515625" style="167" customWidth="1"/>
    <col min="11274" max="11276" width="7.140625" style="167" customWidth="1"/>
    <col min="11277" max="11277" width="6.5703125" style="167" customWidth="1"/>
    <col min="11278" max="11278" width="6.28515625" style="167" customWidth="1"/>
    <col min="11279" max="11522" width="8.85546875" style="167"/>
    <col min="11523" max="11523" width="25.7109375" style="167" customWidth="1"/>
    <col min="11524" max="11524" width="7.5703125" style="167" customWidth="1"/>
    <col min="11525" max="11525" width="6.28515625" style="167" customWidth="1"/>
    <col min="11526" max="11526" width="6.140625" style="167" customWidth="1"/>
    <col min="11527" max="11528" width="6.7109375" style="167" customWidth="1"/>
    <col min="11529" max="11529" width="6.28515625" style="167" customWidth="1"/>
    <col min="11530" max="11532" width="7.140625" style="167" customWidth="1"/>
    <col min="11533" max="11533" width="6.5703125" style="167" customWidth="1"/>
    <col min="11534" max="11534" width="6.28515625" style="167" customWidth="1"/>
    <col min="11535" max="11778" width="8.85546875" style="167"/>
    <col min="11779" max="11779" width="25.7109375" style="167" customWidth="1"/>
    <col min="11780" max="11780" width="7.5703125" style="167" customWidth="1"/>
    <col min="11781" max="11781" width="6.28515625" style="167" customWidth="1"/>
    <col min="11782" max="11782" width="6.140625" style="167" customWidth="1"/>
    <col min="11783" max="11784" width="6.7109375" style="167" customWidth="1"/>
    <col min="11785" max="11785" width="6.28515625" style="167" customWidth="1"/>
    <col min="11786" max="11788" width="7.140625" style="167" customWidth="1"/>
    <col min="11789" max="11789" width="6.5703125" style="167" customWidth="1"/>
    <col min="11790" max="11790" width="6.28515625" style="167" customWidth="1"/>
    <col min="11791" max="12034" width="8.85546875" style="167"/>
    <col min="12035" max="12035" width="25.7109375" style="167" customWidth="1"/>
    <col min="12036" max="12036" width="7.5703125" style="167" customWidth="1"/>
    <col min="12037" max="12037" width="6.28515625" style="167" customWidth="1"/>
    <col min="12038" max="12038" width="6.140625" style="167" customWidth="1"/>
    <col min="12039" max="12040" width="6.7109375" style="167" customWidth="1"/>
    <col min="12041" max="12041" width="6.28515625" style="167" customWidth="1"/>
    <col min="12042" max="12044" width="7.140625" style="167" customWidth="1"/>
    <col min="12045" max="12045" width="6.5703125" style="167" customWidth="1"/>
    <col min="12046" max="12046" width="6.28515625" style="167" customWidth="1"/>
    <col min="12047" max="12290" width="8.85546875" style="167"/>
    <col min="12291" max="12291" width="25.7109375" style="167" customWidth="1"/>
    <col min="12292" max="12292" width="7.5703125" style="167" customWidth="1"/>
    <col min="12293" max="12293" width="6.28515625" style="167" customWidth="1"/>
    <col min="12294" max="12294" width="6.140625" style="167" customWidth="1"/>
    <col min="12295" max="12296" width="6.7109375" style="167" customWidth="1"/>
    <col min="12297" max="12297" width="6.28515625" style="167" customWidth="1"/>
    <col min="12298" max="12300" width="7.140625" style="167" customWidth="1"/>
    <col min="12301" max="12301" width="6.5703125" style="167" customWidth="1"/>
    <col min="12302" max="12302" width="6.28515625" style="167" customWidth="1"/>
    <col min="12303" max="12546" width="8.85546875" style="167"/>
    <col min="12547" max="12547" width="25.7109375" style="167" customWidth="1"/>
    <col min="12548" max="12548" width="7.5703125" style="167" customWidth="1"/>
    <col min="12549" max="12549" width="6.28515625" style="167" customWidth="1"/>
    <col min="12550" max="12550" width="6.140625" style="167" customWidth="1"/>
    <col min="12551" max="12552" width="6.7109375" style="167" customWidth="1"/>
    <col min="12553" max="12553" width="6.28515625" style="167" customWidth="1"/>
    <col min="12554" max="12556" width="7.140625" style="167" customWidth="1"/>
    <col min="12557" max="12557" width="6.5703125" style="167" customWidth="1"/>
    <col min="12558" max="12558" width="6.28515625" style="167" customWidth="1"/>
    <col min="12559" max="12802" width="8.85546875" style="167"/>
    <col min="12803" max="12803" width="25.7109375" style="167" customWidth="1"/>
    <col min="12804" max="12804" width="7.5703125" style="167" customWidth="1"/>
    <col min="12805" max="12805" width="6.28515625" style="167" customWidth="1"/>
    <col min="12806" max="12806" width="6.140625" style="167" customWidth="1"/>
    <col min="12807" max="12808" width="6.7109375" style="167" customWidth="1"/>
    <col min="12809" max="12809" width="6.28515625" style="167" customWidth="1"/>
    <col min="12810" max="12812" width="7.140625" style="167" customWidth="1"/>
    <col min="12813" max="12813" width="6.5703125" style="167" customWidth="1"/>
    <col min="12814" max="12814" width="6.28515625" style="167" customWidth="1"/>
    <col min="12815" max="13058" width="8.85546875" style="167"/>
    <col min="13059" max="13059" width="25.7109375" style="167" customWidth="1"/>
    <col min="13060" max="13060" width="7.5703125" style="167" customWidth="1"/>
    <col min="13061" max="13061" width="6.28515625" style="167" customWidth="1"/>
    <col min="13062" max="13062" width="6.140625" style="167" customWidth="1"/>
    <col min="13063" max="13064" width="6.7109375" style="167" customWidth="1"/>
    <col min="13065" max="13065" width="6.28515625" style="167" customWidth="1"/>
    <col min="13066" max="13068" width="7.140625" style="167" customWidth="1"/>
    <col min="13069" max="13069" width="6.5703125" style="167" customWidth="1"/>
    <col min="13070" max="13070" width="6.28515625" style="167" customWidth="1"/>
    <col min="13071" max="13314" width="8.85546875" style="167"/>
    <col min="13315" max="13315" width="25.7109375" style="167" customWidth="1"/>
    <col min="13316" max="13316" width="7.5703125" style="167" customWidth="1"/>
    <col min="13317" max="13317" width="6.28515625" style="167" customWidth="1"/>
    <col min="13318" max="13318" width="6.140625" style="167" customWidth="1"/>
    <col min="13319" max="13320" width="6.7109375" style="167" customWidth="1"/>
    <col min="13321" max="13321" width="6.28515625" style="167" customWidth="1"/>
    <col min="13322" max="13324" width="7.140625" style="167" customWidth="1"/>
    <col min="13325" max="13325" width="6.5703125" style="167" customWidth="1"/>
    <col min="13326" max="13326" width="6.28515625" style="167" customWidth="1"/>
    <col min="13327" max="13570" width="8.85546875" style="167"/>
    <col min="13571" max="13571" width="25.7109375" style="167" customWidth="1"/>
    <col min="13572" max="13572" width="7.5703125" style="167" customWidth="1"/>
    <col min="13573" max="13573" width="6.28515625" style="167" customWidth="1"/>
    <col min="13574" max="13574" width="6.140625" style="167" customWidth="1"/>
    <col min="13575" max="13576" width="6.7109375" style="167" customWidth="1"/>
    <col min="13577" max="13577" width="6.28515625" style="167" customWidth="1"/>
    <col min="13578" max="13580" width="7.140625" style="167" customWidth="1"/>
    <col min="13581" max="13581" width="6.5703125" style="167" customWidth="1"/>
    <col min="13582" max="13582" width="6.28515625" style="167" customWidth="1"/>
    <col min="13583" max="13826" width="8.85546875" style="167"/>
    <col min="13827" max="13827" width="25.7109375" style="167" customWidth="1"/>
    <col min="13828" max="13828" width="7.5703125" style="167" customWidth="1"/>
    <col min="13829" max="13829" width="6.28515625" style="167" customWidth="1"/>
    <col min="13830" max="13830" width="6.140625" style="167" customWidth="1"/>
    <col min="13831" max="13832" width="6.7109375" style="167" customWidth="1"/>
    <col min="13833" max="13833" width="6.28515625" style="167" customWidth="1"/>
    <col min="13834" max="13836" width="7.140625" style="167" customWidth="1"/>
    <col min="13837" max="13837" width="6.5703125" style="167" customWidth="1"/>
    <col min="13838" max="13838" width="6.28515625" style="167" customWidth="1"/>
    <col min="13839" max="14082" width="8.85546875" style="167"/>
    <col min="14083" max="14083" width="25.7109375" style="167" customWidth="1"/>
    <col min="14084" max="14084" width="7.5703125" style="167" customWidth="1"/>
    <col min="14085" max="14085" width="6.28515625" style="167" customWidth="1"/>
    <col min="14086" max="14086" width="6.140625" style="167" customWidth="1"/>
    <col min="14087" max="14088" width="6.7109375" style="167" customWidth="1"/>
    <col min="14089" max="14089" width="6.28515625" style="167" customWidth="1"/>
    <col min="14090" max="14092" width="7.140625" style="167" customWidth="1"/>
    <col min="14093" max="14093" width="6.5703125" style="167" customWidth="1"/>
    <col min="14094" max="14094" width="6.28515625" style="167" customWidth="1"/>
    <col min="14095" max="14338" width="8.85546875" style="167"/>
    <col min="14339" max="14339" width="25.7109375" style="167" customWidth="1"/>
    <col min="14340" max="14340" width="7.5703125" style="167" customWidth="1"/>
    <col min="14341" max="14341" width="6.28515625" style="167" customWidth="1"/>
    <col min="14342" max="14342" width="6.140625" style="167" customWidth="1"/>
    <col min="14343" max="14344" width="6.7109375" style="167" customWidth="1"/>
    <col min="14345" max="14345" width="6.28515625" style="167" customWidth="1"/>
    <col min="14346" max="14348" width="7.140625" style="167" customWidth="1"/>
    <col min="14349" max="14349" width="6.5703125" style="167" customWidth="1"/>
    <col min="14350" max="14350" width="6.28515625" style="167" customWidth="1"/>
    <col min="14351" max="14594" width="8.85546875" style="167"/>
    <col min="14595" max="14595" width="25.7109375" style="167" customWidth="1"/>
    <col min="14596" max="14596" width="7.5703125" style="167" customWidth="1"/>
    <col min="14597" max="14597" width="6.28515625" style="167" customWidth="1"/>
    <col min="14598" max="14598" width="6.140625" style="167" customWidth="1"/>
    <col min="14599" max="14600" width="6.7109375" style="167" customWidth="1"/>
    <col min="14601" max="14601" width="6.28515625" style="167" customWidth="1"/>
    <col min="14602" max="14604" width="7.140625" style="167" customWidth="1"/>
    <col min="14605" max="14605" width="6.5703125" style="167" customWidth="1"/>
    <col min="14606" max="14606" width="6.28515625" style="167" customWidth="1"/>
    <col min="14607" max="14850" width="8.85546875" style="167"/>
    <col min="14851" max="14851" width="25.7109375" style="167" customWidth="1"/>
    <col min="14852" max="14852" width="7.5703125" style="167" customWidth="1"/>
    <col min="14853" max="14853" width="6.28515625" style="167" customWidth="1"/>
    <col min="14854" max="14854" width="6.140625" style="167" customWidth="1"/>
    <col min="14855" max="14856" width="6.7109375" style="167" customWidth="1"/>
    <col min="14857" max="14857" width="6.28515625" style="167" customWidth="1"/>
    <col min="14858" max="14860" width="7.140625" style="167" customWidth="1"/>
    <col min="14861" max="14861" width="6.5703125" style="167" customWidth="1"/>
    <col min="14862" max="14862" width="6.28515625" style="167" customWidth="1"/>
    <col min="14863" max="15106" width="8.85546875" style="167"/>
    <col min="15107" max="15107" width="25.7109375" style="167" customWidth="1"/>
    <col min="15108" max="15108" width="7.5703125" style="167" customWidth="1"/>
    <col min="15109" max="15109" width="6.28515625" style="167" customWidth="1"/>
    <col min="15110" max="15110" width="6.140625" style="167" customWidth="1"/>
    <col min="15111" max="15112" width="6.7109375" style="167" customWidth="1"/>
    <col min="15113" max="15113" width="6.28515625" style="167" customWidth="1"/>
    <col min="15114" max="15116" width="7.140625" style="167" customWidth="1"/>
    <col min="15117" max="15117" width="6.5703125" style="167" customWidth="1"/>
    <col min="15118" max="15118" width="6.28515625" style="167" customWidth="1"/>
    <col min="15119" max="15362" width="8.85546875" style="167"/>
    <col min="15363" max="15363" width="25.7109375" style="167" customWidth="1"/>
    <col min="15364" max="15364" width="7.5703125" style="167" customWidth="1"/>
    <col min="15365" max="15365" width="6.28515625" style="167" customWidth="1"/>
    <col min="15366" max="15366" width="6.140625" style="167" customWidth="1"/>
    <col min="15367" max="15368" width="6.7109375" style="167" customWidth="1"/>
    <col min="15369" max="15369" width="6.28515625" style="167" customWidth="1"/>
    <col min="15370" max="15372" width="7.140625" style="167" customWidth="1"/>
    <col min="15373" max="15373" width="6.5703125" style="167" customWidth="1"/>
    <col min="15374" max="15374" width="6.28515625" style="167" customWidth="1"/>
    <col min="15375" max="15618" width="8.85546875" style="167"/>
    <col min="15619" max="15619" width="25.7109375" style="167" customWidth="1"/>
    <col min="15620" max="15620" width="7.5703125" style="167" customWidth="1"/>
    <col min="15621" max="15621" width="6.28515625" style="167" customWidth="1"/>
    <col min="15622" max="15622" width="6.140625" style="167" customWidth="1"/>
    <col min="15623" max="15624" width="6.7109375" style="167" customWidth="1"/>
    <col min="15625" max="15625" width="6.28515625" style="167" customWidth="1"/>
    <col min="15626" max="15628" width="7.140625" style="167" customWidth="1"/>
    <col min="15629" max="15629" width="6.5703125" style="167" customWidth="1"/>
    <col min="15630" max="15630" width="6.28515625" style="167" customWidth="1"/>
    <col min="15631" max="15874" width="8.85546875" style="167"/>
    <col min="15875" max="15875" width="25.7109375" style="167" customWidth="1"/>
    <col min="15876" max="15876" width="7.5703125" style="167" customWidth="1"/>
    <col min="15877" max="15877" width="6.28515625" style="167" customWidth="1"/>
    <col min="15878" max="15878" width="6.140625" style="167" customWidth="1"/>
    <col min="15879" max="15880" width="6.7109375" style="167" customWidth="1"/>
    <col min="15881" max="15881" width="6.28515625" style="167" customWidth="1"/>
    <col min="15882" max="15884" width="7.140625" style="167" customWidth="1"/>
    <col min="15885" max="15885" width="6.5703125" style="167" customWidth="1"/>
    <col min="15886" max="15886" width="6.28515625" style="167" customWidth="1"/>
    <col min="15887" max="16130" width="8.85546875" style="167"/>
    <col min="16131" max="16131" width="25.7109375" style="167" customWidth="1"/>
    <col min="16132" max="16132" width="7.5703125" style="167" customWidth="1"/>
    <col min="16133" max="16133" width="6.28515625" style="167" customWidth="1"/>
    <col min="16134" max="16134" width="6.140625" style="167" customWidth="1"/>
    <col min="16135" max="16136" width="6.7109375" style="167" customWidth="1"/>
    <col min="16137" max="16137" width="6.28515625" style="167" customWidth="1"/>
    <col min="16138" max="16140" width="7.140625" style="167" customWidth="1"/>
    <col min="16141" max="16141" width="6.5703125" style="167" customWidth="1"/>
    <col min="16142" max="16142" width="6.28515625" style="167" customWidth="1"/>
    <col min="16143" max="16384" width="8.85546875" style="167"/>
  </cols>
  <sheetData>
    <row r="1" spans="1:21" ht="15.75" x14ac:dyDescent="0.25">
      <c r="A1" s="831" t="s">
        <v>2353</v>
      </c>
      <c r="B1" s="831"/>
      <c r="C1" s="831"/>
      <c r="D1" s="831"/>
      <c r="E1" s="831"/>
      <c r="F1" s="831"/>
      <c r="G1" s="831"/>
      <c r="H1" s="831"/>
      <c r="I1" s="831"/>
      <c r="J1" s="831"/>
      <c r="K1" s="831"/>
      <c r="L1" s="831"/>
      <c r="M1" s="831"/>
      <c r="N1" s="831"/>
      <c r="O1" s="831"/>
      <c r="P1" s="831"/>
      <c r="Q1" s="831"/>
      <c r="R1" s="831"/>
      <c r="S1" s="831"/>
      <c r="T1" s="831"/>
      <c r="U1" s="831"/>
    </row>
    <row r="2" spans="1:21" x14ac:dyDescent="0.25">
      <c r="A2"/>
      <c r="B2"/>
      <c r="C2"/>
      <c r="D2"/>
      <c r="E2"/>
      <c r="F2"/>
      <c r="G2"/>
      <c r="H2"/>
      <c r="I2"/>
      <c r="J2"/>
      <c r="K2"/>
      <c r="L2"/>
    </row>
    <row r="3" spans="1:21" x14ac:dyDescent="0.25">
      <c r="A3"/>
      <c r="B3"/>
      <c r="C3"/>
      <c r="D3"/>
      <c r="E3"/>
      <c r="F3"/>
      <c r="G3"/>
      <c r="H3" s="168" t="s">
        <v>2354</v>
      </c>
    </row>
    <row r="4" spans="1:21" x14ac:dyDescent="0.25">
      <c r="A4"/>
      <c r="B4"/>
      <c r="C4"/>
      <c r="D4"/>
      <c r="E4"/>
      <c r="F4"/>
      <c r="G4"/>
      <c r="H4" s="169" t="s">
        <v>2355</v>
      </c>
    </row>
    <row r="5" spans="1:21" x14ac:dyDescent="0.25">
      <c r="A5"/>
      <c r="B5"/>
      <c r="C5"/>
      <c r="D5"/>
      <c r="E5"/>
      <c r="F5"/>
      <c r="G5"/>
      <c r="H5" s="169" t="s">
        <v>2356</v>
      </c>
      <c r="J5" s="169"/>
      <c r="K5" s="169"/>
      <c r="L5" s="169"/>
      <c r="M5" s="169"/>
      <c r="N5" s="169"/>
      <c r="O5" s="169"/>
      <c r="P5" s="169"/>
      <c r="R5" s="169"/>
    </row>
    <row r="6" spans="1:21" x14ac:dyDescent="0.25">
      <c r="A6"/>
      <c r="B6"/>
      <c r="C6"/>
      <c r="D6"/>
      <c r="E6"/>
      <c r="F6"/>
      <c r="G6"/>
      <c r="H6" s="169" t="s">
        <v>2357</v>
      </c>
      <c r="J6" s="169"/>
      <c r="K6" s="169"/>
      <c r="L6" s="169"/>
      <c r="M6" s="169"/>
      <c r="N6" s="169"/>
      <c r="O6" s="169"/>
      <c r="P6" s="169"/>
      <c r="R6" s="169"/>
    </row>
    <row r="7" spans="1:21" x14ac:dyDescent="0.25">
      <c r="A7"/>
      <c r="B7"/>
      <c r="C7"/>
      <c r="D7"/>
      <c r="E7"/>
      <c r="F7"/>
      <c r="G7"/>
      <c r="H7" s="169" t="s">
        <v>2358</v>
      </c>
      <c r="J7" s="169"/>
      <c r="K7" s="169"/>
      <c r="L7" s="169"/>
      <c r="M7" s="169"/>
      <c r="N7" s="169"/>
      <c r="O7" s="169"/>
      <c r="P7" s="169"/>
      <c r="R7" s="169"/>
    </row>
    <row r="8" spans="1:21" x14ac:dyDescent="0.25">
      <c r="A8"/>
      <c r="B8"/>
      <c r="C8"/>
      <c r="D8"/>
      <c r="E8"/>
      <c r="F8"/>
      <c r="G8"/>
      <c r="H8"/>
    </row>
    <row r="9" spans="1:21" x14ac:dyDescent="0.25">
      <c r="A9"/>
      <c r="B9"/>
      <c r="C9"/>
      <c r="D9"/>
      <c r="E9"/>
      <c r="F9"/>
      <c r="G9"/>
      <c r="H9" s="1" t="s">
        <v>2359</v>
      </c>
      <c r="I9" s="167" t="s">
        <v>2360</v>
      </c>
      <c r="M9" s="167" t="s">
        <v>2361</v>
      </c>
      <c r="S9" s="170" t="s">
        <v>2362</v>
      </c>
    </row>
    <row r="10" spans="1:21" x14ac:dyDescent="0.25">
      <c r="A10"/>
      <c r="B10"/>
      <c r="C10"/>
      <c r="D10"/>
      <c r="E10"/>
      <c r="F10"/>
      <c r="G10"/>
      <c r="M10" s="171" t="s">
        <v>2363</v>
      </c>
      <c r="N10" s="167" t="s">
        <v>2364</v>
      </c>
      <c r="S10" s="1" t="s">
        <v>2365</v>
      </c>
      <c r="T10" s="172">
        <v>60</v>
      </c>
      <c r="U10" s="173" t="s">
        <v>2366</v>
      </c>
    </row>
    <row r="11" spans="1:21" x14ac:dyDescent="0.25">
      <c r="A11"/>
      <c r="B11"/>
      <c r="C11"/>
      <c r="D11"/>
      <c r="E11"/>
      <c r="F11"/>
      <c r="G11"/>
      <c r="H11" s="174" t="s">
        <v>2367</v>
      </c>
      <c r="I11" s="169"/>
      <c r="J11" s="169"/>
      <c r="K11" s="169"/>
      <c r="L11" s="169"/>
      <c r="M11" s="171" t="s">
        <v>2368</v>
      </c>
      <c r="N11" s="167" t="s">
        <v>2369</v>
      </c>
      <c r="O11" s="169"/>
      <c r="S11" s="1" t="s">
        <v>2370</v>
      </c>
      <c r="T11" s="172">
        <v>300</v>
      </c>
      <c r="U11" s="173" t="s">
        <v>2366</v>
      </c>
    </row>
    <row r="12" spans="1:21" x14ac:dyDescent="0.25">
      <c r="A12"/>
      <c r="B12"/>
      <c r="C12"/>
      <c r="D12"/>
      <c r="E12"/>
      <c r="F12"/>
      <c r="G12"/>
      <c r="H12" s="1" t="s">
        <v>2371</v>
      </c>
      <c r="I12" s="167" t="s">
        <v>2372</v>
      </c>
      <c r="M12" s="171" t="s">
        <v>2373</v>
      </c>
      <c r="N12" s="169" t="s">
        <v>2374</v>
      </c>
      <c r="S12" s="1" t="s">
        <v>2375</v>
      </c>
      <c r="T12" s="175">
        <v>0.4</v>
      </c>
    </row>
    <row r="13" spans="1:21" x14ac:dyDescent="0.25">
      <c r="A13"/>
      <c r="B13"/>
      <c r="C13"/>
      <c r="D13"/>
      <c r="E13"/>
      <c r="F13"/>
      <c r="G13"/>
      <c r="H13" s="1" t="s">
        <v>2376</v>
      </c>
      <c r="I13" s="167" t="s">
        <v>2377</v>
      </c>
      <c r="M13" s="171" t="s">
        <v>2378</v>
      </c>
      <c r="N13" t="s">
        <v>2379</v>
      </c>
      <c r="R13" s="171"/>
      <c r="S13" s="1" t="s">
        <v>2380</v>
      </c>
      <c r="T13" s="176">
        <v>0.04</v>
      </c>
    </row>
    <row r="14" spans="1:21" x14ac:dyDescent="0.25">
      <c r="A14"/>
      <c r="B14"/>
      <c r="C14"/>
      <c r="D14"/>
      <c r="E14"/>
      <c r="F14"/>
      <c r="G14"/>
      <c r="H14" s="1" t="s">
        <v>2381</v>
      </c>
      <c r="I14" s="167" t="s">
        <v>2382</v>
      </c>
      <c r="M14" s="171" t="s">
        <v>2383</v>
      </c>
      <c r="N14" t="s">
        <v>2384</v>
      </c>
    </row>
    <row r="15" spans="1:21" x14ac:dyDescent="0.25">
      <c r="A15"/>
      <c r="B15"/>
      <c r="C15"/>
      <c r="D15"/>
      <c r="E15"/>
      <c r="F15"/>
      <c r="G15"/>
      <c r="H15" s="1" t="s">
        <v>2385</v>
      </c>
      <c r="I15" s="167" t="s">
        <v>2386</v>
      </c>
      <c r="M15" s="171" t="s">
        <v>2387</v>
      </c>
      <c r="N15" t="s">
        <v>2388</v>
      </c>
      <c r="S15" t="s">
        <v>2389</v>
      </c>
    </row>
    <row r="16" spans="1:21" x14ac:dyDescent="0.25">
      <c r="A16"/>
      <c r="B16"/>
      <c r="C16"/>
      <c r="D16"/>
      <c r="E16"/>
      <c r="F16"/>
      <c r="G16"/>
      <c r="H16"/>
      <c r="M16" s="171" t="s">
        <v>2390</v>
      </c>
      <c r="N16" t="s">
        <v>2391</v>
      </c>
      <c r="S16" s="177"/>
    </row>
    <row r="17" spans="1:21" x14ac:dyDescent="0.25">
      <c r="A17"/>
      <c r="B17"/>
      <c r="C17"/>
      <c r="D17"/>
      <c r="E17"/>
      <c r="F17"/>
      <c r="G17"/>
      <c r="H17" s="1" t="s">
        <v>2392</v>
      </c>
      <c r="I17" s="167" t="s">
        <v>2393</v>
      </c>
    </row>
    <row r="18" spans="1:21" x14ac:dyDescent="0.25">
      <c r="A18"/>
      <c r="B18"/>
      <c r="C18"/>
      <c r="D18"/>
      <c r="E18"/>
      <c r="F18"/>
      <c r="G18"/>
      <c r="H18"/>
      <c r="M18" s="827" t="s">
        <v>2394</v>
      </c>
      <c r="R18" s="827"/>
    </row>
    <row r="19" spans="1:21" x14ac:dyDescent="0.25">
      <c r="A19"/>
      <c r="B19"/>
      <c r="C19"/>
      <c r="D19"/>
      <c r="E19"/>
      <c r="F19"/>
      <c r="G19"/>
      <c r="H19"/>
      <c r="M19" s="827" t="s">
        <v>2395</v>
      </c>
      <c r="P19" s="887" t="s">
        <v>2396</v>
      </c>
      <c r="Q19" s="887"/>
      <c r="R19" s="887"/>
      <c r="S19" s="887"/>
      <c r="T19" s="827"/>
    </row>
    <row r="20" spans="1:21" x14ac:dyDescent="0.25">
      <c r="A20"/>
      <c r="B20"/>
      <c r="C20"/>
      <c r="D20"/>
      <c r="E20"/>
      <c r="F20"/>
      <c r="G20"/>
      <c r="H20"/>
      <c r="K20" s="827" t="s">
        <v>2397</v>
      </c>
      <c r="L20" s="827"/>
      <c r="M20" s="827" t="s">
        <v>2398</v>
      </c>
      <c r="N20" s="827" t="s">
        <v>2399</v>
      </c>
      <c r="O20" s="827" t="s">
        <v>2400</v>
      </c>
      <c r="P20" s="827" t="s">
        <v>1445</v>
      </c>
      <c r="Q20" s="827" t="s">
        <v>1445</v>
      </c>
      <c r="R20" s="827" t="s">
        <v>2401</v>
      </c>
      <c r="S20" s="827"/>
      <c r="T20" s="887" t="s">
        <v>2402</v>
      </c>
      <c r="U20" s="887"/>
    </row>
    <row r="21" spans="1:21" x14ac:dyDescent="0.25">
      <c r="A21"/>
      <c r="B21"/>
      <c r="C21"/>
      <c r="D21"/>
      <c r="E21"/>
      <c r="F21"/>
      <c r="G21"/>
      <c r="H21"/>
      <c r="J21" s="178" t="s">
        <v>2403</v>
      </c>
      <c r="K21" s="178" t="s">
        <v>2404</v>
      </c>
      <c r="L21" s="178" t="s">
        <v>2405</v>
      </c>
      <c r="M21" s="178" t="s">
        <v>2406</v>
      </c>
      <c r="N21" s="178" t="s">
        <v>2407</v>
      </c>
      <c r="O21" s="178" t="s">
        <v>2408</v>
      </c>
      <c r="P21" s="178" t="s">
        <v>58</v>
      </c>
      <c r="Q21" s="178" t="s">
        <v>2409</v>
      </c>
      <c r="R21" s="178" t="s">
        <v>2410</v>
      </c>
      <c r="S21" s="178" t="s">
        <v>2411</v>
      </c>
      <c r="T21" s="178" t="s">
        <v>2406</v>
      </c>
      <c r="U21" s="178" t="s">
        <v>2412</v>
      </c>
    </row>
    <row r="22" spans="1:21" x14ac:dyDescent="0.25">
      <c r="A22"/>
      <c r="B22"/>
      <c r="C22"/>
      <c r="D22"/>
      <c r="E22"/>
      <c r="F22"/>
      <c r="G22"/>
      <c r="H22"/>
      <c r="I22" s="171" t="s">
        <v>2413</v>
      </c>
      <c r="J22" s="179">
        <f t="shared" ref="J22:J33" si="0">L22/(1-L22)</f>
        <v>0</v>
      </c>
      <c r="K22" s="180">
        <f>1+J22</f>
        <v>1</v>
      </c>
      <c r="L22" s="181">
        <v>0</v>
      </c>
      <c r="M22" s="182">
        <f>S52</f>
        <v>8263.7509050261433</v>
      </c>
      <c r="N22" s="827" t="s">
        <v>336</v>
      </c>
      <c r="O22" s="827" t="s">
        <v>336</v>
      </c>
      <c r="P22" s="183">
        <f t="shared" ref="P22:P40" si="1">L22*(970+(212-Tw)+(0.46*(Ts-212)))</f>
        <v>0</v>
      </c>
      <c r="Q22" s="184">
        <f t="shared" ref="Q22:Q40" si="2">0.54*(1-L22)*(970+(212-Tw)+(0.46*(Ts-212)))</f>
        <v>627.7392000000001</v>
      </c>
      <c r="R22" s="183">
        <f t="shared" ref="R22:R40" si="3">(Ts-Tw)*(1-L22)*((1.44*ExAir)+1.56)</f>
        <v>512.64</v>
      </c>
      <c r="S22" s="183">
        <f t="shared" ref="S22:S40" si="4">ConvLoss*M22</f>
        <v>330.55003620104571</v>
      </c>
      <c r="T22" s="183">
        <f>M22-SUM(P22:S22)</f>
        <v>6792.8216688250977</v>
      </c>
      <c r="U22" s="185">
        <f>T22*2000/1000000</f>
        <v>13.585643337650195</v>
      </c>
    </row>
    <row r="23" spans="1:21" x14ac:dyDescent="0.25">
      <c r="A23"/>
      <c r="B23"/>
      <c r="C23"/>
      <c r="D23"/>
      <c r="E23"/>
      <c r="F23"/>
      <c r="G23"/>
      <c r="H23"/>
      <c r="J23" s="179">
        <f t="shared" si="0"/>
        <v>5.2631578947368425E-2</v>
      </c>
      <c r="K23" s="180">
        <f>1+J23</f>
        <v>1.0526315789473684</v>
      </c>
      <c r="L23" s="181">
        <v>0.05</v>
      </c>
      <c r="M23" s="183">
        <f t="shared" ref="M23:M40" si="5">$M$22*(1-L23)</f>
        <v>7850.5633597748356</v>
      </c>
      <c r="N23" s="186">
        <f t="shared" ref="N23:N40" si="6">1-M23/M$22</f>
        <v>5.0000000000000044E-2</v>
      </c>
      <c r="O23" s="179">
        <f t="shared" ref="O23:O40" si="7">M$22/M23-1</f>
        <v>5.2631578947368585E-2</v>
      </c>
      <c r="P23" s="183">
        <f t="shared" si="1"/>
        <v>58.124000000000002</v>
      </c>
      <c r="Q23" s="184">
        <f t="shared" si="2"/>
        <v>596.35224000000005</v>
      </c>
      <c r="R23" s="183">
        <f t="shared" si="3"/>
        <v>487.00800000000004</v>
      </c>
      <c r="S23" s="183">
        <f t="shared" si="4"/>
        <v>314.02253439099343</v>
      </c>
      <c r="T23" s="183">
        <f t="shared" ref="T23:T40" si="8">M23-SUM(P23:S23)</f>
        <v>6395.0565853838416</v>
      </c>
      <c r="U23" s="185">
        <f t="shared" ref="U23:U40" si="9">T23*2000/1000000</f>
        <v>12.790113170767684</v>
      </c>
    </row>
    <row r="24" spans="1:21" x14ac:dyDescent="0.25">
      <c r="A24"/>
      <c r="B24"/>
      <c r="C24"/>
      <c r="D24"/>
      <c r="E24"/>
      <c r="F24"/>
      <c r="G24"/>
      <c r="H24"/>
      <c r="J24" s="179">
        <f t="shared" si="0"/>
        <v>0.11111111111111112</v>
      </c>
      <c r="K24" s="180">
        <f t="shared" ref="K24:K40" si="10">1+J24</f>
        <v>1.1111111111111112</v>
      </c>
      <c r="L24" s="181">
        <v>0.1</v>
      </c>
      <c r="M24" s="183">
        <f t="shared" si="5"/>
        <v>7437.3758145235288</v>
      </c>
      <c r="N24" s="186">
        <f t="shared" si="6"/>
        <v>9.9999999999999978E-2</v>
      </c>
      <c r="O24" s="179">
        <f t="shared" si="7"/>
        <v>0.11111111111111116</v>
      </c>
      <c r="P24" s="183">
        <f t="shared" si="1"/>
        <v>116.248</v>
      </c>
      <c r="Q24" s="184">
        <f t="shared" si="2"/>
        <v>564.96528000000001</v>
      </c>
      <c r="R24" s="183">
        <f t="shared" si="3"/>
        <v>461.37600000000003</v>
      </c>
      <c r="S24" s="183">
        <f t="shared" si="4"/>
        <v>297.49503258094114</v>
      </c>
      <c r="T24" s="183">
        <f t="shared" si="8"/>
        <v>5997.2915019425873</v>
      </c>
      <c r="U24" s="185">
        <f t="shared" si="9"/>
        <v>11.994583003885174</v>
      </c>
    </row>
    <row r="25" spans="1:21" x14ac:dyDescent="0.25">
      <c r="A25"/>
      <c r="B25"/>
      <c r="C25"/>
      <c r="D25"/>
      <c r="E25"/>
      <c r="F25"/>
      <c r="G25"/>
      <c r="H25"/>
      <c r="J25" s="179">
        <f t="shared" si="0"/>
        <v>0.17647058823529413</v>
      </c>
      <c r="K25" s="180">
        <f t="shared" si="10"/>
        <v>1.1764705882352942</v>
      </c>
      <c r="L25" s="181">
        <v>0.15</v>
      </c>
      <c r="M25" s="183">
        <f t="shared" si="5"/>
        <v>7024.188269272222</v>
      </c>
      <c r="N25" s="186">
        <f t="shared" si="6"/>
        <v>0.15000000000000002</v>
      </c>
      <c r="O25" s="179">
        <f t="shared" si="7"/>
        <v>0.17647058823529416</v>
      </c>
      <c r="P25" s="183">
        <f t="shared" si="1"/>
        <v>174.37199999999999</v>
      </c>
      <c r="Q25" s="184">
        <f t="shared" si="2"/>
        <v>533.57832000000008</v>
      </c>
      <c r="R25" s="183">
        <f t="shared" si="3"/>
        <v>435.74400000000003</v>
      </c>
      <c r="S25" s="183">
        <f t="shared" si="4"/>
        <v>280.96753077088891</v>
      </c>
      <c r="T25" s="183">
        <f t="shared" si="8"/>
        <v>5599.526418501333</v>
      </c>
      <c r="U25" s="185">
        <f t="shared" si="9"/>
        <v>11.199052837002666</v>
      </c>
    </row>
    <row r="26" spans="1:21" x14ac:dyDescent="0.25">
      <c r="A26"/>
      <c r="B26"/>
      <c r="C26"/>
      <c r="D26"/>
      <c r="E26"/>
      <c r="F26"/>
      <c r="G26"/>
      <c r="H26"/>
      <c r="J26" s="179">
        <f t="shared" si="0"/>
        <v>0.25</v>
      </c>
      <c r="K26" s="180">
        <f t="shared" si="10"/>
        <v>1.25</v>
      </c>
      <c r="L26" s="181">
        <v>0.2</v>
      </c>
      <c r="M26" s="183">
        <f t="shared" si="5"/>
        <v>6611.0007240209152</v>
      </c>
      <c r="N26" s="186">
        <f t="shared" si="6"/>
        <v>0.19999999999999996</v>
      </c>
      <c r="O26" s="179">
        <f t="shared" si="7"/>
        <v>0.25</v>
      </c>
      <c r="P26" s="183">
        <f t="shared" si="1"/>
        <v>232.49600000000001</v>
      </c>
      <c r="Q26" s="184">
        <f t="shared" si="2"/>
        <v>502.19136000000009</v>
      </c>
      <c r="R26" s="183">
        <f t="shared" si="3"/>
        <v>410.11200000000002</v>
      </c>
      <c r="S26" s="183">
        <f t="shared" si="4"/>
        <v>264.44002896083663</v>
      </c>
      <c r="T26" s="183">
        <f t="shared" si="8"/>
        <v>5201.7613350600786</v>
      </c>
      <c r="U26" s="185">
        <f t="shared" si="9"/>
        <v>10.403522670120157</v>
      </c>
    </row>
    <row r="27" spans="1:21" x14ac:dyDescent="0.25">
      <c r="A27"/>
      <c r="B27"/>
      <c r="C27"/>
      <c r="D27"/>
      <c r="E27"/>
      <c r="F27"/>
      <c r="G27"/>
      <c r="H27"/>
      <c r="J27" s="179">
        <f t="shared" si="0"/>
        <v>0.33333333333333331</v>
      </c>
      <c r="K27" s="180">
        <f t="shared" si="10"/>
        <v>1.3333333333333333</v>
      </c>
      <c r="L27" s="181">
        <v>0.25</v>
      </c>
      <c r="M27" s="183">
        <f t="shared" si="5"/>
        <v>6197.8131787696075</v>
      </c>
      <c r="N27" s="186">
        <f t="shared" si="6"/>
        <v>0.25</v>
      </c>
      <c r="O27" s="179">
        <f t="shared" si="7"/>
        <v>0.33333333333333326</v>
      </c>
      <c r="P27" s="183">
        <f t="shared" si="1"/>
        <v>290.62</v>
      </c>
      <c r="Q27" s="184">
        <f t="shared" si="2"/>
        <v>470.80440000000004</v>
      </c>
      <c r="R27" s="183">
        <f t="shared" si="3"/>
        <v>384.48</v>
      </c>
      <c r="S27" s="183">
        <f t="shared" si="4"/>
        <v>247.91252715078431</v>
      </c>
      <c r="T27" s="183">
        <f t="shared" si="8"/>
        <v>4803.9962516188225</v>
      </c>
      <c r="U27" s="185">
        <f t="shared" si="9"/>
        <v>9.6079925032376448</v>
      </c>
    </row>
    <row r="28" spans="1:21" x14ac:dyDescent="0.25">
      <c r="A28"/>
      <c r="B28"/>
      <c r="C28"/>
      <c r="D28"/>
      <c r="E28"/>
      <c r="F28"/>
      <c r="G28"/>
      <c r="H28"/>
      <c r="J28" s="179">
        <f t="shared" si="0"/>
        <v>0.4285714285714286</v>
      </c>
      <c r="K28" s="180">
        <f t="shared" si="10"/>
        <v>1.4285714285714286</v>
      </c>
      <c r="L28" s="181">
        <v>0.3</v>
      </c>
      <c r="M28" s="183">
        <f t="shared" si="5"/>
        <v>5784.6256335182998</v>
      </c>
      <c r="N28" s="186">
        <f t="shared" si="6"/>
        <v>0.30000000000000004</v>
      </c>
      <c r="O28" s="179">
        <f t="shared" si="7"/>
        <v>0.4285714285714286</v>
      </c>
      <c r="P28" s="183">
        <f t="shared" si="1"/>
        <v>348.74399999999997</v>
      </c>
      <c r="Q28" s="184">
        <f t="shared" si="2"/>
        <v>439.41744</v>
      </c>
      <c r="R28" s="183">
        <f t="shared" si="3"/>
        <v>358.84800000000001</v>
      </c>
      <c r="S28" s="183">
        <f t="shared" si="4"/>
        <v>231.385025340732</v>
      </c>
      <c r="T28" s="183">
        <f t="shared" si="8"/>
        <v>4406.2311681775682</v>
      </c>
      <c r="U28" s="185">
        <f t="shared" si="9"/>
        <v>8.8124623363551375</v>
      </c>
    </row>
    <row r="29" spans="1:21" x14ac:dyDescent="0.25">
      <c r="A29"/>
      <c r="B29"/>
      <c r="C29"/>
      <c r="D29"/>
      <c r="E29"/>
      <c r="F29"/>
      <c r="G29"/>
      <c r="H29"/>
      <c r="J29" s="179">
        <f t="shared" si="0"/>
        <v>0.53846153846153844</v>
      </c>
      <c r="K29" s="180">
        <f t="shared" si="10"/>
        <v>1.5384615384615383</v>
      </c>
      <c r="L29" s="181">
        <v>0.35</v>
      </c>
      <c r="M29" s="183">
        <f t="shared" si="5"/>
        <v>5371.438088266993</v>
      </c>
      <c r="N29" s="186">
        <f t="shared" si="6"/>
        <v>0.35</v>
      </c>
      <c r="O29" s="179">
        <f t="shared" si="7"/>
        <v>0.53846153846153855</v>
      </c>
      <c r="P29" s="183">
        <f t="shared" si="1"/>
        <v>406.86799999999999</v>
      </c>
      <c r="Q29" s="184">
        <f t="shared" si="2"/>
        <v>408.03048000000007</v>
      </c>
      <c r="R29" s="183">
        <f t="shared" si="3"/>
        <v>333.21600000000001</v>
      </c>
      <c r="S29" s="183">
        <f t="shared" si="4"/>
        <v>214.85752353067971</v>
      </c>
      <c r="T29" s="183">
        <f t="shared" si="8"/>
        <v>4008.466084736313</v>
      </c>
      <c r="U29" s="185">
        <f t="shared" si="9"/>
        <v>8.016932169472625</v>
      </c>
    </row>
    <row r="30" spans="1:21" x14ac:dyDescent="0.25">
      <c r="A30"/>
      <c r="B30"/>
      <c r="C30"/>
      <c r="D30"/>
      <c r="E30"/>
      <c r="F30"/>
      <c r="G30"/>
      <c r="H30"/>
      <c r="J30" s="179">
        <f t="shared" si="0"/>
        <v>0.66666666666666674</v>
      </c>
      <c r="K30" s="180">
        <f t="shared" si="10"/>
        <v>1.6666666666666667</v>
      </c>
      <c r="L30" s="181">
        <v>0.4</v>
      </c>
      <c r="M30" s="183">
        <f t="shared" si="5"/>
        <v>4958.2505430156862</v>
      </c>
      <c r="N30" s="186">
        <f t="shared" si="6"/>
        <v>0.4</v>
      </c>
      <c r="O30" s="179">
        <f t="shared" si="7"/>
        <v>0.66666666666666652</v>
      </c>
      <c r="P30" s="183">
        <f t="shared" si="1"/>
        <v>464.99200000000002</v>
      </c>
      <c r="Q30" s="184">
        <f t="shared" si="2"/>
        <v>376.64352000000002</v>
      </c>
      <c r="R30" s="183">
        <f t="shared" si="3"/>
        <v>307.584</v>
      </c>
      <c r="S30" s="183">
        <f t="shared" si="4"/>
        <v>198.33002172062746</v>
      </c>
      <c r="T30" s="183">
        <f t="shared" si="8"/>
        <v>3610.7010012950586</v>
      </c>
      <c r="U30" s="185">
        <f t="shared" si="9"/>
        <v>7.2214020025901169</v>
      </c>
    </row>
    <row r="31" spans="1:21" x14ac:dyDescent="0.25">
      <c r="A31"/>
      <c r="B31"/>
      <c r="C31"/>
      <c r="D31"/>
      <c r="E31"/>
      <c r="F31"/>
      <c r="G31"/>
      <c r="H31"/>
      <c r="J31" s="179">
        <f t="shared" si="0"/>
        <v>0.81818181818181812</v>
      </c>
      <c r="K31" s="180">
        <f t="shared" si="10"/>
        <v>1.8181818181818181</v>
      </c>
      <c r="L31" s="181">
        <v>0.45</v>
      </c>
      <c r="M31" s="183">
        <f t="shared" si="5"/>
        <v>4545.0629977643794</v>
      </c>
      <c r="N31" s="186">
        <f t="shared" si="6"/>
        <v>0.44999999999999996</v>
      </c>
      <c r="O31" s="179">
        <f t="shared" si="7"/>
        <v>0.8181818181818179</v>
      </c>
      <c r="P31" s="183">
        <f t="shared" si="1"/>
        <v>523.11599999999999</v>
      </c>
      <c r="Q31" s="184">
        <f t="shared" si="2"/>
        <v>345.25656000000004</v>
      </c>
      <c r="R31" s="183">
        <f t="shared" si="3"/>
        <v>281.952</v>
      </c>
      <c r="S31" s="183">
        <f t="shared" si="4"/>
        <v>181.80251991057517</v>
      </c>
      <c r="T31" s="183">
        <f t="shared" si="8"/>
        <v>3212.9359178538043</v>
      </c>
      <c r="U31" s="185">
        <f t="shared" si="9"/>
        <v>6.4258718357076088</v>
      </c>
    </row>
    <row r="32" spans="1:21" x14ac:dyDescent="0.25">
      <c r="A32"/>
      <c r="B32"/>
      <c r="C32"/>
      <c r="D32"/>
      <c r="E32"/>
      <c r="F32"/>
      <c r="G32"/>
      <c r="H32"/>
      <c r="J32" s="179">
        <f t="shared" si="0"/>
        <v>1</v>
      </c>
      <c r="K32" s="180">
        <f t="shared" si="10"/>
        <v>2</v>
      </c>
      <c r="L32" s="181">
        <v>0.5</v>
      </c>
      <c r="M32" s="183">
        <f t="shared" si="5"/>
        <v>4131.8754525130717</v>
      </c>
      <c r="N32" s="186">
        <f t="shared" si="6"/>
        <v>0.5</v>
      </c>
      <c r="O32" s="179">
        <f t="shared" si="7"/>
        <v>1</v>
      </c>
      <c r="P32" s="183">
        <f t="shared" si="1"/>
        <v>581.24</v>
      </c>
      <c r="Q32" s="184">
        <f t="shared" si="2"/>
        <v>313.86960000000005</v>
      </c>
      <c r="R32" s="183">
        <f t="shared" si="3"/>
        <v>256.32</v>
      </c>
      <c r="S32" s="183">
        <f t="shared" si="4"/>
        <v>165.27501810052286</v>
      </c>
      <c r="T32" s="183">
        <f t="shared" si="8"/>
        <v>2815.1708344125491</v>
      </c>
      <c r="U32" s="185">
        <f t="shared" si="9"/>
        <v>5.630341668825098</v>
      </c>
    </row>
    <row r="33" spans="1:21" x14ac:dyDescent="0.25">
      <c r="A33"/>
      <c r="B33"/>
      <c r="C33"/>
      <c r="D33"/>
      <c r="E33"/>
      <c r="F33"/>
      <c r="G33"/>
      <c r="H33"/>
      <c r="J33" s="179">
        <f t="shared" si="0"/>
        <v>1.2222222222222225</v>
      </c>
      <c r="K33" s="180">
        <f t="shared" si="10"/>
        <v>2.2222222222222223</v>
      </c>
      <c r="L33" s="181">
        <v>0.55000000000000004</v>
      </c>
      <c r="M33" s="183">
        <f t="shared" si="5"/>
        <v>3718.6879072617639</v>
      </c>
      <c r="N33" s="186">
        <f t="shared" si="6"/>
        <v>0.55000000000000004</v>
      </c>
      <c r="O33" s="179">
        <f t="shared" si="7"/>
        <v>1.2222222222222228</v>
      </c>
      <c r="P33" s="183">
        <f t="shared" si="1"/>
        <v>639.36400000000003</v>
      </c>
      <c r="Q33" s="184">
        <f t="shared" si="2"/>
        <v>282.48264</v>
      </c>
      <c r="R33" s="183">
        <f t="shared" si="3"/>
        <v>230.68799999999999</v>
      </c>
      <c r="S33" s="183">
        <f t="shared" si="4"/>
        <v>148.74751629047057</v>
      </c>
      <c r="T33" s="183">
        <f t="shared" si="8"/>
        <v>2417.4057509712934</v>
      </c>
      <c r="U33" s="185">
        <f t="shared" si="9"/>
        <v>4.8348115019425872</v>
      </c>
    </row>
    <row r="34" spans="1:21" x14ac:dyDescent="0.25">
      <c r="A34"/>
      <c r="B34"/>
      <c r="C34"/>
      <c r="D34"/>
      <c r="E34"/>
      <c r="F34"/>
      <c r="G34"/>
      <c r="H34"/>
      <c r="I34" s="171" t="s">
        <v>2414</v>
      </c>
      <c r="J34" s="187">
        <f>C59</f>
        <v>0.36479259535587566</v>
      </c>
      <c r="K34" s="188">
        <f t="shared" si="10"/>
        <v>1.3647925953558757</v>
      </c>
      <c r="L34" s="187">
        <f t="shared" ref="L34:L41" si="11">J34/(1+J34)</f>
        <v>0.26728793561541442</v>
      </c>
      <c r="M34" s="189">
        <f t="shared" si="5"/>
        <v>6054.9499851816927</v>
      </c>
      <c r="N34" s="187">
        <f t="shared" si="6"/>
        <v>0.26728793561541442</v>
      </c>
      <c r="O34" s="187">
        <f t="shared" si="7"/>
        <v>0.36479259535587572</v>
      </c>
      <c r="P34" s="189">
        <f t="shared" ref="P34" si="12">L34*(970+(212-Tw)+(0.46*(Ts-212)))</f>
        <v>310.71687939420696</v>
      </c>
      <c r="Q34" s="190">
        <f t="shared" ref="Q34" si="13">0.54*(1-L34)*(970+(212-Tw)+(0.46*(Ts-212)))</f>
        <v>459.95208512712827</v>
      </c>
      <c r="R34" s="189">
        <f t="shared" ref="R34" si="14">(Ts-Tw)*(1-L34)*((1.44*ExAir)+1.56)</f>
        <v>375.61751268611397</v>
      </c>
      <c r="S34" s="189">
        <f t="shared" ref="S34" si="15">ConvLoss*M34</f>
        <v>242.1979994072677</v>
      </c>
      <c r="T34" s="189">
        <f t="shared" ref="T34" si="16">M34-SUM(P34:S34)</f>
        <v>4666.4655085669756</v>
      </c>
      <c r="U34" s="191">
        <f t="shared" si="9"/>
        <v>9.3329310171339515</v>
      </c>
    </row>
    <row r="35" spans="1:21" x14ac:dyDescent="0.25">
      <c r="A35"/>
      <c r="B35"/>
      <c r="C35"/>
      <c r="D35"/>
      <c r="E35"/>
      <c r="F35"/>
      <c r="G35"/>
      <c r="H35"/>
      <c r="I35" s="171" t="s">
        <v>2415</v>
      </c>
      <c r="J35" s="192">
        <f>C57</f>
        <v>0.36120451428077593</v>
      </c>
      <c r="K35" s="193">
        <f t="shared" si="10"/>
        <v>1.361204514280776</v>
      </c>
      <c r="L35" s="192">
        <f t="shared" si="11"/>
        <v>0.26535653569414341</v>
      </c>
      <c r="M35" s="194">
        <f t="shared" si="5"/>
        <v>6070.9105930290634</v>
      </c>
      <c r="N35" s="192">
        <f t="shared" si="6"/>
        <v>0.26535653569414341</v>
      </c>
      <c r="O35" s="192">
        <f t="shared" si="7"/>
        <v>0.36120451428077582</v>
      </c>
      <c r="P35" s="194">
        <f t="shared" si="1"/>
        <v>308.47166561372785</v>
      </c>
      <c r="Q35" s="195">
        <f t="shared" si="2"/>
        <v>461.16450056858702</v>
      </c>
      <c r="R35" s="194">
        <f t="shared" si="3"/>
        <v>376.60762554175437</v>
      </c>
      <c r="S35" s="194">
        <f t="shared" si="4"/>
        <v>242.83642372116253</v>
      </c>
      <c r="T35" s="194">
        <f t="shared" si="8"/>
        <v>4681.8303775838322</v>
      </c>
      <c r="U35" s="196">
        <f t="shared" si="9"/>
        <v>9.3636607551676647</v>
      </c>
    </row>
    <row r="36" spans="1:21" x14ac:dyDescent="0.25">
      <c r="A36"/>
      <c r="B36"/>
      <c r="C36"/>
      <c r="D36"/>
      <c r="E36"/>
      <c r="F36"/>
      <c r="G36"/>
      <c r="H36"/>
      <c r="I36" s="171" t="s">
        <v>2416</v>
      </c>
      <c r="J36" s="197">
        <f>C58</f>
        <v>0.3690534416325566</v>
      </c>
      <c r="K36" s="198">
        <f t="shared" si="10"/>
        <v>1.3690534416325566</v>
      </c>
      <c r="L36" s="197">
        <f t="shared" si="11"/>
        <v>0.26956832393078173</v>
      </c>
      <c r="M36" s="199">
        <f t="shared" si="5"/>
        <v>6036.1054241767652</v>
      </c>
      <c r="N36" s="197">
        <f t="shared" si="6"/>
        <v>0.26956832393078178</v>
      </c>
      <c r="O36" s="197">
        <f t="shared" si="7"/>
        <v>0.3690534416325566</v>
      </c>
      <c r="P36" s="199">
        <f t="shared" si="1"/>
        <v>313.36778520305512</v>
      </c>
      <c r="Q36" s="200">
        <f t="shared" si="2"/>
        <v>458.52059599035027</v>
      </c>
      <c r="R36" s="199">
        <f t="shared" si="3"/>
        <v>374.44849442012406</v>
      </c>
      <c r="S36" s="199">
        <f t="shared" si="4"/>
        <v>241.44421696707062</v>
      </c>
      <c r="T36" s="199">
        <f t="shared" si="8"/>
        <v>4648.3243315961654</v>
      </c>
      <c r="U36" s="201">
        <f t="shared" si="9"/>
        <v>9.2966486631923306</v>
      </c>
    </row>
    <row r="37" spans="1:21" x14ac:dyDescent="0.25">
      <c r="A37"/>
      <c r="B37"/>
      <c r="C37"/>
      <c r="D37"/>
      <c r="E37"/>
      <c r="F37"/>
      <c r="G37"/>
      <c r="H37"/>
      <c r="I37" s="171" t="s">
        <v>2417</v>
      </c>
      <c r="J37" s="619">
        <f>'STF-13'!$H$21</f>
        <v>0.2</v>
      </c>
      <c r="K37" s="202">
        <f t="shared" ref="K37" si="17">1+J37</f>
        <v>1.2</v>
      </c>
      <c r="L37" s="203">
        <f>J37/(1+J37)</f>
        <v>0.16666666666666669</v>
      </c>
      <c r="M37" s="204">
        <f t="shared" ref="M37" si="18">$M$22*(1-L37)</f>
        <v>6886.4590875217855</v>
      </c>
      <c r="N37" s="203">
        <f>1-M37/M$22</f>
        <v>0.16666666666666674</v>
      </c>
      <c r="O37" s="203">
        <f>M$22/M37-1</f>
        <v>0.20000000000000018</v>
      </c>
      <c r="P37" s="204">
        <f t="shared" ref="P37" si="19">L37*(970+(212-Tw)+(0.46*(Ts-212)))</f>
        <v>193.7466666666667</v>
      </c>
      <c r="Q37" s="205">
        <f t="shared" ref="Q37" si="20">0.54*(1-L37)*(970+(212-Tw)+(0.46*(Ts-212)))</f>
        <v>523.11599999999999</v>
      </c>
      <c r="R37" s="204">
        <f t="shared" ref="R37" si="21">(Ts-Tw)*(1-L37)*((1.44*ExAir)+1.56)</f>
        <v>427.2</v>
      </c>
      <c r="S37" s="204">
        <f t="shared" ref="S37" si="22">ConvLoss*M37</f>
        <v>275.45836350087143</v>
      </c>
      <c r="T37" s="204">
        <f t="shared" ref="T37" si="23">M37-SUM(P37:S37)</f>
        <v>5466.9380573542476</v>
      </c>
      <c r="U37" s="206">
        <f t="shared" ref="U37" si="24">T37*2000/1000000</f>
        <v>10.933876114708495</v>
      </c>
    </row>
    <row r="38" spans="1:21" x14ac:dyDescent="0.25">
      <c r="A38"/>
      <c r="B38"/>
      <c r="C38"/>
      <c r="D38"/>
      <c r="E38"/>
      <c r="F38"/>
      <c r="G38"/>
      <c r="H38"/>
      <c r="I38" s="171" t="s">
        <v>2418</v>
      </c>
      <c r="J38" s="619">
        <f>'STF-13'!$I$21</f>
        <v>0</v>
      </c>
      <c r="K38" s="202">
        <f t="shared" ref="K38:K39" si="25">1+J38</f>
        <v>1</v>
      </c>
      <c r="L38" s="203">
        <f t="shared" ref="L38:L39" si="26">J38/(1+J38)</f>
        <v>0</v>
      </c>
      <c r="M38" s="204">
        <f t="shared" ref="M38:M39" si="27">$M$22*(1-L38)</f>
        <v>8263.7509050261433</v>
      </c>
      <c r="N38" s="203">
        <f t="shared" ref="N38:N39" si="28">1-M38/M$22</f>
        <v>0</v>
      </c>
      <c r="O38" s="203">
        <f t="shared" ref="O38:O39" si="29">M$22/M38-1</f>
        <v>0</v>
      </c>
      <c r="P38" s="204">
        <f t="shared" ref="P38:P39" si="30">L38*(970+(212-Tw)+(0.46*(Ts-212)))</f>
        <v>0</v>
      </c>
      <c r="Q38" s="205">
        <f t="shared" ref="Q38:Q39" si="31">0.54*(1-L38)*(970+(212-Tw)+(0.46*(Ts-212)))</f>
        <v>627.7392000000001</v>
      </c>
      <c r="R38" s="204">
        <f t="shared" ref="R38:R39" si="32">(Ts-Tw)*(1-L38)*((1.44*ExAir)+1.56)</f>
        <v>512.64</v>
      </c>
      <c r="S38" s="204">
        <f t="shared" ref="S38:S39" si="33">ConvLoss*M38</f>
        <v>330.55003620104571</v>
      </c>
      <c r="T38" s="204">
        <f t="shared" ref="T38:T39" si="34">M38-SUM(P38:S38)</f>
        <v>6792.8216688250977</v>
      </c>
      <c r="U38" s="206">
        <f t="shared" ref="U38:U39" si="35">T38*2000/1000000</f>
        <v>13.585643337650195</v>
      </c>
    </row>
    <row r="39" spans="1:21" x14ac:dyDescent="0.25">
      <c r="A39"/>
      <c r="B39"/>
      <c r="C39"/>
      <c r="D39"/>
      <c r="E39"/>
      <c r="F39"/>
      <c r="G39"/>
      <c r="H39"/>
      <c r="I39" s="171" t="s">
        <v>2419</v>
      </c>
      <c r="J39" s="619">
        <f>'STF-13'!$G$21</f>
        <v>0.26600000000000001</v>
      </c>
      <c r="K39" s="202">
        <f t="shared" si="25"/>
        <v>1.266</v>
      </c>
      <c r="L39" s="203">
        <f t="shared" si="26"/>
        <v>0.21011058451816747</v>
      </c>
      <c r="M39" s="204">
        <f t="shared" si="27"/>
        <v>6527.4493720585651</v>
      </c>
      <c r="N39" s="203">
        <f t="shared" si="28"/>
        <v>0.21011058451816744</v>
      </c>
      <c r="O39" s="203">
        <f t="shared" si="29"/>
        <v>0.26600000000000001</v>
      </c>
      <c r="P39" s="204">
        <f t="shared" si="30"/>
        <v>244.24935229067933</v>
      </c>
      <c r="Q39" s="205">
        <f t="shared" si="31"/>
        <v>495.84454976303323</v>
      </c>
      <c r="R39" s="204">
        <f t="shared" si="32"/>
        <v>404.92890995260666</v>
      </c>
      <c r="S39" s="204">
        <f t="shared" si="33"/>
        <v>261.09797488234261</v>
      </c>
      <c r="T39" s="204">
        <f t="shared" si="34"/>
        <v>5121.3285851699029</v>
      </c>
      <c r="U39" s="206">
        <f t="shared" si="35"/>
        <v>10.242657170339806</v>
      </c>
    </row>
    <row r="40" spans="1:21" x14ac:dyDescent="0.25">
      <c r="A40"/>
      <c r="B40"/>
      <c r="C40"/>
      <c r="D40"/>
      <c r="E40"/>
      <c r="F40"/>
      <c r="G40"/>
      <c r="H40"/>
      <c r="I40" s="171" t="s">
        <v>2420</v>
      </c>
      <c r="J40" s="483">
        <f>C55</f>
        <v>0.26600000000000001</v>
      </c>
      <c r="K40" s="484">
        <f t="shared" si="10"/>
        <v>1.266</v>
      </c>
      <c r="L40" s="485">
        <f t="shared" si="11"/>
        <v>0.21011058451816747</v>
      </c>
      <c r="M40" s="486">
        <f t="shared" si="5"/>
        <v>6527.4493720585651</v>
      </c>
      <c r="N40" s="485">
        <f t="shared" si="6"/>
        <v>0.21011058451816744</v>
      </c>
      <c r="O40" s="485">
        <f t="shared" si="7"/>
        <v>0.26600000000000001</v>
      </c>
      <c r="P40" s="486">
        <f t="shared" si="1"/>
        <v>244.24935229067933</v>
      </c>
      <c r="Q40" s="487">
        <f t="shared" si="2"/>
        <v>495.84454976303323</v>
      </c>
      <c r="R40" s="486">
        <f t="shared" si="3"/>
        <v>404.92890995260666</v>
      </c>
      <c r="S40" s="486">
        <f t="shared" si="4"/>
        <v>261.09797488234261</v>
      </c>
      <c r="T40" s="486">
        <f t="shared" si="8"/>
        <v>5121.3285851699029</v>
      </c>
      <c r="U40" s="488">
        <f t="shared" si="9"/>
        <v>10.242657170339806</v>
      </c>
    </row>
    <row r="41" spans="1:21" x14ac:dyDescent="0.25">
      <c r="A41"/>
      <c r="B41"/>
      <c r="C41"/>
      <c r="D41"/>
      <c r="E41"/>
      <c r="F41"/>
      <c r="G41"/>
      <c r="H41"/>
      <c r="I41" s="171" t="s">
        <v>2421</v>
      </c>
      <c r="J41" s="207">
        <f>C61</f>
        <v>0.64284753550418072</v>
      </c>
      <c r="K41" s="208">
        <f t="shared" ref="K41" si="36">1+J41</f>
        <v>1.6428475355041807</v>
      </c>
      <c r="L41" s="209">
        <f t="shared" si="11"/>
        <v>0.39130078818111041</v>
      </c>
      <c r="M41" s="210">
        <f t="shared" ref="M41" si="37">$M$22*(1-L41)</f>
        <v>5030.1386625570494</v>
      </c>
      <c r="N41" s="209">
        <f t="shared" ref="N41" si="38">1-M41/M$22</f>
        <v>0.39130078818111036</v>
      </c>
      <c r="O41" s="209">
        <f t="shared" ref="O41" si="39">M$22/M41-1</f>
        <v>0.6428475355041805</v>
      </c>
      <c r="P41" s="210">
        <f t="shared" ref="P41" si="40">L41*(970+(212-Tw)+(0.46*(Ts-212)))</f>
        <v>454.87934024477727</v>
      </c>
      <c r="Q41" s="211">
        <f t="shared" ref="Q41" si="41">0.54*(1-L41)*(970+(212-Tw)+(0.46*(Ts-212)))</f>
        <v>382.10435626782038</v>
      </c>
      <c r="R41" s="210">
        <f t="shared" ref="R41" si="42">(Ts-Tw)*(1-L41)*((1.44*ExAir)+1.56)</f>
        <v>312.0435639468356</v>
      </c>
      <c r="S41" s="210">
        <f t="shared" ref="S41" si="43">ConvLoss*M41</f>
        <v>201.20554650228198</v>
      </c>
      <c r="T41" s="210">
        <f t="shared" ref="T41" si="44">M41-SUM(P41:S41)</f>
        <v>3679.9058555953343</v>
      </c>
      <c r="U41" s="212">
        <f t="shared" ref="U41" si="45">T41*2000/1000000</f>
        <v>7.3598117111906687</v>
      </c>
    </row>
    <row r="42" spans="1:21" x14ac:dyDescent="0.25">
      <c r="A42"/>
      <c r="B42"/>
      <c r="C42"/>
      <c r="D42"/>
      <c r="E42"/>
      <c r="F42"/>
      <c r="G42"/>
      <c r="H42"/>
      <c r="L42" s="171" t="s">
        <v>2422</v>
      </c>
      <c r="M42" s="204">
        <v>6053</v>
      </c>
    </row>
    <row r="43" spans="1:21" ht="12.75" customHeight="1" x14ac:dyDescent="0.25">
      <c r="A43"/>
      <c r="B43"/>
      <c r="C43"/>
      <c r="D43"/>
      <c r="E43"/>
      <c r="F43"/>
      <c r="G43"/>
      <c r="H43"/>
      <c r="I43"/>
      <c r="J43"/>
      <c r="K43"/>
      <c r="L43" s="171" t="s">
        <v>2423</v>
      </c>
      <c r="M43" s="213">
        <f>M40/M42</f>
        <v>1.0783825164478051</v>
      </c>
      <c r="O43" s="185">
        <f>M35*2/1000</f>
        <v>12.141821186058127</v>
      </c>
    </row>
    <row r="44" spans="1:21" ht="12.75" customHeight="1" x14ac:dyDescent="0.25">
      <c r="A44" s="214" t="s">
        <v>2424</v>
      </c>
      <c r="B44"/>
      <c r="C44"/>
      <c r="D44"/>
      <c r="E44"/>
      <c r="F44"/>
      <c r="G44"/>
      <c r="H44"/>
      <c r="I44"/>
      <c r="J44"/>
      <c r="K44"/>
      <c r="L44"/>
      <c r="O44" s="185">
        <f>M36*2/1000</f>
        <v>12.07221084835353</v>
      </c>
    </row>
    <row r="45" spans="1:21" ht="12.75" customHeight="1" x14ac:dyDescent="0.25">
      <c r="A45" s="214"/>
      <c r="B45"/>
      <c r="C45"/>
      <c r="D45"/>
      <c r="E45"/>
      <c r="F45"/>
      <c r="G45"/>
      <c r="H45"/>
      <c r="I45"/>
      <c r="J45"/>
      <c r="K45"/>
      <c r="L45"/>
      <c r="M45" s="215">
        <f>M22/M37</f>
        <v>1.2000000000000002</v>
      </c>
      <c r="O45" s="185">
        <f>M37*2/1000</f>
        <v>13.772918175043571</v>
      </c>
    </row>
    <row r="46" spans="1:21" ht="12.75" customHeight="1" x14ac:dyDescent="0.25">
      <c r="A46"/>
      <c r="B46"/>
      <c r="C46"/>
      <c r="D46"/>
      <c r="E46"/>
      <c r="F46"/>
      <c r="G46"/>
      <c r="H46"/>
      <c r="I46"/>
      <c r="J46"/>
      <c r="K46"/>
      <c r="L46"/>
      <c r="O46" s="185"/>
      <c r="P46" s="216">
        <v>0.4637005615330928</v>
      </c>
      <c r="Q46" s="216">
        <v>0.35138400532752173</v>
      </c>
      <c r="R46" s="216">
        <v>0.18491543313938538</v>
      </c>
      <c r="S46" s="167" t="s">
        <v>2425</v>
      </c>
    </row>
    <row r="47" spans="1:21" ht="12.75" customHeight="1" x14ac:dyDescent="0.25">
      <c r="A47"/>
      <c r="B47"/>
      <c r="C47"/>
      <c r="D47"/>
      <c r="E47"/>
      <c r="F47"/>
      <c r="G47"/>
      <c r="H47"/>
      <c r="I47"/>
      <c r="J47"/>
      <c r="K47"/>
      <c r="L47"/>
      <c r="P47" s="216">
        <v>0.54623788565977127</v>
      </c>
      <c r="Q47" s="216">
        <v>0.30287510904825726</v>
      </c>
      <c r="R47" s="216">
        <v>0.15088700529197147</v>
      </c>
      <c r="S47" s="167" t="s">
        <v>2426</v>
      </c>
    </row>
    <row r="48" spans="1:21" ht="15.75" x14ac:dyDescent="0.25">
      <c r="A48" s="217" t="s">
        <v>2427</v>
      </c>
      <c r="P48" s="218">
        <v>0.51941238195173123</v>
      </c>
      <c r="Q48" s="218">
        <v>5.941762854144806E-2</v>
      </c>
      <c r="R48" s="218">
        <v>0.42576075550891901</v>
      </c>
      <c r="S48" s="167" t="s">
        <v>2428</v>
      </c>
    </row>
    <row r="49" spans="1:22" x14ac:dyDescent="0.25">
      <c r="P49" s="174" t="s">
        <v>2429</v>
      </c>
      <c r="Q49" s="174" t="s">
        <v>2430</v>
      </c>
      <c r="R49" s="174" t="s">
        <v>2431</v>
      </c>
      <c r="S49" s="174" t="s">
        <v>329</v>
      </c>
    </row>
    <row r="50" spans="1:22" x14ac:dyDescent="0.25">
      <c r="C50" s="827"/>
      <c r="K50" s="174" t="s">
        <v>2432</v>
      </c>
      <c r="L50" s="174" t="s">
        <v>2433</v>
      </c>
      <c r="O50" s="171" t="s">
        <v>2434</v>
      </c>
      <c r="P50" s="219">
        <f>P47</f>
        <v>0.54623788565977127</v>
      </c>
      <c r="Q50" s="219">
        <f t="shared" ref="Q50:R50" si="46">Q47</f>
        <v>0.30287510904825726</v>
      </c>
      <c r="R50" s="219">
        <f t="shared" si="46"/>
        <v>0.15088700529197147</v>
      </c>
    </row>
    <row r="51" spans="1:22" x14ac:dyDescent="0.25">
      <c r="B51" s="827" t="s">
        <v>2435</v>
      </c>
      <c r="C51" s="827" t="s">
        <v>2436</v>
      </c>
      <c r="D51" s="8">
        <f>$P50*K51</f>
        <v>0.27311894282988564</v>
      </c>
      <c r="E51" s="8">
        <f>$P50*L51</f>
        <v>0.27311894282988564</v>
      </c>
      <c r="F51" s="8">
        <f>$Q50*K51</f>
        <v>0.15143755452412863</v>
      </c>
      <c r="G51" s="8">
        <f>$Q50*L51</f>
        <v>0.15143755452412863</v>
      </c>
      <c r="H51" s="8">
        <f>$R50*K51</f>
        <v>7.5443502645985733E-2</v>
      </c>
      <c r="I51" s="8">
        <f>$R50*L51</f>
        <v>7.5443502645985733E-2</v>
      </c>
      <c r="J51" s="167" t="s">
        <v>2437</v>
      </c>
      <c r="K51" s="220">
        <v>0.5</v>
      </c>
      <c r="L51" s="8">
        <f>1-K51</f>
        <v>0.5</v>
      </c>
      <c r="O51" s="171" t="s">
        <v>2438</v>
      </c>
      <c r="P51" s="221">
        <f>(9490+10310)/2</f>
        <v>9900</v>
      </c>
      <c r="Q51" s="221">
        <v>8890</v>
      </c>
      <c r="R51" s="221">
        <f>AVERAGE(8430,8712,8765,9000)</f>
        <v>8726.75</v>
      </c>
      <c r="S51" s="222">
        <f>SUMPRODUCT(P$50:R$50,P51:R51)</f>
        <v>9417.0679609024555</v>
      </c>
      <c r="T51" s="167" t="s">
        <v>2439</v>
      </c>
      <c r="U51" s="222">
        <f>S51*2000/1000</f>
        <v>18834.135921804911</v>
      </c>
      <c r="V51" s="167" t="s">
        <v>2440</v>
      </c>
    </row>
    <row r="52" spans="1:22" ht="15.75" thickBot="1" x14ac:dyDescent="0.3">
      <c r="A52" s="223" t="s">
        <v>2441</v>
      </c>
      <c r="B52" s="224" t="s">
        <v>2442</v>
      </c>
      <c r="C52" s="224" t="s">
        <v>329</v>
      </c>
      <c r="D52" s="224" t="s">
        <v>2443</v>
      </c>
      <c r="E52" s="224" t="s">
        <v>2444</v>
      </c>
      <c r="F52" s="224" t="s">
        <v>2445</v>
      </c>
      <c r="G52" s="224" t="s">
        <v>2446</v>
      </c>
      <c r="H52" s="224" t="s">
        <v>2447</v>
      </c>
      <c r="I52" s="224" t="s">
        <v>2448</v>
      </c>
      <c r="O52" s="225" t="s">
        <v>2438</v>
      </c>
      <c r="P52" s="226">
        <v>8126.2553802008606</v>
      </c>
      <c r="Q52" s="226">
        <v>8517.6470588235297</v>
      </c>
      <c r="R52" s="226">
        <v>8251.864125932063</v>
      </c>
      <c r="S52" s="227">
        <f>SUMPRODUCT(P$50:R$50,P52:R52)</f>
        <v>8263.7509050261433</v>
      </c>
      <c r="T52" s="167" t="s">
        <v>2439</v>
      </c>
      <c r="U52" s="227">
        <f>S52*2000/1000</f>
        <v>16527.501810052287</v>
      </c>
      <c r="V52" s="167" t="s">
        <v>2440</v>
      </c>
    </row>
    <row r="53" spans="1:22" ht="15.75" thickTop="1" x14ac:dyDescent="0.25">
      <c r="A53" s="228" t="s">
        <v>2449</v>
      </c>
      <c r="B53" s="229">
        <f>B54</f>
        <v>0.22405532516935692</v>
      </c>
      <c r="C53" s="230">
        <f>SUMPRODUCT(D53:I53,D$51:I$51)</f>
        <v>0.62916068472888009</v>
      </c>
      <c r="D53" s="231">
        <v>0.51</v>
      </c>
      <c r="E53" s="231">
        <v>0.58250000000000002</v>
      </c>
      <c r="F53" s="231">
        <v>0.96499999999999997</v>
      </c>
      <c r="G53" s="231">
        <v>0.6725000000000001</v>
      </c>
      <c r="H53" s="231">
        <v>0.51</v>
      </c>
      <c r="I53" s="231">
        <v>0.58750000000000002</v>
      </c>
      <c r="K53" s="887" t="s">
        <v>2450</v>
      </c>
      <c r="L53" s="887"/>
    </row>
    <row r="54" spans="1:22" x14ac:dyDescent="0.25">
      <c r="A54" s="228" t="s">
        <v>2451</v>
      </c>
      <c r="B54" s="232">
        <v>0.22405532516935692</v>
      </c>
      <c r="C54" s="230">
        <f>SUMPRODUCT(D54:I54,D$51:I$51)</f>
        <v>0.65910067079985035</v>
      </c>
      <c r="D54" s="231">
        <v>0.57250000000000001</v>
      </c>
      <c r="E54" s="231">
        <v>0.62250000000000005</v>
      </c>
      <c r="F54" s="231">
        <v>0.85499999999999998</v>
      </c>
      <c r="G54" s="231">
        <v>0.71875</v>
      </c>
      <c r="H54" s="231">
        <v>0.59124999999999994</v>
      </c>
      <c r="I54" s="231">
        <v>0.65999999999999992</v>
      </c>
      <c r="K54" s="174" t="s">
        <v>2452</v>
      </c>
      <c r="L54" s="174" t="s">
        <v>2453</v>
      </c>
    </row>
    <row r="55" spans="1:22" x14ac:dyDescent="0.25">
      <c r="A55" s="228" t="s">
        <v>330</v>
      </c>
      <c r="B55" s="233">
        <v>0.63061092590447232</v>
      </c>
      <c r="C55" s="234">
        <v>0.26600000000000001</v>
      </c>
      <c r="D55" s="167" t="s">
        <v>2454</v>
      </c>
      <c r="K55" s="220">
        <v>0.25</v>
      </c>
      <c r="L55" s="8">
        <f>1-K55</f>
        <v>0.75</v>
      </c>
    </row>
    <row r="56" spans="1:22" ht="15.75" thickBot="1" x14ac:dyDescent="0.3">
      <c r="A56" s="235" t="s">
        <v>2455</v>
      </c>
      <c r="B56" s="236">
        <v>0.14533374892617076</v>
      </c>
      <c r="C56" s="237">
        <f>(B53*C53+B55*C55)/SUM(B53:B55)</f>
        <v>0.28618071139952705</v>
      </c>
    </row>
    <row r="57" spans="1:22" ht="15.75" thickTop="1" x14ac:dyDescent="0.25">
      <c r="A57" s="238" t="s">
        <v>2456</v>
      </c>
      <c r="B57" s="234">
        <f>SUM(B53,B55:B56)</f>
        <v>1</v>
      </c>
      <c r="C57" s="239">
        <f>(B53*C53+B$55*C$55)/(B53+B$55)</f>
        <v>0.36120451428077593</v>
      </c>
    </row>
    <row r="58" spans="1:22" x14ac:dyDescent="0.25">
      <c r="A58" s="238" t="s">
        <v>2457</v>
      </c>
      <c r="B58" s="234">
        <f>SUM(B54,B55:B56)</f>
        <v>1</v>
      </c>
      <c r="C58" s="240">
        <f>(B54*C54+B$55*C$55)/(B54+B$55)</f>
        <v>0.3690534416325566</v>
      </c>
    </row>
    <row r="59" spans="1:22" x14ac:dyDescent="0.25">
      <c r="A59" s="238" t="s">
        <v>2458</v>
      </c>
      <c r="C59" s="241">
        <f>(19*C57+16*C58)/35</f>
        <v>0.36479259535587566</v>
      </c>
    </row>
    <row r="60" spans="1:22" x14ac:dyDescent="0.25">
      <c r="A60" s="238" t="s">
        <v>2459</v>
      </c>
      <c r="C60" s="242">
        <f>(19*K35+16*K36)/35/K37</f>
        <v>1.1373271627965631</v>
      </c>
    </row>
    <row r="61" spans="1:22" x14ac:dyDescent="0.25">
      <c r="A61" s="238" t="s">
        <v>2460</v>
      </c>
      <c r="C61" s="482">
        <f>(19*C53+16*C54)/35</f>
        <v>0.64284753550418072</v>
      </c>
    </row>
    <row r="62" spans="1:22" x14ac:dyDescent="0.25">
      <c r="A62" s="238" t="s">
        <v>2461</v>
      </c>
      <c r="C62" s="481">
        <f>K41/K37</f>
        <v>1.3690396129201508</v>
      </c>
    </row>
    <row r="64" spans="1:22" x14ac:dyDescent="0.25">
      <c r="B64" s="827">
        <v>2011</v>
      </c>
      <c r="C64" s="827">
        <v>2012</v>
      </c>
      <c r="D64" s="827">
        <v>2013</v>
      </c>
      <c r="E64" s="827">
        <v>2014</v>
      </c>
      <c r="F64" s="827">
        <v>2015</v>
      </c>
      <c r="G64" s="827" t="s">
        <v>806</v>
      </c>
      <c r="H64" s="827">
        <v>2013</v>
      </c>
      <c r="I64" s="827">
        <v>2013</v>
      </c>
    </row>
    <row r="65" spans="1:9" x14ac:dyDescent="0.25">
      <c r="B65" s="827" t="s">
        <v>1824</v>
      </c>
      <c r="C65" s="827" t="s">
        <v>1824</v>
      </c>
      <c r="D65" s="827" t="s">
        <v>1824</v>
      </c>
      <c r="E65" s="827" t="s">
        <v>1824</v>
      </c>
      <c r="F65" s="827" t="s">
        <v>1824</v>
      </c>
      <c r="G65" s="827" t="s">
        <v>1824</v>
      </c>
      <c r="H65" s="827" t="s">
        <v>2462</v>
      </c>
      <c r="I65" s="827" t="s">
        <v>2463</v>
      </c>
    </row>
    <row r="66" spans="1:9" ht="15.75" thickBot="1" x14ac:dyDescent="0.3">
      <c r="A66" s="223" t="s">
        <v>2441</v>
      </c>
      <c r="B66" s="224" t="s">
        <v>2464</v>
      </c>
      <c r="C66" s="224" t="s">
        <v>2464</v>
      </c>
      <c r="D66" s="224" t="s">
        <v>2464</v>
      </c>
      <c r="E66" s="224" t="s">
        <v>2464</v>
      </c>
      <c r="F66" s="224" t="s">
        <v>2464</v>
      </c>
      <c r="G66" s="224" t="s">
        <v>2464</v>
      </c>
      <c r="H66" s="224" t="s">
        <v>2464</v>
      </c>
      <c r="I66" s="224" t="s">
        <v>2464</v>
      </c>
    </row>
    <row r="67" spans="1:9" ht="15.75" thickTop="1" x14ac:dyDescent="0.25">
      <c r="A67" s="228" t="s">
        <v>2465</v>
      </c>
      <c r="B67" s="243">
        <v>0.33830983111579521</v>
      </c>
      <c r="C67" s="243">
        <v>0.36087998157670853</v>
      </c>
      <c r="D67" s="243">
        <v>0.35394221563358225</v>
      </c>
      <c r="E67" s="243">
        <v>0.32276959504623765</v>
      </c>
      <c r="F67" s="243">
        <v>0.27169660848578614</v>
      </c>
      <c r="G67" s="243">
        <v>0.33830983111579521</v>
      </c>
      <c r="H67" s="243">
        <v>0.22405532516935692</v>
      </c>
      <c r="I67" s="243">
        <v>0.19900000000000001</v>
      </c>
    </row>
    <row r="68" spans="1:9" x14ac:dyDescent="0.25">
      <c r="A68" s="228" t="s">
        <v>330</v>
      </c>
      <c r="B68" s="230">
        <v>0.51773251318123159</v>
      </c>
      <c r="C68" s="230">
        <v>0.49128234977521285</v>
      </c>
      <c r="D68" s="230">
        <v>0.47111401999000924</v>
      </c>
      <c r="E68" s="230">
        <v>0.54313759166709985</v>
      </c>
      <c r="F68" s="230">
        <v>0.72830339151421397</v>
      </c>
      <c r="G68" s="230">
        <v>0.51773251318123159</v>
      </c>
      <c r="H68" s="230">
        <v>0.63061092590447232</v>
      </c>
      <c r="I68" s="230">
        <v>0.57799999999999996</v>
      </c>
    </row>
    <row r="69" spans="1:9" ht="15.75" thickBot="1" x14ac:dyDescent="0.3">
      <c r="A69" s="235" t="s">
        <v>2455</v>
      </c>
      <c r="B69" s="237">
        <v>0.14395765570297325</v>
      </c>
      <c r="C69" s="237">
        <v>0.14783766864807882</v>
      </c>
      <c r="D69" s="237">
        <v>0.17494376437640843</v>
      </c>
      <c r="E69" s="237">
        <v>0.13409281328666259</v>
      </c>
      <c r="F69" s="237">
        <v>0</v>
      </c>
      <c r="G69" s="237">
        <v>0.14395765570297325</v>
      </c>
      <c r="H69" s="237">
        <v>0.14533374892617076</v>
      </c>
      <c r="I69" s="237">
        <v>0.223</v>
      </c>
    </row>
    <row r="70" spans="1:9" ht="15.75" thickTop="1" x14ac:dyDescent="0.25">
      <c r="A70" s="167" t="s">
        <v>249</v>
      </c>
      <c r="B70" s="234">
        <f>SUM(B67:B69)</f>
        <v>1</v>
      </c>
      <c r="C70" s="234">
        <f t="shared" ref="C70:D70" si="47">SUM(C67:C69)</f>
        <v>1.0000000000000002</v>
      </c>
      <c r="D70" s="234">
        <f t="shared" si="47"/>
        <v>1</v>
      </c>
      <c r="E70" s="234">
        <f t="shared" ref="E70:G70" si="48">SUM(E67:E69)</f>
        <v>1</v>
      </c>
      <c r="F70" s="234">
        <f t="shared" si="48"/>
        <v>1</v>
      </c>
      <c r="G70" s="234">
        <f t="shared" si="48"/>
        <v>1</v>
      </c>
      <c r="H70" s="234">
        <f t="shared" ref="H70:I70" si="49">SUM(H67:H69)</f>
        <v>1</v>
      </c>
      <c r="I70" s="234">
        <f t="shared" si="49"/>
        <v>0.99999999999999989</v>
      </c>
    </row>
    <row r="72" spans="1:9" x14ac:dyDescent="0.25">
      <c r="A72" s="167" t="s">
        <v>2466</v>
      </c>
    </row>
    <row r="73" spans="1:9" x14ac:dyDescent="0.25">
      <c r="A73" s="228" t="s">
        <v>2465</v>
      </c>
      <c r="B73" s="230">
        <f t="shared" ref="B73:D73" si="50">B67/(B$70-B$69)</f>
        <v>0.39520221560256086</v>
      </c>
      <c r="C73" s="230">
        <f t="shared" si="50"/>
        <v>0.42348736654926639</v>
      </c>
      <c r="D73" s="230">
        <f t="shared" si="50"/>
        <v>0.42899162548122155</v>
      </c>
      <c r="E73" s="230">
        <f t="shared" ref="E73:G73" si="51">E67/(E$70-E$69)</f>
        <v>0.37275310795300282</v>
      </c>
      <c r="F73" s="230">
        <f t="shared" si="51"/>
        <v>0.27169660848578614</v>
      </c>
      <c r="G73" s="230">
        <f t="shared" si="51"/>
        <v>0.39520221560256086</v>
      </c>
      <c r="H73" s="230">
        <f t="shared" ref="H73:I73" si="52">H67/(H$70-H$69)</f>
        <v>0.2621553441332764</v>
      </c>
      <c r="I73" s="230">
        <f t="shared" si="52"/>
        <v>0.25611325611325614</v>
      </c>
    </row>
    <row r="74" spans="1:9" x14ac:dyDescent="0.25">
      <c r="A74" s="228" t="s">
        <v>330</v>
      </c>
      <c r="B74" s="230">
        <f t="shared" ref="B74:D74" si="53">B68/(B$70-B$69)</f>
        <v>0.60479778439743914</v>
      </c>
      <c r="C74" s="230">
        <f t="shared" si="53"/>
        <v>0.57651263345073356</v>
      </c>
      <c r="D74" s="230">
        <f t="shared" si="53"/>
        <v>0.57100837451877839</v>
      </c>
      <c r="E74" s="230">
        <f t="shared" ref="E74:G74" si="54">E68/(E$70-E$69)</f>
        <v>0.62724689204699724</v>
      </c>
      <c r="F74" s="230">
        <f t="shared" si="54"/>
        <v>0.72830339151421397</v>
      </c>
      <c r="G74" s="230">
        <f t="shared" si="54"/>
        <v>0.60479778439743914</v>
      </c>
      <c r="H74" s="230">
        <f t="shared" ref="H74:I74" si="55">H68/(H$70-H$69)</f>
        <v>0.73784465586672365</v>
      </c>
      <c r="I74" s="230">
        <f t="shared" si="55"/>
        <v>0.74388674388674392</v>
      </c>
    </row>
    <row r="76" spans="1:9" x14ac:dyDescent="0.25">
      <c r="A76" s="167" t="s">
        <v>2467</v>
      </c>
    </row>
    <row r="77" spans="1:9" x14ac:dyDescent="0.25">
      <c r="A77" s="228" t="s">
        <v>1996</v>
      </c>
      <c r="B77" s="239">
        <v>0.40952190722459647</v>
      </c>
      <c r="C77" s="239">
        <v>0.41979396201006192</v>
      </c>
      <c r="D77" s="239">
        <v>0.42179289245271567</v>
      </c>
      <c r="E77" s="239">
        <v>0.40136927391903066</v>
      </c>
      <c r="F77" s="239">
        <v>0.36466952637621258</v>
      </c>
      <c r="G77" s="239">
        <v>0.40952190722459647</v>
      </c>
      <c r="H77" s="239">
        <v>0.36120451428077593</v>
      </c>
      <c r="I77" s="239">
        <v>0.35901026545823317</v>
      </c>
    </row>
    <row r="78" spans="1:9" x14ac:dyDescent="0.25">
      <c r="A78" s="228" t="s">
        <v>1999</v>
      </c>
      <c r="B78" s="240">
        <v>0.42135425605495369</v>
      </c>
      <c r="C78" s="240">
        <v>0.43247316786577877</v>
      </c>
      <c r="D78" s="240">
        <v>0.43463689574418635</v>
      </c>
      <c r="E78" s="240">
        <v>0.41252949677905443</v>
      </c>
      <c r="F78" s="240">
        <v>0.37280411904980693</v>
      </c>
      <c r="G78" s="240">
        <v>0.42135425605495369</v>
      </c>
      <c r="H78" s="240">
        <v>0.3690534416325566</v>
      </c>
      <c r="I78" s="240">
        <v>0.36667829277885483</v>
      </c>
    </row>
    <row r="79" spans="1:9" x14ac:dyDescent="0.25">
      <c r="A79" s="228" t="s">
        <v>2468</v>
      </c>
      <c r="B79" s="241">
        <v>0.41493098097561693</v>
      </c>
      <c r="C79" s="241">
        <v>0.4255901704012468</v>
      </c>
      <c r="D79" s="241">
        <v>0.42766443681453087</v>
      </c>
      <c r="E79" s="241">
        <v>0.40647109008361298</v>
      </c>
      <c r="F79" s="241">
        <v>0.36838819731271288</v>
      </c>
      <c r="G79" s="241">
        <v>0.41493098097561693</v>
      </c>
      <c r="H79" s="241">
        <v>0.36479259535587566</v>
      </c>
      <c r="I79" s="241">
        <v>0.36251564937623165</v>
      </c>
    </row>
    <row r="80" spans="1:9" x14ac:dyDescent="0.25">
      <c r="A80" s="167" t="s">
        <v>2469</v>
      </c>
      <c r="B80" s="242">
        <v>1.1791091508130143</v>
      </c>
      <c r="C80" s="242">
        <v>1.1879918086677057</v>
      </c>
      <c r="D80" s="242">
        <v>1.189720364012109</v>
      </c>
      <c r="E80" s="242">
        <v>1.172059241736344</v>
      </c>
      <c r="F80" s="242">
        <v>1.1403234977605938</v>
      </c>
      <c r="G80" s="242">
        <v>1.1791091508130143</v>
      </c>
      <c r="H80" s="242">
        <v>1.136830386267573</v>
      </c>
      <c r="I80" s="242">
        <v>1.1354297078135265</v>
      </c>
    </row>
  </sheetData>
  <mergeCells count="4">
    <mergeCell ref="A1:U1"/>
    <mergeCell ref="P19:S19"/>
    <mergeCell ref="T20:U20"/>
    <mergeCell ref="K53:L53"/>
  </mergeCells>
  <printOptions horizontalCentered="1"/>
  <pageMargins left="0.25" right="0.25" top="0.25" bottom="0.25" header="0" footer="0.05"/>
  <pageSetup scale="42" orientation="landscape" r:id="rId1"/>
  <headerFooter alignWithMargins="0">
    <oddFooter>&amp;CBiomass Energy Data Book -- 2010 -- http://cta.ornl.gov/bedb</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D50F-F833-4162-84E3-C7DD490966F8}">
  <sheetPr>
    <tabColor rgb="FFCCFFCC"/>
  </sheetPr>
  <dimension ref="A1:AN68"/>
  <sheetViews>
    <sheetView topLeftCell="H1" zoomScale="80" zoomScaleNormal="80" workbookViewId="0">
      <selection activeCell="AF28" sqref="AF28"/>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2023</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0.5</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2023BSR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0.67238866781592821</v>
      </c>
      <c r="D9" s="5">
        <f ca="1">INDIRECT("'DevSumOut-"&amp;$B$2&amp;"BSR'!P50")</f>
        <v>7.7732793967159328E-3</v>
      </c>
      <c r="E9" s="5">
        <f ca="1">OFFSET('WSCOReductions-5PctSIP'!$U$81,0,MATCH($B$2,'WSCOReductions-5PctSIP'!$X$78:$AQ$78,1)+2)</f>
        <v>0.31368984656241095</v>
      </c>
      <c r="F9" s="5">
        <f ca="1">OFFSET('WSCOReductions-5PctSIP'!$U$84,0,MATCH($B$2,'WSCOReductions-5PctSIP'!$X$78:$AQ$78,1)+2)</f>
        <v>1.4149201112868973E-3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v>
      </c>
      <c r="L9" s="5">
        <f ca="1">SCCRedFacsFull!L9*K$4/SCCRedFacsFull!K$4</f>
        <v>0</v>
      </c>
      <c r="M9" s="5">
        <f ca="1">'BACM-R8'!P153*($B$2-$M$3+1)*$M$4/SCCRedFacsFull!$M$4</f>
        <v>0.19175027870680045</v>
      </c>
      <c r="N9" s="5">
        <f ca="1">'BACM-R8'!O153*($B$2-$M$3+1)*$M$4/SCCRedFacsFull!$M$4</f>
        <v>0.19175027870680048</v>
      </c>
      <c r="O9" s="5">
        <f ca="1">SCCRedFacsFull!O9*O$4/SCCRedFacsFull!O$4</f>
        <v>0</v>
      </c>
      <c r="P9" s="5">
        <f ca="1">SCCRedFacsFull!P9*O$4/SCCRedFacsFull!O$4</f>
        <v>0</v>
      </c>
      <c r="Q9" s="5">
        <f ca="1">IFERROR(OFFSET('STF-22'!$E$173,MATCH($B9,'STF-22'!$A$174:$A$191,0),MATCH($B$2,'STF-22'!$F$172:$AD$172,0))*Q$4/SCCRedFacsFull!Q$4,0)</f>
        <v>0.17665643227534794</v>
      </c>
      <c r="R9" s="5">
        <f ca="1">IFERROR(OFFSET('STF-22'!$E$173,MATCH($B9,'STF-22'!$A$174:$A$191,0),MATCH($B$2,'STF-22'!$F$172:$AD$172,0)-1)*R$4/SCCRedFacsFull!R$4,0)</f>
        <v>0.17665643227534791</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0.56299178913551584</v>
      </c>
      <c r="Z9" s="510">
        <f ca="1">1-(1-F9)*(1-H9)*(1-J9)*(1-L9)*(1-N9)*(1-P9)*(1-R9)*(1-T9)*(1-X9)</f>
        <v>0.36415062931482878</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0.56299178913551584</v>
      </c>
      <c r="AF9" s="510">
        <f ca="1">1-(1-$Y9)*(1-AB9)</f>
        <v>0.75175158370397888</v>
      </c>
      <c r="AG9" s="510">
        <f ca="1">1-(1-$Z9)*(1-AC9)</f>
        <v>0.36415062931482878</v>
      </c>
      <c r="AH9" s="510">
        <f ca="1">1-(1-$Z9)*(1-AD9)</f>
        <v>0.41773859491995513</v>
      </c>
      <c r="AI9" s="530">
        <f ca="1">(Y9*$AJ$3+AE9*$AJ$4+AF9*$AJ$5)/35</f>
        <v>0.66006825491358256</v>
      </c>
      <c r="AJ9" s="530">
        <f ca="1">(Z9*$AJ$3+AG9*$AJ$4+AH9*$AJ$5)/35</f>
        <v>0.39171015448317947</v>
      </c>
    </row>
    <row r="10" spans="1:36" x14ac:dyDescent="0.25">
      <c r="A10" s="812" t="s">
        <v>138</v>
      </c>
      <c r="B10" s="812">
        <v>2104008210</v>
      </c>
      <c r="C10" s="5">
        <f ca="1">INDIRECT("'DevSumOut-"&amp;$B$2&amp;"BSR'!R51")</f>
        <v>5.2476578016216698E-2</v>
      </c>
      <c r="D10" s="5">
        <f ca="1">INDIRECT("'DevSumOut-"&amp;$B$2&amp;"BSR'!P51")</f>
        <v>6.8596834008126406E-4</v>
      </c>
      <c r="E10" s="5">
        <f ca="1">OFFSET('WSCOReductions-5PctSIP'!$U$81,0,MATCH($B$2,'WSCOReductions-5PctSIP'!$X$78:$AQ$78,1)+2)</f>
        <v>0.31368984656241095</v>
      </c>
      <c r="F10" s="5">
        <f ca="1">OFFSET('WSCOReductions-5PctSIP'!$U$84,0,MATCH($B$2,'WSCOReductions-5PctSIP'!$X$78:$AQ$78,1)+2)</f>
        <v>1.4149201112868973E-3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v>
      </c>
      <c r="L10" s="5">
        <f ca="1">SCCRedFacsFull!L10*K$4/SCCRedFacsFull!K$4</f>
        <v>0</v>
      </c>
      <c r="M10" s="5">
        <f ca="1">'BACM-R8'!P154*($B$2-$M$3+1)*$M$4/SCCRedFacsFull!$M$4</f>
        <v>0.32432432432432434</v>
      </c>
      <c r="N10" s="5">
        <f ca="1">'BACM-R8'!O154*($B$2-$M$3+1)*$M$4/SCCRedFacsFull!$M$4</f>
        <v>0.32432432432432434</v>
      </c>
      <c r="O10" s="5">
        <f ca="1">SCCRedFacsFull!O10*O$4/SCCRedFacsFull!O$4</f>
        <v>0</v>
      </c>
      <c r="P10" s="5">
        <f ca="1">SCCRedFacsFull!P10*O$4/SCCRedFacsFull!O$4</f>
        <v>0</v>
      </c>
      <c r="Q10" s="5">
        <f ca="1">IFERROR(OFFSET('STF-22'!$E$173,MATCH($B10,'STF-22'!$A$174:$A$191,0),MATCH($B$2,'STF-22'!$F$172:$AD$172,0))*Q$4/SCCRedFacsFull!Q$4,0)</f>
        <v>0.17431684824686594</v>
      </c>
      <c r="R10" s="5">
        <f ca="1">IFERROR(OFFSET('STF-22'!$E$173,MATCH($B10,'STF-22'!$A$174:$A$191,0),MATCH($B$2,'STF-22'!$F$172:$AD$172,0)-1)*R$4/SCCRedFacsFull!R$4,0)</f>
        <v>0.174316848246866</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0.63363443785260998</v>
      </c>
      <c r="Z10" s="510">
        <f t="shared" ca="1" si="0"/>
        <v>0.4669360750194792</v>
      </c>
      <c r="AA10" s="617">
        <f ca="1">VLOOKUP($B10,INDIRECT("'CurtailCalcs"&amp;$B$2&amp;"-2Stage'!$AS$91:$BE$109"),10,FALSE)</f>
        <v>0.43158967353461331</v>
      </c>
      <c r="AB10" s="617">
        <f ca="1">VLOOKUP($B10,INDIRECT("'CurtailCalcs"&amp;$B$2&amp;"-2Stage'!$AS$91:$BE$109"),11,FALSE)</f>
        <v>0.43158967353461331</v>
      </c>
      <c r="AC10" s="617">
        <f ca="1">VLOOKUP($B10,INDIRECT("'CurtailCalcs"&amp;$B$2&amp;"-2Stage'!$AS$91:$BE$109"),12,FALSE)</f>
        <v>-1.5549841841191174</v>
      </c>
      <c r="AD10" s="617">
        <f ca="1">VLOOKUP($B10,INDIRECT("'CurtailCalcs"&amp;$B$2&amp;"-2Stage'!$AS$91:$BE$109"),13,FALSE)</f>
        <v>-1.5549841841191174</v>
      </c>
      <c r="AE10" s="510">
        <f t="shared" ref="AE10:AF26" ca="1" si="1">1-(1-$Y10)*(1-AA10)</f>
        <v>0.79175403121412713</v>
      </c>
      <c r="AF10" s="510">
        <f t="shared" ca="1" si="1"/>
        <v>0.79175403121412713</v>
      </c>
      <c r="AG10" s="510">
        <f t="shared" ref="AG10:AH26" ca="1" si="2">1-(1-$Z10)*(1-AC10)</f>
        <v>-0.36196989744969033</v>
      </c>
      <c r="AH10" s="510">
        <f t="shared" ca="1" si="2"/>
        <v>-0.36196989744969033</v>
      </c>
      <c r="AI10" s="530">
        <f t="shared" ref="AI10:AI26" ca="1" si="3">(Y10*$AJ$3+AE10*$AJ$4+AF10*$AJ$5)/35</f>
        <v>0.75109470720687987</v>
      </c>
      <c r="AJ10" s="530">
        <f t="shared" ref="AJ10:AJ26" ca="1" si="4">(Z10*$AJ$3+AG10*$AJ$4+AH10*$AJ$5)/35</f>
        <v>-0.14882264738618958</v>
      </c>
    </row>
    <row r="11" spans="1:36" x14ac:dyDescent="0.25">
      <c r="A11" s="812" t="s">
        <v>139</v>
      </c>
      <c r="B11" s="812">
        <v>2104008220</v>
      </c>
      <c r="C11" s="5">
        <f ca="1">INDIRECT("'DevSumOut-"&amp;$B$2&amp;"BSR'!R52")</f>
        <v>4.3327467883903403E-2</v>
      </c>
      <c r="D11" s="5">
        <f ca="1">INDIRECT("'DevSumOut-"&amp;$B$2&amp;"BSR'!P52")</f>
        <v>1.4442489294634467E-3</v>
      </c>
      <c r="E11" s="5">
        <f ca="1">OFFSET('WSCOReductions-5PctSIP'!$U$81,0,MATCH($B$2,'WSCOReductions-5PctSIP'!$X$78:$AQ$78,1)+2)</f>
        <v>0.31368984656241095</v>
      </c>
      <c r="F11" s="5">
        <f ca="1">OFFSET('WSCOReductions-5PctSIP'!$U$84,0,MATCH($B$2,'WSCOReductions-5PctSIP'!$X$78:$AQ$78,1)+2)</f>
        <v>1.4149201112868973E-3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0</v>
      </c>
      <c r="L11" s="5">
        <f ca="1">SCCRedFacsFull!L11*K$4/SCCRedFacsFull!K$4</f>
        <v>0</v>
      </c>
      <c r="M11" s="5">
        <f ca="1">'BACM-R8'!P155*($B$2-$M$3+1)*$M$4/SCCRedFacsFull!$M$4</f>
        <v>0.13378464412018137</v>
      </c>
      <c r="N11" s="5">
        <f ca="1">'BACM-R8'!O155*($B$2-$M$3+1)*$M$4/SCCRedFacsFull!$M$4</f>
        <v>4.4382159517415774E-2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-2.8465239037965433</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2.8260167018327988E-2</v>
      </c>
      <c r="D12" s="5">
        <f ca="1">INDIRECT("'DevSumOut-"&amp;$B$2&amp;"BSR'!P53")</f>
        <v>8.6954360056393763E-4</v>
      </c>
      <c r="E12" s="5">
        <f ca="1">OFFSET('WSCOReductions-5PctSIP'!$U$81,0,MATCH($B$2,'WSCOReductions-5PctSIP'!$X$78:$AQ$78,1)+2)</f>
        <v>0.31368984656241095</v>
      </c>
      <c r="F12" s="5">
        <f ca="1">OFFSET('WSCOReductions-5PctSIP'!$U$84,0,MATCH($B$2,'WSCOReductions-5PctSIP'!$X$78:$AQ$78,1)+2)</f>
        <v>1.4149201112868973E-3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0</v>
      </c>
      <c r="L12" s="5">
        <f ca="1">SCCRedFacsFull!L12*K$4/SCCRedFacsFull!K$4</f>
        <v>0</v>
      </c>
      <c r="M12" s="5">
        <f ca="1">'BACM-R8'!P156*($B$2-$M$3+1)*$M$4/SCCRedFacsFull!$M$4</f>
        <v>0.13378464412018143</v>
      </c>
      <c r="N12" s="5">
        <f ca="1">'BACM-R8'!O156*($B$2-$M$3+1)*$M$4/SCCRedFacsFull!$M$4</f>
        <v>4.8080672810533784E-2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9.8362552797546556E-3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0.43030977059834974</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0.4225788322262124</v>
      </c>
      <c r="D13" s="5">
        <f ca="1">INDIRECT("'DevSumOut-"&amp;$B$2&amp;"BSR'!P54")</f>
        <v>1.3921192868641121E-2</v>
      </c>
      <c r="E13" s="5">
        <f ca="1">OFFSET('WSCOReductions-5PctSIP'!$U$81,0,MATCH($B$2,'WSCOReductions-5PctSIP'!$X$78:$AQ$78,1)+2)</f>
        <v>0.31368984656241095</v>
      </c>
      <c r="F13" s="5">
        <f ca="1">OFFSET('WSCOReductions-5PctSIP'!$U$84,0,MATCH($B$2,'WSCOReductions-5PctSIP'!$X$78:$AQ$78,1)+2)</f>
        <v>1.4149201112868973E-3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v>
      </c>
      <c r="L13" s="5">
        <f ca="1">SCCRedFacsFull!L13*K$4/SCCRedFacsFull!K$4</f>
        <v>0</v>
      </c>
      <c r="M13" s="5">
        <f ca="1">'BACM-R8'!P157*($B$2-$M$3+1)*$M$4/SCCRedFacsFull!$M$4</f>
        <v>0.30901287553648066</v>
      </c>
      <c r="N13" s="5">
        <f ca="1">'BACM-R8'!O157*($B$2-$M$3+1)*$M$4/SCCRedFacsFull!$M$4</f>
        <v>0.30901287553648066</v>
      </c>
      <c r="O13" s="5">
        <f ca="1">SCCRedFacsFull!O13*O$4/SCCRedFacsFull!O$4</f>
        <v>0</v>
      </c>
      <c r="P13" s="5">
        <f ca="1">SCCRedFacsFull!P13*O$4/SCCRedFacsFull!O$4</f>
        <v>0</v>
      </c>
      <c r="Q13" s="5">
        <f ca="1">IFERROR(OFFSET('STF-22'!$E$173,MATCH($B13,'STF-22'!$A$174:$A$191,0),MATCH($B$2,'STF-22'!$F$172:$AD$172,0))*Q$4/SCCRedFacsFull!Q$4,0)</f>
        <v>2.9442006726954142E-2</v>
      </c>
      <c r="R13" s="5">
        <f ca="1">IFERROR(OFFSET('STF-22'!$E$173,MATCH($B13,'STF-22'!$A$174:$A$191,0),MATCH($B$2,'STF-22'!$F$172:$AD$172,0)-1)*R$4/SCCRedFacsFull!R$4,0)</f>
        <v>2.8885846294188011E-2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0.55959282871171911</v>
      </c>
      <c r="Z13" s="510">
        <f t="shared" ca="1" si="0"/>
        <v>0.35883792731038977</v>
      </c>
      <c r="AA13" s="617">
        <f t="shared" ca="1" si="5"/>
        <v>0.43060397420010033</v>
      </c>
      <c r="AB13" s="617">
        <f t="shared" ca="1" si="6"/>
        <v>0.43060397420010033</v>
      </c>
      <c r="AC13" s="617">
        <f t="shared" ca="1" si="7"/>
        <v>-2.2504286485608085</v>
      </c>
      <c r="AD13" s="617">
        <f t="shared" ca="1" si="8"/>
        <v>-2.2504286485608085</v>
      </c>
      <c r="AE13" s="510">
        <f t="shared" ca="1" si="1"/>
        <v>0.74923390693467717</v>
      </c>
      <c r="AF13" s="510">
        <f t="shared" ca="1" si="1"/>
        <v>0.74923390693467717</v>
      </c>
      <c r="AG13" s="510">
        <f t="shared" ca="1" si="2"/>
        <v>-1.0840515694409367</v>
      </c>
      <c r="AH13" s="510">
        <f t="shared" ca="1" si="2"/>
        <v>-1.0840515694409367</v>
      </c>
      <c r="AI13" s="530">
        <f t="shared" ca="1" si="3"/>
        <v>0.7004690582487737</v>
      </c>
      <c r="AJ13" s="530">
        <f t="shared" ca="1" si="4"/>
        <v>-0.71302284170488139</v>
      </c>
    </row>
    <row r="14" spans="1:36" x14ac:dyDescent="0.25">
      <c r="A14" s="812" t="s">
        <v>142</v>
      </c>
      <c r="B14" s="812">
        <v>2104008320</v>
      </c>
      <c r="C14" s="5">
        <f ca="1">INDIRECT("'DevSumOut-"&amp;$B$2&amp;"BSR'!R55")</f>
        <v>0.58071170063495825</v>
      </c>
      <c r="D14" s="5">
        <f ca="1">INDIRECT("'DevSumOut-"&amp;$B$2&amp;"BSR'!P55")</f>
        <v>2.930990648199195E-2</v>
      </c>
      <c r="E14" s="5">
        <f ca="1">OFFSET('WSCOReductions-5PctSIP'!$U$81,0,MATCH($B$2,'WSCOReductions-5PctSIP'!$X$78:$AQ$78,1)+2)</f>
        <v>0.31368984656241095</v>
      </c>
      <c r="F14" s="5">
        <f ca="1">OFFSET('WSCOReductions-5PctSIP'!$U$84,0,MATCH($B$2,'WSCOReductions-5PctSIP'!$X$78:$AQ$78,1)+2)</f>
        <v>1.4149201112868973E-3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0</v>
      </c>
      <c r="L14" s="5">
        <f ca="1">SCCRedFacsFull!L14*K$4/SCCRedFacsFull!K$4</f>
        <v>0</v>
      </c>
      <c r="M14" s="5">
        <f ca="1">'BACM-R8'!P158*($B$2-$M$3+1)*$M$4/SCCRedFacsFull!$M$4</f>
        <v>6.9081821284591116E-2</v>
      </c>
      <c r="N14" s="5">
        <f ca="1">'BACM-R8'!O158*($B$2-$M$3+1)*$M$4/SCCRedFacsFull!$M$4</f>
        <v>-1.9376789558899772E-2</v>
      </c>
      <c r="O14" s="5">
        <f ca="1">SCCRedFacsFull!O14*O$4/SCCRedFacsFull!O$4</f>
        <v>0</v>
      </c>
      <c r="P14" s="5">
        <f ca="1">SCCRedFacsFull!P14*O$4/SCCRedFacsFull!O$4</f>
        <v>0</v>
      </c>
      <c r="Q14" s="5">
        <f ca="1">IFERROR(OFFSET('STF-22'!$E$173,MATCH($B14,'STF-22'!$A$174:$A$191,0),MATCH($B$2,'STF-22'!$F$172:$AD$172,0))*Q$4/SCCRedFacsFull!Q$4,0)</f>
        <v>0.18000246908976775</v>
      </c>
      <c r="R14" s="5">
        <f ca="1">IFERROR(OFFSET('STF-22'!$E$173,MATCH($B14,'STF-22'!$A$174:$A$191,0),MATCH($B$2,'STF-22'!$F$172:$AD$172,0)-1)*R$4/SCCRedFacsFull!R$4,0)</f>
        <v>0.17288238975670489</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0.49871236494747628</v>
      </c>
      <c r="Z14" s="510">
        <f t="shared" ca="1" si="0"/>
        <v>0.19438119772653684</v>
      </c>
      <c r="AA14" s="617">
        <f t="shared" ca="1" si="5"/>
        <v>0.29354300452577731</v>
      </c>
      <c r="AB14" s="617">
        <f t="shared" ca="1" si="6"/>
        <v>0.42930664411894925</v>
      </c>
      <c r="AC14" s="617">
        <f t="shared" ca="1" si="7"/>
        <v>-2.0142722140188041</v>
      </c>
      <c r="AD14" s="617">
        <f t="shared" ca="1" si="8"/>
        <v>-2.9458731130024995</v>
      </c>
      <c r="AE14" s="510">
        <f t="shared" ca="1" si="1"/>
        <v>0.64586184347241549</v>
      </c>
      <c r="AF14" s="510">
        <f t="shared" ca="1" si="1"/>
        <v>0.71391847729019986</v>
      </c>
      <c r="AG14" s="510">
        <f t="shared" ca="1" si="2"/>
        <v>-1.428354370784009</v>
      </c>
      <c r="AH14" s="510">
        <f t="shared" ca="1" si="2"/>
        <v>-2.1788695712201354</v>
      </c>
      <c r="AI14" s="530">
        <f t="shared" ca="1" si="3"/>
        <v>0.64302396067229173</v>
      </c>
      <c r="AJ14" s="530">
        <f t="shared" ca="1" si="4"/>
        <v>-1.397058756248448</v>
      </c>
    </row>
    <row r="15" spans="1:36" x14ac:dyDescent="0.25">
      <c r="A15" s="812" t="s">
        <v>143</v>
      </c>
      <c r="B15" s="812">
        <v>2104008330</v>
      </c>
      <c r="C15" s="5">
        <f ca="1">INDIRECT("'DevSumOut-"&amp;$B$2&amp;"BSR'!R56")</f>
        <v>0.38794668423482676</v>
      </c>
      <c r="D15" s="5">
        <f ca="1">INDIRECT("'DevSumOut-"&amp;$B$2&amp;"BSR'!P56")</f>
        <v>1.7646709715071065E-2</v>
      </c>
      <c r="E15" s="5">
        <f ca="1">OFFSET('WSCOReductions-5PctSIP'!$U$81,0,MATCH($B$2,'WSCOReductions-5PctSIP'!$X$78:$AQ$78,1)+2)</f>
        <v>0.31368984656241095</v>
      </c>
      <c r="F15" s="5">
        <f ca="1">OFFSET('WSCOReductions-5PctSIP'!$U$84,0,MATCH($B$2,'WSCOReductions-5PctSIP'!$X$78:$AQ$78,1)+2)</f>
        <v>1.4149201112868973E-3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0</v>
      </c>
      <c r="L15" s="5">
        <f ca="1">SCCRedFacsFull!L15*K$4/SCCRedFacsFull!K$4</f>
        <v>0</v>
      </c>
      <c r="M15" s="5">
        <f ca="1">'BACM-R8'!P159*($B$2-$M$3+1)*$M$4/SCCRedFacsFull!$M$4</f>
        <v>6.9081821284591088E-2</v>
      </c>
      <c r="N15" s="5">
        <f ca="1">'BACM-R8'!O159*($B$2-$M$3+1)*$M$4/SCCRedFacsFull!$M$4</f>
        <v>-2.1500273346176463E-2</v>
      </c>
      <c r="O15" s="5">
        <f ca="1">SCCRedFacsFull!O15*O$4/SCCRedFacsFull!O$4</f>
        <v>0</v>
      </c>
      <c r="P15" s="5">
        <f ca="1">SCCRedFacsFull!P15*O$4/SCCRedFacsFull!O$4</f>
        <v>0</v>
      </c>
      <c r="Q15" s="5">
        <f ca="1">IFERROR(OFFSET('STF-22'!$E$173,MATCH($B15,'STF-22'!$A$174:$A$191,0),MATCH($B$2,'STF-22'!$F$172:$AD$172,0))*Q$4/SCCRedFacsFull!Q$4,0)</f>
        <v>0.18000246908976772</v>
      </c>
      <c r="R15" s="5">
        <f ca="1">IFERROR(OFFSET('STF-22'!$E$173,MATCH($B15,'STF-22'!$A$174:$A$191,0),MATCH($B$2,'STF-22'!$F$172:$AD$172,0)-1)*R$4/SCCRedFacsFull!R$4,0)</f>
        <v>0.19182840507250826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0.49871236494747606</v>
      </c>
      <c r="Z15" s="510">
        <f t="shared" ca="1" si="0"/>
        <v>0.21119500045116546</v>
      </c>
      <c r="AA15" s="617">
        <f t="shared" ca="1" si="5"/>
        <v>0.29362726123173721</v>
      </c>
      <c r="AB15" s="617">
        <f t="shared" ca="1" si="6"/>
        <v>0.4294298695514156</v>
      </c>
      <c r="AC15" s="617">
        <f t="shared" ca="1" si="7"/>
        <v>-2.1501343804542987</v>
      </c>
      <c r="AD15" s="617">
        <f t="shared" ca="1" si="8"/>
        <v>-3.1445715314144111</v>
      </c>
      <c r="AE15" s="510">
        <f t="shared" ca="1" si="1"/>
        <v>0.6459040803172833</v>
      </c>
      <c r="AF15" s="510">
        <f t="shared" ca="1" si="1"/>
        <v>0.71398024867581911</v>
      </c>
      <c r="AG15" s="510">
        <f t="shared" ca="1" si="2"/>
        <v>-1.4848417485530212</v>
      </c>
      <c r="AH15" s="510">
        <f t="shared" ca="1" si="2"/>
        <v>-2.2692587449674573</v>
      </c>
      <c r="AI15" s="530">
        <f t="shared" ca="1" si="3"/>
        <v>0.64306538294943694</v>
      </c>
      <c r="AJ15" s="530">
        <f t="shared" ca="1" si="4"/>
        <v>-1.4521324683936547</v>
      </c>
    </row>
    <row r="16" spans="1:36" x14ac:dyDescent="0.25">
      <c r="A16" s="812" t="s">
        <v>144</v>
      </c>
      <c r="B16" s="812">
        <v>2104008410</v>
      </c>
      <c r="C16" s="5">
        <f ca="1">INDIRECT("'DevSumOut-"&amp;$B$2&amp;"BSR'!R57")</f>
        <v>1.4314725861425995E-2</v>
      </c>
      <c r="D16" s="5">
        <f ca="1">INDIRECT("'DevSumOut-"&amp;$B$2&amp;"BSR'!P57")</f>
        <v>1.5475379309649723E-3</v>
      </c>
      <c r="E16" s="5">
        <f ca="1">OFFSET('WSCOReductions-5PctSIP'!$U$81,0,MATCH($B$2,'WSCOReductions-5PctSIP'!$X$78:$AQ$78,1)+2)</f>
        <v>0.31368984656241095</v>
      </c>
      <c r="F16" s="5">
        <f ca="1">OFFSET('WSCOReductions-5PctSIP'!$U$84,0,MATCH($B$2,'WSCOReductions-5PctSIP'!$X$78:$AQ$78,1)+2)</f>
        <v>1.4149201112868973E-3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0.1586814343481901</v>
      </c>
      <c r="R16" s="5">
        <f ca="1">IFERROR(OFFSET('STF-22'!$E$173,MATCH($B16,'STF-22'!$A$174:$A$191,0),MATCH($B$2,'STF-22'!$F$172:$AD$172,0)-1)*R$4/SCCRedFacsFull!R$4,0)</f>
        <v>0.15868143434819013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0.44751128817209862</v>
      </c>
      <c r="Z16" s="510">
        <f t="shared" ca="1" si="0"/>
        <v>0.19612585989747056</v>
      </c>
      <c r="AA16" s="617">
        <f t="shared" ca="1" si="5"/>
        <v>0.42632653486271987</v>
      </c>
      <c r="AB16" s="617">
        <f t="shared" ca="1" si="6"/>
        <v>0.42632653486271987</v>
      </c>
      <c r="AC16" s="617">
        <f t="shared" ca="1" si="7"/>
        <v>-2.8899536545811828</v>
      </c>
      <c r="AD16" s="617">
        <f t="shared" ca="1" si="8"/>
        <v>-2.8899536545811828</v>
      </c>
      <c r="AE16" s="510">
        <f t="shared" ca="1" si="1"/>
        <v>0.68305188623645563</v>
      </c>
      <c r="AF16" s="510">
        <f t="shared" ca="1" si="1"/>
        <v>0.68305188623645563</v>
      </c>
      <c r="AG16" s="510">
        <f t="shared" ca="1" si="2"/>
        <v>-2.1270331491151402</v>
      </c>
      <c r="AH16" s="510">
        <f t="shared" ca="1" si="2"/>
        <v>-2.1270331491151402</v>
      </c>
      <c r="AI16" s="530">
        <f t="shared" ca="1" si="3"/>
        <v>0.62248430387704956</v>
      </c>
      <c r="AJ16" s="530">
        <f t="shared" ca="1" si="4"/>
        <v>-1.5296494039404689</v>
      </c>
    </row>
    <row r="17" spans="1:40" x14ac:dyDescent="0.25">
      <c r="A17" s="812" t="s">
        <v>145</v>
      </c>
      <c r="B17" s="812">
        <v>2104008420</v>
      </c>
      <c r="C17" s="5">
        <f ca="1">INDIRECT("'DevSumOut-"&amp;$B$2&amp;"BSR'!R58")</f>
        <v>4.8284015212179503E-2</v>
      </c>
      <c r="D17" s="5">
        <f ca="1">INDIRECT("'DevSumOut-"&amp;$B$2&amp;"BSR'!P58")</f>
        <v>5.2198935364518393E-3</v>
      </c>
      <c r="E17" s="5">
        <f ca="1">OFFSET('WSCOReductions-5PctSIP'!$U$81,0,MATCH($B$2,'WSCOReductions-5PctSIP'!$X$78:$AQ$78,1)+2)</f>
        <v>0.31368984656241095</v>
      </c>
      <c r="F17" s="5">
        <f ca="1">OFFSET('WSCOReductions-5PctSIP'!$U$84,0,MATCH($B$2,'WSCOReductions-5PctSIP'!$X$78:$AQ$78,1)+2)</f>
        <v>1.4149201112868973E-3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0.20742179562720808</v>
      </c>
      <c r="R17" s="5">
        <f ca="1">IFERROR(OFFSET('STF-22'!$E$173,MATCH($B17,'STF-22'!$A$174:$A$191,0),MATCH($B$2,'STF-22'!$F$172:$AD$172,0)-1)*R$4/SCCRedFacsFull!R$4,0)</f>
        <v>0.20742179562720806</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0.47951878273654858</v>
      </c>
      <c r="Z17" s="510">
        <f t="shared" ca="1" si="0"/>
        <v>0.24269694201914183</v>
      </c>
      <c r="AA17" s="617">
        <f t="shared" ca="1" si="5"/>
        <v>0.42409767355878836</v>
      </c>
      <c r="AB17" s="617">
        <f t="shared" ca="1" si="6"/>
        <v>0.42409767355878836</v>
      </c>
      <c r="AC17" s="617">
        <f t="shared" ca="1" si="7"/>
        <v>-4.1950068760237897</v>
      </c>
      <c r="AD17" s="617">
        <f t="shared" ca="1" si="8"/>
        <v>-4.1950068760237897</v>
      </c>
      <c r="AE17" s="510">
        <f t="shared" ca="1" si="1"/>
        <v>0.70025365610902468</v>
      </c>
      <c r="AF17" s="510">
        <f t="shared" ca="1" si="1"/>
        <v>0.70025365610902468</v>
      </c>
      <c r="AG17" s="510">
        <f t="shared" ca="1" si="2"/>
        <v>-2.9341945934444009</v>
      </c>
      <c r="AH17" s="510">
        <f t="shared" ca="1" si="2"/>
        <v>-2.9341945934444009</v>
      </c>
      <c r="AI17" s="530">
        <f t="shared" ca="1" si="3"/>
        <v>0.64349326009895935</v>
      </c>
      <c r="AJ17" s="530">
        <f t="shared" ca="1" si="4"/>
        <v>-2.1172796271823473</v>
      </c>
    </row>
    <row r="18" spans="1:40" x14ac:dyDescent="0.25">
      <c r="A18" s="812" t="s">
        <v>146</v>
      </c>
      <c r="B18" s="812">
        <v>2104008610</v>
      </c>
      <c r="C18" s="5">
        <f ca="1">INDIRECT("'DevSumOut-"&amp;$B$2&amp;"BSR'!R59")</f>
        <v>0.239892738928837</v>
      </c>
      <c r="D18" s="5">
        <f ca="1">INDIRECT("'DevSumOut-"&amp;$B$2&amp;"BSR'!P59")</f>
        <v>9.7219470176879395E-3</v>
      </c>
      <c r="E18" s="5">
        <f ca="1">OFFSET('WSCOReductions-5PctSIP'!$U$81,0,MATCH($B$2,'WSCOReductions-5PctSIP'!$X$78:$AQ$78,1)+2)</f>
        <v>0.31368984656241095</v>
      </c>
      <c r="F18" s="5">
        <f ca="1">OFFSET('WSCOReductions-5PctSIP'!$U$84,0,MATCH($B$2,'WSCOReductions-5PctSIP'!$X$78:$AQ$78,1)+2)</f>
        <v>1.4149201112868973E-3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v>
      </c>
      <c r="L18" s="5">
        <f ca="1">SCCRedFacsFull!L18*K$4/SCCRedFacsFull!K$4</f>
        <v>0</v>
      </c>
      <c r="M18" s="5">
        <f ca="1">'BACM-R8'!P162*($B$2-$M$3+1)*$M$4/SCCRedFacsFull!$M$4</f>
        <v>0.26510791272860346</v>
      </c>
      <c r="N18" s="5">
        <f ca="1">'BACM-R8'!O162*($B$2-$M$3+1)*$M$4/SCCRedFacsFull!$M$4</f>
        <v>0.1064109569552253</v>
      </c>
      <c r="O18" s="5">
        <f ca="1">SCCRedFacsFull!O18*O$4/SCCRedFacsFull!O$4</f>
        <v>0</v>
      </c>
      <c r="P18" s="5">
        <f ca="1">SCCRedFacsFull!P18*O$4/SCCRedFacsFull!O$4</f>
        <v>0</v>
      </c>
      <c r="Q18" s="5">
        <f ca="1">IFERROR(OFFSET('STF-22'!$E$173,MATCH($B18,'STF-22'!$A$174:$A$191,0),MATCH($B$2,'STF-22'!$F$172:$AD$172,0))*Q$4/SCCRedFacsFull!Q$4,0)</f>
        <v>0.14112979207204829</v>
      </c>
      <c r="R18" s="5">
        <f ca="1">IFERROR(OFFSET('STF-22'!$E$173,MATCH($B18,'STF-22'!$A$174:$A$191,0),MATCH($B$2,'STF-22'!$F$172:$AD$172,0)-1)*R$4/SCCRedFacsFull!R$4,0)</f>
        <v>0.14112979207204829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0.5855100106042479</v>
      </c>
      <c r="Z18" s="510">
        <f t="shared" ca="1" si="0"/>
        <v>0.26668096438001454</v>
      </c>
      <c r="AA18" s="617">
        <f t="shared" ca="1" si="5"/>
        <v>0.3976478590182545</v>
      </c>
      <c r="AB18" s="617">
        <f t="shared" ca="1" si="6"/>
        <v>0.43063247405202676</v>
      </c>
      <c r="AC18" s="617">
        <f t="shared" ca="1" si="7"/>
        <v>-1.573488236384625</v>
      </c>
      <c r="AD18" s="617">
        <f t="shared" ca="1" si="8"/>
        <v>-1.7040079979280507</v>
      </c>
      <c r="AE18" s="510">
        <f t="shared" ca="1" si="1"/>
        <v>0.75033106747196776</v>
      </c>
      <c r="AF18" s="510">
        <f t="shared" ca="1" si="1"/>
        <v>0.76400286020753894</v>
      </c>
      <c r="AG18" s="510">
        <f t="shared" ca="1" si="2"/>
        <v>-0.88718791168495037</v>
      </c>
      <c r="AH18" s="510">
        <f t="shared" ca="1" si="2"/>
        <v>-0.98290053734932581</v>
      </c>
      <c r="AI18" s="530">
        <f t="shared" ca="1" si="3"/>
        <v>0.71497971768427637</v>
      </c>
      <c r="AJ18" s="530">
        <f t="shared" ca="1" si="4"/>
        <v>-0.63970240818135249</v>
      </c>
    </row>
    <row r="19" spans="1:40" x14ac:dyDescent="0.25">
      <c r="A19" s="812" t="s">
        <v>147</v>
      </c>
      <c r="B19" s="812">
        <v>2104004000</v>
      </c>
      <c r="C19" s="5">
        <f ca="1">INDIRECT("'DevSumOut-"&amp;$B$2&amp;"BSR'!R60")+INDIRECT("'DevSumOut-"&amp;$B$2&amp;"BSR'!R62")+INDIRECT("'DevSumOut-"&amp;$B$2&amp;"BSR'!R63")</f>
        <v>5.4150275953500866E-2</v>
      </c>
      <c r="D19" s="5">
        <f ca="1">INDIRECT("'DevSumOut-"&amp;$B$2&amp;"BSR'!P60")+INDIRECT("'DevSumOut-"&amp;$B$2&amp;"BSR'!P62")+INDIRECT("'DevSumOut-"&amp;$B$2&amp;"BSR'!P63")</f>
        <v>3.4305255756513344</v>
      </c>
      <c r="E19" s="5">
        <f ca="1">OFFSET('WSCOReductions-5PctSIP'!$U$81,0,MATCH($B$2,'WSCOReductions-5PctSIP'!$X$78:$AQ$78,1)+2)</f>
        <v>0.31368984656241095</v>
      </c>
      <c r="F19" s="5">
        <f ca="1">OFFSET('WSCOReductions-5PctSIP'!$U$84,0,MATCH($B$2,'WSCOReductions-5PctSIP'!$X$78:$AQ$78,1)+2)</f>
        <v>1.4149201112868973E-3</v>
      </c>
      <c r="G19" s="5">
        <f ca="1">SCCRedFacsFull!G19*G$4/SCCRedFacsFull!G$4</f>
        <v>0.48994184890764292</v>
      </c>
      <c r="H19" s="5">
        <f ca="1">SCCRedFacsFull!H19*G$4/SCCRedFacsFull!G$4</f>
        <v>0.56292492785396708</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-6.4462792441962128E-3</v>
      </c>
      <c r="R19" s="5">
        <f ca="1">IFERROR(OFFSET('STF-22'!$E$173,MATCH($B19,'STF-22'!$A$174:$A$191,0),MATCH($B$2,'STF-22'!$F$172:$AD$172,0)-1)*R$4/SCCRedFacsFull!R$4,0)</f>
        <v>-6.4515844560210844E-3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0.64768533987517185</v>
      </c>
      <c r="Z19" s="510">
        <f t="shared" ca="1" si="0"/>
        <v>0.56072751725168402</v>
      </c>
      <c r="AA19" s="617">
        <f t="shared" ca="1" si="5"/>
        <v>0</v>
      </c>
      <c r="AB19" s="617">
        <f t="shared" ca="1" si="6"/>
        <v>0</v>
      </c>
      <c r="AC19" s="617">
        <f t="shared" ca="1" si="7"/>
        <v>0</v>
      </c>
      <c r="AD19" s="617">
        <f t="shared" ca="1" si="8"/>
        <v>0</v>
      </c>
      <c r="AE19" s="510">
        <f t="shared" ca="1" si="1"/>
        <v>0.64768533987517185</v>
      </c>
      <c r="AF19" s="510">
        <f t="shared" ca="1" si="1"/>
        <v>0.64768533987517185</v>
      </c>
      <c r="AG19" s="510">
        <f t="shared" ca="1" si="2"/>
        <v>0.56072751725168402</v>
      </c>
      <c r="AH19" s="510">
        <f t="shared" ca="1" si="2"/>
        <v>0.56072751725168402</v>
      </c>
      <c r="AI19" s="530">
        <f t="shared" ca="1" si="3"/>
        <v>0.64768533987517185</v>
      </c>
      <c r="AJ19" s="530">
        <f t="shared" ca="1" si="4"/>
        <v>0.56072751725168402</v>
      </c>
    </row>
    <row r="20" spans="1:40" x14ac:dyDescent="0.25">
      <c r="A20" s="812" t="s">
        <v>148</v>
      </c>
      <c r="B20" s="812">
        <v>2103004001</v>
      </c>
      <c r="C20" s="5">
        <f ca="1">INDIRECT("'DevSumOut-"&amp;$B$2&amp;"BSR'!R61")</f>
        <v>1.731802816901612E-2</v>
      </c>
      <c r="D20" s="5">
        <f ca="1">INDIRECT("'DevSumOut-"&amp;$B$2&amp;"BSR'!P61")</f>
        <v>0.48257147534161138</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0.31368984656241095</v>
      </c>
      <c r="F21" s="5">
        <f ca="1">OFFSET('WSCOReductions-5PctSIP'!$U$84,0,MATCH($B$2,'WSCOReductions-5PctSIP'!$X$78:$AQ$78,1)+2)</f>
        <v>1.4149201112868973E-3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0.31368984656241095</v>
      </c>
      <c r="Z21" s="510">
        <f t="shared" ca="1" si="0"/>
        <v>1.4149201112868548E-3</v>
      </c>
      <c r="AA21" s="617">
        <f t="shared" ca="1" si="5"/>
        <v>0</v>
      </c>
      <c r="AB21" s="617">
        <f t="shared" ca="1" si="6"/>
        <v>0</v>
      </c>
      <c r="AC21" s="617">
        <f t="shared" ca="1" si="7"/>
        <v>0</v>
      </c>
      <c r="AD21" s="617">
        <f t="shared" ca="1" si="8"/>
        <v>0</v>
      </c>
      <c r="AE21" s="510">
        <f t="shared" ca="1" si="1"/>
        <v>0.31368984656241095</v>
      </c>
      <c r="AF21" s="510">
        <f t="shared" ca="1" si="1"/>
        <v>0.31368984656241095</v>
      </c>
      <c r="AG21" s="510">
        <f t="shared" ca="1" si="2"/>
        <v>1.4149201112868548E-3</v>
      </c>
      <c r="AH21" s="510">
        <f t="shared" ca="1" si="2"/>
        <v>1.4149201112868548E-3</v>
      </c>
      <c r="AI21" s="530">
        <f t="shared" ca="1" si="3"/>
        <v>0.313689846562411</v>
      </c>
      <c r="AJ21" s="530">
        <f t="shared" ca="1" si="4"/>
        <v>1.4149201112868548E-3</v>
      </c>
    </row>
    <row r="22" spans="1:40" x14ac:dyDescent="0.25">
      <c r="A22" s="812" t="s">
        <v>150</v>
      </c>
      <c r="B22" s="812">
        <v>2103006000</v>
      </c>
      <c r="C22" s="5">
        <f ca="1">INDIRECT("'DevSumOut-"&amp;$B$2&amp;"BSR'!R65")</f>
        <v>1.007951856986729E-2</v>
      </c>
      <c r="D22" s="5">
        <f ca="1">INDIRECT("'DevSumOut-"&amp;$B$2&amp;"BSR'!P65")</f>
        <v>7.9575146604215379E-4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9.37943439755861E-2</v>
      </c>
      <c r="D23" s="5">
        <f ca="1">INDIRECT("'DevSumOut-"&amp;$B$2&amp;"BSR'!P66")</f>
        <v>0.10917239035956829</v>
      </c>
      <c r="E23" s="5">
        <f ca="1">OFFSET('WSCOReductions-5PctSIP'!$U$81,0,MATCH($B$2,'WSCOReductions-5PctSIP'!$X$78:$AQ$78,1)+2)</f>
        <v>0.31368984656241095</v>
      </c>
      <c r="F23" s="5">
        <f ca="1">OFFSET('WSCOReductions-5PctSIP'!$U$84,0,MATCH($B$2,'WSCOReductions-5PctSIP'!$X$78:$AQ$78,1)+2)</f>
        <v>1.4149201112868973E-3</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0.31368984656241095</v>
      </c>
      <c r="Z23" s="510">
        <f t="shared" ca="1" si="0"/>
        <v>1.4149201112868548E-3</v>
      </c>
      <c r="AA23" s="617">
        <f t="shared" ca="1" si="5"/>
        <v>0.44845389532858415</v>
      </c>
      <c r="AB23" s="617">
        <f t="shared" ca="1" si="6"/>
        <v>0.44845389532858415</v>
      </c>
      <c r="AC23" s="617">
        <f t="shared" ca="1" si="7"/>
        <v>0.36928069720055601</v>
      </c>
      <c r="AD23" s="617">
        <f t="shared" ca="1" si="8"/>
        <v>0.36928069720055601</v>
      </c>
      <c r="AE23" s="510">
        <f t="shared" ca="1" si="1"/>
        <v>0.62146830827505606</v>
      </c>
      <c r="AF23" s="510">
        <f t="shared" ca="1" si="1"/>
        <v>0.62146830827505606</v>
      </c>
      <c r="AG23" s="510">
        <f t="shared" ca="1" si="2"/>
        <v>0.3701731146266638</v>
      </c>
      <c r="AH23" s="510">
        <f t="shared" ca="1" si="2"/>
        <v>0.3701731146266638</v>
      </c>
      <c r="AI23" s="530">
        <f t="shared" ca="1" si="3"/>
        <v>0.54232527526323304</v>
      </c>
      <c r="AJ23" s="530">
        <f t="shared" ca="1" si="4"/>
        <v>0.2753495788941383</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2.5766689106639578E-4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2.6684158267578719</v>
      </c>
      <c r="D27" s="450">
        <f ca="1">INDIRECT("'DevSumOut-"&amp;$B$2&amp;"BSR'!P70")</f>
        <v>4.1283922370161692</v>
      </c>
      <c r="E27" s="450">
        <f ca="1">$C27-E28</f>
        <v>1.8408605885646327</v>
      </c>
      <c r="F27" s="450">
        <f ca="1">$D27-F28</f>
        <v>4.1232590354791103</v>
      </c>
      <c r="G27" s="450">
        <f ca="1">$C27-G28</f>
        <v>2.6595844014262875</v>
      </c>
      <c r="H27" s="450">
        <f ca="1">$D27-H28</f>
        <v>2.2107520265939375</v>
      </c>
      <c r="I27" s="450">
        <f ca="1">$C27-I28</f>
        <v>2.536435874710838</v>
      </c>
      <c r="J27" s="450">
        <f ca="1">$D27-J28</f>
        <v>4.1237207933173083</v>
      </c>
      <c r="K27" s="450">
        <f ca="1">$C27-K28</f>
        <v>2.6684158267578719</v>
      </c>
      <c r="L27" s="450">
        <f ca="1">$D27-L28</f>
        <v>4.1283922370161692</v>
      </c>
      <c r="M27" s="450">
        <f ca="1">$C27-M28</f>
        <v>2.2517919065254741</v>
      </c>
      <c r="N27" s="450">
        <f ca="1">$D27-N28</f>
        <v>4.1221843166268251</v>
      </c>
      <c r="O27" s="450">
        <f ca="1">$C27-O28</f>
        <v>2.6684158267578719</v>
      </c>
      <c r="P27" s="450">
        <f ca="1">$D27-P28</f>
        <v>4.1283922370161692</v>
      </c>
      <c r="Q27" s="450">
        <f ca="1">$C27-Q28</f>
        <v>2.2363028042761282</v>
      </c>
      <c r="R27" s="450">
        <f ca="1">$D27-R28</f>
        <v>4.1351632204385966</v>
      </c>
      <c r="S27" s="450">
        <f ca="1">$C27-S28</f>
        <v>2.668137852540831</v>
      </c>
      <c r="T27" s="450">
        <f ca="1">$D27-T28</f>
        <v>4.1283922370161692</v>
      </c>
      <c r="U27" s="786">
        <f ca="1">$C27-U28</f>
        <v>2.6684158267578719</v>
      </c>
      <c r="V27" s="786">
        <f ca="1">$D27-V28</f>
        <v>4.1283922370161692</v>
      </c>
      <c r="W27" s="450">
        <f ca="1">$C27-W28</f>
        <v>2.6684158267578719</v>
      </c>
      <c r="X27" s="450">
        <f ca="1">$D27-X28</f>
        <v>4.1283922370161692</v>
      </c>
      <c r="Y27" s="450">
        <f ca="1">$C27-Y28</f>
        <v>1.2227642055983017</v>
      </c>
      <c r="Z27" s="450">
        <f ca="1">$D27-Z28</f>
        <v>2.1931718167815424</v>
      </c>
      <c r="AA27" s="450">
        <f ca="1">$C27-AA28</f>
        <v>1.9943305360429715</v>
      </c>
      <c r="AB27" s="450">
        <f ca="1">$C27-AB28</f>
        <v>1.5547236455967164</v>
      </c>
      <c r="AC27" s="450">
        <f ca="1">$D27-AC28</f>
        <v>4.2637419683354612</v>
      </c>
      <c r="AD27" s="450">
        <f ca="1">$D27-AD28</f>
        <v>4.3113469139033018</v>
      </c>
      <c r="AE27" s="450">
        <f ca="1">$C27-AE28</f>
        <v>0.90933744445188003</v>
      </c>
      <c r="AF27" s="450">
        <f ca="1">$C27-AF28</f>
        <v>0.71320652648545724</v>
      </c>
      <c r="AG27" s="450">
        <f ca="1">$D27-AG28</f>
        <v>2.2824567097384127</v>
      </c>
      <c r="AH27" s="450">
        <f ca="1">$D27-AH28</f>
        <v>2.3188105779544852</v>
      </c>
      <c r="AI27" s="787">
        <f ca="1">$C27-AI28</f>
        <v>0.88906556807822823</v>
      </c>
      <c r="AJ27" s="787">
        <f ca="1">$D27-AJ28</f>
        <v>2.2781940123463409</v>
      </c>
    </row>
    <row r="28" spans="1:40" x14ac:dyDescent="0.25">
      <c r="B28" s="244" t="s">
        <v>156</v>
      </c>
      <c r="E28" s="450">
        <f ca="1">SUMPRODUCT($C9:$C26,E9:E26)</f>
        <v>0.82755523819323906</v>
      </c>
      <c r="F28" s="450">
        <f ca="1">SUMPRODUCT($D9:$D26,F9:F26)</f>
        <v>5.1332015370591736E-3</v>
      </c>
      <c r="G28" s="450">
        <f ca="1">SUMPRODUCT($C9:$C26,G9:G26)</f>
        <v>8.8314253315845814E-3</v>
      </c>
      <c r="H28" s="450">
        <f ca="1">SUMPRODUCT($D9:$D26,H9:H26)</f>
        <v>1.9176402104222317</v>
      </c>
      <c r="I28" s="450">
        <f ca="1">SUMPRODUCT($C9:$C26,I9:I26)</f>
        <v>0.13197995204703375</v>
      </c>
      <c r="J28" s="450">
        <f ca="1">SUMPRODUCT($D9:$D26,J9:J26)</f>
        <v>4.6714436988606178E-3</v>
      </c>
      <c r="K28" s="450">
        <f ca="1">SUMPRODUCT($C9:$C26,K9:K26)</f>
        <v>0</v>
      </c>
      <c r="L28" s="450">
        <f ca="1">SUMPRODUCT($D9:$D26,L9:L26)</f>
        <v>0</v>
      </c>
      <c r="M28" s="450">
        <f ca="1">SUMPRODUCT($C9:$C26,M9:M26)</f>
        <v>0.41662392023239803</v>
      </c>
      <c r="N28" s="450">
        <f ca="1">SUMPRODUCT($D9:$D26,N9:N26)</f>
        <v>6.2079203893440228E-3</v>
      </c>
      <c r="O28" s="450">
        <f ca="1">SUMPRODUCT($C9:$C26,O9:O26)</f>
        <v>0</v>
      </c>
      <c r="P28" s="450">
        <f ca="1">SUMPRODUCT($D9:$D26,P9:P26)</f>
        <v>0</v>
      </c>
      <c r="Q28" s="450">
        <f ca="1">SUMPRODUCT($C9:$C26,Q9:Q26)</f>
        <v>0.43211302248174371</v>
      </c>
      <c r="R28" s="450">
        <f ca="1">SUMPRODUCT($D9:$D26,R9:R26)</f>
        <v>-6.7709834224276844E-3</v>
      </c>
      <c r="S28" s="450">
        <f ca="1">SUMPRODUCT($C9:$C26,S9:S26)</f>
        <v>2.7797421704077707E-4</v>
      </c>
      <c r="T28" s="450">
        <f ca="1">SUMPRODUCT($D9:$D26,T9:T26)</f>
        <v>0</v>
      </c>
      <c r="U28" s="786">
        <f ca="1">SUMPRODUCT($C9:$C26,U9:U26)</f>
        <v>0</v>
      </c>
      <c r="V28" s="786">
        <f ca="1">SUMPRODUCT($D9:$D26,V9:V26)</f>
        <v>0</v>
      </c>
      <c r="W28" s="450">
        <f ca="1">SUMPRODUCT($C9:$C26,W9:W26)</f>
        <v>0</v>
      </c>
      <c r="X28" s="450">
        <f ca="1">SUMPRODUCT($D9:$D26,X9:X26)</f>
        <v>0</v>
      </c>
      <c r="Y28" s="450">
        <f ca="1">SUMPRODUCT($C9:$C26,Y9:Y26)</f>
        <v>1.4456516211595702</v>
      </c>
      <c r="Z28" s="450">
        <f ca="1">SUMPRODUCT($D9:$D26,Z9:Z26)</f>
        <v>1.935220420234627</v>
      </c>
      <c r="AA28" s="450">
        <f ca="1">SUMPRODUCT($C9:$C26,AA9:AA26)</f>
        <v>0.67408529071490042</v>
      </c>
      <c r="AB28" s="450">
        <f ca="1">SUMPRODUCT($C9:$C26,AB9:AB26)</f>
        <v>1.1136921811611555</v>
      </c>
      <c r="AC28" s="450">
        <f ca="1">SUMPRODUCT($D9:$D26,AC9:AC26)</f>
        <v>-0.1353497313192924</v>
      </c>
      <c r="AD28" s="450">
        <f ca="1">SUMPRODUCT($D9:$D26,AD9:AD26)</f>
        <v>-0.18295467688713296</v>
      </c>
      <c r="AE28" s="450">
        <f ca="1">SUMPRODUCT($C9:$C26,AE9:AE26)</f>
        <v>1.7590783823059919</v>
      </c>
      <c r="AF28" s="450">
        <f ca="1">SUMPRODUCT($C9:$C26,AF9:AF26)</f>
        <v>1.9552093002724147</v>
      </c>
      <c r="AG28" s="450">
        <f ca="1">SUMPRODUCT($D9:$D26,AG9:AG26)</f>
        <v>1.8459355272777562</v>
      </c>
      <c r="AH28" s="450">
        <f ca="1">SUMPRODUCT($D9:$D26,AH9:AH26)</f>
        <v>1.8095816590616838</v>
      </c>
      <c r="AI28" s="450">
        <f ca="1">SUMPRODUCT($C9:$C26,AI9:AI26)</f>
        <v>1.7793502586796437</v>
      </c>
      <c r="AJ28" s="450">
        <f ca="1">SUMPRODUCT($D9:$D26,AJ9:AJ26)</f>
        <v>1.8501982246698285</v>
      </c>
    </row>
    <row r="29" spans="1:40" x14ac:dyDescent="0.25">
      <c r="E29" s="659">
        <f ca="1">E28/$C27</f>
        <v>0.31012978932849439</v>
      </c>
      <c r="F29" s="693">
        <f ca="1">F28/$D27</f>
        <v>1.2433899790416326E-3</v>
      </c>
      <c r="G29" s="659">
        <f ca="1">G28/$C27</f>
        <v>3.3096136078291714E-3</v>
      </c>
      <c r="H29" s="693">
        <f ca="1">H28/$D27</f>
        <v>0.46450048840519631</v>
      </c>
      <c r="I29" s="659">
        <f ca="1">I28/$C27</f>
        <v>4.9460039444972688E-2</v>
      </c>
      <c r="J29" s="693">
        <f ca="1">J28/$D27</f>
        <v>1.1315406653891356E-3</v>
      </c>
      <c r="K29" s="659">
        <f ca="1">K28/$C27</f>
        <v>0</v>
      </c>
      <c r="L29" s="693">
        <f ca="1">L28/$D27</f>
        <v>0</v>
      </c>
      <c r="M29" s="659">
        <f ca="1">M28/$C27</f>
        <v>0.1561315579283595</v>
      </c>
      <c r="N29" s="693">
        <f ca="1">N28/$D27</f>
        <v>1.5037138025990598E-3</v>
      </c>
      <c r="O29" s="659">
        <f ca="1">O28/$C27</f>
        <v>0</v>
      </c>
      <c r="P29" s="693">
        <f ca="1">P28/$D27</f>
        <v>0</v>
      </c>
      <c r="Q29" s="659">
        <f ca="1">Q28/$C27</f>
        <v>0.16193616382749518</v>
      </c>
      <c r="R29" s="693">
        <f ca="1">R28/$D27</f>
        <v>-1.6401017717544858E-3</v>
      </c>
      <c r="S29" s="659">
        <f ca="1">S28/$C27</f>
        <v>1.0417200132503937E-4</v>
      </c>
      <c r="T29" s="693">
        <f ca="1">T28/$D27</f>
        <v>0</v>
      </c>
      <c r="U29" s="700">
        <f ca="1">U28/$C27</f>
        <v>0</v>
      </c>
      <c r="V29" s="700">
        <f ca="1">V28/$D27</f>
        <v>0</v>
      </c>
      <c r="W29" s="659">
        <f ca="1">W28/$C27</f>
        <v>0</v>
      </c>
      <c r="X29" s="693">
        <f ca="1">X28/$D27</f>
        <v>0</v>
      </c>
      <c r="Y29" s="659">
        <f ca="1">Y28/$C27</f>
        <v>0.54176399594962621</v>
      </c>
      <c r="Z29" s="693">
        <f t="shared" ref="Z29" ca="1" si="9">Z28/$D27</f>
        <v>0.46875885553774904</v>
      </c>
      <c r="AA29" s="838">
        <f ca="1">(AA28*$AJ$4+AB28*$AJ$5)/SUM($AJ$4:$AJ$5)</f>
        <v>0.97842852256230783</v>
      </c>
      <c r="AB29" s="838"/>
      <c r="AC29" s="838">
        <f ca="1">(AC28*$AJ$4+AD28*$AJ$5)/SUM($AJ$4:$AJ$5)</f>
        <v>-0.16830700132779741</v>
      </c>
      <c r="AD29" s="838"/>
      <c r="AE29" s="659">
        <f ca="1">AE28/$C27</f>
        <v>0.65922198656844055</v>
      </c>
      <c r="AF29" s="659">
        <f ca="1">AF28/$C27</f>
        <v>0.73272286900201611</v>
      </c>
      <c r="AG29" s="693">
        <f t="shared" ref="AG29:AH29" ca="1" si="10">AG28/$D27</f>
        <v>0.44713181822372622</v>
      </c>
      <c r="AH29" s="693">
        <f t="shared" ca="1" si="10"/>
        <v>0.43832600081855944</v>
      </c>
      <c r="AI29" s="659">
        <f ca="1">AI28/$C27</f>
        <v>0.66681895708944139</v>
      </c>
      <c r="AJ29" s="693">
        <f t="shared" ref="AJ29" ca="1" si="11">AJ28/$D27</f>
        <v>0.44816435029610341</v>
      </c>
      <c r="AK29" s="5"/>
      <c r="AL29" s="5"/>
      <c r="AN29" s="5"/>
    </row>
    <row r="30" spans="1:40" x14ac:dyDescent="0.25">
      <c r="B30" s="244" t="s">
        <v>157</v>
      </c>
      <c r="E30" s="450">
        <f ca="1">E28*($Y28/$Y30)</f>
        <v>0.65828586364330144</v>
      </c>
      <c r="F30" s="450">
        <f ca="1">F28*($Z28/$Z30)</f>
        <v>5.1554155909913774E-3</v>
      </c>
      <c r="G30" s="450">
        <f ca="1">G28*($Y28/$Y30)</f>
        <v>7.0250325093658287E-3</v>
      </c>
      <c r="H30" s="450">
        <f ca="1">H28*($Z28/$Z30)</f>
        <v>1.9259388448610593</v>
      </c>
      <c r="I30" s="450">
        <f ca="1">I28*($Y28/$Y30)</f>
        <v>0.10498457711000073</v>
      </c>
      <c r="J30" s="450">
        <f ca="1">J28*($Z28/$Z30)</f>
        <v>4.6916594845683411E-3</v>
      </c>
      <c r="K30" s="450">
        <f ca="1">K28*($Y28/$Y30)</f>
        <v>0</v>
      </c>
      <c r="L30" s="450">
        <f ca="1">L28*($Z28/$Z30)</f>
        <v>0</v>
      </c>
      <c r="M30" s="450">
        <f ca="1">M28*($Y28/$Y30)</f>
        <v>0.33140704630595463</v>
      </c>
      <c r="N30" s="450">
        <f ca="1">N28*($Z28/$Z30)</f>
        <v>6.2347853151296408E-3</v>
      </c>
      <c r="O30" s="450">
        <f ca="1">O28*($Y28/$Y30)</f>
        <v>0</v>
      </c>
      <c r="P30" s="450">
        <f ca="1">P28*($Z28/$Z30)</f>
        <v>0</v>
      </c>
      <c r="Q30" s="450">
        <f ca="1">Q28*($Y28/$Y30)</f>
        <v>0.34372798463211507</v>
      </c>
      <c r="R30" s="450">
        <f ca="1">R28*($Z28/$Z30)</f>
        <v>-6.8002850171213613E-3</v>
      </c>
      <c r="S30" s="450">
        <f ca="1">S28*($Y28/$Y30)</f>
        <v>2.211169588325777E-4</v>
      </c>
      <c r="T30" s="450">
        <f ca="1">T28*($Z28/$Z30)</f>
        <v>0</v>
      </c>
      <c r="U30" s="786">
        <f ca="1">U28*($Y28/$Y30)</f>
        <v>0</v>
      </c>
      <c r="V30" s="786">
        <f ca="1">V28*($Z28/$Z30)</f>
        <v>0</v>
      </c>
      <c r="W30" s="450">
        <f ca="1">W28*($Y28/$Y30)</f>
        <v>0</v>
      </c>
      <c r="X30" s="450">
        <f ca="1">X28*($Z28/$Z30)</f>
        <v>0</v>
      </c>
      <c r="Y30" s="450">
        <f ca="1">SUM($E28,$G28,$I28,$K28,$M28,$O28,$Q28,$S28,$W28)</f>
        <v>1.8173815325030398</v>
      </c>
      <c r="Z30" s="450">
        <f ca="1">SUM($F28,$H28,$J28,$L28,$N28,$P28,$R28,$T28,$X28)</f>
        <v>1.9268817926250676</v>
      </c>
      <c r="AA30" s="450">
        <f ca="1">AE28-$Y28</f>
        <v>0.31342676114642165</v>
      </c>
      <c r="AB30" s="450">
        <f ca="1">AF28-$Y28</f>
        <v>0.50955767911284444</v>
      </c>
      <c r="AC30" s="450">
        <f ca="1">AG28-$Z28</f>
        <v>-8.9284892956870809E-2</v>
      </c>
      <c r="AD30" s="450">
        <f ca="1">AH28-$Z28</f>
        <v>-0.12563876117294326</v>
      </c>
      <c r="AE30" s="450">
        <f ca="1">SUM($E28,$G28,$I28,$K28,$M28,$O28,$Q28,$S28,$W28,AA28)</f>
        <v>2.49146682321794</v>
      </c>
      <c r="AF30" s="450">
        <f ca="1">SUM($E28,$G28,$I28,$K28,$M28,$O28,$Q28,$S28,$W28,AB28)</f>
        <v>2.9310737136641953</v>
      </c>
      <c r="AG30" s="450">
        <f ca="1">SUM($F28,$H28,$J28,$L28,$N28,$P28,$R28,$T28,$X28,AC28)</f>
        <v>1.7915320613057752</v>
      </c>
      <c r="AH30" s="450">
        <f ca="1">SUM($F28,$H28,$J28,$L28,$N28,$P28,$R28,$T28,$X28,AD28)</f>
        <v>1.7439271157379346</v>
      </c>
      <c r="AI30" s="13"/>
      <c r="AJ30" s="13"/>
    </row>
    <row r="31" spans="1:40" x14ac:dyDescent="0.25">
      <c r="Y31" s="659">
        <f ca="1">Y30/$C27</f>
        <v>0.68107133613847592</v>
      </c>
      <c r="Z31" s="659">
        <f ca="1">Z30/$C27</f>
        <v>0.72210701694354407</v>
      </c>
      <c r="AA31" s="839" t="s">
        <v>158</v>
      </c>
      <c r="AB31" s="839"/>
      <c r="AC31" s="839"/>
      <c r="AD31" s="839"/>
      <c r="AE31" s="659">
        <f ca="1">AE30/$C27</f>
        <v>0.9336876202855815</v>
      </c>
      <c r="AF31" s="659">
        <f ca="1">AF30/$C27</f>
        <v>1.0984321424991146</v>
      </c>
      <c r="AG31" s="693">
        <f ca="1">AG30/$D27</f>
        <v>0.43395393616974254</v>
      </c>
      <c r="AH31" s="693">
        <f ca="1">AH30/$D27</f>
        <v>0.42242282603417858</v>
      </c>
    </row>
    <row r="32" spans="1:40" x14ac:dyDescent="0.25">
      <c r="Y32" s="698">
        <f ca="1">SUM($E30,$G30,$I30,$K30,$M30,$O30,$Q30,$S30,$W30)</f>
        <v>1.4456516211595705</v>
      </c>
      <c r="Z32" s="698">
        <f ca="1">SUM($F30,$H30,$J30,$L30,$N30,$P30,$R30,$T30,$X30)</f>
        <v>1.9352204202346273</v>
      </c>
      <c r="AA32" s="838">
        <f ca="1">(AA30*$AJ$4+AB30*$AJ$5)/SUM($AJ$4:$AJ$5)</f>
        <v>0.44920970435394508</v>
      </c>
      <c r="AB32" s="838"/>
      <c r="AC32" s="838">
        <f ca="1">(AC30*$AJ$4+AD30*$AJ$5)/SUM($AJ$4:$AJ$5)</f>
        <v>-0.11445295556799789</v>
      </c>
      <c r="AD32" s="838"/>
    </row>
    <row r="33" spans="2:34" x14ac:dyDescent="0.25">
      <c r="C33" s="450">
        <f ca="1">SUM(C9:C18)</f>
        <v>2.490181577832816</v>
      </c>
      <c r="D33" s="450">
        <f ca="1">SUM(D9:D18)</f>
        <v>8.8140227817633476E-2</v>
      </c>
      <c r="Z33" s="616"/>
      <c r="AA33" s="616"/>
    </row>
    <row r="34" spans="2:34" x14ac:dyDescent="0.25">
      <c r="B34" s="244" t="s">
        <v>159</v>
      </c>
      <c r="E34" s="450">
        <f ca="1">SUMPRODUCT($C9:$C18,E9:E18)</f>
        <v>0.78114467706291835</v>
      </c>
      <c r="F34" s="450">
        <f ca="1">SUMPRODUCT($D9:$D18,F9:F18)</f>
        <v>1.2471138095257843E-4</v>
      </c>
      <c r="G34" s="450">
        <f ca="1">SUMPRODUCT($C9:$C18,G9:G18)</f>
        <v>-2.5893580136835421E-2</v>
      </c>
      <c r="H34" s="450">
        <f ca="1">SUMPRODUCT($D9:$D18,H9:H18)</f>
        <v>-9.1650587755976343E-4</v>
      </c>
      <c r="I34" s="450">
        <f ca="1">SUMPRODUCT($C9:$C18,I9:I18)</f>
        <v>0.13197995204703375</v>
      </c>
      <c r="J34" s="450">
        <f ca="1">SUMPRODUCT($D9:$D18,J9:J18)</f>
        <v>4.6714436988606178E-3</v>
      </c>
      <c r="K34" s="450">
        <f ca="1">SUMPRODUCT($C9:$C18,K9:K18)</f>
        <v>0</v>
      </c>
      <c r="L34" s="450">
        <f ca="1">SUMPRODUCT($D9:$D18,L9:L18)</f>
        <v>0</v>
      </c>
      <c r="M34" s="450">
        <f ca="1">SUMPRODUCT($C9:$C18,M9:M18)</f>
        <v>0.41662392023239803</v>
      </c>
      <c r="N34" s="450">
        <f ca="1">SUMPRODUCT($D9:$D18,N9:N18)</f>
        <v>6.2079203893440228E-3</v>
      </c>
      <c r="O34" s="450">
        <f ca="1">SUMPRODUCT($C9:$C18,O9:O18)</f>
        <v>0</v>
      </c>
      <c r="P34" s="450">
        <f ca="1">SUMPRODUCT($D9:$D18,P9:P18)</f>
        <v>0</v>
      </c>
      <c r="Q34" s="450">
        <f ca="1">SUMPRODUCT($C9:$C18,Q9:Q18)</f>
        <v>0.43246209028169025</v>
      </c>
      <c r="R34" s="450">
        <f ca="1">SUMPRODUCT($D9:$D18,R9:R18)</f>
        <v>1.5361342057427247E-2</v>
      </c>
      <c r="S34" s="450"/>
      <c r="T34" s="450"/>
      <c r="U34" s="450">
        <f ca="1">SUMPRODUCT($C9:$C18,U9:U18)</f>
        <v>0</v>
      </c>
      <c r="V34" s="450">
        <f ca="1">SUMPRODUCT($D9:$D18,V9:V18)</f>
        <v>0</v>
      </c>
      <c r="W34" s="450">
        <f ca="1">SUMPRODUCT($C9:$C18,W9:W18)</f>
        <v>0</v>
      </c>
      <c r="X34" s="450">
        <f ca="1">SUMPRODUCT($D9:$D18,X9:X18)</f>
        <v>0</v>
      </c>
      <c r="Y34" s="450">
        <f ca="1">SUMPRODUCT($C9:$C18,Y9:Y18)</f>
        <v>1.3729605927502351</v>
      </c>
      <c r="Z34" s="450">
        <f ca="1">SUMPRODUCT($D9:$D18,Z9:Z18)</f>
        <v>2.4047406679341646E-2</v>
      </c>
      <c r="AE34" s="450">
        <f ca="1">SUMPRODUCT($C9:$C18,AE9:AE18)</f>
        <v>1.657519474990504</v>
      </c>
      <c r="AF34" s="450">
        <f ca="1">SUMPRODUCT($C9:$C18,AF9:AF18)</f>
        <v>1.8536503929569268</v>
      </c>
      <c r="AG34" s="450">
        <f ca="1">SUMPRODUCT($D9:$D18,AG9:AG18)</f>
        <v>-0.10549569983745152</v>
      </c>
      <c r="AH34" s="450">
        <f ca="1">SUMPRODUCT($D9:$D18,AH9:AH18)</f>
        <v>-0.14184956805352394</v>
      </c>
    </row>
    <row r="35" spans="2:34" x14ac:dyDescent="0.25">
      <c r="C35" s="450">
        <f ca="1">SUM(C19:C20)</f>
        <v>7.1468304122516979E-2</v>
      </c>
      <c r="D35" s="450">
        <f ca="1">SUM(D19:D20)</f>
        <v>3.9130970509929459</v>
      </c>
      <c r="AD35" s="244" t="s">
        <v>160</v>
      </c>
      <c r="AE35" s="604">
        <f ca="1">AE34/$C33</f>
        <v>0.66562193285239435</v>
      </c>
      <c r="AF35" s="604">
        <f ca="1">AF34/$C33</f>
        <v>0.74438362626156085</v>
      </c>
      <c r="AG35" s="604">
        <f t="shared" ref="AG35:AH37" ca="1" si="12">AG34/$D33</f>
        <v>-1.196907501257285</v>
      </c>
      <c r="AH35" s="604">
        <f t="shared" ca="1" si="12"/>
        <v>-1.6093623940593593</v>
      </c>
    </row>
    <row r="36" spans="2:34" x14ac:dyDescent="0.25">
      <c r="B36" s="244" t="s">
        <v>161</v>
      </c>
      <c r="E36" s="450">
        <f ca="1">SUMPRODUCT($C19:$C20,E19:E20)</f>
        <v>1.6986391755165899E-2</v>
      </c>
      <c r="F36" s="450">
        <f ca="1">SUMPRODUCT($D19:$D20,F19:F20)</f>
        <v>4.8539196292731335E-3</v>
      </c>
      <c r="G36" s="450">
        <f ca="1">SUMPRODUCT($C19:$C20,G19:G20)</f>
        <v>3.4727684758296622E-2</v>
      </c>
      <c r="H36" s="450">
        <f ca="1">SUMPRODUCT($D19:$D20,H19:H20)</f>
        <v>1.9185567946712438</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-3.4906779994654992E-4</v>
      </c>
      <c r="R36" s="450">
        <f ca="1">SUMPRODUCT($D19:$D20,R19:R20)</f>
        <v>-2.2132325479854931E-2</v>
      </c>
      <c r="S36" s="450"/>
      <c r="T36" s="450"/>
      <c r="U36" s="450">
        <f ca="1">SUMPRODUCT($C19:$C20,U19:U20)</f>
        <v>0</v>
      </c>
      <c r="V36" s="450">
        <f ca="1">SUMPRODUCT($D19:$D20,V19:V20)</f>
        <v>0</v>
      </c>
      <c r="W36" s="450">
        <f ca="1">SUMPRODUCT($C19:$C20,W19:W20)</f>
        <v>0</v>
      </c>
      <c r="X36" s="450">
        <f ca="1">SUMPRODUCT($D19:$D20,X19:X20)</f>
        <v>0</v>
      </c>
      <c r="Y36" s="450">
        <f ca="1">SUMPRODUCT($C19:$C20,Y19:Y20)</f>
        <v>4.3269538324056889E-2</v>
      </c>
      <c r="Z36" s="450">
        <f ca="1">SUMPRODUCT($D19:$D20,Z19:Z20)</f>
        <v>1.9110185213999042</v>
      </c>
      <c r="AE36" s="450">
        <f ca="1">SUMPRODUCT($C19:$C20,AE19:AE20)</f>
        <v>4.3269538324056889E-2</v>
      </c>
      <c r="AF36" s="450">
        <f ca="1">SUMPRODUCT($C19:$C20,AF19:AF20)</f>
        <v>4.3269538324056889E-2</v>
      </c>
      <c r="AG36" s="450">
        <f ca="1">SUMPRODUCT($D19:$D20,AG19:AG20)</f>
        <v>1.9110185213999042</v>
      </c>
      <c r="AH36" s="450">
        <f ca="1">SUMPRODUCT($D19:$D20,AH19:AH20)</f>
        <v>1.9110185213999042</v>
      </c>
    </row>
    <row r="37" spans="2:34" x14ac:dyDescent="0.25">
      <c r="AD37" s="244" t="s">
        <v>162</v>
      </c>
      <c r="AE37" s="694">
        <f ca="1">AE36/$C35</f>
        <v>0.60543675766925442</v>
      </c>
      <c r="AF37" s="694">
        <f ca="1">AF36/$C35</f>
        <v>0.60543675766925442</v>
      </c>
      <c r="AG37" s="694">
        <f t="shared" ca="1" si="12"/>
        <v>0.48836471380513918</v>
      </c>
      <c r="AH37" s="694">
        <f t="shared" ca="1" si="12"/>
        <v>0.48836471380513918</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E5:F5"/>
    <mergeCell ref="G5:H5"/>
    <mergeCell ref="I5:J5"/>
    <mergeCell ref="K5:L5"/>
    <mergeCell ref="M5:N5"/>
    <mergeCell ref="E3:F3"/>
    <mergeCell ref="G3:H3"/>
    <mergeCell ref="I3:J3"/>
    <mergeCell ref="E4:F4"/>
    <mergeCell ref="G4:H4"/>
    <mergeCell ref="I4:J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U3:V3"/>
    <mergeCell ref="W3:X3"/>
    <mergeCell ref="O4:P4"/>
    <mergeCell ref="S4:T4"/>
    <mergeCell ref="U4:V4"/>
    <mergeCell ref="W4:X4"/>
    <mergeCell ref="K3:L3"/>
    <mergeCell ref="M3:N3"/>
    <mergeCell ref="O3:P3"/>
    <mergeCell ref="Q3:R3"/>
    <mergeCell ref="S3:T3"/>
    <mergeCell ref="G6:H6"/>
    <mergeCell ref="I6:J6"/>
    <mergeCell ref="K6:L6"/>
    <mergeCell ref="M6:N6"/>
    <mergeCell ref="O6:P6"/>
    <mergeCell ref="G7:H7"/>
    <mergeCell ref="I7:J7"/>
    <mergeCell ref="K7:L7"/>
    <mergeCell ref="Y7:Z7"/>
    <mergeCell ref="AE7:AH7"/>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s>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FAC1-60CE-47B0-B9DE-59ED5930B0AB}">
  <sheetPr>
    <tabColor rgb="FFCCFFCC"/>
  </sheetPr>
  <dimension ref="A1:AN68"/>
  <sheetViews>
    <sheetView zoomScale="80" zoomScaleNormal="80" workbookViewId="0">
      <selection activeCell="E31" sqref="E31"/>
    </sheetView>
  </sheetViews>
  <sheetFormatPr defaultRowHeight="15" x14ac:dyDescent="0.25"/>
  <cols>
    <col min="1" max="1" width="20.5703125" customWidth="1"/>
    <col min="2" max="2" width="13.7109375" customWidth="1"/>
    <col min="3" max="36" width="10.7109375" customWidth="1"/>
  </cols>
  <sheetData>
    <row r="1" spans="1:36" ht="18.75" x14ac:dyDescent="0.3">
      <c r="A1" s="832" t="s">
        <v>104</v>
      </c>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row>
    <row r="2" spans="1:36" ht="15.75" x14ac:dyDescent="0.25">
      <c r="A2" s="273" t="s">
        <v>105</v>
      </c>
      <c r="B2" s="665">
        <v>2024</v>
      </c>
      <c r="AJ2" s="365" t="s">
        <v>106</v>
      </c>
    </row>
    <row r="3" spans="1:36" x14ac:dyDescent="0.25">
      <c r="D3" s="1" t="s">
        <v>107</v>
      </c>
      <c r="E3" s="837"/>
      <c r="F3" s="837"/>
      <c r="G3" s="834">
        <f>Summary!$C$8</f>
        <v>2023</v>
      </c>
      <c r="H3" s="834"/>
      <c r="I3" s="834">
        <f>Summary!$C$9</f>
        <v>2022</v>
      </c>
      <c r="J3" s="834"/>
      <c r="K3" s="834">
        <f>Summary!$C$10</f>
        <v>2024</v>
      </c>
      <c r="L3" s="834"/>
      <c r="M3" s="834">
        <f>Summary!$C$11</f>
        <v>2020</v>
      </c>
      <c r="N3" s="834"/>
      <c r="O3" s="834">
        <f>Summary!$C$12</f>
        <v>2024</v>
      </c>
      <c r="P3" s="834"/>
      <c r="Q3" s="834">
        <f>Summary!$C$13</f>
        <v>2020</v>
      </c>
      <c r="R3" s="834"/>
      <c r="S3" s="834">
        <f>Summary!$C$14</f>
        <v>2020</v>
      </c>
      <c r="T3" s="834"/>
      <c r="U3" s="834">
        <f>'CM-SerSIP'!B4</f>
        <v>2024</v>
      </c>
      <c r="V3" s="834"/>
      <c r="W3" s="834">
        <f>Summary!$C$16</f>
        <v>2020</v>
      </c>
      <c r="X3" s="834"/>
      <c r="AH3" s="1" t="s">
        <v>108</v>
      </c>
      <c r="AI3" s="1" t="s">
        <v>109</v>
      </c>
      <c r="AJ3">
        <f>35-SUM(AJ4:AJ5)</f>
        <v>9</v>
      </c>
    </row>
    <row r="4" spans="1:36" x14ac:dyDescent="0.25">
      <c r="D4" s="1" t="s">
        <v>110</v>
      </c>
      <c r="E4" s="837"/>
      <c r="F4" s="837"/>
      <c r="G4" s="836">
        <f ca="1">IF(OFFSET(Summary!$D$5,MATCH(G6,Summary!$A$6:$A$18,0),MATCH($B$2,Summary!$E$5:$O$5,0))="n/a",0,OFFSET(Summary!$D$5,MATCH(G6,Summary!$A$6:$A$18,0),MATCH($B$2,Summary!$E$5:$O$5,0)))</f>
        <v>1</v>
      </c>
      <c r="H4" s="834"/>
      <c r="I4" s="836">
        <f ca="1">IF(OFFSET(Summary!$D$5,MATCH(I6,Summary!$A$6:$A$18,0),MATCH($B$2,Summary!$E$5:$O$5,0))="n/a",0,OFFSET(Summary!$D$5,MATCH(I6,Summary!$A$6:$A$18,0),MATCH($B$2,Summary!$E$5:$O$5,0)))</f>
        <v>0.75</v>
      </c>
      <c r="J4" s="834"/>
      <c r="K4" s="836">
        <f ca="1">IF(OFFSET(Summary!$D$5,MATCH(K6,Summary!$A$6:$A$18,0),MATCH($B$2,Summary!$E$5:$O$5,0))="n/a",0,OFFSET(Summary!$D$5,MATCH(K6,Summary!$A$6:$A$18,0),MATCH($B$2,Summary!$E$5:$O$5,0)))</f>
        <v>0.15</v>
      </c>
      <c r="L4" s="834"/>
      <c r="M4" s="836">
        <f ca="1">IF(OFFSET(Summary!$D$5,MATCH(M6,Summary!$A$6:$A$18,0),MATCH($B$2,Summary!$E$5:$O$5,0))="n/a",0,OFFSET(Summary!$D$5,MATCH(M6,Summary!$A$6:$A$18,0),MATCH($B$2,Summary!$E$5:$O$5,0)))</f>
        <v>1</v>
      </c>
      <c r="N4" s="834"/>
      <c r="O4" s="836">
        <f ca="1">IF(OFFSET(Summary!$D$5,MATCH(O6,Summary!$A$6:$A$18,0),MATCH($B$2,Summary!$E$5:$O$5,0))="n/a",0,OFFSET(Summary!$D$5,MATCH(O6,Summary!$A$6:$A$18,0),MATCH($B$2,Summary!$E$5:$O$5,0)))</f>
        <v>0.25</v>
      </c>
      <c r="P4" s="834"/>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6">
        <f ca="1">IF(OFFSET(Summary!$D$5,MATCH(S6,Summary!$A$6:$A$18,0),MATCH($B$2,Summary!$E$5:$O$5,0))="n/a",0,OFFSET(Summary!$D$5,MATCH(S6,Summary!$A$6:$A$18,0),MATCH($B$2,Summary!$E$5:$O$5,0)))</f>
        <v>0.7</v>
      </c>
      <c r="T4" s="834"/>
      <c r="U4" s="836">
        <f ca="1">IF(OFFSET(Summary!$D$5,MATCH(U6,Summary!$A$6:$A$18,0),MATCH($B$2,Summary!$E$5:$O$5,0))="n/a",0,OFFSET(Summary!$D$5,MATCH(U6,Summary!$A$6:$A$18,0),MATCH($B$2,Summary!$E$5:$O$5,0)))</f>
        <v>0</v>
      </c>
      <c r="V4" s="834"/>
      <c r="W4" s="836">
        <f ca="1">IF(OFFSET(Summary!$D$5,MATCH(W6,Summary!$A$6:$A$18,0),MATCH($B$2,Summary!$E$5:$O$5,0))="n/a",0,OFFSET(Summary!$D$5,MATCH(W6,Summary!$A$6:$A$18,0),MATCH($B$2,Summary!$E$5:$O$5,0)))</f>
        <v>0</v>
      </c>
      <c r="X4" s="834"/>
      <c r="AA4" s="833">
        <f ca="1">OFFSET(Summary!$D$5,MATCH("CURT",Summary!$A$6:$A$18,0),MATCH($B$2,Summary!$E$5:$O$5,0))</f>
        <v>0.45</v>
      </c>
      <c r="AB4" s="833"/>
      <c r="AC4" s="833"/>
      <c r="AD4" s="833"/>
      <c r="AH4" s="1" t="s">
        <v>111</v>
      </c>
      <c r="AI4" s="1" t="s">
        <v>112</v>
      </c>
      <c r="AJ4">
        <v>8</v>
      </c>
    </row>
    <row r="5" spans="1:36" x14ac:dyDescent="0.25">
      <c r="D5" s="1" t="s">
        <v>113</v>
      </c>
      <c r="E5" s="837"/>
      <c r="F5" s="837"/>
      <c r="G5" s="834" t="s">
        <v>114</v>
      </c>
      <c r="H5" s="834"/>
      <c r="I5" s="834" t="s">
        <v>114</v>
      </c>
      <c r="J5" s="834"/>
      <c r="K5" s="834" t="s">
        <v>114</v>
      </c>
      <c r="L5" s="834"/>
      <c r="M5" s="834" t="s">
        <v>115</v>
      </c>
      <c r="N5" s="834"/>
      <c r="O5" s="834" t="s">
        <v>114</v>
      </c>
      <c r="P5" s="834"/>
      <c r="Q5" s="834" t="s">
        <v>116</v>
      </c>
      <c r="R5" s="834"/>
      <c r="S5" s="834" t="s">
        <v>114</v>
      </c>
      <c r="T5" s="834"/>
      <c r="U5" s="834" t="s">
        <v>114</v>
      </c>
      <c r="V5" s="834"/>
      <c r="W5" s="834" t="s">
        <v>114</v>
      </c>
      <c r="X5" s="834"/>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5" t="s">
        <v>86</v>
      </c>
      <c r="V6" s="835"/>
      <c r="W6" s="829" t="s">
        <v>88</v>
      </c>
      <c r="X6" s="829"/>
      <c r="Y6" s="829" t="s">
        <v>119</v>
      </c>
      <c r="Z6" s="829"/>
      <c r="AC6" s="808"/>
      <c r="AD6" s="808"/>
      <c r="AE6" s="829" t="s">
        <v>120</v>
      </c>
      <c r="AF6" s="829"/>
      <c r="AG6" s="829"/>
      <c r="AH6" s="829"/>
      <c r="AI6" s="829" t="s">
        <v>121</v>
      </c>
      <c r="AJ6" s="829"/>
    </row>
    <row r="7" spans="1:36" x14ac:dyDescent="0.25">
      <c r="A7" s="812" t="s">
        <v>122</v>
      </c>
      <c r="B7" s="812"/>
      <c r="C7" s="829" t="str">
        <f>B2&amp;"BSR"</f>
        <v>2024BSR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5" t="s">
        <v>123</v>
      </c>
      <c r="V7" s="835"/>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2" t="s">
        <v>137</v>
      </c>
      <c r="B9" s="812">
        <v>2104008100</v>
      </c>
      <c r="C9" s="5">
        <f ca="1">INDIRECT("'DevSumOut-"&amp;$B$2&amp;"BSR'!R50")</f>
        <v>0.68274028761889094</v>
      </c>
      <c r="D9" s="5">
        <f ca="1">INDIRECT("'DevSumOut-"&amp;$B$2&amp;"BSR'!P50")</f>
        <v>7.8929513019524947E-3</v>
      </c>
      <c r="E9" s="5">
        <f ca="1">OFFSET('WSCOReductions-5PctSIP'!$U$81,0,MATCH($B$2,'WSCOReductions-5PctSIP'!$X$78:$AQ$78,1)+2)</f>
        <v>0.34388051425260369</v>
      </c>
      <c r="F9" s="5">
        <f ca="1">OFFSET('WSCOReductions-5PctSIP'!$U$84,0,MATCH($B$2,'WSCOReductions-5PctSIP'!$X$78:$AQ$78,1)+2)</f>
        <v>1.6706233734232047E-3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0.15</v>
      </c>
      <c r="L9" s="5">
        <f ca="1">SCCRedFacsFull!L9*K$4/SCCRedFacsFull!K$4</f>
        <v>0.15</v>
      </c>
      <c r="M9" s="5">
        <f ca="1">'BACM-R8'!P153*($B$2-$M$3+1)*$M$4/SCCRedFacsFull!$M$4</f>
        <v>0.23968784838350055</v>
      </c>
      <c r="N9" s="5">
        <f ca="1">'BACM-R8'!O153*($B$2-$M$3+1)*$M$4/SCCRedFacsFull!$M$4</f>
        <v>0.2396878483835006</v>
      </c>
      <c r="O9" s="5">
        <f ca="1">SCCRedFacsFull!O9*O$4/SCCRedFacsFull!O$4</f>
        <v>0</v>
      </c>
      <c r="P9" s="5">
        <f ca="1">SCCRedFacsFull!P9*O$4/SCCRedFacsFull!O$4</f>
        <v>0</v>
      </c>
      <c r="Q9" s="5">
        <f ca="1">IFERROR(OFFSET('STF-22'!$E$173,MATCH($B9,'STF-22'!$A$174:$A$191,0),MATCH($B$2,'STF-22'!$F$172:$AD$172,0))*Q$4/SCCRedFacsFull!Q$4,0)</f>
        <v>0.19560849470567124</v>
      </c>
      <c r="R9" s="5">
        <f ca="1">IFERROR(OFFSET('STF-22'!$E$173,MATCH($B9,'STF-22'!$A$174:$A$191,0),MATCH($B$2,'STF-22'!$F$172:$AD$172,0)-1)*R$4/SCCRedFacsFull!R$4,0)</f>
        <v>0.19560849470567124</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0.67363484730771517</v>
      </c>
      <c r="Z9" s="510">
        <f ca="1">1-(1-F9)*(1-H9)*(1-J9)*(1-L9)*(1-N9)*(1-P9)*(1-R9)*(1-T9)*(1-X9)</f>
        <v>0.50341374320139365</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0.67363484730771517</v>
      </c>
      <c r="AF9" s="510">
        <f ca="1">1-(1-$Y9)*(1-AB9)</f>
        <v>0.81460386721385214</v>
      </c>
      <c r="AG9" s="510">
        <f ca="1">1-(1-$Z9)*(1-AC9)</f>
        <v>0.50341374320139365</v>
      </c>
      <c r="AH9" s="510">
        <f ca="1">1-(1-$Z9)*(1-AD9)</f>
        <v>0.54526492443418606</v>
      </c>
      <c r="AI9" s="530">
        <f ca="1">(Y9*$AJ$3+AE9*$AJ$4+AF9*$AJ$5)/35</f>
        <v>0.7461332004022998</v>
      </c>
      <c r="AJ9" s="530">
        <f ca="1">(Z9*$AJ$3+AG9*$AJ$4+AH9*$AJ$5)/35</f>
        <v>0.52493720783540121</v>
      </c>
    </row>
    <row r="10" spans="1:36" x14ac:dyDescent="0.25">
      <c r="A10" s="812" t="s">
        <v>138</v>
      </c>
      <c r="B10" s="812">
        <v>2104008210</v>
      </c>
      <c r="C10" s="5">
        <f ca="1">INDIRECT("'DevSumOut-"&amp;$B$2&amp;"BSR'!R51")</f>
        <v>5.3283828239984704E-2</v>
      </c>
      <c r="D10" s="5">
        <f ca="1">INDIRECT("'DevSumOut-"&amp;$B$2&amp;"BSR'!P51")</f>
        <v>6.9652063058803562E-4</v>
      </c>
      <c r="E10" s="5">
        <f ca="1">OFFSET('WSCOReductions-5PctSIP'!$U$81,0,MATCH($B$2,'WSCOReductions-5PctSIP'!$X$78:$AQ$78,1)+2)</f>
        <v>0.34388051425260369</v>
      </c>
      <c r="F10" s="5">
        <f ca="1">OFFSET('WSCOReductions-5PctSIP'!$U$84,0,MATCH($B$2,'WSCOReductions-5PctSIP'!$X$78:$AQ$78,1)+2)</f>
        <v>1.6706233734232047E-3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0.15</v>
      </c>
      <c r="L10" s="5">
        <f ca="1">SCCRedFacsFull!L10*K$4/SCCRedFacsFull!K$4</f>
        <v>0.15</v>
      </c>
      <c r="M10" s="5">
        <f ca="1">'BACM-R8'!P154*($B$2-$M$3+1)*$M$4/SCCRedFacsFull!$M$4</f>
        <v>0.40540540540540543</v>
      </c>
      <c r="N10" s="5">
        <f ca="1">'BACM-R8'!O154*($B$2-$M$3+1)*$M$4/SCCRedFacsFull!$M$4</f>
        <v>0.40540540540540543</v>
      </c>
      <c r="O10" s="5">
        <f ca="1">SCCRedFacsFull!O10*O$4/SCCRedFacsFull!O$4</f>
        <v>0</v>
      </c>
      <c r="P10" s="5">
        <f ca="1">SCCRedFacsFull!P10*O$4/SCCRedFacsFull!O$4</f>
        <v>0</v>
      </c>
      <c r="Q10" s="5">
        <f ca="1">IFERROR(OFFSET('STF-22'!$E$173,MATCH($B10,'STF-22'!$A$174:$A$191,0),MATCH($B$2,'STF-22'!$F$172:$AD$172,0))*Q$4/SCCRedFacsFull!Q$4,0)</f>
        <v>0.19233486626488397</v>
      </c>
      <c r="R10" s="5">
        <f ca="1">IFERROR(OFFSET('STF-22'!$E$173,MATCH($B10,'STF-22'!$A$174:$A$191,0),MATCH($B$2,'STF-22'!$F$172:$AD$172,0)-1)*R$4/SCCRedFacsFull!R$4,0)</f>
        <v>0.192334866264884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0.74373065087979684</v>
      </c>
      <c r="Z10" s="510">
        <f t="shared" ca="1" si="0"/>
        <v>0.61006916405746114</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0.85433385560351316</v>
      </c>
      <c r="AF10" s="510">
        <f t="shared" ca="1" si="1"/>
        <v>0.85433385560351316</v>
      </c>
      <c r="AG10" s="510">
        <f t="shared" ref="AG10:AH26" ca="1" si="2">1-(1-$Z10)*(1-AC10)</f>
        <v>3.7328812664669808E-3</v>
      </c>
      <c r="AH10" s="510">
        <f t="shared" ca="1" si="2"/>
        <v>3.7328812664669808E-3</v>
      </c>
      <c r="AI10" s="530">
        <f t="shared" ref="AI10:AI26" ca="1" si="3">(Y10*$AJ$3+AE10*$AJ$4+AF10*$AJ$5)/35</f>
        <v>0.82589303153170046</v>
      </c>
      <c r="AJ10" s="530">
        <f t="shared" ref="AJ10:AJ26" ca="1" si="4">(Z10*$AJ$3+AG10*$AJ$4+AH10*$AJ$5)/35</f>
        <v>0.1596479254127226</v>
      </c>
    </row>
    <row r="11" spans="1:36" x14ac:dyDescent="0.25">
      <c r="A11" s="812" t="s">
        <v>139</v>
      </c>
      <c r="B11" s="812">
        <v>2104008220</v>
      </c>
      <c r="C11" s="5">
        <f ca="1">INDIRECT("'DevSumOut-"&amp;$B$2&amp;"BSR'!R52")</f>
        <v>4.3993976819256868E-2</v>
      </c>
      <c r="D11" s="5">
        <f ca="1">INDIRECT("'DevSumOut-"&amp;$B$2&amp;"BSR'!P52")</f>
        <v>1.466465893975229E-3</v>
      </c>
      <c r="E11" s="5">
        <f ca="1">OFFSET('WSCOReductions-5PctSIP'!$U$81,0,MATCH($B$2,'WSCOReductions-5PctSIP'!$X$78:$AQ$78,1)+2)</f>
        <v>0.34388051425260369</v>
      </c>
      <c r="F11" s="5">
        <f ca="1">OFFSET('WSCOReductions-5PctSIP'!$U$84,0,MATCH($B$2,'WSCOReductions-5PctSIP'!$X$78:$AQ$78,1)+2)</f>
        <v>1.6706233734232047E-3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-1.0164660059989717E-2</v>
      </c>
      <c r="L11" s="5">
        <f ca="1">SCCRedFacsFull!L11*K$4/SCCRedFacsFull!K$4</f>
        <v>-9.8559958919688384E-3</v>
      </c>
      <c r="M11" s="5">
        <f ca="1">'BACM-R8'!P155*($B$2-$M$3+1)*$M$4/SCCRedFacsFull!$M$4</f>
        <v>0.1672308051502267</v>
      </c>
      <c r="N11" s="5">
        <f ca="1">'BACM-R8'!O155*($B$2-$M$3+1)*$M$4/SCCRedFacsFull!$M$4</f>
        <v>5.547769939676972E-2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2" t="s">
        <v>140</v>
      </c>
      <c r="B12" s="812">
        <v>2104008230</v>
      </c>
      <c r="C12" s="5">
        <f ca="1">INDIRECT("'DevSumOut-"&amp;$B$2&amp;"BSR'!R53")</f>
        <v>2.8694894796160917E-2</v>
      </c>
      <c r="D12" s="5">
        <f ca="1">INDIRECT("'DevSumOut-"&amp;$B$2&amp;"BSR'!P53")</f>
        <v>8.8291983988187436E-4</v>
      </c>
      <c r="E12" s="5">
        <f ca="1">OFFSET('WSCOReductions-5PctSIP'!$U$81,0,MATCH($B$2,'WSCOReductions-5PctSIP'!$X$78:$AQ$78,1)+2)</f>
        <v>0.34388051425260369</v>
      </c>
      <c r="F12" s="5">
        <f ca="1">OFFSET('WSCOReductions-5PctSIP'!$U$84,0,MATCH($B$2,'WSCOReductions-5PctSIP'!$X$78:$AQ$78,1)+2)</f>
        <v>1.6706233734232047E-3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-1.0164660059989719E-2</v>
      </c>
      <c r="L12" s="5">
        <f ca="1">SCCRedFacsFull!L12*K$4/SCCRedFacsFull!K$4</f>
        <v>-1.0677328882966243E-2</v>
      </c>
      <c r="M12" s="5">
        <f ca="1">'BACM-R8'!P156*($B$2-$M$3+1)*$M$4/SCCRedFacsFull!$M$4</f>
        <v>0.16723080515022679</v>
      </c>
      <c r="N12" s="5">
        <f ca="1">'BACM-R8'!O156*($B$2-$M$3+1)*$M$4/SCCRedFacsFull!$M$4</f>
        <v>6.0100841013167233E-2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1.3770757391656516E-2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2" t="s">
        <v>141</v>
      </c>
      <c r="B13" s="812">
        <v>2104008310</v>
      </c>
      <c r="C13" s="5">
        <f ca="1">INDIRECT("'DevSumOut-"&amp;$B$2&amp;"BSR'!R54")</f>
        <v>0.42907938675491686</v>
      </c>
      <c r="D13" s="5">
        <f ca="1">INDIRECT("'DevSumOut-"&amp;$B$2&amp;"BSR'!P54")</f>
        <v>1.4135343380796375E-2</v>
      </c>
      <c r="E13" s="5">
        <f ca="1">OFFSET('WSCOReductions-5PctSIP'!$U$81,0,MATCH($B$2,'WSCOReductions-5PctSIP'!$X$78:$AQ$78,1)+2)</f>
        <v>0.34388051425260369</v>
      </c>
      <c r="F13" s="5">
        <f ca="1">OFFSET('WSCOReductions-5PctSIP'!$U$84,0,MATCH($B$2,'WSCOReductions-5PctSIP'!$X$78:$AQ$78,1)+2)</f>
        <v>1.6706233734232047E-3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0.15</v>
      </c>
      <c r="L13" s="5">
        <f ca="1">SCCRedFacsFull!L13*K$4/SCCRedFacsFull!K$4</f>
        <v>0.15</v>
      </c>
      <c r="M13" s="5">
        <f ca="1">'BACM-R8'!P157*($B$2-$M$3+1)*$M$4/SCCRedFacsFull!$M$4</f>
        <v>0.38626609442060084</v>
      </c>
      <c r="N13" s="5">
        <f ca="1">'BACM-R8'!O157*($B$2-$M$3+1)*$M$4/SCCRedFacsFull!$M$4</f>
        <v>0.38626609442060084</v>
      </c>
      <c r="O13" s="5">
        <f ca="1">SCCRedFacsFull!O13*O$4/SCCRedFacsFull!O$4</f>
        <v>0</v>
      </c>
      <c r="P13" s="5">
        <f ca="1">SCCRedFacsFull!P13*O$4/SCCRedFacsFull!O$4</f>
        <v>0</v>
      </c>
      <c r="Q13" s="5">
        <f ca="1">IFERROR(OFFSET('STF-22'!$E$173,MATCH($B13,'STF-22'!$A$174:$A$191,0),MATCH($B$2,'STF-22'!$F$172:$AD$172,0))*Q$4/SCCRedFacsFull!Q$4,0)</f>
        <v>3.2485238709565468E-2</v>
      </c>
      <c r="R13" s="5">
        <f ca="1">IFERROR(OFFSET('STF-22'!$E$173,MATCH($B13,'STF-22'!$A$174:$A$191,0),MATCH($B$2,'STF-22'!$F$172:$AD$172,0)-1)*R$4/SCCRedFacsFull!R$4,0)</f>
        <v>3.1871591528964738E-2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0.68312929496987285</v>
      </c>
      <c r="Z13" s="510">
        <f t="shared" ca="1" si="0"/>
        <v>0.51755437828141138</v>
      </c>
      <c r="AA13" s="617">
        <f t="shared" ca="1" si="5"/>
        <v>0.43060397420010033</v>
      </c>
      <c r="AB13" s="617">
        <f t="shared" ca="1" si="6"/>
        <v>0.43060397420010033</v>
      </c>
      <c r="AC13" s="617">
        <f t="shared" ca="1" si="7"/>
        <v>-2.2504286485608085</v>
      </c>
      <c r="AD13" s="617">
        <f t="shared" ca="1" si="8"/>
        <v>-2.2504286485608085</v>
      </c>
      <c r="AE13" s="510">
        <f t="shared" ca="1" si="1"/>
        <v>0.81957507986343336</v>
      </c>
      <c r="AF13" s="510">
        <f t="shared" ca="1" si="1"/>
        <v>0.81957507986343336</v>
      </c>
      <c r="AG13" s="510">
        <f t="shared" ca="1" si="2"/>
        <v>-0.56815507020683098</v>
      </c>
      <c r="AH13" s="510">
        <f t="shared" ca="1" si="2"/>
        <v>-0.56815507020683098</v>
      </c>
      <c r="AI13" s="530">
        <f t="shared" ca="1" si="3"/>
        <v>0.78448902089080352</v>
      </c>
      <c r="AJ13" s="530">
        <f t="shared" ca="1" si="4"/>
        <v>-0.28897264059556865</v>
      </c>
    </row>
    <row r="14" spans="1:36" x14ac:dyDescent="0.25">
      <c r="A14" s="812" t="s">
        <v>142</v>
      </c>
      <c r="B14" s="812">
        <v>2104008320</v>
      </c>
      <c r="C14" s="5">
        <f ca="1">INDIRECT("'DevSumOut-"&amp;$B$2&amp;"BSR'!R55")</f>
        <v>0.58964482219134895</v>
      </c>
      <c r="D14" s="5">
        <f ca="1">INDIRECT("'DevSumOut-"&amp;$B$2&amp;"BSR'!P55")</f>
        <v>2.9760782462489317E-2</v>
      </c>
      <c r="E14" s="5">
        <f ca="1">OFFSET('WSCOReductions-5PctSIP'!$U$81,0,MATCH($B$2,'WSCOReductions-5PctSIP'!$X$78:$AQ$78,1)+2)</f>
        <v>0.34388051425260369</v>
      </c>
      <c r="F14" s="5">
        <f ca="1">OFFSET('WSCOReductions-5PctSIP'!$U$84,0,MATCH($B$2,'WSCOReductions-5PctSIP'!$X$78:$AQ$78,1)+2)</f>
        <v>1.6706233734232047E-3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-1.3341116328736505E-2</v>
      </c>
      <c r="L14" s="5">
        <f ca="1">SCCRedFacsFull!L14*K$4/SCCRedFacsFull!K$4</f>
        <v>-1.2813402419407559E-2</v>
      </c>
      <c r="M14" s="5">
        <f ca="1">'BACM-R8'!P158*($B$2-$M$3+1)*$M$4/SCCRedFacsFull!$M$4</f>
        <v>8.6352276605738895E-2</v>
      </c>
      <c r="N14" s="5">
        <f ca="1">'BACM-R8'!O158*($B$2-$M$3+1)*$M$4/SCCRedFacsFull!$M$4</f>
        <v>-2.4220986948624713E-2</v>
      </c>
      <c r="O14" s="5">
        <f ca="1">SCCRedFacsFull!O14*O$4/SCCRedFacsFull!O$4</f>
        <v>0</v>
      </c>
      <c r="P14" s="5">
        <f ca="1">SCCRedFacsFull!P14*O$4/SCCRedFacsFull!O$4</f>
        <v>0</v>
      </c>
      <c r="Q14" s="5">
        <f ca="1">IFERROR(OFFSET('STF-22'!$E$173,MATCH($B14,'STF-22'!$A$174:$A$191,0),MATCH($B$2,'STF-22'!$F$172:$AD$172,0))*Q$4/SCCRedFacsFull!Q$4,0)</f>
        <v>0.20004723913453781</v>
      </c>
      <c r="R14" s="5">
        <f ca="1">IFERROR(OFFSET('STF-22'!$E$173,MATCH($B14,'STF-22'!$A$174:$A$191,0),MATCH($B$2,'STF-22'!$F$172:$AD$172,0)-1)*R$4/SCCRedFacsFull!R$4,0)</f>
        <v>0.19213427982791975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0.5350307518052384</v>
      </c>
      <c r="Z14" s="510">
        <f t="shared" ca="1" si="0"/>
        <v>0.19946807950801437</v>
      </c>
      <c r="AA14" s="617">
        <f t="shared" ca="1" si="5"/>
        <v>0.29354300452577731</v>
      </c>
      <c r="AB14" s="617">
        <f t="shared" ca="1" si="6"/>
        <v>0.42930664411894914</v>
      </c>
      <c r="AC14" s="617">
        <f t="shared" ca="1" si="7"/>
        <v>-2.0142722140188041</v>
      </c>
      <c r="AD14" s="617">
        <f t="shared" ca="1" si="8"/>
        <v>-2.9458731130024995</v>
      </c>
      <c r="AE14" s="510">
        <f t="shared" ca="1" si="1"/>
        <v>0.67151922193242064</v>
      </c>
      <c r="AF14" s="510">
        <f t="shared" ca="1" si="1"/>
        <v>0.73464513936624232</v>
      </c>
      <c r="AG14" s="510">
        <f t="shared" ca="1" si="2"/>
        <v>-1.4130211243741027</v>
      </c>
      <c r="AH14" s="510">
        <f t="shared" ca="1" si="2"/>
        <v>-2.1587973811695806</v>
      </c>
      <c r="AI14" s="530">
        <f t="shared" ca="1" si="3"/>
        <v>0.66888694429425344</v>
      </c>
      <c r="AJ14" s="530">
        <f t="shared" ca="1" si="4"/>
        <v>-1.3819231182992329</v>
      </c>
    </row>
    <row r="15" spans="1:36" x14ac:dyDescent="0.25">
      <c r="A15" s="812" t="s">
        <v>143</v>
      </c>
      <c r="B15" s="812">
        <v>2104008330</v>
      </c>
      <c r="C15" s="5">
        <f ca="1">INDIRECT("'DevSumOut-"&amp;$B$2&amp;"BSR'!R56")</f>
        <v>0.39391449043518229</v>
      </c>
      <c r="D15" s="5">
        <f ca="1">INDIRECT("'DevSumOut-"&amp;$B$2&amp;"BSR'!P56")</f>
        <v>1.7918170067570769E-2</v>
      </c>
      <c r="E15" s="5">
        <f ca="1">OFFSET('WSCOReductions-5PctSIP'!$U$81,0,MATCH($B$2,'WSCOReductions-5PctSIP'!$X$78:$AQ$78,1)+2)</f>
        <v>0.34388051425260369</v>
      </c>
      <c r="F15" s="5">
        <f ca="1">OFFSET('WSCOReductions-5PctSIP'!$U$84,0,MATCH($B$2,'WSCOReductions-5PctSIP'!$X$78:$AQ$78,1)+2)</f>
        <v>1.6706233734232047E-3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-1.3341116328736516E-2</v>
      </c>
      <c r="L15" s="5">
        <f ca="1">SCCRedFacsFull!L15*K$4/SCCRedFacsFull!K$4</f>
        <v>-1.4217610903726207E-2</v>
      </c>
      <c r="M15" s="5">
        <f ca="1">'BACM-R8'!P159*($B$2-$M$3+1)*$M$4/SCCRedFacsFull!$M$4</f>
        <v>8.6352276605738854E-2</v>
      </c>
      <c r="N15" s="5">
        <f ca="1">'BACM-R8'!O159*($B$2-$M$3+1)*$M$4/SCCRedFacsFull!$M$4</f>
        <v>-2.6875341682720578E-2</v>
      </c>
      <c r="O15" s="5">
        <f ca="1">SCCRedFacsFull!O15*O$4/SCCRedFacsFull!O$4</f>
        <v>0</v>
      </c>
      <c r="P15" s="5">
        <f ca="1">SCCRedFacsFull!P15*O$4/SCCRedFacsFull!O$4</f>
        <v>0</v>
      </c>
      <c r="Q15" s="5">
        <f ca="1">IFERROR(OFFSET('STF-22'!$E$173,MATCH($B15,'STF-22'!$A$174:$A$191,0),MATCH($B$2,'STF-22'!$F$172:$AD$172,0))*Q$4/SCCRedFacsFull!Q$4,0)</f>
        <v>0.20004723913453779</v>
      </c>
      <c r="R15" s="5">
        <f ca="1">IFERROR(OFFSET('STF-22'!$E$173,MATCH($B15,'STF-22'!$A$174:$A$191,0),MATCH($B$2,'STF-22'!$F$172:$AD$172,0)-1)*R$4/SCCRedFacsFull!R$4,0)</f>
        <v>0.21319009131591105</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0.5350307518052384</v>
      </c>
      <c r="Z15" s="510">
        <f t="shared" ca="1" si="0"/>
        <v>0.21722840734047766</v>
      </c>
      <c r="AA15" s="617">
        <f t="shared" ca="1" si="5"/>
        <v>0.29362726123173721</v>
      </c>
      <c r="AB15" s="617">
        <f t="shared" ca="1" si="6"/>
        <v>0.4294298695514156</v>
      </c>
      <c r="AC15" s="617">
        <f t="shared" ca="1" si="7"/>
        <v>-2.1501343804542987</v>
      </c>
      <c r="AD15" s="617">
        <f t="shared" ca="1" si="8"/>
        <v>-3.1445715314144103</v>
      </c>
      <c r="AE15" s="510">
        <f t="shared" ca="1" si="1"/>
        <v>0.67155839870964606</v>
      </c>
      <c r="AF15" s="510">
        <f t="shared" ca="1" si="1"/>
        <v>0.73470243540293467</v>
      </c>
      <c r="AG15" s="510">
        <f t="shared" ca="1" si="2"/>
        <v>-1.4658357060797291</v>
      </c>
      <c r="AH15" s="510">
        <f t="shared" ca="1" si="2"/>
        <v>-2.2442528585365733</v>
      </c>
      <c r="AI15" s="530">
        <f t="shared" ca="1" si="3"/>
        <v>0.66892536551934678</v>
      </c>
      <c r="AJ15" s="530">
        <f t="shared" ca="1" si="4"/>
        <v>-1.4333766124637672</v>
      </c>
    </row>
    <row r="16" spans="1:36" x14ac:dyDescent="0.25">
      <c r="A16" s="812" t="s">
        <v>144</v>
      </c>
      <c r="B16" s="812">
        <v>2104008410</v>
      </c>
      <c r="C16" s="5">
        <f ca="1">INDIRECT("'DevSumOut-"&amp;$B$2&amp;"BSR'!R57")</f>
        <v>1.4534930114287962E-2</v>
      </c>
      <c r="D16" s="5">
        <f ca="1">INDIRECT("'DevSumOut-"&amp;$B$2&amp;"BSR'!P57")</f>
        <v>1.5713437961392396E-3</v>
      </c>
      <c r="E16" s="5">
        <f ca="1">OFFSET('WSCOReductions-5PctSIP'!$U$81,0,MATCH($B$2,'WSCOReductions-5PctSIP'!$X$78:$AQ$78,1)+2)</f>
        <v>0.34388051425260369</v>
      </c>
      <c r="F16" s="5">
        <f ca="1">OFFSET('WSCOReductions-5PctSIP'!$U$84,0,MATCH($B$2,'WSCOReductions-5PctSIP'!$X$78:$AQ$78,1)+2)</f>
        <v>1.6706233734232047E-3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0.17087655629940962</v>
      </c>
      <c r="R16" s="5">
        <f ca="1">IFERROR(OFFSET('STF-22'!$E$173,MATCH($B16,'STF-22'!$A$174:$A$191,0),MATCH($B$2,'STF-22'!$F$172:$AD$172,0)-1)*R$4/SCCRedFacsFull!R$4,0)</f>
        <v>0.17087655629940965</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0.4794713437463296</v>
      </c>
      <c r="Z16" s="510">
        <f t="shared" ca="1" si="0"/>
        <v>0.20798107630953167</v>
      </c>
      <c r="AA16" s="617">
        <f t="shared" ca="1" si="5"/>
        <v>0.42632653486271976</v>
      </c>
      <c r="AB16" s="617">
        <f t="shared" ca="1" si="6"/>
        <v>0.42632653486271976</v>
      </c>
      <c r="AC16" s="617">
        <f t="shared" ca="1" si="7"/>
        <v>-2.8899536545811819</v>
      </c>
      <c r="AD16" s="617">
        <f t="shared" ca="1" si="8"/>
        <v>-2.8899536545811819</v>
      </c>
      <c r="AE16" s="510">
        <f t="shared" ca="1" si="1"/>
        <v>0.70138652206370466</v>
      </c>
      <c r="AF16" s="510">
        <f t="shared" ca="1" si="1"/>
        <v>0.70138652206370466</v>
      </c>
      <c r="AG16" s="510">
        <f t="shared" ca="1" si="2"/>
        <v>-2.0809169067071918</v>
      </c>
      <c r="AH16" s="510">
        <f t="shared" ca="1" si="2"/>
        <v>-2.0809169067071918</v>
      </c>
      <c r="AI16" s="530">
        <f t="shared" ca="1" si="3"/>
        <v>0.64432261906780819</v>
      </c>
      <c r="AJ16" s="530">
        <f t="shared" ca="1" si="4"/>
        <v>-1.4923431396457485</v>
      </c>
    </row>
    <row r="17" spans="1:40" x14ac:dyDescent="0.25">
      <c r="A17" s="812" t="s">
        <v>145</v>
      </c>
      <c r="B17" s="812">
        <v>2104008420</v>
      </c>
      <c r="C17" s="5">
        <f ca="1">INDIRECT("'DevSumOut-"&amp;$B$2&amp;"BSR'!R58")</f>
        <v>4.9026771000722072E-2</v>
      </c>
      <c r="D17" s="5">
        <f ca="1">INDIRECT("'DevSumOut-"&amp;$B$2&amp;"BSR'!P58")</f>
        <v>5.3001914595375227E-3</v>
      </c>
      <c r="E17" s="5">
        <f ca="1">OFFSET('WSCOReductions-5PctSIP'!$U$81,0,MATCH($B$2,'WSCOReductions-5PctSIP'!$X$78:$AQ$78,1)+2)</f>
        <v>0.34388051425260369</v>
      </c>
      <c r="F17" s="5">
        <f ca="1">OFFSET('WSCOReductions-5PctSIP'!$U$84,0,MATCH($B$2,'WSCOReductions-5PctSIP'!$X$78:$AQ$78,1)+2)</f>
        <v>1.6706233734232047E-3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0.2367443436555195</v>
      </c>
      <c r="R17" s="5">
        <f ca="1">IFERROR(OFFSET('STF-22'!$E$173,MATCH($B17,'STF-22'!$A$174:$A$191,0),MATCH($B$2,'STF-22'!$F$172:$AD$172,0)-1)*R$4/SCCRedFacsFull!R$4,0)</f>
        <v>0.2367443436555195</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0.52082353454900532</v>
      </c>
      <c r="Z17" s="510">
        <f t="shared" ca="1" si="0"/>
        <v>0.27090118120346296</v>
      </c>
      <c r="AA17" s="617">
        <f t="shared" ca="1" si="5"/>
        <v>0.42409767355878825</v>
      </c>
      <c r="AB17" s="617">
        <f t="shared" ca="1" si="6"/>
        <v>0.42409767355878825</v>
      </c>
      <c r="AC17" s="617">
        <f t="shared" ca="1" si="7"/>
        <v>-4.1950068760237897</v>
      </c>
      <c r="AD17" s="617">
        <f t="shared" ca="1" si="8"/>
        <v>-4.1950068760237897</v>
      </c>
      <c r="AE17" s="510">
        <f t="shared" ca="1" si="1"/>
        <v>0.72404115877089525</v>
      </c>
      <c r="AF17" s="510">
        <f t="shared" ca="1" si="1"/>
        <v>0.72404115877089525</v>
      </c>
      <c r="AG17" s="510">
        <f t="shared" ca="1" si="2"/>
        <v>-2.7876733769488329</v>
      </c>
      <c r="AH17" s="510">
        <f t="shared" ca="1" si="2"/>
        <v>-2.7876733769488329</v>
      </c>
      <c r="AI17" s="530">
        <f t="shared" ca="1" si="3"/>
        <v>0.67178519825669492</v>
      </c>
      <c r="AJ17" s="530">
        <f t="shared" ca="1" si="4"/>
        <v>-2.0011827762810999</v>
      </c>
    </row>
    <row r="18" spans="1:40" x14ac:dyDescent="0.25">
      <c r="A18" s="812" t="s">
        <v>146</v>
      </c>
      <c r="B18" s="812">
        <v>2104008610</v>
      </c>
      <c r="C18" s="5">
        <f ca="1">INDIRECT("'DevSumOut-"&amp;$B$2&amp;"BSR'!R59")</f>
        <v>0.24358372503811659</v>
      </c>
      <c r="D18" s="5">
        <f ca="1">INDIRECT("'DevSumOut-"&amp;$B$2&amp;"BSR'!P59")</f>
        <v>9.8715287497472982E-3</v>
      </c>
      <c r="E18" s="5">
        <f ca="1">OFFSET('WSCOReductions-5PctSIP'!$U$81,0,MATCH($B$2,'WSCOReductions-5PctSIP'!$X$78:$AQ$78,1)+2)</f>
        <v>0.34388051425260369</v>
      </c>
      <c r="F18" s="5">
        <f ca="1">OFFSET('WSCOReductions-5PctSIP'!$U$84,0,MATCH($B$2,'WSCOReductions-5PctSIP'!$X$78:$AQ$78,1)+2)</f>
        <v>1.6706233734232047E-3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0.15000000000000002</v>
      </c>
      <c r="L18" s="5">
        <f ca="1">SCCRedFacsFull!L18*K$4/SCCRedFacsFull!K$4</f>
        <v>0.15</v>
      </c>
      <c r="M18" s="5">
        <f ca="1">'BACM-R8'!P162*($B$2-$M$3+1)*$M$4/SCCRedFacsFull!$M$4</f>
        <v>0.33138489091075429</v>
      </c>
      <c r="N18" s="5">
        <f ca="1">'BACM-R8'!O162*($B$2-$M$3+1)*$M$4/SCCRedFacsFull!$M$4</f>
        <v>0.13301369619403164</v>
      </c>
      <c r="O18" s="5">
        <f ca="1">SCCRedFacsFull!O18*O$4/SCCRedFacsFull!O$4</f>
        <v>0</v>
      </c>
      <c r="P18" s="5">
        <f ca="1">SCCRedFacsFull!P18*O$4/SCCRedFacsFull!O$4</f>
        <v>0</v>
      </c>
      <c r="Q18" s="5">
        <f ca="1">IFERROR(OFFSET('STF-22'!$E$173,MATCH($B18,'STF-22'!$A$174:$A$191,0),MATCH($B$2,'STF-22'!$F$172:$AD$172,0))*Q$4/SCCRedFacsFull!Q$4,0)</f>
        <v>0.1559446068868631</v>
      </c>
      <c r="R18" s="5">
        <f ca="1">IFERROR(OFFSET('STF-22'!$E$173,MATCH($B18,'STF-22'!$A$174:$A$191,0),MATCH($B$2,'STF-22'!$F$172:$AD$172,0)-1)*R$4/SCCRedFacsFull!R$4,0)</f>
        <v>0.1559446068868631</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0.69884400737771202</v>
      </c>
      <c r="Z18" s="510">
        <f t="shared" ca="1" si="0"/>
        <v>0.40581939063571804</v>
      </c>
      <c r="AA18" s="617">
        <f t="shared" ca="1" si="5"/>
        <v>0.39764785901825461</v>
      </c>
      <c r="AB18" s="617">
        <f t="shared" ca="1" si="6"/>
        <v>0.43063247405202676</v>
      </c>
      <c r="AC18" s="617">
        <f t="shared" ca="1" si="7"/>
        <v>-1.5734882363846254</v>
      </c>
      <c r="AD18" s="617">
        <f t="shared" ca="1" si="8"/>
        <v>-1.7040079979280507</v>
      </c>
      <c r="AE18" s="510">
        <f t="shared" ca="1" si="1"/>
        <v>0.81859804307448214</v>
      </c>
      <c r="AF18" s="510">
        <f t="shared" ca="1" si="1"/>
        <v>0.82853155755624175</v>
      </c>
      <c r="AG18" s="510">
        <f t="shared" ca="1" si="2"/>
        <v>-0.52911680848682807</v>
      </c>
      <c r="AH18" s="510">
        <f t="shared" ca="1" si="2"/>
        <v>-0.60666911993478134</v>
      </c>
      <c r="AI18" s="530">
        <f t="shared" ca="1" si="3"/>
        <v>0.79291281277164616</v>
      </c>
      <c r="AJ18" s="530">
        <f t="shared" ca="1" si="4"/>
        <v>-0.3285886888856922</v>
      </c>
    </row>
    <row r="19" spans="1:40" x14ac:dyDescent="0.25">
      <c r="A19" s="812" t="s">
        <v>147</v>
      </c>
      <c r="B19" s="812">
        <v>2104004000</v>
      </c>
      <c r="C19" s="5">
        <f ca="1">INDIRECT("'DevSumOut-"&amp;$B$2&amp;"BSR'!R60")+INDIRECT("'DevSumOut-"&amp;$B$2&amp;"BSR'!R62")+INDIRECT("'DevSumOut-"&amp;$B$2&amp;"BSR'!R63")</f>
        <v>5.4441610832799622E-2</v>
      </c>
      <c r="D19" s="5">
        <f ca="1">INDIRECT("'DevSumOut-"&amp;$B$2&amp;"BSR'!P60")+INDIRECT("'DevSumOut-"&amp;$B$2&amp;"BSR'!P62")+INDIRECT("'DevSumOut-"&amp;$B$2&amp;"BSR'!P63")</f>
        <v>3.4489880126359695</v>
      </c>
      <c r="E19" s="5">
        <f ca="1">OFFSET('WSCOReductions-5PctSIP'!$U$81,0,MATCH($B$2,'WSCOReductions-5PctSIP'!$X$78:$AQ$78,1)+2)</f>
        <v>0.34388051425260369</v>
      </c>
      <c r="F19" s="5">
        <f ca="1">OFFSET('WSCOReductions-5PctSIP'!$U$84,0,MATCH($B$2,'WSCOReductions-5PctSIP'!$X$78:$AQ$78,1)+2)</f>
        <v>1.6706233734232047E-3</v>
      </c>
      <c r="G19" s="5">
        <f ca="1">SCCRedFacsFull!G19*G$4/SCCRedFacsFull!G$4</f>
        <v>0.48994184890764292</v>
      </c>
      <c r="H19" s="5">
        <f ca="1">SCCRedFacsFull!H19*G$4/SCCRedFacsFull!G$4</f>
        <v>0.56292492785396708</v>
      </c>
      <c r="I19" s="5"/>
      <c r="J19" s="5"/>
      <c r="K19" s="5">
        <f ca="1">SCCRedFacsFull!K19*K$4/SCCRedFacsFull!K$4</f>
        <v>-5.4853073176024661E-3</v>
      </c>
      <c r="L19" s="5">
        <f ca="1">SCCRedFacsFull!L19*K$4/SCCRedFacsFull!K$4</f>
        <v>-5.4898216608603202E-3</v>
      </c>
      <c r="M19" s="5">
        <f ca="1">'BACM-R8'!P163*($B$2-$M$3+1)*$M$4/SCCRedFacsFull!$M$4</f>
        <v>0</v>
      </c>
      <c r="N19" s="5">
        <f ca="1">'BACM-R8'!O163*($B$2-$M$3+1)*$M$4/SCCRedFacsFull!$M$4</f>
        <v>0</v>
      </c>
      <c r="O19" s="5">
        <f ca="1">SCCRedFacsFull!O19*O$4/SCCRedFacsFull!O$4</f>
        <v>-1.5351309712566328E-3</v>
      </c>
      <c r="P19" s="5">
        <f ca="1">SCCRedFacsFull!P19*O$4/SCCRedFacsFull!O$4</f>
        <v>-1.5363943659488233E-3</v>
      </c>
      <c r="Q19" s="5">
        <f ca="1">IFERROR(OFFSET('STF-22'!$E$173,MATCH($B19,'STF-22'!$A$174:$A$191,0),MATCH($B$2,'STF-22'!$F$172:$AD$172,0))*Q$4/SCCRedFacsFull!Q$4,0)</f>
        <v>-8.57535395508424E-3</v>
      </c>
      <c r="R19" s="5">
        <f ca="1">IFERROR(OFFSET('STF-22'!$E$173,MATCH($B19,'STF-22'!$A$174:$A$191,0),MATCH($B$2,'STF-22'!$F$172:$AD$172,0)-1)*R$4/SCCRedFacsFull!R$4,0)</f>
        <v>-8.582411370297199E-3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0.66009864492249326</v>
      </c>
      <c r="Z19" s="510">
        <f t="shared" ca="1" si="0"/>
        <v>0.55681434660340323</v>
      </c>
      <c r="AA19" s="617">
        <f t="shared" ca="1" si="5"/>
        <v>0</v>
      </c>
      <c r="AB19" s="617">
        <f t="shared" ca="1" si="6"/>
        <v>0</v>
      </c>
      <c r="AC19" s="617">
        <f t="shared" ca="1" si="7"/>
        <v>0</v>
      </c>
      <c r="AD19" s="617">
        <f t="shared" ca="1" si="8"/>
        <v>0</v>
      </c>
      <c r="AE19" s="510">
        <f t="shared" ca="1" si="1"/>
        <v>0.66009864492249326</v>
      </c>
      <c r="AF19" s="510">
        <f t="shared" ca="1" si="1"/>
        <v>0.66009864492249326</v>
      </c>
      <c r="AG19" s="510">
        <f t="shared" ca="1" si="2"/>
        <v>0.55681434660340323</v>
      </c>
      <c r="AH19" s="510">
        <f t="shared" ca="1" si="2"/>
        <v>0.55681434660340323</v>
      </c>
      <c r="AI19" s="530">
        <f t="shared" ca="1" si="3"/>
        <v>0.66009864492249337</v>
      </c>
      <c r="AJ19" s="530">
        <f t="shared" ca="1" si="4"/>
        <v>0.55681434660340323</v>
      </c>
    </row>
    <row r="20" spans="1:40" x14ac:dyDescent="0.25">
      <c r="A20" s="812" t="s">
        <v>148</v>
      </c>
      <c r="B20" s="812">
        <v>2103004001</v>
      </c>
      <c r="C20" s="5">
        <f ca="1">INDIRECT("'DevSumOut-"&amp;$B$2&amp;"BSR'!R61")</f>
        <v>1.7556769738486938E-2</v>
      </c>
      <c r="D20" s="5">
        <f ca="1">INDIRECT("'DevSumOut-"&amp;$B$2&amp;"BSR'!P61")</f>
        <v>0.48922407287064373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2" t="s">
        <v>149</v>
      </c>
      <c r="B21" s="812">
        <v>2104006010</v>
      </c>
      <c r="C21" s="5">
        <f ca="1">INDIRECT("'DevSumOut-"&amp;$B$2&amp;"BSR'!R64")</f>
        <v>5.8529310125197163E-6</v>
      </c>
      <c r="D21" s="5">
        <f ca="1">INDIRECT("'DevSumOut-"&amp;$B$2&amp;"BSR'!P64")</f>
        <v>7.0898784775737624E-5</v>
      </c>
      <c r="E21" s="5">
        <f ca="1">OFFSET('WSCOReductions-5PctSIP'!$U$81,0,MATCH($B$2,'WSCOReductions-5PctSIP'!$X$78:$AQ$78,1)+2)</f>
        <v>0.34388051425260369</v>
      </c>
      <c r="F21" s="5">
        <f ca="1">OFFSET('WSCOReductions-5PctSIP'!$U$84,0,MATCH($B$2,'WSCOReductions-5PctSIP'!$X$78:$AQ$78,1)+2)</f>
        <v>1.6706233734232047E-3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0.34388051425260369</v>
      </c>
      <c r="Z21" s="510">
        <f t="shared" ca="1" si="0"/>
        <v>1.6706233734231635E-3</v>
      </c>
      <c r="AA21" s="617">
        <f t="shared" ca="1" si="5"/>
        <v>0</v>
      </c>
      <c r="AB21" s="617">
        <f t="shared" ca="1" si="6"/>
        <v>0</v>
      </c>
      <c r="AC21" s="617">
        <f t="shared" ca="1" si="7"/>
        <v>0</v>
      </c>
      <c r="AD21" s="617">
        <f t="shared" ca="1" si="8"/>
        <v>0</v>
      </c>
      <c r="AE21" s="510">
        <f t="shared" ca="1" si="1"/>
        <v>0.34388051425260369</v>
      </c>
      <c r="AF21" s="510">
        <f t="shared" ca="1" si="1"/>
        <v>0.34388051425260369</v>
      </c>
      <c r="AG21" s="510">
        <f t="shared" ca="1" si="2"/>
        <v>1.6706233734231635E-3</v>
      </c>
      <c r="AH21" s="510">
        <f t="shared" ca="1" si="2"/>
        <v>1.6706233734231635E-3</v>
      </c>
      <c r="AI21" s="530">
        <f t="shared" ca="1" si="3"/>
        <v>0.34388051425260369</v>
      </c>
      <c r="AJ21" s="530">
        <f t="shared" ca="1" si="4"/>
        <v>1.6706233734231635E-3</v>
      </c>
    </row>
    <row r="22" spans="1:40" x14ac:dyDescent="0.25">
      <c r="A22" s="812" t="s">
        <v>150</v>
      </c>
      <c r="B22" s="812">
        <v>2103006000</v>
      </c>
      <c r="C22" s="5">
        <f ca="1">INDIRECT("'DevSumOut-"&amp;$B$2&amp;"BSR'!R65")</f>
        <v>1.0079518569867288E-2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2" t="s">
        <v>151</v>
      </c>
      <c r="B23" s="812">
        <v>2104002000</v>
      </c>
      <c r="C23" s="5">
        <f ca="1">INDIRECT("'DevSumOut-"&amp;$B$2&amp;"BSR'!R66")</f>
        <v>9.4492920407754755E-2</v>
      </c>
      <c r="D23" s="5">
        <f ca="1">INDIRECT("'DevSumOut-"&amp;$B$2&amp;"BSR'!P66")</f>
        <v>0.10998550185132909</v>
      </c>
      <c r="E23" s="5">
        <f ca="1">OFFSET('WSCOReductions-5PctSIP'!$U$81,0,MATCH($B$2,'WSCOReductions-5PctSIP'!$X$78:$AQ$78,1)+2)</f>
        <v>0.34388051425260369</v>
      </c>
      <c r="F23" s="5">
        <f ca="1">OFFSET('WSCOReductions-5PctSIP'!$U$84,0,MATCH($B$2,'WSCOReductions-5PctSIP'!$X$78:$AQ$78,1)+2)</f>
        <v>1.6706233734232047E-3</v>
      </c>
      <c r="G23" s="5">
        <f ca="1">SCCRedFacsFull!G23*G$4/SCCRedFacsFull!G$4</f>
        <v>0</v>
      </c>
      <c r="H23" s="5">
        <f ca="1">SCCRedFacsFull!H23*G$4/SCCRedFacsFull!G$4</f>
        <v>0</v>
      </c>
      <c r="I23" s="5"/>
      <c r="J23" s="5"/>
      <c r="K23" s="5">
        <f ca="1">SCCRedFacsFull!K23*K$4/SCCRedFacsFull!K$4</f>
        <v>0.15</v>
      </c>
      <c r="L23" s="5">
        <f ca="1">SCCRedFacsFull!L23*K$4/SCCRedFacsFull!K$4</f>
        <v>0.15</v>
      </c>
      <c r="M23" s="5">
        <f ca="1">'BACM-R8'!P167*($B$2-$M$3+1)*$M$4/SCCRedFacsFull!$M$4</f>
        <v>0</v>
      </c>
      <c r="N23" s="5">
        <f ca="1">'BACM-R8'!O167*($B$2-$M$3+1)*$M$4/SCCRedFacsFull!$M$4</f>
        <v>0</v>
      </c>
      <c r="O23" s="5">
        <f ca="1">SCCRedFacsFull!O23*O$4/SCCRedFacsFull!O$4</f>
        <v>0.25</v>
      </c>
      <c r="P23" s="5">
        <f ca="1">SCCRedFacsFull!P23*O$4/SCCRedFacsFull!O$4</f>
        <v>0.25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0.58172382783603482</v>
      </c>
      <c r="Z23" s="510">
        <f t="shared" ca="1" si="0"/>
        <v>0.36356502240055721</v>
      </c>
      <c r="AA23" s="617">
        <f t="shared" ca="1" si="5"/>
        <v>0.44845389532858415</v>
      </c>
      <c r="AB23" s="617">
        <f t="shared" ca="1" si="6"/>
        <v>0.44845389532858415</v>
      </c>
      <c r="AC23" s="617">
        <f t="shared" ca="1" si="7"/>
        <v>0.36928069720055601</v>
      </c>
      <c r="AD23" s="617">
        <f t="shared" ca="1" si="8"/>
        <v>0.36928069720055601</v>
      </c>
      <c r="AE23" s="510">
        <f t="shared" ca="1" si="1"/>
        <v>0.76930140656609447</v>
      </c>
      <c r="AF23" s="510">
        <f t="shared" ca="1" si="1"/>
        <v>0.76930140656609447</v>
      </c>
      <c r="AG23" s="510">
        <f t="shared" ca="1" si="2"/>
        <v>0.59858817465129976</v>
      </c>
      <c r="AH23" s="510">
        <f t="shared" ca="1" si="2"/>
        <v>0.59858817465129976</v>
      </c>
      <c r="AI23" s="530">
        <f t="shared" ca="1" si="3"/>
        <v>0.72106717203550774</v>
      </c>
      <c r="AJ23" s="530">
        <f t="shared" ca="1" si="4"/>
        <v>0.53815364978682312</v>
      </c>
    </row>
    <row r="24" spans="1:40" x14ac:dyDescent="0.25">
      <c r="A24" s="812" t="s">
        <v>152</v>
      </c>
      <c r="B24" s="812">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2" t="s">
        <v>153</v>
      </c>
      <c r="B25" s="812">
        <v>2103008000</v>
      </c>
      <c r="C25" s="5">
        <f ca="1">INDIRECT("'DevSumOut-"&amp;$B$2&amp;"BSR'!R68")</f>
        <v>2.5766689106639573E-4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2.707960014814863</v>
      </c>
      <c r="D27" s="450">
        <f ca="1">INDIRECT("'DevSumOut-"&amp;$B$2&amp;"BSR'!P70")</f>
        <v>4.1556763727866413</v>
      </c>
      <c r="E27" s="450">
        <f ca="1">$C27-E28</f>
        <v>1.7872414314052509</v>
      </c>
      <c r="F27" s="450">
        <f ca="1">$D27-F28</f>
        <v>4.1495810355298515</v>
      </c>
      <c r="G27" s="450">
        <f ca="1">$C27-G28</f>
        <v>2.6992712632884808</v>
      </c>
      <c r="H27" s="450">
        <f ca="1">$D27-H28</f>
        <v>2.2278306044736</v>
      </c>
      <c r="I27" s="450">
        <f ca="1">$C27-I28</f>
        <v>2.5739493343501882</v>
      </c>
      <c r="J27" s="450">
        <f ca="1">$D27-J28</f>
        <v>4.1509330614513962</v>
      </c>
      <c r="K27" s="450">
        <f ca="1">$C27-K28</f>
        <v>2.4966422584482744</v>
      </c>
      <c r="L27" s="450">
        <f ca="1">$D27-L28</f>
        <v>4.1538833961587658</v>
      </c>
      <c r="M27" s="450">
        <f ca="1">$C27-M28</f>
        <v>2.1791667228661917</v>
      </c>
      <c r="N27" s="450">
        <f ca="1">$D27-N28</f>
        <v>4.1477970747235142</v>
      </c>
      <c r="O27" s="450">
        <f ca="1">$C27-O28</f>
        <v>2.6844203597158387</v>
      </c>
      <c r="P27" s="450">
        <f ca="1">$D27-P28</f>
        <v>4.1334790030746476</v>
      </c>
      <c r="Q27" s="450">
        <f ca="1">$C27-Q28</f>
        <v>2.2291667322762616</v>
      </c>
      <c r="R27" s="450">
        <f ca="1">$D27-R28</f>
        <v>4.1681984609190996</v>
      </c>
      <c r="S27" s="450">
        <f ca="1">$C27-S28</f>
        <v>2.7075648643802461</v>
      </c>
      <c r="T27" s="450">
        <f ca="1">$D27-T28</f>
        <v>4.1556763727866413</v>
      </c>
      <c r="U27" s="786">
        <f ca="1">$C27-U28</f>
        <v>2.707960014814863</v>
      </c>
      <c r="V27" s="786">
        <f ca="1">$D27-V28</f>
        <v>4.1556763727866413</v>
      </c>
      <c r="W27" s="450">
        <f ca="1">$C27-W28</f>
        <v>2.707960014814863</v>
      </c>
      <c r="X27" s="450">
        <f ca="1">$D27-X28</f>
        <v>4.1556763727866413</v>
      </c>
      <c r="Y27" s="450">
        <f ca="1">$C27-Y28</f>
        <v>1.0144279418493398</v>
      </c>
      <c r="Z27" s="450">
        <f ca="1">$D27-Z28</f>
        <v>2.1783274223831492</v>
      </c>
      <c r="AA27" s="450">
        <f ca="1">$C27-AA28</f>
        <v>2.0238387215652285</v>
      </c>
      <c r="AB27" s="450">
        <f ca="1">$C27-AB28</f>
        <v>1.5774657566387269</v>
      </c>
      <c r="AC27" s="450">
        <f ca="1">$D27-AC28</f>
        <v>4.2934281471399336</v>
      </c>
      <c r="AD27" s="450">
        <f ca="1">$D27-AD28</f>
        <v>4.3417653980287021</v>
      </c>
      <c r="AE27" s="450">
        <f ca="1">$C27-AE28</f>
        <v>0.75564505496388601</v>
      </c>
      <c r="AF27" s="450">
        <f ca="1">$C27-AF28</f>
        <v>0.59488496190864026</v>
      </c>
      <c r="AG27" s="450">
        <f ca="1">$D27-AG28</f>
        <v>2.2754307800370057</v>
      </c>
      <c r="AH27" s="450">
        <f ca="1">$D27-AH28</f>
        <v>2.3120087064390891</v>
      </c>
      <c r="AI27" s="787">
        <f ca="1">$C27-AI28</f>
        <v>0.73951260659173412</v>
      </c>
      <c r="AJ27" s="787">
        <f ca="1">$D27-AJ28</f>
        <v>2.2692728502185142</v>
      </c>
    </row>
    <row r="28" spans="1:40" x14ac:dyDescent="0.25">
      <c r="B28" s="244" t="s">
        <v>156</v>
      </c>
      <c r="E28" s="450">
        <f ca="1">SUMPRODUCT($C9:$C26,E9:E26)</f>
        <v>0.92071858340961221</v>
      </c>
      <c r="F28" s="450">
        <f ca="1">SUMPRODUCT($D9:$D26,F9:F26)</f>
        <v>6.0953372567901943E-3</v>
      </c>
      <c r="G28" s="450">
        <f ca="1">SUMPRODUCT($C9:$C26,G9:G26)</f>
        <v>8.6887515263820939E-3</v>
      </c>
      <c r="H28" s="450">
        <f ca="1">SUMPRODUCT($D9:$D26,H9:H26)</f>
        <v>1.9278457683130414</v>
      </c>
      <c r="I28" s="450">
        <f ca="1">SUMPRODUCT($C9:$C26,I9:I26)</f>
        <v>0.13401068046467499</v>
      </c>
      <c r="J28" s="450">
        <f ca="1">SUMPRODUCT($D9:$D26,J9:J26)</f>
        <v>4.7433113352450358E-3</v>
      </c>
      <c r="K28" s="450">
        <f ca="1">SUMPRODUCT($C9:$C26,K9:K26)</f>
        <v>0.21131775636658873</v>
      </c>
      <c r="L28" s="450">
        <f ca="1">SUMPRODUCT($D9:$D26,L9:L26)</f>
        <v>1.7929766278751771E-3</v>
      </c>
      <c r="M28" s="450">
        <f ca="1">SUMPRODUCT($C9:$C26,M9:M26)</f>
        <v>0.52879329194867131</v>
      </c>
      <c r="N28" s="450">
        <f ca="1">SUMPRODUCT($D9:$D26,N9:N26)</f>
        <v>7.8792980631271683E-3</v>
      </c>
      <c r="O28" s="450">
        <f ca="1">SUMPRODUCT($C9:$C26,O9:O26)</f>
        <v>2.3539655099024157E-2</v>
      </c>
      <c r="P28" s="450">
        <f ca="1">SUMPRODUCT($D9:$D26,P9:P26)</f>
        <v>2.2197369711993341E-2</v>
      </c>
      <c r="Q28" s="450">
        <f ca="1">SUMPRODUCT($C9:$C26,Q9:Q26)</f>
        <v>0.47879328253860148</v>
      </c>
      <c r="R28" s="450">
        <f ca="1">SUMPRODUCT($D9:$D26,R9:R26)</f>
        <v>-1.2522088132458774E-2</v>
      </c>
      <c r="S28" s="450">
        <f ca="1">SUMPRODUCT($C9:$C26,S9:S26)</f>
        <v>3.9515043461703906E-4</v>
      </c>
      <c r="T28" s="450">
        <f ca="1">SUMPRODUCT($D9:$D26,T9:T26)</f>
        <v>0</v>
      </c>
      <c r="U28" s="786">
        <f ca="1">SUMPRODUCT($C9:$C26,U9:U26)</f>
        <v>0</v>
      </c>
      <c r="V28" s="786">
        <f ca="1">SUMPRODUCT($D9:$D26,V9:V26)</f>
        <v>0</v>
      </c>
      <c r="W28" s="450">
        <f ca="1">SUMPRODUCT($C9:$C26,W9:W26)</f>
        <v>0</v>
      </c>
      <c r="X28" s="450">
        <f ca="1">SUMPRODUCT($D9:$D26,X9:X26)</f>
        <v>0</v>
      </c>
      <c r="Y28" s="450">
        <f ca="1">SUMPRODUCT($C9:$C26,Y9:Y26)</f>
        <v>1.6935320729655232</v>
      </c>
      <c r="Z28" s="450">
        <f ca="1">SUMPRODUCT($D9:$D26,Z9:Z26)</f>
        <v>1.9773489504034918</v>
      </c>
      <c r="AA28" s="450">
        <f ca="1">SUMPRODUCT($C9:$C26,AA9:AA26)</f>
        <v>0.68412129324963433</v>
      </c>
      <c r="AB28" s="450">
        <f ca="1">SUMPRODUCT($C9:$C26,AB9:AB26)</f>
        <v>1.1304942581761361</v>
      </c>
      <c r="AC28" s="450">
        <f ca="1">SUMPRODUCT($D9:$D26,AC9:AC26)</f>
        <v>-0.13775177435329228</v>
      </c>
      <c r="AD28" s="450">
        <f ca="1">SUMPRODUCT($D9:$D26,AD9:AD26)</f>
        <v>-0.18608902524206059</v>
      </c>
      <c r="AE28" s="450">
        <f ca="1">SUMPRODUCT($C9:$C26,AE9:AE26)</f>
        <v>1.952314959850977</v>
      </c>
      <c r="AF28" s="450">
        <f ca="1">SUMPRODUCT($C9:$C26,AF9:AF26)</f>
        <v>2.1130750529062228</v>
      </c>
      <c r="AG28" s="450">
        <f ca="1">SUMPRODUCT($D9:$D26,AG9:AG26)</f>
        <v>1.8802455927496358</v>
      </c>
      <c r="AH28" s="450">
        <f ca="1">SUMPRODUCT($D9:$D26,AH9:AH26)</f>
        <v>1.843667666347552</v>
      </c>
      <c r="AI28" s="450">
        <f ca="1">SUMPRODUCT($C9:$C26,AI9:AI26)</f>
        <v>1.9684474082231289</v>
      </c>
      <c r="AJ28" s="450">
        <f ca="1">SUMPRODUCT($D9:$D26,AJ9:AJ26)</f>
        <v>1.886403522568127</v>
      </c>
    </row>
    <row r="29" spans="1:40" x14ac:dyDescent="0.25">
      <c r="E29" s="659">
        <f ca="1">E28/$C27</f>
        <v>0.34000449724977183</v>
      </c>
      <c r="F29" s="693">
        <f ca="1">F28/$D27</f>
        <v>1.4667497442065944E-3</v>
      </c>
      <c r="G29" s="659">
        <f ca="1">G28/$C27</f>
        <v>3.208596684901983E-3</v>
      </c>
      <c r="H29" s="693">
        <f ca="1">H28/$D27</f>
        <v>0.46390661720857251</v>
      </c>
      <c r="I29" s="659">
        <f ca="1">I28/$C27</f>
        <v>4.948768804986841E-2</v>
      </c>
      <c r="J29" s="693">
        <f ca="1">J28/$D27</f>
        <v>1.1414053717720921E-3</v>
      </c>
      <c r="K29" s="659">
        <f ca="1">K28/$C27</f>
        <v>7.8035774239833461E-2</v>
      </c>
      <c r="L29" s="693">
        <f ca="1">L28/$D27</f>
        <v>4.3145242002395727E-4</v>
      </c>
      <c r="M29" s="659">
        <f ca="1">M28/$C27</f>
        <v>0.19527367060655201</v>
      </c>
      <c r="N29" s="693">
        <f ca="1">N28/$D27</f>
        <v>1.8960326445833426E-3</v>
      </c>
      <c r="O29" s="659">
        <f ca="1">O28/$C27</f>
        <v>8.6927631760594908E-3</v>
      </c>
      <c r="P29" s="693">
        <f ca="1">P28/$D27</f>
        <v>5.3414577365437661E-3</v>
      </c>
      <c r="Q29" s="659">
        <f ca="1">Q28/$C27</f>
        <v>0.17680958356814419</v>
      </c>
      <c r="R29" s="693">
        <f ca="1">R28/$D27</f>
        <v>-3.0132491101711872E-3</v>
      </c>
      <c r="S29" s="659">
        <f ca="1">S28/$C27</f>
        <v>1.4592181289798498E-4</v>
      </c>
      <c r="T29" s="693">
        <f ca="1">T28/$D27</f>
        <v>0</v>
      </c>
      <c r="U29" s="700">
        <f ca="1">U28/$C27</f>
        <v>0</v>
      </c>
      <c r="V29" s="700">
        <f ca="1">V28/$D27</f>
        <v>0</v>
      </c>
      <c r="W29" s="659">
        <f ca="1">W28/$C27</f>
        <v>0</v>
      </c>
      <c r="X29" s="693">
        <f ca="1">X28/$D27</f>
        <v>0</v>
      </c>
      <c r="Y29" s="659">
        <f ca="1">Y28/$C27</f>
        <v>0.62539035425207568</v>
      </c>
      <c r="Z29" s="693">
        <f t="shared" ref="Z29" ca="1" si="9">Z28/$D27</f>
        <v>0.47581880132729282</v>
      </c>
      <c r="AA29" s="838">
        <f ca="1">(AA28*$AJ$4+AB28*$AJ$5)/SUM($AJ$4:$AJ$5)</f>
        <v>0.99314873050644326</v>
      </c>
      <c r="AB29" s="838"/>
      <c r="AC29" s="838">
        <f ca="1">(AC28*$AJ$4+AD28*$AJ$5)/SUM($AJ$4:$AJ$5)</f>
        <v>-0.17121602496859339</v>
      </c>
      <c r="AD29" s="838"/>
      <c r="AE29" s="659">
        <f ca="1">AE28/$C27</f>
        <v>0.72095413121690877</v>
      </c>
      <c r="AF29" s="659">
        <f ca="1">AF28/$C27</f>
        <v>0.78031988705368271</v>
      </c>
      <c r="AG29" s="693">
        <f t="shared" ref="AG29:AH29" ca="1" si="10">AG28/$D27</f>
        <v>0.45245236252331489</v>
      </c>
      <c r="AH29" s="693">
        <f t="shared" ca="1" si="10"/>
        <v>0.44365044362471789</v>
      </c>
      <c r="AI29" s="659">
        <f ca="1">AI28/$C27</f>
        <v>0.72691154871343511</v>
      </c>
      <c r="AJ29" s="693">
        <f t="shared" ref="AJ29" ca="1" si="11">AJ28/$D27</f>
        <v>0.45393417421077364</v>
      </c>
      <c r="AK29" s="5"/>
      <c r="AL29" s="5"/>
      <c r="AN29" s="5"/>
    </row>
    <row r="30" spans="1:40" x14ac:dyDescent="0.25">
      <c r="B30" s="244" t="s">
        <v>157</v>
      </c>
      <c r="E30" s="450">
        <f ca="1">E28*($Y28/$Y30)</f>
        <v>0.67610259765289971</v>
      </c>
      <c r="F30" s="450">
        <f ca="1">F28*($Z28/$Z30)</f>
        <v>6.1554708463324994E-3</v>
      </c>
      <c r="G30" s="450">
        <f ca="1">G28*($Y28/$Y30)</f>
        <v>6.3803289986752339E-3</v>
      </c>
      <c r="H30" s="450">
        <f ca="1">H28*($Z28/$Z30)</f>
        <v>1.9468649433395691</v>
      </c>
      <c r="I30" s="450">
        <f ca="1">I28*($Y28/$Y30)</f>
        <v>9.8406799654103233E-2</v>
      </c>
      <c r="J30" s="450">
        <f ca="1">J28*($Z28/$Z30)</f>
        <v>4.7901065042223129E-3</v>
      </c>
      <c r="K30" s="450">
        <f ca="1">K28*($Y28/$Y30)</f>
        <v>0.15517497591994583</v>
      </c>
      <c r="L30" s="450">
        <f ca="1">L28*($Z28/$Z30)</f>
        <v>1.8106652505152918E-3</v>
      </c>
      <c r="M30" s="450">
        <f ca="1">M28*($Y28/$Y30)</f>
        <v>0.38830379309165181</v>
      </c>
      <c r="N30" s="450">
        <f ca="1">N28*($Z28/$Z30)</f>
        <v>7.9570313296632809E-3</v>
      </c>
      <c r="O30" s="450">
        <f ca="1">O28*($Y28/$Y30)</f>
        <v>1.7285653018282943E-2</v>
      </c>
      <c r="P30" s="450">
        <f ca="1">P28*($Z28/$Z30)</f>
        <v>2.2416358007955609E-2</v>
      </c>
      <c r="Q30" s="450">
        <f ca="1">Q28*($Y28/$Y30)</f>
        <v>0.3515877575364334</v>
      </c>
      <c r="R30" s="450">
        <f ca="1">R28*($Z28/$Z30)</f>
        <v>-1.2645624874766349E-2</v>
      </c>
      <c r="S30" s="450">
        <f ca="1">S28*($Y28/$Y30)</f>
        <v>2.9016709353133196E-4</v>
      </c>
      <c r="T30" s="450">
        <f ca="1">T28*($Z28/$Z30)</f>
        <v>0</v>
      </c>
      <c r="U30" s="786">
        <f ca="1">U28*($Y28/$Y30)</f>
        <v>0</v>
      </c>
      <c r="V30" s="786">
        <f ca="1">V28*($Z28/$Z30)</f>
        <v>0</v>
      </c>
      <c r="W30" s="450">
        <f ca="1">W28*($Y28/$Y30)</f>
        <v>0</v>
      </c>
      <c r="X30" s="450">
        <f ca="1">X28*($Z28/$Z30)</f>
        <v>0</v>
      </c>
      <c r="Y30" s="450">
        <f ca="1">SUM($E28,$G28,$I28,$K28,$M28,$O28,$Q28,$S28,$W28)</f>
        <v>2.3062571517881718</v>
      </c>
      <c r="Z30" s="450">
        <f ca="1">SUM($F28,$H28,$J28,$L28,$N28,$P28,$R28,$T28,$X28)</f>
        <v>1.9580319731756137</v>
      </c>
      <c r="AA30" s="450">
        <f ca="1">AE28-$Y28</f>
        <v>0.25878288688545381</v>
      </c>
      <c r="AB30" s="450">
        <f ca="1">AF28-$Y28</f>
        <v>0.41954297994069956</v>
      </c>
      <c r="AC30" s="450">
        <f ca="1">AG28-$Z28</f>
        <v>-9.7103357653856026E-2</v>
      </c>
      <c r="AD30" s="450">
        <f ca="1">AH28-$Z28</f>
        <v>-0.13368128405593982</v>
      </c>
      <c r="AE30" s="450">
        <f ca="1">SUM($E28,$G28,$I28,$K28,$M28,$O28,$Q28,$S28,$W28,AA28)</f>
        <v>2.9903784450378064</v>
      </c>
      <c r="AF30" s="450">
        <f ca="1">SUM($E28,$G28,$I28,$K28,$M28,$O28,$Q28,$S28,$W28,AB28)</f>
        <v>3.4367514099643079</v>
      </c>
      <c r="AG30" s="450">
        <f ca="1">SUM($F28,$H28,$J28,$L28,$N28,$P28,$R28,$T28,$X28,AC28)</f>
        <v>1.8202801988223214</v>
      </c>
      <c r="AH30" s="450">
        <f ca="1">SUM($F28,$H28,$J28,$L28,$N28,$P28,$R28,$T28,$X28,AD28)</f>
        <v>1.7719429479335531</v>
      </c>
    </row>
    <row r="31" spans="1:40" x14ac:dyDescent="0.25">
      <c r="Y31" s="659">
        <f ca="1">Y30/$C27</f>
        <v>0.85165849538802929</v>
      </c>
      <c r="Z31" s="659">
        <f ca="1">Z30/$C27</f>
        <v>0.72306531945209684</v>
      </c>
      <c r="AA31" s="839" t="s">
        <v>158</v>
      </c>
      <c r="AB31" s="839"/>
      <c r="AC31" s="839"/>
      <c r="AD31" s="839"/>
      <c r="AE31" s="659">
        <f ca="1">AE30/$C27</f>
        <v>1.1042919499098482</v>
      </c>
      <c r="AF31" s="659">
        <f ca="1">AF30/$C27</f>
        <v>1.2691293044071297</v>
      </c>
      <c r="AG31" s="693">
        <f ca="1">AG30/$D27</f>
        <v>0.4380226070399485</v>
      </c>
      <c r="AH31" s="693">
        <f ca="1">AH30/$D27</f>
        <v>0.42639098644376738</v>
      </c>
    </row>
    <row r="32" spans="1:40" x14ac:dyDescent="0.25">
      <c r="Y32" s="698">
        <f ca="1">SUM($E30,$G30,$I30,$K30,$M30,$O30,$Q30,$S30,$W30)</f>
        <v>1.6935320729655237</v>
      </c>
      <c r="Z32" s="698">
        <f ca="1">SUM($F30,$H30,$J30,$L30,$N30,$P30,$R30,$T30,$X30)</f>
        <v>1.9773489504034918</v>
      </c>
      <c r="AA32" s="838">
        <f ca="1">(AA30*$AJ$4+AB30*$AJ$5)/SUM($AJ$4:$AJ$5)</f>
        <v>0.37007833592370087</v>
      </c>
      <c r="AB32" s="838"/>
      <c r="AC32" s="838">
        <f ca="1">(AC30*$AJ$4+AD30*$AJ$5)/SUM($AJ$4:$AJ$5)</f>
        <v>-0.12242653747068327</v>
      </c>
      <c r="AD32" s="838"/>
    </row>
    <row r="33" spans="2:34" x14ac:dyDescent="0.25">
      <c r="C33" s="450">
        <f ca="1">SUM(C9:C18)</f>
        <v>2.5284971130088683</v>
      </c>
      <c r="D33" s="450">
        <f ca="1">SUM(D9:D18)</f>
        <v>8.9496217582678159E-2</v>
      </c>
      <c r="Z33" s="616"/>
      <c r="AA33" s="616"/>
    </row>
    <row r="34" spans="2:34" x14ac:dyDescent="0.25">
      <c r="B34" s="244" t="s">
        <v>159</v>
      </c>
      <c r="E34" s="450">
        <f ca="1">SUMPRODUCT($C9:$C18,E9:E18)</f>
        <v>0.86950088750771337</v>
      </c>
      <c r="F34" s="450">
        <f ca="1">SUMPRODUCT($D9:$D18,F9:F18)</f>
        <v>1.4951447292659088E-4</v>
      </c>
      <c r="G34" s="450">
        <f ca="1">SUMPRODUCT($C9:$C18,G9:G18)</f>
        <v>-2.6291995412813109E-2</v>
      </c>
      <c r="H34" s="450">
        <f ca="1">SUMPRODUCT($D9:$D18,H9:H18)</f>
        <v>-9.3060582511317444E-4</v>
      </c>
      <c r="I34" s="450">
        <f ca="1">SUMPRODUCT($C9:$C18,I9:I18)</f>
        <v>0.13401068046467499</v>
      </c>
      <c r="J34" s="450">
        <f ca="1">SUMPRODUCT($D9:$D18,J9:J18)</f>
        <v>4.7433113352450358E-3</v>
      </c>
      <c r="K34" s="450">
        <f ca="1">SUMPRODUCT($C9:$C18,K9:K18)</f>
        <v>0.19744244727170873</v>
      </c>
      <c r="L34" s="450">
        <f ca="1">SUMPRODUCT($D9:$D18,L9:L18)</f>
        <v>4.2294804499923462E-3</v>
      </c>
      <c r="M34" s="450">
        <f ca="1">SUMPRODUCT($C9:$C18,M9:M18)</f>
        <v>0.52879329194867131</v>
      </c>
      <c r="N34" s="450">
        <f ca="1">SUMPRODUCT($D9:$D18,N9:N18)</f>
        <v>7.8792980631271683E-3</v>
      </c>
      <c r="O34" s="450">
        <f ca="1">SUMPRODUCT($C9:$C18,O9:O18)</f>
        <v>0</v>
      </c>
      <c r="P34" s="450">
        <f ca="1">SUMPRODUCT($D9:$D18,P9:P18)</f>
        <v>0</v>
      </c>
      <c r="Q34" s="450">
        <f ca="1">SUMPRODUCT($C9:$C18,Q9:Q18)</f>
        <v>0.47926013862137767</v>
      </c>
      <c r="R34" s="450">
        <f ca="1">SUMPRODUCT($D9:$D18,R9:R18)</f>
        <v>1.7078545803206911E-2</v>
      </c>
      <c r="S34" s="450"/>
      <c r="T34" s="450"/>
      <c r="U34" s="450">
        <f ca="1">SUMPRODUCT($C9:$C18,U9:U18)</f>
        <v>0</v>
      </c>
      <c r="V34" s="450">
        <f ca="1">SUMPRODUCT($D9:$D18,V9:V18)</f>
        <v>0</v>
      </c>
      <c r="W34" s="450">
        <f ca="1">SUMPRODUCT($C9:$C18,W9:W18)</f>
        <v>0</v>
      </c>
      <c r="X34" s="450">
        <f ca="1">SUMPRODUCT($D9:$D18,X9:X18)</f>
        <v>0</v>
      </c>
      <c r="Y34" s="450">
        <f ca="1">SUMPRODUCT($C9:$C18,Y9:Y18)</f>
        <v>1.5943169198852003</v>
      </c>
      <c r="Z34" s="450">
        <f ca="1">SUMPRODUCT($D9:$D18,Z9:Z18)</f>
        <v>2.9660897859288014E-2</v>
      </c>
      <c r="AE34" s="450">
        <f ca="1">SUMPRODUCT($C9:$C18,AE9:AE18)</f>
        <v>1.8353750535534352</v>
      </c>
      <c r="AF34" s="450">
        <f ca="1">SUMPRODUCT($C9:$C18,AF9:AF18)</f>
        <v>1.9961351466086803</v>
      </c>
      <c r="AG34" s="450">
        <f ca="1">SUMPRODUCT($D9:$D18,AG9:AG18)</f>
        <v>-9.3291599141547249E-2</v>
      </c>
      <c r="AH34" s="450">
        <f ca="1">SUMPRODUCT($D9:$D18,AH9:AH18)</f>
        <v>-0.12986952554363115</v>
      </c>
    </row>
    <row r="35" spans="2:34" x14ac:dyDescent="0.25">
      <c r="C35" s="450">
        <f ca="1">SUM(C19:C20)</f>
        <v>7.199838057128656E-2</v>
      </c>
      <c r="D35" s="450">
        <f ca="1">SUM(D19:D20)</f>
        <v>3.9382120855066134</v>
      </c>
      <c r="AD35" s="244" t="s">
        <v>160</v>
      </c>
      <c r="AE35" s="604">
        <f ca="1">AE34/$C33</f>
        <v>0.72587587468880688</v>
      </c>
      <c r="AF35" s="604">
        <f ca="1">AF34/$C33</f>
        <v>0.78945518123740854</v>
      </c>
      <c r="AG35" s="604">
        <f t="shared" ref="AG35:AH37" ca="1" si="12">AG34/$D33</f>
        <v>-1.0424082901086054</v>
      </c>
      <c r="AH35" s="604">
        <f t="shared" ca="1" si="12"/>
        <v>-1.4511174779387233</v>
      </c>
    </row>
    <row r="36" spans="2:34" x14ac:dyDescent="0.25">
      <c r="B36" s="244" t="s">
        <v>161</v>
      </c>
      <c r="E36" s="450">
        <f ca="1">SUMPRODUCT($C19:$C20,E19:E20)</f>
        <v>1.8721409129923254E-2</v>
      </c>
      <c r="F36" s="450">
        <f ca="1">SUMPRODUCT($D19:$D20,F19:F20)</f>
        <v>5.7619599885660976E-3</v>
      </c>
      <c r="G36" s="450">
        <f ca="1">SUMPRODUCT($C19:$C20,G19:G20)</f>
        <v>3.4983426229071822E-2</v>
      </c>
      <c r="H36" s="450">
        <f ca="1">SUMPRODUCT($D19:$D20,H19:H20)</f>
        <v>1.9287764525096072</v>
      </c>
      <c r="I36" s="450">
        <f ca="1">SUMPRODUCT($C19:$C20,I19:I20)</f>
        <v>0</v>
      </c>
      <c r="J36" s="450">
        <f ca="1">SUMPRODUCT($D19:$D20,J19:J20)</f>
        <v>0</v>
      </c>
      <c r="K36" s="450">
        <f ca="1">SUMPRODUCT($C19:$C20,K19:K20)</f>
        <v>-2.9862896628322146E-4</v>
      </c>
      <c r="L36" s="450">
        <f ca="1">SUMPRODUCT($D19:$D20,L19:L20)</f>
        <v>-1.8934329099816533E-2</v>
      </c>
      <c r="M36" s="450">
        <f ca="1">SUMPRODUCT($C19:$C20,M19:M20)</f>
        <v>0</v>
      </c>
      <c r="N36" s="450">
        <f ca="1">SUMPRODUCT($D19:$D20,N19:N20)</f>
        <v>0</v>
      </c>
      <c r="O36" s="450">
        <f ca="1">SUMPRODUCT($C19:$C20,O19:O20)</f>
        <v>-8.3575002914531313E-5</v>
      </c>
      <c r="P36" s="450">
        <f ca="1">SUMPRODUCT($D19:$D20,P19:P20)</f>
        <v>-5.2990057508389326E-3</v>
      </c>
      <c r="Q36" s="450">
        <f ca="1">SUMPRODUCT($C19:$C20,Q19:Q20)</f>
        <v>-4.6685608277620525E-4</v>
      </c>
      <c r="R36" s="450">
        <f ca="1">SUMPRODUCT($D19:$D20,R19:R20)</f>
        <v>-2.9600633935665685E-2</v>
      </c>
      <c r="S36" s="450"/>
      <c r="T36" s="450"/>
      <c r="U36" s="450">
        <f ca="1">SUMPRODUCT($C19:$C20,U19:U20)</f>
        <v>0</v>
      </c>
      <c r="V36" s="450">
        <f ca="1">SUMPRODUCT($D19:$D20,V19:V20)</f>
        <v>0</v>
      </c>
      <c r="W36" s="450">
        <f ca="1">SUMPRODUCT($C19:$C20,W19:W20)</f>
        <v>0</v>
      </c>
      <c r="X36" s="450">
        <f ca="1">SUMPRODUCT($D19:$D20,X19:X20)</f>
        <v>0</v>
      </c>
      <c r="Y36" s="450">
        <f ca="1">SUMPRODUCT($C19:$C20,Y19:Y20)</f>
        <v>4.4247036298268372E-2</v>
      </c>
      <c r="Z36" s="450">
        <f ca="1">SUMPRODUCT($D19:$D20,Z19:Z20)</f>
        <v>1.9077011310261742</v>
      </c>
      <c r="AE36" s="450">
        <f ca="1">SUMPRODUCT($C19:$C20,AE19:AE20)</f>
        <v>4.4247036298268372E-2</v>
      </c>
      <c r="AF36" s="450">
        <f ca="1">SUMPRODUCT($C19:$C20,AF19:AF20)</f>
        <v>4.4247036298268372E-2</v>
      </c>
      <c r="AG36" s="450">
        <f ca="1">SUMPRODUCT($D19:$D20,AG19:AG20)</f>
        <v>1.9077011310261742</v>
      </c>
      <c r="AH36" s="450">
        <f ca="1">SUMPRODUCT($D19:$D20,AH19:AH20)</f>
        <v>1.9077011310261742</v>
      </c>
    </row>
    <row r="37" spans="2:34" x14ac:dyDescent="0.25">
      <c r="AD37" s="244" t="s">
        <v>162</v>
      </c>
      <c r="AE37" s="694">
        <f ca="1">AE36/$C35</f>
        <v>0.614555993442919</v>
      </c>
      <c r="AF37" s="694">
        <f ca="1">AF36/$C35</f>
        <v>0.614555993442919</v>
      </c>
      <c r="AG37" s="694">
        <f t="shared" ca="1" si="12"/>
        <v>0.48440792156595258</v>
      </c>
      <c r="AH37" s="694">
        <f t="shared" ca="1" si="12"/>
        <v>0.48440792156595258</v>
      </c>
    </row>
    <row r="38" spans="2:34" x14ac:dyDescent="0.25">
      <c r="Z38" s="133"/>
      <c r="AA38" s="133"/>
    </row>
    <row r="39" spans="2:34" x14ac:dyDescent="0.25">
      <c r="V39" s="1" t="s">
        <v>163</v>
      </c>
      <c r="W39" s="45">
        <f>(3327+360+3290+100)-460</f>
        <v>6617</v>
      </c>
      <c r="X39" t="s">
        <v>164</v>
      </c>
      <c r="Z39" s="133"/>
      <c r="AA39" s="133"/>
    </row>
    <row r="40" spans="2:34" x14ac:dyDescent="0.25">
      <c r="B40" s="812"/>
      <c r="V40" s="1" t="s">
        <v>165</v>
      </c>
      <c r="W40" s="45">
        <f>BuildSizeG3C!CK462</f>
        <v>38476.182928384085</v>
      </c>
      <c r="X40" t="s">
        <v>166</v>
      </c>
    </row>
    <row r="41" spans="2:34" x14ac:dyDescent="0.25">
      <c r="B41" s="812"/>
      <c r="V41" s="1" t="s">
        <v>167</v>
      </c>
      <c r="W41" s="251">
        <f>W39/W40</f>
        <v>0.17197651888484508</v>
      </c>
    </row>
    <row r="42" spans="2:34" x14ac:dyDescent="0.25">
      <c r="B42" s="812"/>
    </row>
    <row r="43" spans="2:34" x14ac:dyDescent="0.25">
      <c r="B43" s="812"/>
      <c r="W43" t="s">
        <v>168</v>
      </c>
    </row>
    <row r="44" spans="2:34" x14ac:dyDescent="0.25">
      <c r="B44" s="812"/>
      <c r="W44" t="s">
        <v>169</v>
      </c>
    </row>
    <row r="45" spans="2:34" x14ac:dyDescent="0.25">
      <c r="B45" s="812"/>
      <c r="W45" t="s">
        <v>170</v>
      </c>
    </row>
    <row r="46" spans="2:34" x14ac:dyDescent="0.25">
      <c r="B46" s="812"/>
      <c r="W46" s="695">
        <v>0.16460262252193775</v>
      </c>
      <c r="X46" s="695">
        <v>0.1578227268725815</v>
      </c>
    </row>
    <row r="47" spans="2:34" x14ac:dyDescent="0.25">
      <c r="B47" s="812"/>
      <c r="W47" s="695">
        <v>0.16460262252193775</v>
      </c>
      <c r="X47" s="695">
        <v>0.15782272687258148</v>
      </c>
    </row>
    <row r="48" spans="2:34" x14ac:dyDescent="0.25">
      <c r="B48" s="812"/>
      <c r="W48" s="695">
        <v>0.16460262252193772</v>
      </c>
      <c r="X48" s="695">
        <v>0.15782272687258148</v>
      </c>
    </row>
    <row r="49" spans="2:24" x14ac:dyDescent="0.25">
      <c r="B49" s="812"/>
      <c r="W49" s="695">
        <v>0.16460262252193772</v>
      </c>
      <c r="X49" s="695">
        <v>0.1578227268725815</v>
      </c>
    </row>
    <row r="50" spans="2:24" x14ac:dyDescent="0.25">
      <c r="B50" s="812"/>
      <c r="W50" s="695">
        <v>0.16460262252193775</v>
      </c>
      <c r="X50" s="695">
        <v>0.1578227268725815</v>
      </c>
    </row>
    <row r="51" spans="2:24" x14ac:dyDescent="0.25">
      <c r="B51" s="812"/>
      <c r="W51" s="695">
        <v>0.16460262252193775</v>
      </c>
      <c r="X51" s="695">
        <v>0.15782272687258153</v>
      </c>
    </row>
    <row r="52" spans="2:24" x14ac:dyDescent="0.25">
      <c r="B52" s="812"/>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A32:AB32"/>
    <mergeCell ref="AC32:AD32"/>
    <mergeCell ref="AA31:AD31"/>
    <mergeCell ref="Q7:R7"/>
    <mergeCell ref="S7:T7"/>
    <mergeCell ref="U7:V7"/>
    <mergeCell ref="W7:X7"/>
    <mergeCell ref="Y7:Z7"/>
    <mergeCell ref="AA7:AD7"/>
    <mergeCell ref="AA29:AB29"/>
    <mergeCell ref="AC29:AD29"/>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G6:H6"/>
    <mergeCell ref="I6:J6"/>
    <mergeCell ref="K6:L6"/>
    <mergeCell ref="M6:N6"/>
    <mergeCell ref="O6:P6"/>
    <mergeCell ref="O5:P5"/>
    <mergeCell ref="Q5:R5"/>
    <mergeCell ref="S5:T5"/>
    <mergeCell ref="U5:V5"/>
    <mergeCell ref="W5:X5"/>
    <mergeCell ref="E5:F5"/>
    <mergeCell ref="G5:H5"/>
    <mergeCell ref="I5:J5"/>
    <mergeCell ref="K5:L5"/>
    <mergeCell ref="M5:N5"/>
    <mergeCell ref="O4:P4"/>
    <mergeCell ref="S4:T4"/>
    <mergeCell ref="U4:V4"/>
    <mergeCell ref="W4:X4"/>
    <mergeCell ref="AA4:AD4"/>
    <mergeCell ref="E4:F4"/>
    <mergeCell ref="G4:H4"/>
    <mergeCell ref="I4:J4"/>
    <mergeCell ref="K4:L4"/>
    <mergeCell ref="M4:N4"/>
    <mergeCell ref="A1:AJ1"/>
    <mergeCell ref="E3:F3"/>
    <mergeCell ref="G3:H3"/>
    <mergeCell ref="I3:J3"/>
    <mergeCell ref="K3:L3"/>
    <mergeCell ref="M3:N3"/>
    <mergeCell ref="O3:P3"/>
    <mergeCell ref="Q3:R3"/>
    <mergeCell ref="S3:T3"/>
    <mergeCell ref="U3:V3"/>
    <mergeCell ref="W3:X3"/>
  </mergeCells>
  <pageMargins left="0.7" right="0.7" top="0.75" bottom="0.75" header="0.3" footer="0.3"/>
  <pageSetup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22564B0E8674FB7AD9E9BCF1DFC70" ma:contentTypeVersion="8" ma:contentTypeDescription="Create a new document." ma:contentTypeScope="" ma:versionID="6c579e73bcad9253431455a1284c1201">
  <xsd:schema xmlns:xsd="http://www.w3.org/2001/XMLSchema" xmlns:xs="http://www.w3.org/2001/XMLSchema" xmlns:p="http://schemas.microsoft.com/office/2006/metadata/properties" xmlns:ns2="fbefbb8d-f2e8-45c2-98be-9b45bfc95b0b" targetNamespace="http://schemas.microsoft.com/office/2006/metadata/properties" ma:root="true" ma:fieldsID="2fda4f58065c936ced1098f718314854" ns2:_="">
    <xsd:import namespace="fbefbb8d-f2e8-45c2-98be-9b45bfc95b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fbb8d-f2e8-45c2-98be-9b45bfc95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A790205-E98D-477C-9F2F-BD6FD77E8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fbb8d-f2e8-45c2-98be-9b45bfc95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2B880-FE08-4507-9A4D-E3AA4A373D3E}">
  <ds:schemaRefs>
    <ds:schemaRef ds:uri="http://schemas.microsoft.com/sharepoint/v3/contenttype/forms"/>
  </ds:schemaRefs>
</ds:datastoreItem>
</file>

<file path=customXml/itemProps3.xml><?xml version="1.0" encoding="utf-8"?>
<ds:datastoreItem xmlns:ds="http://schemas.openxmlformats.org/officeDocument/2006/customXml" ds:itemID="{FE66A034-4A71-4F21-95D1-93049CE6D82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13</vt:i4>
      </vt:variant>
    </vt:vector>
  </HeadingPairs>
  <TitlesOfParts>
    <vt:vector size="89" baseType="lpstr">
      <vt:lpstr>ReadMe</vt:lpstr>
      <vt:lpstr>Summary</vt:lpstr>
      <vt:lpstr>SCCRedFacsFull</vt:lpstr>
      <vt:lpstr>SCCRedFacs2019</vt:lpstr>
      <vt:lpstr>SCCRedFacs2020</vt:lpstr>
      <vt:lpstr>SCCRedFacs2021</vt:lpstr>
      <vt:lpstr>SCCRedFacs2022</vt:lpstr>
      <vt:lpstr>SCCRedFacs2023</vt:lpstr>
      <vt:lpstr>SCCRedFacs2024</vt:lpstr>
      <vt:lpstr>SCCRedFacs2025</vt:lpstr>
      <vt:lpstr>SCCRedFacs2026</vt:lpstr>
      <vt:lpstr>SCCRedFacs2027</vt:lpstr>
      <vt:lpstr>SCCRedFacs2028</vt:lpstr>
      <vt:lpstr>SCCRedFacs2029</vt:lpstr>
      <vt:lpstr>STF-12</vt:lpstr>
      <vt:lpstr>STF-13</vt:lpstr>
      <vt:lpstr>STF-17</vt:lpstr>
      <vt:lpstr>BACM-R8</vt:lpstr>
      <vt:lpstr>BACM-48</vt:lpstr>
      <vt:lpstr>STF-22</vt:lpstr>
      <vt:lpstr>STF-23</vt:lpstr>
      <vt:lpstr>CM-SerSIP</vt:lpstr>
      <vt:lpstr>CMRevSIP2021</vt:lpstr>
      <vt:lpstr>CMRevSIP2022</vt:lpstr>
      <vt:lpstr>CMRevSIP2023</vt:lpstr>
      <vt:lpstr>CMRevSIP2024</vt:lpstr>
      <vt:lpstr>CMRevSIP2025</vt:lpstr>
      <vt:lpstr>CMRevSIP2026</vt:lpstr>
      <vt:lpstr>WSCOReductions-5PctSIP</vt:lpstr>
      <vt:lpstr>WSCOReductions-SerSIP</vt:lpstr>
      <vt:lpstr>CurtailCalcsFull-2Stage</vt:lpstr>
      <vt:lpstr>CurtailCalcs2019-2Stage</vt:lpstr>
      <vt:lpstr>CurtailCalcs2020-2Stage</vt:lpstr>
      <vt:lpstr>CurtailCalcs2021-2Stage</vt:lpstr>
      <vt:lpstr>CurtailCalcs2022-2Stage</vt:lpstr>
      <vt:lpstr>CurtailCalcs2023-2Stage</vt:lpstr>
      <vt:lpstr>CurtailCalcs2024-2Stage</vt:lpstr>
      <vt:lpstr>CurtailCalcs2025-2Stage</vt:lpstr>
      <vt:lpstr>CurtailCalcs2026-2Stage</vt:lpstr>
      <vt:lpstr>CurtailCalcs2027-2Stage</vt:lpstr>
      <vt:lpstr>CurtailCalcs2028-2Stage</vt:lpstr>
      <vt:lpstr>CurtailCalcs2029-2Stage</vt:lpstr>
      <vt:lpstr>CurtailCalcs2032-2Stage</vt:lpstr>
      <vt:lpstr>Devices</vt:lpstr>
      <vt:lpstr>BuildSizeG3C</vt:lpstr>
      <vt:lpstr>EFs-BTU</vt:lpstr>
      <vt:lpstr>TabsAll</vt:lpstr>
      <vt:lpstr>HHSurveyG2</vt:lpstr>
      <vt:lpstr>Lookup</vt:lpstr>
      <vt:lpstr>DevSumOut-2019BSR</vt:lpstr>
      <vt:lpstr>DevSumOut-2020BSR</vt:lpstr>
      <vt:lpstr>DevSumOut-2021BSR</vt:lpstr>
      <vt:lpstr>DevSumOut-2022BSR</vt:lpstr>
      <vt:lpstr>DevSumOut-2023BSR</vt:lpstr>
      <vt:lpstr>DevSumOut-2024BSR</vt:lpstr>
      <vt:lpstr>DevSumOut-2025BSR</vt:lpstr>
      <vt:lpstr>DevSumOut-2026BSR</vt:lpstr>
      <vt:lpstr>DevSumOut-2027BSR</vt:lpstr>
      <vt:lpstr>DevSumOut-2028BSR</vt:lpstr>
      <vt:lpstr>DevSumOut-2029BSR</vt:lpstr>
      <vt:lpstr>ZipOutNA-2019BSR</vt:lpstr>
      <vt:lpstr>ZipOutNA-2020BSR</vt:lpstr>
      <vt:lpstr>ZipOutNA-2021BSR</vt:lpstr>
      <vt:lpstr>ZipOutNA-2022BSR</vt:lpstr>
      <vt:lpstr>ZipOutNA-2023BSR</vt:lpstr>
      <vt:lpstr>ZipOutNA-2024BSR</vt:lpstr>
      <vt:lpstr>ZipOutNA-2025BSR</vt:lpstr>
      <vt:lpstr>ZipOutNA-2026BSR</vt:lpstr>
      <vt:lpstr>ZipOutNA-2027BSR</vt:lpstr>
      <vt:lpstr>ZipOutNA-2028BSR</vt:lpstr>
      <vt:lpstr>ZipOutNA-2029BSR</vt:lpstr>
      <vt:lpstr>AQCZSplits</vt:lpstr>
      <vt:lpstr>Ph2HHs</vt:lpstr>
      <vt:lpstr>Episodes</vt:lpstr>
      <vt:lpstr>ULSEFs</vt:lpstr>
      <vt:lpstr>Moisture</vt:lpstr>
      <vt:lpstr>BTUEFs</vt:lpstr>
      <vt:lpstr>ConvLoss</vt:lpstr>
      <vt:lpstr>CYr</vt:lpstr>
      <vt:lpstr>EpData</vt:lpstr>
      <vt:lpstr>ExAir</vt:lpstr>
      <vt:lpstr>HHVOD</vt:lpstr>
      <vt:lpstr>OthrEFs</vt:lpstr>
      <vt:lpstr>'WSCOReductions-SerSIP'!Print_Area</vt:lpstr>
      <vt:lpstr>'STF-12'!Print_Titles</vt:lpstr>
      <vt:lpstr>Ts</vt:lpstr>
      <vt:lpstr>Tw</vt:lpstr>
      <vt:lpstr>WoodEFs</vt:lpstr>
      <vt:lpstr>Year</vt:lpstr>
    </vt:vector>
  </TitlesOfParts>
  <Manager/>
  <Company>Fairbanks North Star Borough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 DeHaven</dc:creator>
  <cp:keywords/>
  <dc:description/>
  <cp:lastModifiedBy>Alimi, Adeyemi</cp:lastModifiedBy>
  <cp:revision/>
  <dcterms:created xsi:type="dcterms:W3CDTF">2017-08-16T19:02:19Z</dcterms:created>
  <dcterms:modified xsi:type="dcterms:W3CDTF">2020-09-09T01:04:47Z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7dfeff4b-b01d-4a80-a469-6b5941810b35</vt:lpwstr>
  </property>
  <property fmtid="{D5CDD505-2E9C-101B-9397-08002B2CF9AE}" pid="3" name="ContentTypeId">
    <vt:lpwstr>0x01010044122564B0E8674FB7AD9E9BCF1DFC70</vt:lpwstr>
  </property>
</Properties>
</file>